
<file path=[Content_Types].xml><?xml version="1.0" encoding="utf-8"?>
<Types xmlns="http://schemas.openxmlformats.org/package/2006/content-types">
  <Default Extension="bin" ContentType="application/vnd.openxmlformats-officedocument.spreadsheetml.printerSettings"/>
  <Default Extension="png" ContentType="image/png"/>
  <Default Extension="svg" ContentType="image/svg+xml"/>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style1.xml" ContentType="application/vnd.ms-office.chartstyle+xml"/>
  <Override PartName="/xl/charts/colors1.xml" ContentType="application/vnd.ms-office.chartcolorstyle+xml"/>
  <Override PartName="/xl/charts/chart6.xml" ContentType="application/vnd.openxmlformats-officedocument.drawingml.chart+xml"/>
  <Override PartName="/xl/charts/style2.xml" ContentType="application/vnd.ms-office.chartstyle+xml"/>
  <Override PartName="/xl/charts/colors2.xml" ContentType="application/vnd.ms-office.chartcolorstyle+xml"/>
  <Override PartName="/xl/charts/chart7.xml" ContentType="application/vnd.openxmlformats-officedocument.drawingml.chart+xml"/>
  <Override PartName="/xl/charts/style3.xml" ContentType="application/vnd.ms-office.chartstyle+xml"/>
  <Override PartName="/xl/charts/colors3.xml" ContentType="application/vnd.ms-office.chartcolorstyle+xml"/>
  <Override PartName="/xl/charts/chart8.xml" ContentType="application/vnd.openxmlformats-officedocument.drawingml.chart+xml"/>
  <Override PartName="/xl/charts/style4.xml" ContentType="application/vnd.ms-office.chartstyle+xml"/>
  <Override PartName="/xl/charts/colors4.xml" ContentType="application/vnd.ms-office.chartcolorstyle+xml"/>
  <Override PartName="/xl/charts/chart9.xml" ContentType="application/vnd.openxmlformats-officedocument.drawingml.chart+xml"/>
  <Override PartName="/xl/charts/style5.xml" ContentType="application/vnd.ms-office.chartstyle+xml"/>
  <Override PartName="/xl/charts/colors5.xml" ContentType="application/vnd.ms-office.chartcolorstyle+xml"/>
  <Override PartName="/xl/drawings/drawing3.xml" ContentType="application/vnd.openxmlformats-officedocument.drawing+xml"/>
  <Override PartName="/xl/charts/chart10.xml" ContentType="application/vnd.openxmlformats-officedocument.drawingml.chart+xml"/>
  <Override PartName="/xl/charts/style6.xml" ContentType="application/vnd.ms-office.chartstyle+xml"/>
  <Override PartName="/xl/charts/colors6.xml" ContentType="application/vnd.ms-office.chartcolorstyle+xml"/>
  <Override PartName="/xl/charts/chart11.xml" ContentType="application/vnd.openxmlformats-officedocument.drawingml.chart+xml"/>
  <Override PartName="/xl/charts/style7.xml" ContentType="application/vnd.ms-office.chartstyle+xml"/>
  <Override PartName="/xl/charts/colors7.xml" ContentType="application/vnd.ms-office.chartcolorstyle+xml"/>
  <Override PartName="/xl/drawings/drawing4.xml" ContentType="application/vnd.openxmlformats-officedocument.drawing+xml"/>
  <Override PartName="/xl/charts/chart12.xml" ContentType="application/vnd.openxmlformats-officedocument.drawingml.chart+xml"/>
  <Override PartName="/xl/charts/style8.xml" ContentType="application/vnd.ms-office.chartstyle+xml"/>
  <Override PartName="/xl/charts/colors8.xml" ContentType="application/vnd.ms-office.chartcolorstyle+xml"/>
  <Override PartName="/xl/charts/chart13.xml" ContentType="application/vnd.openxmlformats-officedocument.drawingml.chart+xml"/>
  <Override PartName="/xl/charts/style9.xml" ContentType="application/vnd.ms-office.chartstyle+xml"/>
  <Override PartName="/xl/charts/colors9.xml" ContentType="application/vnd.ms-office.chartcolorstyle+xml"/>
  <Override PartName="/xl/charts/chart14.xml" ContentType="application/vnd.openxmlformats-officedocument.drawingml.chart+xml"/>
  <Override PartName="/xl/charts/style10.xml" ContentType="application/vnd.ms-office.chartstyle+xml"/>
  <Override PartName="/xl/charts/colors10.xml" ContentType="application/vnd.ms-office.chartcolorstyle+xml"/>
  <Override PartName="/xl/charts/chart15.xml" ContentType="application/vnd.openxmlformats-officedocument.drawingml.chart+xml"/>
  <Override PartName="/xl/charts/style11.xml" ContentType="application/vnd.ms-office.chartstyle+xml"/>
  <Override PartName="/xl/charts/colors11.xml" ContentType="application/vnd.ms-office.chartcolorstyle+xml"/>
  <Override PartName="/xl/charts/chart16.xml" ContentType="application/vnd.openxmlformats-officedocument.drawingml.chart+xml"/>
  <Override PartName="/xl/charts/style12.xml" ContentType="application/vnd.ms-office.chartstyle+xml"/>
  <Override PartName="/xl/charts/colors12.xml" ContentType="application/vnd.ms-office.chartcolorstyle+xml"/>
  <Override PartName="/xl/charts/chart17.xml" ContentType="application/vnd.openxmlformats-officedocument.drawingml.chart+xml"/>
  <Override PartName="/xl/charts/style13.xml" ContentType="application/vnd.ms-office.chartstyle+xml"/>
  <Override PartName="/xl/charts/colors13.xml" ContentType="application/vnd.ms-office.chartcolorstyle+xml"/>
  <Override PartName="/xl/charts/chart18.xml" ContentType="application/vnd.openxmlformats-officedocument.drawingml.chart+xml"/>
  <Override PartName="/xl/charts/style14.xml" ContentType="application/vnd.ms-office.chartstyle+xml"/>
  <Override PartName="/xl/charts/colors14.xml" ContentType="application/vnd.ms-office.chartcolorstyle+xml"/>
  <Override PartName="/xl/charts/chart19.xml" ContentType="application/vnd.openxmlformats-officedocument.drawingml.chart+xml"/>
  <Override PartName="/xl/charts/style15.xml" ContentType="application/vnd.ms-office.chartstyle+xml"/>
  <Override PartName="/xl/charts/colors15.xml" ContentType="application/vnd.ms-office.chartcolorstyle+xml"/>
  <Override PartName="/xl/charts/chart20.xml" ContentType="application/vnd.openxmlformats-officedocument.drawingml.chart+xml"/>
  <Override PartName="/xl/charts/style16.xml" ContentType="application/vnd.ms-office.chartstyle+xml"/>
  <Override PartName="/xl/charts/colors16.xml" ContentType="application/vnd.ms-office.chartcolorstyle+xml"/>
  <Override PartName="/xl/charts/chart21.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5.xml" ContentType="application/vnd.openxmlformats-officedocument.drawing+xml"/>
  <Override PartName="/xl/comments1.xml" ContentType="application/vnd.openxmlformats-officedocument.spreadsheetml.comments+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style18.xml" ContentType="application/vnd.ms-office.chartstyle+xml"/>
  <Override PartName="/xl/charts/colors18.xml" ContentType="application/vnd.ms-office.chartcolorstyle+xml"/>
  <Override PartName="/xl/charts/chart26.xml" ContentType="application/vnd.openxmlformats-officedocument.drawingml.chart+xml"/>
  <Override PartName="/xl/charts/style19.xml" ContentType="application/vnd.ms-office.chartstyle+xml"/>
  <Override PartName="/xl/charts/colors19.xml" ContentType="application/vnd.ms-office.chartcolorstyle+xml"/>
  <Override PartName="/xl/charts/chart27.xml" ContentType="application/vnd.openxmlformats-officedocument.drawingml.chart+xml"/>
  <Override PartName="/xl/charts/style20.xml" ContentType="application/vnd.ms-office.chartstyle+xml"/>
  <Override PartName="/xl/charts/colors20.xml" ContentType="application/vnd.ms-office.chartcolorstyle+xml"/>
  <Override PartName="/xl/charts/chart28.xml" ContentType="application/vnd.openxmlformats-officedocument.drawingml.chart+xml"/>
  <Override PartName="/xl/charts/style21.xml" ContentType="application/vnd.ms-office.chartstyle+xml"/>
  <Override PartName="/xl/charts/colors21.xml" ContentType="application/vnd.ms-office.chartcolorstyle+xml"/>
  <Override PartName="/xl/charts/chart29.xml" ContentType="application/vnd.openxmlformats-officedocument.drawingml.chart+xml"/>
  <Override PartName="/xl/charts/style22.xml" ContentType="application/vnd.ms-office.chartstyle+xml"/>
  <Override PartName="/xl/charts/colors22.xml" ContentType="application/vnd.ms-office.chartcolorstyle+xml"/>
  <Override PartName="/xl/charts/chart30.xml" ContentType="application/vnd.openxmlformats-officedocument.drawingml.chart+xml"/>
  <Override PartName="/xl/charts/style23.xml" ContentType="application/vnd.ms-office.chartstyle+xml"/>
  <Override PartName="/xl/charts/colors23.xml" ContentType="application/vnd.ms-office.chartcolorstyle+xml"/>
  <Override PartName="/xl/charts/chart31.xml" ContentType="application/vnd.openxmlformats-officedocument.drawingml.chart+xml"/>
  <Override PartName="/xl/charts/style24.xml" ContentType="application/vnd.ms-office.chartstyle+xml"/>
  <Override PartName="/xl/charts/colors24.xml" ContentType="application/vnd.ms-office.chartcolorstyle+xml"/>
  <Override PartName="/xl/charts/chart32.xml" ContentType="application/vnd.openxmlformats-officedocument.drawingml.chart+xml"/>
  <Override PartName="/xl/charts/style25.xml" ContentType="application/vnd.ms-office.chartstyle+xml"/>
  <Override PartName="/xl/charts/colors25.xml" ContentType="application/vnd.ms-office.chartcolorstyle+xml"/>
  <Override PartName="/xl/charts/chart33.xml" ContentType="application/vnd.openxmlformats-officedocument.drawingml.chart+xml"/>
  <Override PartName="/xl/charts/style26.xml" ContentType="application/vnd.ms-office.chartstyle+xml"/>
  <Override PartName="/xl/charts/colors26.xml" ContentType="application/vnd.ms-office.chartcolorstyle+xml"/>
  <Override PartName="/xl/charts/chart34.xml" ContentType="application/vnd.openxmlformats-officedocument.drawingml.chart+xml"/>
  <Override PartName="/xl/charts/style27.xml" ContentType="application/vnd.ms-office.chartstyle+xml"/>
  <Override PartName="/xl/charts/colors27.xml" ContentType="application/vnd.ms-office.chartcolorstyle+xml"/>
  <Override PartName="/xl/charts/chart35.xml" ContentType="application/vnd.openxmlformats-officedocument.drawingml.chart+xml"/>
  <Override PartName="/xl/charts/style28.xml" ContentType="application/vnd.ms-office.chartstyle+xml"/>
  <Override PartName="/xl/charts/colors28.xml" ContentType="application/vnd.ms-office.chartcolorstyle+xml"/>
  <Override PartName="/xl/charts/chart36.xml" ContentType="application/vnd.openxmlformats-officedocument.drawingml.chart+xml"/>
  <Override PartName="/xl/charts/style29.xml" ContentType="application/vnd.ms-office.chartstyle+xml"/>
  <Override PartName="/xl/charts/colors29.xml" ContentType="application/vnd.ms-office.chartcolorstyle+xml"/>
  <Override PartName="/xl/drawings/drawing6.xml" ContentType="application/vnd.openxmlformats-officedocument.drawing+xml"/>
  <Override PartName="/xl/comments2.xml" ContentType="application/vnd.openxmlformats-officedocument.spreadsheetml.comments+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charts/chart40.xml" ContentType="application/vnd.openxmlformats-officedocument.drawingml.chart+xml"/>
  <Override PartName="/xl/charts/style30.xml" ContentType="application/vnd.ms-office.chartstyle+xml"/>
  <Override PartName="/xl/charts/colors30.xml" ContentType="application/vnd.ms-office.chartcolorstyle+xml"/>
  <Override PartName="/xl/charts/chart41.xml" ContentType="application/vnd.openxmlformats-officedocument.drawingml.chart+xml"/>
  <Override PartName="/xl/charts/style31.xml" ContentType="application/vnd.ms-office.chartstyle+xml"/>
  <Override PartName="/xl/charts/colors31.xml" ContentType="application/vnd.ms-office.chartcolorstyle+xml"/>
  <Override PartName="/xl/charts/chart42.xml" ContentType="application/vnd.openxmlformats-officedocument.drawingml.chart+xml"/>
  <Override PartName="/xl/charts/style32.xml" ContentType="application/vnd.ms-office.chartstyle+xml"/>
  <Override PartName="/xl/charts/colors32.xml" ContentType="application/vnd.ms-office.chartcolorstyle+xml"/>
  <Override PartName="/xl/drawings/drawing7.xml" ContentType="application/vnd.openxmlformats-officedocument.drawing+xml"/>
  <Override PartName="/xl/comments3.xml" ContentType="application/vnd.openxmlformats-officedocument.spreadsheetml.comments+xml"/>
  <Override PartName="/xl/charts/chart43.xml" ContentType="application/vnd.openxmlformats-officedocument.drawingml.chart+xml"/>
  <Override PartName="/xl/charts/chart44.xml" ContentType="application/vnd.openxmlformats-officedocument.drawingml.chart+xml"/>
  <Override PartName="/xl/charts/chart45.xml" ContentType="application/vnd.openxmlformats-officedocument.drawingml.chart+xml"/>
  <Override PartName="/xl/charts/chart46.xml" ContentType="application/vnd.openxmlformats-officedocument.drawingml.chart+xml"/>
  <Override PartName="/xl/charts/style33.xml" ContentType="application/vnd.ms-office.chartstyle+xml"/>
  <Override PartName="/xl/charts/colors33.xml" ContentType="application/vnd.ms-office.chartcolorstyle+xml"/>
  <Override PartName="/xl/drawings/drawing8.xml" ContentType="application/vnd.openxmlformats-officedocument.drawing+xml"/>
  <Override PartName="/xl/comments4.xml" ContentType="application/vnd.openxmlformats-officedocument.spreadsheetml.comments+xml"/>
  <Override PartName="/xl/charts/chart47.xml" ContentType="application/vnd.openxmlformats-officedocument.drawingml.chart+xml"/>
  <Override PartName="/xl/charts/chart48.xml" ContentType="application/vnd.openxmlformats-officedocument.drawingml.chart+xml"/>
  <Override PartName="/xl/charts/chart49.xml" ContentType="application/vnd.openxmlformats-officedocument.drawingml.chart+xml"/>
  <Override PartName="/xl/charts/chart50.xml" ContentType="application/vnd.openxmlformats-officedocument.drawingml.chart+xml"/>
  <Override PartName="/xl/charts/style34.xml" ContentType="application/vnd.ms-office.chartstyle+xml"/>
  <Override PartName="/xl/charts/colors34.xml" ContentType="application/vnd.ms-office.chartcolorstyle+xml"/>
  <Override PartName="/xl/drawings/drawing9.xml" ContentType="application/vnd.openxmlformats-officedocument.drawing+xml"/>
  <Override PartName="/xl/charts/chart51.xml" ContentType="application/vnd.openxmlformats-officedocument.drawingml.chart+xml"/>
  <Override PartName="/xl/charts/chart52.xml" ContentType="application/vnd.openxmlformats-officedocument.drawingml.chart+xml"/>
  <Override PartName="/xl/charts/chart53.xml" ContentType="application/vnd.openxmlformats-officedocument.drawingml.chart+xml"/>
  <Override PartName="/xl/charts/chart54.xml" ContentType="application/vnd.openxmlformats-officedocument.drawingml.chart+xml"/>
  <Override PartName="/xl/charts/style35.xml" ContentType="application/vnd.ms-office.chartstyle+xml"/>
  <Override PartName="/xl/charts/colors35.xml" ContentType="application/vnd.ms-office.chartcolorstyle+xml"/>
  <Override PartName="/xl/drawings/drawing10.xml" ContentType="application/vnd.openxmlformats-officedocument.drawing+xml"/>
  <Override PartName="/xl/charts/chart55.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11.xml" ContentType="application/vnd.openxmlformats-officedocument.drawing+xml"/>
  <Override PartName="/xl/charts/chart56.xml" ContentType="application/vnd.openxmlformats-officedocument.drawingml.chart+xml"/>
  <Override PartName="/xl/charts/style37.xml" ContentType="application/vnd.ms-office.chartstyle+xml"/>
  <Override PartName="/xl/charts/colors37.xml" ContentType="application/vnd.ms-office.chartcolorstyle+xml"/>
  <Override PartName="/xl/drawings/drawing12.xml" ContentType="application/vnd.openxmlformats-officedocument.drawing+xml"/>
  <Override PartName="/xl/charts/chart57.xml" ContentType="application/vnd.openxmlformats-officedocument.drawingml.chart+xml"/>
  <Override PartName="/xl/charts/style38.xml" ContentType="application/vnd.ms-office.chartstyle+xml"/>
  <Override PartName="/xl/charts/colors38.xml" ContentType="application/vnd.ms-office.chartcolorstyle+xml"/>
  <Override PartName="/xl/charts/chart58.xml" ContentType="application/vnd.openxmlformats-officedocument.drawingml.chart+xml"/>
  <Override PartName="/xl/charts/style39.xml" ContentType="application/vnd.ms-office.chartstyle+xml"/>
  <Override PartName="/xl/charts/colors39.xml" ContentType="application/vnd.ms-office.chartcolorstyle+xml"/>
  <Override PartName="/xl/charts/chart59.xml" ContentType="application/vnd.openxmlformats-officedocument.drawingml.chart+xml"/>
  <Override PartName="/xl/charts/style40.xml" ContentType="application/vnd.ms-office.chartstyle+xml"/>
  <Override PartName="/xl/charts/colors40.xml" ContentType="application/vnd.ms-office.chartcolorstyle+xml"/>
  <Override PartName="/xl/drawings/drawing13.xml" ContentType="application/vnd.openxmlformats-officedocument.drawing+xml"/>
  <Override PartName="/xl/charts/chart60.xml" ContentType="application/vnd.openxmlformats-officedocument.drawingml.chart+xml"/>
  <Override PartName="/xl/charts/style41.xml" ContentType="application/vnd.ms-office.chartstyle+xml"/>
  <Override PartName="/xl/charts/colors41.xml" ContentType="application/vnd.ms-office.chartcolorstyle+xml"/>
  <Override PartName="/xl/charts/chart61.xml" ContentType="application/vnd.openxmlformats-officedocument.drawingml.chart+xml"/>
  <Override PartName="/xl/charts/chart62.xml" ContentType="application/vnd.openxmlformats-officedocument.drawingml.chart+xml"/>
  <Override PartName="/xl/charts/style42.xml" ContentType="application/vnd.ms-office.chartstyle+xml"/>
  <Override PartName="/xl/charts/colors42.xml" ContentType="application/vnd.ms-office.chartcolorstyle+xml"/>
  <Override PartName="/xl/charts/chart63.xml" ContentType="application/vnd.openxmlformats-officedocument.drawingml.chart+xml"/>
  <Override PartName="/xl/drawings/drawing14.xml" ContentType="application/vnd.openxmlformats-officedocument.drawing+xml"/>
  <Override PartName="/xl/charts/chart64.xml" ContentType="application/vnd.openxmlformats-officedocument.drawingml.chart+xml"/>
  <Override PartName="/xl/charts/style43.xml" ContentType="application/vnd.ms-office.chartstyle+xml"/>
  <Override PartName="/xl/charts/colors43.xml" ContentType="application/vnd.ms-office.chartcolorstyle+xml"/>
  <Override PartName="/xl/charts/chart65.xml" ContentType="application/vnd.openxmlformats-officedocument.drawingml.chart+xml"/>
  <Override PartName="/xl/charts/style44.xml" ContentType="application/vnd.ms-office.chartstyle+xml"/>
  <Override PartName="/xl/charts/colors44.xml" ContentType="application/vnd.ms-office.chartcolorstyle+xml"/>
  <Override PartName="/xl/charts/chart66.xml" ContentType="application/vnd.openxmlformats-officedocument.drawingml.chart+xml"/>
  <Override PartName="/xl/charts/style45.xml" ContentType="application/vnd.ms-office.chartstyle+xml"/>
  <Override PartName="/xl/charts/colors45.xml" ContentType="application/vnd.ms-office.chartcolorstyle+xml"/>
  <Override PartName="/xl/charts/chart67.xml" ContentType="application/vnd.openxmlformats-officedocument.drawingml.chart+xml"/>
  <Override PartName="/xl/charts/style46.xml" ContentType="application/vnd.ms-office.chartstyle+xml"/>
  <Override PartName="/xl/charts/colors46.xml" ContentType="application/vnd.ms-office.chartcolorstyle+xml"/>
  <Override PartName="/xl/drawings/drawing15.xml" ContentType="application/vnd.openxmlformats-officedocument.drawing+xml"/>
  <Override PartName="/xl/charts/chart68.xml" ContentType="application/vnd.openxmlformats-officedocument.drawingml.chart+xml"/>
  <Override PartName="/xl/charts/style47.xml" ContentType="application/vnd.ms-office.chartstyle+xml"/>
  <Override PartName="/xl/charts/colors47.xml" ContentType="application/vnd.ms-office.chartcolorstyle+xml"/>
  <Override PartName="/xl/charts/chart69.xml" ContentType="application/vnd.openxmlformats-officedocument.drawingml.chart+xml"/>
  <Override PartName="/xl/charts/style48.xml" ContentType="application/vnd.ms-office.chartstyle+xml"/>
  <Override PartName="/xl/charts/colors48.xml" ContentType="application/vnd.ms-office.chartcolorstyle+xml"/>
  <Override PartName="/xl/charts/chart70.xml" ContentType="application/vnd.openxmlformats-officedocument.drawingml.chart+xml"/>
  <Override PartName="/xl/charts/style49.xml" ContentType="application/vnd.ms-office.chartstyle+xml"/>
  <Override PartName="/xl/charts/colors49.xml" ContentType="application/vnd.ms-office.chartcolorstyle+xml"/>
  <Override PartName="/xl/charts/chart71.xml" ContentType="application/vnd.openxmlformats-officedocument.drawingml.chart+xml"/>
  <Override PartName="/xl/charts/style50.xml" ContentType="application/vnd.ms-office.chartstyle+xml"/>
  <Override PartName="/xl/charts/colors50.xml" ContentType="application/vnd.ms-office.chartcolorstyle+xml"/>
  <Override PartName="/xl/drawings/drawing16.xml" ContentType="application/vnd.openxmlformats-officedocument.drawing+xml"/>
  <Override PartName="/xl/charts/chart72.xml" ContentType="application/vnd.openxmlformats-officedocument.drawingml.chart+xml"/>
  <Override PartName="/xl/charts/style51.xml" ContentType="application/vnd.ms-office.chartstyle+xml"/>
  <Override PartName="/xl/charts/colors51.xml" ContentType="application/vnd.ms-office.chartcolorstyle+xml"/>
  <Override PartName="/xl/charts/chart73.xml" ContentType="application/vnd.openxmlformats-officedocument.drawingml.chart+xml"/>
  <Override PartName="/xl/charts/style52.xml" ContentType="application/vnd.ms-office.chartstyle+xml"/>
  <Override PartName="/xl/charts/colors52.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featurePropertyBag/featurePropertyBag.xml" ContentType="application/vnd.ms-excel.featurepropertybag+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7"/>
  <workbookPr codeName="ThisWorkbook" defaultThemeVersion="124226"/>
  <mc:AlternateContent xmlns:mc="http://schemas.openxmlformats.org/markup-compatibility/2006">
    <mc:Choice Requires="x15">
      <x15ac:absPath xmlns:x15ac="http://schemas.microsoft.com/office/spreadsheetml/2010/11/ac" url="C:\Users\jorge.restrepo\Downloads\"/>
    </mc:Choice>
  </mc:AlternateContent>
  <xr:revisionPtr revIDLastSave="0" documentId="13_ncr:1_{9CEE349C-8328-4FEE-B965-5A64E3F920B4}" xr6:coauthVersionLast="36" xr6:coauthVersionMax="36" xr10:uidLastSave="{00000000-0000-0000-0000-000000000000}"/>
  <bookViews>
    <workbookView xWindow="0" yWindow="0" windowWidth="28800" windowHeight="12105" tabRatio="840" xr2:uid="{A0199E23-6812-4FF6-B113-9628143DDDB5}"/>
  </bookViews>
  <sheets>
    <sheet name="1 GUÍA DE USO" sheetId="65" r:id="rId1"/>
    <sheet name="PGLOBAL" sheetId="3" state="hidden" r:id="rId2"/>
    <sheet name="Ficha técnica" sheetId="2" state="hidden" r:id="rId3"/>
    <sheet name="Clasificación" sheetId="63" state="hidden" r:id="rId4"/>
    <sheet name="2 PuntajeGlobal" sheetId="54" r:id="rId5"/>
    <sheet name="3 Promediosyniveles" sheetId="64" r:id="rId6"/>
    <sheet name="LC" sheetId="16" state="hidden" r:id="rId7"/>
    <sheet name="MATE" sheetId="23" state="hidden" r:id="rId8"/>
    <sheet name="SyC" sheetId="30" state="hidden" r:id="rId9"/>
    <sheet name="CN" sheetId="37" state="hidden" r:id="rId10"/>
    <sheet name="INGLES" sheetId="44" state="hidden" r:id="rId11"/>
    <sheet name="4 AprenLectura" sheetId="46" r:id="rId12"/>
    <sheet name="5 AprenMate" sheetId="47" r:id="rId13"/>
    <sheet name="6 AprenSyC" sheetId="48" r:id="rId14"/>
    <sheet name="7 AprenCNProVivos" sheetId="66" r:id="rId15"/>
    <sheet name="8 AprenCNProQuímicos" sheetId="51" r:id="rId16"/>
    <sheet name="9 AprenCNProFísicos" sheetId="52" r:id="rId17"/>
    <sheet name="10 AprenCNCTS" sheetId="53" r:id="rId18"/>
  </sheets>
  <definedNames>
    <definedName name="_xlnm._FilterDatabase" localSheetId="3" hidden="1">Clasificación!$A$5:$DJ$142</definedName>
    <definedName name="_xlnm._FilterDatabase" localSheetId="9" hidden="1">CN!$A$8:$LT$174</definedName>
    <definedName name="_xlnm._FilterDatabase" localSheetId="2" hidden="1">'Ficha técnica'!$A$8:$AU$172</definedName>
    <definedName name="_xlnm._FilterDatabase" localSheetId="10" hidden="1">INGLES!$A$9:$CO$173</definedName>
    <definedName name="_xlnm._FilterDatabase" localSheetId="6" hidden="1">LC!$A$9:$DA$174</definedName>
    <definedName name="_xlnm._FilterDatabase" localSheetId="7" hidden="1">MATE!$A$9:$EV$173</definedName>
    <definedName name="_xlnm._FilterDatabase" localSheetId="1" hidden="1">PGLOBAL!$A$9:$AK$174</definedName>
    <definedName name="_xlnm._FilterDatabase" localSheetId="8" hidden="1">SyC!$A$9:$EE$173</definedName>
    <definedName name="_xlnm.Print_Area" localSheetId="17">'10 AprenCNCTS'!$B$10:$G$78</definedName>
    <definedName name="_xlnm.Print_Area" localSheetId="5">'3 Promediosyniveles'!$C$7:$O$349</definedName>
    <definedName name="_xlnm.Print_Area" localSheetId="13">'6 AprenSyC'!$A$1:$I$110</definedName>
    <definedName name="_xlnm.Print_Area" localSheetId="14">'7 AprenCNProVivos'!$A$9:$K$99</definedName>
    <definedName name="_xlnm.Print_Area" localSheetId="15">'8 AprenCNProQuímicos'!$A$8:$K$98</definedName>
    <definedName name="_xlnm.Print_Area" localSheetId="16">'9 AprenCNProFísicos'!$B$9:$K$91</definedName>
  </definedNames>
  <calcPr calcId="191029"/>
</workbook>
</file>

<file path=xl/calcChain.xml><?xml version="1.0" encoding="utf-8"?>
<calcChain xmlns="http://schemas.openxmlformats.org/spreadsheetml/2006/main">
  <c r="J25" i="66" l="1"/>
  <c r="I25" i="66"/>
  <c r="H25" i="66"/>
  <c r="G25" i="66"/>
  <c r="F25" i="66"/>
  <c r="E25" i="66"/>
  <c r="D25" i="66"/>
  <c r="C25" i="66"/>
  <c r="J24" i="51"/>
  <c r="I24" i="51"/>
  <c r="H24" i="51"/>
  <c r="G24" i="51"/>
  <c r="F24" i="51"/>
  <c r="E24" i="51"/>
  <c r="D24" i="51"/>
  <c r="J25" i="52"/>
  <c r="I25" i="52"/>
  <c r="H25" i="52"/>
  <c r="G25" i="52"/>
  <c r="F25" i="52"/>
  <c r="E25" i="52"/>
  <c r="D25" i="52"/>
  <c r="C25" i="52"/>
  <c r="LK35" i="37"/>
  <c r="LK34" i="37"/>
  <c r="LK33" i="37"/>
  <c r="LK32" i="37"/>
  <c r="LK31" i="37"/>
  <c r="LK30" i="37"/>
  <c r="LK29" i="37"/>
  <c r="LK28" i="37"/>
  <c r="LK27" i="37"/>
  <c r="LK26" i="37"/>
  <c r="LK25" i="37"/>
  <c r="LK24" i="37"/>
  <c r="LK23" i="37"/>
  <c r="LK22" i="37"/>
  <c r="LK21" i="37"/>
  <c r="LK20" i="37"/>
  <c r="LK19" i="37"/>
  <c r="LK18" i="37"/>
  <c r="LO35" i="37" l="1"/>
  <c r="LN35" i="37"/>
  <c r="LM35" i="37"/>
  <c r="LJ35" i="37"/>
  <c r="LI35" i="37"/>
  <c r="LH35" i="37"/>
  <c r="LG35" i="37"/>
  <c r="LF35" i="37"/>
  <c r="LE35" i="37"/>
  <c r="LD35" i="37"/>
  <c r="LC35" i="37"/>
  <c r="LB35" i="37"/>
  <c r="LA35" i="37"/>
  <c r="KZ35" i="37"/>
  <c r="KY35" i="37"/>
  <c r="KX35" i="37"/>
  <c r="KW35" i="37"/>
  <c r="KV35" i="37"/>
  <c r="KU35" i="37"/>
  <c r="KT35" i="37"/>
  <c r="KS35" i="37"/>
  <c r="KR35" i="37"/>
  <c r="KQ35" i="37"/>
  <c r="KP35" i="37"/>
  <c r="KO35" i="37"/>
  <c r="KN35" i="37"/>
  <c r="KM35" i="37"/>
  <c r="KL35" i="37"/>
  <c r="KJ35" i="37"/>
  <c r="KH35" i="37"/>
  <c r="LO34" i="37"/>
  <c r="LN34" i="37"/>
  <c r="LM34" i="37"/>
  <c r="LJ34" i="37"/>
  <c r="LI34" i="37"/>
  <c r="LH34" i="37"/>
  <c r="LG34" i="37"/>
  <c r="LF34" i="37"/>
  <c r="LE34" i="37"/>
  <c r="LD34" i="37"/>
  <c r="LC34" i="37"/>
  <c r="LB34" i="37"/>
  <c r="LA34" i="37"/>
  <c r="KZ34" i="37"/>
  <c r="KY34" i="37"/>
  <c r="KX34" i="37"/>
  <c r="KW34" i="37"/>
  <c r="KV34" i="37"/>
  <c r="KU34" i="37"/>
  <c r="KT34" i="37"/>
  <c r="KS34" i="37"/>
  <c r="KR34" i="37"/>
  <c r="KQ34" i="37"/>
  <c r="KP34" i="37"/>
  <c r="KO34" i="37"/>
  <c r="KN34" i="37"/>
  <c r="KM34" i="37"/>
  <c r="KL34" i="37"/>
  <c r="KJ34" i="37"/>
  <c r="KH34" i="37"/>
  <c r="LO33" i="37"/>
  <c r="LN33" i="37"/>
  <c r="LM33" i="37"/>
  <c r="LJ33" i="37"/>
  <c r="LI33" i="37"/>
  <c r="LH33" i="37"/>
  <c r="LG33" i="37"/>
  <c r="LF33" i="37"/>
  <c r="LE33" i="37"/>
  <c r="LD33" i="37"/>
  <c r="LC33" i="37"/>
  <c r="LB33" i="37"/>
  <c r="LA33" i="37"/>
  <c r="KZ33" i="37"/>
  <c r="KY33" i="37"/>
  <c r="KX33" i="37"/>
  <c r="KW33" i="37"/>
  <c r="KV33" i="37"/>
  <c r="KU33" i="37"/>
  <c r="KT33" i="37"/>
  <c r="KS33" i="37"/>
  <c r="KR33" i="37"/>
  <c r="KQ33" i="37"/>
  <c r="KP33" i="37"/>
  <c r="KO33" i="37"/>
  <c r="KN33" i="37"/>
  <c r="KM33" i="37"/>
  <c r="KL33" i="37"/>
  <c r="KJ33" i="37"/>
  <c r="KH33" i="37"/>
  <c r="LO32" i="37"/>
  <c r="LN32" i="37"/>
  <c r="LM32" i="37"/>
  <c r="LJ32" i="37"/>
  <c r="LI32" i="37"/>
  <c r="LH32" i="37"/>
  <c r="LG32" i="37"/>
  <c r="LF32" i="37"/>
  <c r="LE32" i="37"/>
  <c r="LD32" i="37"/>
  <c r="LC32" i="37"/>
  <c r="LB32" i="37"/>
  <c r="LA32" i="37"/>
  <c r="KZ32" i="37"/>
  <c r="KY32" i="37"/>
  <c r="KX32" i="37"/>
  <c r="KW32" i="37"/>
  <c r="KV32" i="37"/>
  <c r="KU32" i="37"/>
  <c r="KT32" i="37"/>
  <c r="KS32" i="37"/>
  <c r="KR32" i="37"/>
  <c r="KQ32" i="37"/>
  <c r="KP32" i="37"/>
  <c r="KO32" i="37"/>
  <c r="KN32" i="37"/>
  <c r="KM32" i="37"/>
  <c r="KL32" i="37"/>
  <c r="KJ32" i="37"/>
  <c r="KH32" i="37"/>
  <c r="LO31" i="37"/>
  <c r="LN31" i="37"/>
  <c r="LM31" i="37"/>
  <c r="LJ31" i="37"/>
  <c r="LI31" i="37"/>
  <c r="LH31" i="37"/>
  <c r="LG31" i="37"/>
  <c r="LF31" i="37"/>
  <c r="LE31" i="37"/>
  <c r="LD31" i="37"/>
  <c r="LC31" i="37"/>
  <c r="LB31" i="37"/>
  <c r="LA31" i="37"/>
  <c r="KZ31" i="37"/>
  <c r="KY31" i="37"/>
  <c r="KX31" i="37"/>
  <c r="KW31" i="37"/>
  <c r="KV31" i="37"/>
  <c r="KU31" i="37"/>
  <c r="KT31" i="37"/>
  <c r="KS31" i="37"/>
  <c r="KR31" i="37"/>
  <c r="KQ31" i="37"/>
  <c r="KP31" i="37"/>
  <c r="KO31" i="37"/>
  <c r="KN31" i="37"/>
  <c r="KM31" i="37"/>
  <c r="KL31" i="37"/>
  <c r="KJ31" i="37"/>
  <c r="KH31" i="37"/>
  <c r="LO30" i="37"/>
  <c r="LN30" i="37"/>
  <c r="LM30" i="37"/>
  <c r="LJ30" i="37"/>
  <c r="LI30" i="37"/>
  <c r="LH30" i="37"/>
  <c r="LG30" i="37"/>
  <c r="LF30" i="37"/>
  <c r="LE30" i="37"/>
  <c r="LD30" i="37"/>
  <c r="LC30" i="37"/>
  <c r="LB30" i="37"/>
  <c r="LA30" i="37"/>
  <c r="KZ30" i="37"/>
  <c r="KY30" i="37"/>
  <c r="KX30" i="37"/>
  <c r="KW30" i="37"/>
  <c r="KV30" i="37"/>
  <c r="KU30" i="37"/>
  <c r="KT30" i="37"/>
  <c r="KS30" i="37"/>
  <c r="KR30" i="37"/>
  <c r="KQ30" i="37"/>
  <c r="KP30" i="37"/>
  <c r="KO30" i="37"/>
  <c r="KN30" i="37"/>
  <c r="KM30" i="37"/>
  <c r="KL30" i="37"/>
  <c r="KJ30" i="37"/>
  <c r="KH30" i="37"/>
  <c r="LO29" i="37"/>
  <c r="LN29" i="37"/>
  <c r="LM29" i="37"/>
  <c r="LJ29" i="37"/>
  <c r="LI29" i="37"/>
  <c r="LH29" i="37"/>
  <c r="LG29" i="37"/>
  <c r="LF29" i="37"/>
  <c r="LE29" i="37"/>
  <c r="LD29" i="37"/>
  <c r="LC29" i="37"/>
  <c r="LB29" i="37"/>
  <c r="LA29" i="37"/>
  <c r="KZ29" i="37"/>
  <c r="KY29" i="37"/>
  <c r="KX29" i="37"/>
  <c r="KW29" i="37"/>
  <c r="KV29" i="37"/>
  <c r="KU29" i="37"/>
  <c r="KT29" i="37"/>
  <c r="KS29" i="37"/>
  <c r="KR29" i="37"/>
  <c r="KQ29" i="37"/>
  <c r="KP29" i="37"/>
  <c r="KO29" i="37"/>
  <c r="KN29" i="37"/>
  <c r="KM29" i="37"/>
  <c r="KL29" i="37"/>
  <c r="KJ29" i="37"/>
  <c r="KH29" i="37"/>
  <c r="LO28" i="37"/>
  <c r="LN28" i="37"/>
  <c r="LM28" i="37"/>
  <c r="LJ28" i="37"/>
  <c r="LI28" i="37"/>
  <c r="LH28" i="37"/>
  <c r="LG28" i="37"/>
  <c r="LF28" i="37"/>
  <c r="LE28" i="37"/>
  <c r="LD28" i="37"/>
  <c r="LC28" i="37"/>
  <c r="LB28" i="37"/>
  <c r="LA28" i="37"/>
  <c r="KZ28" i="37"/>
  <c r="KY28" i="37"/>
  <c r="KX28" i="37"/>
  <c r="KW28" i="37"/>
  <c r="KV28" i="37"/>
  <c r="KU28" i="37"/>
  <c r="KT28" i="37"/>
  <c r="KS28" i="37"/>
  <c r="KR28" i="37"/>
  <c r="KQ28" i="37"/>
  <c r="KP28" i="37"/>
  <c r="KO28" i="37"/>
  <c r="KN28" i="37"/>
  <c r="KM28" i="37"/>
  <c r="KL28" i="37"/>
  <c r="KJ28" i="37"/>
  <c r="KH28" i="37"/>
  <c r="LO27" i="37"/>
  <c r="LN27" i="37"/>
  <c r="LM27" i="37"/>
  <c r="LJ27" i="37"/>
  <c r="LI27" i="37"/>
  <c r="LH27" i="37"/>
  <c r="LG27" i="37"/>
  <c r="LF27" i="37"/>
  <c r="LE27" i="37"/>
  <c r="LD27" i="37"/>
  <c r="LC27" i="37"/>
  <c r="LB27" i="37"/>
  <c r="LA27" i="37"/>
  <c r="KZ27" i="37"/>
  <c r="KY27" i="37"/>
  <c r="KX27" i="37"/>
  <c r="KW27" i="37"/>
  <c r="KV27" i="37"/>
  <c r="KU27" i="37"/>
  <c r="KT27" i="37"/>
  <c r="KS27" i="37"/>
  <c r="KR27" i="37"/>
  <c r="KQ27" i="37"/>
  <c r="KP27" i="37"/>
  <c r="KO27" i="37"/>
  <c r="KN27" i="37"/>
  <c r="KM27" i="37"/>
  <c r="KL27" i="37"/>
  <c r="KJ27" i="37"/>
  <c r="KH27" i="37"/>
  <c r="LO26" i="37"/>
  <c r="LN26" i="37"/>
  <c r="LM26" i="37"/>
  <c r="LJ26" i="37"/>
  <c r="LI26" i="37"/>
  <c r="LH26" i="37"/>
  <c r="LG26" i="37"/>
  <c r="LF26" i="37"/>
  <c r="LE26" i="37"/>
  <c r="LD26" i="37"/>
  <c r="LC26" i="37"/>
  <c r="LB26" i="37"/>
  <c r="LA26" i="37"/>
  <c r="KZ26" i="37"/>
  <c r="KY26" i="37"/>
  <c r="KX26" i="37"/>
  <c r="KW26" i="37"/>
  <c r="KV26" i="37"/>
  <c r="KU26" i="37"/>
  <c r="KT26" i="37"/>
  <c r="KS26" i="37"/>
  <c r="KR26" i="37"/>
  <c r="KQ26" i="37"/>
  <c r="KP26" i="37"/>
  <c r="KO26" i="37"/>
  <c r="KN26" i="37"/>
  <c r="KM26" i="37"/>
  <c r="KL26" i="37"/>
  <c r="KJ26" i="37"/>
  <c r="KH26" i="37"/>
  <c r="LO25" i="37"/>
  <c r="LN25" i="37"/>
  <c r="LM25" i="37"/>
  <c r="LJ25" i="37"/>
  <c r="LI25" i="37"/>
  <c r="LH25" i="37"/>
  <c r="LG25" i="37"/>
  <c r="LF25" i="37"/>
  <c r="LE25" i="37"/>
  <c r="LD25" i="37"/>
  <c r="LC25" i="37"/>
  <c r="LB25" i="37"/>
  <c r="LA25" i="37"/>
  <c r="KZ25" i="37"/>
  <c r="KY25" i="37"/>
  <c r="KX25" i="37"/>
  <c r="KW25" i="37"/>
  <c r="KV25" i="37"/>
  <c r="KU25" i="37"/>
  <c r="KT25" i="37"/>
  <c r="KS25" i="37"/>
  <c r="KR25" i="37"/>
  <c r="KQ25" i="37"/>
  <c r="KP25" i="37"/>
  <c r="KO25" i="37"/>
  <c r="KN25" i="37"/>
  <c r="KM25" i="37"/>
  <c r="KL25" i="37"/>
  <c r="KJ25" i="37"/>
  <c r="KH25" i="37"/>
  <c r="LO24" i="37"/>
  <c r="LN24" i="37"/>
  <c r="LM24" i="37"/>
  <c r="LJ24" i="37"/>
  <c r="LI24" i="37"/>
  <c r="LH24" i="37"/>
  <c r="LG24" i="37"/>
  <c r="LF24" i="37"/>
  <c r="LE24" i="37"/>
  <c r="LD24" i="37"/>
  <c r="LC24" i="37"/>
  <c r="LB24" i="37"/>
  <c r="LA24" i="37"/>
  <c r="KZ24" i="37"/>
  <c r="KY24" i="37"/>
  <c r="KX24" i="37"/>
  <c r="KW24" i="37"/>
  <c r="KV24" i="37"/>
  <c r="KU24" i="37"/>
  <c r="KT24" i="37"/>
  <c r="KS24" i="37"/>
  <c r="KR24" i="37"/>
  <c r="KQ24" i="37"/>
  <c r="KP24" i="37"/>
  <c r="KO24" i="37"/>
  <c r="KN24" i="37"/>
  <c r="KM24" i="37"/>
  <c r="KL24" i="37"/>
  <c r="KJ24" i="37"/>
  <c r="KH24" i="37"/>
  <c r="LO23" i="37"/>
  <c r="LN23" i="37"/>
  <c r="LM23" i="37"/>
  <c r="LJ23" i="37"/>
  <c r="LI23" i="37"/>
  <c r="LH23" i="37"/>
  <c r="LG23" i="37"/>
  <c r="LF23" i="37"/>
  <c r="LE23" i="37"/>
  <c r="LD23" i="37"/>
  <c r="LC23" i="37"/>
  <c r="LB23" i="37"/>
  <c r="LA23" i="37"/>
  <c r="KZ23" i="37"/>
  <c r="KY23" i="37"/>
  <c r="KX23" i="37"/>
  <c r="KW23" i="37"/>
  <c r="KV23" i="37"/>
  <c r="KU23" i="37"/>
  <c r="KT23" i="37"/>
  <c r="KS23" i="37"/>
  <c r="KR23" i="37"/>
  <c r="KQ23" i="37"/>
  <c r="KP23" i="37"/>
  <c r="KO23" i="37"/>
  <c r="KN23" i="37"/>
  <c r="KM23" i="37"/>
  <c r="KL23" i="37"/>
  <c r="KJ23" i="37"/>
  <c r="KH23" i="37"/>
  <c r="LO22" i="37"/>
  <c r="LN22" i="37"/>
  <c r="LM22" i="37"/>
  <c r="LJ22" i="37"/>
  <c r="LI22" i="37"/>
  <c r="LH22" i="37"/>
  <c r="LG22" i="37"/>
  <c r="LF22" i="37"/>
  <c r="LE22" i="37"/>
  <c r="LD22" i="37"/>
  <c r="LC22" i="37"/>
  <c r="LB22" i="37"/>
  <c r="LA22" i="37"/>
  <c r="KZ22" i="37"/>
  <c r="KY22" i="37"/>
  <c r="KX22" i="37"/>
  <c r="KW22" i="37"/>
  <c r="KV22" i="37"/>
  <c r="KU22" i="37"/>
  <c r="KT22" i="37"/>
  <c r="KS22" i="37"/>
  <c r="KR22" i="37"/>
  <c r="KQ22" i="37"/>
  <c r="KP22" i="37"/>
  <c r="KO22" i="37"/>
  <c r="KN22" i="37"/>
  <c r="KM22" i="37"/>
  <c r="KL22" i="37"/>
  <c r="KJ22" i="37"/>
  <c r="KH22" i="37"/>
  <c r="LO21" i="37"/>
  <c r="LN21" i="37"/>
  <c r="LM21" i="37"/>
  <c r="LJ21" i="37"/>
  <c r="LI21" i="37"/>
  <c r="LH21" i="37"/>
  <c r="LG21" i="37"/>
  <c r="LF21" i="37"/>
  <c r="LE21" i="37"/>
  <c r="LD21" i="37"/>
  <c r="LC21" i="37"/>
  <c r="LB21" i="37"/>
  <c r="LA21" i="37"/>
  <c r="KZ21" i="37"/>
  <c r="KY21" i="37"/>
  <c r="KX21" i="37"/>
  <c r="KW21" i="37"/>
  <c r="KV21" i="37"/>
  <c r="KU21" i="37"/>
  <c r="KT21" i="37"/>
  <c r="KS21" i="37"/>
  <c r="KR21" i="37"/>
  <c r="KQ21" i="37"/>
  <c r="KP21" i="37"/>
  <c r="KO21" i="37"/>
  <c r="KN21" i="37"/>
  <c r="KM21" i="37"/>
  <c r="KL21" i="37"/>
  <c r="KJ21" i="37"/>
  <c r="KH21" i="37"/>
  <c r="LO20" i="37"/>
  <c r="LN20" i="37"/>
  <c r="LM20" i="37"/>
  <c r="LJ20" i="37"/>
  <c r="LI20" i="37"/>
  <c r="LH20" i="37"/>
  <c r="LG20" i="37"/>
  <c r="LF20" i="37"/>
  <c r="LE20" i="37"/>
  <c r="LD20" i="37"/>
  <c r="LC20" i="37"/>
  <c r="LB20" i="37"/>
  <c r="LA20" i="37"/>
  <c r="KZ20" i="37"/>
  <c r="KY20" i="37"/>
  <c r="KX20" i="37"/>
  <c r="KW20" i="37"/>
  <c r="KV20" i="37"/>
  <c r="KU20" i="37"/>
  <c r="KT20" i="37"/>
  <c r="KS20" i="37"/>
  <c r="KR20" i="37"/>
  <c r="KQ20" i="37"/>
  <c r="KP20" i="37"/>
  <c r="KO20" i="37"/>
  <c r="KN20" i="37"/>
  <c r="KM20" i="37"/>
  <c r="KL20" i="37"/>
  <c r="KJ20" i="37"/>
  <c r="KH20" i="37"/>
  <c r="LO19" i="37"/>
  <c r="LN19" i="37"/>
  <c r="LM19" i="37"/>
  <c r="LJ19" i="37"/>
  <c r="LI19" i="37"/>
  <c r="LH19" i="37"/>
  <c r="LG19" i="37"/>
  <c r="LF19" i="37"/>
  <c r="LE19" i="37"/>
  <c r="LD19" i="37"/>
  <c r="LC19" i="37"/>
  <c r="LB19" i="37"/>
  <c r="LA19" i="37"/>
  <c r="KZ19" i="37"/>
  <c r="KY19" i="37"/>
  <c r="KX19" i="37"/>
  <c r="KW19" i="37"/>
  <c r="KV19" i="37"/>
  <c r="KU19" i="37"/>
  <c r="KT19" i="37"/>
  <c r="KS19" i="37"/>
  <c r="KR19" i="37"/>
  <c r="KQ19" i="37"/>
  <c r="KP19" i="37"/>
  <c r="KO19" i="37"/>
  <c r="KN19" i="37"/>
  <c r="KM19" i="37"/>
  <c r="KL19" i="37"/>
  <c r="KJ19" i="37"/>
  <c r="KH19" i="37"/>
  <c r="LO18" i="37"/>
  <c r="LN18" i="37"/>
  <c r="LM18" i="37"/>
  <c r="LJ18" i="37"/>
  <c r="LI18" i="37"/>
  <c r="LH18" i="37"/>
  <c r="LG18" i="37"/>
  <c r="LF18" i="37"/>
  <c r="LE18" i="37"/>
  <c r="LD18" i="37"/>
  <c r="LC18" i="37"/>
  <c r="LB18" i="37"/>
  <c r="LA18" i="37"/>
  <c r="KZ18" i="37"/>
  <c r="KY18" i="37"/>
  <c r="KX18" i="37"/>
  <c r="KW18" i="37"/>
  <c r="KV18" i="37"/>
  <c r="KU18" i="37"/>
  <c r="KT18" i="37"/>
  <c r="KS18" i="37"/>
  <c r="KR18" i="37"/>
  <c r="KQ18" i="37"/>
  <c r="KP18" i="37"/>
  <c r="KO18" i="37"/>
  <c r="KN18" i="37"/>
  <c r="KM18" i="37"/>
  <c r="KL18" i="37"/>
  <c r="KJ18" i="37"/>
  <c r="KH18" i="37"/>
  <c r="AO38" i="3" l="1"/>
  <c r="AO40" i="3"/>
  <c r="AO41" i="3"/>
  <c r="AO42" i="3"/>
  <c r="AO43" i="3"/>
  <c r="AO44" i="3"/>
  <c r="AO45" i="3"/>
  <c r="AO46" i="3"/>
  <c r="AO48" i="3"/>
  <c r="AO49" i="3"/>
  <c r="AO50" i="3"/>
  <c r="AO51" i="3"/>
  <c r="AO52" i="3"/>
  <c r="AO53" i="3"/>
  <c r="AO54" i="3"/>
  <c r="AO55" i="3"/>
  <c r="AO56" i="3"/>
  <c r="AO57" i="3"/>
  <c r="AO58" i="3"/>
  <c r="AO60" i="3"/>
  <c r="AO61" i="3"/>
  <c r="AO62" i="3"/>
  <c r="AO63" i="3"/>
  <c r="AO64" i="3"/>
  <c r="AO65" i="3"/>
  <c r="AO66" i="3"/>
  <c r="AO67" i="3"/>
  <c r="AO68" i="3"/>
  <c r="AO69" i="3"/>
  <c r="AO70" i="3"/>
  <c r="AO71" i="3"/>
  <c r="AO72" i="3"/>
  <c r="AO73" i="3"/>
  <c r="AO74" i="3"/>
  <c r="AO75" i="3"/>
  <c r="AO76" i="3"/>
  <c r="AO77" i="3"/>
  <c r="AO78" i="3"/>
  <c r="AO79" i="3"/>
  <c r="AO80" i="3"/>
  <c r="AO81" i="3"/>
  <c r="AO82" i="3"/>
  <c r="AO83" i="3"/>
  <c r="AO87" i="3"/>
  <c r="AO88" i="3"/>
  <c r="AO89" i="3"/>
  <c r="AO91" i="3"/>
  <c r="AO94" i="3"/>
  <c r="AO95" i="3"/>
  <c r="AO96" i="3"/>
  <c r="AO97" i="3"/>
  <c r="AO98" i="3"/>
  <c r="AO99" i="3"/>
  <c r="AO101" i="3"/>
  <c r="AO102" i="3"/>
  <c r="AO103" i="3"/>
  <c r="AO104" i="3"/>
  <c r="AO105" i="3"/>
  <c r="AO106" i="3"/>
  <c r="AO107" i="3"/>
  <c r="AO108" i="3"/>
  <c r="AO109" i="3"/>
  <c r="AO110" i="3"/>
  <c r="AO112" i="3"/>
  <c r="AO113" i="3"/>
  <c r="AO114" i="3"/>
  <c r="AO115" i="3"/>
  <c r="AO116" i="3"/>
  <c r="AO117" i="3"/>
  <c r="AO118" i="3"/>
  <c r="AO119" i="3"/>
  <c r="AO120" i="3"/>
  <c r="AO121" i="3"/>
  <c r="AO122" i="3"/>
  <c r="AO123" i="3"/>
  <c r="AO124" i="3"/>
  <c r="AO125" i="3"/>
  <c r="AO126" i="3"/>
  <c r="AO127" i="3"/>
  <c r="AO128" i="3"/>
  <c r="AO130" i="3"/>
  <c r="AO131" i="3"/>
  <c r="AO132" i="3"/>
  <c r="AO133" i="3"/>
  <c r="AO135" i="3"/>
  <c r="AO137" i="3"/>
  <c r="AO138" i="3"/>
  <c r="AO139" i="3"/>
  <c r="AO142" i="3"/>
  <c r="AO143" i="3"/>
  <c r="AO144" i="3"/>
  <c r="AO145" i="3"/>
  <c r="AO146" i="3"/>
  <c r="AO147" i="3"/>
  <c r="AO148" i="3"/>
  <c r="AO149" i="3"/>
  <c r="AO150" i="3"/>
  <c r="AO152" i="3"/>
  <c r="AO153" i="3"/>
  <c r="AO154" i="3"/>
  <c r="AO155" i="3"/>
  <c r="AO156" i="3"/>
  <c r="AO158" i="3"/>
  <c r="AO159" i="3"/>
  <c r="AO160" i="3"/>
  <c r="AO161" i="3"/>
  <c r="AO162" i="3"/>
  <c r="AO163" i="3"/>
  <c r="AO164" i="3"/>
  <c r="AO165" i="3"/>
  <c r="AO166" i="3"/>
  <c r="AO167" i="3"/>
  <c r="AO168" i="3"/>
  <c r="AO169" i="3"/>
  <c r="AO170" i="3"/>
  <c r="AO171" i="3"/>
  <c r="AO172" i="3"/>
  <c r="AO173" i="3"/>
  <c r="AO37" i="3"/>
  <c r="AO184" i="3" l="1"/>
  <c r="AO183" i="3"/>
  <c r="AO182" i="3"/>
  <c r="AO181" i="3"/>
  <c r="AO180" i="3"/>
  <c r="AO179" i="3"/>
  <c r="E26" i="53" l="1"/>
  <c r="D26" i="53"/>
  <c r="C24" i="51"/>
  <c r="I24" i="48"/>
  <c r="H24" i="48"/>
  <c r="G24" i="48"/>
  <c r="F24" i="48"/>
  <c r="E24" i="48"/>
  <c r="D24" i="48"/>
  <c r="L24" i="47"/>
  <c r="K24" i="47"/>
  <c r="J24" i="47"/>
  <c r="K24" i="46"/>
  <c r="J24" i="46"/>
  <c r="I24" i="46"/>
  <c r="O314" i="64"/>
  <c r="N314" i="64"/>
  <c r="M314" i="64"/>
  <c r="L314" i="64"/>
  <c r="K314" i="64"/>
  <c r="P314" i="64" s="1"/>
  <c r="O313" i="64"/>
  <c r="N313" i="64"/>
  <c r="M313" i="64"/>
  <c r="L313" i="64"/>
  <c r="K313" i="64"/>
  <c r="P313" i="64"/>
  <c r="O312" i="64"/>
  <c r="N312" i="64"/>
  <c r="M312" i="64"/>
  <c r="L312" i="64"/>
  <c r="K312" i="64"/>
  <c r="J312" i="64"/>
  <c r="P312" i="64"/>
  <c r="J313" i="64"/>
  <c r="J314" i="64"/>
  <c r="F293" i="64"/>
  <c r="D293" i="64"/>
  <c r="C293" i="64"/>
  <c r="K251" i="64"/>
  <c r="L251" i="64"/>
  <c r="M251" i="64"/>
  <c r="N251" i="64"/>
  <c r="K252" i="64"/>
  <c r="L252" i="64"/>
  <c r="M252" i="64"/>
  <c r="N252" i="64"/>
  <c r="N250" i="64"/>
  <c r="M250" i="64"/>
  <c r="L250" i="64"/>
  <c r="K250" i="64"/>
  <c r="J250" i="64"/>
  <c r="J251" i="64"/>
  <c r="J252" i="64"/>
  <c r="F231" i="64"/>
  <c r="D231" i="64"/>
  <c r="C231" i="64"/>
  <c r="F230" i="64"/>
  <c r="D230" i="64"/>
  <c r="C230" i="64"/>
  <c r="M185" i="64"/>
  <c r="N185" i="64"/>
  <c r="N186" i="64"/>
  <c r="M186" i="64"/>
  <c r="N187" i="64"/>
  <c r="M187" i="64"/>
  <c r="L187" i="64"/>
  <c r="K187" i="64"/>
  <c r="L186" i="64"/>
  <c r="O186" i="64" s="1"/>
  <c r="K186" i="64"/>
  <c r="L185" i="64"/>
  <c r="K185" i="64"/>
  <c r="O185" i="64"/>
  <c r="J185" i="64"/>
  <c r="J186" i="64"/>
  <c r="J187" i="64"/>
  <c r="F165" i="64"/>
  <c r="D165" i="64"/>
  <c r="C165" i="64"/>
  <c r="F164" i="64"/>
  <c r="D164" i="64"/>
  <c r="C164" i="64"/>
  <c r="L106" i="64"/>
  <c r="M106" i="64"/>
  <c r="N106" i="64"/>
  <c r="L107" i="64"/>
  <c r="M107" i="64"/>
  <c r="N107" i="64"/>
  <c r="N105" i="64"/>
  <c r="M105" i="64"/>
  <c r="L105" i="64"/>
  <c r="K106" i="64"/>
  <c r="K107" i="64"/>
  <c r="K105" i="64"/>
  <c r="F85" i="64"/>
  <c r="D85" i="64"/>
  <c r="C85" i="64"/>
  <c r="O250" i="64" l="1"/>
  <c r="O252" i="64"/>
  <c r="O251" i="64"/>
  <c r="O187" i="64"/>
  <c r="M44" i="64"/>
  <c r="M43" i="64"/>
  <c r="M42" i="64"/>
  <c r="N44" i="64"/>
  <c r="N43" i="64"/>
  <c r="L44" i="64"/>
  <c r="L43" i="64"/>
  <c r="N42" i="64"/>
  <c r="L42" i="64"/>
  <c r="K44" i="64"/>
  <c r="O44" i="64" s="1"/>
  <c r="K43" i="64"/>
  <c r="O43" i="64" s="1"/>
  <c r="K42" i="64"/>
  <c r="J42" i="64"/>
  <c r="J43" i="64"/>
  <c r="J44" i="64"/>
  <c r="F23" i="64"/>
  <c r="D23" i="64"/>
  <c r="C23" i="64"/>
  <c r="J105" i="64"/>
  <c r="J106" i="64"/>
  <c r="J107" i="64"/>
  <c r="CE35" i="44"/>
  <c r="CD35" i="44"/>
  <c r="CC35" i="44"/>
  <c r="CB35" i="44"/>
  <c r="CA35" i="44"/>
  <c r="BY35" i="44"/>
  <c r="BW35" i="44"/>
  <c r="CE34" i="44"/>
  <c r="CD34" i="44"/>
  <c r="CC34" i="44"/>
  <c r="CB34" i="44"/>
  <c r="CA34" i="44"/>
  <c r="BY34" i="44"/>
  <c r="BW34" i="44"/>
  <c r="CE33" i="44"/>
  <c r="CD33" i="44"/>
  <c r="CC33" i="44"/>
  <c r="CB33" i="44"/>
  <c r="CA33" i="44"/>
  <c r="BY33" i="44"/>
  <c r="BW33" i="44"/>
  <c r="CE32" i="44"/>
  <c r="CD32" i="44"/>
  <c r="CC32" i="44"/>
  <c r="CB32" i="44"/>
  <c r="CA32" i="44"/>
  <c r="BY32" i="44"/>
  <c r="BW32" i="44"/>
  <c r="CE31" i="44"/>
  <c r="CD31" i="44"/>
  <c r="CC31" i="44"/>
  <c r="CB31" i="44"/>
  <c r="CA31" i="44"/>
  <c r="BY31" i="44"/>
  <c r="BW31" i="44"/>
  <c r="CE30" i="44"/>
  <c r="CD30" i="44"/>
  <c r="CC30" i="44"/>
  <c r="CB30" i="44"/>
  <c r="CA30" i="44"/>
  <c r="BY30" i="44"/>
  <c r="BW30" i="44"/>
  <c r="CE29" i="44"/>
  <c r="CD29" i="44"/>
  <c r="CC29" i="44"/>
  <c r="CB29" i="44"/>
  <c r="CA29" i="44"/>
  <c r="BY29" i="44"/>
  <c r="BW29" i="44"/>
  <c r="CE28" i="44"/>
  <c r="CD28" i="44"/>
  <c r="CC28" i="44"/>
  <c r="CB28" i="44"/>
  <c r="CA28" i="44"/>
  <c r="BY28" i="44"/>
  <c r="BW28" i="44"/>
  <c r="CE27" i="44"/>
  <c r="CD27" i="44"/>
  <c r="CC27" i="44"/>
  <c r="CB27" i="44"/>
  <c r="CA27" i="44"/>
  <c r="BY27" i="44"/>
  <c r="BW27" i="44"/>
  <c r="CE26" i="44"/>
  <c r="CD26" i="44"/>
  <c r="CC26" i="44"/>
  <c r="CB26" i="44"/>
  <c r="CA26" i="44"/>
  <c r="BY26" i="44"/>
  <c r="BW26" i="44"/>
  <c r="CE25" i="44"/>
  <c r="CD25" i="44"/>
  <c r="CC25" i="44"/>
  <c r="CB25" i="44"/>
  <c r="CA25" i="44"/>
  <c r="BY25" i="44"/>
  <c r="BW25" i="44"/>
  <c r="CE24" i="44"/>
  <c r="CD24" i="44"/>
  <c r="CC24" i="44"/>
  <c r="CB24" i="44"/>
  <c r="CA24" i="44"/>
  <c r="BY24" i="44"/>
  <c r="BW24" i="44"/>
  <c r="CE23" i="44"/>
  <c r="CD23" i="44"/>
  <c r="CC23" i="44"/>
  <c r="CB23" i="44"/>
  <c r="CA23" i="44"/>
  <c r="BY23" i="44"/>
  <c r="BW23" i="44"/>
  <c r="CE22" i="44"/>
  <c r="CD22" i="44"/>
  <c r="CC22" i="44"/>
  <c r="CB22" i="44"/>
  <c r="CA22" i="44"/>
  <c r="BY22" i="44"/>
  <c r="BW22" i="44"/>
  <c r="CE21" i="44"/>
  <c r="CD21" i="44"/>
  <c r="CC21" i="44"/>
  <c r="CB21" i="44"/>
  <c r="CA21" i="44"/>
  <c r="BY21" i="44"/>
  <c r="BW21" i="44"/>
  <c r="CE20" i="44"/>
  <c r="CD20" i="44"/>
  <c r="CC20" i="44"/>
  <c r="CB20" i="44"/>
  <c r="CA20" i="44"/>
  <c r="BY20" i="44"/>
  <c r="BW20" i="44"/>
  <c r="CE19" i="44"/>
  <c r="CD19" i="44"/>
  <c r="CC19" i="44"/>
  <c r="CB19" i="44"/>
  <c r="CA19" i="44"/>
  <c r="BY19" i="44"/>
  <c r="BW19" i="44"/>
  <c r="CE18" i="44"/>
  <c r="CD18" i="44"/>
  <c r="CC18" i="44"/>
  <c r="CB18" i="44"/>
  <c r="CA18" i="44"/>
  <c r="BY18" i="44"/>
  <c r="BW18" i="44"/>
  <c r="O42" i="64" l="1"/>
  <c r="O105" i="64"/>
  <c r="O106" i="64"/>
  <c r="O107" i="64"/>
  <c r="EC35" i="30" l="1"/>
  <c r="EB35" i="30"/>
  <c r="EA35" i="30"/>
  <c r="DZ35" i="30"/>
  <c r="DY35" i="30"/>
  <c r="DX35" i="30"/>
  <c r="DW35" i="30"/>
  <c r="DV35" i="30"/>
  <c r="DU35" i="30"/>
  <c r="DT35" i="30"/>
  <c r="DR35" i="30"/>
  <c r="DP35" i="30"/>
  <c r="EC34" i="30"/>
  <c r="EB34" i="30"/>
  <c r="EA34" i="30"/>
  <c r="DZ34" i="30"/>
  <c r="DY34" i="30"/>
  <c r="DX34" i="30"/>
  <c r="DW34" i="30"/>
  <c r="DV34" i="30"/>
  <c r="DU34" i="30"/>
  <c r="DT34" i="30"/>
  <c r="DR34" i="30"/>
  <c r="DP34" i="30"/>
  <c r="EC33" i="30"/>
  <c r="EB33" i="30"/>
  <c r="EA33" i="30"/>
  <c r="DZ33" i="30"/>
  <c r="DY33" i="30"/>
  <c r="DX33" i="30"/>
  <c r="DW33" i="30"/>
  <c r="DV33" i="30"/>
  <c r="DU33" i="30"/>
  <c r="DT33" i="30"/>
  <c r="DR33" i="30"/>
  <c r="DP33" i="30"/>
  <c r="EC32" i="30"/>
  <c r="EB32" i="30"/>
  <c r="EA32" i="30"/>
  <c r="DZ32" i="30"/>
  <c r="DY32" i="30"/>
  <c r="DX32" i="30"/>
  <c r="DW32" i="30"/>
  <c r="DV32" i="30"/>
  <c r="DU32" i="30"/>
  <c r="DT32" i="30"/>
  <c r="DR32" i="30"/>
  <c r="DP32" i="30"/>
  <c r="EC31" i="30"/>
  <c r="EB31" i="30"/>
  <c r="EA31" i="30"/>
  <c r="DZ31" i="30"/>
  <c r="DY31" i="30"/>
  <c r="DX31" i="30"/>
  <c r="DW31" i="30"/>
  <c r="DV31" i="30"/>
  <c r="DU31" i="30"/>
  <c r="DT31" i="30"/>
  <c r="DR31" i="30"/>
  <c r="DP31" i="30"/>
  <c r="EC30" i="30"/>
  <c r="EB30" i="30"/>
  <c r="EA30" i="30"/>
  <c r="DZ30" i="30"/>
  <c r="DY30" i="30"/>
  <c r="DX30" i="30"/>
  <c r="DW30" i="30"/>
  <c r="DV30" i="30"/>
  <c r="DU30" i="30"/>
  <c r="DT30" i="30"/>
  <c r="DR30" i="30"/>
  <c r="DP30" i="30"/>
  <c r="EC29" i="30"/>
  <c r="EB29" i="30"/>
  <c r="EA29" i="30"/>
  <c r="DZ29" i="30"/>
  <c r="DY29" i="30"/>
  <c r="DX29" i="30"/>
  <c r="DW29" i="30"/>
  <c r="DV29" i="30"/>
  <c r="DU29" i="30"/>
  <c r="DT29" i="30"/>
  <c r="DR29" i="30"/>
  <c r="DP29" i="30"/>
  <c r="EC28" i="30"/>
  <c r="EB28" i="30"/>
  <c r="EA28" i="30"/>
  <c r="DZ28" i="30"/>
  <c r="DY28" i="30"/>
  <c r="DX28" i="30"/>
  <c r="DW28" i="30"/>
  <c r="DV28" i="30"/>
  <c r="DU28" i="30"/>
  <c r="DT28" i="30"/>
  <c r="DR28" i="30"/>
  <c r="DP28" i="30"/>
  <c r="EC27" i="30"/>
  <c r="EB27" i="30"/>
  <c r="EA27" i="30"/>
  <c r="DZ27" i="30"/>
  <c r="DY27" i="30"/>
  <c r="DX27" i="30"/>
  <c r="DW27" i="30"/>
  <c r="DV27" i="30"/>
  <c r="DU27" i="30"/>
  <c r="DT27" i="30"/>
  <c r="DR27" i="30"/>
  <c r="DP27" i="30"/>
  <c r="EC26" i="30"/>
  <c r="EB26" i="30"/>
  <c r="EA26" i="30"/>
  <c r="DZ26" i="30"/>
  <c r="DY26" i="30"/>
  <c r="DX26" i="30"/>
  <c r="DW26" i="30"/>
  <c r="DV26" i="30"/>
  <c r="DU26" i="30"/>
  <c r="DT26" i="30"/>
  <c r="DR26" i="30"/>
  <c r="DP26" i="30"/>
  <c r="EC25" i="30"/>
  <c r="EB25" i="30"/>
  <c r="EA25" i="30"/>
  <c r="DZ25" i="30"/>
  <c r="DY25" i="30"/>
  <c r="DX25" i="30"/>
  <c r="DW25" i="30"/>
  <c r="DV25" i="30"/>
  <c r="DU25" i="30"/>
  <c r="DT25" i="30"/>
  <c r="DR25" i="30"/>
  <c r="DP25" i="30"/>
  <c r="EC24" i="30"/>
  <c r="EB24" i="30"/>
  <c r="EA24" i="30"/>
  <c r="DZ24" i="30"/>
  <c r="DY24" i="30"/>
  <c r="DX24" i="30"/>
  <c r="DW24" i="30"/>
  <c r="DV24" i="30"/>
  <c r="DU24" i="30"/>
  <c r="DT24" i="30"/>
  <c r="DR24" i="30"/>
  <c r="DP24" i="30"/>
  <c r="EC23" i="30"/>
  <c r="EB23" i="30"/>
  <c r="EA23" i="30"/>
  <c r="DZ23" i="30"/>
  <c r="DY23" i="30"/>
  <c r="DX23" i="30"/>
  <c r="DW23" i="30"/>
  <c r="DV23" i="30"/>
  <c r="DU23" i="30"/>
  <c r="DT23" i="30"/>
  <c r="DR23" i="30"/>
  <c r="DP23" i="30"/>
  <c r="EC22" i="30"/>
  <c r="EB22" i="30"/>
  <c r="EA22" i="30"/>
  <c r="DZ22" i="30"/>
  <c r="DY22" i="30"/>
  <c r="DX22" i="30"/>
  <c r="DW22" i="30"/>
  <c r="DV22" i="30"/>
  <c r="DU22" i="30"/>
  <c r="DT22" i="30"/>
  <c r="DR22" i="30"/>
  <c r="DP22" i="30"/>
  <c r="EC21" i="30"/>
  <c r="EB21" i="30"/>
  <c r="EA21" i="30"/>
  <c r="DZ21" i="30"/>
  <c r="DY21" i="30"/>
  <c r="DX21" i="30"/>
  <c r="DW21" i="30"/>
  <c r="DV21" i="30"/>
  <c r="DU21" i="30"/>
  <c r="DT21" i="30"/>
  <c r="DR21" i="30"/>
  <c r="DP21" i="30"/>
  <c r="EC20" i="30"/>
  <c r="EB20" i="30"/>
  <c r="EA20" i="30"/>
  <c r="DZ20" i="30"/>
  <c r="DY20" i="30"/>
  <c r="DX20" i="30"/>
  <c r="DW20" i="30"/>
  <c r="DV20" i="30"/>
  <c r="DU20" i="30"/>
  <c r="DT20" i="30"/>
  <c r="DR20" i="30"/>
  <c r="DP20" i="30"/>
  <c r="EC19" i="30"/>
  <c r="EB19" i="30"/>
  <c r="EA19" i="30"/>
  <c r="DZ19" i="30"/>
  <c r="DY19" i="30"/>
  <c r="DX19" i="30"/>
  <c r="DW19" i="30"/>
  <c r="DV19" i="30"/>
  <c r="DU19" i="30"/>
  <c r="DT19" i="30"/>
  <c r="DR19" i="30"/>
  <c r="DP19" i="30"/>
  <c r="EC18" i="30"/>
  <c r="EB18" i="30"/>
  <c r="EA18" i="30"/>
  <c r="DZ18" i="30"/>
  <c r="DY18" i="30"/>
  <c r="DX18" i="30"/>
  <c r="DW18" i="30"/>
  <c r="DV18" i="30"/>
  <c r="DU18" i="30"/>
  <c r="DT18" i="30"/>
  <c r="DR18" i="30"/>
  <c r="DP18" i="30"/>
  <c r="DE35" i="23"/>
  <c r="DD35" i="23"/>
  <c r="DC35" i="23"/>
  <c r="DB35" i="23"/>
  <c r="DA35" i="23"/>
  <c r="CZ35" i="23"/>
  <c r="CY35" i="23"/>
  <c r="CW35" i="23"/>
  <c r="CU35" i="23"/>
  <c r="DE34" i="23"/>
  <c r="DD34" i="23"/>
  <c r="DC34" i="23"/>
  <c r="DB34" i="23"/>
  <c r="DA34" i="23"/>
  <c r="CZ34" i="23"/>
  <c r="CY34" i="23"/>
  <c r="CW34" i="23"/>
  <c r="CU34" i="23"/>
  <c r="DE33" i="23"/>
  <c r="DD33" i="23"/>
  <c r="DC33" i="23"/>
  <c r="DB33" i="23"/>
  <c r="DA33" i="23"/>
  <c r="CZ33" i="23"/>
  <c r="CY33" i="23"/>
  <c r="CW33" i="23"/>
  <c r="CU33" i="23"/>
  <c r="DE32" i="23"/>
  <c r="DD32" i="23"/>
  <c r="DC32" i="23"/>
  <c r="DB32" i="23"/>
  <c r="DA32" i="23"/>
  <c r="CZ32" i="23"/>
  <c r="CY32" i="23"/>
  <c r="CW32" i="23"/>
  <c r="CU32" i="23"/>
  <c r="DE31" i="23"/>
  <c r="DD31" i="23"/>
  <c r="DC31" i="23"/>
  <c r="DB31" i="23"/>
  <c r="DA31" i="23"/>
  <c r="CZ31" i="23"/>
  <c r="CY31" i="23"/>
  <c r="CW31" i="23"/>
  <c r="CU31" i="23"/>
  <c r="DE30" i="23"/>
  <c r="DD30" i="23"/>
  <c r="DC30" i="23"/>
  <c r="DB30" i="23"/>
  <c r="DA30" i="23"/>
  <c r="CZ30" i="23"/>
  <c r="CY30" i="23"/>
  <c r="CW30" i="23"/>
  <c r="CU30" i="23"/>
  <c r="DE29" i="23"/>
  <c r="DD29" i="23"/>
  <c r="DC29" i="23"/>
  <c r="DB29" i="23"/>
  <c r="DA29" i="23"/>
  <c r="CZ29" i="23"/>
  <c r="CY29" i="23"/>
  <c r="CW29" i="23"/>
  <c r="CU29" i="23"/>
  <c r="DE28" i="23"/>
  <c r="DD28" i="23"/>
  <c r="DC28" i="23"/>
  <c r="DB28" i="23"/>
  <c r="DA28" i="23"/>
  <c r="CZ28" i="23"/>
  <c r="CY28" i="23"/>
  <c r="CW28" i="23"/>
  <c r="CU28" i="23"/>
  <c r="DE27" i="23"/>
  <c r="DD27" i="23"/>
  <c r="DC27" i="23"/>
  <c r="DB27" i="23"/>
  <c r="DA27" i="23"/>
  <c r="CZ27" i="23"/>
  <c r="CY27" i="23"/>
  <c r="CW27" i="23"/>
  <c r="CU27" i="23"/>
  <c r="DE26" i="23"/>
  <c r="DD26" i="23"/>
  <c r="DC26" i="23"/>
  <c r="DB26" i="23"/>
  <c r="DA26" i="23"/>
  <c r="CZ26" i="23"/>
  <c r="CY26" i="23"/>
  <c r="CW26" i="23"/>
  <c r="CU26" i="23"/>
  <c r="DE25" i="23"/>
  <c r="DD25" i="23"/>
  <c r="DC25" i="23"/>
  <c r="DB25" i="23"/>
  <c r="DA25" i="23"/>
  <c r="CZ25" i="23"/>
  <c r="CY25" i="23"/>
  <c r="CW25" i="23"/>
  <c r="CU25" i="23"/>
  <c r="DE24" i="23"/>
  <c r="DD24" i="23"/>
  <c r="DC24" i="23"/>
  <c r="DB24" i="23"/>
  <c r="DA24" i="23"/>
  <c r="CZ24" i="23"/>
  <c r="CY24" i="23"/>
  <c r="CW24" i="23"/>
  <c r="CU24" i="23"/>
  <c r="DE23" i="23"/>
  <c r="DD23" i="23"/>
  <c r="DC23" i="23"/>
  <c r="DB23" i="23"/>
  <c r="DA23" i="23"/>
  <c r="CZ23" i="23"/>
  <c r="CY23" i="23"/>
  <c r="CW23" i="23"/>
  <c r="CU23" i="23"/>
  <c r="DE22" i="23"/>
  <c r="DD22" i="23"/>
  <c r="DC22" i="23"/>
  <c r="DB22" i="23"/>
  <c r="DA22" i="23"/>
  <c r="CZ22" i="23"/>
  <c r="CY22" i="23"/>
  <c r="CW22" i="23"/>
  <c r="CU22" i="23"/>
  <c r="DE21" i="23"/>
  <c r="DD21" i="23"/>
  <c r="DC21" i="23"/>
  <c r="DB21" i="23"/>
  <c r="DA21" i="23"/>
  <c r="CZ21" i="23"/>
  <c r="CY21" i="23"/>
  <c r="CW21" i="23"/>
  <c r="CU21" i="23"/>
  <c r="DE20" i="23"/>
  <c r="DD20" i="23"/>
  <c r="DC20" i="23"/>
  <c r="DB20" i="23"/>
  <c r="DA20" i="23"/>
  <c r="CZ20" i="23"/>
  <c r="CY20" i="23"/>
  <c r="CW20" i="23"/>
  <c r="CU20" i="23"/>
  <c r="DE19" i="23"/>
  <c r="DD19" i="23"/>
  <c r="DC19" i="23"/>
  <c r="DB19" i="23"/>
  <c r="DA19" i="23"/>
  <c r="CZ19" i="23"/>
  <c r="CY19" i="23"/>
  <c r="CW19" i="23"/>
  <c r="CU19" i="23"/>
  <c r="DE18" i="23"/>
  <c r="DD18" i="23"/>
  <c r="DC18" i="23"/>
  <c r="DB18" i="23"/>
  <c r="DA18" i="23"/>
  <c r="CZ18" i="23"/>
  <c r="CY18" i="23"/>
  <c r="CW18" i="23"/>
  <c r="CU18" i="23"/>
  <c r="CQ35" i="16"/>
  <c r="CQ34" i="16"/>
  <c r="CQ33" i="16"/>
  <c r="CQ32" i="16"/>
  <c r="CQ31" i="16"/>
  <c r="CQ30" i="16"/>
  <c r="CQ29" i="16"/>
  <c r="CQ28" i="16"/>
  <c r="CQ27" i="16"/>
  <c r="CQ26" i="16"/>
  <c r="CQ25" i="16"/>
  <c r="CQ24" i="16"/>
  <c r="CQ23" i="16"/>
  <c r="CQ22" i="16"/>
  <c r="CQ21" i="16"/>
  <c r="CQ20" i="16"/>
  <c r="CQ19" i="16"/>
  <c r="CQ18" i="16"/>
  <c r="CO35" i="16"/>
  <c r="CO34" i="16"/>
  <c r="CO33" i="16"/>
  <c r="CO32" i="16"/>
  <c r="CO31" i="16"/>
  <c r="CO30" i="16"/>
  <c r="CO29" i="16"/>
  <c r="CO28" i="16"/>
  <c r="CO27" i="16"/>
  <c r="CO26" i="16"/>
  <c r="CO25" i="16"/>
  <c r="CO24" i="16"/>
  <c r="CO23" i="16"/>
  <c r="CO22" i="16"/>
  <c r="CO21" i="16"/>
  <c r="CO20" i="16"/>
  <c r="CO19" i="16"/>
  <c r="CO18" i="16"/>
  <c r="CY35" i="16"/>
  <c r="CX35" i="16"/>
  <c r="CW35" i="16"/>
  <c r="CV35" i="16"/>
  <c r="CU35" i="16"/>
  <c r="CT35" i="16"/>
  <c r="CS35" i="16"/>
  <c r="CY34" i="16"/>
  <c r="CX34" i="16"/>
  <c r="CW34" i="16"/>
  <c r="CV34" i="16"/>
  <c r="CU34" i="16"/>
  <c r="CT34" i="16"/>
  <c r="CS34" i="16"/>
  <c r="CY33" i="16"/>
  <c r="CX33" i="16"/>
  <c r="CW33" i="16"/>
  <c r="CV33" i="16"/>
  <c r="CU33" i="16"/>
  <c r="CT33" i="16"/>
  <c r="CS33" i="16"/>
  <c r="CY32" i="16"/>
  <c r="CX32" i="16"/>
  <c r="CW32" i="16"/>
  <c r="CV32" i="16"/>
  <c r="CU32" i="16"/>
  <c r="CT32" i="16"/>
  <c r="CS32" i="16"/>
  <c r="CY31" i="16"/>
  <c r="CX31" i="16"/>
  <c r="CW31" i="16"/>
  <c r="CV31" i="16"/>
  <c r="CU31" i="16"/>
  <c r="CT31" i="16"/>
  <c r="CS31" i="16"/>
  <c r="CY30" i="16"/>
  <c r="CX30" i="16"/>
  <c r="CW30" i="16"/>
  <c r="CV30" i="16"/>
  <c r="CU30" i="16"/>
  <c r="CT30" i="16"/>
  <c r="CS30" i="16"/>
  <c r="CY29" i="16"/>
  <c r="CX29" i="16"/>
  <c r="CW29" i="16"/>
  <c r="CV29" i="16"/>
  <c r="CU29" i="16"/>
  <c r="CT29" i="16"/>
  <c r="CS29" i="16"/>
  <c r="CY28" i="16"/>
  <c r="CX28" i="16"/>
  <c r="CW28" i="16"/>
  <c r="CV28" i="16"/>
  <c r="CU28" i="16"/>
  <c r="CT28" i="16"/>
  <c r="CS28" i="16"/>
  <c r="CY27" i="16"/>
  <c r="CX27" i="16"/>
  <c r="CW27" i="16"/>
  <c r="CV27" i="16"/>
  <c r="CU27" i="16"/>
  <c r="CT27" i="16"/>
  <c r="CS27" i="16"/>
  <c r="CY26" i="16"/>
  <c r="CX26" i="16"/>
  <c r="CW26" i="16"/>
  <c r="CV26" i="16"/>
  <c r="CU26" i="16"/>
  <c r="CT26" i="16"/>
  <c r="CS26" i="16"/>
  <c r="CY25" i="16"/>
  <c r="CX25" i="16"/>
  <c r="CW25" i="16"/>
  <c r="CV25" i="16"/>
  <c r="CU25" i="16"/>
  <c r="CT25" i="16"/>
  <c r="CS25" i="16"/>
  <c r="CY24" i="16"/>
  <c r="CX24" i="16"/>
  <c r="CW24" i="16"/>
  <c r="CV24" i="16"/>
  <c r="CU24" i="16"/>
  <c r="CT24" i="16"/>
  <c r="CS24" i="16"/>
  <c r="CY23" i="16"/>
  <c r="CX23" i="16"/>
  <c r="CW23" i="16"/>
  <c r="CV23" i="16"/>
  <c r="CU23" i="16"/>
  <c r="CT23" i="16"/>
  <c r="CS23" i="16"/>
  <c r="CY22" i="16"/>
  <c r="CX22" i="16"/>
  <c r="CW22" i="16"/>
  <c r="CV22" i="16"/>
  <c r="CU22" i="16"/>
  <c r="CT22" i="16"/>
  <c r="CS22" i="16"/>
  <c r="CY21" i="16"/>
  <c r="CX21" i="16"/>
  <c r="CW21" i="16"/>
  <c r="CV21" i="16"/>
  <c r="CU21" i="16"/>
  <c r="CT21" i="16"/>
  <c r="CS21" i="16"/>
  <c r="CY20" i="16"/>
  <c r="CX20" i="16"/>
  <c r="CW20" i="16"/>
  <c r="CV20" i="16"/>
  <c r="CU20" i="16"/>
  <c r="CT20" i="16"/>
  <c r="CS20" i="16"/>
  <c r="CY19" i="16"/>
  <c r="CX19" i="16"/>
  <c r="CW19" i="16"/>
  <c r="CV19" i="16"/>
  <c r="CU19" i="16"/>
  <c r="CT19" i="16"/>
  <c r="CS19" i="16"/>
  <c r="CY18" i="16"/>
  <c r="CX18" i="16"/>
  <c r="CW18" i="16"/>
  <c r="CV18" i="16"/>
  <c r="CU18" i="16"/>
  <c r="CT18" i="16"/>
  <c r="CS18" i="16"/>
  <c r="DG38" i="23" l="1"/>
  <c r="DG40" i="23"/>
  <c r="DG41" i="23"/>
  <c r="DG42" i="23"/>
  <c r="DG43" i="23"/>
  <c r="DG44" i="23"/>
  <c r="DG45" i="23"/>
  <c r="DG46" i="23"/>
  <c r="DG48" i="23"/>
  <c r="DG49" i="23"/>
  <c r="DG50" i="23"/>
  <c r="DG51" i="23"/>
  <c r="DG52" i="23"/>
  <c r="DG53" i="23"/>
  <c r="DG54" i="23"/>
  <c r="DG55" i="23"/>
  <c r="DG56" i="23"/>
  <c r="DG57" i="23"/>
  <c r="DG58" i="23"/>
  <c r="DG60" i="23"/>
  <c r="DG61" i="23"/>
  <c r="DG62" i="23"/>
  <c r="DG63" i="23"/>
  <c r="DG64" i="23"/>
  <c r="DG65" i="23"/>
  <c r="DG66" i="23"/>
  <c r="DG67" i="23"/>
  <c r="DG68" i="23"/>
  <c r="DG69" i="23"/>
  <c r="DG70" i="23"/>
  <c r="DG71" i="23"/>
  <c r="DG72" i="23"/>
  <c r="DG73" i="23"/>
  <c r="DG74" i="23"/>
  <c r="DG75" i="23"/>
  <c r="DG76" i="23"/>
  <c r="DG77" i="23"/>
  <c r="DG78" i="23"/>
  <c r="DG79" i="23"/>
  <c r="DG80" i="23"/>
  <c r="DG81" i="23"/>
  <c r="DG82" i="23"/>
  <c r="DG83" i="23"/>
  <c r="DG87" i="23"/>
  <c r="DG88" i="23"/>
  <c r="DG89" i="23"/>
  <c r="DG91" i="23"/>
  <c r="DG93" i="23"/>
  <c r="DG94" i="23"/>
  <c r="DG95" i="23"/>
  <c r="DG96" i="23"/>
  <c r="DG97" i="23"/>
  <c r="DG98" i="23"/>
  <c r="DG99" i="23"/>
  <c r="DG101" i="23"/>
  <c r="DG102" i="23"/>
  <c r="DG103" i="23"/>
  <c r="DG104" i="23"/>
  <c r="DG105" i="23"/>
  <c r="DG106" i="23"/>
  <c r="DG107" i="23"/>
  <c r="DG108" i="23"/>
  <c r="DG109" i="23"/>
  <c r="DG110" i="23"/>
  <c r="DG112" i="23"/>
  <c r="DG113" i="23"/>
  <c r="DG114" i="23"/>
  <c r="DG115" i="23"/>
  <c r="DG116" i="23"/>
  <c r="DG117" i="23"/>
  <c r="DG118" i="23"/>
  <c r="DG119" i="23"/>
  <c r="DG120" i="23"/>
  <c r="DG121" i="23"/>
  <c r="DG122" i="23"/>
  <c r="DG123" i="23"/>
  <c r="DG124" i="23"/>
  <c r="DG125" i="23"/>
  <c r="DG126" i="23"/>
  <c r="DG127" i="23"/>
  <c r="DG128" i="23"/>
  <c r="DG130" i="23"/>
  <c r="DG131" i="23"/>
  <c r="DG132" i="23"/>
  <c r="DG133" i="23"/>
  <c r="DG135" i="23"/>
  <c r="DG137" i="23"/>
  <c r="DG138" i="23"/>
  <c r="DG139" i="23"/>
  <c r="DG142" i="23"/>
  <c r="DG143" i="23"/>
  <c r="DG144" i="23"/>
  <c r="DG145" i="23"/>
  <c r="DG146" i="23"/>
  <c r="DG147" i="23"/>
  <c r="DG148" i="23"/>
  <c r="DG149" i="23"/>
  <c r="DG150" i="23"/>
  <c r="DG152" i="23"/>
  <c r="DG153" i="23"/>
  <c r="DG154" i="23"/>
  <c r="DG155" i="23"/>
  <c r="DG156" i="23"/>
  <c r="DG158" i="23"/>
  <c r="DG159" i="23"/>
  <c r="DG160" i="23"/>
  <c r="DG161" i="23"/>
  <c r="DG162" i="23"/>
  <c r="DG163" i="23"/>
  <c r="DG164" i="23"/>
  <c r="DG165" i="23"/>
  <c r="DG166" i="23"/>
  <c r="DG167" i="23"/>
  <c r="DG168" i="23"/>
  <c r="DG169" i="23"/>
  <c r="DG170" i="23"/>
  <c r="DG171" i="23"/>
  <c r="DG172" i="23"/>
  <c r="DG173" i="23"/>
  <c r="DG37" i="23"/>
  <c r="M36" i="54" l="1"/>
  <c r="L36" i="54"/>
  <c r="L35" i="54"/>
  <c r="E24" i="54"/>
  <c r="D24" i="54"/>
  <c r="AS31" i="2" l="1"/>
  <c r="AS34" i="2"/>
  <c r="AR34" i="2"/>
  <c r="AQ34" i="2"/>
  <c r="AS33" i="2"/>
  <c r="AR33" i="2"/>
  <c r="AQ33" i="2"/>
  <c r="AS32" i="2"/>
  <c r="AR32" i="2"/>
  <c r="AQ32" i="2"/>
  <c r="AR31" i="2"/>
  <c r="AQ31" i="2"/>
  <c r="AS30" i="2"/>
  <c r="AR30" i="2"/>
  <c r="AQ30" i="2"/>
  <c r="AS29" i="2"/>
  <c r="AR29" i="2"/>
  <c r="AQ29" i="2"/>
  <c r="AS28" i="2"/>
  <c r="AR28" i="2"/>
  <c r="AQ28" i="2"/>
  <c r="AS27" i="2"/>
  <c r="AR27" i="2"/>
  <c r="AQ27" i="2"/>
  <c r="AS26" i="2"/>
  <c r="AR26" i="2"/>
  <c r="AQ26" i="2"/>
  <c r="AS25" i="2"/>
  <c r="AR25" i="2"/>
  <c r="AQ25" i="2"/>
  <c r="AS24" i="2"/>
  <c r="AR24" i="2"/>
  <c r="AQ24" i="2"/>
  <c r="AS23" i="2"/>
  <c r="AR23" i="2"/>
  <c r="AQ23" i="2"/>
  <c r="AS22" i="2"/>
  <c r="AR22" i="2"/>
  <c r="AS21" i="2"/>
  <c r="AR21" i="2"/>
  <c r="AS20" i="2"/>
  <c r="AR20" i="2"/>
  <c r="AS19" i="2"/>
  <c r="AR19" i="2"/>
  <c r="AS18" i="2"/>
  <c r="AR18" i="2"/>
  <c r="AS17" i="2"/>
  <c r="AR17" i="2"/>
  <c r="AQ22" i="2"/>
  <c r="AQ21" i="2"/>
  <c r="AQ20" i="2"/>
  <c r="AQ19" i="2"/>
  <c r="AQ18" i="2"/>
  <c r="AQ17" i="2"/>
  <c r="AP32" i="2"/>
  <c r="AP34" i="2"/>
  <c r="AP33" i="2"/>
  <c r="AP31" i="2"/>
  <c r="AP30" i="2"/>
  <c r="AP29" i="2"/>
  <c r="AP28" i="2"/>
  <c r="AP27" i="2"/>
  <c r="AP26" i="2"/>
  <c r="AP25" i="2"/>
  <c r="AP24" i="2"/>
  <c r="AP23" i="2"/>
  <c r="AP22" i="2"/>
  <c r="AP21" i="2"/>
  <c r="AP20" i="2"/>
  <c r="AP19" i="2"/>
  <c r="AP18" i="2"/>
  <c r="AP17" i="2"/>
  <c r="AJ35" i="3" l="1"/>
  <c r="AJ34" i="3"/>
  <c r="AJ33" i="3"/>
  <c r="AJ32" i="3"/>
  <c r="AJ31" i="3"/>
  <c r="AJ30" i="3"/>
  <c r="AJ29" i="3"/>
  <c r="AJ28" i="3"/>
  <c r="AJ27" i="3"/>
  <c r="AJ26" i="3"/>
  <c r="AJ25" i="3"/>
  <c r="AJ24" i="3"/>
  <c r="AJ23" i="3"/>
  <c r="AJ22" i="3"/>
  <c r="AJ21" i="3"/>
  <c r="AJ20" i="3"/>
  <c r="AJ19" i="3"/>
  <c r="AJ18" i="3"/>
  <c r="AH35" i="3"/>
  <c r="AH34" i="3"/>
  <c r="AH33" i="3"/>
  <c r="AH32" i="3"/>
  <c r="AH31" i="3"/>
  <c r="AH30" i="3"/>
  <c r="AH29" i="3"/>
  <c r="AH28" i="3"/>
  <c r="AH27" i="3"/>
  <c r="AH26" i="3"/>
  <c r="AH25" i="3"/>
  <c r="AH23" i="3" l="1"/>
  <c r="AH22" i="3"/>
  <c r="AH21" i="3"/>
  <c r="AH20" i="3"/>
  <c r="AH19" i="3"/>
  <c r="AH18" i="3"/>
  <c r="C24" i="54" s="1"/>
  <c r="X18" i="3"/>
  <c r="AH24" i="3"/>
  <c r="AK228" i="3" l="1"/>
  <c r="AJ228" i="3"/>
  <c r="AI228" i="3"/>
  <c r="AH228" i="3"/>
  <c r="AK227" i="3"/>
  <c r="AJ227" i="3"/>
  <c r="AI227" i="3"/>
  <c r="AH227" i="3"/>
  <c r="AK226" i="3"/>
  <c r="AJ226" i="3"/>
  <c r="AI226" i="3"/>
  <c r="AH226" i="3"/>
  <c r="AK225" i="3"/>
  <c r="AJ225" i="3"/>
  <c r="AI225" i="3"/>
  <c r="AH225" i="3"/>
  <c r="AK224" i="3"/>
  <c r="AJ224" i="3"/>
  <c r="AI224" i="3"/>
  <c r="AH224" i="3"/>
  <c r="AK223" i="3"/>
  <c r="AJ223" i="3"/>
  <c r="AI223" i="3"/>
  <c r="AH223" i="3"/>
  <c r="E22" i="54" l="1"/>
  <c r="E21" i="54"/>
  <c r="E20" i="54"/>
  <c r="E19" i="54"/>
  <c r="E18" i="54"/>
  <c r="E17" i="54"/>
  <c r="E16" i="54"/>
  <c r="E15" i="54"/>
  <c r="D15" i="54"/>
  <c r="D16" i="54"/>
  <c r="D17" i="54"/>
  <c r="D18" i="54"/>
  <c r="D19" i="54"/>
  <c r="D20" i="54"/>
  <c r="D21" i="54"/>
  <c r="D22" i="54"/>
  <c r="E23" i="54"/>
  <c r="D23" i="54"/>
  <c r="M34" i="54"/>
  <c r="M33" i="54"/>
  <c r="M32" i="54"/>
  <c r="M31" i="54"/>
  <c r="M30" i="54"/>
  <c r="M29" i="54"/>
  <c r="M28" i="54"/>
  <c r="M27" i="54"/>
  <c r="L27" i="54"/>
  <c r="L29" i="54"/>
  <c r="L30" i="54"/>
  <c r="L31" i="54"/>
  <c r="L32" i="54"/>
  <c r="L33" i="54"/>
  <c r="L34" i="54"/>
  <c r="L28" i="54"/>
  <c r="M35" i="54"/>
  <c r="CF297" i="23" l="1"/>
  <c r="CF296" i="23"/>
  <c r="CF295" i="23"/>
  <c r="CF294" i="23"/>
  <c r="BW297" i="23"/>
  <c r="BW296" i="23"/>
  <c r="BW295" i="23"/>
  <c r="BW294" i="23"/>
  <c r="BN297" i="23"/>
  <c r="BN296" i="23"/>
  <c r="BN295" i="23"/>
  <c r="BN294" i="23"/>
  <c r="CO249" i="23"/>
  <c r="CO248" i="23"/>
  <c r="CO247" i="23"/>
  <c r="CO246" i="23"/>
  <c r="CF249" i="23"/>
  <c r="CF248" i="23"/>
  <c r="CF247" i="23"/>
  <c r="CF246" i="23"/>
  <c r="BW249" i="23"/>
  <c r="BW248" i="23"/>
  <c r="BW247" i="23"/>
  <c r="BW246" i="23"/>
  <c r="BN249" i="23"/>
  <c r="BN248" i="23"/>
  <c r="BN247" i="23"/>
  <c r="BN246" i="23"/>
  <c r="CN27" i="23" l="1"/>
  <c r="AF18" i="3" l="1"/>
  <c r="AF19" i="3"/>
  <c r="AF20" i="3"/>
  <c r="AF21" i="3"/>
  <c r="AF22" i="3"/>
  <c r="AF23" i="3"/>
  <c r="AF24" i="3"/>
  <c r="AF25" i="3"/>
  <c r="AF26" i="3"/>
  <c r="AF27" i="3"/>
  <c r="AF28" i="3"/>
  <c r="AF29" i="3"/>
  <c r="AF30" i="3"/>
  <c r="AF31" i="3"/>
  <c r="AF32" i="3"/>
  <c r="AF33" i="3"/>
  <c r="AF34" i="3"/>
  <c r="AF35" i="3"/>
  <c r="AD35" i="3"/>
  <c r="AD34" i="3"/>
  <c r="AD33" i="3"/>
  <c r="AD32" i="3"/>
  <c r="AD31" i="3"/>
  <c r="AD30" i="3"/>
  <c r="AD29" i="3"/>
  <c r="AD28" i="3"/>
  <c r="AD27" i="3"/>
  <c r="AD26" i="3"/>
  <c r="AD25" i="3"/>
  <c r="AD24" i="3"/>
  <c r="AD23" i="3"/>
  <c r="AD22" i="3"/>
  <c r="AD21" i="3"/>
  <c r="AD20" i="3"/>
  <c r="AD19" i="3"/>
  <c r="AD18" i="3"/>
  <c r="C23" i="54" s="1"/>
  <c r="E19" i="51"/>
  <c r="C15" i="51"/>
  <c r="M309" i="64" l="1"/>
  <c r="E25" i="53"/>
  <c r="D25" i="53"/>
  <c r="J24" i="52"/>
  <c r="I24" i="52"/>
  <c r="H24" i="52"/>
  <c r="G24" i="52"/>
  <c r="F24" i="52"/>
  <c r="E24" i="52"/>
  <c r="D24" i="52"/>
  <c r="C24" i="52"/>
  <c r="J23" i="51"/>
  <c r="I23" i="51"/>
  <c r="H23" i="51"/>
  <c r="G23" i="51"/>
  <c r="F23" i="51"/>
  <c r="E23" i="51"/>
  <c r="D23" i="51"/>
  <c r="C23" i="51"/>
  <c r="I17" i="66"/>
  <c r="G17" i="66"/>
  <c r="F17" i="66"/>
  <c r="E17" i="66"/>
  <c r="D17" i="66"/>
  <c r="C17" i="66"/>
  <c r="J17" i="66"/>
  <c r="J24" i="66"/>
  <c r="I24" i="66"/>
  <c r="H24" i="66"/>
  <c r="G24" i="66"/>
  <c r="F24" i="66"/>
  <c r="E24" i="66"/>
  <c r="D24" i="66"/>
  <c r="C24" i="66"/>
  <c r="E22" i="66"/>
  <c r="KF18" i="37"/>
  <c r="KF19" i="37"/>
  <c r="KF20" i="37"/>
  <c r="KF21" i="37"/>
  <c r="KF22" i="37"/>
  <c r="KF23" i="37"/>
  <c r="KF24" i="37"/>
  <c r="KF25" i="37"/>
  <c r="KF26" i="37"/>
  <c r="KF27" i="37"/>
  <c r="KF28" i="37"/>
  <c r="KF29" i="37"/>
  <c r="KF30" i="37"/>
  <c r="KF31" i="37"/>
  <c r="KF32" i="37"/>
  <c r="KF33" i="37"/>
  <c r="KF34" i="37"/>
  <c r="KF35" i="37"/>
  <c r="I23" i="48"/>
  <c r="E23" i="48"/>
  <c r="F23" i="48"/>
  <c r="G23" i="48"/>
  <c r="H23" i="48"/>
  <c r="D23" i="48"/>
  <c r="J23" i="47"/>
  <c r="K23" i="47"/>
  <c r="L23" i="47"/>
  <c r="L21" i="47"/>
  <c r="K21" i="47"/>
  <c r="J21" i="47"/>
  <c r="L22" i="47"/>
  <c r="K22" i="47"/>
  <c r="J22" i="47"/>
  <c r="K23" i="46"/>
  <c r="J23" i="46"/>
  <c r="I23" i="46"/>
  <c r="L309" i="64"/>
  <c r="J102" i="64"/>
  <c r="J247" i="64" l="1"/>
  <c r="N309" i="64"/>
  <c r="J309" i="64"/>
  <c r="O309" i="64"/>
  <c r="C292" i="64"/>
  <c r="K309" i="64"/>
  <c r="M247" i="64"/>
  <c r="K247" i="64"/>
  <c r="L247" i="64"/>
  <c r="N247" i="64"/>
  <c r="M182" i="64"/>
  <c r="N182" i="64"/>
  <c r="J182" i="64"/>
  <c r="K182" i="64"/>
  <c r="L182" i="64"/>
  <c r="M39" i="64"/>
  <c r="M99" i="64"/>
  <c r="L102" i="64"/>
  <c r="K99" i="64"/>
  <c r="M96" i="64"/>
  <c r="M102" i="64"/>
  <c r="L96" i="64"/>
  <c r="N39" i="64"/>
  <c r="K102" i="64"/>
  <c r="K96" i="64"/>
  <c r="L99" i="64"/>
  <c r="N96" i="64"/>
  <c r="N99" i="64"/>
  <c r="C83" i="64"/>
  <c r="K39" i="64"/>
  <c r="N102" i="64"/>
  <c r="L39" i="64"/>
  <c r="C84" i="64"/>
  <c r="C22" i="64"/>
  <c r="E294" i="44"/>
  <c r="F294" i="44"/>
  <c r="G294" i="44"/>
  <c r="H294" i="44"/>
  <c r="I294" i="44"/>
  <c r="J294" i="44"/>
  <c r="K294" i="44"/>
  <c r="L294" i="44"/>
  <c r="M294" i="44"/>
  <c r="N294" i="44"/>
  <c r="O294" i="44"/>
  <c r="P294" i="44"/>
  <c r="Q294" i="44"/>
  <c r="R294" i="44"/>
  <c r="S294" i="44"/>
  <c r="T294" i="44"/>
  <c r="U294" i="44"/>
  <c r="V294" i="44"/>
  <c r="W294" i="44"/>
  <c r="X294" i="44"/>
  <c r="Y294" i="44"/>
  <c r="Z294" i="44"/>
  <c r="AA294" i="44"/>
  <c r="AB294" i="44"/>
  <c r="AC294" i="44"/>
  <c r="AD294" i="44"/>
  <c r="AE294" i="44"/>
  <c r="AF294" i="44"/>
  <c r="AG294" i="44"/>
  <c r="AH294" i="44"/>
  <c r="E295" i="44"/>
  <c r="F295" i="44"/>
  <c r="G295" i="44"/>
  <c r="H295" i="44"/>
  <c r="I295" i="44"/>
  <c r="J295" i="44"/>
  <c r="K295" i="44"/>
  <c r="L295" i="44"/>
  <c r="M295" i="44"/>
  <c r="N295" i="44"/>
  <c r="O295" i="44"/>
  <c r="P295" i="44"/>
  <c r="Q295" i="44"/>
  <c r="R295" i="44"/>
  <c r="S295" i="44"/>
  <c r="T295" i="44"/>
  <c r="U295" i="44"/>
  <c r="V295" i="44"/>
  <c r="W295" i="44"/>
  <c r="X295" i="44"/>
  <c r="Y295" i="44"/>
  <c r="Z295" i="44"/>
  <c r="AA295" i="44"/>
  <c r="AB295" i="44"/>
  <c r="AC295" i="44"/>
  <c r="AD295" i="44"/>
  <c r="AE295" i="44"/>
  <c r="AF295" i="44"/>
  <c r="AG295" i="44"/>
  <c r="AH295" i="44"/>
  <c r="E296" i="44"/>
  <c r="F296" i="44"/>
  <c r="G296" i="44"/>
  <c r="H296" i="44"/>
  <c r="I296" i="44"/>
  <c r="J296" i="44"/>
  <c r="K296" i="44"/>
  <c r="L296" i="44"/>
  <c r="M296" i="44"/>
  <c r="N296" i="44"/>
  <c r="O296" i="44"/>
  <c r="P296" i="44"/>
  <c r="Q296" i="44"/>
  <c r="R296" i="44"/>
  <c r="S296" i="44"/>
  <c r="T296" i="44"/>
  <c r="U296" i="44"/>
  <c r="V296" i="44"/>
  <c r="W296" i="44"/>
  <c r="X296" i="44"/>
  <c r="Y296" i="44"/>
  <c r="Z296" i="44"/>
  <c r="AA296" i="44"/>
  <c r="AB296" i="44"/>
  <c r="AC296" i="44"/>
  <c r="AD296" i="44"/>
  <c r="AE296" i="44"/>
  <c r="AF296" i="44"/>
  <c r="AG296" i="44"/>
  <c r="AH296" i="44"/>
  <c r="E297" i="44"/>
  <c r="F297" i="44"/>
  <c r="G297" i="44"/>
  <c r="H297" i="44"/>
  <c r="I297" i="44"/>
  <c r="J297" i="44"/>
  <c r="K297" i="44"/>
  <c r="L297" i="44"/>
  <c r="M297" i="44"/>
  <c r="N297" i="44"/>
  <c r="O297" i="44"/>
  <c r="P297" i="44"/>
  <c r="Q297" i="44"/>
  <c r="R297" i="44"/>
  <c r="S297" i="44"/>
  <c r="T297" i="44"/>
  <c r="U297" i="44"/>
  <c r="V297" i="44"/>
  <c r="W297" i="44"/>
  <c r="X297" i="44"/>
  <c r="Y297" i="44"/>
  <c r="Z297" i="44"/>
  <c r="AA297" i="44"/>
  <c r="AB297" i="44"/>
  <c r="AC297" i="44"/>
  <c r="AD297" i="44"/>
  <c r="AE297" i="44"/>
  <c r="AF297" i="44"/>
  <c r="AG297" i="44"/>
  <c r="AH297" i="44"/>
  <c r="E298" i="44"/>
  <c r="F298" i="44"/>
  <c r="G298" i="44"/>
  <c r="H298" i="44"/>
  <c r="I298" i="44"/>
  <c r="J298" i="44"/>
  <c r="K298" i="44"/>
  <c r="L298" i="44"/>
  <c r="M298" i="44"/>
  <c r="N298" i="44"/>
  <c r="O298" i="44"/>
  <c r="P298" i="44"/>
  <c r="Q298" i="44"/>
  <c r="R298" i="44"/>
  <c r="S298" i="44"/>
  <c r="T298" i="44"/>
  <c r="U298" i="44"/>
  <c r="V298" i="44"/>
  <c r="W298" i="44"/>
  <c r="X298" i="44"/>
  <c r="Y298" i="44"/>
  <c r="Z298" i="44"/>
  <c r="AA298" i="44"/>
  <c r="AB298" i="44"/>
  <c r="AC298" i="44"/>
  <c r="AD298" i="44"/>
  <c r="AE298" i="44"/>
  <c r="AF298" i="44"/>
  <c r="AG298" i="44"/>
  <c r="AH298" i="44"/>
  <c r="E299" i="44"/>
  <c r="F299" i="44"/>
  <c r="G299" i="44"/>
  <c r="H299" i="44"/>
  <c r="I299" i="44"/>
  <c r="J299" i="44"/>
  <c r="K299" i="44"/>
  <c r="L299" i="44"/>
  <c r="M299" i="44"/>
  <c r="N299" i="44"/>
  <c r="O299" i="44"/>
  <c r="P299" i="44"/>
  <c r="Q299" i="44"/>
  <c r="R299" i="44"/>
  <c r="S299" i="44"/>
  <c r="T299" i="44"/>
  <c r="U299" i="44"/>
  <c r="V299" i="44"/>
  <c r="W299" i="44"/>
  <c r="X299" i="44"/>
  <c r="Y299" i="44"/>
  <c r="Z299" i="44"/>
  <c r="AA299" i="44"/>
  <c r="AB299" i="44"/>
  <c r="AC299" i="44"/>
  <c r="AD299" i="44"/>
  <c r="AE299" i="44"/>
  <c r="AF299" i="44"/>
  <c r="AG299" i="44"/>
  <c r="AH299" i="44"/>
  <c r="CO18" i="23"/>
  <c r="CP18" i="23"/>
  <c r="CQ18" i="23"/>
  <c r="CR18" i="23"/>
  <c r="CS18" i="23"/>
  <c r="CT18" i="23"/>
  <c r="CO19" i="23"/>
  <c r="CP19" i="23"/>
  <c r="CQ19" i="23"/>
  <c r="CR19" i="23"/>
  <c r="CS19" i="23"/>
  <c r="CT19" i="23"/>
  <c r="CO20" i="23"/>
  <c r="CP20" i="23"/>
  <c r="CQ20" i="23"/>
  <c r="CR20" i="23"/>
  <c r="CS20" i="23"/>
  <c r="CT20" i="23"/>
  <c r="CO21" i="23"/>
  <c r="CP21" i="23"/>
  <c r="CQ21" i="23"/>
  <c r="CR21" i="23"/>
  <c r="CS21" i="23"/>
  <c r="CT21" i="23"/>
  <c r="CO22" i="23"/>
  <c r="CP22" i="23"/>
  <c r="CQ22" i="23"/>
  <c r="CR22" i="23"/>
  <c r="CS22" i="23"/>
  <c r="CT22" i="23"/>
  <c r="CO23" i="23"/>
  <c r="CP23" i="23"/>
  <c r="CQ23" i="23"/>
  <c r="CR23" i="23"/>
  <c r="CS23" i="23"/>
  <c r="CT23" i="23"/>
  <c r="CO24" i="23"/>
  <c r="CP24" i="23"/>
  <c r="CQ24" i="23"/>
  <c r="CR24" i="23"/>
  <c r="CS24" i="23"/>
  <c r="CT24" i="23"/>
  <c r="CO25" i="23"/>
  <c r="CP25" i="23"/>
  <c r="CQ25" i="23"/>
  <c r="CR25" i="23"/>
  <c r="CS25" i="23"/>
  <c r="CT25" i="23"/>
  <c r="CO26" i="23"/>
  <c r="CP26" i="23"/>
  <c r="CQ26" i="23"/>
  <c r="CR26" i="23"/>
  <c r="CS26" i="23"/>
  <c r="CT26" i="23"/>
  <c r="CO27" i="23"/>
  <c r="CP27" i="23"/>
  <c r="CQ27" i="23"/>
  <c r="CR27" i="23"/>
  <c r="CS27" i="23"/>
  <c r="CT27" i="23"/>
  <c r="CO28" i="23"/>
  <c r="CP28" i="23"/>
  <c r="CQ28" i="23"/>
  <c r="CR28" i="23"/>
  <c r="CS28" i="23"/>
  <c r="CT28" i="23"/>
  <c r="CO29" i="23"/>
  <c r="CP29" i="23"/>
  <c r="CQ29" i="23"/>
  <c r="CR29" i="23"/>
  <c r="CS29" i="23"/>
  <c r="CT29" i="23"/>
  <c r="CO30" i="23"/>
  <c r="CP30" i="23"/>
  <c r="CQ30" i="23"/>
  <c r="CR30" i="23"/>
  <c r="CS30" i="23"/>
  <c r="CT30" i="23"/>
  <c r="CO31" i="23"/>
  <c r="CP31" i="23"/>
  <c r="CQ31" i="23"/>
  <c r="CR31" i="23"/>
  <c r="CS31" i="23"/>
  <c r="CT31" i="23"/>
  <c r="CO32" i="23"/>
  <c r="CP32" i="23"/>
  <c r="CQ32" i="23"/>
  <c r="CR32" i="23"/>
  <c r="CS32" i="23"/>
  <c r="CT32" i="23"/>
  <c r="CO33" i="23"/>
  <c r="CP33" i="23"/>
  <c r="CQ33" i="23"/>
  <c r="CR33" i="23"/>
  <c r="CS33" i="23"/>
  <c r="CT33" i="23"/>
  <c r="CO34" i="23"/>
  <c r="CP34" i="23"/>
  <c r="CQ34" i="23"/>
  <c r="CR34" i="23"/>
  <c r="CS34" i="23"/>
  <c r="CT34" i="23"/>
  <c r="CO35" i="23"/>
  <c r="CP35" i="23"/>
  <c r="CQ35" i="23"/>
  <c r="CR35" i="23"/>
  <c r="CS35" i="23"/>
  <c r="CT35" i="23"/>
  <c r="JI18" i="37"/>
  <c r="JJ18" i="37"/>
  <c r="JK18" i="37"/>
  <c r="KD18" i="37"/>
  <c r="KG18" i="37"/>
  <c r="JL18" i="37"/>
  <c r="JU18" i="37"/>
  <c r="JY18" i="37"/>
  <c r="JR18" i="37"/>
  <c r="JS18" i="37"/>
  <c r="JX18" i="37"/>
  <c r="JT18" i="37"/>
  <c r="KB18" i="37"/>
  <c r="JO18" i="37"/>
  <c r="JP18" i="37"/>
  <c r="JN18" i="37"/>
  <c r="JQ18" i="37"/>
  <c r="JV18" i="37"/>
  <c r="JM18" i="37"/>
  <c r="JW18" i="37"/>
  <c r="JZ18" i="37"/>
  <c r="KE18" i="37"/>
  <c r="KA18" i="37"/>
  <c r="KC18" i="37"/>
  <c r="JH18" i="37"/>
  <c r="JE18" i="37"/>
  <c r="JF18" i="37"/>
  <c r="JG18" i="37"/>
  <c r="JE19" i="37"/>
  <c r="JF19" i="37"/>
  <c r="JG19" i="37"/>
  <c r="JI19" i="37"/>
  <c r="JJ19" i="37"/>
  <c r="JK19" i="37"/>
  <c r="KD19" i="37"/>
  <c r="KG19" i="37"/>
  <c r="JL19" i="37"/>
  <c r="JU19" i="37"/>
  <c r="JY19" i="37"/>
  <c r="JR19" i="37"/>
  <c r="JS19" i="37"/>
  <c r="JX19" i="37"/>
  <c r="JT19" i="37"/>
  <c r="KB19" i="37"/>
  <c r="JO19" i="37"/>
  <c r="JP19" i="37"/>
  <c r="JN19" i="37"/>
  <c r="JQ19" i="37"/>
  <c r="JV19" i="37"/>
  <c r="JM19" i="37"/>
  <c r="JW19" i="37"/>
  <c r="JZ19" i="37"/>
  <c r="KE19" i="37"/>
  <c r="KA19" i="37"/>
  <c r="KC19" i="37"/>
  <c r="JH19" i="37"/>
  <c r="JE20" i="37"/>
  <c r="JF20" i="37"/>
  <c r="JG20" i="37"/>
  <c r="JI20" i="37"/>
  <c r="JJ20" i="37"/>
  <c r="JK20" i="37"/>
  <c r="KD20" i="37"/>
  <c r="KG20" i="37"/>
  <c r="JL20" i="37"/>
  <c r="JU20" i="37"/>
  <c r="JY20" i="37"/>
  <c r="JR20" i="37"/>
  <c r="JS20" i="37"/>
  <c r="JX20" i="37"/>
  <c r="JT20" i="37"/>
  <c r="KB20" i="37"/>
  <c r="JO20" i="37"/>
  <c r="JP20" i="37"/>
  <c r="JN20" i="37"/>
  <c r="JQ20" i="37"/>
  <c r="JV20" i="37"/>
  <c r="JM20" i="37"/>
  <c r="JW20" i="37"/>
  <c r="JZ20" i="37"/>
  <c r="KE20" i="37"/>
  <c r="KA20" i="37"/>
  <c r="KC20" i="37"/>
  <c r="JH20" i="37"/>
  <c r="JE21" i="37"/>
  <c r="JF21" i="37"/>
  <c r="JG21" i="37"/>
  <c r="JI21" i="37"/>
  <c r="JJ21" i="37"/>
  <c r="JK21" i="37"/>
  <c r="KD21" i="37"/>
  <c r="KG21" i="37"/>
  <c r="JL21" i="37"/>
  <c r="JU21" i="37"/>
  <c r="JY21" i="37"/>
  <c r="JR21" i="37"/>
  <c r="JS21" i="37"/>
  <c r="JX21" i="37"/>
  <c r="JT21" i="37"/>
  <c r="KB21" i="37"/>
  <c r="JO21" i="37"/>
  <c r="JP21" i="37"/>
  <c r="JN21" i="37"/>
  <c r="JQ21" i="37"/>
  <c r="JV21" i="37"/>
  <c r="JM21" i="37"/>
  <c r="JW21" i="37"/>
  <c r="JZ21" i="37"/>
  <c r="KE21" i="37"/>
  <c r="KA21" i="37"/>
  <c r="KC21" i="37"/>
  <c r="JH21" i="37"/>
  <c r="JE22" i="37"/>
  <c r="JF22" i="37"/>
  <c r="JG22" i="37"/>
  <c r="JI22" i="37"/>
  <c r="JJ22" i="37"/>
  <c r="JK22" i="37"/>
  <c r="KD22" i="37"/>
  <c r="KG22" i="37"/>
  <c r="JL22" i="37"/>
  <c r="JU22" i="37"/>
  <c r="JY22" i="37"/>
  <c r="JR22" i="37"/>
  <c r="JS22" i="37"/>
  <c r="JX22" i="37"/>
  <c r="JT22" i="37"/>
  <c r="KB22" i="37"/>
  <c r="JO22" i="37"/>
  <c r="JP22" i="37"/>
  <c r="JN22" i="37"/>
  <c r="JQ22" i="37"/>
  <c r="JV22" i="37"/>
  <c r="JM22" i="37"/>
  <c r="JW22" i="37"/>
  <c r="JZ22" i="37"/>
  <c r="KE22" i="37"/>
  <c r="KA22" i="37"/>
  <c r="KC22" i="37"/>
  <c r="JH22" i="37"/>
  <c r="JE23" i="37"/>
  <c r="JF23" i="37"/>
  <c r="JG23" i="37"/>
  <c r="JI23" i="37"/>
  <c r="JJ23" i="37"/>
  <c r="JK23" i="37"/>
  <c r="KD23" i="37"/>
  <c r="KG23" i="37"/>
  <c r="JL23" i="37"/>
  <c r="JU23" i="37"/>
  <c r="JY23" i="37"/>
  <c r="JR23" i="37"/>
  <c r="JS23" i="37"/>
  <c r="JX23" i="37"/>
  <c r="JT23" i="37"/>
  <c r="KB23" i="37"/>
  <c r="JO23" i="37"/>
  <c r="JP23" i="37"/>
  <c r="JN23" i="37"/>
  <c r="JQ23" i="37"/>
  <c r="JV23" i="37"/>
  <c r="JM23" i="37"/>
  <c r="JW23" i="37"/>
  <c r="JZ23" i="37"/>
  <c r="KE23" i="37"/>
  <c r="KA23" i="37"/>
  <c r="KC23" i="37"/>
  <c r="JH23" i="37"/>
  <c r="JE24" i="37"/>
  <c r="JF24" i="37"/>
  <c r="JG24" i="37"/>
  <c r="JI24" i="37"/>
  <c r="JJ24" i="37"/>
  <c r="JK24" i="37"/>
  <c r="KD24" i="37"/>
  <c r="KG24" i="37"/>
  <c r="JL24" i="37"/>
  <c r="JU24" i="37"/>
  <c r="JY24" i="37"/>
  <c r="JR24" i="37"/>
  <c r="JS24" i="37"/>
  <c r="JX24" i="37"/>
  <c r="JT24" i="37"/>
  <c r="KB24" i="37"/>
  <c r="JO24" i="37"/>
  <c r="JP24" i="37"/>
  <c r="JN24" i="37"/>
  <c r="JQ24" i="37"/>
  <c r="JV24" i="37"/>
  <c r="JM24" i="37"/>
  <c r="JW24" i="37"/>
  <c r="JZ24" i="37"/>
  <c r="KE24" i="37"/>
  <c r="KA24" i="37"/>
  <c r="KC24" i="37"/>
  <c r="JH24" i="37"/>
  <c r="JE25" i="37"/>
  <c r="JF25" i="37"/>
  <c r="JG25" i="37"/>
  <c r="JI25" i="37"/>
  <c r="JJ25" i="37"/>
  <c r="JK25" i="37"/>
  <c r="KD25" i="37"/>
  <c r="KG25" i="37"/>
  <c r="JL25" i="37"/>
  <c r="JU25" i="37"/>
  <c r="JY25" i="37"/>
  <c r="JR25" i="37"/>
  <c r="JS25" i="37"/>
  <c r="JX25" i="37"/>
  <c r="JT25" i="37"/>
  <c r="KB25" i="37"/>
  <c r="JO25" i="37"/>
  <c r="JP25" i="37"/>
  <c r="JN25" i="37"/>
  <c r="JQ25" i="37"/>
  <c r="JV25" i="37"/>
  <c r="JM25" i="37"/>
  <c r="JW25" i="37"/>
  <c r="JZ25" i="37"/>
  <c r="KE25" i="37"/>
  <c r="KA25" i="37"/>
  <c r="KC25" i="37"/>
  <c r="JH25" i="37"/>
  <c r="JE26" i="37"/>
  <c r="JF26" i="37"/>
  <c r="JG26" i="37"/>
  <c r="JI26" i="37"/>
  <c r="JJ26" i="37"/>
  <c r="JK26" i="37"/>
  <c r="KD26" i="37"/>
  <c r="KG26" i="37"/>
  <c r="JL26" i="37"/>
  <c r="JU26" i="37"/>
  <c r="JY26" i="37"/>
  <c r="JR26" i="37"/>
  <c r="JS26" i="37"/>
  <c r="JX26" i="37"/>
  <c r="JT26" i="37"/>
  <c r="KB26" i="37"/>
  <c r="JO26" i="37"/>
  <c r="JP26" i="37"/>
  <c r="JN26" i="37"/>
  <c r="JQ26" i="37"/>
  <c r="JV26" i="37"/>
  <c r="JM26" i="37"/>
  <c r="JW26" i="37"/>
  <c r="JZ26" i="37"/>
  <c r="KE26" i="37"/>
  <c r="KA26" i="37"/>
  <c r="KC26" i="37"/>
  <c r="JH26" i="37"/>
  <c r="JE27" i="37"/>
  <c r="JF27" i="37"/>
  <c r="JG27" i="37"/>
  <c r="JI27" i="37"/>
  <c r="JJ27" i="37"/>
  <c r="JK27" i="37"/>
  <c r="KD27" i="37"/>
  <c r="KG27" i="37"/>
  <c r="JL27" i="37"/>
  <c r="JU27" i="37"/>
  <c r="JY27" i="37"/>
  <c r="JR27" i="37"/>
  <c r="JS27" i="37"/>
  <c r="JX27" i="37"/>
  <c r="JT27" i="37"/>
  <c r="KB27" i="37"/>
  <c r="JO27" i="37"/>
  <c r="JP27" i="37"/>
  <c r="JN27" i="37"/>
  <c r="JQ27" i="37"/>
  <c r="JV27" i="37"/>
  <c r="JM27" i="37"/>
  <c r="JW27" i="37"/>
  <c r="JZ27" i="37"/>
  <c r="KE27" i="37"/>
  <c r="KA27" i="37"/>
  <c r="KC27" i="37"/>
  <c r="JH27" i="37"/>
  <c r="JE28" i="37"/>
  <c r="JF28" i="37"/>
  <c r="JG28" i="37"/>
  <c r="JI28" i="37"/>
  <c r="JJ28" i="37"/>
  <c r="JK28" i="37"/>
  <c r="KD28" i="37"/>
  <c r="KG28" i="37"/>
  <c r="JL28" i="37"/>
  <c r="JU28" i="37"/>
  <c r="JY28" i="37"/>
  <c r="JR28" i="37"/>
  <c r="JS28" i="37"/>
  <c r="JX28" i="37"/>
  <c r="JT28" i="37"/>
  <c r="KB28" i="37"/>
  <c r="JO28" i="37"/>
  <c r="JP28" i="37"/>
  <c r="JN28" i="37"/>
  <c r="JQ28" i="37"/>
  <c r="JV28" i="37"/>
  <c r="JM28" i="37"/>
  <c r="JW28" i="37"/>
  <c r="JZ28" i="37"/>
  <c r="KE28" i="37"/>
  <c r="KA28" i="37"/>
  <c r="KC28" i="37"/>
  <c r="JH28" i="37"/>
  <c r="JE29" i="37"/>
  <c r="JF29" i="37"/>
  <c r="JG29" i="37"/>
  <c r="JI29" i="37"/>
  <c r="JJ29" i="37"/>
  <c r="JK29" i="37"/>
  <c r="KD29" i="37"/>
  <c r="KG29" i="37"/>
  <c r="JL29" i="37"/>
  <c r="JU29" i="37"/>
  <c r="JY29" i="37"/>
  <c r="JR29" i="37"/>
  <c r="JS29" i="37"/>
  <c r="JX29" i="37"/>
  <c r="JT29" i="37"/>
  <c r="KB29" i="37"/>
  <c r="JO29" i="37"/>
  <c r="JP29" i="37"/>
  <c r="JN29" i="37"/>
  <c r="JQ29" i="37"/>
  <c r="JV29" i="37"/>
  <c r="JM29" i="37"/>
  <c r="JW29" i="37"/>
  <c r="JZ29" i="37"/>
  <c r="KE29" i="37"/>
  <c r="KA29" i="37"/>
  <c r="KC29" i="37"/>
  <c r="JH29" i="37"/>
  <c r="JE30" i="37"/>
  <c r="JF30" i="37"/>
  <c r="JG30" i="37"/>
  <c r="JI30" i="37"/>
  <c r="JJ30" i="37"/>
  <c r="JK30" i="37"/>
  <c r="KD30" i="37"/>
  <c r="KG30" i="37"/>
  <c r="JL30" i="37"/>
  <c r="JU30" i="37"/>
  <c r="JY30" i="37"/>
  <c r="JR30" i="37"/>
  <c r="JS30" i="37"/>
  <c r="JX30" i="37"/>
  <c r="JT30" i="37"/>
  <c r="KB30" i="37"/>
  <c r="JO30" i="37"/>
  <c r="JP30" i="37"/>
  <c r="JN30" i="37"/>
  <c r="JQ30" i="37"/>
  <c r="JV30" i="37"/>
  <c r="JM30" i="37"/>
  <c r="JW30" i="37"/>
  <c r="JZ30" i="37"/>
  <c r="KE30" i="37"/>
  <c r="KA30" i="37"/>
  <c r="KC30" i="37"/>
  <c r="JH30" i="37"/>
  <c r="JE31" i="37"/>
  <c r="JF31" i="37"/>
  <c r="JG31" i="37"/>
  <c r="JI31" i="37"/>
  <c r="JJ31" i="37"/>
  <c r="JK31" i="37"/>
  <c r="KD31" i="37"/>
  <c r="KG31" i="37"/>
  <c r="JL31" i="37"/>
  <c r="JU31" i="37"/>
  <c r="JY31" i="37"/>
  <c r="JR31" i="37"/>
  <c r="JS31" i="37"/>
  <c r="JX31" i="37"/>
  <c r="JT31" i="37"/>
  <c r="KB31" i="37"/>
  <c r="JO31" i="37"/>
  <c r="JP31" i="37"/>
  <c r="JN31" i="37"/>
  <c r="JQ31" i="37"/>
  <c r="JV31" i="37"/>
  <c r="JM31" i="37"/>
  <c r="JW31" i="37"/>
  <c r="JZ31" i="37"/>
  <c r="KE31" i="37"/>
  <c r="KA31" i="37"/>
  <c r="KC31" i="37"/>
  <c r="JH31" i="37"/>
  <c r="JE32" i="37"/>
  <c r="JF32" i="37"/>
  <c r="JG32" i="37"/>
  <c r="JI32" i="37"/>
  <c r="JJ32" i="37"/>
  <c r="JK32" i="37"/>
  <c r="KD32" i="37"/>
  <c r="KG32" i="37"/>
  <c r="JL32" i="37"/>
  <c r="JU32" i="37"/>
  <c r="JY32" i="37"/>
  <c r="JR32" i="37"/>
  <c r="JS32" i="37"/>
  <c r="JX32" i="37"/>
  <c r="JT32" i="37"/>
  <c r="KB32" i="37"/>
  <c r="JO32" i="37"/>
  <c r="JP32" i="37"/>
  <c r="JN32" i="37"/>
  <c r="JQ32" i="37"/>
  <c r="JV32" i="37"/>
  <c r="JM32" i="37"/>
  <c r="JW32" i="37"/>
  <c r="JZ32" i="37"/>
  <c r="KE32" i="37"/>
  <c r="KA32" i="37"/>
  <c r="KC32" i="37"/>
  <c r="JH32" i="37"/>
  <c r="JE33" i="37"/>
  <c r="JF33" i="37"/>
  <c r="JG33" i="37"/>
  <c r="JI33" i="37"/>
  <c r="JJ33" i="37"/>
  <c r="JK33" i="37"/>
  <c r="KD33" i="37"/>
  <c r="KG33" i="37"/>
  <c r="JL33" i="37"/>
  <c r="JU33" i="37"/>
  <c r="JY33" i="37"/>
  <c r="JR33" i="37"/>
  <c r="JS33" i="37"/>
  <c r="JX33" i="37"/>
  <c r="JT33" i="37"/>
  <c r="KB33" i="37"/>
  <c r="JO33" i="37"/>
  <c r="JP33" i="37"/>
  <c r="JN33" i="37"/>
  <c r="JQ33" i="37"/>
  <c r="JV33" i="37"/>
  <c r="JM33" i="37"/>
  <c r="JW33" i="37"/>
  <c r="JZ33" i="37"/>
  <c r="KE33" i="37"/>
  <c r="KA33" i="37"/>
  <c r="KC33" i="37"/>
  <c r="JH33" i="37"/>
  <c r="JE34" i="37"/>
  <c r="JF34" i="37"/>
  <c r="JG34" i="37"/>
  <c r="JI34" i="37"/>
  <c r="JJ34" i="37"/>
  <c r="JK34" i="37"/>
  <c r="KD34" i="37"/>
  <c r="KG34" i="37"/>
  <c r="JL34" i="37"/>
  <c r="JU34" i="37"/>
  <c r="JY34" i="37"/>
  <c r="JR34" i="37"/>
  <c r="JS34" i="37"/>
  <c r="JX34" i="37"/>
  <c r="JT34" i="37"/>
  <c r="KB34" i="37"/>
  <c r="JO34" i="37"/>
  <c r="JP34" i="37"/>
  <c r="JN34" i="37"/>
  <c r="JQ34" i="37"/>
  <c r="JV34" i="37"/>
  <c r="JM34" i="37"/>
  <c r="JW34" i="37"/>
  <c r="JZ34" i="37"/>
  <c r="KE34" i="37"/>
  <c r="KA34" i="37"/>
  <c r="KC34" i="37"/>
  <c r="JH34" i="37"/>
  <c r="JE35" i="37"/>
  <c r="JF35" i="37"/>
  <c r="JG35" i="37"/>
  <c r="JI35" i="37"/>
  <c r="JJ35" i="37"/>
  <c r="JK35" i="37"/>
  <c r="KD35" i="37"/>
  <c r="KG35" i="37"/>
  <c r="JL35" i="37"/>
  <c r="JU35" i="37"/>
  <c r="JY35" i="37"/>
  <c r="JR35" i="37"/>
  <c r="JS35" i="37"/>
  <c r="JX35" i="37"/>
  <c r="JT35" i="37"/>
  <c r="KB35" i="37"/>
  <c r="JO35" i="37"/>
  <c r="JP35" i="37"/>
  <c r="JN35" i="37"/>
  <c r="JQ35" i="37"/>
  <c r="JV35" i="37"/>
  <c r="JM35" i="37"/>
  <c r="JW35" i="37"/>
  <c r="JZ35" i="37"/>
  <c r="KE35" i="37"/>
  <c r="KA35" i="37"/>
  <c r="KC35" i="37"/>
  <c r="JH35" i="37"/>
  <c r="JD35" i="37"/>
  <c r="JD34" i="37"/>
  <c r="JD33" i="37"/>
  <c r="JD32" i="37"/>
  <c r="JD31" i="37"/>
  <c r="JD30" i="37"/>
  <c r="JD29" i="37"/>
  <c r="JD28" i="37"/>
  <c r="JD27" i="37"/>
  <c r="JD26" i="37"/>
  <c r="JD25" i="37"/>
  <c r="JD24" i="37"/>
  <c r="JD23" i="37"/>
  <c r="JD22" i="37"/>
  <c r="JD21" i="37"/>
  <c r="JD20" i="37"/>
  <c r="JD19" i="37"/>
  <c r="JD18" i="37"/>
  <c r="JB35" i="37"/>
  <c r="JB34" i="37"/>
  <c r="JB33" i="37"/>
  <c r="JB32" i="37"/>
  <c r="JB31" i="37"/>
  <c r="JB30" i="37"/>
  <c r="JB29" i="37"/>
  <c r="JB28" i="37"/>
  <c r="JB27" i="37"/>
  <c r="JB26" i="37"/>
  <c r="JB25" i="37"/>
  <c r="JB24" i="37"/>
  <c r="JB23" i="37"/>
  <c r="JB22" i="37"/>
  <c r="JB21" i="37"/>
  <c r="JB20" i="37"/>
  <c r="JB19" i="37"/>
  <c r="JB18" i="37"/>
  <c r="IZ35" i="37"/>
  <c r="IZ34" i="37"/>
  <c r="IZ33" i="37"/>
  <c r="IZ32" i="37"/>
  <c r="IZ31" i="37"/>
  <c r="IZ30" i="37"/>
  <c r="IZ29" i="37"/>
  <c r="IZ28" i="37"/>
  <c r="IZ27" i="37"/>
  <c r="IZ26" i="37"/>
  <c r="IZ25" i="37"/>
  <c r="IZ24" i="37"/>
  <c r="IZ23" i="37"/>
  <c r="IZ22" i="37"/>
  <c r="IZ21" i="37"/>
  <c r="IZ20" i="37"/>
  <c r="IZ19" i="37"/>
  <c r="IZ18" i="37"/>
  <c r="BS18" i="44"/>
  <c r="BT18" i="44"/>
  <c r="BU18" i="44"/>
  <c r="BV18" i="44"/>
  <c r="BS19" i="44"/>
  <c r="BT19" i="44"/>
  <c r="BU19" i="44"/>
  <c r="BV19" i="44"/>
  <c r="BS20" i="44"/>
  <c r="BT20" i="44"/>
  <c r="BU20" i="44"/>
  <c r="BV20" i="44"/>
  <c r="BS21" i="44"/>
  <c r="BT21" i="44"/>
  <c r="BU21" i="44"/>
  <c r="BV21" i="44"/>
  <c r="BS22" i="44"/>
  <c r="BT22" i="44"/>
  <c r="BU22" i="44"/>
  <c r="BV22" i="44"/>
  <c r="BS23" i="44"/>
  <c r="BT23" i="44"/>
  <c r="BU23" i="44"/>
  <c r="BV23" i="44"/>
  <c r="BS24" i="44"/>
  <c r="BT24" i="44"/>
  <c r="BU24" i="44"/>
  <c r="BV24" i="44"/>
  <c r="BS25" i="44"/>
  <c r="BT25" i="44"/>
  <c r="BU25" i="44"/>
  <c r="BV25" i="44"/>
  <c r="BS26" i="44"/>
  <c r="BT26" i="44"/>
  <c r="BU26" i="44"/>
  <c r="BV26" i="44"/>
  <c r="BS27" i="44"/>
  <c r="BT27" i="44"/>
  <c r="BU27" i="44"/>
  <c r="BV27" i="44"/>
  <c r="BS28" i="44"/>
  <c r="BT28" i="44"/>
  <c r="BU28" i="44"/>
  <c r="BV28" i="44"/>
  <c r="BS29" i="44"/>
  <c r="BT29" i="44"/>
  <c r="BU29" i="44"/>
  <c r="BV29" i="44"/>
  <c r="BS30" i="44"/>
  <c r="BT30" i="44"/>
  <c r="BU30" i="44"/>
  <c r="BV30" i="44"/>
  <c r="BS31" i="44"/>
  <c r="BT31" i="44"/>
  <c r="BU31" i="44"/>
  <c r="BV31" i="44"/>
  <c r="BS32" i="44"/>
  <c r="BT32" i="44"/>
  <c r="BU32" i="44"/>
  <c r="BV32" i="44"/>
  <c r="BS33" i="44"/>
  <c r="BT33" i="44"/>
  <c r="BU33" i="44"/>
  <c r="BV33" i="44"/>
  <c r="BS34" i="44"/>
  <c r="BT34" i="44"/>
  <c r="BU34" i="44"/>
  <c r="BV34" i="44"/>
  <c r="BS35" i="44"/>
  <c r="BT35" i="44"/>
  <c r="BU35" i="44"/>
  <c r="BV35" i="44"/>
  <c r="BR35" i="44"/>
  <c r="BR34" i="44"/>
  <c r="BR33" i="44"/>
  <c r="BR32" i="44"/>
  <c r="BR31" i="44"/>
  <c r="BR30" i="44"/>
  <c r="BR29" i="44"/>
  <c r="BR28" i="44"/>
  <c r="BR27" i="44"/>
  <c r="BR26" i="44"/>
  <c r="BR25" i="44"/>
  <c r="BR24" i="44"/>
  <c r="BR23" i="44"/>
  <c r="BR22" i="44"/>
  <c r="BR21" i="44"/>
  <c r="BR20" i="44"/>
  <c r="BR19" i="44"/>
  <c r="BR18" i="44"/>
  <c r="BP35" i="44"/>
  <c r="BP34" i="44"/>
  <c r="BP33" i="44"/>
  <c r="BP32" i="44"/>
  <c r="BP31" i="44"/>
  <c r="BP30" i="44"/>
  <c r="BP29" i="44"/>
  <c r="BP28" i="44"/>
  <c r="BP27" i="44"/>
  <c r="BP26" i="44"/>
  <c r="BP25" i="44"/>
  <c r="BP24" i="44"/>
  <c r="BP23" i="44"/>
  <c r="BP22" i="44"/>
  <c r="BP21" i="44"/>
  <c r="BP20" i="44"/>
  <c r="BP19" i="44"/>
  <c r="BP18" i="44"/>
  <c r="BN35" i="44"/>
  <c r="BN34" i="44"/>
  <c r="BN33" i="44"/>
  <c r="BN32" i="44"/>
  <c r="BN31" i="44"/>
  <c r="BN30" i="44"/>
  <c r="BN29" i="44"/>
  <c r="BN28" i="44"/>
  <c r="BN27" i="44"/>
  <c r="BN26" i="44"/>
  <c r="BN25" i="44"/>
  <c r="BN24" i="44"/>
  <c r="BN23" i="44"/>
  <c r="BN22" i="44"/>
  <c r="BN21" i="44"/>
  <c r="BN20" i="44"/>
  <c r="BN19" i="44"/>
  <c r="BN18" i="44"/>
  <c r="DG18" i="30"/>
  <c r="DH18" i="30"/>
  <c r="DI18" i="30"/>
  <c r="DO18" i="30"/>
  <c r="DJ18" i="30"/>
  <c r="DL18" i="30"/>
  <c r="DK18" i="30"/>
  <c r="DM18" i="30"/>
  <c r="DN18" i="30"/>
  <c r="DG19" i="30"/>
  <c r="DH19" i="30"/>
  <c r="DI19" i="30"/>
  <c r="DO19" i="30"/>
  <c r="DJ19" i="30"/>
  <c r="DL19" i="30"/>
  <c r="DK19" i="30"/>
  <c r="DM19" i="30"/>
  <c r="DN19" i="30"/>
  <c r="DG20" i="30"/>
  <c r="DH20" i="30"/>
  <c r="DI20" i="30"/>
  <c r="DO20" i="30"/>
  <c r="DJ20" i="30"/>
  <c r="DL20" i="30"/>
  <c r="DK20" i="30"/>
  <c r="DM20" i="30"/>
  <c r="DN20" i="30"/>
  <c r="DG21" i="30"/>
  <c r="DH21" i="30"/>
  <c r="DI21" i="30"/>
  <c r="DO21" i="30"/>
  <c r="DJ21" i="30"/>
  <c r="DL21" i="30"/>
  <c r="DK21" i="30"/>
  <c r="DM21" i="30"/>
  <c r="DN21" i="30"/>
  <c r="DG22" i="30"/>
  <c r="DH22" i="30"/>
  <c r="DI22" i="30"/>
  <c r="DO22" i="30"/>
  <c r="DJ22" i="30"/>
  <c r="DL22" i="30"/>
  <c r="DK22" i="30"/>
  <c r="DM22" i="30"/>
  <c r="DN22" i="30"/>
  <c r="DG23" i="30"/>
  <c r="DH23" i="30"/>
  <c r="DI23" i="30"/>
  <c r="DO23" i="30"/>
  <c r="DJ23" i="30"/>
  <c r="DL23" i="30"/>
  <c r="DK23" i="30"/>
  <c r="DM23" i="30"/>
  <c r="DN23" i="30"/>
  <c r="DG24" i="30"/>
  <c r="DH24" i="30"/>
  <c r="DI24" i="30"/>
  <c r="DO24" i="30"/>
  <c r="DJ24" i="30"/>
  <c r="DL24" i="30"/>
  <c r="DK24" i="30"/>
  <c r="DM24" i="30"/>
  <c r="DN24" i="30"/>
  <c r="DG25" i="30"/>
  <c r="DH25" i="30"/>
  <c r="DI25" i="30"/>
  <c r="DO25" i="30"/>
  <c r="DJ25" i="30"/>
  <c r="DL25" i="30"/>
  <c r="DK25" i="30"/>
  <c r="DM25" i="30"/>
  <c r="DN25" i="30"/>
  <c r="DG26" i="30"/>
  <c r="DH26" i="30"/>
  <c r="DI26" i="30"/>
  <c r="DO26" i="30"/>
  <c r="DJ26" i="30"/>
  <c r="DL26" i="30"/>
  <c r="DK26" i="30"/>
  <c r="DM26" i="30"/>
  <c r="DN26" i="30"/>
  <c r="DG27" i="30"/>
  <c r="DH27" i="30"/>
  <c r="DI27" i="30"/>
  <c r="DO27" i="30"/>
  <c r="DJ27" i="30"/>
  <c r="DL27" i="30"/>
  <c r="DK27" i="30"/>
  <c r="DM27" i="30"/>
  <c r="DN27" i="30"/>
  <c r="DG28" i="30"/>
  <c r="DH28" i="30"/>
  <c r="DI28" i="30"/>
  <c r="DO28" i="30"/>
  <c r="DJ28" i="30"/>
  <c r="DL28" i="30"/>
  <c r="DK28" i="30"/>
  <c r="DM28" i="30"/>
  <c r="DN28" i="30"/>
  <c r="DG29" i="30"/>
  <c r="DH29" i="30"/>
  <c r="DI29" i="30"/>
  <c r="DO29" i="30"/>
  <c r="DJ29" i="30"/>
  <c r="DL29" i="30"/>
  <c r="DK29" i="30"/>
  <c r="DM29" i="30"/>
  <c r="DN29" i="30"/>
  <c r="DG30" i="30"/>
  <c r="DH30" i="30"/>
  <c r="DI30" i="30"/>
  <c r="DO30" i="30"/>
  <c r="DJ30" i="30"/>
  <c r="DL30" i="30"/>
  <c r="DK30" i="30"/>
  <c r="DM30" i="30"/>
  <c r="DN30" i="30"/>
  <c r="DG31" i="30"/>
  <c r="DH31" i="30"/>
  <c r="DI31" i="30"/>
  <c r="DO31" i="30"/>
  <c r="DJ31" i="30"/>
  <c r="DL31" i="30"/>
  <c r="DK31" i="30"/>
  <c r="DM31" i="30"/>
  <c r="DN31" i="30"/>
  <c r="DG32" i="30"/>
  <c r="DH32" i="30"/>
  <c r="DI32" i="30"/>
  <c r="DO32" i="30"/>
  <c r="DJ32" i="30"/>
  <c r="DL32" i="30"/>
  <c r="DK32" i="30"/>
  <c r="DM32" i="30"/>
  <c r="DN32" i="30"/>
  <c r="DG33" i="30"/>
  <c r="DH33" i="30"/>
  <c r="DI33" i="30"/>
  <c r="DO33" i="30"/>
  <c r="DJ33" i="30"/>
  <c r="DL33" i="30"/>
  <c r="DK33" i="30"/>
  <c r="DM33" i="30"/>
  <c r="DN33" i="30"/>
  <c r="DG34" i="30"/>
  <c r="DH34" i="30"/>
  <c r="DI34" i="30"/>
  <c r="DO34" i="30"/>
  <c r="DJ34" i="30"/>
  <c r="DL34" i="30"/>
  <c r="DK34" i="30"/>
  <c r="DM34" i="30"/>
  <c r="DN34" i="30"/>
  <c r="DG35" i="30"/>
  <c r="DH35" i="30"/>
  <c r="DI35" i="30"/>
  <c r="DO35" i="30"/>
  <c r="DJ35" i="30"/>
  <c r="DL35" i="30"/>
  <c r="DK35" i="30"/>
  <c r="DM35" i="30"/>
  <c r="DN35" i="30"/>
  <c r="DF35" i="30"/>
  <c r="DF34" i="30"/>
  <c r="DF33" i="30"/>
  <c r="DF32" i="30"/>
  <c r="DF31" i="30"/>
  <c r="DF30" i="30"/>
  <c r="DF29" i="30"/>
  <c r="DF28" i="30"/>
  <c r="DF27" i="30"/>
  <c r="DF26" i="30"/>
  <c r="DF25" i="30"/>
  <c r="DF24" i="30"/>
  <c r="DF23" i="30"/>
  <c r="DF22" i="30"/>
  <c r="DF21" i="30"/>
  <c r="DF20" i="30"/>
  <c r="DF19" i="30"/>
  <c r="DF18" i="30"/>
  <c r="DD35" i="30"/>
  <c r="DD34" i="30"/>
  <c r="DD33" i="30"/>
  <c r="DD32" i="30"/>
  <c r="DD31" i="30"/>
  <c r="DD30" i="30"/>
  <c r="DD29" i="30"/>
  <c r="DD28" i="30"/>
  <c r="DD27" i="30"/>
  <c r="DD26" i="30"/>
  <c r="DD25" i="30"/>
  <c r="DD24" i="30"/>
  <c r="DD23" i="30"/>
  <c r="DD22" i="30"/>
  <c r="DD21" i="30"/>
  <c r="DD20" i="30"/>
  <c r="DD19" i="30"/>
  <c r="DD18" i="30"/>
  <c r="DB35" i="30"/>
  <c r="DB34" i="30"/>
  <c r="DB33" i="30"/>
  <c r="DB32" i="30"/>
  <c r="DB31" i="30"/>
  <c r="DB30" i="30"/>
  <c r="DB29" i="30"/>
  <c r="DB28" i="30"/>
  <c r="DB27" i="30"/>
  <c r="DB26" i="30"/>
  <c r="DB25" i="30"/>
  <c r="DB24" i="30"/>
  <c r="DB23" i="30"/>
  <c r="DB22" i="30"/>
  <c r="DB21" i="30"/>
  <c r="DB20" i="30"/>
  <c r="DB19" i="30"/>
  <c r="DB18" i="30"/>
  <c r="CN35" i="23"/>
  <c r="CN34" i="23"/>
  <c r="CN33" i="23"/>
  <c r="CN32" i="23"/>
  <c r="CN31" i="23"/>
  <c r="CN30" i="23"/>
  <c r="CN29" i="23"/>
  <c r="CN28" i="23"/>
  <c r="CN26" i="23"/>
  <c r="CN25" i="23"/>
  <c r="CN24" i="23"/>
  <c r="CN23" i="23"/>
  <c r="CN22" i="23"/>
  <c r="CN21" i="23"/>
  <c r="CN20" i="23"/>
  <c r="CN19" i="23"/>
  <c r="CN18" i="23"/>
  <c r="CL35" i="23"/>
  <c r="CL34" i="23"/>
  <c r="CL33" i="23"/>
  <c r="CL32" i="23"/>
  <c r="CL31" i="23"/>
  <c r="CL30" i="23"/>
  <c r="CL29" i="23"/>
  <c r="CL28" i="23"/>
  <c r="CL27" i="23"/>
  <c r="CL26" i="23"/>
  <c r="CL25" i="23"/>
  <c r="CL24" i="23"/>
  <c r="CL23" i="23"/>
  <c r="CL22" i="23"/>
  <c r="CL21" i="23"/>
  <c r="CL20" i="23"/>
  <c r="CL19" i="23"/>
  <c r="CL18" i="23"/>
  <c r="CJ35" i="23"/>
  <c r="CJ34" i="23"/>
  <c r="CJ33" i="23"/>
  <c r="CJ32" i="23"/>
  <c r="CJ31" i="23"/>
  <c r="CJ30" i="23"/>
  <c r="CJ29" i="23"/>
  <c r="CJ28" i="23"/>
  <c r="CJ27" i="23"/>
  <c r="CJ26" i="23"/>
  <c r="CJ25" i="23"/>
  <c r="CJ24" i="23"/>
  <c r="CJ23" i="23"/>
  <c r="CJ22" i="23"/>
  <c r="CJ21" i="23"/>
  <c r="CJ20" i="23"/>
  <c r="CJ19" i="23"/>
  <c r="CJ18" i="23"/>
  <c r="C43" i="53"/>
  <c r="C27" i="53"/>
  <c r="E22" i="53"/>
  <c r="B46" i="52"/>
  <c r="G26" i="52"/>
  <c r="B26" i="52"/>
  <c r="I23" i="52"/>
  <c r="B47" i="51"/>
  <c r="G25" i="51"/>
  <c r="B25" i="51"/>
  <c r="D21" i="51"/>
  <c r="B51" i="66"/>
  <c r="G26" i="66"/>
  <c r="B26" i="66"/>
  <c r="F22" i="66"/>
  <c r="B82" i="48"/>
  <c r="B54" i="48"/>
  <c r="B26" i="48"/>
  <c r="E21" i="48"/>
  <c r="L19" i="47"/>
  <c r="K22" i="46"/>
  <c r="J22" i="46"/>
  <c r="I22" i="46"/>
  <c r="K21" i="46"/>
  <c r="J21" i="46"/>
  <c r="I21" i="46"/>
  <c r="K20" i="46"/>
  <c r="J20" i="46"/>
  <c r="I20" i="46"/>
  <c r="K19" i="46"/>
  <c r="J19" i="46"/>
  <c r="I19" i="46"/>
  <c r="K18" i="46"/>
  <c r="J18" i="46"/>
  <c r="I18" i="46"/>
  <c r="K17" i="46"/>
  <c r="J17" i="46"/>
  <c r="I17" i="46"/>
  <c r="K16" i="46"/>
  <c r="J16" i="46"/>
  <c r="I16" i="46"/>
  <c r="K15" i="46"/>
  <c r="J15" i="46"/>
  <c r="I15" i="46"/>
  <c r="AD255" i="44"/>
  <c r="AC255" i="44"/>
  <c r="AB255" i="44"/>
  <c r="AA255" i="44"/>
  <c r="Z255" i="44"/>
  <c r="Y255" i="44"/>
  <c r="X255" i="44"/>
  <c r="W255" i="44"/>
  <c r="V255" i="44"/>
  <c r="U255" i="44"/>
  <c r="T255" i="44"/>
  <c r="S255" i="44"/>
  <c r="R255" i="44"/>
  <c r="Q255" i="44"/>
  <c r="P255" i="44"/>
  <c r="O255" i="44"/>
  <c r="N255" i="44"/>
  <c r="M255" i="44"/>
  <c r="L255" i="44"/>
  <c r="K255" i="44"/>
  <c r="J255" i="44"/>
  <c r="I255" i="44"/>
  <c r="H255" i="44"/>
  <c r="G255" i="44"/>
  <c r="AD254" i="44"/>
  <c r="AC254" i="44"/>
  <c r="AB254" i="44"/>
  <c r="AA254" i="44"/>
  <c r="Z254" i="44"/>
  <c r="Y254" i="44"/>
  <c r="X254" i="44"/>
  <c r="W254" i="44"/>
  <c r="V254" i="44"/>
  <c r="U254" i="44"/>
  <c r="T254" i="44"/>
  <c r="S254" i="44"/>
  <c r="R254" i="44"/>
  <c r="Q254" i="44"/>
  <c r="P254" i="44"/>
  <c r="O254" i="44"/>
  <c r="N254" i="44"/>
  <c r="M254" i="44"/>
  <c r="L254" i="44"/>
  <c r="K254" i="44"/>
  <c r="J254" i="44"/>
  <c r="I254" i="44"/>
  <c r="H254" i="44"/>
  <c r="G254" i="44"/>
  <c r="AD253" i="44"/>
  <c r="AC253" i="44"/>
  <c r="AB253" i="44"/>
  <c r="AA253" i="44"/>
  <c r="Z253" i="44"/>
  <c r="Y253" i="44"/>
  <c r="X253" i="44"/>
  <c r="W253" i="44"/>
  <c r="V253" i="44"/>
  <c r="U253" i="44"/>
  <c r="T253" i="44"/>
  <c r="S253" i="44"/>
  <c r="R253" i="44"/>
  <c r="Q253" i="44"/>
  <c r="P253" i="44"/>
  <c r="O253" i="44"/>
  <c r="N253" i="44"/>
  <c r="M253" i="44"/>
  <c r="L253" i="44"/>
  <c r="K253" i="44"/>
  <c r="J253" i="44"/>
  <c r="I253" i="44"/>
  <c r="H253" i="44"/>
  <c r="G253" i="44"/>
  <c r="AD252" i="44"/>
  <c r="AC252" i="44"/>
  <c r="AB252" i="44"/>
  <c r="AA252" i="44"/>
  <c r="Z252" i="44"/>
  <c r="Y252" i="44"/>
  <c r="X252" i="44"/>
  <c r="W252" i="44"/>
  <c r="V252" i="44"/>
  <c r="U252" i="44"/>
  <c r="T252" i="44"/>
  <c r="S252" i="44"/>
  <c r="R252" i="44"/>
  <c r="Q252" i="44"/>
  <c r="P252" i="44"/>
  <c r="O252" i="44"/>
  <c r="N252" i="44"/>
  <c r="M252" i="44"/>
  <c r="L252" i="44"/>
  <c r="K252" i="44"/>
  <c r="J252" i="44"/>
  <c r="I252" i="44"/>
  <c r="H252" i="44"/>
  <c r="G252" i="44"/>
  <c r="AD251" i="44"/>
  <c r="AC251" i="44"/>
  <c r="AB251" i="44"/>
  <c r="AA251" i="44"/>
  <c r="Z251" i="44"/>
  <c r="Y251" i="44"/>
  <c r="X251" i="44"/>
  <c r="W251" i="44"/>
  <c r="V251" i="44"/>
  <c r="U251" i="44"/>
  <c r="T251" i="44"/>
  <c r="S251" i="44"/>
  <c r="R251" i="44"/>
  <c r="Q251" i="44"/>
  <c r="P251" i="44"/>
  <c r="O251" i="44"/>
  <c r="N251" i="44"/>
  <c r="M251" i="44"/>
  <c r="L251" i="44"/>
  <c r="K251" i="44"/>
  <c r="J251" i="44"/>
  <c r="I251" i="44"/>
  <c r="H251" i="44"/>
  <c r="G251" i="44"/>
  <c r="AC207" i="44"/>
  <c r="AC206" i="44"/>
  <c r="AC205" i="44"/>
  <c r="AC204" i="44"/>
  <c r="AC203" i="44"/>
  <c r="AC202" i="44"/>
  <c r="AK198" i="44"/>
  <c r="AJ198" i="44"/>
  <c r="AI198" i="44"/>
  <c r="AH198" i="44"/>
  <c r="AG198" i="44"/>
  <c r="AF198" i="44"/>
  <c r="AE198" i="44"/>
  <c r="AD198" i="44"/>
  <c r="AC198" i="44"/>
  <c r="AB198" i="44"/>
  <c r="AA198" i="44"/>
  <c r="Z198" i="44"/>
  <c r="Y198" i="44"/>
  <c r="X198" i="44"/>
  <c r="W198" i="44"/>
  <c r="V198" i="44"/>
  <c r="U198" i="44"/>
  <c r="T198" i="44"/>
  <c r="S198" i="44"/>
  <c r="R198" i="44"/>
  <c r="Q198" i="44"/>
  <c r="P198" i="44"/>
  <c r="O198" i="44"/>
  <c r="N198" i="44"/>
  <c r="M198" i="44"/>
  <c r="L198" i="44"/>
  <c r="K198" i="44"/>
  <c r="J198" i="44"/>
  <c r="I198" i="44"/>
  <c r="H198" i="44"/>
  <c r="G198" i="44"/>
  <c r="F198" i="44"/>
  <c r="AK197" i="44"/>
  <c r="AJ197" i="44"/>
  <c r="AI197" i="44"/>
  <c r="AH197" i="44"/>
  <c r="AG197" i="44"/>
  <c r="AF197" i="44"/>
  <c r="AE197" i="44"/>
  <c r="AD197" i="44"/>
  <c r="AC197" i="44"/>
  <c r="AB197" i="44"/>
  <c r="AA197" i="44"/>
  <c r="Z197" i="44"/>
  <c r="Y197" i="44"/>
  <c r="X197" i="44"/>
  <c r="W197" i="44"/>
  <c r="V197" i="44"/>
  <c r="U197" i="44"/>
  <c r="T197" i="44"/>
  <c r="S197" i="44"/>
  <c r="R197" i="44"/>
  <c r="Q197" i="44"/>
  <c r="P197" i="44"/>
  <c r="O197" i="44"/>
  <c r="N197" i="44"/>
  <c r="M197" i="44"/>
  <c r="L197" i="44"/>
  <c r="K197" i="44"/>
  <c r="J197" i="44"/>
  <c r="I197" i="44"/>
  <c r="H197" i="44"/>
  <c r="G197" i="44"/>
  <c r="F197" i="44"/>
  <c r="AK196" i="44"/>
  <c r="AJ196" i="44"/>
  <c r="AI196" i="44"/>
  <c r="AH196" i="44"/>
  <c r="AG196" i="44"/>
  <c r="AF196" i="44"/>
  <c r="AE196" i="44"/>
  <c r="AD196" i="44"/>
  <c r="AC196" i="44"/>
  <c r="AB196" i="44"/>
  <c r="AA196" i="44"/>
  <c r="Z196" i="44"/>
  <c r="Y196" i="44"/>
  <c r="X196" i="44"/>
  <c r="W196" i="44"/>
  <c r="V196" i="44"/>
  <c r="U196" i="44"/>
  <c r="T196" i="44"/>
  <c r="S196" i="44"/>
  <c r="R196" i="44"/>
  <c r="Q196" i="44"/>
  <c r="P196" i="44"/>
  <c r="O196" i="44"/>
  <c r="N196" i="44"/>
  <c r="M196" i="44"/>
  <c r="L196" i="44"/>
  <c r="K196" i="44"/>
  <c r="J196" i="44"/>
  <c r="I196" i="44"/>
  <c r="H196" i="44"/>
  <c r="G196" i="44"/>
  <c r="F196" i="44"/>
  <c r="AK195" i="44"/>
  <c r="AJ195" i="44"/>
  <c r="AI195" i="44"/>
  <c r="AH195" i="44"/>
  <c r="AG195" i="44"/>
  <c r="AF195" i="44"/>
  <c r="AE195" i="44"/>
  <c r="AD195" i="44"/>
  <c r="AC195" i="44"/>
  <c r="AB195" i="44"/>
  <c r="AA195" i="44"/>
  <c r="Z195" i="44"/>
  <c r="Y195" i="44"/>
  <c r="X195" i="44"/>
  <c r="W195" i="44"/>
  <c r="V195" i="44"/>
  <c r="U195" i="44"/>
  <c r="T195" i="44"/>
  <c r="S195" i="44"/>
  <c r="R195" i="44"/>
  <c r="Q195" i="44"/>
  <c r="P195" i="44"/>
  <c r="O195" i="44"/>
  <c r="N195" i="44"/>
  <c r="M195" i="44"/>
  <c r="L195" i="44"/>
  <c r="K195" i="44"/>
  <c r="J195" i="44"/>
  <c r="I195" i="44"/>
  <c r="H195" i="44"/>
  <c r="G195" i="44"/>
  <c r="F195" i="44"/>
  <c r="AK194" i="44"/>
  <c r="AJ194" i="44"/>
  <c r="AI194" i="44"/>
  <c r="AH194" i="44"/>
  <c r="AG194" i="44"/>
  <c r="AF194" i="44"/>
  <c r="AE194" i="44"/>
  <c r="AD194" i="44"/>
  <c r="AC194" i="44"/>
  <c r="AB194" i="44"/>
  <c r="AA194" i="44"/>
  <c r="Z194" i="44"/>
  <c r="Y194" i="44"/>
  <c r="X194" i="44"/>
  <c r="W194" i="44"/>
  <c r="V194" i="44"/>
  <c r="U194" i="44"/>
  <c r="T194" i="44"/>
  <c r="S194" i="44"/>
  <c r="R194" i="44"/>
  <c r="Q194" i="44"/>
  <c r="P194" i="44"/>
  <c r="O194" i="44"/>
  <c r="N194" i="44"/>
  <c r="M194" i="44"/>
  <c r="L194" i="44"/>
  <c r="K194" i="44"/>
  <c r="J194" i="44"/>
  <c r="I194" i="44"/>
  <c r="H194" i="44"/>
  <c r="G194" i="44"/>
  <c r="F194" i="44"/>
  <c r="AK193" i="44"/>
  <c r="AJ193" i="44"/>
  <c r="AI193" i="44"/>
  <c r="AH193" i="44"/>
  <c r="AG193" i="44"/>
  <c r="AF193" i="44"/>
  <c r="AE193" i="44"/>
  <c r="AD193" i="44"/>
  <c r="AC193" i="44"/>
  <c r="AB193" i="44"/>
  <c r="AA193" i="44"/>
  <c r="Z193" i="44"/>
  <c r="Y193" i="44"/>
  <c r="X193" i="44"/>
  <c r="W193" i="44"/>
  <c r="V193" i="44"/>
  <c r="U193" i="44"/>
  <c r="T193" i="44"/>
  <c r="S193" i="44"/>
  <c r="R193" i="44"/>
  <c r="Q193" i="44"/>
  <c r="P193" i="44"/>
  <c r="O193" i="44"/>
  <c r="N193" i="44"/>
  <c r="M193" i="44"/>
  <c r="L193" i="44"/>
  <c r="K193" i="44"/>
  <c r="J193" i="44"/>
  <c r="I193" i="44"/>
  <c r="H193" i="44"/>
  <c r="G193" i="44"/>
  <c r="F193" i="44"/>
  <c r="U186" i="44"/>
  <c r="T186" i="44"/>
  <c r="S186" i="44"/>
  <c r="R186" i="44"/>
  <c r="Q186" i="44"/>
  <c r="P186" i="44"/>
  <c r="O186" i="44"/>
  <c r="N186" i="44"/>
  <c r="M186" i="44"/>
  <c r="L186" i="44"/>
  <c r="K186" i="44"/>
  <c r="J186" i="44"/>
  <c r="I186" i="44"/>
  <c r="H186" i="44"/>
  <c r="G186" i="44"/>
  <c r="F186" i="44"/>
  <c r="U185" i="44"/>
  <c r="T185" i="44"/>
  <c r="S185" i="44"/>
  <c r="R185" i="44"/>
  <c r="Q185" i="44"/>
  <c r="P185" i="44"/>
  <c r="O185" i="44"/>
  <c r="N185" i="44"/>
  <c r="M185" i="44"/>
  <c r="L185" i="44"/>
  <c r="K185" i="44"/>
  <c r="J185" i="44"/>
  <c r="I185" i="44"/>
  <c r="H185" i="44"/>
  <c r="G185" i="44"/>
  <c r="F185" i="44"/>
  <c r="U184" i="44"/>
  <c r="T184" i="44"/>
  <c r="S184" i="44"/>
  <c r="R184" i="44"/>
  <c r="Q184" i="44"/>
  <c r="P184" i="44"/>
  <c r="O184" i="44"/>
  <c r="N184" i="44"/>
  <c r="M184" i="44"/>
  <c r="L184" i="44"/>
  <c r="K184" i="44"/>
  <c r="J184" i="44"/>
  <c r="I184" i="44"/>
  <c r="H184" i="44"/>
  <c r="G184" i="44"/>
  <c r="F184" i="44"/>
  <c r="U183" i="44"/>
  <c r="T183" i="44"/>
  <c r="S183" i="44"/>
  <c r="R183" i="44"/>
  <c r="Q183" i="44"/>
  <c r="P183" i="44"/>
  <c r="O183" i="44"/>
  <c r="N183" i="44"/>
  <c r="M183" i="44"/>
  <c r="L183" i="44"/>
  <c r="K183" i="44"/>
  <c r="J183" i="44"/>
  <c r="I183" i="44"/>
  <c r="H183" i="44"/>
  <c r="G183" i="44"/>
  <c r="F183" i="44"/>
  <c r="U182" i="44"/>
  <c r="T182" i="44"/>
  <c r="S182" i="44"/>
  <c r="R182" i="44"/>
  <c r="Q182" i="44"/>
  <c r="P182" i="44"/>
  <c r="O182" i="44"/>
  <c r="N182" i="44"/>
  <c r="M182" i="44"/>
  <c r="L182" i="44"/>
  <c r="K182" i="44"/>
  <c r="J182" i="44"/>
  <c r="I182" i="44"/>
  <c r="H182" i="44"/>
  <c r="G182" i="44"/>
  <c r="F182" i="44"/>
  <c r="U181" i="44"/>
  <c r="T181" i="44"/>
  <c r="S181" i="44"/>
  <c r="R181" i="44"/>
  <c r="Q181" i="44"/>
  <c r="P181" i="44"/>
  <c r="O181" i="44"/>
  <c r="N181" i="44"/>
  <c r="M181" i="44"/>
  <c r="L181" i="44"/>
  <c r="K181" i="44"/>
  <c r="J181" i="44"/>
  <c r="I181" i="44"/>
  <c r="H181" i="44"/>
  <c r="G181" i="44"/>
  <c r="F181" i="44"/>
  <c r="BM35" i="44"/>
  <c r="BL35" i="44"/>
  <c r="BK35" i="44"/>
  <c r="BJ35" i="44"/>
  <c r="BI35" i="44"/>
  <c r="BG35" i="44"/>
  <c r="BE35" i="44"/>
  <c r="BD35" i="44"/>
  <c r="BC35" i="44"/>
  <c r="BB35" i="44"/>
  <c r="BA35" i="44"/>
  <c r="AZ35" i="44"/>
  <c r="AX35" i="44"/>
  <c r="AV35" i="44"/>
  <c r="AU35" i="44"/>
  <c r="AT35" i="44"/>
  <c r="AS35" i="44"/>
  <c r="AR35" i="44"/>
  <c r="AQ35" i="44"/>
  <c r="AO35" i="44"/>
  <c r="AM35" i="44"/>
  <c r="AL35" i="44"/>
  <c r="AK35" i="44"/>
  <c r="AJ35" i="44"/>
  <c r="AI35" i="44"/>
  <c r="AH35" i="44"/>
  <c r="AG35" i="44"/>
  <c r="AF35" i="44"/>
  <c r="AE35" i="44"/>
  <c r="AD35" i="44"/>
  <c r="AC35" i="44"/>
  <c r="AB35" i="44"/>
  <c r="AA35" i="44"/>
  <c r="Z35" i="44"/>
  <c r="Y35" i="44"/>
  <c r="X35" i="44"/>
  <c r="W35" i="44"/>
  <c r="V35" i="44"/>
  <c r="U35" i="44"/>
  <c r="T35" i="44"/>
  <c r="S35" i="44"/>
  <c r="R35" i="44"/>
  <c r="Q35" i="44"/>
  <c r="P35" i="44"/>
  <c r="O35" i="44"/>
  <c r="N35" i="44"/>
  <c r="M35" i="44"/>
  <c r="L35" i="44"/>
  <c r="K35" i="44"/>
  <c r="J35" i="44"/>
  <c r="I35" i="44"/>
  <c r="H35" i="44"/>
  <c r="G35" i="44"/>
  <c r="F35" i="44"/>
  <c r="E35" i="44"/>
  <c r="D35" i="44"/>
  <c r="BM34" i="44"/>
  <c r="BL34" i="44"/>
  <c r="BK34" i="44"/>
  <c r="BJ34" i="44"/>
  <c r="BI34" i="44"/>
  <c r="BG34" i="44"/>
  <c r="BE34" i="44"/>
  <c r="BD34" i="44"/>
  <c r="BC34" i="44"/>
  <c r="BB34" i="44"/>
  <c r="BA34" i="44"/>
  <c r="AZ34" i="44"/>
  <c r="AX34" i="44"/>
  <c r="AV34" i="44"/>
  <c r="AU34" i="44"/>
  <c r="AT34" i="44"/>
  <c r="AS34" i="44"/>
  <c r="AR34" i="44"/>
  <c r="AQ34" i="44"/>
  <c r="AO34" i="44"/>
  <c r="AM34" i="44"/>
  <c r="AL34" i="44"/>
  <c r="AK34" i="44"/>
  <c r="AJ34" i="44"/>
  <c r="AI34" i="44"/>
  <c r="AH34" i="44"/>
  <c r="AG34" i="44"/>
  <c r="AF34" i="44"/>
  <c r="AE34" i="44"/>
  <c r="AD34" i="44"/>
  <c r="AC34" i="44"/>
  <c r="AB34" i="44"/>
  <c r="AA34" i="44"/>
  <c r="Z34" i="44"/>
  <c r="Y34" i="44"/>
  <c r="X34" i="44"/>
  <c r="W34" i="44"/>
  <c r="V34" i="44"/>
  <c r="U34" i="44"/>
  <c r="T34" i="44"/>
  <c r="S34" i="44"/>
  <c r="R34" i="44"/>
  <c r="Q34" i="44"/>
  <c r="P34" i="44"/>
  <c r="O34" i="44"/>
  <c r="N34" i="44"/>
  <c r="M34" i="44"/>
  <c r="L34" i="44"/>
  <c r="K34" i="44"/>
  <c r="J34" i="44"/>
  <c r="I34" i="44"/>
  <c r="H34" i="44"/>
  <c r="G34" i="44"/>
  <c r="F34" i="44"/>
  <c r="E34" i="44"/>
  <c r="D34" i="44"/>
  <c r="BM33" i="44"/>
  <c r="BL33" i="44"/>
  <c r="BK33" i="44"/>
  <c r="BJ33" i="44"/>
  <c r="BI33" i="44"/>
  <c r="BG33" i="44"/>
  <c r="BE33" i="44"/>
  <c r="BD33" i="44"/>
  <c r="BC33" i="44"/>
  <c r="BB33" i="44"/>
  <c r="BA33" i="44"/>
  <c r="AZ33" i="44"/>
  <c r="AX33" i="44"/>
  <c r="AV33" i="44"/>
  <c r="AU33" i="44"/>
  <c r="AT33" i="44"/>
  <c r="AS33" i="44"/>
  <c r="AR33" i="44"/>
  <c r="AQ33" i="44"/>
  <c r="AO33" i="44"/>
  <c r="AM33" i="44"/>
  <c r="AL33" i="44"/>
  <c r="AK33" i="44"/>
  <c r="AJ33" i="44"/>
  <c r="AI33" i="44"/>
  <c r="AH33" i="44"/>
  <c r="AG33" i="44"/>
  <c r="AF33" i="44"/>
  <c r="AE33" i="44"/>
  <c r="AD33" i="44"/>
  <c r="AC33" i="44"/>
  <c r="AB33" i="44"/>
  <c r="AA33" i="44"/>
  <c r="Z33" i="44"/>
  <c r="Y33" i="44"/>
  <c r="X33" i="44"/>
  <c r="W33" i="44"/>
  <c r="V33" i="44"/>
  <c r="U33" i="44"/>
  <c r="T33" i="44"/>
  <c r="S33" i="44"/>
  <c r="R33" i="44"/>
  <c r="Q33" i="44"/>
  <c r="P33" i="44"/>
  <c r="O33" i="44"/>
  <c r="N33" i="44"/>
  <c r="M33" i="44"/>
  <c r="L33" i="44"/>
  <c r="K33" i="44"/>
  <c r="J33" i="44"/>
  <c r="I33" i="44"/>
  <c r="H33" i="44"/>
  <c r="G33" i="44"/>
  <c r="F33" i="44"/>
  <c r="E33" i="44"/>
  <c r="D33" i="44"/>
  <c r="BM32" i="44"/>
  <c r="BL32" i="44"/>
  <c r="BK32" i="44"/>
  <c r="BJ32" i="44"/>
  <c r="BI32" i="44"/>
  <c r="BG32" i="44"/>
  <c r="BE32" i="44"/>
  <c r="BD32" i="44"/>
  <c r="BC32" i="44"/>
  <c r="BB32" i="44"/>
  <c r="BA32" i="44"/>
  <c r="AZ32" i="44"/>
  <c r="AX32" i="44"/>
  <c r="AV32" i="44"/>
  <c r="AU32" i="44"/>
  <c r="AT32" i="44"/>
  <c r="AS32" i="44"/>
  <c r="AR32" i="44"/>
  <c r="AQ32" i="44"/>
  <c r="AO32" i="44"/>
  <c r="AM32" i="44"/>
  <c r="AL32" i="44"/>
  <c r="AK32" i="44"/>
  <c r="AJ32" i="44"/>
  <c r="AI32" i="44"/>
  <c r="AH32" i="44"/>
  <c r="AG32" i="44"/>
  <c r="AF32" i="44"/>
  <c r="AE32" i="44"/>
  <c r="AD32" i="44"/>
  <c r="AC32" i="44"/>
  <c r="AB32" i="44"/>
  <c r="AA32" i="44"/>
  <c r="Z32" i="44"/>
  <c r="Y32" i="44"/>
  <c r="X32" i="44"/>
  <c r="W32" i="44"/>
  <c r="V32" i="44"/>
  <c r="U32" i="44"/>
  <c r="T32" i="44"/>
  <c r="S32" i="44"/>
  <c r="R32" i="44"/>
  <c r="Q32" i="44"/>
  <c r="P32" i="44"/>
  <c r="O32" i="44"/>
  <c r="N32" i="44"/>
  <c r="M32" i="44"/>
  <c r="L32" i="44"/>
  <c r="K32" i="44"/>
  <c r="J32" i="44"/>
  <c r="I32" i="44"/>
  <c r="H32" i="44"/>
  <c r="G32" i="44"/>
  <c r="F32" i="44"/>
  <c r="E32" i="44"/>
  <c r="D32" i="44"/>
  <c r="BM31" i="44"/>
  <c r="BL31" i="44"/>
  <c r="BK31" i="44"/>
  <c r="BJ31" i="44"/>
  <c r="BI31" i="44"/>
  <c r="BG31" i="44"/>
  <c r="BE31" i="44"/>
  <c r="BD31" i="44"/>
  <c r="BC31" i="44"/>
  <c r="BB31" i="44"/>
  <c r="BA31" i="44"/>
  <c r="AZ31" i="44"/>
  <c r="AX31" i="44"/>
  <c r="AV31" i="44"/>
  <c r="AU31" i="44"/>
  <c r="AT31" i="44"/>
  <c r="AS31" i="44"/>
  <c r="AR31" i="44"/>
  <c r="AQ31" i="44"/>
  <c r="AO31" i="44"/>
  <c r="AM31" i="44"/>
  <c r="AL31" i="44"/>
  <c r="AK31" i="44"/>
  <c r="AJ31" i="44"/>
  <c r="AI31" i="44"/>
  <c r="AH31" i="44"/>
  <c r="AG31" i="44"/>
  <c r="AF31" i="44"/>
  <c r="AE31" i="44"/>
  <c r="AD31" i="44"/>
  <c r="AC31" i="44"/>
  <c r="AB31" i="44"/>
  <c r="AA31" i="44"/>
  <c r="Z31" i="44"/>
  <c r="Y31" i="44"/>
  <c r="X31" i="44"/>
  <c r="W31" i="44"/>
  <c r="V31" i="44"/>
  <c r="U31" i="44"/>
  <c r="T31" i="44"/>
  <c r="S31" i="44"/>
  <c r="R31" i="44"/>
  <c r="Q31" i="44"/>
  <c r="P31" i="44"/>
  <c r="O31" i="44"/>
  <c r="N31" i="44"/>
  <c r="M31" i="44"/>
  <c r="L31" i="44"/>
  <c r="K31" i="44"/>
  <c r="J31" i="44"/>
  <c r="I31" i="44"/>
  <c r="H31" i="44"/>
  <c r="G31" i="44"/>
  <c r="F31" i="44"/>
  <c r="E31" i="44"/>
  <c r="D31" i="44"/>
  <c r="BM30" i="44"/>
  <c r="BL30" i="44"/>
  <c r="BK30" i="44"/>
  <c r="BJ30" i="44"/>
  <c r="BI30" i="44"/>
  <c r="BG30" i="44"/>
  <c r="BE30" i="44"/>
  <c r="BD30" i="44"/>
  <c r="BC30" i="44"/>
  <c r="BB30" i="44"/>
  <c r="BA30" i="44"/>
  <c r="AZ30" i="44"/>
  <c r="AX30" i="44"/>
  <c r="AV30" i="44"/>
  <c r="AU30" i="44"/>
  <c r="AT30" i="44"/>
  <c r="AS30" i="44"/>
  <c r="AR30" i="44"/>
  <c r="AQ30" i="44"/>
  <c r="AO30" i="44"/>
  <c r="AM30" i="44"/>
  <c r="AL30" i="44"/>
  <c r="AK30" i="44"/>
  <c r="AJ30" i="44"/>
  <c r="AI30" i="44"/>
  <c r="AH30" i="44"/>
  <c r="AG30" i="44"/>
  <c r="AF30" i="44"/>
  <c r="AE30" i="44"/>
  <c r="AD30" i="44"/>
  <c r="AC30" i="44"/>
  <c r="AB30" i="44"/>
  <c r="AA30" i="44"/>
  <c r="Z30" i="44"/>
  <c r="Y30" i="44"/>
  <c r="X30" i="44"/>
  <c r="W30" i="44"/>
  <c r="V30" i="44"/>
  <c r="U30" i="44"/>
  <c r="T30" i="44"/>
  <c r="S30" i="44"/>
  <c r="R30" i="44"/>
  <c r="Q30" i="44"/>
  <c r="P30" i="44"/>
  <c r="O30" i="44"/>
  <c r="N30" i="44"/>
  <c r="M30" i="44"/>
  <c r="L30" i="44"/>
  <c r="K30" i="44"/>
  <c r="J30" i="44"/>
  <c r="I30" i="44"/>
  <c r="H30" i="44"/>
  <c r="G30" i="44"/>
  <c r="F30" i="44"/>
  <c r="E30" i="44"/>
  <c r="D30" i="44"/>
  <c r="BM29" i="44"/>
  <c r="BL29" i="44"/>
  <c r="BK29" i="44"/>
  <c r="BJ29" i="44"/>
  <c r="BI29" i="44"/>
  <c r="BG29" i="44"/>
  <c r="BE29" i="44"/>
  <c r="BD29" i="44"/>
  <c r="BC29" i="44"/>
  <c r="BB29" i="44"/>
  <c r="BA29" i="44"/>
  <c r="AZ29" i="44"/>
  <c r="AX29" i="44"/>
  <c r="AV29" i="44"/>
  <c r="AU29" i="44"/>
  <c r="AT29" i="44"/>
  <c r="AS29" i="44"/>
  <c r="AR29" i="44"/>
  <c r="AQ29" i="44"/>
  <c r="AO29" i="44"/>
  <c r="AM29" i="44"/>
  <c r="AL29" i="44"/>
  <c r="AK29" i="44"/>
  <c r="AJ29" i="44"/>
  <c r="AI29" i="44"/>
  <c r="AH29" i="44"/>
  <c r="AG29" i="44"/>
  <c r="AF29" i="44"/>
  <c r="AE29" i="44"/>
  <c r="AD29" i="44"/>
  <c r="AC29" i="44"/>
  <c r="AB29" i="44"/>
  <c r="AA29" i="44"/>
  <c r="Z29" i="44"/>
  <c r="Y29" i="44"/>
  <c r="X29" i="44"/>
  <c r="W29" i="44"/>
  <c r="V29" i="44"/>
  <c r="U29" i="44"/>
  <c r="T29" i="44"/>
  <c r="S29" i="44"/>
  <c r="R29" i="44"/>
  <c r="Q29" i="44"/>
  <c r="P29" i="44"/>
  <c r="O29" i="44"/>
  <c r="N29" i="44"/>
  <c r="M29" i="44"/>
  <c r="L29" i="44"/>
  <c r="K29" i="44"/>
  <c r="J29" i="44"/>
  <c r="I29" i="44"/>
  <c r="H29" i="44"/>
  <c r="G29" i="44"/>
  <c r="F29" i="44"/>
  <c r="E29" i="44"/>
  <c r="D29" i="44"/>
  <c r="BM28" i="44"/>
  <c r="BL28" i="44"/>
  <c r="BK28" i="44"/>
  <c r="BJ28" i="44"/>
  <c r="BI28" i="44"/>
  <c r="BG28" i="44"/>
  <c r="BE28" i="44"/>
  <c r="BD28" i="44"/>
  <c r="BC28" i="44"/>
  <c r="BB28" i="44"/>
  <c r="BA28" i="44"/>
  <c r="AZ28" i="44"/>
  <c r="AX28" i="44"/>
  <c r="AV28" i="44"/>
  <c r="AU28" i="44"/>
  <c r="AT28" i="44"/>
  <c r="AS28" i="44"/>
  <c r="AR28" i="44"/>
  <c r="AQ28" i="44"/>
  <c r="AO28" i="44"/>
  <c r="AM28" i="44"/>
  <c r="AL28" i="44"/>
  <c r="AK28" i="44"/>
  <c r="AJ28" i="44"/>
  <c r="AI28" i="44"/>
  <c r="AH28" i="44"/>
  <c r="AG28" i="44"/>
  <c r="AF28" i="44"/>
  <c r="AE28" i="44"/>
  <c r="AD28" i="44"/>
  <c r="AC28" i="44"/>
  <c r="AB28" i="44"/>
  <c r="AA28" i="44"/>
  <c r="Z28" i="44"/>
  <c r="Y28" i="44"/>
  <c r="X28" i="44"/>
  <c r="W28" i="44"/>
  <c r="V28" i="44"/>
  <c r="U28" i="44"/>
  <c r="T28" i="44"/>
  <c r="S28" i="44"/>
  <c r="R28" i="44"/>
  <c r="Q28" i="44"/>
  <c r="P28" i="44"/>
  <c r="O28" i="44"/>
  <c r="N28" i="44"/>
  <c r="M28" i="44"/>
  <c r="L28" i="44"/>
  <c r="K28" i="44"/>
  <c r="J28" i="44"/>
  <c r="I28" i="44"/>
  <c r="H28" i="44"/>
  <c r="G28" i="44"/>
  <c r="F28" i="44"/>
  <c r="E28" i="44"/>
  <c r="D28" i="44"/>
  <c r="BM27" i="44"/>
  <c r="BL27" i="44"/>
  <c r="BK27" i="44"/>
  <c r="BJ27" i="44"/>
  <c r="BI27" i="44"/>
  <c r="BG27" i="44"/>
  <c r="BE27" i="44"/>
  <c r="BD27" i="44"/>
  <c r="BC27" i="44"/>
  <c r="BB27" i="44"/>
  <c r="BA27" i="44"/>
  <c r="AZ27" i="44"/>
  <c r="AX27" i="44"/>
  <c r="AV27" i="44"/>
  <c r="AU27" i="44"/>
  <c r="AT27" i="44"/>
  <c r="AS27" i="44"/>
  <c r="AR27" i="44"/>
  <c r="AQ27" i="44"/>
  <c r="AO27" i="44"/>
  <c r="AM27" i="44"/>
  <c r="AL27" i="44"/>
  <c r="AK27" i="44"/>
  <c r="AJ27" i="44"/>
  <c r="AI27" i="44"/>
  <c r="AH27" i="44"/>
  <c r="AG27" i="44"/>
  <c r="AF27" i="44"/>
  <c r="AE27" i="44"/>
  <c r="AD27" i="44"/>
  <c r="AC27" i="44"/>
  <c r="AB27" i="44"/>
  <c r="AA27" i="44"/>
  <c r="Z27" i="44"/>
  <c r="Y27" i="44"/>
  <c r="X27" i="44"/>
  <c r="W27" i="44"/>
  <c r="V27" i="44"/>
  <c r="U27" i="44"/>
  <c r="T27" i="44"/>
  <c r="S27" i="44"/>
  <c r="R27" i="44"/>
  <c r="Q27" i="44"/>
  <c r="P27" i="44"/>
  <c r="O27" i="44"/>
  <c r="N27" i="44"/>
  <c r="M27" i="44"/>
  <c r="L27" i="44"/>
  <c r="K27" i="44"/>
  <c r="J27" i="44"/>
  <c r="I27" i="44"/>
  <c r="H27" i="44"/>
  <c r="G27" i="44"/>
  <c r="F27" i="44"/>
  <c r="E27" i="44"/>
  <c r="D27" i="44"/>
  <c r="BM26" i="44"/>
  <c r="BL26" i="44"/>
  <c r="BK26" i="44"/>
  <c r="BJ26" i="44"/>
  <c r="BI26" i="44"/>
  <c r="BG26" i="44"/>
  <c r="BE26" i="44"/>
  <c r="BD26" i="44"/>
  <c r="BC26" i="44"/>
  <c r="BB26" i="44"/>
  <c r="BA26" i="44"/>
  <c r="AZ26" i="44"/>
  <c r="AX26" i="44"/>
  <c r="AV26" i="44"/>
  <c r="AU26" i="44"/>
  <c r="AT26" i="44"/>
  <c r="AS26" i="44"/>
  <c r="AR26" i="44"/>
  <c r="AQ26" i="44"/>
  <c r="AO26" i="44"/>
  <c r="AM26" i="44"/>
  <c r="AL26" i="44"/>
  <c r="AK26" i="44"/>
  <c r="AJ26" i="44"/>
  <c r="AI26" i="44"/>
  <c r="AH26" i="44"/>
  <c r="AG26" i="44"/>
  <c r="AF26" i="44"/>
  <c r="AE26" i="44"/>
  <c r="AD26" i="44"/>
  <c r="AC26" i="44"/>
  <c r="AB26" i="44"/>
  <c r="AA26" i="44"/>
  <c r="Z26" i="44"/>
  <c r="Y26" i="44"/>
  <c r="X26" i="44"/>
  <c r="W26" i="44"/>
  <c r="V26" i="44"/>
  <c r="U26" i="44"/>
  <c r="T26" i="44"/>
  <c r="S26" i="44"/>
  <c r="R26" i="44"/>
  <c r="Q26" i="44"/>
  <c r="P26" i="44"/>
  <c r="O26" i="44"/>
  <c r="N26" i="44"/>
  <c r="M26" i="44"/>
  <c r="L26" i="44"/>
  <c r="K26" i="44"/>
  <c r="J26" i="44"/>
  <c r="I26" i="44"/>
  <c r="H26" i="44"/>
  <c r="G26" i="44"/>
  <c r="F26" i="44"/>
  <c r="E26" i="44"/>
  <c r="D26" i="44"/>
  <c r="BM25" i="44"/>
  <c r="BL25" i="44"/>
  <c r="BK25" i="44"/>
  <c r="BJ25" i="44"/>
  <c r="BI25" i="44"/>
  <c r="BG25" i="44"/>
  <c r="BE25" i="44"/>
  <c r="BD25" i="44"/>
  <c r="BC25" i="44"/>
  <c r="BB25" i="44"/>
  <c r="BA25" i="44"/>
  <c r="AZ25" i="44"/>
  <c r="AX25" i="44"/>
  <c r="AV25" i="44"/>
  <c r="AU25" i="44"/>
  <c r="AT25" i="44"/>
  <c r="AS25" i="44"/>
  <c r="AR25" i="44"/>
  <c r="AQ25" i="44"/>
  <c r="AO25" i="44"/>
  <c r="AM25" i="44"/>
  <c r="AL25" i="44"/>
  <c r="AK25" i="44"/>
  <c r="AJ25" i="44"/>
  <c r="AI25" i="44"/>
  <c r="AH25" i="44"/>
  <c r="AG25" i="44"/>
  <c r="AF25" i="44"/>
  <c r="AE25" i="44"/>
  <c r="AD25" i="44"/>
  <c r="AC25" i="44"/>
  <c r="AB25" i="44"/>
  <c r="AA25" i="44"/>
  <c r="Z25" i="44"/>
  <c r="Y25" i="44"/>
  <c r="X25" i="44"/>
  <c r="W25" i="44"/>
  <c r="V25" i="44"/>
  <c r="U25" i="44"/>
  <c r="T25" i="44"/>
  <c r="S25" i="44"/>
  <c r="R25" i="44"/>
  <c r="Q25" i="44"/>
  <c r="P25" i="44"/>
  <c r="O25" i="44"/>
  <c r="N25" i="44"/>
  <c r="M25" i="44"/>
  <c r="L25" i="44"/>
  <c r="K25" i="44"/>
  <c r="J25" i="44"/>
  <c r="I25" i="44"/>
  <c r="H25" i="44"/>
  <c r="G25" i="44"/>
  <c r="F25" i="44"/>
  <c r="E25" i="44"/>
  <c r="D25" i="44"/>
  <c r="BM24" i="44"/>
  <c r="BL24" i="44"/>
  <c r="BK24" i="44"/>
  <c r="BJ24" i="44"/>
  <c r="BI24" i="44"/>
  <c r="BG24" i="44"/>
  <c r="BE24" i="44"/>
  <c r="BD24" i="44"/>
  <c r="BC24" i="44"/>
  <c r="BB24" i="44"/>
  <c r="BA24" i="44"/>
  <c r="AZ24" i="44"/>
  <c r="AX24" i="44"/>
  <c r="AV24" i="44"/>
  <c r="AU24" i="44"/>
  <c r="AT24" i="44"/>
  <c r="AS24" i="44"/>
  <c r="AR24" i="44"/>
  <c r="AQ24" i="44"/>
  <c r="AO24" i="44"/>
  <c r="AM24" i="44"/>
  <c r="AL24" i="44"/>
  <c r="AK24" i="44"/>
  <c r="AJ24" i="44"/>
  <c r="AI24" i="44"/>
  <c r="AH24" i="44"/>
  <c r="AG24" i="44"/>
  <c r="AF24" i="44"/>
  <c r="AE24" i="44"/>
  <c r="AD24" i="44"/>
  <c r="AC24" i="44"/>
  <c r="AB24" i="44"/>
  <c r="AA24" i="44"/>
  <c r="Z24" i="44"/>
  <c r="Y24" i="44"/>
  <c r="X24" i="44"/>
  <c r="W24" i="44"/>
  <c r="V24" i="44"/>
  <c r="U24" i="44"/>
  <c r="T24" i="44"/>
  <c r="S24" i="44"/>
  <c r="R24" i="44"/>
  <c r="Q24" i="44"/>
  <c r="P24" i="44"/>
  <c r="O24" i="44"/>
  <c r="N24" i="44"/>
  <c r="M24" i="44"/>
  <c r="L24" i="44"/>
  <c r="K24" i="44"/>
  <c r="J24" i="44"/>
  <c r="I24" i="44"/>
  <c r="H24" i="44"/>
  <c r="G24" i="44"/>
  <c r="F24" i="44"/>
  <c r="E24" i="44"/>
  <c r="D24" i="44"/>
  <c r="BM23" i="44"/>
  <c r="BL23" i="44"/>
  <c r="BK23" i="44"/>
  <c r="BJ23" i="44"/>
  <c r="BI23" i="44"/>
  <c r="BG23" i="44"/>
  <c r="BE23" i="44"/>
  <c r="BD23" i="44"/>
  <c r="BC23" i="44"/>
  <c r="BB23" i="44"/>
  <c r="BA23" i="44"/>
  <c r="AZ23" i="44"/>
  <c r="AX23" i="44"/>
  <c r="AV23" i="44"/>
  <c r="AU23" i="44"/>
  <c r="AT23" i="44"/>
  <c r="AS23" i="44"/>
  <c r="AR23" i="44"/>
  <c r="AQ23" i="44"/>
  <c r="AO23" i="44"/>
  <c r="AM23" i="44"/>
  <c r="AL23" i="44"/>
  <c r="AK23" i="44"/>
  <c r="AJ23" i="44"/>
  <c r="AI23" i="44"/>
  <c r="AH23" i="44"/>
  <c r="AG23" i="44"/>
  <c r="AF23" i="44"/>
  <c r="AE23" i="44"/>
  <c r="AD23" i="44"/>
  <c r="AC23" i="44"/>
  <c r="AB23" i="44"/>
  <c r="AA23" i="44"/>
  <c r="Z23" i="44"/>
  <c r="Y23" i="44"/>
  <c r="X23" i="44"/>
  <c r="W23" i="44"/>
  <c r="V23" i="44"/>
  <c r="U23" i="44"/>
  <c r="T23" i="44"/>
  <c r="S23" i="44"/>
  <c r="R23" i="44"/>
  <c r="Q23" i="44"/>
  <c r="P23" i="44"/>
  <c r="O23" i="44"/>
  <c r="N23" i="44"/>
  <c r="M23" i="44"/>
  <c r="L23" i="44"/>
  <c r="K23" i="44"/>
  <c r="J23" i="44"/>
  <c r="I23" i="44"/>
  <c r="H23" i="44"/>
  <c r="G23" i="44"/>
  <c r="F23" i="44"/>
  <c r="E23" i="44"/>
  <c r="D23" i="44"/>
  <c r="BM22" i="44"/>
  <c r="BL22" i="44"/>
  <c r="BK22" i="44"/>
  <c r="BJ22" i="44"/>
  <c r="BI22" i="44"/>
  <c r="BG22" i="44"/>
  <c r="BE22" i="44"/>
  <c r="BD22" i="44"/>
  <c r="BC22" i="44"/>
  <c r="BB22" i="44"/>
  <c r="BA22" i="44"/>
  <c r="AZ22" i="44"/>
  <c r="AX22" i="44"/>
  <c r="AV22" i="44"/>
  <c r="AU22" i="44"/>
  <c r="AT22" i="44"/>
  <c r="AS22" i="44"/>
  <c r="AR22" i="44"/>
  <c r="AQ22" i="44"/>
  <c r="AO22" i="44"/>
  <c r="AM22" i="44"/>
  <c r="AL22" i="44"/>
  <c r="AK22" i="44"/>
  <c r="AJ22" i="44"/>
  <c r="AI22" i="44"/>
  <c r="AH22" i="44"/>
  <c r="AG22" i="44"/>
  <c r="AF22" i="44"/>
  <c r="AE22" i="44"/>
  <c r="AD22" i="44"/>
  <c r="AC22" i="44"/>
  <c r="AB22" i="44"/>
  <c r="AA22" i="44"/>
  <c r="Z22" i="44"/>
  <c r="Y22" i="44"/>
  <c r="X22" i="44"/>
  <c r="W22" i="44"/>
  <c r="V22" i="44"/>
  <c r="U22" i="44"/>
  <c r="T22" i="44"/>
  <c r="S22" i="44"/>
  <c r="R22" i="44"/>
  <c r="Q22" i="44"/>
  <c r="P22" i="44"/>
  <c r="O22" i="44"/>
  <c r="N22" i="44"/>
  <c r="M22" i="44"/>
  <c r="L22" i="44"/>
  <c r="K22" i="44"/>
  <c r="J22" i="44"/>
  <c r="I22" i="44"/>
  <c r="H22" i="44"/>
  <c r="G22" i="44"/>
  <c r="F22" i="44"/>
  <c r="E22" i="44"/>
  <c r="D22" i="44"/>
  <c r="BM21" i="44"/>
  <c r="BL21" i="44"/>
  <c r="BK21" i="44"/>
  <c r="BJ21" i="44"/>
  <c r="BI21" i="44"/>
  <c r="BG21" i="44"/>
  <c r="BE21" i="44"/>
  <c r="BD21" i="44"/>
  <c r="BC21" i="44"/>
  <c r="BB21" i="44"/>
  <c r="BA21" i="44"/>
  <c r="AZ21" i="44"/>
  <c r="AX21" i="44"/>
  <c r="AV21" i="44"/>
  <c r="AU21" i="44"/>
  <c r="AT21" i="44"/>
  <c r="AS21" i="44"/>
  <c r="AR21" i="44"/>
  <c r="AQ21" i="44"/>
  <c r="AO21" i="44"/>
  <c r="AM21" i="44"/>
  <c r="AL21" i="44"/>
  <c r="AK21" i="44"/>
  <c r="AJ21" i="44"/>
  <c r="AI21" i="44"/>
  <c r="AH21" i="44"/>
  <c r="AG21" i="44"/>
  <c r="AF21" i="44"/>
  <c r="AE21" i="44"/>
  <c r="AD21" i="44"/>
  <c r="AC21" i="44"/>
  <c r="AB21" i="44"/>
  <c r="AA21" i="44"/>
  <c r="Z21" i="44"/>
  <c r="Y21" i="44"/>
  <c r="X21" i="44"/>
  <c r="W21" i="44"/>
  <c r="V21" i="44"/>
  <c r="U21" i="44"/>
  <c r="T21" i="44"/>
  <c r="S21" i="44"/>
  <c r="R21" i="44"/>
  <c r="Q21" i="44"/>
  <c r="P21" i="44"/>
  <c r="O21" i="44"/>
  <c r="N21" i="44"/>
  <c r="M21" i="44"/>
  <c r="L21" i="44"/>
  <c r="K21" i="44"/>
  <c r="J21" i="44"/>
  <c r="I21" i="44"/>
  <c r="H21" i="44"/>
  <c r="G21" i="44"/>
  <c r="F21" i="44"/>
  <c r="E21" i="44"/>
  <c r="D21" i="44"/>
  <c r="BM20" i="44"/>
  <c r="BL20" i="44"/>
  <c r="BK20" i="44"/>
  <c r="BJ20" i="44"/>
  <c r="BI20" i="44"/>
  <c r="BG20" i="44"/>
  <c r="BE20" i="44"/>
  <c r="BD20" i="44"/>
  <c r="BC20" i="44"/>
  <c r="BB20" i="44"/>
  <c r="BA20" i="44"/>
  <c r="AZ20" i="44"/>
  <c r="AX20" i="44"/>
  <c r="AV20" i="44"/>
  <c r="AU20" i="44"/>
  <c r="AT20" i="44"/>
  <c r="AS20" i="44"/>
  <c r="AR20" i="44"/>
  <c r="AQ20" i="44"/>
  <c r="AO20" i="44"/>
  <c r="AM20" i="44"/>
  <c r="AL20" i="44"/>
  <c r="AK20" i="44"/>
  <c r="AJ20" i="44"/>
  <c r="AI20" i="44"/>
  <c r="AH20" i="44"/>
  <c r="AG20" i="44"/>
  <c r="AF20" i="44"/>
  <c r="AE20" i="44"/>
  <c r="AD20" i="44"/>
  <c r="AC20" i="44"/>
  <c r="AB20" i="44"/>
  <c r="AA20" i="44"/>
  <c r="Z20" i="44"/>
  <c r="Y20" i="44"/>
  <c r="X20" i="44"/>
  <c r="W20" i="44"/>
  <c r="V20" i="44"/>
  <c r="U20" i="44"/>
  <c r="T20" i="44"/>
  <c r="S20" i="44"/>
  <c r="R20" i="44"/>
  <c r="Q20" i="44"/>
  <c r="P20" i="44"/>
  <c r="O20" i="44"/>
  <c r="N20" i="44"/>
  <c r="M20" i="44"/>
  <c r="L20" i="44"/>
  <c r="K20" i="44"/>
  <c r="J20" i="44"/>
  <c r="I20" i="44"/>
  <c r="H20" i="44"/>
  <c r="G20" i="44"/>
  <c r="F20" i="44"/>
  <c r="E20" i="44"/>
  <c r="D20" i="44"/>
  <c r="BM19" i="44"/>
  <c r="BL19" i="44"/>
  <c r="BK19" i="44"/>
  <c r="BJ19" i="44"/>
  <c r="BI19" i="44"/>
  <c r="BG19" i="44"/>
  <c r="BE19" i="44"/>
  <c r="BD19" i="44"/>
  <c r="BC19" i="44"/>
  <c r="BB19" i="44"/>
  <c r="BA19" i="44"/>
  <c r="AZ19" i="44"/>
  <c r="AX19" i="44"/>
  <c r="AV19" i="44"/>
  <c r="AU19" i="44"/>
  <c r="AT19" i="44"/>
  <c r="AS19" i="44"/>
  <c r="AR19" i="44"/>
  <c r="AQ19" i="44"/>
  <c r="AO19" i="44"/>
  <c r="AM19" i="44"/>
  <c r="AL19" i="44"/>
  <c r="AK19" i="44"/>
  <c r="AJ19" i="44"/>
  <c r="AI19" i="44"/>
  <c r="AH19" i="44"/>
  <c r="AG19" i="44"/>
  <c r="AF19" i="44"/>
  <c r="AE19" i="44"/>
  <c r="AD19" i="44"/>
  <c r="AC19" i="44"/>
  <c r="AB19" i="44"/>
  <c r="AA19" i="44"/>
  <c r="Z19" i="44"/>
  <c r="Y19" i="44"/>
  <c r="X19" i="44"/>
  <c r="W19" i="44"/>
  <c r="V19" i="44"/>
  <c r="U19" i="44"/>
  <c r="T19" i="44"/>
  <c r="S19" i="44"/>
  <c r="R19" i="44"/>
  <c r="Q19" i="44"/>
  <c r="P19" i="44"/>
  <c r="O19" i="44"/>
  <c r="N19" i="44"/>
  <c r="M19" i="44"/>
  <c r="L19" i="44"/>
  <c r="K19" i="44"/>
  <c r="J19" i="44"/>
  <c r="I19" i="44"/>
  <c r="H19" i="44"/>
  <c r="G19" i="44"/>
  <c r="F19" i="44"/>
  <c r="E19" i="44"/>
  <c r="D19" i="44"/>
  <c r="BM18" i="44"/>
  <c r="BL18" i="44"/>
  <c r="BK18" i="44"/>
  <c r="BJ18" i="44"/>
  <c r="BI18" i="44"/>
  <c r="BG18" i="44"/>
  <c r="BE18" i="44"/>
  <c r="BD18" i="44"/>
  <c r="BC18" i="44"/>
  <c r="BB18" i="44"/>
  <c r="BA18" i="44"/>
  <c r="AZ18" i="44"/>
  <c r="AX18" i="44"/>
  <c r="AV18" i="44"/>
  <c r="AU18" i="44"/>
  <c r="AT18" i="44"/>
  <c r="AS18" i="44"/>
  <c r="AR18" i="44"/>
  <c r="AQ18" i="44"/>
  <c r="AO18" i="44"/>
  <c r="AM18" i="44"/>
  <c r="AL18" i="44"/>
  <c r="AK18" i="44"/>
  <c r="AJ18" i="44"/>
  <c r="AI18" i="44"/>
  <c r="AH18" i="44"/>
  <c r="AG18" i="44"/>
  <c r="AF18" i="44"/>
  <c r="AE18" i="44"/>
  <c r="AD18" i="44"/>
  <c r="AC18" i="44"/>
  <c r="AB18" i="44"/>
  <c r="AA18" i="44"/>
  <c r="Z18" i="44"/>
  <c r="Y18" i="44"/>
  <c r="X18" i="44"/>
  <c r="W18" i="44"/>
  <c r="V18" i="44"/>
  <c r="U18" i="44"/>
  <c r="T18" i="44"/>
  <c r="S18" i="44"/>
  <c r="R18" i="44"/>
  <c r="Q18" i="44"/>
  <c r="P18" i="44"/>
  <c r="O18" i="44"/>
  <c r="N18" i="44"/>
  <c r="M18" i="44"/>
  <c r="L18" i="44"/>
  <c r="K18" i="44"/>
  <c r="J18" i="44"/>
  <c r="I18" i="44"/>
  <c r="H18" i="44"/>
  <c r="G18" i="44"/>
  <c r="F18" i="44"/>
  <c r="E18" i="44"/>
  <c r="D18" i="44"/>
  <c r="AC244" i="37"/>
  <c r="AB244" i="37"/>
  <c r="AA244" i="37"/>
  <c r="Z244" i="37"/>
  <c r="Y244" i="37"/>
  <c r="X244" i="37"/>
  <c r="W244" i="37"/>
  <c r="V244" i="37"/>
  <c r="U244" i="37"/>
  <c r="T244" i="37"/>
  <c r="S244" i="37"/>
  <c r="R244" i="37"/>
  <c r="Q244" i="37"/>
  <c r="P244" i="37"/>
  <c r="O244" i="37"/>
  <c r="N244" i="37"/>
  <c r="M244" i="37"/>
  <c r="L244" i="37"/>
  <c r="K244" i="37"/>
  <c r="J244" i="37"/>
  <c r="I244" i="37"/>
  <c r="H244" i="37"/>
  <c r="G244" i="37"/>
  <c r="F244" i="37"/>
  <c r="AC243" i="37"/>
  <c r="AB243" i="37"/>
  <c r="AA243" i="37"/>
  <c r="Z243" i="37"/>
  <c r="Y243" i="37"/>
  <c r="X243" i="37"/>
  <c r="W243" i="37"/>
  <c r="V243" i="37"/>
  <c r="U243" i="37"/>
  <c r="T243" i="37"/>
  <c r="S243" i="37"/>
  <c r="R243" i="37"/>
  <c r="Q243" i="37"/>
  <c r="P243" i="37"/>
  <c r="O243" i="37"/>
  <c r="N243" i="37"/>
  <c r="M243" i="37"/>
  <c r="L243" i="37"/>
  <c r="K243" i="37"/>
  <c r="J243" i="37"/>
  <c r="I243" i="37"/>
  <c r="H243" i="37"/>
  <c r="G243" i="37"/>
  <c r="F243" i="37"/>
  <c r="AC242" i="37"/>
  <c r="AB242" i="37"/>
  <c r="AA242" i="37"/>
  <c r="Z242" i="37"/>
  <c r="Y242" i="37"/>
  <c r="X242" i="37"/>
  <c r="W242" i="37"/>
  <c r="V242" i="37"/>
  <c r="U242" i="37"/>
  <c r="T242" i="37"/>
  <c r="S242" i="37"/>
  <c r="R242" i="37"/>
  <c r="Q242" i="37"/>
  <c r="P242" i="37"/>
  <c r="O242" i="37"/>
  <c r="N242" i="37"/>
  <c r="M242" i="37"/>
  <c r="L242" i="37"/>
  <c r="K242" i="37"/>
  <c r="J242" i="37"/>
  <c r="I242" i="37"/>
  <c r="H242" i="37"/>
  <c r="G242" i="37"/>
  <c r="F242" i="37"/>
  <c r="AC241" i="37"/>
  <c r="AB241" i="37"/>
  <c r="AA241" i="37"/>
  <c r="Z241" i="37"/>
  <c r="Y241" i="37"/>
  <c r="X241" i="37"/>
  <c r="W241" i="37"/>
  <c r="V241" i="37"/>
  <c r="U241" i="37"/>
  <c r="T241" i="37"/>
  <c r="S241" i="37"/>
  <c r="R241" i="37"/>
  <c r="Q241" i="37"/>
  <c r="P241" i="37"/>
  <c r="O241" i="37"/>
  <c r="N241" i="37"/>
  <c r="M241" i="37"/>
  <c r="L241" i="37"/>
  <c r="K241" i="37"/>
  <c r="J241" i="37"/>
  <c r="I241" i="37"/>
  <c r="H241" i="37"/>
  <c r="G241" i="37"/>
  <c r="F241" i="37"/>
  <c r="AK198" i="37"/>
  <c r="AJ198" i="37"/>
  <c r="AI198" i="37"/>
  <c r="AH198" i="37"/>
  <c r="AG198" i="37"/>
  <c r="AF198" i="37"/>
  <c r="AE198" i="37"/>
  <c r="AD198" i="37"/>
  <c r="AC198" i="37"/>
  <c r="AB198" i="37"/>
  <c r="AA198" i="37"/>
  <c r="Z198" i="37"/>
  <c r="Y198" i="37"/>
  <c r="X198" i="37"/>
  <c r="W198" i="37"/>
  <c r="V198" i="37"/>
  <c r="U198" i="37"/>
  <c r="T198" i="37"/>
  <c r="S198" i="37"/>
  <c r="R198" i="37"/>
  <c r="Q198" i="37"/>
  <c r="P198" i="37"/>
  <c r="O198" i="37"/>
  <c r="N198" i="37"/>
  <c r="M198" i="37"/>
  <c r="L198" i="37"/>
  <c r="K198" i="37"/>
  <c r="J198" i="37"/>
  <c r="I198" i="37"/>
  <c r="H198" i="37"/>
  <c r="G198" i="37"/>
  <c r="F198" i="37"/>
  <c r="AK197" i="37"/>
  <c r="AJ197" i="37"/>
  <c r="AI197" i="37"/>
  <c r="AH197" i="37"/>
  <c r="AG197" i="37"/>
  <c r="AF197" i="37"/>
  <c r="AE197" i="37"/>
  <c r="AD197" i="37"/>
  <c r="AC197" i="37"/>
  <c r="AB197" i="37"/>
  <c r="AA197" i="37"/>
  <c r="Z197" i="37"/>
  <c r="Y197" i="37"/>
  <c r="X197" i="37"/>
  <c r="W197" i="37"/>
  <c r="V197" i="37"/>
  <c r="U197" i="37"/>
  <c r="T197" i="37"/>
  <c r="S197" i="37"/>
  <c r="R197" i="37"/>
  <c r="Q197" i="37"/>
  <c r="P197" i="37"/>
  <c r="O197" i="37"/>
  <c r="N197" i="37"/>
  <c r="M197" i="37"/>
  <c r="L197" i="37"/>
  <c r="K197" i="37"/>
  <c r="J197" i="37"/>
  <c r="I197" i="37"/>
  <c r="H197" i="37"/>
  <c r="G197" i="37"/>
  <c r="F197" i="37"/>
  <c r="AK196" i="37"/>
  <c r="AJ196" i="37"/>
  <c r="AI196" i="37"/>
  <c r="AH196" i="37"/>
  <c r="AG196" i="37"/>
  <c r="AF196" i="37"/>
  <c r="AE196" i="37"/>
  <c r="AD196" i="37"/>
  <c r="AC196" i="37"/>
  <c r="AB196" i="37"/>
  <c r="AA196" i="37"/>
  <c r="Z196" i="37"/>
  <c r="Y196" i="37"/>
  <c r="X196" i="37"/>
  <c r="W196" i="37"/>
  <c r="V196" i="37"/>
  <c r="U196" i="37"/>
  <c r="T196" i="37"/>
  <c r="S196" i="37"/>
  <c r="R196" i="37"/>
  <c r="Q196" i="37"/>
  <c r="P196" i="37"/>
  <c r="O196" i="37"/>
  <c r="N196" i="37"/>
  <c r="M196" i="37"/>
  <c r="L196" i="37"/>
  <c r="K196" i="37"/>
  <c r="J196" i="37"/>
  <c r="I196" i="37"/>
  <c r="H196" i="37"/>
  <c r="G196" i="37"/>
  <c r="F196" i="37"/>
  <c r="AK195" i="37"/>
  <c r="AJ195" i="37"/>
  <c r="AI195" i="37"/>
  <c r="AH195" i="37"/>
  <c r="AG195" i="37"/>
  <c r="AF195" i="37"/>
  <c r="AE195" i="37"/>
  <c r="AD195" i="37"/>
  <c r="AC195" i="37"/>
  <c r="AB195" i="37"/>
  <c r="AA195" i="37"/>
  <c r="Z195" i="37"/>
  <c r="Y195" i="37"/>
  <c r="X195" i="37"/>
  <c r="W195" i="37"/>
  <c r="V195" i="37"/>
  <c r="U195" i="37"/>
  <c r="T195" i="37"/>
  <c r="S195" i="37"/>
  <c r="R195" i="37"/>
  <c r="Q195" i="37"/>
  <c r="P195" i="37"/>
  <c r="O195" i="37"/>
  <c r="N195" i="37"/>
  <c r="M195" i="37"/>
  <c r="L195" i="37"/>
  <c r="K195" i="37"/>
  <c r="J195" i="37"/>
  <c r="I195" i="37"/>
  <c r="H195" i="37"/>
  <c r="G195" i="37"/>
  <c r="F195" i="37"/>
  <c r="AK194" i="37"/>
  <c r="AJ194" i="37"/>
  <c r="AI194" i="37"/>
  <c r="AH194" i="37"/>
  <c r="AG194" i="37"/>
  <c r="AF194" i="37"/>
  <c r="AE194" i="37"/>
  <c r="AD194" i="37"/>
  <c r="AC194" i="37"/>
  <c r="AB194" i="37"/>
  <c r="AA194" i="37"/>
  <c r="Z194" i="37"/>
  <c r="Y194" i="37"/>
  <c r="X194" i="37"/>
  <c r="W194" i="37"/>
  <c r="V194" i="37"/>
  <c r="U194" i="37"/>
  <c r="T194" i="37"/>
  <c r="S194" i="37"/>
  <c r="R194" i="37"/>
  <c r="Q194" i="37"/>
  <c r="P194" i="37"/>
  <c r="O194" i="37"/>
  <c r="N194" i="37"/>
  <c r="M194" i="37"/>
  <c r="L194" i="37"/>
  <c r="K194" i="37"/>
  <c r="J194" i="37"/>
  <c r="I194" i="37"/>
  <c r="H194" i="37"/>
  <c r="G194" i="37"/>
  <c r="F194" i="37"/>
  <c r="AK193" i="37"/>
  <c r="AJ193" i="37"/>
  <c r="AI193" i="37"/>
  <c r="AH193" i="37"/>
  <c r="AG193" i="37"/>
  <c r="AF193" i="37"/>
  <c r="AE193" i="37"/>
  <c r="AD193" i="37"/>
  <c r="AC193" i="37"/>
  <c r="AB193" i="37"/>
  <c r="AA193" i="37"/>
  <c r="Z193" i="37"/>
  <c r="Y193" i="37"/>
  <c r="X193" i="37"/>
  <c r="W193" i="37"/>
  <c r="V193" i="37"/>
  <c r="U193" i="37"/>
  <c r="T193" i="37"/>
  <c r="S193" i="37"/>
  <c r="R193" i="37"/>
  <c r="Q193" i="37"/>
  <c r="P193" i="37"/>
  <c r="O193" i="37"/>
  <c r="N193" i="37"/>
  <c r="M193" i="37"/>
  <c r="L193" i="37"/>
  <c r="K193" i="37"/>
  <c r="J193" i="37"/>
  <c r="I193" i="37"/>
  <c r="H193" i="37"/>
  <c r="G193" i="37"/>
  <c r="F193" i="37"/>
  <c r="U186" i="37"/>
  <c r="T186" i="37"/>
  <c r="S186" i="37"/>
  <c r="R186" i="37"/>
  <c r="Q186" i="37"/>
  <c r="P186" i="37"/>
  <c r="O186" i="37"/>
  <c r="N186" i="37"/>
  <c r="M186" i="37"/>
  <c r="L186" i="37"/>
  <c r="K186" i="37"/>
  <c r="J186" i="37"/>
  <c r="I186" i="37"/>
  <c r="H186" i="37"/>
  <c r="G186" i="37"/>
  <c r="F186" i="37"/>
  <c r="U185" i="37"/>
  <c r="T185" i="37"/>
  <c r="S185" i="37"/>
  <c r="R185" i="37"/>
  <c r="Q185" i="37"/>
  <c r="P185" i="37"/>
  <c r="O185" i="37"/>
  <c r="N185" i="37"/>
  <c r="M185" i="37"/>
  <c r="L185" i="37"/>
  <c r="K185" i="37"/>
  <c r="J185" i="37"/>
  <c r="I185" i="37"/>
  <c r="H185" i="37"/>
  <c r="G185" i="37"/>
  <c r="F185" i="37"/>
  <c r="U184" i="37"/>
  <c r="T184" i="37"/>
  <c r="S184" i="37"/>
  <c r="R184" i="37"/>
  <c r="Q184" i="37"/>
  <c r="P184" i="37"/>
  <c r="O184" i="37"/>
  <c r="N184" i="37"/>
  <c r="M184" i="37"/>
  <c r="L184" i="37"/>
  <c r="K184" i="37"/>
  <c r="J184" i="37"/>
  <c r="I184" i="37"/>
  <c r="H184" i="37"/>
  <c r="G184" i="37"/>
  <c r="F184" i="37"/>
  <c r="U183" i="37"/>
  <c r="T183" i="37"/>
  <c r="S183" i="37"/>
  <c r="R183" i="37"/>
  <c r="Q183" i="37"/>
  <c r="P183" i="37"/>
  <c r="O183" i="37"/>
  <c r="N183" i="37"/>
  <c r="M183" i="37"/>
  <c r="L183" i="37"/>
  <c r="K183" i="37"/>
  <c r="J183" i="37"/>
  <c r="I183" i="37"/>
  <c r="H183" i="37"/>
  <c r="G183" i="37"/>
  <c r="F183" i="37"/>
  <c r="U182" i="37"/>
  <c r="T182" i="37"/>
  <c r="S182" i="37"/>
  <c r="R182" i="37"/>
  <c r="Q182" i="37"/>
  <c r="P182" i="37"/>
  <c r="O182" i="37"/>
  <c r="N182" i="37"/>
  <c r="M182" i="37"/>
  <c r="L182" i="37"/>
  <c r="K182" i="37"/>
  <c r="J182" i="37"/>
  <c r="I182" i="37"/>
  <c r="H182" i="37"/>
  <c r="G182" i="37"/>
  <c r="F182" i="37"/>
  <c r="U181" i="37"/>
  <c r="T181" i="37"/>
  <c r="S181" i="37"/>
  <c r="R181" i="37"/>
  <c r="Q181" i="37"/>
  <c r="P181" i="37"/>
  <c r="O181" i="37"/>
  <c r="N181" i="37"/>
  <c r="M181" i="37"/>
  <c r="L181" i="37"/>
  <c r="K181" i="37"/>
  <c r="J181" i="37"/>
  <c r="I181" i="37"/>
  <c r="H181" i="37"/>
  <c r="G181" i="37"/>
  <c r="F181" i="37"/>
  <c r="IY35" i="37"/>
  <c r="IX35" i="37"/>
  <c r="IW35" i="37"/>
  <c r="IV35" i="37"/>
  <c r="IT35" i="37"/>
  <c r="IS35" i="37"/>
  <c r="IR35" i="37"/>
  <c r="IQ35" i="37"/>
  <c r="IP35" i="37"/>
  <c r="IO35" i="37"/>
  <c r="IN35" i="37"/>
  <c r="IM35" i="37"/>
  <c r="IL35" i="37"/>
  <c r="IK35" i="37"/>
  <c r="IJ35" i="37"/>
  <c r="II35" i="37"/>
  <c r="IH35" i="37"/>
  <c r="IG35" i="37"/>
  <c r="IF35" i="37"/>
  <c r="IE35" i="37"/>
  <c r="ID35" i="37"/>
  <c r="IC35" i="37"/>
  <c r="IB35" i="37"/>
  <c r="IA35" i="37"/>
  <c r="HZ35" i="37"/>
  <c r="HY35" i="37"/>
  <c r="HX35" i="37"/>
  <c r="HW35" i="37"/>
  <c r="HV35" i="37"/>
  <c r="HT35" i="37"/>
  <c r="HR35" i="37"/>
  <c r="HQ35" i="37"/>
  <c r="HO35" i="37"/>
  <c r="HN35" i="37"/>
  <c r="HM35" i="37"/>
  <c r="HL35" i="37"/>
  <c r="HK35" i="37"/>
  <c r="HJ35" i="37"/>
  <c r="HI35" i="37"/>
  <c r="HH35" i="37"/>
  <c r="HG35" i="37"/>
  <c r="HF35" i="37"/>
  <c r="HE35" i="37"/>
  <c r="HD35" i="37"/>
  <c r="HC35" i="37"/>
  <c r="HB35" i="37"/>
  <c r="HA35" i="37"/>
  <c r="GZ35" i="37"/>
  <c r="GX35" i="37"/>
  <c r="GW35" i="37"/>
  <c r="GV35" i="37"/>
  <c r="GU35" i="37"/>
  <c r="GT35" i="37"/>
  <c r="GS35" i="37"/>
  <c r="GR35" i="37"/>
  <c r="GQ35" i="37"/>
  <c r="GP35" i="37"/>
  <c r="GO35" i="37"/>
  <c r="GN35" i="37"/>
  <c r="GL35" i="37"/>
  <c r="GJ35" i="37"/>
  <c r="GI35" i="37"/>
  <c r="GH35" i="37"/>
  <c r="GG35" i="37"/>
  <c r="GF35" i="37"/>
  <c r="GE35" i="37"/>
  <c r="GD35" i="37"/>
  <c r="GC35" i="37"/>
  <c r="GB35" i="37"/>
  <c r="GA35" i="37"/>
  <c r="FZ35" i="37"/>
  <c r="FY35" i="37"/>
  <c r="FX35" i="37"/>
  <c r="FW35" i="37"/>
  <c r="FV35" i="37"/>
  <c r="FU35" i="37"/>
  <c r="FT35" i="37"/>
  <c r="FS35" i="37"/>
  <c r="FR35" i="37"/>
  <c r="FQ35" i="37"/>
  <c r="FP35" i="37"/>
  <c r="FO35" i="37"/>
  <c r="FN35" i="37"/>
  <c r="FM35" i="37"/>
  <c r="FL35" i="37"/>
  <c r="FK35" i="37"/>
  <c r="FJ35" i="37"/>
  <c r="FI35" i="37"/>
  <c r="FH35" i="37"/>
  <c r="FG35" i="37"/>
  <c r="FF35" i="37"/>
  <c r="FD35" i="37"/>
  <c r="FB35" i="37"/>
  <c r="FA35" i="37"/>
  <c r="EZ35" i="37"/>
  <c r="EY35" i="37"/>
  <c r="EX35" i="37"/>
  <c r="EW35" i="37"/>
  <c r="EV35" i="37"/>
  <c r="EU35" i="37"/>
  <c r="ET35" i="37"/>
  <c r="ES35" i="37"/>
  <c r="ER35" i="37"/>
  <c r="EQ35" i="37"/>
  <c r="EP35" i="37"/>
  <c r="EO35" i="37"/>
  <c r="EN35" i="37"/>
  <c r="EM35" i="37"/>
  <c r="EL35" i="37"/>
  <c r="EK35" i="37"/>
  <c r="EJ35" i="37"/>
  <c r="EI35" i="37"/>
  <c r="EH35" i="37"/>
  <c r="EG35" i="37"/>
  <c r="EF35" i="37"/>
  <c r="EE35" i="37"/>
  <c r="ED35" i="37"/>
  <c r="EC35" i="37"/>
  <c r="EB35" i="37"/>
  <c r="EA35" i="37"/>
  <c r="DZ35" i="37"/>
  <c r="DY35" i="37"/>
  <c r="DX35" i="37"/>
  <c r="DW35" i="37"/>
  <c r="DV35" i="37"/>
  <c r="DU35" i="37"/>
  <c r="DT35" i="37"/>
  <c r="DS35" i="37"/>
  <c r="DR35" i="37"/>
  <c r="DQ35" i="37"/>
  <c r="DP35" i="37"/>
  <c r="DO35" i="37"/>
  <c r="DN35" i="37"/>
  <c r="DM35" i="37"/>
  <c r="DL35" i="37"/>
  <c r="DK35" i="37"/>
  <c r="DJ35" i="37"/>
  <c r="DI35" i="37"/>
  <c r="DH35" i="37"/>
  <c r="DG35" i="37"/>
  <c r="DF35" i="37"/>
  <c r="DE35" i="37"/>
  <c r="DD35" i="37"/>
  <c r="DC35" i="37"/>
  <c r="DB35" i="37"/>
  <c r="DA35" i="37"/>
  <c r="CZ35" i="37"/>
  <c r="CY35" i="37"/>
  <c r="CX35" i="37"/>
  <c r="CW35" i="37"/>
  <c r="CV35" i="37"/>
  <c r="CU35" i="37"/>
  <c r="CT35" i="37"/>
  <c r="CS35" i="37"/>
  <c r="CR35" i="37"/>
  <c r="CQ35" i="37"/>
  <c r="CP35" i="37"/>
  <c r="CO35" i="37"/>
  <c r="CN35" i="37"/>
  <c r="CM35" i="37"/>
  <c r="CL35" i="37"/>
  <c r="CK35" i="37"/>
  <c r="CJ35" i="37"/>
  <c r="CI35" i="37"/>
  <c r="CH35" i="37"/>
  <c r="CG35" i="37"/>
  <c r="CF35" i="37"/>
  <c r="CE35" i="37"/>
  <c r="CD35" i="37"/>
  <c r="CC35" i="37"/>
  <c r="CB35" i="37"/>
  <c r="CA35" i="37"/>
  <c r="BZ35" i="37"/>
  <c r="BY35" i="37"/>
  <c r="BX35" i="37"/>
  <c r="BW35" i="37"/>
  <c r="BV35" i="37"/>
  <c r="BU35" i="37"/>
  <c r="BT35" i="37"/>
  <c r="BS35" i="37"/>
  <c r="BR35" i="37"/>
  <c r="BQ35" i="37"/>
  <c r="BP35" i="37"/>
  <c r="BO35" i="37"/>
  <c r="BN35" i="37"/>
  <c r="BM35" i="37"/>
  <c r="BL35" i="37"/>
  <c r="BK35" i="37"/>
  <c r="BJ35" i="37"/>
  <c r="BI35" i="37"/>
  <c r="BH35" i="37"/>
  <c r="BG35" i="37"/>
  <c r="BF35" i="37"/>
  <c r="BE35" i="37"/>
  <c r="BD35" i="37"/>
  <c r="BC35" i="37"/>
  <c r="BB35" i="37"/>
  <c r="BA35" i="37"/>
  <c r="AZ35" i="37"/>
  <c r="AY35" i="37"/>
  <c r="AX35" i="37"/>
  <c r="AW35" i="37"/>
  <c r="AV35" i="37"/>
  <c r="AU35" i="37"/>
  <c r="AT35" i="37"/>
  <c r="AS35" i="37"/>
  <c r="AR35" i="37"/>
  <c r="AQ35" i="37"/>
  <c r="AP35" i="37"/>
  <c r="AO35" i="37"/>
  <c r="AN35" i="37"/>
  <c r="AM35" i="37"/>
  <c r="AL35" i="37"/>
  <c r="AK35" i="37"/>
  <c r="AJ35" i="37"/>
  <c r="AI35" i="37"/>
  <c r="AH35" i="37"/>
  <c r="AG35" i="37"/>
  <c r="AF35" i="37"/>
  <c r="AE35" i="37"/>
  <c r="AD35" i="37"/>
  <c r="AC35" i="37"/>
  <c r="AB35" i="37"/>
  <c r="AA35" i="37"/>
  <c r="Z35" i="37"/>
  <c r="Y35" i="37"/>
  <c r="X35" i="37"/>
  <c r="W35" i="37"/>
  <c r="V35" i="37"/>
  <c r="U35" i="37"/>
  <c r="T35" i="37"/>
  <c r="S35" i="37"/>
  <c r="R35" i="37"/>
  <c r="Q35" i="37"/>
  <c r="P35" i="37"/>
  <c r="O35" i="37"/>
  <c r="N35" i="37"/>
  <c r="M35" i="37"/>
  <c r="L35" i="37"/>
  <c r="K35" i="37"/>
  <c r="J35" i="37"/>
  <c r="I35" i="37"/>
  <c r="H35" i="37"/>
  <c r="G35" i="37"/>
  <c r="F35" i="37"/>
  <c r="E35" i="37"/>
  <c r="D35" i="37"/>
  <c r="IY34" i="37"/>
  <c r="IX34" i="37"/>
  <c r="IW34" i="37"/>
  <c r="IV34" i="37"/>
  <c r="IT34" i="37"/>
  <c r="IS34" i="37"/>
  <c r="IR34" i="37"/>
  <c r="IQ34" i="37"/>
  <c r="IP34" i="37"/>
  <c r="IO34" i="37"/>
  <c r="IN34" i="37"/>
  <c r="IM34" i="37"/>
  <c r="IL34" i="37"/>
  <c r="IK34" i="37"/>
  <c r="IJ34" i="37"/>
  <c r="II34" i="37"/>
  <c r="IH34" i="37"/>
  <c r="IG34" i="37"/>
  <c r="IF34" i="37"/>
  <c r="IE34" i="37"/>
  <c r="ID34" i="37"/>
  <c r="IC34" i="37"/>
  <c r="IB34" i="37"/>
  <c r="IA34" i="37"/>
  <c r="HZ34" i="37"/>
  <c r="HY34" i="37"/>
  <c r="HX34" i="37"/>
  <c r="HW34" i="37"/>
  <c r="HV34" i="37"/>
  <c r="HT34" i="37"/>
  <c r="HR34" i="37"/>
  <c r="HQ34" i="37"/>
  <c r="HO34" i="37"/>
  <c r="HN34" i="37"/>
  <c r="HM34" i="37"/>
  <c r="HL34" i="37"/>
  <c r="HK34" i="37"/>
  <c r="HJ34" i="37"/>
  <c r="HI34" i="37"/>
  <c r="HH34" i="37"/>
  <c r="HG34" i="37"/>
  <c r="HF34" i="37"/>
  <c r="HE34" i="37"/>
  <c r="HD34" i="37"/>
  <c r="HC34" i="37"/>
  <c r="HB34" i="37"/>
  <c r="HA34" i="37"/>
  <c r="GZ34" i="37"/>
  <c r="GX34" i="37"/>
  <c r="GW34" i="37"/>
  <c r="GV34" i="37"/>
  <c r="GU34" i="37"/>
  <c r="GT34" i="37"/>
  <c r="GS34" i="37"/>
  <c r="GR34" i="37"/>
  <c r="GQ34" i="37"/>
  <c r="GP34" i="37"/>
  <c r="GO34" i="37"/>
  <c r="GN34" i="37"/>
  <c r="GL34" i="37"/>
  <c r="GJ34" i="37"/>
  <c r="GI34" i="37"/>
  <c r="GH34" i="37"/>
  <c r="GG34" i="37"/>
  <c r="GF34" i="37"/>
  <c r="GE34" i="37"/>
  <c r="GD34" i="37"/>
  <c r="GC34" i="37"/>
  <c r="GB34" i="37"/>
  <c r="GA34" i="37"/>
  <c r="FZ34" i="37"/>
  <c r="FY34" i="37"/>
  <c r="FX34" i="37"/>
  <c r="FW34" i="37"/>
  <c r="FV34" i="37"/>
  <c r="FU34" i="37"/>
  <c r="FT34" i="37"/>
  <c r="FS34" i="37"/>
  <c r="FR34" i="37"/>
  <c r="FQ34" i="37"/>
  <c r="FP34" i="37"/>
  <c r="FO34" i="37"/>
  <c r="FN34" i="37"/>
  <c r="FM34" i="37"/>
  <c r="FL34" i="37"/>
  <c r="FK34" i="37"/>
  <c r="FJ34" i="37"/>
  <c r="FI34" i="37"/>
  <c r="FH34" i="37"/>
  <c r="FG34" i="37"/>
  <c r="FF34" i="37"/>
  <c r="FD34" i="37"/>
  <c r="FB34" i="37"/>
  <c r="FA34" i="37"/>
  <c r="EZ34" i="37"/>
  <c r="EY34" i="37"/>
  <c r="EX34" i="37"/>
  <c r="EW34" i="37"/>
  <c r="EV34" i="37"/>
  <c r="EU34" i="37"/>
  <c r="ET34" i="37"/>
  <c r="ES34" i="37"/>
  <c r="ER34" i="37"/>
  <c r="EQ34" i="37"/>
  <c r="EP34" i="37"/>
  <c r="EO34" i="37"/>
  <c r="EN34" i="37"/>
  <c r="EM34" i="37"/>
  <c r="EL34" i="37"/>
  <c r="EK34" i="37"/>
  <c r="EJ34" i="37"/>
  <c r="EI34" i="37"/>
  <c r="EH34" i="37"/>
  <c r="EG34" i="37"/>
  <c r="EF34" i="37"/>
  <c r="EE34" i="37"/>
  <c r="ED34" i="37"/>
  <c r="EC34" i="37"/>
  <c r="EB34" i="37"/>
  <c r="EA34" i="37"/>
  <c r="DZ34" i="37"/>
  <c r="DY34" i="37"/>
  <c r="DX34" i="37"/>
  <c r="DW34" i="37"/>
  <c r="DV34" i="37"/>
  <c r="DU34" i="37"/>
  <c r="DT34" i="37"/>
  <c r="DS34" i="37"/>
  <c r="DR34" i="37"/>
  <c r="DQ34" i="37"/>
  <c r="DP34" i="37"/>
  <c r="DO34" i="37"/>
  <c r="DN34" i="37"/>
  <c r="DM34" i="37"/>
  <c r="DL34" i="37"/>
  <c r="DK34" i="37"/>
  <c r="DJ34" i="37"/>
  <c r="DI34" i="37"/>
  <c r="DH34" i="37"/>
  <c r="DG34" i="37"/>
  <c r="DF34" i="37"/>
  <c r="DE34" i="37"/>
  <c r="DD34" i="37"/>
  <c r="DC34" i="37"/>
  <c r="DB34" i="37"/>
  <c r="DA34" i="37"/>
  <c r="CZ34" i="37"/>
  <c r="CY34" i="37"/>
  <c r="CX34" i="37"/>
  <c r="CW34" i="37"/>
  <c r="CV34" i="37"/>
  <c r="CU34" i="37"/>
  <c r="CT34" i="37"/>
  <c r="CS34" i="37"/>
  <c r="CR34" i="37"/>
  <c r="CQ34" i="37"/>
  <c r="CP34" i="37"/>
  <c r="CO34" i="37"/>
  <c r="CN34" i="37"/>
  <c r="CM34" i="37"/>
  <c r="CL34" i="37"/>
  <c r="CK34" i="37"/>
  <c r="CJ34" i="37"/>
  <c r="CI34" i="37"/>
  <c r="CH34" i="37"/>
  <c r="CG34" i="37"/>
  <c r="CF34" i="37"/>
  <c r="CE34" i="37"/>
  <c r="CD34" i="37"/>
  <c r="CC34" i="37"/>
  <c r="CB34" i="37"/>
  <c r="CA34" i="37"/>
  <c r="BZ34" i="37"/>
  <c r="BY34" i="37"/>
  <c r="BX34" i="37"/>
  <c r="BW34" i="37"/>
  <c r="BV34" i="37"/>
  <c r="BU34" i="37"/>
  <c r="BT34" i="37"/>
  <c r="BS34" i="37"/>
  <c r="BR34" i="37"/>
  <c r="BQ34" i="37"/>
  <c r="BP34" i="37"/>
  <c r="BO34" i="37"/>
  <c r="BN34" i="37"/>
  <c r="BM34" i="37"/>
  <c r="BL34" i="37"/>
  <c r="BK34" i="37"/>
  <c r="BJ34" i="37"/>
  <c r="BI34" i="37"/>
  <c r="BH34" i="37"/>
  <c r="BG34" i="37"/>
  <c r="BF34" i="37"/>
  <c r="BE34" i="37"/>
  <c r="BD34" i="37"/>
  <c r="BC34" i="37"/>
  <c r="BB34" i="37"/>
  <c r="BA34" i="37"/>
  <c r="AZ34" i="37"/>
  <c r="AY34" i="37"/>
  <c r="AX34" i="37"/>
  <c r="AW34" i="37"/>
  <c r="AV34" i="37"/>
  <c r="AU34" i="37"/>
  <c r="AT34" i="37"/>
  <c r="AS34" i="37"/>
  <c r="AR34" i="37"/>
  <c r="AQ34" i="37"/>
  <c r="AP34" i="37"/>
  <c r="AO34" i="37"/>
  <c r="AN34" i="37"/>
  <c r="AM34" i="37"/>
  <c r="AL34" i="37"/>
  <c r="AK34" i="37"/>
  <c r="AJ34" i="37"/>
  <c r="AI34" i="37"/>
  <c r="AH34" i="37"/>
  <c r="AG34" i="37"/>
  <c r="AF34" i="37"/>
  <c r="AE34" i="37"/>
  <c r="AD34" i="37"/>
  <c r="AC34" i="37"/>
  <c r="AB34" i="37"/>
  <c r="AA34" i="37"/>
  <c r="Z34" i="37"/>
  <c r="Y34" i="37"/>
  <c r="X34" i="37"/>
  <c r="W34" i="37"/>
  <c r="V34" i="37"/>
  <c r="U34" i="37"/>
  <c r="T34" i="37"/>
  <c r="S34" i="37"/>
  <c r="R34" i="37"/>
  <c r="Q34" i="37"/>
  <c r="P34" i="37"/>
  <c r="O34" i="37"/>
  <c r="N34" i="37"/>
  <c r="M34" i="37"/>
  <c r="L34" i="37"/>
  <c r="K34" i="37"/>
  <c r="J34" i="37"/>
  <c r="I34" i="37"/>
  <c r="H34" i="37"/>
  <c r="G34" i="37"/>
  <c r="F34" i="37"/>
  <c r="E34" i="37"/>
  <c r="D34" i="37"/>
  <c r="IY33" i="37"/>
  <c r="IX33" i="37"/>
  <c r="IW33" i="37"/>
  <c r="IV33" i="37"/>
  <c r="IT33" i="37"/>
  <c r="IS33" i="37"/>
  <c r="IR33" i="37"/>
  <c r="IQ33" i="37"/>
  <c r="IP33" i="37"/>
  <c r="IO33" i="37"/>
  <c r="IN33" i="37"/>
  <c r="IM33" i="37"/>
  <c r="IL33" i="37"/>
  <c r="IK33" i="37"/>
  <c r="IJ33" i="37"/>
  <c r="II33" i="37"/>
  <c r="IH33" i="37"/>
  <c r="IG33" i="37"/>
  <c r="IF33" i="37"/>
  <c r="IE33" i="37"/>
  <c r="ID33" i="37"/>
  <c r="IC33" i="37"/>
  <c r="IB33" i="37"/>
  <c r="IA33" i="37"/>
  <c r="HZ33" i="37"/>
  <c r="HY33" i="37"/>
  <c r="HX33" i="37"/>
  <c r="HW33" i="37"/>
  <c r="HV33" i="37"/>
  <c r="HT33" i="37"/>
  <c r="HR33" i="37"/>
  <c r="HQ33" i="37"/>
  <c r="HO33" i="37"/>
  <c r="HN33" i="37"/>
  <c r="HM33" i="37"/>
  <c r="HL33" i="37"/>
  <c r="HK33" i="37"/>
  <c r="HJ33" i="37"/>
  <c r="HI33" i="37"/>
  <c r="HH33" i="37"/>
  <c r="HG33" i="37"/>
  <c r="HF33" i="37"/>
  <c r="HE33" i="37"/>
  <c r="HD33" i="37"/>
  <c r="HC33" i="37"/>
  <c r="HB33" i="37"/>
  <c r="HA33" i="37"/>
  <c r="GZ33" i="37"/>
  <c r="GX33" i="37"/>
  <c r="GW33" i="37"/>
  <c r="GV33" i="37"/>
  <c r="GU33" i="37"/>
  <c r="GT33" i="37"/>
  <c r="GS33" i="37"/>
  <c r="GR33" i="37"/>
  <c r="GQ33" i="37"/>
  <c r="GP33" i="37"/>
  <c r="GO33" i="37"/>
  <c r="GN33" i="37"/>
  <c r="GL33" i="37"/>
  <c r="GJ33" i="37"/>
  <c r="GI33" i="37"/>
  <c r="GH33" i="37"/>
  <c r="GG33" i="37"/>
  <c r="GF33" i="37"/>
  <c r="GE33" i="37"/>
  <c r="GD33" i="37"/>
  <c r="GC33" i="37"/>
  <c r="GB33" i="37"/>
  <c r="GA33" i="37"/>
  <c r="FZ33" i="37"/>
  <c r="FY33" i="37"/>
  <c r="FX33" i="37"/>
  <c r="FW33" i="37"/>
  <c r="FV33" i="37"/>
  <c r="FU33" i="37"/>
  <c r="FT33" i="37"/>
  <c r="FS33" i="37"/>
  <c r="FR33" i="37"/>
  <c r="FQ33" i="37"/>
  <c r="FP33" i="37"/>
  <c r="FO33" i="37"/>
  <c r="FN33" i="37"/>
  <c r="FM33" i="37"/>
  <c r="FL33" i="37"/>
  <c r="FK33" i="37"/>
  <c r="FJ33" i="37"/>
  <c r="FI33" i="37"/>
  <c r="FH33" i="37"/>
  <c r="FG33" i="37"/>
  <c r="FF33" i="37"/>
  <c r="FD33" i="37"/>
  <c r="FB33" i="37"/>
  <c r="FA33" i="37"/>
  <c r="EZ33" i="37"/>
  <c r="EY33" i="37"/>
  <c r="EX33" i="37"/>
  <c r="EW33" i="37"/>
  <c r="EV33" i="37"/>
  <c r="EU33" i="37"/>
  <c r="ET33" i="37"/>
  <c r="ES33" i="37"/>
  <c r="ER33" i="37"/>
  <c r="EQ33" i="37"/>
  <c r="EP33" i="37"/>
  <c r="EO33" i="37"/>
  <c r="EN33" i="37"/>
  <c r="EM33" i="37"/>
  <c r="EL33" i="37"/>
  <c r="EK33" i="37"/>
  <c r="EJ33" i="37"/>
  <c r="EI33" i="37"/>
  <c r="EH33" i="37"/>
  <c r="EG33" i="37"/>
  <c r="EF33" i="37"/>
  <c r="EE33" i="37"/>
  <c r="ED33" i="37"/>
  <c r="EC33" i="37"/>
  <c r="EB33" i="37"/>
  <c r="EA33" i="37"/>
  <c r="DZ33" i="37"/>
  <c r="DY33" i="37"/>
  <c r="DX33" i="37"/>
  <c r="DW33" i="37"/>
  <c r="DV33" i="37"/>
  <c r="DU33" i="37"/>
  <c r="DT33" i="37"/>
  <c r="DS33" i="37"/>
  <c r="DR33" i="37"/>
  <c r="DQ33" i="37"/>
  <c r="DP33" i="37"/>
  <c r="DO33" i="37"/>
  <c r="DN33" i="37"/>
  <c r="DM33" i="37"/>
  <c r="DL33" i="37"/>
  <c r="DK33" i="37"/>
  <c r="DJ33" i="37"/>
  <c r="DI33" i="37"/>
  <c r="DH33" i="37"/>
  <c r="DG33" i="37"/>
  <c r="DF33" i="37"/>
  <c r="DE33" i="37"/>
  <c r="DD33" i="37"/>
  <c r="DC33" i="37"/>
  <c r="DB33" i="37"/>
  <c r="DA33" i="37"/>
  <c r="CZ33" i="37"/>
  <c r="CY33" i="37"/>
  <c r="CX33" i="37"/>
  <c r="CW33" i="37"/>
  <c r="CV33" i="37"/>
  <c r="CU33" i="37"/>
  <c r="CT33" i="37"/>
  <c r="CS33" i="37"/>
  <c r="CR33" i="37"/>
  <c r="CQ33" i="37"/>
  <c r="CP33" i="37"/>
  <c r="CO33" i="37"/>
  <c r="CN33" i="37"/>
  <c r="CM33" i="37"/>
  <c r="CL33" i="37"/>
  <c r="CK33" i="37"/>
  <c r="CJ33" i="37"/>
  <c r="CI33" i="37"/>
  <c r="CH33" i="37"/>
  <c r="CG33" i="37"/>
  <c r="CF33" i="37"/>
  <c r="CE33" i="37"/>
  <c r="CD33" i="37"/>
  <c r="CC33" i="37"/>
  <c r="CB33" i="37"/>
  <c r="CA33" i="37"/>
  <c r="BZ33" i="37"/>
  <c r="BY33" i="37"/>
  <c r="BX33" i="37"/>
  <c r="BW33" i="37"/>
  <c r="BV33" i="37"/>
  <c r="BU33" i="37"/>
  <c r="BT33" i="37"/>
  <c r="BS33" i="37"/>
  <c r="BR33" i="37"/>
  <c r="BQ33" i="37"/>
  <c r="BP33" i="37"/>
  <c r="BO33" i="37"/>
  <c r="BN33" i="37"/>
  <c r="BM33" i="37"/>
  <c r="BL33" i="37"/>
  <c r="BK33" i="37"/>
  <c r="BJ33" i="37"/>
  <c r="BI33" i="37"/>
  <c r="BH33" i="37"/>
  <c r="BG33" i="37"/>
  <c r="BF33" i="37"/>
  <c r="BE33" i="37"/>
  <c r="BD33" i="37"/>
  <c r="BC33" i="37"/>
  <c r="BB33" i="37"/>
  <c r="BA33" i="37"/>
  <c r="AZ33" i="37"/>
  <c r="AY33" i="37"/>
  <c r="AX33" i="37"/>
  <c r="AW33" i="37"/>
  <c r="AV33" i="37"/>
  <c r="AU33" i="37"/>
  <c r="AT33" i="37"/>
  <c r="AS33" i="37"/>
  <c r="AR33" i="37"/>
  <c r="AQ33" i="37"/>
  <c r="AP33" i="37"/>
  <c r="AO33" i="37"/>
  <c r="AN33" i="37"/>
  <c r="AM33" i="37"/>
  <c r="AL33" i="37"/>
  <c r="AK33" i="37"/>
  <c r="AJ33" i="37"/>
  <c r="AI33" i="37"/>
  <c r="AH33" i="37"/>
  <c r="AG33" i="37"/>
  <c r="AF33" i="37"/>
  <c r="AE33" i="37"/>
  <c r="AD33" i="37"/>
  <c r="AC33" i="37"/>
  <c r="AB33" i="37"/>
  <c r="AA33" i="37"/>
  <c r="Z33" i="37"/>
  <c r="Y33" i="37"/>
  <c r="X33" i="37"/>
  <c r="W33" i="37"/>
  <c r="V33" i="37"/>
  <c r="U33" i="37"/>
  <c r="T33" i="37"/>
  <c r="S33" i="37"/>
  <c r="R33" i="37"/>
  <c r="Q33" i="37"/>
  <c r="P33" i="37"/>
  <c r="O33" i="37"/>
  <c r="N33" i="37"/>
  <c r="M33" i="37"/>
  <c r="L33" i="37"/>
  <c r="K33" i="37"/>
  <c r="J33" i="37"/>
  <c r="I33" i="37"/>
  <c r="H33" i="37"/>
  <c r="G33" i="37"/>
  <c r="F33" i="37"/>
  <c r="E33" i="37"/>
  <c r="D33" i="37"/>
  <c r="IY32" i="37"/>
  <c r="IX32" i="37"/>
  <c r="IW32" i="37"/>
  <c r="IV32" i="37"/>
  <c r="IT32" i="37"/>
  <c r="IS32" i="37"/>
  <c r="IR32" i="37"/>
  <c r="IQ32" i="37"/>
  <c r="IP32" i="37"/>
  <c r="IO32" i="37"/>
  <c r="IN32" i="37"/>
  <c r="IM32" i="37"/>
  <c r="IL32" i="37"/>
  <c r="IK32" i="37"/>
  <c r="IJ32" i="37"/>
  <c r="II32" i="37"/>
  <c r="IH32" i="37"/>
  <c r="IG32" i="37"/>
  <c r="IF32" i="37"/>
  <c r="IE32" i="37"/>
  <c r="ID32" i="37"/>
  <c r="IC32" i="37"/>
  <c r="IB32" i="37"/>
  <c r="IA32" i="37"/>
  <c r="HZ32" i="37"/>
  <c r="HY32" i="37"/>
  <c r="HX32" i="37"/>
  <c r="HW32" i="37"/>
  <c r="HV32" i="37"/>
  <c r="HT32" i="37"/>
  <c r="HR32" i="37"/>
  <c r="HQ32" i="37"/>
  <c r="HO32" i="37"/>
  <c r="HN32" i="37"/>
  <c r="HM32" i="37"/>
  <c r="HL32" i="37"/>
  <c r="HK32" i="37"/>
  <c r="HJ32" i="37"/>
  <c r="HI32" i="37"/>
  <c r="HH32" i="37"/>
  <c r="HG32" i="37"/>
  <c r="HF32" i="37"/>
  <c r="HE32" i="37"/>
  <c r="HD32" i="37"/>
  <c r="HC32" i="37"/>
  <c r="HB32" i="37"/>
  <c r="HA32" i="37"/>
  <c r="GZ32" i="37"/>
  <c r="GX32" i="37"/>
  <c r="GW32" i="37"/>
  <c r="GV32" i="37"/>
  <c r="GU32" i="37"/>
  <c r="GT32" i="37"/>
  <c r="GS32" i="37"/>
  <c r="GR32" i="37"/>
  <c r="GQ32" i="37"/>
  <c r="GP32" i="37"/>
  <c r="GO32" i="37"/>
  <c r="GN32" i="37"/>
  <c r="GL32" i="37"/>
  <c r="GJ32" i="37"/>
  <c r="GI32" i="37"/>
  <c r="GH32" i="37"/>
  <c r="GG32" i="37"/>
  <c r="GF32" i="37"/>
  <c r="GE32" i="37"/>
  <c r="GD32" i="37"/>
  <c r="GC32" i="37"/>
  <c r="GB32" i="37"/>
  <c r="GA32" i="37"/>
  <c r="FZ32" i="37"/>
  <c r="FY32" i="37"/>
  <c r="FX32" i="37"/>
  <c r="FW32" i="37"/>
  <c r="FV32" i="37"/>
  <c r="FU32" i="37"/>
  <c r="FT32" i="37"/>
  <c r="FS32" i="37"/>
  <c r="FR32" i="37"/>
  <c r="FQ32" i="37"/>
  <c r="FP32" i="37"/>
  <c r="FO32" i="37"/>
  <c r="FN32" i="37"/>
  <c r="FM32" i="37"/>
  <c r="FL32" i="37"/>
  <c r="FK32" i="37"/>
  <c r="FJ32" i="37"/>
  <c r="FI32" i="37"/>
  <c r="FH32" i="37"/>
  <c r="FG32" i="37"/>
  <c r="FF32" i="37"/>
  <c r="FD32" i="37"/>
  <c r="FB32" i="37"/>
  <c r="FA32" i="37"/>
  <c r="EZ32" i="37"/>
  <c r="EY32" i="37"/>
  <c r="EX32" i="37"/>
  <c r="EW32" i="37"/>
  <c r="EV32" i="37"/>
  <c r="EU32" i="37"/>
  <c r="ET32" i="37"/>
  <c r="ES32" i="37"/>
  <c r="ER32" i="37"/>
  <c r="EQ32" i="37"/>
  <c r="EP32" i="37"/>
  <c r="EO32" i="37"/>
  <c r="EN32" i="37"/>
  <c r="EM32" i="37"/>
  <c r="EL32" i="37"/>
  <c r="EK32" i="37"/>
  <c r="EJ32" i="37"/>
  <c r="EI32" i="37"/>
  <c r="EH32" i="37"/>
  <c r="EG32" i="37"/>
  <c r="EF32" i="37"/>
  <c r="EE32" i="37"/>
  <c r="ED32" i="37"/>
  <c r="EC32" i="37"/>
  <c r="EB32" i="37"/>
  <c r="EA32" i="37"/>
  <c r="DZ32" i="37"/>
  <c r="DY32" i="37"/>
  <c r="DX32" i="37"/>
  <c r="DW32" i="37"/>
  <c r="DV32" i="37"/>
  <c r="DU32" i="37"/>
  <c r="DT32" i="37"/>
  <c r="DS32" i="37"/>
  <c r="DR32" i="37"/>
  <c r="DQ32" i="37"/>
  <c r="DP32" i="37"/>
  <c r="DO32" i="37"/>
  <c r="DN32" i="37"/>
  <c r="DM32" i="37"/>
  <c r="DL32" i="37"/>
  <c r="DK32" i="37"/>
  <c r="DJ32" i="37"/>
  <c r="DI32" i="37"/>
  <c r="DH32" i="37"/>
  <c r="DG32" i="37"/>
  <c r="DF32" i="37"/>
  <c r="DE32" i="37"/>
  <c r="DD32" i="37"/>
  <c r="DC32" i="37"/>
  <c r="DB32" i="37"/>
  <c r="DA32" i="37"/>
  <c r="CZ32" i="37"/>
  <c r="CY32" i="37"/>
  <c r="CX32" i="37"/>
  <c r="CW32" i="37"/>
  <c r="CV32" i="37"/>
  <c r="CU32" i="37"/>
  <c r="CT32" i="37"/>
  <c r="CS32" i="37"/>
  <c r="CR32" i="37"/>
  <c r="CQ32" i="37"/>
  <c r="CP32" i="37"/>
  <c r="CO32" i="37"/>
  <c r="CN32" i="37"/>
  <c r="CM32" i="37"/>
  <c r="CL32" i="37"/>
  <c r="CK32" i="37"/>
  <c r="CJ32" i="37"/>
  <c r="CI32" i="37"/>
  <c r="CH32" i="37"/>
  <c r="CG32" i="37"/>
  <c r="CF32" i="37"/>
  <c r="CE32" i="37"/>
  <c r="CD32" i="37"/>
  <c r="CC32" i="37"/>
  <c r="CB32" i="37"/>
  <c r="CA32" i="37"/>
  <c r="BZ32" i="37"/>
  <c r="BY32" i="37"/>
  <c r="BX32" i="37"/>
  <c r="BW32" i="37"/>
  <c r="BV32" i="37"/>
  <c r="BU32" i="37"/>
  <c r="BT32" i="37"/>
  <c r="BS32" i="37"/>
  <c r="BR32" i="37"/>
  <c r="BQ32" i="37"/>
  <c r="BP32" i="37"/>
  <c r="BO32" i="37"/>
  <c r="BN32" i="37"/>
  <c r="BM32" i="37"/>
  <c r="BL32" i="37"/>
  <c r="BK32" i="37"/>
  <c r="BJ32" i="37"/>
  <c r="BI32" i="37"/>
  <c r="BH32" i="37"/>
  <c r="BG32" i="37"/>
  <c r="BF32" i="37"/>
  <c r="BE32" i="37"/>
  <c r="BD32" i="37"/>
  <c r="BC32" i="37"/>
  <c r="BB32" i="37"/>
  <c r="BA32" i="37"/>
  <c r="AZ32" i="37"/>
  <c r="AY32" i="37"/>
  <c r="AX32" i="37"/>
  <c r="AW32" i="37"/>
  <c r="AV32" i="37"/>
  <c r="AU32" i="37"/>
  <c r="AT32" i="37"/>
  <c r="AS32" i="37"/>
  <c r="AR32" i="37"/>
  <c r="AQ32" i="37"/>
  <c r="AP32" i="37"/>
  <c r="AO32" i="37"/>
  <c r="AN32" i="37"/>
  <c r="AM32" i="37"/>
  <c r="AL32" i="37"/>
  <c r="AK32" i="37"/>
  <c r="AJ32" i="37"/>
  <c r="AI32" i="37"/>
  <c r="AH32" i="37"/>
  <c r="AG32" i="37"/>
  <c r="AF32" i="37"/>
  <c r="AE32" i="37"/>
  <c r="AD32" i="37"/>
  <c r="AC32" i="37"/>
  <c r="AB32" i="37"/>
  <c r="AA32" i="37"/>
  <c r="Z32" i="37"/>
  <c r="Y32" i="37"/>
  <c r="X32" i="37"/>
  <c r="W32" i="37"/>
  <c r="V32" i="37"/>
  <c r="U32" i="37"/>
  <c r="T32" i="37"/>
  <c r="S32" i="37"/>
  <c r="R32" i="37"/>
  <c r="Q32" i="37"/>
  <c r="P32" i="37"/>
  <c r="O32" i="37"/>
  <c r="N32" i="37"/>
  <c r="M32" i="37"/>
  <c r="L32" i="37"/>
  <c r="K32" i="37"/>
  <c r="J32" i="37"/>
  <c r="I32" i="37"/>
  <c r="H32" i="37"/>
  <c r="G32" i="37"/>
  <c r="F32" i="37"/>
  <c r="E32" i="37"/>
  <c r="D32" i="37"/>
  <c r="IY31" i="37"/>
  <c r="IX31" i="37"/>
  <c r="IW31" i="37"/>
  <c r="IV31" i="37"/>
  <c r="IT31" i="37"/>
  <c r="IS31" i="37"/>
  <c r="IR31" i="37"/>
  <c r="IQ31" i="37"/>
  <c r="IP31" i="37"/>
  <c r="IO31" i="37"/>
  <c r="IN31" i="37"/>
  <c r="IM31" i="37"/>
  <c r="IL31" i="37"/>
  <c r="IK31" i="37"/>
  <c r="IJ31" i="37"/>
  <c r="II31" i="37"/>
  <c r="IH31" i="37"/>
  <c r="IG31" i="37"/>
  <c r="IF31" i="37"/>
  <c r="IE31" i="37"/>
  <c r="ID31" i="37"/>
  <c r="IC31" i="37"/>
  <c r="IB31" i="37"/>
  <c r="IA31" i="37"/>
  <c r="HZ31" i="37"/>
  <c r="HY31" i="37"/>
  <c r="HX31" i="37"/>
  <c r="HW31" i="37"/>
  <c r="HV31" i="37"/>
  <c r="HT31" i="37"/>
  <c r="HR31" i="37"/>
  <c r="HQ31" i="37"/>
  <c r="HO31" i="37"/>
  <c r="HN31" i="37"/>
  <c r="HM31" i="37"/>
  <c r="HL31" i="37"/>
  <c r="HK31" i="37"/>
  <c r="HJ31" i="37"/>
  <c r="HI31" i="37"/>
  <c r="HH31" i="37"/>
  <c r="HG31" i="37"/>
  <c r="HF31" i="37"/>
  <c r="HE31" i="37"/>
  <c r="HD31" i="37"/>
  <c r="HC31" i="37"/>
  <c r="HB31" i="37"/>
  <c r="HA31" i="37"/>
  <c r="GZ31" i="37"/>
  <c r="GX31" i="37"/>
  <c r="GW31" i="37"/>
  <c r="GV31" i="37"/>
  <c r="GU31" i="37"/>
  <c r="GT31" i="37"/>
  <c r="GS31" i="37"/>
  <c r="GR31" i="37"/>
  <c r="GQ31" i="37"/>
  <c r="GP31" i="37"/>
  <c r="GO31" i="37"/>
  <c r="GN31" i="37"/>
  <c r="GL31" i="37"/>
  <c r="GJ31" i="37"/>
  <c r="GI31" i="37"/>
  <c r="GH31" i="37"/>
  <c r="GG31" i="37"/>
  <c r="GF31" i="37"/>
  <c r="GE31" i="37"/>
  <c r="GD31" i="37"/>
  <c r="GC31" i="37"/>
  <c r="GB31" i="37"/>
  <c r="GA31" i="37"/>
  <c r="FZ31" i="37"/>
  <c r="FY31" i="37"/>
  <c r="FX31" i="37"/>
  <c r="FW31" i="37"/>
  <c r="FV31" i="37"/>
  <c r="FU31" i="37"/>
  <c r="FT31" i="37"/>
  <c r="FS31" i="37"/>
  <c r="FR31" i="37"/>
  <c r="FQ31" i="37"/>
  <c r="FP31" i="37"/>
  <c r="FO31" i="37"/>
  <c r="FN31" i="37"/>
  <c r="FM31" i="37"/>
  <c r="FL31" i="37"/>
  <c r="FK31" i="37"/>
  <c r="FJ31" i="37"/>
  <c r="FI31" i="37"/>
  <c r="FH31" i="37"/>
  <c r="FG31" i="37"/>
  <c r="FF31" i="37"/>
  <c r="FD31" i="37"/>
  <c r="FB31" i="37"/>
  <c r="FA31" i="37"/>
  <c r="EZ31" i="37"/>
  <c r="EY31" i="37"/>
  <c r="EX31" i="37"/>
  <c r="EW31" i="37"/>
  <c r="EV31" i="37"/>
  <c r="EU31" i="37"/>
  <c r="ET31" i="37"/>
  <c r="ES31" i="37"/>
  <c r="ER31" i="37"/>
  <c r="EQ31" i="37"/>
  <c r="EP31" i="37"/>
  <c r="EO31" i="37"/>
  <c r="EN31" i="37"/>
  <c r="EM31" i="37"/>
  <c r="EL31" i="37"/>
  <c r="EK31" i="37"/>
  <c r="EJ31" i="37"/>
  <c r="EI31" i="37"/>
  <c r="EH31" i="37"/>
  <c r="EG31" i="37"/>
  <c r="EF31" i="37"/>
  <c r="EE31" i="37"/>
  <c r="ED31" i="37"/>
  <c r="EC31" i="37"/>
  <c r="EB31" i="37"/>
  <c r="EA31" i="37"/>
  <c r="DZ31" i="37"/>
  <c r="DY31" i="37"/>
  <c r="DX31" i="37"/>
  <c r="DW31" i="37"/>
  <c r="DV31" i="37"/>
  <c r="DU31" i="37"/>
  <c r="DT31" i="37"/>
  <c r="DS31" i="37"/>
  <c r="DR31" i="37"/>
  <c r="DQ31" i="37"/>
  <c r="DP31" i="37"/>
  <c r="DO31" i="37"/>
  <c r="DN31" i="37"/>
  <c r="DM31" i="37"/>
  <c r="DL31" i="37"/>
  <c r="DK31" i="37"/>
  <c r="DJ31" i="37"/>
  <c r="DI31" i="37"/>
  <c r="DH31" i="37"/>
  <c r="DG31" i="37"/>
  <c r="DF31" i="37"/>
  <c r="DE31" i="37"/>
  <c r="DD31" i="37"/>
  <c r="DC31" i="37"/>
  <c r="DB31" i="37"/>
  <c r="DA31" i="37"/>
  <c r="CZ31" i="37"/>
  <c r="CY31" i="37"/>
  <c r="CX31" i="37"/>
  <c r="CW31" i="37"/>
  <c r="CV31" i="37"/>
  <c r="CU31" i="37"/>
  <c r="CT31" i="37"/>
  <c r="CS31" i="37"/>
  <c r="CR31" i="37"/>
  <c r="CQ31" i="37"/>
  <c r="CP31" i="37"/>
  <c r="CO31" i="37"/>
  <c r="CN31" i="37"/>
  <c r="CM31" i="37"/>
  <c r="CL31" i="37"/>
  <c r="CK31" i="37"/>
  <c r="CJ31" i="37"/>
  <c r="CI31" i="37"/>
  <c r="CH31" i="37"/>
  <c r="CG31" i="37"/>
  <c r="CF31" i="37"/>
  <c r="CE31" i="37"/>
  <c r="CD31" i="37"/>
  <c r="CC31" i="37"/>
  <c r="CB31" i="37"/>
  <c r="CA31" i="37"/>
  <c r="BZ31" i="37"/>
  <c r="BY31" i="37"/>
  <c r="BX31" i="37"/>
  <c r="BW31" i="37"/>
  <c r="BV31" i="37"/>
  <c r="BU31" i="37"/>
  <c r="BT31" i="37"/>
  <c r="BS31" i="37"/>
  <c r="BR31" i="37"/>
  <c r="BQ31" i="37"/>
  <c r="BP31" i="37"/>
  <c r="BO31" i="37"/>
  <c r="BN31" i="37"/>
  <c r="BM31" i="37"/>
  <c r="BL31" i="37"/>
  <c r="BK31" i="37"/>
  <c r="BJ31" i="37"/>
  <c r="BI31" i="37"/>
  <c r="BH31" i="37"/>
  <c r="BG31" i="37"/>
  <c r="BF31" i="37"/>
  <c r="BE31" i="37"/>
  <c r="BD31" i="37"/>
  <c r="BC31" i="37"/>
  <c r="BB31" i="37"/>
  <c r="BA31" i="37"/>
  <c r="AZ31" i="37"/>
  <c r="AY31" i="37"/>
  <c r="AX31" i="37"/>
  <c r="AW31" i="37"/>
  <c r="AV31" i="37"/>
  <c r="AU31" i="37"/>
  <c r="AT31" i="37"/>
  <c r="AS31" i="37"/>
  <c r="AR31" i="37"/>
  <c r="AQ31" i="37"/>
  <c r="AP31" i="37"/>
  <c r="AO31" i="37"/>
  <c r="AN31" i="37"/>
  <c r="AM31" i="37"/>
  <c r="AL31" i="37"/>
  <c r="AK31" i="37"/>
  <c r="AJ31" i="37"/>
  <c r="AI31" i="37"/>
  <c r="AH31" i="37"/>
  <c r="AG31" i="37"/>
  <c r="AF31" i="37"/>
  <c r="AE31" i="37"/>
  <c r="AD31" i="37"/>
  <c r="AC31" i="37"/>
  <c r="AB31" i="37"/>
  <c r="AA31" i="37"/>
  <c r="Z31" i="37"/>
  <c r="Y31" i="37"/>
  <c r="X31" i="37"/>
  <c r="W31" i="37"/>
  <c r="V31" i="37"/>
  <c r="U31" i="37"/>
  <c r="T31" i="37"/>
  <c r="S31" i="37"/>
  <c r="R31" i="37"/>
  <c r="Q31" i="37"/>
  <c r="P31" i="37"/>
  <c r="O31" i="37"/>
  <c r="N31" i="37"/>
  <c r="M31" i="37"/>
  <c r="L31" i="37"/>
  <c r="K31" i="37"/>
  <c r="J31" i="37"/>
  <c r="I31" i="37"/>
  <c r="H31" i="37"/>
  <c r="G31" i="37"/>
  <c r="F31" i="37"/>
  <c r="E31" i="37"/>
  <c r="D31" i="37"/>
  <c r="IY30" i="37"/>
  <c r="IX30" i="37"/>
  <c r="IW30" i="37"/>
  <c r="IV30" i="37"/>
  <c r="IT30" i="37"/>
  <c r="IS30" i="37"/>
  <c r="IR30" i="37"/>
  <c r="IQ30" i="37"/>
  <c r="IP30" i="37"/>
  <c r="IO30" i="37"/>
  <c r="IN30" i="37"/>
  <c r="IM30" i="37"/>
  <c r="IL30" i="37"/>
  <c r="IK30" i="37"/>
  <c r="IJ30" i="37"/>
  <c r="II30" i="37"/>
  <c r="IH30" i="37"/>
  <c r="IG30" i="37"/>
  <c r="IF30" i="37"/>
  <c r="IE30" i="37"/>
  <c r="ID30" i="37"/>
  <c r="IC30" i="37"/>
  <c r="IB30" i="37"/>
  <c r="IA30" i="37"/>
  <c r="HZ30" i="37"/>
  <c r="HY30" i="37"/>
  <c r="HX30" i="37"/>
  <c r="HW30" i="37"/>
  <c r="HV30" i="37"/>
  <c r="HT30" i="37"/>
  <c r="HR30" i="37"/>
  <c r="HQ30" i="37"/>
  <c r="HO30" i="37"/>
  <c r="HN30" i="37"/>
  <c r="HM30" i="37"/>
  <c r="HL30" i="37"/>
  <c r="HK30" i="37"/>
  <c r="HJ30" i="37"/>
  <c r="HI30" i="37"/>
  <c r="HH30" i="37"/>
  <c r="HG30" i="37"/>
  <c r="HF30" i="37"/>
  <c r="HE30" i="37"/>
  <c r="HD30" i="37"/>
  <c r="HC30" i="37"/>
  <c r="HB30" i="37"/>
  <c r="HA30" i="37"/>
  <c r="GZ30" i="37"/>
  <c r="GX30" i="37"/>
  <c r="GW30" i="37"/>
  <c r="GV30" i="37"/>
  <c r="GU30" i="37"/>
  <c r="GT30" i="37"/>
  <c r="GS30" i="37"/>
  <c r="GR30" i="37"/>
  <c r="GQ30" i="37"/>
  <c r="GP30" i="37"/>
  <c r="GO30" i="37"/>
  <c r="GN30" i="37"/>
  <c r="GL30" i="37"/>
  <c r="GJ30" i="37"/>
  <c r="GI30" i="37"/>
  <c r="GH30" i="37"/>
  <c r="GG30" i="37"/>
  <c r="GF30" i="37"/>
  <c r="GE30" i="37"/>
  <c r="GD30" i="37"/>
  <c r="GC30" i="37"/>
  <c r="GB30" i="37"/>
  <c r="GA30" i="37"/>
  <c r="FZ30" i="37"/>
  <c r="FY30" i="37"/>
  <c r="FX30" i="37"/>
  <c r="FW30" i="37"/>
  <c r="FV30" i="37"/>
  <c r="FU30" i="37"/>
  <c r="FT30" i="37"/>
  <c r="FS30" i="37"/>
  <c r="FR30" i="37"/>
  <c r="FQ30" i="37"/>
  <c r="FP30" i="37"/>
  <c r="FO30" i="37"/>
  <c r="FN30" i="37"/>
  <c r="FM30" i="37"/>
  <c r="FL30" i="37"/>
  <c r="FK30" i="37"/>
  <c r="FJ30" i="37"/>
  <c r="FI30" i="37"/>
  <c r="FH30" i="37"/>
  <c r="FG30" i="37"/>
  <c r="FF30" i="37"/>
  <c r="FD30" i="37"/>
  <c r="FB30" i="37"/>
  <c r="FA30" i="37"/>
  <c r="EZ30" i="37"/>
  <c r="EY30" i="37"/>
  <c r="EX30" i="37"/>
  <c r="EW30" i="37"/>
  <c r="EV30" i="37"/>
  <c r="EU30" i="37"/>
  <c r="ET30" i="37"/>
  <c r="ES30" i="37"/>
  <c r="ER30" i="37"/>
  <c r="EQ30" i="37"/>
  <c r="EP30" i="37"/>
  <c r="EO30" i="37"/>
  <c r="EN30" i="37"/>
  <c r="EM30" i="37"/>
  <c r="EL30" i="37"/>
  <c r="EK30" i="37"/>
  <c r="EJ30" i="37"/>
  <c r="EI30" i="37"/>
  <c r="EH30" i="37"/>
  <c r="EG30" i="37"/>
  <c r="EF30" i="37"/>
  <c r="EE30" i="37"/>
  <c r="ED30" i="37"/>
  <c r="EC30" i="37"/>
  <c r="EB30" i="37"/>
  <c r="EA30" i="37"/>
  <c r="DZ30" i="37"/>
  <c r="DY30" i="37"/>
  <c r="DX30" i="37"/>
  <c r="DW30" i="37"/>
  <c r="DV30" i="37"/>
  <c r="DU30" i="37"/>
  <c r="DT30" i="37"/>
  <c r="DS30" i="37"/>
  <c r="DR30" i="37"/>
  <c r="DQ30" i="37"/>
  <c r="DP30" i="37"/>
  <c r="DO30" i="37"/>
  <c r="DN30" i="37"/>
  <c r="DM30" i="37"/>
  <c r="DL30" i="37"/>
  <c r="DK30" i="37"/>
  <c r="DJ30" i="37"/>
  <c r="DI30" i="37"/>
  <c r="DH30" i="37"/>
  <c r="DG30" i="37"/>
  <c r="DF30" i="37"/>
  <c r="DE30" i="37"/>
  <c r="DD30" i="37"/>
  <c r="DC30" i="37"/>
  <c r="DB30" i="37"/>
  <c r="DA30" i="37"/>
  <c r="CZ30" i="37"/>
  <c r="CY30" i="37"/>
  <c r="CX30" i="37"/>
  <c r="CW30" i="37"/>
  <c r="CV30" i="37"/>
  <c r="CU30" i="37"/>
  <c r="CT30" i="37"/>
  <c r="CS30" i="37"/>
  <c r="CR30" i="37"/>
  <c r="CQ30" i="37"/>
  <c r="CP30" i="37"/>
  <c r="CO30" i="37"/>
  <c r="CN30" i="37"/>
  <c r="CM30" i="37"/>
  <c r="CL30" i="37"/>
  <c r="CK30" i="37"/>
  <c r="CJ30" i="37"/>
  <c r="CI30" i="37"/>
  <c r="CH30" i="37"/>
  <c r="CG30" i="37"/>
  <c r="CF30" i="37"/>
  <c r="CE30" i="37"/>
  <c r="CD30" i="37"/>
  <c r="CC30" i="37"/>
  <c r="CB30" i="37"/>
  <c r="CA30" i="37"/>
  <c r="BZ30" i="37"/>
  <c r="BY30" i="37"/>
  <c r="BX30" i="37"/>
  <c r="BW30" i="37"/>
  <c r="BV30" i="37"/>
  <c r="BU30" i="37"/>
  <c r="BT30" i="37"/>
  <c r="BS30" i="37"/>
  <c r="BR30" i="37"/>
  <c r="BQ30" i="37"/>
  <c r="BP30" i="37"/>
  <c r="BO30" i="37"/>
  <c r="BN30" i="37"/>
  <c r="BM30" i="37"/>
  <c r="BL30" i="37"/>
  <c r="BK30" i="37"/>
  <c r="BJ30" i="37"/>
  <c r="BI30" i="37"/>
  <c r="BH30" i="37"/>
  <c r="BG30" i="37"/>
  <c r="BF30" i="37"/>
  <c r="BE30" i="37"/>
  <c r="BD30" i="37"/>
  <c r="BC30" i="37"/>
  <c r="BB30" i="37"/>
  <c r="BA30" i="37"/>
  <c r="AZ30" i="37"/>
  <c r="AY30" i="37"/>
  <c r="AX30" i="37"/>
  <c r="AW30" i="37"/>
  <c r="AV30" i="37"/>
  <c r="AU30" i="37"/>
  <c r="AT30" i="37"/>
  <c r="AS30" i="37"/>
  <c r="AR30" i="37"/>
  <c r="AQ30" i="37"/>
  <c r="AP30" i="37"/>
  <c r="AO30" i="37"/>
  <c r="AN30" i="37"/>
  <c r="AM30" i="37"/>
  <c r="AL30" i="37"/>
  <c r="AK30" i="37"/>
  <c r="AJ30" i="37"/>
  <c r="AI30" i="37"/>
  <c r="AH30" i="37"/>
  <c r="AG30" i="37"/>
  <c r="AF30" i="37"/>
  <c r="AE30" i="37"/>
  <c r="AD30" i="37"/>
  <c r="AC30" i="37"/>
  <c r="AB30" i="37"/>
  <c r="AA30" i="37"/>
  <c r="Z30" i="37"/>
  <c r="Y30" i="37"/>
  <c r="X30" i="37"/>
  <c r="W30" i="37"/>
  <c r="V30" i="37"/>
  <c r="U30" i="37"/>
  <c r="T30" i="37"/>
  <c r="S30" i="37"/>
  <c r="R30" i="37"/>
  <c r="Q30" i="37"/>
  <c r="P30" i="37"/>
  <c r="O30" i="37"/>
  <c r="N30" i="37"/>
  <c r="M30" i="37"/>
  <c r="L30" i="37"/>
  <c r="K30" i="37"/>
  <c r="J30" i="37"/>
  <c r="I30" i="37"/>
  <c r="H30" i="37"/>
  <c r="G30" i="37"/>
  <c r="F30" i="37"/>
  <c r="E30" i="37"/>
  <c r="D30" i="37"/>
  <c r="IY29" i="37"/>
  <c r="IX29" i="37"/>
  <c r="IW29" i="37"/>
  <c r="IV29" i="37"/>
  <c r="IT29" i="37"/>
  <c r="IS29" i="37"/>
  <c r="IR29" i="37"/>
  <c r="IQ29" i="37"/>
  <c r="IP29" i="37"/>
  <c r="IO29" i="37"/>
  <c r="IN29" i="37"/>
  <c r="IM29" i="37"/>
  <c r="IL29" i="37"/>
  <c r="IK29" i="37"/>
  <c r="IJ29" i="37"/>
  <c r="II29" i="37"/>
  <c r="IH29" i="37"/>
  <c r="IG29" i="37"/>
  <c r="IF29" i="37"/>
  <c r="IE29" i="37"/>
  <c r="ID29" i="37"/>
  <c r="IC29" i="37"/>
  <c r="IB29" i="37"/>
  <c r="IA29" i="37"/>
  <c r="HZ29" i="37"/>
  <c r="HY29" i="37"/>
  <c r="HX29" i="37"/>
  <c r="HW29" i="37"/>
  <c r="HV29" i="37"/>
  <c r="HT29" i="37"/>
  <c r="HR29" i="37"/>
  <c r="HQ29" i="37"/>
  <c r="HO29" i="37"/>
  <c r="HN29" i="37"/>
  <c r="HM29" i="37"/>
  <c r="HL29" i="37"/>
  <c r="HK29" i="37"/>
  <c r="HJ29" i="37"/>
  <c r="HI29" i="37"/>
  <c r="HH29" i="37"/>
  <c r="HG29" i="37"/>
  <c r="HF29" i="37"/>
  <c r="HE29" i="37"/>
  <c r="HD29" i="37"/>
  <c r="HC29" i="37"/>
  <c r="HB29" i="37"/>
  <c r="HA29" i="37"/>
  <c r="GZ29" i="37"/>
  <c r="GX29" i="37"/>
  <c r="GW29" i="37"/>
  <c r="GV29" i="37"/>
  <c r="GU29" i="37"/>
  <c r="GT29" i="37"/>
  <c r="GS29" i="37"/>
  <c r="GR29" i="37"/>
  <c r="GQ29" i="37"/>
  <c r="GP29" i="37"/>
  <c r="GO29" i="37"/>
  <c r="GN29" i="37"/>
  <c r="GL29" i="37"/>
  <c r="GJ29" i="37"/>
  <c r="GI29" i="37"/>
  <c r="GH29" i="37"/>
  <c r="GG29" i="37"/>
  <c r="GF29" i="37"/>
  <c r="GE29" i="37"/>
  <c r="GD29" i="37"/>
  <c r="GC29" i="37"/>
  <c r="GB29" i="37"/>
  <c r="GA29" i="37"/>
  <c r="FZ29" i="37"/>
  <c r="FY29" i="37"/>
  <c r="FX29" i="37"/>
  <c r="FW29" i="37"/>
  <c r="FV29" i="37"/>
  <c r="FU29" i="37"/>
  <c r="FT29" i="37"/>
  <c r="FS29" i="37"/>
  <c r="FR29" i="37"/>
  <c r="FQ29" i="37"/>
  <c r="FP29" i="37"/>
  <c r="FO29" i="37"/>
  <c r="FN29" i="37"/>
  <c r="FM29" i="37"/>
  <c r="FL29" i="37"/>
  <c r="FK29" i="37"/>
  <c r="FJ29" i="37"/>
  <c r="FI29" i="37"/>
  <c r="FH29" i="37"/>
  <c r="FG29" i="37"/>
  <c r="FF29" i="37"/>
  <c r="FD29" i="37"/>
  <c r="FB29" i="37"/>
  <c r="FA29" i="37"/>
  <c r="EZ29" i="37"/>
  <c r="EY29" i="37"/>
  <c r="EX29" i="37"/>
  <c r="EW29" i="37"/>
  <c r="EV29" i="37"/>
  <c r="EU29" i="37"/>
  <c r="ET29" i="37"/>
  <c r="ES29" i="37"/>
  <c r="ER29" i="37"/>
  <c r="EQ29" i="37"/>
  <c r="EP29" i="37"/>
  <c r="EO29" i="37"/>
  <c r="EN29" i="37"/>
  <c r="EM29" i="37"/>
  <c r="EL29" i="37"/>
  <c r="EK29" i="37"/>
  <c r="EJ29" i="37"/>
  <c r="EI29" i="37"/>
  <c r="EH29" i="37"/>
  <c r="EG29" i="37"/>
  <c r="EF29" i="37"/>
  <c r="EE29" i="37"/>
  <c r="ED29" i="37"/>
  <c r="EC29" i="37"/>
  <c r="EB29" i="37"/>
  <c r="EA29" i="37"/>
  <c r="DZ29" i="37"/>
  <c r="DY29" i="37"/>
  <c r="DX29" i="37"/>
  <c r="DW29" i="37"/>
  <c r="DV29" i="37"/>
  <c r="DU29" i="37"/>
  <c r="DT29" i="37"/>
  <c r="DS29" i="37"/>
  <c r="DR29" i="37"/>
  <c r="DQ29" i="37"/>
  <c r="DP29" i="37"/>
  <c r="DO29" i="37"/>
  <c r="DN29" i="37"/>
  <c r="DM29" i="37"/>
  <c r="DL29" i="37"/>
  <c r="DK29" i="37"/>
  <c r="DJ29" i="37"/>
  <c r="DI29" i="37"/>
  <c r="DH29" i="37"/>
  <c r="DG29" i="37"/>
  <c r="DF29" i="37"/>
  <c r="DE29" i="37"/>
  <c r="DD29" i="37"/>
  <c r="DC29" i="37"/>
  <c r="DB29" i="37"/>
  <c r="DA29" i="37"/>
  <c r="CZ29" i="37"/>
  <c r="CY29" i="37"/>
  <c r="CX29" i="37"/>
  <c r="CW29" i="37"/>
  <c r="CV29" i="37"/>
  <c r="CU29" i="37"/>
  <c r="CT29" i="37"/>
  <c r="CS29" i="37"/>
  <c r="CR29" i="37"/>
  <c r="CQ29" i="37"/>
  <c r="CP29" i="37"/>
  <c r="CO29" i="37"/>
  <c r="CN29" i="37"/>
  <c r="CM29" i="37"/>
  <c r="CL29" i="37"/>
  <c r="CK29" i="37"/>
  <c r="CJ29" i="37"/>
  <c r="CI29" i="37"/>
  <c r="CH29" i="37"/>
  <c r="CG29" i="37"/>
  <c r="CF29" i="37"/>
  <c r="CE29" i="37"/>
  <c r="CD29" i="37"/>
  <c r="CC29" i="37"/>
  <c r="CB29" i="37"/>
  <c r="CA29" i="37"/>
  <c r="BZ29" i="37"/>
  <c r="BY29" i="37"/>
  <c r="BX29" i="37"/>
  <c r="BW29" i="37"/>
  <c r="BV29" i="37"/>
  <c r="BU29" i="37"/>
  <c r="BT29" i="37"/>
  <c r="BS29" i="37"/>
  <c r="BR29" i="37"/>
  <c r="BQ29" i="37"/>
  <c r="BP29" i="37"/>
  <c r="BO29" i="37"/>
  <c r="BN29" i="37"/>
  <c r="BM29" i="37"/>
  <c r="BL29" i="37"/>
  <c r="BK29" i="37"/>
  <c r="BJ29" i="37"/>
  <c r="BI29" i="37"/>
  <c r="BH29" i="37"/>
  <c r="BG29" i="37"/>
  <c r="BF29" i="37"/>
  <c r="BE29" i="37"/>
  <c r="BD29" i="37"/>
  <c r="BC29" i="37"/>
  <c r="BB29" i="37"/>
  <c r="BA29" i="37"/>
  <c r="AZ29" i="37"/>
  <c r="AY29" i="37"/>
  <c r="AX29" i="37"/>
  <c r="AW29" i="37"/>
  <c r="AV29" i="37"/>
  <c r="AU29" i="37"/>
  <c r="AT29" i="37"/>
  <c r="AS29" i="37"/>
  <c r="AR29" i="37"/>
  <c r="AQ29" i="37"/>
  <c r="AP29" i="37"/>
  <c r="AO29" i="37"/>
  <c r="AN29" i="37"/>
  <c r="AM29" i="37"/>
  <c r="AL29" i="37"/>
  <c r="AK29" i="37"/>
  <c r="AJ29" i="37"/>
  <c r="AI29" i="37"/>
  <c r="AH29" i="37"/>
  <c r="AG29" i="37"/>
  <c r="AF29" i="37"/>
  <c r="AE29" i="37"/>
  <c r="AD29" i="37"/>
  <c r="AC29" i="37"/>
  <c r="AB29" i="37"/>
  <c r="AA29" i="37"/>
  <c r="Z29" i="37"/>
  <c r="Y29" i="37"/>
  <c r="X29" i="37"/>
  <c r="W29" i="37"/>
  <c r="V29" i="37"/>
  <c r="U29" i="37"/>
  <c r="T29" i="37"/>
  <c r="S29" i="37"/>
  <c r="R29" i="37"/>
  <c r="Q29" i="37"/>
  <c r="P29" i="37"/>
  <c r="O29" i="37"/>
  <c r="N29" i="37"/>
  <c r="M29" i="37"/>
  <c r="L29" i="37"/>
  <c r="K29" i="37"/>
  <c r="J29" i="37"/>
  <c r="I29" i="37"/>
  <c r="H29" i="37"/>
  <c r="G29" i="37"/>
  <c r="F29" i="37"/>
  <c r="E29" i="37"/>
  <c r="D29" i="37"/>
  <c r="IY28" i="37"/>
  <c r="IX28" i="37"/>
  <c r="IW28" i="37"/>
  <c r="IV28" i="37"/>
  <c r="IT28" i="37"/>
  <c r="IS28" i="37"/>
  <c r="IR28" i="37"/>
  <c r="IQ28" i="37"/>
  <c r="IP28" i="37"/>
  <c r="IO28" i="37"/>
  <c r="IN28" i="37"/>
  <c r="IM28" i="37"/>
  <c r="IL28" i="37"/>
  <c r="IK28" i="37"/>
  <c r="IJ28" i="37"/>
  <c r="II28" i="37"/>
  <c r="IH28" i="37"/>
  <c r="IG28" i="37"/>
  <c r="IF28" i="37"/>
  <c r="IE28" i="37"/>
  <c r="ID28" i="37"/>
  <c r="IC28" i="37"/>
  <c r="IB28" i="37"/>
  <c r="IA28" i="37"/>
  <c r="HZ28" i="37"/>
  <c r="HY28" i="37"/>
  <c r="HX28" i="37"/>
  <c r="HW28" i="37"/>
  <c r="HV28" i="37"/>
  <c r="HT28" i="37"/>
  <c r="HR28" i="37"/>
  <c r="HQ28" i="37"/>
  <c r="HO28" i="37"/>
  <c r="HN28" i="37"/>
  <c r="HM28" i="37"/>
  <c r="HL28" i="37"/>
  <c r="HK28" i="37"/>
  <c r="HJ28" i="37"/>
  <c r="HI28" i="37"/>
  <c r="HH28" i="37"/>
  <c r="HG28" i="37"/>
  <c r="HF28" i="37"/>
  <c r="HE28" i="37"/>
  <c r="HD28" i="37"/>
  <c r="HC28" i="37"/>
  <c r="HB28" i="37"/>
  <c r="HA28" i="37"/>
  <c r="GZ28" i="37"/>
  <c r="GX28" i="37"/>
  <c r="GW28" i="37"/>
  <c r="GV28" i="37"/>
  <c r="GU28" i="37"/>
  <c r="GT28" i="37"/>
  <c r="GS28" i="37"/>
  <c r="GR28" i="37"/>
  <c r="GQ28" i="37"/>
  <c r="GP28" i="37"/>
  <c r="GO28" i="37"/>
  <c r="GN28" i="37"/>
  <c r="GL28" i="37"/>
  <c r="GJ28" i="37"/>
  <c r="GI28" i="37"/>
  <c r="GH28" i="37"/>
  <c r="GG28" i="37"/>
  <c r="GF28" i="37"/>
  <c r="GE28" i="37"/>
  <c r="GD28" i="37"/>
  <c r="GC28" i="37"/>
  <c r="GB28" i="37"/>
  <c r="GA28" i="37"/>
  <c r="FZ28" i="37"/>
  <c r="FY28" i="37"/>
  <c r="FX28" i="37"/>
  <c r="FW28" i="37"/>
  <c r="FV28" i="37"/>
  <c r="FU28" i="37"/>
  <c r="FT28" i="37"/>
  <c r="FS28" i="37"/>
  <c r="FR28" i="37"/>
  <c r="FQ28" i="37"/>
  <c r="FP28" i="37"/>
  <c r="FO28" i="37"/>
  <c r="FN28" i="37"/>
  <c r="FM28" i="37"/>
  <c r="FL28" i="37"/>
  <c r="FK28" i="37"/>
  <c r="FJ28" i="37"/>
  <c r="FI28" i="37"/>
  <c r="FH28" i="37"/>
  <c r="FG28" i="37"/>
  <c r="FF28" i="37"/>
  <c r="FD28" i="37"/>
  <c r="FB28" i="37"/>
  <c r="FA28" i="37"/>
  <c r="EZ28" i="37"/>
  <c r="EY28" i="37"/>
  <c r="EX28" i="37"/>
  <c r="EW28" i="37"/>
  <c r="EV28" i="37"/>
  <c r="EU28" i="37"/>
  <c r="ET28" i="37"/>
  <c r="ES28" i="37"/>
  <c r="ER28" i="37"/>
  <c r="EQ28" i="37"/>
  <c r="EP28" i="37"/>
  <c r="EO28" i="37"/>
  <c r="EN28" i="37"/>
  <c r="EM28" i="37"/>
  <c r="EL28" i="37"/>
  <c r="EK28" i="37"/>
  <c r="EJ28" i="37"/>
  <c r="EI28" i="37"/>
  <c r="EH28" i="37"/>
  <c r="EG28" i="37"/>
  <c r="EF28" i="37"/>
  <c r="EE28" i="37"/>
  <c r="ED28" i="37"/>
  <c r="EC28" i="37"/>
  <c r="EB28" i="37"/>
  <c r="EA28" i="37"/>
  <c r="DZ28" i="37"/>
  <c r="DY28" i="37"/>
  <c r="DX28" i="37"/>
  <c r="DW28" i="37"/>
  <c r="DV28" i="37"/>
  <c r="DU28" i="37"/>
  <c r="DT28" i="37"/>
  <c r="DS28" i="37"/>
  <c r="DR28" i="37"/>
  <c r="DQ28" i="37"/>
  <c r="DP28" i="37"/>
  <c r="DO28" i="37"/>
  <c r="DN28" i="37"/>
  <c r="DM28" i="37"/>
  <c r="DL28" i="37"/>
  <c r="DK28" i="37"/>
  <c r="DJ28" i="37"/>
  <c r="DI28" i="37"/>
  <c r="DH28" i="37"/>
  <c r="DG28" i="37"/>
  <c r="DF28" i="37"/>
  <c r="DE28" i="37"/>
  <c r="DD28" i="37"/>
  <c r="DC28" i="37"/>
  <c r="DB28" i="37"/>
  <c r="DA28" i="37"/>
  <c r="CZ28" i="37"/>
  <c r="CY28" i="37"/>
  <c r="CX28" i="37"/>
  <c r="CW28" i="37"/>
  <c r="CV28" i="37"/>
  <c r="CU28" i="37"/>
  <c r="CT28" i="37"/>
  <c r="CS28" i="37"/>
  <c r="CR28" i="37"/>
  <c r="CQ28" i="37"/>
  <c r="CP28" i="37"/>
  <c r="CO28" i="37"/>
  <c r="CN28" i="37"/>
  <c r="CM28" i="37"/>
  <c r="CL28" i="37"/>
  <c r="CK28" i="37"/>
  <c r="CJ28" i="37"/>
  <c r="CI28" i="37"/>
  <c r="CH28" i="37"/>
  <c r="CG28" i="37"/>
  <c r="CF28" i="37"/>
  <c r="CE28" i="37"/>
  <c r="CD28" i="37"/>
  <c r="CC28" i="37"/>
  <c r="CB28" i="37"/>
  <c r="CA28" i="37"/>
  <c r="BZ28" i="37"/>
  <c r="BY28" i="37"/>
  <c r="BX28" i="37"/>
  <c r="BW28" i="37"/>
  <c r="BV28" i="37"/>
  <c r="BU28" i="37"/>
  <c r="BT28" i="37"/>
  <c r="BS28" i="37"/>
  <c r="BR28" i="37"/>
  <c r="BQ28" i="37"/>
  <c r="BP28" i="37"/>
  <c r="BO28" i="37"/>
  <c r="BN28" i="37"/>
  <c r="BM28" i="37"/>
  <c r="BL28" i="37"/>
  <c r="BK28" i="37"/>
  <c r="BJ28" i="37"/>
  <c r="BI28" i="37"/>
  <c r="BH28" i="37"/>
  <c r="BG28" i="37"/>
  <c r="BF28" i="37"/>
  <c r="BE28" i="37"/>
  <c r="BD28" i="37"/>
  <c r="BC28" i="37"/>
  <c r="BB28" i="37"/>
  <c r="BA28" i="37"/>
  <c r="AZ28" i="37"/>
  <c r="AY28" i="37"/>
  <c r="AX28" i="37"/>
  <c r="AW28" i="37"/>
  <c r="AV28" i="37"/>
  <c r="AU28" i="37"/>
  <c r="AT28" i="37"/>
  <c r="AS28" i="37"/>
  <c r="AR28" i="37"/>
  <c r="AQ28" i="37"/>
  <c r="AP28" i="37"/>
  <c r="AO28" i="37"/>
  <c r="AN28" i="37"/>
  <c r="AM28" i="37"/>
  <c r="AL28" i="37"/>
  <c r="AK28" i="37"/>
  <c r="AJ28" i="37"/>
  <c r="AI28" i="37"/>
  <c r="AH28" i="37"/>
  <c r="AG28" i="37"/>
  <c r="AF28" i="37"/>
  <c r="AE28" i="37"/>
  <c r="AD28" i="37"/>
  <c r="AC28" i="37"/>
  <c r="AB28" i="37"/>
  <c r="AA28" i="37"/>
  <c r="Z28" i="37"/>
  <c r="Y28" i="37"/>
  <c r="X28" i="37"/>
  <c r="W28" i="37"/>
  <c r="V28" i="37"/>
  <c r="U28" i="37"/>
  <c r="T28" i="37"/>
  <c r="S28" i="37"/>
  <c r="R28" i="37"/>
  <c r="Q28" i="37"/>
  <c r="P28" i="37"/>
  <c r="O28" i="37"/>
  <c r="N28" i="37"/>
  <c r="M28" i="37"/>
  <c r="L28" i="37"/>
  <c r="K28" i="37"/>
  <c r="J28" i="37"/>
  <c r="I28" i="37"/>
  <c r="H28" i="37"/>
  <c r="G28" i="37"/>
  <c r="F28" i="37"/>
  <c r="E28" i="37"/>
  <c r="D28" i="37"/>
  <c r="IY27" i="37"/>
  <c r="IX27" i="37"/>
  <c r="IW27" i="37"/>
  <c r="IV27" i="37"/>
  <c r="IT27" i="37"/>
  <c r="IS27" i="37"/>
  <c r="IR27" i="37"/>
  <c r="IQ27" i="37"/>
  <c r="IP27" i="37"/>
  <c r="IO27" i="37"/>
  <c r="IN27" i="37"/>
  <c r="IM27" i="37"/>
  <c r="IL27" i="37"/>
  <c r="IK27" i="37"/>
  <c r="IJ27" i="37"/>
  <c r="II27" i="37"/>
  <c r="IH27" i="37"/>
  <c r="IG27" i="37"/>
  <c r="IF27" i="37"/>
  <c r="IE27" i="37"/>
  <c r="ID27" i="37"/>
  <c r="IC27" i="37"/>
  <c r="IB27" i="37"/>
  <c r="IA27" i="37"/>
  <c r="HZ27" i="37"/>
  <c r="HY27" i="37"/>
  <c r="HX27" i="37"/>
  <c r="HW27" i="37"/>
  <c r="HV27" i="37"/>
  <c r="HT27" i="37"/>
  <c r="HR27" i="37"/>
  <c r="HQ27" i="37"/>
  <c r="HO27" i="37"/>
  <c r="HN27" i="37"/>
  <c r="HM27" i="37"/>
  <c r="HL27" i="37"/>
  <c r="HK27" i="37"/>
  <c r="HJ27" i="37"/>
  <c r="HI27" i="37"/>
  <c r="HH27" i="37"/>
  <c r="HG27" i="37"/>
  <c r="HF27" i="37"/>
  <c r="HE27" i="37"/>
  <c r="HD27" i="37"/>
  <c r="HC27" i="37"/>
  <c r="HB27" i="37"/>
  <c r="HA27" i="37"/>
  <c r="GZ27" i="37"/>
  <c r="GX27" i="37"/>
  <c r="GW27" i="37"/>
  <c r="GV27" i="37"/>
  <c r="GU27" i="37"/>
  <c r="GT27" i="37"/>
  <c r="GS27" i="37"/>
  <c r="GR27" i="37"/>
  <c r="GQ27" i="37"/>
  <c r="GP27" i="37"/>
  <c r="GO27" i="37"/>
  <c r="GN27" i="37"/>
  <c r="GL27" i="37"/>
  <c r="GJ27" i="37"/>
  <c r="GI27" i="37"/>
  <c r="GH27" i="37"/>
  <c r="GG27" i="37"/>
  <c r="GF27" i="37"/>
  <c r="GE27" i="37"/>
  <c r="GD27" i="37"/>
  <c r="GC27" i="37"/>
  <c r="GB27" i="37"/>
  <c r="GA27" i="37"/>
  <c r="FZ27" i="37"/>
  <c r="FY27" i="37"/>
  <c r="FX27" i="37"/>
  <c r="FW27" i="37"/>
  <c r="FV27" i="37"/>
  <c r="FU27" i="37"/>
  <c r="FT27" i="37"/>
  <c r="FS27" i="37"/>
  <c r="FR27" i="37"/>
  <c r="FQ27" i="37"/>
  <c r="FP27" i="37"/>
  <c r="FO27" i="37"/>
  <c r="FN27" i="37"/>
  <c r="FM27" i="37"/>
  <c r="FL27" i="37"/>
  <c r="FK27" i="37"/>
  <c r="FJ27" i="37"/>
  <c r="FI27" i="37"/>
  <c r="FH27" i="37"/>
  <c r="FG27" i="37"/>
  <c r="FF27" i="37"/>
  <c r="FD27" i="37"/>
  <c r="FB27" i="37"/>
  <c r="FA27" i="37"/>
  <c r="EZ27" i="37"/>
  <c r="EY27" i="37"/>
  <c r="EX27" i="37"/>
  <c r="EW27" i="37"/>
  <c r="EV27" i="37"/>
  <c r="EU27" i="37"/>
  <c r="ET27" i="37"/>
  <c r="ES27" i="37"/>
  <c r="ER27" i="37"/>
  <c r="EQ27" i="37"/>
  <c r="EP27" i="37"/>
  <c r="EO27" i="37"/>
  <c r="EN27" i="37"/>
  <c r="EM27" i="37"/>
  <c r="EL27" i="37"/>
  <c r="EK27" i="37"/>
  <c r="EJ27" i="37"/>
  <c r="EI27" i="37"/>
  <c r="EH27" i="37"/>
  <c r="EG27" i="37"/>
  <c r="EF27" i="37"/>
  <c r="EE27" i="37"/>
  <c r="ED27" i="37"/>
  <c r="EC27" i="37"/>
  <c r="EB27" i="37"/>
  <c r="EA27" i="37"/>
  <c r="DZ27" i="37"/>
  <c r="DY27" i="37"/>
  <c r="DX27" i="37"/>
  <c r="DW27" i="37"/>
  <c r="DV27" i="37"/>
  <c r="DU27" i="37"/>
  <c r="DT27" i="37"/>
  <c r="DS27" i="37"/>
  <c r="DR27" i="37"/>
  <c r="DQ27" i="37"/>
  <c r="DP27" i="37"/>
  <c r="DO27" i="37"/>
  <c r="DN27" i="37"/>
  <c r="DM27" i="37"/>
  <c r="DL27" i="37"/>
  <c r="DK27" i="37"/>
  <c r="DJ27" i="37"/>
  <c r="DI27" i="37"/>
  <c r="DH27" i="37"/>
  <c r="DG27" i="37"/>
  <c r="DF27" i="37"/>
  <c r="DE27" i="37"/>
  <c r="DD27" i="37"/>
  <c r="DC27" i="37"/>
  <c r="DB27" i="37"/>
  <c r="DA27" i="37"/>
  <c r="CZ27" i="37"/>
  <c r="CY27" i="37"/>
  <c r="CX27" i="37"/>
  <c r="CW27" i="37"/>
  <c r="CV27" i="37"/>
  <c r="CU27" i="37"/>
  <c r="CT27" i="37"/>
  <c r="CS27" i="37"/>
  <c r="CR27" i="37"/>
  <c r="CQ27" i="37"/>
  <c r="CP27" i="37"/>
  <c r="CO27" i="37"/>
  <c r="CN27" i="37"/>
  <c r="CM27" i="37"/>
  <c r="CL27" i="37"/>
  <c r="CK27" i="37"/>
  <c r="CJ27" i="37"/>
  <c r="CI27" i="37"/>
  <c r="CH27" i="37"/>
  <c r="CG27" i="37"/>
  <c r="CF27" i="37"/>
  <c r="CE27" i="37"/>
  <c r="CD27" i="37"/>
  <c r="CC27" i="37"/>
  <c r="CB27" i="37"/>
  <c r="CA27" i="37"/>
  <c r="BZ27" i="37"/>
  <c r="BY27" i="37"/>
  <c r="BX27" i="37"/>
  <c r="BW27" i="37"/>
  <c r="BV27" i="37"/>
  <c r="BU27" i="37"/>
  <c r="BT27" i="37"/>
  <c r="BS27" i="37"/>
  <c r="BR27" i="37"/>
  <c r="BQ27" i="37"/>
  <c r="BP27" i="37"/>
  <c r="BO27" i="37"/>
  <c r="BN27" i="37"/>
  <c r="BM27" i="37"/>
  <c r="BL27" i="37"/>
  <c r="BK27" i="37"/>
  <c r="BJ27" i="37"/>
  <c r="BI27" i="37"/>
  <c r="BH27" i="37"/>
  <c r="BG27" i="37"/>
  <c r="BF27" i="37"/>
  <c r="BE27" i="37"/>
  <c r="BD27" i="37"/>
  <c r="BC27" i="37"/>
  <c r="BB27" i="37"/>
  <c r="BA27" i="37"/>
  <c r="AZ27" i="37"/>
  <c r="AY27" i="37"/>
  <c r="AX27" i="37"/>
  <c r="AW27" i="37"/>
  <c r="AV27" i="37"/>
  <c r="AU27" i="37"/>
  <c r="AT27" i="37"/>
  <c r="AS27" i="37"/>
  <c r="AR27" i="37"/>
  <c r="AQ27" i="37"/>
  <c r="AP27" i="37"/>
  <c r="AO27" i="37"/>
  <c r="AN27" i="37"/>
  <c r="AM27" i="37"/>
  <c r="AL27" i="37"/>
  <c r="AK27" i="37"/>
  <c r="AJ27" i="37"/>
  <c r="AI27" i="37"/>
  <c r="AH27" i="37"/>
  <c r="AG27" i="37"/>
  <c r="AF27" i="37"/>
  <c r="AE27" i="37"/>
  <c r="AD27" i="37"/>
  <c r="AC27" i="37"/>
  <c r="AB27" i="37"/>
  <c r="AA27" i="37"/>
  <c r="Z27" i="37"/>
  <c r="Y27" i="37"/>
  <c r="X27" i="37"/>
  <c r="W27" i="37"/>
  <c r="V27" i="37"/>
  <c r="U27" i="37"/>
  <c r="T27" i="37"/>
  <c r="S27" i="37"/>
  <c r="R27" i="37"/>
  <c r="Q27" i="37"/>
  <c r="P27" i="37"/>
  <c r="O27" i="37"/>
  <c r="N27" i="37"/>
  <c r="M27" i="37"/>
  <c r="L27" i="37"/>
  <c r="K27" i="37"/>
  <c r="J27" i="37"/>
  <c r="I27" i="37"/>
  <c r="H27" i="37"/>
  <c r="G27" i="37"/>
  <c r="F27" i="37"/>
  <c r="E27" i="37"/>
  <c r="D27" i="37"/>
  <c r="IY26" i="37"/>
  <c r="IX26" i="37"/>
  <c r="IW26" i="37"/>
  <c r="IV26" i="37"/>
  <c r="IT26" i="37"/>
  <c r="IS26" i="37"/>
  <c r="IR26" i="37"/>
  <c r="IQ26" i="37"/>
  <c r="IP26" i="37"/>
  <c r="IO26" i="37"/>
  <c r="IN26" i="37"/>
  <c r="IM26" i="37"/>
  <c r="IL26" i="37"/>
  <c r="IK26" i="37"/>
  <c r="IJ26" i="37"/>
  <c r="II26" i="37"/>
  <c r="IH26" i="37"/>
  <c r="IG26" i="37"/>
  <c r="IF26" i="37"/>
  <c r="IE26" i="37"/>
  <c r="ID26" i="37"/>
  <c r="IC26" i="37"/>
  <c r="IB26" i="37"/>
  <c r="IA26" i="37"/>
  <c r="HZ26" i="37"/>
  <c r="HY26" i="37"/>
  <c r="HX26" i="37"/>
  <c r="HW26" i="37"/>
  <c r="HV26" i="37"/>
  <c r="HT26" i="37"/>
  <c r="HR26" i="37"/>
  <c r="HQ26" i="37"/>
  <c r="HO26" i="37"/>
  <c r="HN26" i="37"/>
  <c r="HM26" i="37"/>
  <c r="HL26" i="37"/>
  <c r="HK26" i="37"/>
  <c r="HJ26" i="37"/>
  <c r="HI26" i="37"/>
  <c r="HH26" i="37"/>
  <c r="HG26" i="37"/>
  <c r="HF26" i="37"/>
  <c r="HE26" i="37"/>
  <c r="HD26" i="37"/>
  <c r="HC26" i="37"/>
  <c r="HB26" i="37"/>
  <c r="HA26" i="37"/>
  <c r="GZ26" i="37"/>
  <c r="GX26" i="37"/>
  <c r="GW26" i="37"/>
  <c r="GV26" i="37"/>
  <c r="GU26" i="37"/>
  <c r="GT26" i="37"/>
  <c r="GS26" i="37"/>
  <c r="GR26" i="37"/>
  <c r="GQ26" i="37"/>
  <c r="GP26" i="37"/>
  <c r="GO26" i="37"/>
  <c r="GN26" i="37"/>
  <c r="GL26" i="37"/>
  <c r="GJ26" i="37"/>
  <c r="GI26" i="37"/>
  <c r="GH26" i="37"/>
  <c r="GG26" i="37"/>
  <c r="GF26" i="37"/>
  <c r="GE26" i="37"/>
  <c r="GD26" i="37"/>
  <c r="GC26" i="37"/>
  <c r="GB26" i="37"/>
  <c r="GA26" i="37"/>
  <c r="FZ26" i="37"/>
  <c r="FY26" i="37"/>
  <c r="FX26" i="37"/>
  <c r="FW26" i="37"/>
  <c r="FV26" i="37"/>
  <c r="FU26" i="37"/>
  <c r="FT26" i="37"/>
  <c r="FS26" i="37"/>
  <c r="FR26" i="37"/>
  <c r="FQ26" i="37"/>
  <c r="FP26" i="37"/>
  <c r="FO26" i="37"/>
  <c r="FN26" i="37"/>
  <c r="FM26" i="37"/>
  <c r="FL26" i="37"/>
  <c r="FK26" i="37"/>
  <c r="FJ26" i="37"/>
  <c r="FI26" i="37"/>
  <c r="FH26" i="37"/>
  <c r="FG26" i="37"/>
  <c r="FF26" i="37"/>
  <c r="FD26" i="37"/>
  <c r="FB26" i="37"/>
  <c r="FA26" i="37"/>
  <c r="EZ26" i="37"/>
  <c r="EY26" i="37"/>
  <c r="EX26" i="37"/>
  <c r="EW26" i="37"/>
  <c r="EV26" i="37"/>
  <c r="EU26" i="37"/>
  <c r="ET26" i="37"/>
  <c r="ES26" i="37"/>
  <c r="ER26" i="37"/>
  <c r="EQ26" i="37"/>
  <c r="EP26" i="37"/>
  <c r="EO26" i="37"/>
  <c r="EN26" i="37"/>
  <c r="EM26" i="37"/>
  <c r="EL26" i="37"/>
  <c r="EK26" i="37"/>
  <c r="EJ26" i="37"/>
  <c r="EI26" i="37"/>
  <c r="EH26" i="37"/>
  <c r="EG26" i="37"/>
  <c r="EF26" i="37"/>
  <c r="EE26" i="37"/>
  <c r="ED26" i="37"/>
  <c r="EC26" i="37"/>
  <c r="EB26" i="37"/>
  <c r="EA26" i="37"/>
  <c r="DZ26" i="37"/>
  <c r="DY26" i="37"/>
  <c r="DX26" i="37"/>
  <c r="DW26" i="37"/>
  <c r="DV26" i="37"/>
  <c r="DU26" i="37"/>
  <c r="DT26" i="37"/>
  <c r="DS26" i="37"/>
  <c r="DR26" i="37"/>
  <c r="DQ26" i="37"/>
  <c r="DP26" i="37"/>
  <c r="DO26" i="37"/>
  <c r="DN26" i="37"/>
  <c r="DM26" i="37"/>
  <c r="DL26" i="37"/>
  <c r="DK26" i="37"/>
  <c r="DJ26" i="37"/>
  <c r="DI26" i="37"/>
  <c r="DH26" i="37"/>
  <c r="DG26" i="37"/>
  <c r="DF26" i="37"/>
  <c r="DE26" i="37"/>
  <c r="DD26" i="37"/>
  <c r="DC26" i="37"/>
  <c r="DB26" i="37"/>
  <c r="DA26" i="37"/>
  <c r="CZ26" i="37"/>
  <c r="CY26" i="37"/>
  <c r="CX26" i="37"/>
  <c r="CW26" i="37"/>
  <c r="CV26" i="37"/>
  <c r="CU26" i="37"/>
  <c r="CT26" i="37"/>
  <c r="CS26" i="37"/>
  <c r="CR26" i="37"/>
  <c r="CQ26" i="37"/>
  <c r="CP26" i="37"/>
  <c r="CO26" i="37"/>
  <c r="CN26" i="37"/>
  <c r="CM26" i="37"/>
  <c r="CL26" i="37"/>
  <c r="CK26" i="37"/>
  <c r="CJ26" i="37"/>
  <c r="CI26" i="37"/>
  <c r="CH26" i="37"/>
  <c r="CG26" i="37"/>
  <c r="CF26" i="37"/>
  <c r="CE26" i="37"/>
  <c r="CD26" i="37"/>
  <c r="CC26" i="37"/>
  <c r="CB26" i="37"/>
  <c r="CA26" i="37"/>
  <c r="BZ26" i="37"/>
  <c r="BY26" i="37"/>
  <c r="BX26" i="37"/>
  <c r="BW26" i="37"/>
  <c r="BV26" i="37"/>
  <c r="BU26" i="37"/>
  <c r="BT26" i="37"/>
  <c r="BS26" i="37"/>
  <c r="BR26" i="37"/>
  <c r="BQ26" i="37"/>
  <c r="BP26" i="37"/>
  <c r="BO26" i="37"/>
  <c r="BN26" i="37"/>
  <c r="BM26" i="37"/>
  <c r="BL26" i="37"/>
  <c r="BK26" i="37"/>
  <c r="BJ26" i="37"/>
  <c r="BI26" i="37"/>
  <c r="BH26" i="37"/>
  <c r="BG26" i="37"/>
  <c r="BF26" i="37"/>
  <c r="BE26" i="37"/>
  <c r="BD26" i="37"/>
  <c r="BC26" i="37"/>
  <c r="BB26" i="37"/>
  <c r="BA26" i="37"/>
  <c r="AZ26" i="37"/>
  <c r="AY26" i="37"/>
  <c r="AX26" i="37"/>
  <c r="AW26" i="37"/>
  <c r="AV26" i="37"/>
  <c r="AU26" i="37"/>
  <c r="AT26" i="37"/>
  <c r="AS26" i="37"/>
  <c r="AR26" i="37"/>
  <c r="AQ26" i="37"/>
  <c r="AP26" i="37"/>
  <c r="AO26" i="37"/>
  <c r="AN26" i="37"/>
  <c r="AM26" i="37"/>
  <c r="AL26" i="37"/>
  <c r="AK26" i="37"/>
  <c r="AJ26" i="37"/>
  <c r="AI26" i="37"/>
  <c r="AH26" i="37"/>
  <c r="AG26" i="37"/>
  <c r="AF26" i="37"/>
  <c r="AE26" i="37"/>
  <c r="AD26" i="37"/>
  <c r="AC26" i="37"/>
  <c r="AB26" i="37"/>
  <c r="AA26" i="37"/>
  <c r="Z26" i="37"/>
  <c r="Y26" i="37"/>
  <c r="X26" i="37"/>
  <c r="W26" i="37"/>
  <c r="V26" i="37"/>
  <c r="U26" i="37"/>
  <c r="T26" i="37"/>
  <c r="S26" i="37"/>
  <c r="R26" i="37"/>
  <c r="Q26" i="37"/>
  <c r="P26" i="37"/>
  <c r="O26" i="37"/>
  <c r="N26" i="37"/>
  <c r="M26" i="37"/>
  <c r="L26" i="37"/>
  <c r="K26" i="37"/>
  <c r="J26" i="37"/>
  <c r="I26" i="37"/>
  <c r="H26" i="37"/>
  <c r="G26" i="37"/>
  <c r="F26" i="37"/>
  <c r="E26" i="37"/>
  <c r="D26" i="37"/>
  <c r="IY25" i="37"/>
  <c r="IX25" i="37"/>
  <c r="IW25" i="37"/>
  <c r="IV25" i="37"/>
  <c r="IT25" i="37"/>
  <c r="IS25" i="37"/>
  <c r="IR25" i="37"/>
  <c r="IQ25" i="37"/>
  <c r="IP25" i="37"/>
  <c r="IO25" i="37"/>
  <c r="IN25" i="37"/>
  <c r="IM25" i="37"/>
  <c r="IL25" i="37"/>
  <c r="IK25" i="37"/>
  <c r="IJ25" i="37"/>
  <c r="II25" i="37"/>
  <c r="IH25" i="37"/>
  <c r="IG25" i="37"/>
  <c r="IF25" i="37"/>
  <c r="IE25" i="37"/>
  <c r="ID25" i="37"/>
  <c r="IC25" i="37"/>
  <c r="IB25" i="37"/>
  <c r="IA25" i="37"/>
  <c r="HZ25" i="37"/>
  <c r="HY25" i="37"/>
  <c r="HX25" i="37"/>
  <c r="HW25" i="37"/>
  <c r="HV25" i="37"/>
  <c r="HT25" i="37"/>
  <c r="HR25" i="37"/>
  <c r="HQ25" i="37"/>
  <c r="HO25" i="37"/>
  <c r="HN25" i="37"/>
  <c r="HM25" i="37"/>
  <c r="HL25" i="37"/>
  <c r="HK25" i="37"/>
  <c r="HJ25" i="37"/>
  <c r="HI25" i="37"/>
  <c r="HH25" i="37"/>
  <c r="HG25" i="37"/>
  <c r="HF25" i="37"/>
  <c r="HE25" i="37"/>
  <c r="HD25" i="37"/>
  <c r="HC25" i="37"/>
  <c r="HB25" i="37"/>
  <c r="HA25" i="37"/>
  <c r="GZ25" i="37"/>
  <c r="GX25" i="37"/>
  <c r="GW25" i="37"/>
  <c r="GV25" i="37"/>
  <c r="GU25" i="37"/>
  <c r="GT25" i="37"/>
  <c r="GS25" i="37"/>
  <c r="GR25" i="37"/>
  <c r="GQ25" i="37"/>
  <c r="GP25" i="37"/>
  <c r="GO25" i="37"/>
  <c r="GN25" i="37"/>
  <c r="GL25" i="37"/>
  <c r="GJ25" i="37"/>
  <c r="GI25" i="37"/>
  <c r="GH25" i="37"/>
  <c r="GG25" i="37"/>
  <c r="GF25" i="37"/>
  <c r="GE25" i="37"/>
  <c r="GD25" i="37"/>
  <c r="GC25" i="37"/>
  <c r="GB25" i="37"/>
  <c r="GA25" i="37"/>
  <c r="FZ25" i="37"/>
  <c r="FY25" i="37"/>
  <c r="FX25" i="37"/>
  <c r="FW25" i="37"/>
  <c r="FV25" i="37"/>
  <c r="FU25" i="37"/>
  <c r="FT25" i="37"/>
  <c r="FS25" i="37"/>
  <c r="FR25" i="37"/>
  <c r="FQ25" i="37"/>
  <c r="FP25" i="37"/>
  <c r="FO25" i="37"/>
  <c r="FN25" i="37"/>
  <c r="FM25" i="37"/>
  <c r="FL25" i="37"/>
  <c r="FK25" i="37"/>
  <c r="FJ25" i="37"/>
  <c r="FI25" i="37"/>
  <c r="FH25" i="37"/>
  <c r="FG25" i="37"/>
  <c r="FF25" i="37"/>
  <c r="FD25" i="37"/>
  <c r="FB25" i="37"/>
  <c r="FA25" i="37"/>
  <c r="EZ25" i="37"/>
  <c r="EY25" i="37"/>
  <c r="EX25" i="37"/>
  <c r="EW25" i="37"/>
  <c r="EV25" i="37"/>
  <c r="EU25" i="37"/>
  <c r="ET25" i="37"/>
  <c r="ES25" i="37"/>
  <c r="ER25" i="37"/>
  <c r="EQ25" i="37"/>
  <c r="EP25" i="37"/>
  <c r="EO25" i="37"/>
  <c r="EN25" i="37"/>
  <c r="EM25" i="37"/>
  <c r="EL25" i="37"/>
  <c r="EK25" i="37"/>
  <c r="EJ25" i="37"/>
  <c r="EI25" i="37"/>
  <c r="EH25" i="37"/>
  <c r="EG25" i="37"/>
  <c r="EF25" i="37"/>
  <c r="EE25" i="37"/>
  <c r="ED25" i="37"/>
  <c r="EC25" i="37"/>
  <c r="EB25" i="37"/>
  <c r="EA25" i="37"/>
  <c r="DZ25" i="37"/>
  <c r="DY25" i="37"/>
  <c r="DX25" i="37"/>
  <c r="DW25" i="37"/>
  <c r="DV25" i="37"/>
  <c r="DU25" i="37"/>
  <c r="DT25" i="37"/>
  <c r="DS25" i="37"/>
  <c r="DR25" i="37"/>
  <c r="DQ25" i="37"/>
  <c r="DP25" i="37"/>
  <c r="DO25" i="37"/>
  <c r="DN25" i="37"/>
  <c r="DM25" i="37"/>
  <c r="DL25" i="37"/>
  <c r="DK25" i="37"/>
  <c r="DJ25" i="37"/>
  <c r="DI25" i="37"/>
  <c r="DH25" i="37"/>
  <c r="DG25" i="37"/>
  <c r="DF25" i="37"/>
  <c r="DE25" i="37"/>
  <c r="DD25" i="37"/>
  <c r="DC25" i="37"/>
  <c r="DB25" i="37"/>
  <c r="DA25" i="37"/>
  <c r="CZ25" i="37"/>
  <c r="CY25" i="37"/>
  <c r="CX25" i="37"/>
  <c r="CW25" i="37"/>
  <c r="CV25" i="37"/>
  <c r="CU25" i="37"/>
  <c r="CT25" i="37"/>
  <c r="CS25" i="37"/>
  <c r="CR25" i="37"/>
  <c r="CQ25" i="37"/>
  <c r="CP25" i="37"/>
  <c r="CO25" i="37"/>
  <c r="CN25" i="37"/>
  <c r="CM25" i="37"/>
  <c r="CL25" i="37"/>
  <c r="CK25" i="37"/>
  <c r="CJ25" i="37"/>
  <c r="CI25" i="37"/>
  <c r="CH25" i="37"/>
  <c r="CG25" i="37"/>
  <c r="CF25" i="37"/>
  <c r="CE25" i="37"/>
  <c r="CD25" i="37"/>
  <c r="CC25" i="37"/>
  <c r="CB25" i="37"/>
  <c r="CA25" i="37"/>
  <c r="BZ25" i="37"/>
  <c r="BY25" i="37"/>
  <c r="BX25" i="37"/>
  <c r="BW25" i="37"/>
  <c r="BV25" i="37"/>
  <c r="BU25" i="37"/>
  <c r="BT25" i="37"/>
  <c r="BS25" i="37"/>
  <c r="BR25" i="37"/>
  <c r="BQ25" i="37"/>
  <c r="BP25" i="37"/>
  <c r="BO25" i="37"/>
  <c r="BN25" i="37"/>
  <c r="BM25" i="37"/>
  <c r="BL25" i="37"/>
  <c r="BK25" i="37"/>
  <c r="BJ25" i="37"/>
  <c r="BI25" i="37"/>
  <c r="BH25" i="37"/>
  <c r="BG25" i="37"/>
  <c r="BF25" i="37"/>
  <c r="BE25" i="37"/>
  <c r="BD25" i="37"/>
  <c r="BC25" i="37"/>
  <c r="BB25" i="37"/>
  <c r="BA25" i="37"/>
  <c r="AZ25" i="37"/>
  <c r="AY25" i="37"/>
  <c r="AX25" i="37"/>
  <c r="AW25" i="37"/>
  <c r="AV25" i="37"/>
  <c r="AU25" i="37"/>
  <c r="AT25" i="37"/>
  <c r="AS25" i="37"/>
  <c r="AR25" i="37"/>
  <c r="AQ25" i="37"/>
  <c r="AP25" i="37"/>
  <c r="AO25" i="37"/>
  <c r="AN25" i="37"/>
  <c r="AM25" i="37"/>
  <c r="AL25" i="37"/>
  <c r="AK25" i="37"/>
  <c r="AJ25" i="37"/>
  <c r="AI25" i="37"/>
  <c r="AH25" i="37"/>
  <c r="AG25" i="37"/>
  <c r="AF25" i="37"/>
  <c r="AE25" i="37"/>
  <c r="AD25" i="37"/>
  <c r="AC25" i="37"/>
  <c r="AB25" i="37"/>
  <c r="AA25" i="37"/>
  <c r="Z25" i="37"/>
  <c r="Y25" i="37"/>
  <c r="X25" i="37"/>
  <c r="W25" i="37"/>
  <c r="V25" i="37"/>
  <c r="U25" i="37"/>
  <c r="T25" i="37"/>
  <c r="S25" i="37"/>
  <c r="R25" i="37"/>
  <c r="Q25" i="37"/>
  <c r="P25" i="37"/>
  <c r="O25" i="37"/>
  <c r="N25" i="37"/>
  <c r="M25" i="37"/>
  <c r="L25" i="37"/>
  <c r="K25" i="37"/>
  <c r="J25" i="37"/>
  <c r="I25" i="37"/>
  <c r="H25" i="37"/>
  <c r="G25" i="37"/>
  <c r="F25" i="37"/>
  <c r="E25" i="37"/>
  <c r="D25" i="37"/>
  <c r="IY24" i="37"/>
  <c r="IX24" i="37"/>
  <c r="IW24" i="37"/>
  <c r="IV24" i="37"/>
  <c r="IT24" i="37"/>
  <c r="IS24" i="37"/>
  <c r="IR24" i="37"/>
  <c r="IQ24" i="37"/>
  <c r="IP24" i="37"/>
  <c r="IO24" i="37"/>
  <c r="IN24" i="37"/>
  <c r="IM24" i="37"/>
  <c r="IL24" i="37"/>
  <c r="IK24" i="37"/>
  <c r="IJ24" i="37"/>
  <c r="II24" i="37"/>
  <c r="IH24" i="37"/>
  <c r="IG24" i="37"/>
  <c r="IF24" i="37"/>
  <c r="IE24" i="37"/>
  <c r="ID24" i="37"/>
  <c r="IC24" i="37"/>
  <c r="IB24" i="37"/>
  <c r="IA24" i="37"/>
  <c r="HZ24" i="37"/>
  <c r="HY24" i="37"/>
  <c r="HX24" i="37"/>
  <c r="HW24" i="37"/>
  <c r="HV24" i="37"/>
  <c r="HT24" i="37"/>
  <c r="HR24" i="37"/>
  <c r="HQ24" i="37"/>
  <c r="HO24" i="37"/>
  <c r="HN24" i="37"/>
  <c r="HM24" i="37"/>
  <c r="HL24" i="37"/>
  <c r="HK24" i="37"/>
  <c r="HJ24" i="37"/>
  <c r="HI24" i="37"/>
  <c r="HH24" i="37"/>
  <c r="HG24" i="37"/>
  <c r="HF24" i="37"/>
  <c r="HE24" i="37"/>
  <c r="HD24" i="37"/>
  <c r="HC24" i="37"/>
  <c r="HB24" i="37"/>
  <c r="HA24" i="37"/>
  <c r="GZ24" i="37"/>
  <c r="GX24" i="37"/>
  <c r="GW24" i="37"/>
  <c r="GV24" i="37"/>
  <c r="GU24" i="37"/>
  <c r="GT24" i="37"/>
  <c r="GS24" i="37"/>
  <c r="GR24" i="37"/>
  <c r="GQ24" i="37"/>
  <c r="GP24" i="37"/>
  <c r="GO24" i="37"/>
  <c r="GN24" i="37"/>
  <c r="GL24" i="37"/>
  <c r="GJ24" i="37"/>
  <c r="GI24" i="37"/>
  <c r="GH24" i="37"/>
  <c r="GG24" i="37"/>
  <c r="GF24" i="37"/>
  <c r="GE24" i="37"/>
  <c r="GD24" i="37"/>
  <c r="GC24" i="37"/>
  <c r="GB24" i="37"/>
  <c r="GA24" i="37"/>
  <c r="FZ24" i="37"/>
  <c r="FY24" i="37"/>
  <c r="FX24" i="37"/>
  <c r="FW24" i="37"/>
  <c r="FV24" i="37"/>
  <c r="FU24" i="37"/>
  <c r="FT24" i="37"/>
  <c r="FS24" i="37"/>
  <c r="FR24" i="37"/>
  <c r="FQ24" i="37"/>
  <c r="FP24" i="37"/>
  <c r="FO24" i="37"/>
  <c r="FN24" i="37"/>
  <c r="FM24" i="37"/>
  <c r="FL24" i="37"/>
  <c r="FK24" i="37"/>
  <c r="FJ24" i="37"/>
  <c r="FI24" i="37"/>
  <c r="FH24" i="37"/>
  <c r="FG24" i="37"/>
  <c r="FF24" i="37"/>
  <c r="FD24" i="37"/>
  <c r="FB24" i="37"/>
  <c r="FA24" i="37"/>
  <c r="EZ24" i="37"/>
  <c r="EY24" i="37"/>
  <c r="EX24" i="37"/>
  <c r="EW24" i="37"/>
  <c r="EV24" i="37"/>
  <c r="EU24" i="37"/>
  <c r="ET24" i="37"/>
  <c r="ES24" i="37"/>
  <c r="ER24" i="37"/>
  <c r="EQ24" i="37"/>
  <c r="EP24" i="37"/>
  <c r="EO24" i="37"/>
  <c r="EN24" i="37"/>
  <c r="EM24" i="37"/>
  <c r="EL24" i="37"/>
  <c r="EK24" i="37"/>
  <c r="EJ24" i="37"/>
  <c r="EI24" i="37"/>
  <c r="EH24" i="37"/>
  <c r="EG24" i="37"/>
  <c r="EF24" i="37"/>
  <c r="EE24" i="37"/>
  <c r="ED24" i="37"/>
  <c r="EC24" i="37"/>
  <c r="EB24" i="37"/>
  <c r="EA24" i="37"/>
  <c r="DZ24" i="37"/>
  <c r="DY24" i="37"/>
  <c r="DX24" i="37"/>
  <c r="DW24" i="37"/>
  <c r="DV24" i="37"/>
  <c r="DU24" i="37"/>
  <c r="DT24" i="37"/>
  <c r="DS24" i="37"/>
  <c r="DR24" i="37"/>
  <c r="DQ24" i="37"/>
  <c r="DP24" i="37"/>
  <c r="DO24" i="37"/>
  <c r="DN24" i="37"/>
  <c r="DM24" i="37"/>
  <c r="DL24" i="37"/>
  <c r="DK24" i="37"/>
  <c r="DJ24" i="37"/>
  <c r="DI24" i="37"/>
  <c r="DH24" i="37"/>
  <c r="DG24" i="37"/>
  <c r="DF24" i="37"/>
  <c r="DE24" i="37"/>
  <c r="DD24" i="37"/>
  <c r="DC24" i="37"/>
  <c r="DB24" i="37"/>
  <c r="DA24" i="37"/>
  <c r="CZ24" i="37"/>
  <c r="CY24" i="37"/>
  <c r="CX24" i="37"/>
  <c r="CW24" i="37"/>
  <c r="CV24" i="37"/>
  <c r="CU24" i="37"/>
  <c r="CT24" i="37"/>
  <c r="CS24" i="37"/>
  <c r="CR24" i="37"/>
  <c r="CQ24" i="37"/>
  <c r="CP24" i="37"/>
  <c r="CO24" i="37"/>
  <c r="CN24" i="37"/>
  <c r="CM24" i="37"/>
  <c r="CL24" i="37"/>
  <c r="CK24" i="37"/>
  <c r="CJ24" i="37"/>
  <c r="CI24" i="37"/>
  <c r="CH24" i="37"/>
  <c r="CG24" i="37"/>
  <c r="CF24" i="37"/>
  <c r="CE24" i="37"/>
  <c r="CD24" i="37"/>
  <c r="CC24" i="37"/>
  <c r="CB24" i="37"/>
  <c r="CA24" i="37"/>
  <c r="BZ24" i="37"/>
  <c r="BY24" i="37"/>
  <c r="BX24" i="37"/>
  <c r="BW24" i="37"/>
  <c r="BV24" i="37"/>
  <c r="BU24" i="37"/>
  <c r="BT24" i="37"/>
  <c r="BS24" i="37"/>
  <c r="BR24" i="37"/>
  <c r="BQ24" i="37"/>
  <c r="BP24" i="37"/>
  <c r="BO24" i="37"/>
  <c r="BN24" i="37"/>
  <c r="BM24" i="37"/>
  <c r="BL24" i="37"/>
  <c r="BK24" i="37"/>
  <c r="BJ24" i="37"/>
  <c r="BI24" i="37"/>
  <c r="BH24" i="37"/>
  <c r="BG24" i="37"/>
  <c r="BF24" i="37"/>
  <c r="BE24" i="37"/>
  <c r="BD24" i="37"/>
  <c r="BC24" i="37"/>
  <c r="BB24" i="37"/>
  <c r="BA24" i="37"/>
  <c r="AZ24" i="37"/>
  <c r="AY24" i="37"/>
  <c r="AX24" i="37"/>
  <c r="AW24" i="37"/>
  <c r="AV24" i="37"/>
  <c r="AU24" i="37"/>
  <c r="AT24" i="37"/>
  <c r="AS24" i="37"/>
  <c r="AR24" i="37"/>
  <c r="AQ24" i="37"/>
  <c r="AP24" i="37"/>
  <c r="AO24" i="37"/>
  <c r="AN24" i="37"/>
  <c r="AM24" i="37"/>
  <c r="AL24" i="37"/>
  <c r="AK24" i="37"/>
  <c r="AJ24" i="37"/>
  <c r="AI24" i="37"/>
  <c r="AH24" i="37"/>
  <c r="AG24" i="37"/>
  <c r="AF24" i="37"/>
  <c r="AE24" i="37"/>
  <c r="AD24" i="37"/>
  <c r="AC24" i="37"/>
  <c r="AB24" i="37"/>
  <c r="AA24" i="37"/>
  <c r="Z24" i="37"/>
  <c r="Y24" i="37"/>
  <c r="X24" i="37"/>
  <c r="W24" i="37"/>
  <c r="V24" i="37"/>
  <c r="U24" i="37"/>
  <c r="T24" i="37"/>
  <c r="S24" i="37"/>
  <c r="R24" i="37"/>
  <c r="Q24" i="37"/>
  <c r="P24" i="37"/>
  <c r="O24" i="37"/>
  <c r="N24" i="37"/>
  <c r="M24" i="37"/>
  <c r="L24" i="37"/>
  <c r="K24" i="37"/>
  <c r="J24" i="37"/>
  <c r="I24" i="37"/>
  <c r="H24" i="37"/>
  <c r="G24" i="37"/>
  <c r="F24" i="37"/>
  <c r="E24" i="37"/>
  <c r="D24" i="37"/>
  <c r="IY23" i="37"/>
  <c r="IX23" i="37"/>
  <c r="IW23" i="37"/>
  <c r="IV23" i="37"/>
  <c r="IT23" i="37"/>
  <c r="IS23" i="37"/>
  <c r="IR23" i="37"/>
  <c r="IQ23" i="37"/>
  <c r="IP23" i="37"/>
  <c r="IO23" i="37"/>
  <c r="IN23" i="37"/>
  <c r="IM23" i="37"/>
  <c r="IL23" i="37"/>
  <c r="IK23" i="37"/>
  <c r="IJ23" i="37"/>
  <c r="II23" i="37"/>
  <c r="IH23" i="37"/>
  <c r="IG23" i="37"/>
  <c r="IF23" i="37"/>
  <c r="IE23" i="37"/>
  <c r="ID23" i="37"/>
  <c r="IC23" i="37"/>
  <c r="IB23" i="37"/>
  <c r="IA23" i="37"/>
  <c r="HZ23" i="37"/>
  <c r="HY23" i="37"/>
  <c r="HX23" i="37"/>
  <c r="HW23" i="37"/>
  <c r="HV23" i="37"/>
  <c r="HT23" i="37"/>
  <c r="HR23" i="37"/>
  <c r="HQ23" i="37"/>
  <c r="HO23" i="37"/>
  <c r="HN23" i="37"/>
  <c r="HM23" i="37"/>
  <c r="HL23" i="37"/>
  <c r="HK23" i="37"/>
  <c r="HJ23" i="37"/>
  <c r="HI23" i="37"/>
  <c r="HH23" i="37"/>
  <c r="HG23" i="37"/>
  <c r="HF23" i="37"/>
  <c r="HE23" i="37"/>
  <c r="HD23" i="37"/>
  <c r="HC23" i="37"/>
  <c r="HB23" i="37"/>
  <c r="HA23" i="37"/>
  <c r="GZ23" i="37"/>
  <c r="GX23" i="37"/>
  <c r="GW23" i="37"/>
  <c r="GV23" i="37"/>
  <c r="GU23" i="37"/>
  <c r="GT23" i="37"/>
  <c r="GS23" i="37"/>
  <c r="GR23" i="37"/>
  <c r="GQ23" i="37"/>
  <c r="GP23" i="37"/>
  <c r="GO23" i="37"/>
  <c r="GN23" i="37"/>
  <c r="GL23" i="37"/>
  <c r="GJ23" i="37"/>
  <c r="GI23" i="37"/>
  <c r="GH23" i="37"/>
  <c r="GG23" i="37"/>
  <c r="GF23" i="37"/>
  <c r="GE23" i="37"/>
  <c r="GD23" i="37"/>
  <c r="GC23" i="37"/>
  <c r="GB23" i="37"/>
  <c r="GA23" i="37"/>
  <c r="FZ23" i="37"/>
  <c r="FY23" i="37"/>
  <c r="FX23" i="37"/>
  <c r="FW23" i="37"/>
  <c r="FV23" i="37"/>
  <c r="FU23" i="37"/>
  <c r="FT23" i="37"/>
  <c r="FS23" i="37"/>
  <c r="FR23" i="37"/>
  <c r="FQ23" i="37"/>
  <c r="FP23" i="37"/>
  <c r="FO23" i="37"/>
  <c r="FN23" i="37"/>
  <c r="FM23" i="37"/>
  <c r="FL23" i="37"/>
  <c r="FK23" i="37"/>
  <c r="FJ23" i="37"/>
  <c r="FI23" i="37"/>
  <c r="FH23" i="37"/>
  <c r="FG23" i="37"/>
  <c r="FF23" i="37"/>
  <c r="FD23" i="37"/>
  <c r="FB23" i="37"/>
  <c r="FA23" i="37"/>
  <c r="EZ23" i="37"/>
  <c r="EY23" i="37"/>
  <c r="EX23" i="37"/>
  <c r="EW23" i="37"/>
  <c r="EV23" i="37"/>
  <c r="EU23" i="37"/>
  <c r="ET23" i="37"/>
  <c r="ES23" i="37"/>
  <c r="ER23" i="37"/>
  <c r="EQ23" i="37"/>
  <c r="EP23" i="37"/>
  <c r="EO23" i="37"/>
  <c r="EN23" i="37"/>
  <c r="EM23" i="37"/>
  <c r="EL23" i="37"/>
  <c r="EK23" i="37"/>
  <c r="EJ23" i="37"/>
  <c r="EI23" i="37"/>
  <c r="EH23" i="37"/>
  <c r="EG23" i="37"/>
  <c r="EF23" i="37"/>
  <c r="EE23" i="37"/>
  <c r="ED23" i="37"/>
  <c r="EC23" i="37"/>
  <c r="EB23" i="37"/>
  <c r="EA23" i="37"/>
  <c r="DZ23" i="37"/>
  <c r="DY23" i="37"/>
  <c r="DX23" i="37"/>
  <c r="DW23" i="37"/>
  <c r="DV23" i="37"/>
  <c r="DU23" i="37"/>
  <c r="DT23" i="37"/>
  <c r="DS23" i="37"/>
  <c r="DR23" i="37"/>
  <c r="DQ23" i="37"/>
  <c r="DP23" i="37"/>
  <c r="DO23" i="37"/>
  <c r="DN23" i="37"/>
  <c r="DM23" i="37"/>
  <c r="DL23" i="37"/>
  <c r="DK23" i="37"/>
  <c r="DJ23" i="37"/>
  <c r="DI23" i="37"/>
  <c r="DH23" i="37"/>
  <c r="DG23" i="37"/>
  <c r="DF23" i="37"/>
  <c r="DE23" i="37"/>
  <c r="DD23" i="37"/>
  <c r="DC23" i="37"/>
  <c r="DB23" i="37"/>
  <c r="DA23" i="37"/>
  <c r="CZ23" i="37"/>
  <c r="CY23" i="37"/>
  <c r="CX23" i="37"/>
  <c r="CW23" i="37"/>
  <c r="CV23" i="37"/>
  <c r="CU23" i="37"/>
  <c r="CT23" i="37"/>
  <c r="CS23" i="37"/>
  <c r="CR23" i="37"/>
  <c r="CQ23" i="37"/>
  <c r="CP23" i="37"/>
  <c r="CO23" i="37"/>
  <c r="CN23" i="37"/>
  <c r="CM23" i="37"/>
  <c r="CL23" i="37"/>
  <c r="CK23" i="37"/>
  <c r="CJ23" i="37"/>
  <c r="CI23" i="37"/>
  <c r="CH23" i="37"/>
  <c r="CG23" i="37"/>
  <c r="CF23" i="37"/>
  <c r="CE23" i="37"/>
  <c r="CD23" i="37"/>
  <c r="CC23" i="37"/>
  <c r="CB23" i="37"/>
  <c r="CA23" i="37"/>
  <c r="BZ23" i="37"/>
  <c r="BY23" i="37"/>
  <c r="BX23" i="37"/>
  <c r="BW23" i="37"/>
  <c r="BV23" i="37"/>
  <c r="BU23" i="37"/>
  <c r="BT23" i="37"/>
  <c r="BS23" i="37"/>
  <c r="BR23" i="37"/>
  <c r="BQ23" i="37"/>
  <c r="BP23" i="37"/>
  <c r="BO23" i="37"/>
  <c r="BN23" i="37"/>
  <c r="BM23" i="37"/>
  <c r="BL23" i="37"/>
  <c r="BK23" i="37"/>
  <c r="BJ23" i="37"/>
  <c r="BI23" i="37"/>
  <c r="BH23" i="37"/>
  <c r="BG23" i="37"/>
  <c r="BF23" i="37"/>
  <c r="BE23" i="37"/>
  <c r="BD23" i="37"/>
  <c r="BC23" i="37"/>
  <c r="BB23" i="37"/>
  <c r="BA23" i="37"/>
  <c r="AZ23" i="37"/>
  <c r="AY23" i="37"/>
  <c r="AX23" i="37"/>
  <c r="AW23" i="37"/>
  <c r="AV23" i="37"/>
  <c r="AU23" i="37"/>
  <c r="AT23" i="37"/>
  <c r="AS23" i="37"/>
  <c r="AR23" i="37"/>
  <c r="AQ23" i="37"/>
  <c r="AP23" i="37"/>
  <c r="AO23" i="37"/>
  <c r="AN23" i="37"/>
  <c r="AM23" i="37"/>
  <c r="AL23" i="37"/>
  <c r="AK23" i="37"/>
  <c r="AJ23" i="37"/>
  <c r="AI23" i="37"/>
  <c r="AH23" i="37"/>
  <c r="AG23" i="37"/>
  <c r="AF23" i="37"/>
  <c r="AE23" i="37"/>
  <c r="AD23" i="37"/>
  <c r="AC23" i="37"/>
  <c r="AB23" i="37"/>
  <c r="AA23" i="37"/>
  <c r="Z23" i="37"/>
  <c r="Y23" i="37"/>
  <c r="X23" i="37"/>
  <c r="W23" i="37"/>
  <c r="V23" i="37"/>
  <c r="U23" i="37"/>
  <c r="T23" i="37"/>
  <c r="S23" i="37"/>
  <c r="R23" i="37"/>
  <c r="Q23" i="37"/>
  <c r="P23" i="37"/>
  <c r="O23" i="37"/>
  <c r="N23" i="37"/>
  <c r="M23" i="37"/>
  <c r="L23" i="37"/>
  <c r="K23" i="37"/>
  <c r="J23" i="37"/>
  <c r="I23" i="37"/>
  <c r="H23" i="37"/>
  <c r="G23" i="37"/>
  <c r="F23" i="37"/>
  <c r="E23" i="37"/>
  <c r="D23" i="37"/>
  <c r="IY22" i="37"/>
  <c r="IX22" i="37"/>
  <c r="IW22" i="37"/>
  <c r="IV22" i="37"/>
  <c r="IT22" i="37"/>
  <c r="IS22" i="37"/>
  <c r="IR22" i="37"/>
  <c r="IQ22" i="37"/>
  <c r="IP22" i="37"/>
  <c r="IO22" i="37"/>
  <c r="IN22" i="37"/>
  <c r="IM22" i="37"/>
  <c r="IL22" i="37"/>
  <c r="IK22" i="37"/>
  <c r="IJ22" i="37"/>
  <c r="II22" i="37"/>
  <c r="IH22" i="37"/>
  <c r="IG22" i="37"/>
  <c r="IF22" i="37"/>
  <c r="IE22" i="37"/>
  <c r="ID22" i="37"/>
  <c r="IC22" i="37"/>
  <c r="IB22" i="37"/>
  <c r="IA22" i="37"/>
  <c r="HZ22" i="37"/>
  <c r="HY22" i="37"/>
  <c r="HX22" i="37"/>
  <c r="HW22" i="37"/>
  <c r="HV22" i="37"/>
  <c r="HT22" i="37"/>
  <c r="HR22" i="37"/>
  <c r="HQ22" i="37"/>
  <c r="HO22" i="37"/>
  <c r="HN22" i="37"/>
  <c r="HM22" i="37"/>
  <c r="HL22" i="37"/>
  <c r="HK22" i="37"/>
  <c r="HJ22" i="37"/>
  <c r="HI22" i="37"/>
  <c r="HH22" i="37"/>
  <c r="HG22" i="37"/>
  <c r="HF22" i="37"/>
  <c r="HE22" i="37"/>
  <c r="HD22" i="37"/>
  <c r="HC22" i="37"/>
  <c r="HB22" i="37"/>
  <c r="HA22" i="37"/>
  <c r="GZ22" i="37"/>
  <c r="GX22" i="37"/>
  <c r="GW22" i="37"/>
  <c r="GV22" i="37"/>
  <c r="GU22" i="37"/>
  <c r="GT22" i="37"/>
  <c r="GS22" i="37"/>
  <c r="GR22" i="37"/>
  <c r="GQ22" i="37"/>
  <c r="GP22" i="37"/>
  <c r="GO22" i="37"/>
  <c r="GN22" i="37"/>
  <c r="GL22" i="37"/>
  <c r="GJ22" i="37"/>
  <c r="GI22" i="37"/>
  <c r="GH22" i="37"/>
  <c r="GG22" i="37"/>
  <c r="GF22" i="37"/>
  <c r="GE22" i="37"/>
  <c r="GD22" i="37"/>
  <c r="GC22" i="37"/>
  <c r="GB22" i="37"/>
  <c r="GA22" i="37"/>
  <c r="FZ22" i="37"/>
  <c r="FY22" i="37"/>
  <c r="FX22" i="37"/>
  <c r="FW22" i="37"/>
  <c r="FV22" i="37"/>
  <c r="FU22" i="37"/>
  <c r="FT22" i="37"/>
  <c r="FS22" i="37"/>
  <c r="FR22" i="37"/>
  <c r="FQ22" i="37"/>
  <c r="FP22" i="37"/>
  <c r="FO22" i="37"/>
  <c r="FN22" i="37"/>
  <c r="FM22" i="37"/>
  <c r="FL22" i="37"/>
  <c r="FK22" i="37"/>
  <c r="FJ22" i="37"/>
  <c r="FI22" i="37"/>
  <c r="FH22" i="37"/>
  <c r="FG22" i="37"/>
  <c r="FF22" i="37"/>
  <c r="FD22" i="37"/>
  <c r="FB22" i="37"/>
  <c r="FA22" i="37"/>
  <c r="EZ22" i="37"/>
  <c r="EY22" i="37"/>
  <c r="EX22" i="37"/>
  <c r="EW22" i="37"/>
  <c r="EV22" i="37"/>
  <c r="EU22" i="37"/>
  <c r="ET22" i="37"/>
  <c r="ES22" i="37"/>
  <c r="ER22" i="37"/>
  <c r="EQ22" i="37"/>
  <c r="EP22" i="37"/>
  <c r="EO22" i="37"/>
  <c r="EN22" i="37"/>
  <c r="EM22" i="37"/>
  <c r="EL22" i="37"/>
  <c r="EK22" i="37"/>
  <c r="EJ22" i="37"/>
  <c r="EI22" i="37"/>
  <c r="EH22" i="37"/>
  <c r="EG22" i="37"/>
  <c r="EF22" i="37"/>
  <c r="EE22" i="37"/>
  <c r="ED22" i="37"/>
  <c r="EC22" i="37"/>
  <c r="EB22" i="37"/>
  <c r="EA22" i="37"/>
  <c r="DZ22" i="37"/>
  <c r="DY22" i="37"/>
  <c r="DX22" i="37"/>
  <c r="DW22" i="37"/>
  <c r="DV22" i="37"/>
  <c r="DU22" i="37"/>
  <c r="DT22" i="37"/>
  <c r="DS22" i="37"/>
  <c r="DR22" i="37"/>
  <c r="DQ22" i="37"/>
  <c r="DP22" i="37"/>
  <c r="DO22" i="37"/>
  <c r="DN22" i="37"/>
  <c r="DM22" i="37"/>
  <c r="DL22" i="37"/>
  <c r="DK22" i="37"/>
  <c r="DJ22" i="37"/>
  <c r="DI22" i="37"/>
  <c r="DH22" i="37"/>
  <c r="DG22" i="37"/>
  <c r="DF22" i="37"/>
  <c r="DE22" i="37"/>
  <c r="DD22" i="37"/>
  <c r="DC22" i="37"/>
  <c r="DB22" i="37"/>
  <c r="DA22" i="37"/>
  <c r="CZ22" i="37"/>
  <c r="CY22" i="37"/>
  <c r="CX22" i="37"/>
  <c r="CW22" i="37"/>
  <c r="CV22" i="37"/>
  <c r="CU22" i="37"/>
  <c r="CT22" i="37"/>
  <c r="CS22" i="37"/>
  <c r="CR22" i="37"/>
  <c r="CQ22" i="37"/>
  <c r="CP22" i="37"/>
  <c r="CO22" i="37"/>
  <c r="CN22" i="37"/>
  <c r="CM22" i="37"/>
  <c r="CL22" i="37"/>
  <c r="CK22" i="37"/>
  <c r="CJ22" i="37"/>
  <c r="CI22" i="37"/>
  <c r="CH22" i="37"/>
  <c r="CG22" i="37"/>
  <c r="CF22" i="37"/>
  <c r="CE22" i="37"/>
  <c r="CD22" i="37"/>
  <c r="CC22" i="37"/>
  <c r="CB22" i="37"/>
  <c r="CA22" i="37"/>
  <c r="BZ22" i="37"/>
  <c r="BY22" i="37"/>
  <c r="BX22" i="37"/>
  <c r="BW22" i="37"/>
  <c r="BV22" i="37"/>
  <c r="BU22" i="37"/>
  <c r="BT22" i="37"/>
  <c r="BS22" i="37"/>
  <c r="BR22" i="37"/>
  <c r="BQ22" i="37"/>
  <c r="BP22" i="37"/>
  <c r="BO22" i="37"/>
  <c r="BN22" i="37"/>
  <c r="BM22" i="37"/>
  <c r="BL22" i="37"/>
  <c r="BK22" i="37"/>
  <c r="BJ22" i="37"/>
  <c r="BI22" i="37"/>
  <c r="BH22" i="37"/>
  <c r="BG22" i="37"/>
  <c r="BF22" i="37"/>
  <c r="BE22" i="37"/>
  <c r="BD22" i="37"/>
  <c r="BC22" i="37"/>
  <c r="BB22" i="37"/>
  <c r="BA22" i="37"/>
  <c r="AZ22" i="37"/>
  <c r="AY22" i="37"/>
  <c r="AX22" i="37"/>
  <c r="AW22" i="37"/>
  <c r="AV22" i="37"/>
  <c r="AU22" i="37"/>
  <c r="AT22" i="37"/>
  <c r="AS22" i="37"/>
  <c r="AR22" i="37"/>
  <c r="AQ22" i="37"/>
  <c r="AP22" i="37"/>
  <c r="AO22" i="37"/>
  <c r="AN22" i="37"/>
  <c r="AM22" i="37"/>
  <c r="AL22" i="37"/>
  <c r="AK22" i="37"/>
  <c r="AJ22" i="37"/>
  <c r="AI22" i="37"/>
  <c r="AH22" i="37"/>
  <c r="AG22" i="37"/>
  <c r="AF22" i="37"/>
  <c r="AE22" i="37"/>
  <c r="AD22" i="37"/>
  <c r="AC22" i="37"/>
  <c r="AB22" i="37"/>
  <c r="AA22" i="37"/>
  <c r="Z22" i="37"/>
  <c r="Y22" i="37"/>
  <c r="X22" i="37"/>
  <c r="W22" i="37"/>
  <c r="V22" i="37"/>
  <c r="U22" i="37"/>
  <c r="T22" i="37"/>
  <c r="S22" i="37"/>
  <c r="R22" i="37"/>
  <c r="Q22" i="37"/>
  <c r="P22" i="37"/>
  <c r="O22" i="37"/>
  <c r="N22" i="37"/>
  <c r="M22" i="37"/>
  <c r="L22" i="37"/>
  <c r="K22" i="37"/>
  <c r="J22" i="37"/>
  <c r="I22" i="37"/>
  <c r="H22" i="37"/>
  <c r="G22" i="37"/>
  <c r="F22" i="37"/>
  <c r="E22" i="37"/>
  <c r="D22" i="37"/>
  <c r="IY21" i="37"/>
  <c r="IX21" i="37"/>
  <c r="IW21" i="37"/>
  <c r="IV21" i="37"/>
  <c r="IT21" i="37"/>
  <c r="IS21" i="37"/>
  <c r="IR21" i="37"/>
  <c r="IQ21" i="37"/>
  <c r="IP21" i="37"/>
  <c r="IO21" i="37"/>
  <c r="IN21" i="37"/>
  <c r="IM21" i="37"/>
  <c r="IL21" i="37"/>
  <c r="IK21" i="37"/>
  <c r="IJ21" i="37"/>
  <c r="II21" i="37"/>
  <c r="IH21" i="37"/>
  <c r="IG21" i="37"/>
  <c r="IF21" i="37"/>
  <c r="IE21" i="37"/>
  <c r="ID21" i="37"/>
  <c r="IC21" i="37"/>
  <c r="IB21" i="37"/>
  <c r="IA21" i="37"/>
  <c r="HZ21" i="37"/>
  <c r="HY21" i="37"/>
  <c r="HX21" i="37"/>
  <c r="HW21" i="37"/>
  <c r="HV21" i="37"/>
  <c r="HT21" i="37"/>
  <c r="HR21" i="37"/>
  <c r="HQ21" i="37"/>
  <c r="HO21" i="37"/>
  <c r="HN21" i="37"/>
  <c r="HM21" i="37"/>
  <c r="HL21" i="37"/>
  <c r="HK21" i="37"/>
  <c r="HJ21" i="37"/>
  <c r="HI21" i="37"/>
  <c r="HH21" i="37"/>
  <c r="HG21" i="37"/>
  <c r="HF21" i="37"/>
  <c r="HE21" i="37"/>
  <c r="HD21" i="37"/>
  <c r="HC21" i="37"/>
  <c r="HB21" i="37"/>
  <c r="HA21" i="37"/>
  <c r="GZ21" i="37"/>
  <c r="GX21" i="37"/>
  <c r="GW21" i="37"/>
  <c r="GV21" i="37"/>
  <c r="GU21" i="37"/>
  <c r="GT21" i="37"/>
  <c r="GS21" i="37"/>
  <c r="GR21" i="37"/>
  <c r="GQ21" i="37"/>
  <c r="GP21" i="37"/>
  <c r="GO21" i="37"/>
  <c r="GN21" i="37"/>
  <c r="GL21" i="37"/>
  <c r="GJ21" i="37"/>
  <c r="GI21" i="37"/>
  <c r="GH21" i="37"/>
  <c r="GG21" i="37"/>
  <c r="GF21" i="37"/>
  <c r="GE21" i="37"/>
  <c r="GD21" i="37"/>
  <c r="GC21" i="37"/>
  <c r="GB21" i="37"/>
  <c r="GA21" i="37"/>
  <c r="FZ21" i="37"/>
  <c r="FY21" i="37"/>
  <c r="FX21" i="37"/>
  <c r="FW21" i="37"/>
  <c r="FV21" i="37"/>
  <c r="FU21" i="37"/>
  <c r="FT21" i="37"/>
  <c r="FS21" i="37"/>
  <c r="FR21" i="37"/>
  <c r="FQ21" i="37"/>
  <c r="FP21" i="37"/>
  <c r="FO21" i="37"/>
  <c r="FN21" i="37"/>
  <c r="FM21" i="37"/>
  <c r="FL21" i="37"/>
  <c r="FK21" i="37"/>
  <c r="FJ21" i="37"/>
  <c r="FI21" i="37"/>
  <c r="FH21" i="37"/>
  <c r="FG21" i="37"/>
  <c r="FF21" i="37"/>
  <c r="FD21" i="37"/>
  <c r="FB21" i="37"/>
  <c r="FA21" i="37"/>
  <c r="EZ21" i="37"/>
  <c r="EY21" i="37"/>
  <c r="EX21" i="37"/>
  <c r="EW21" i="37"/>
  <c r="EV21" i="37"/>
  <c r="EU21" i="37"/>
  <c r="ET21" i="37"/>
  <c r="ES21" i="37"/>
  <c r="ER21" i="37"/>
  <c r="EQ21" i="37"/>
  <c r="EP21" i="37"/>
  <c r="EO21" i="37"/>
  <c r="EN21" i="37"/>
  <c r="EM21" i="37"/>
  <c r="EL21" i="37"/>
  <c r="EK21" i="37"/>
  <c r="EJ21" i="37"/>
  <c r="EI21" i="37"/>
  <c r="EH21" i="37"/>
  <c r="EG21" i="37"/>
  <c r="EF21" i="37"/>
  <c r="EE21" i="37"/>
  <c r="ED21" i="37"/>
  <c r="EC21" i="37"/>
  <c r="EB21" i="37"/>
  <c r="EA21" i="37"/>
  <c r="DZ21" i="37"/>
  <c r="DY21" i="37"/>
  <c r="DX21" i="37"/>
  <c r="DW21" i="37"/>
  <c r="DV21" i="37"/>
  <c r="DU21" i="37"/>
  <c r="DT21" i="37"/>
  <c r="DS21" i="37"/>
  <c r="DR21" i="37"/>
  <c r="DQ21" i="37"/>
  <c r="DP21" i="37"/>
  <c r="DO21" i="37"/>
  <c r="DN21" i="37"/>
  <c r="DM21" i="37"/>
  <c r="DL21" i="37"/>
  <c r="DK21" i="37"/>
  <c r="DJ21" i="37"/>
  <c r="DI21" i="37"/>
  <c r="DH21" i="37"/>
  <c r="DG21" i="37"/>
  <c r="DF21" i="37"/>
  <c r="DE21" i="37"/>
  <c r="DD21" i="37"/>
  <c r="DC21" i="37"/>
  <c r="DB21" i="37"/>
  <c r="DA21" i="37"/>
  <c r="CZ21" i="37"/>
  <c r="CY21" i="37"/>
  <c r="CX21" i="37"/>
  <c r="CW21" i="37"/>
  <c r="CV21" i="37"/>
  <c r="CU21" i="37"/>
  <c r="CT21" i="37"/>
  <c r="CS21" i="37"/>
  <c r="CR21" i="37"/>
  <c r="CQ21" i="37"/>
  <c r="CP21" i="37"/>
  <c r="CO21" i="37"/>
  <c r="CN21" i="37"/>
  <c r="CM21" i="37"/>
  <c r="CL21" i="37"/>
  <c r="CK21" i="37"/>
  <c r="CJ21" i="37"/>
  <c r="CI21" i="37"/>
  <c r="CH21" i="37"/>
  <c r="CG21" i="37"/>
  <c r="CF21" i="37"/>
  <c r="CE21" i="37"/>
  <c r="CD21" i="37"/>
  <c r="CC21" i="37"/>
  <c r="CB21" i="37"/>
  <c r="CA21" i="37"/>
  <c r="BZ21" i="37"/>
  <c r="BY21" i="37"/>
  <c r="BX21" i="37"/>
  <c r="BW21" i="37"/>
  <c r="BV21" i="37"/>
  <c r="BU21" i="37"/>
  <c r="BT21" i="37"/>
  <c r="BS21" i="37"/>
  <c r="BR21" i="37"/>
  <c r="BQ21" i="37"/>
  <c r="BP21" i="37"/>
  <c r="BO21" i="37"/>
  <c r="BN21" i="37"/>
  <c r="BM21" i="37"/>
  <c r="BL21" i="37"/>
  <c r="BK21" i="37"/>
  <c r="BJ21" i="37"/>
  <c r="BI21" i="37"/>
  <c r="BH21" i="37"/>
  <c r="BG21" i="37"/>
  <c r="BF21" i="37"/>
  <c r="BE21" i="37"/>
  <c r="BD21" i="37"/>
  <c r="BC21" i="37"/>
  <c r="BB21" i="37"/>
  <c r="BA21" i="37"/>
  <c r="AZ21" i="37"/>
  <c r="AY21" i="37"/>
  <c r="AX21" i="37"/>
  <c r="AW21" i="37"/>
  <c r="AV21" i="37"/>
  <c r="AU21" i="37"/>
  <c r="AT21" i="37"/>
  <c r="AS21" i="37"/>
  <c r="AR21" i="37"/>
  <c r="AQ21" i="37"/>
  <c r="AP21" i="37"/>
  <c r="AO21" i="37"/>
  <c r="AN21" i="37"/>
  <c r="AM21" i="37"/>
  <c r="AL21" i="37"/>
  <c r="AK21" i="37"/>
  <c r="AJ21" i="37"/>
  <c r="AI21" i="37"/>
  <c r="AH21" i="37"/>
  <c r="AG21" i="37"/>
  <c r="AF21" i="37"/>
  <c r="AE21" i="37"/>
  <c r="AD21" i="37"/>
  <c r="AC21" i="37"/>
  <c r="AB21" i="37"/>
  <c r="AA21" i="37"/>
  <c r="Z21" i="37"/>
  <c r="Y21" i="37"/>
  <c r="X21" i="37"/>
  <c r="W21" i="37"/>
  <c r="V21" i="37"/>
  <c r="U21" i="37"/>
  <c r="T21" i="37"/>
  <c r="S21" i="37"/>
  <c r="R21" i="37"/>
  <c r="Q21" i="37"/>
  <c r="P21" i="37"/>
  <c r="O21" i="37"/>
  <c r="N21" i="37"/>
  <c r="M21" i="37"/>
  <c r="L21" i="37"/>
  <c r="K21" i="37"/>
  <c r="J21" i="37"/>
  <c r="I21" i="37"/>
  <c r="H21" i="37"/>
  <c r="G21" i="37"/>
  <c r="F21" i="37"/>
  <c r="E21" i="37"/>
  <c r="D21" i="37"/>
  <c r="IY20" i="37"/>
  <c r="IX20" i="37"/>
  <c r="IW20" i="37"/>
  <c r="IV20" i="37"/>
  <c r="IT20" i="37"/>
  <c r="IS20" i="37"/>
  <c r="IR20" i="37"/>
  <c r="IQ20" i="37"/>
  <c r="IP20" i="37"/>
  <c r="IO20" i="37"/>
  <c r="IN20" i="37"/>
  <c r="IM20" i="37"/>
  <c r="IL20" i="37"/>
  <c r="IK20" i="37"/>
  <c r="IJ20" i="37"/>
  <c r="II20" i="37"/>
  <c r="IH20" i="37"/>
  <c r="IG20" i="37"/>
  <c r="IF20" i="37"/>
  <c r="IE20" i="37"/>
  <c r="ID20" i="37"/>
  <c r="IC20" i="37"/>
  <c r="IB20" i="37"/>
  <c r="IA20" i="37"/>
  <c r="HZ20" i="37"/>
  <c r="HY20" i="37"/>
  <c r="HX20" i="37"/>
  <c r="HW20" i="37"/>
  <c r="HV20" i="37"/>
  <c r="HT20" i="37"/>
  <c r="HR20" i="37"/>
  <c r="HQ20" i="37"/>
  <c r="HO20" i="37"/>
  <c r="HN20" i="37"/>
  <c r="HM20" i="37"/>
  <c r="HL20" i="37"/>
  <c r="HK20" i="37"/>
  <c r="HJ20" i="37"/>
  <c r="HI20" i="37"/>
  <c r="HH20" i="37"/>
  <c r="HG20" i="37"/>
  <c r="HF20" i="37"/>
  <c r="HE20" i="37"/>
  <c r="HD20" i="37"/>
  <c r="HC20" i="37"/>
  <c r="HB20" i="37"/>
  <c r="HA20" i="37"/>
  <c r="GZ20" i="37"/>
  <c r="GX20" i="37"/>
  <c r="GW20" i="37"/>
  <c r="GV20" i="37"/>
  <c r="GU20" i="37"/>
  <c r="GT20" i="37"/>
  <c r="GS20" i="37"/>
  <c r="GR20" i="37"/>
  <c r="GQ20" i="37"/>
  <c r="GP20" i="37"/>
  <c r="GO20" i="37"/>
  <c r="GN20" i="37"/>
  <c r="GL20" i="37"/>
  <c r="GJ20" i="37"/>
  <c r="GI20" i="37"/>
  <c r="GH20" i="37"/>
  <c r="GG20" i="37"/>
  <c r="GF20" i="37"/>
  <c r="GE20" i="37"/>
  <c r="GD20" i="37"/>
  <c r="GC20" i="37"/>
  <c r="GB20" i="37"/>
  <c r="GA20" i="37"/>
  <c r="FZ20" i="37"/>
  <c r="FY20" i="37"/>
  <c r="FX20" i="37"/>
  <c r="FW20" i="37"/>
  <c r="FV20" i="37"/>
  <c r="FU20" i="37"/>
  <c r="FT20" i="37"/>
  <c r="FS20" i="37"/>
  <c r="FR20" i="37"/>
  <c r="FQ20" i="37"/>
  <c r="FP20" i="37"/>
  <c r="FO20" i="37"/>
  <c r="FN20" i="37"/>
  <c r="FM20" i="37"/>
  <c r="FL20" i="37"/>
  <c r="FK20" i="37"/>
  <c r="FJ20" i="37"/>
  <c r="FI20" i="37"/>
  <c r="FH20" i="37"/>
  <c r="FG20" i="37"/>
  <c r="FF20" i="37"/>
  <c r="FD20" i="37"/>
  <c r="FB20" i="37"/>
  <c r="FA20" i="37"/>
  <c r="EZ20" i="37"/>
  <c r="EY20" i="37"/>
  <c r="EX20" i="37"/>
  <c r="EW20" i="37"/>
  <c r="EV20" i="37"/>
  <c r="EU20" i="37"/>
  <c r="ET20" i="37"/>
  <c r="ES20" i="37"/>
  <c r="ER20" i="37"/>
  <c r="EQ20" i="37"/>
  <c r="EP20" i="37"/>
  <c r="EO20" i="37"/>
  <c r="EN20" i="37"/>
  <c r="EM20" i="37"/>
  <c r="EL20" i="37"/>
  <c r="EK20" i="37"/>
  <c r="EJ20" i="37"/>
  <c r="EI20" i="37"/>
  <c r="EH20" i="37"/>
  <c r="EG20" i="37"/>
  <c r="EF20" i="37"/>
  <c r="EE20" i="37"/>
  <c r="ED20" i="37"/>
  <c r="EC20" i="37"/>
  <c r="EB20" i="37"/>
  <c r="EA20" i="37"/>
  <c r="DZ20" i="37"/>
  <c r="DY20" i="37"/>
  <c r="DX20" i="37"/>
  <c r="DW20" i="37"/>
  <c r="DV20" i="37"/>
  <c r="DU20" i="37"/>
  <c r="DT20" i="37"/>
  <c r="DS20" i="37"/>
  <c r="DR20" i="37"/>
  <c r="DQ20" i="37"/>
  <c r="DP20" i="37"/>
  <c r="DO20" i="37"/>
  <c r="DN20" i="37"/>
  <c r="DM20" i="37"/>
  <c r="DL20" i="37"/>
  <c r="DK20" i="37"/>
  <c r="DJ20" i="37"/>
  <c r="DI20" i="37"/>
  <c r="DH20" i="37"/>
  <c r="DG20" i="37"/>
  <c r="DF20" i="37"/>
  <c r="DE20" i="37"/>
  <c r="DD20" i="37"/>
  <c r="DC20" i="37"/>
  <c r="DB20" i="37"/>
  <c r="DA20" i="37"/>
  <c r="CZ20" i="37"/>
  <c r="CY20" i="37"/>
  <c r="CX20" i="37"/>
  <c r="CW20" i="37"/>
  <c r="CV20" i="37"/>
  <c r="CU20" i="37"/>
  <c r="CT20" i="37"/>
  <c r="CS20" i="37"/>
  <c r="CR20" i="37"/>
  <c r="CQ20" i="37"/>
  <c r="CP20" i="37"/>
  <c r="CO20" i="37"/>
  <c r="CN20" i="37"/>
  <c r="CM20" i="37"/>
  <c r="CL20" i="37"/>
  <c r="CK20" i="37"/>
  <c r="CJ20" i="37"/>
  <c r="CI20" i="37"/>
  <c r="CH20" i="37"/>
  <c r="CG20" i="37"/>
  <c r="CF20" i="37"/>
  <c r="CE20" i="37"/>
  <c r="CD20" i="37"/>
  <c r="CC20" i="37"/>
  <c r="CB20" i="37"/>
  <c r="CA20" i="37"/>
  <c r="BZ20" i="37"/>
  <c r="BY20" i="37"/>
  <c r="BX20" i="37"/>
  <c r="BW20" i="37"/>
  <c r="BV20" i="37"/>
  <c r="BU20" i="37"/>
  <c r="BT20" i="37"/>
  <c r="BS20" i="37"/>
  <c r="BR20" i="37"/>
  <c r="BQ20" i="37"/>
  <c r="BP20" i="37"/>
  <c r="BO20" i="37"/>
  <c r="BN20" i="37"/>
  <c r="BM20" i="37"/>
  <c r="BL20" i="37"/>
  <c r="BK20" i="37"/>
  <c r="BJ20" i="37"/>
  <c r="BI20" i="37"/>
  <c r="BH20" i="37"/>
  <c r="BG20" i="37"/>
  <c r="BF20" i="37"/>
  <c r="BE20" i="37"/>
  <c r="BD20" i="37"/>
  <c r="BC20" i="37"/>
  <c r="BB20" i="37"/>
  <c r="BA20" i="37"/>
  <c r="AZ20" i="37"/>
  <c r="AY20" i="37"/>
  <c r="AX20" i="37"/>
  <c r="AW20" i="37"/>
  <c r="AV20" i="37"/>
  <c r="AU20" i="37"/>
  <c r="AT20" i="37"/>
  <c r="AS20" i="37"/>
  <c r="AR20" i="37"/>
  <c r="AQ20" i="37"/>
  <c r="AP20" i="37"/>
  <c r="AO20" i="37"/>
  <c r="AN20" i="37"/>
  <c r="AM20" i="37"/>
  <c r="AL20" i="37"/>
  <c r="AK20" i="37"/>
  <c r="AJ20" i="37"/>
  <c r="AI20" i="37"/>
  <c r="AH20" i="37"/>
  <c r="AG20" i="37"/>
  <c r="AF20" i="37"/>
  <c r="AE20" i="37"/>
  <c r="AD20" i="37"/>
  <c r="AC20" i="37"/>
  <c r="AB20" i="37"/>
  <c r="AA20" i="37"/>
  <c r="Z20" i="37"/>
  <c r="Y20" i="37"/>
  <c r="X20" i="37"/>
  <c r="W20" i="37"/>
  <c r="V20" i="37"/>
  <c r="U20" i="37"/>
  <c r="T20" i="37"/>
  <c r="S20" i="37"/>
  <c r="R20" i="37"/>
  <c r="Q20" i="37"/>
  <c r="P20" i="37"/>
  <c r="O20" i="37"/>
  <c r="N20" i="37"/>
  <c r="M20" i="37"/>
  <c r="L20" i="37"/>
  <c r="K20" i="37"/>
  <c r="J20" i="37"/>
  <c r="I20" i="37"/>
  <c r="H20" i="37"/>
  <c r="G20" i="37"/>
  <c r="F20" i="37"/>
  <c r="E20" i="37"/>
  <c r="D20" i="37"/>
  <c r="IY19" i="37"/>
  <c r="IX19" i="37"/>
  <c r="IW19" i="37"/>
  <c r="IV19" i="37"/>
  <c r="IT19" i="37"/>
  <c r="IS19" i="37"/>
  <c r="IR19" i="37"/>
  <c r="IQ19" i="37"/>
  <c r="IP19" i="37"/>
  <c r="IO19" i="37"/>
  <c r="IN19" i="37"/>
  <c r="IM19" i="37"/>
  <c r="IL19" i="37"/>
  <c r="IK19" i="37"/>
  <c r="IJ19" i="37"/>
  <c r="II19" i="37"/>
  <c r="IH19" i="37"/>
  <c r="IG19" i="37"/>
  <c r="IF19" i="37"/>
  <c r="IE19" i="37"/>
  <c r="ID19" i="37"/>
  <c r="IC19" i="37"/>
  <c r="IB19" i="37"/>
  <c r="IA19" i="37"/>
  <c r="HZ19" i="37"/>
  <c r="HY19" i="37"/>
  <c r="HX19" i="37"/>
  <c r="HW19" i="37"/>
  <c r="HV19" i="37"/>
  <c r="HT19" i="37"/>
  <c r="HR19" i="37"/>
  <c r="HQ19" i="37"/>
  <c r="HO19" i="37"/>
  <c r="HN19" i="37"/>
  <c r="HM19" i="37"/>
  <c r="HL19" i="37"/>
  <c r="HK19" i="37"/>
  <c r="HJ19" i="37"/>
  <c r="HI19" i="37"/>
  <c r="HH19" i="37"/>
  <c r="HG19" i="37"/>
  <c r="HF19" i="37"/>
  <c r="HE19" i="37"/>
  <c r="HD19" i="37"/>
  <c r="HC19" i="37"/>
  <c r="HB19" i="37"/>
  <c r="HA19" i="37"/>
  <c r="GZ19" i="37"/>
  <c r="GX19" i="37"/>
  <c r="GW19" i="37"/>
  <c r="GV19" i="37"/>
  <c r="GU19" i="37"/>
  <c r="GT19" i="37"/>
  <c r="GS19" i="37"/>
  <c r="GR19" i="37"/>
  <c r="GQ19" i="37"/>
  <c r="GP19" i="37"/>
  <c r="GO19" i="37"/>
  <c r="GN19" i="37"/>
  <c r="GL19" i="37"/>
  <c r="GJ19" i="37"/>
  <c r="GI19" i="37"/>
  <c r="GH19" i="37"/>
  <c r="GG19" i="37"/>
  <c r="GF19" i="37"/>
  <c r="GE19" i="37"/>
  <c r="GD19" i="37"/>
  <c r="GC19" i="37"/>
  <c r="GB19" i="37"/>
  <c r="GA19" i="37"/>
  <c r="FZ19" i="37"/>
  <c r="FY19" i="37"/>
  <c r="FX19" i="37"/>
  <c r="FW19" i="37"/>
  <c r="FV19" i="37"/>
  <c r="FU19" i="37"/>
  <c r="FT19" i="37"/>
  <c r="FS19" i="37"/>
  <c r="FR19" i="37"/>
  <c r="FQ19" i="37"/>
  <c r="FP19" i="37"/>
  <c r="FO19" i="37"/>
  <c r="FN19" i="37"/>
  <c r="FM19" i="37"/>
  <c r="FL19" i="37"/>
  <c r="FK19" i="37"/>
  <c r="FJ19" i="37"/>
  <c r="FI19" i="37"/>
  <c r="FH19" i="37"/>
  <c r="FG19" i="37"/>
  <c r="FF19" i="37"/>
  <c r="FD19" i="37"/>
  <c r="FB19" i="37"/>
  <c r="FA19" i="37"/>
  <c r="EZ19" i="37"/>
  <c r="EY19" i="37"/>
  <c r="EX19" i="37"/>
  <c r="EW19" i="37"/>
  <c r="EV19" i="37"/>
  <c r="EU19" i="37"/>
  <c r="ET19" i="37"/>
  <c r="ES19" i="37"/>
  <c r="ER19" i="37"/>
  <c r="EQ19" i="37"/>
  <c r="EP19" i="37"/>
  <c r="EO19" i="37"/>
  <c r="EN19" i="37"/>
  <c r="EM19" i="37"/>
  <c r="EL19" i="37"/>
  <c r="EK19" i="37"/>
  <c r="EJ19" i="37"/>
  <c r="EI19" i="37"/>
  <c r="EH19" i="37"/>
  <c r="EG19" i="37"/>
  <c r="EF19" i="37"/>
  <c r="EE19" i="37"/>
  <c r="ED19" i="37"/>
  <c r="EC19" i="37"/>
  <c r="EB19" i="37"/>
  <c r="EA19" i="37"/>
  <c r="DZ19" i="37"/>
  <c r="DY19" i="37"/>
  <c r="DX19" i="37"/>
  <c r="DW19" i="37"/>
  <c r="DV19" i="37"/>
  <c r="DU19" i="37"/>
  <c r="DT19" i="37"/>
  <c r="DS19" i="37"/>
  <c r="DR19" i="37"/>
  <c r="DQ19" i="37"/>
  <c r="DP19" i="37"/>
  <c r="DO19" i="37"/>
  <c r="DN19" i="37"/>
  <c r="DM19" i="37"/>
  <c r="DL19" i="37"/>
  <c r="DK19" i="37"/>
  <c r="DJ19" i="37"/>
  <c r="DI19" i="37"/>
  <c r="DH19" i="37"/>
  <c r="DG19" i="37"/>
  <c r="DF19" i="37"/>
  <c r="DE19" i="37"/>
  <c r="DD19" i="37"/>
  <c r="DC19" i="37"/>
  <c r="DB19" i="37"/>
  <c r="DA19" i="37"/>
  <c r="CZ19" i="37"/>
  <c r="CY19" i="37"/>
  <c r="CX19" i="37"/>
  <c r="CW19" i="37"/>
  <c r="CV19" i="37"/>
  <c r="CU19" i="37"/>
  <c r="CT19" i="37"/>
  <c r="CS19" i="37"/>
  <c r="CR19" i="37"/>
  <c r="CQ19" i="37"/>
  <c r="CP19" i="37"/>
  <c r="CO19" i="37"/>
  <c r="CN19" i="37"/>
  <c r="CM19" i="37"/>
  <c r="CL19" i="37"/>
  <c r="CK19" i="37"/>
  <c r="CJ19" i="37"/>
  <c r="CI19" i="37"/>
  <c r="CH19" i="37"/>
  <c r="CG19" i="37"/>
  <c r="CF19" i="37"/>
  <c r="CE19" i="37"/>
  <c r="CD19" i="37"/>
  <c r="CC19" i="37"/>
  <c r="CB19" i="37"/>
  <c r="CA19" i="37"/>
  <c r="BZ19" i="37"/>
  <c r="BY19" i="37"/>
  <c r="BX19" i="37"/>
  <c r="BW19" i="37"/>
  <c r="BV19" i="37"/>
  <c r="BU19" i="37"/>
  <c r="BT19" i="37"/>
  <c r="BS19" i="37"/>
  <c r="BR19" i="37"/>
  <c r="BQ19" i="37"/>
  <c r="BP19" i="37"/>
  <c r="BO19" i="37"/>
  <c r="BN19" i="37"/>
  <c r="BM19" i="37"/>
  <c r="BL19" i="37"/>
  <c r="BK19" i="37"/>
  <c r="BJ19" i="37"/>
  <c r="BI19" i="37"/>
  <c r="BH19" i="37"/>
  <c r="BG19" i="37"/>
  <c r="BF19" i="37"/>
  <c r="BE19" i="37"/>
  <c r="BD19" i="37"/>
  <c r="BC19" i="37"/>
  <c r="BB19" i="37"/>
  <c r="BA19" i="37"/>
  <c r="AZ19" i="37"/>
  <c r="AY19" i="37"/>
  <c r="AX19" i="37"/>
  <c r="AW19" i="37"/>
  <c r="AV19" i="37"/>
  <c r="AU19" i="37"/>
  <c r="AT19" i="37"/>
  <c r="AS19" i="37"/>
  <c r="AR19" i="37"/>
  <c r="AQ19" i="37"/>
  <c r="AP19" i="37"/>
  <c r="AO19" i="37"/>
  <c r="AN19" i="37"/>
  <c r="AM19" i="37"/>
  <c r="AL19" i="37"/>
  <c r="AK19" i="37"/>
  <c r="AJ19" i="37"/>
  <c r="AI19" i="37"/>
  <c r="AH19" i="37"/>
  <c r="AG19" i="37"/>
  <c r="AF19" i="37"/>
  <c r="AE19" i="37"/>
  <c r="AD19" i="37"/>
  <c r="AC19" i="37"/>
  <c r="AB19" i="37"/>
  <c r="AA19" i="37"/>
  <c r="Z19" i="37"/>
  <c r="Y19" i="37"/>
  <c r="X19" i="37"/>
  <c r="W19" i="37"/>
  <c r="V19" i="37"/>
  <c r="U19" i="37"/>
  <c r="T19" i="37"/>
  <c r="S19" i="37"/>
  <c r="R19" i="37"/>
  <c r="Q19" i="37"/>
  <c r="P19" i="37"/>
  <c r="O19" i="37"/>
  <c r="N19" i="37"/>
  <c r="M19" i="37"/>
  <c r="L19" i="37"/>
  <c r="K19" i="37"/>
  <c r="J19" i="37"/>
  <c r="I19" i="37"/>
  <c r="H19" i="37"/>
  <c r="G19" i="37"/>
  <c r="F19" i="37"/>
  <c r="E19" i="37"/>
  <c r="D19" i="37"/>
  <c r="IY18" i="37"/>
  <c r="IX18" i="37"/>
  <c r="IW18" i="37"/>
  <c r="IV18" i="37"/>
  <c r="IT18" i="37"/>
  <c r="IS18" i="37"/>
  <c r="IR18" i="37"/>
  <c r="IQ18" i="37"/>
  <c r="IP18" i="37"/>
  <c r="IO18" i="37"/>
  <c r="IN18" i="37"/>
  <c r="IM18" i="37"/>
  <c r="IL18" i="37"/>
  <c r="IK18" i="37"/>
  <c r="IJ18" i="37"/>
  <c r="II18" i="37"/>
  <c r="IH18" i="37"/>
  <c r="IG18" i="37"/>
  <c r="IF18" i="37"/>
  <c r="IE18" i="37"/>
  <c r="ID18" i="37"/>
  <c r="IC18" i="37"/>
  <c r="IB18" i="37"/>
  <c r="IA18" i="37"/>
  <c r="HZ18" i="37"/>
  <c r="HY18" i="37"/>
  <c r="HX18" i="37"/>
  <c r="HW18" i="37"/>
  <c r="HV18" i="37"/>
  <c r="HT18" i="37"/>
  <c r="HR18" i="37"/>
  <c r="HQ18" i="37"/>
  <c r="HO18" i="37"/>
  <c r="HN18" i="37"/>
  <c r="HM18" i="37"/>
  <c r="HL18" i="37"/>
  <c r="HK18" i="37"/>
  <c r="HJ18" i="37"/>
  <c r="HI18" i="37"/>
  <c r="HH18" i="37"/>
  <c r="HG18" i="37"/>
  <c r="HF18" i="37"/>
  <c r="HE18" i="37"/>
  <c r="HD18" i="37"/>
  <c r="HC18" i="37"/>
  <c r="HB18" i="37"/>
  <c r="HA18" i="37"/>
  <c r="GZ18" i="37"/>
  <c r="GX18" i="37"/>
  <c r="GW18" i="37"/>
  <c r="GV18" i="37"/>
  <c r="GU18" i="37"/>
  <c r="GT18" i="37"/>
  <c r="GS18" i="37"/>
  <c r="GR18" i="37"/>
  <c r="GQ18" i="37"/>
  <c r="GP18" i="37"/>
  <c r="GO18" i="37"/>
  <c r="GN18" i="37"/>
  <c r="GL18" i="37"/>
  <c r="GJ18" i="37"/>
  <c r="GI18" i="37"/>
  <c r="GH18" i="37"/>
  <c r="GG18" i="37"/>
  <c r="GF18" i="37"/>
  <c r="GE18" i="37"/>
  <c r="GD18" i="37"/>
  <c r="GC18" i="37"/>
  <c r="GB18" i="37"/>
  <c r="GA18" i="37"/>
  <c r="FZ18" i="37"/>
  <c r="FY18" i="37"/>
  <c r="FX18" i="37"/>
  <c r="FW18" i="37"/>
  <c r="FV18" i="37"/>
  <c r="FU18" i="37"/>
  <c r="FT18" i="37"/>
  <c r="FS18" i="37"/>
  <c r="FR18" i="37"/>
  <c r="FQ18" i="37"/>
  <c r="FP18" i="37"/>
  <c r="FO18" i="37"/>
  <c r="FN18" i="37"/>
  <c r="FM18" i="37"/>
  <c r="FL18" i="37"/>
  <c r="FK18" i="37"/>
  <c r="FJ18" i="37"/>
  <c r="FI18" i="37"/>
  <c r="FH18" i="37"/>
  <c r="FG18" i="37"/>
  <c r="FF18" i="37"/>
  <c r="FD18" i="37"/>
  <c r="FB18" i="37"/>
  <c r="FA18" i="37"/>
  <c r="EZ18" i="37"/>
  <c r="EY18" i="37"/>
  <c r="EX18" i="37"/>
  <c r="EW18" i="37"/>
  <c r="EV18" i="37"/>
  <c r="EU18" i="37"/>
  <c r="ET18" i="37"/>
  <c r="ES18" i="37"/>
  <c r="ER18" i="37"/>
  <c r="EQ18" i="37"/>
  <c r="EP18" i="37"/>
  <c r="EO18" i="37"/>
  <c r="EN18" i="37"/>
  <c r="EM18" i="37"/>
  <c r="EL18" i="37"/>
  <c r="EK18" i="37"/>
  <c r="EJ18" i="37"/>
  <c r="EI18" i="37"/>
  <c r="EH18" i="37"/>
  <c r="EG18" i="37"/>
  <c r="EF18" i="37"/>
  <c r="EE18" i="37"/>
  <c r="ED18" i="37"/>
  <c r="EC18" i="37"/>
  <c r="EB18" i="37"/>
  <c r="EA18" i="37"/>
  <c r="DZ18" i="37"/>
  <c r="DY18" i="37"/>
  <c r="DX18" i="37"/>
  <c r="DW18" i="37"/>
  <c r="DV18" i="37"/>
  <c r="DU18" i="37"/>
  <c r="DT18" i="37"/>
  <c r="DS18" i="37"/>
  <c r="DR18" i="37"/>
  <c r="DQ18" i="37"/>
  <c r="DP18" i="37"/>
  <c r="DO18" i="37"/>
  <c r="DN18" i="37"/>
  <c r="DM18" i="37"/>
  <c r="DL18" i="37"/>
  <c r="DK18" i="37"/>
  <c r="DJ18" i="37"/>
  <c r="DI18" i="37"/>
  <c r="DH18" i="37"/>
  <c r="DG18" i="37"/>
  <c r="DF18" i="37"/>
  <c r="DE18" i="37"/>
  <c r="DD18" i="37"/>
  <c r="DC18" i="37"/>
  <c r="DB18" i="37"/>
  <c r="DA18" i="37"/>
  <c r="CZ18" i="37"/>
  <c r="CY18" i="37"/>
  <c r="CX18" i="37"/>
  <c r="CW18" i="37"/>
  <c r="CV18" i="37"/>
  <c r="CU18" i="37"/>
  <c r="CT18" i="37"/>
  <c r="CS18" i="37"/>
  <c r="CR18" i="37"/>
  <c r="CQ18" i="37"/>
  <c r="CP18" i="37"/>
  <c r="CO18" i="37"/>
  <c r="CN18" i="37"/>
  <c r="CM18" i="37"/>
  <c r="CL18" i="37"/>
  <c r="CK18" i="37"/>
  <c r="CJ18" i="37"/>
  <c r="CI18" i="37"/>
  <c r="CH18" i="37"/>
  <c r="CG18" i="37"/>
  <c r="CF18" i="37"/>
  <c r="CE18" i="37"/>
  <c r="CD18" i="37"/>
  <c r="CC18" i="37"/>
  <c r="CB18" i="37"/>
  <c r="CA18" i="37"/>
  <c r="BZ18" i="37"/>
  <c r="BY18" i="37"/>
  <c r="BX18" i="37"/>
  <c r="BW18" i="37"/>
  <c r="BV18" i="37"/>
  <c r="BU18" i="37"/>
  <c r="BT18" i="37"/>
  <c r="BS18" i="37"/>
  <c r="BR18" i="37"/>
  <c r="BQ18" i="37"/>
  <c r="BP18" i="37"/>
  <c r="BO18" i="37"/>
  <c r="BN18" i="37"/>
  <c r="BM18" i="37"/>
  <c r="BL18" i="37"/>
  <c r="BK18" i="37"/>
  <c r="BJ18" i="37"/>
  <c r="BI18" i="37"/>
  <c r="BH18" i="37"/>
  <c r="BG18" i="37"/>
  <c r="BF18" i="37"/>
  <c r="BE18" i="37"/>
  <c r="BD18" i="37"/>
  <c r="BC18" i="37"/>
  <c r="BB18" i="37"/>
  <c r="BA18" i="37"/>
  <c r="AZ18" i="37"/>
  <c r="AY18" i="37"/>
  <c r="AX18" i="37"/>
  <c r="AW18" i="37"/>
  <c r="AV18" i="37"/>
  <c r="AU18" i="37"/>
  <c r="AT18" i="37"/>
  <c r="AS18" i="37"/>
  <c r="AR18" i="37"/>
  <c r="AQ18" i="37"/>
  <c r="AP18" i="37"/>
  <c r="AO18" i="37"/>
  <c r="AN18" i="37"/>
  <c r="AM18" i="37"/>
  <c r="AL18" i="37"/>
  <c r="AK18" i="37"/>
  <c r="AJ18" i="37"/>
  <c r="AI18" i="37"/>
  <c r="AH18" i="37"/>
  <c r="AG18" i="37"/>
  <c r="AF18" i="37"/>
  <c r="AE18" i="37"/>
  <c r="AD18" i="37"/>
  <c r="AC18" i="37"/>
  <c r="AB18" i="37"/>
  <c r="AA18" i="37"/>
  <c r="Z18" i="37"/>
  <c r="Y18" i="37"/>
  <c r="X18" i="37"/>
  <c r="W18" i="37"/>
  <c r="V18" i="37"/>
  <c r="U18" i="37"/>
  <c r="T18" i="37"/>
  <c r="S18" i="37"/>
  <c r="R18" i="37"/>
  <c r="Q18" i="37"/>
  <c r="P18" i="37"/>
  <c r="O18" i="37"/>
  <c r="N18" i="37"/>
  <c r="M18" i="37"/>
  <c r="L18" i="37"/>
  <c r="K18" i="37"/>
  <c r="J18" i="37"/>
  <c r="I18" i="37"/>
  <c r="H18" i="37"/>
  <c r="G18" i="37"/>
  <c r="F18" i="37"/>
  <c r="E18" i="37"/>
  <c r="D18" i="37"/>
  <c r="HQ14" i="37"/>
  <c r="HP14" i="37"/>
  <c r="HO14" i="37"/>
  <c r="HN14" i="37"/>
  <c r="HM14" i="37"/>
  <c r="HL14" i="37"/>
  <c r="HK14" i="37"/>
  <c r="HJ14" i="37"/>
  <c r="HI14" i="37"/>
  <c r="HH14" i="37"/>
  <c r="HG14" i="37"/>
  <c r="HF14" i="37"/>
  <c r="HE14" i="37"/>
  <c r="HD14" i="37"/>
  <c r="HC14" i="37"/>
  <c r="HB14" i="37"/>
  <c r="HA14" i="37"/>
  <c r="GZ14" i="37"/>
  <c r="GY14" i="37"/>
  <c r="GX14" i="37"/>
  <c r="GW14" i="37"/>
  <c r="GV14" i="37"/>
  <c r="GU14" i="37"/>
  <c r="GT14" i="37"/>
  <c r="GS14" i="37"/>
  <c r="GR14" i="37"/>
  <c r="GI14" i="37"/>
  <c r="GH14" i="37"/>
  <c r="GG14" i="37"/>
  <c r="GF14" i="37"/>
  <c r="GE14" i="37"/>
  <c r="GD14" i="37"/>
  <c r="GC14" i="37"/>
  <c r="GB14" i="37"/>
  <c r="GA14" i="37"/>
  <c r="FZ14" i="37"/>
  <c r="FY14" i="37"/>
  <c r="FX14" i="37"/>
  <c r="FW14" i="37"/>
  <c r="FV14" i="37"/>
  <c r="FU14" i="37"/>
  <c r="FT14" i="37"/>
  <c r="FS14" i="37"/>
  <c r="FR14" i="37"/>
  <c r="FQ14" i="37"/>
  <c r="FP14" i="37"/>
  <c r="FO14" i="37"/>
  <c r="FN14" i="37"/>
  <c r="FM14" i="37"/>
  <c r="FL14" i="37"/>
  <c r="FK14" i="37"/>
  <c r="FJ14" i="37"/>
  <c r="FA14" i="37"/>
  <c r="EZ14" i="37"/>
  <c r="EY14" i="37"/>
  <c r="EX14" i="37"/>
  <c r="EW14" i="37"/>
  <c r="EV14" i="37"/>
  <c r="EU14" i="37"/>
  <c r="ET14" i="37"/>
  <c r="ES14" i="37"/>
  <c r="ER14" i="37"/>
  <c r="EQ14" i="37"/>
  <c r="EP14" i="37"/>
  <c r="EO14" i="37"/>
  <c r="EN14" i="37"/>
  <c r="EM14" i="37"/>
  <c r="EL14" i="37"/>
  <c r="EK14" i="37"/>
  <c r="EJ14" i="37"/>
  <c r="EI14" i="37"/>
  <c r="EH14" i="37"/>
  <c r="EG14" i="37"/>
  <c r="EF14" i="37"/>
  <c r="EE14" i="37"/>
  <c r="ED14" i="37"/>
  <c r="DW14" i="37"/>
  <c r="DV14" i="37"/>
  <c r="DU14" i="37"/>
  <c r="DT14" i="37"/>
  <c r="DS14" i="37"/>
  <c r="DR14" i="37"/>
  <c r="DQ14" i="37"/>
  <c r="DP14" i="37"/>
  <c r="DO14" i="37"/>
  <c r="DN14" i="37"/>
  <c r="DM14" i="37"/>
  <c r="DL14" i="37"/>
  <c r="DK14" i="37"/>
  <c r="DJ14" i="37"/>
  <c r="DI14" i="37"/>
  <c r="DH14" i="37"/>
  <c r="DG14" i="37"/>
  <c r="DF14" i="37"/>
  <c r="DE14" i="37"/>
  <c r="DD14" i="37"/>
  <c r="DC14" i="37"/>
  <c r="DB14" i="37"/>
  <c r="DA14" i="37"/>
  <c r="CZ14" i="37"/>
  <c r="CY14" i="37"/>
  <c r="CR14" i="37"/>
  <c r="CQ14" i="37"/>
  <c r="CP14" i="37"/>
  <c r="CO14" i="37"/>
  <c r="CN14" i="37"/>
  <c r="CM14" i="37"/>
  <c r="CL14" i="37"/>
  <c r="CK14" i="37"/>
  <c r="CJ14" i="37"/>
  <c r="CI14" i="37"/>
  <c r="CH14" i="37"/>
  <c r="CG14" i="37"/>
  <c r="CF14" i="37"/>
  <c r="CE14" i="37"/>
  <c r="CD14" i="37"/>
  <c r="CC14" i="37"/>
  <c r="CB14" i="37"/>
  <c r="CA14" i="37"/>
  <c r="BZ14" i="37"/>
  <c r="BY14" i="37"/>
  <c r="BX14" i="37"/>
  <c r="BW14" i="37"/>
  <c r="BV14" i="37"/>
  <c r="BU14" i="37"/>
  <c r="BT14" i="37"/>
  <c r="BS14" i="37"/>
  <c r="BL14" i="37"/>
  <c r="BK14" i="37"/>
  <c r="BJ14" i="37"/>
  <c r="BI14" i="37"/>
  <c r="BH14" i="37"/>
  <c r="BG14" i="37"/>
  <c r="BF14" i="37"/>
  <c r="BE14" i="37"/>
  <c r="BD14" i="37"/>
  <c r="BC14" i="37"/>
  <c r="BB14" i="37"/>
  <c r="BA14" i="37"/>
  <c r="AZ14" i="37"/>
  <c r="AY14" i="37"/>
  <c r="AX14" i="37"/>
  <c r="AW14" i="37"/>
  <c r="AV14" i="37"/>
  <c r="AU14" i="37"/>
  <c r="AT14" i="37"/>
  <c r="AS14" i="37"/>
  <c r="AR14" i="37"/>
  <c r="AQ14" i="37"/>
  <c r="AP14" i="37"/>
  <c r="AO14" i="37"/>
  <c r="AN14" i="37"/>
  <c r="AG14" i="37"/>
  <c r="AF14" i="37"/>
  <c r="AE14" i="37"/>
  <c r="AD14" i="37"/>
  <c r="AC14" i="37"/>
  <c r="AB14" i="37"/>
  <c r="AA14" i="37"/>
  <c r="Z14" i="37"/>
  <c r="Y14" i="37"/>
  <c r="X14" i="37"/>
  <c r="W14" i="37"/>
  <c r="V14" i="37"/>
  <c r="U14" i="37"/>
  <c r="T14" i="37"/>
  <c r="S14" i="37"/>
  <c r="R14" i="37"/>
  <c r="Q14" i="37"/>
  <c r="P14" i="37"/>
  <c r="O14" i="37"/>
  <c r="N14" i="37"/>
  <c r="M14" i="37"/>
  <c r="L14" i="37"/>
  <c r="K14" i="37"/>
  <c r="J14" i="37"/>
  <c r="HQ13" i="37"/>
  <c r="HP13" i="37"/>
  <c r="HO13" i="37"/>
  <c r="HN13" i="37"/>
  <c r="HM13" i="37"/>
  <c r="HL13" i="37"/>
  <c r="HK13" i="37"/>
  <c r="HJ13" i="37"/>
  <c r="HI13" i="37"/>
  <c r="HH13" i="37"/>
  <c r="HG13" i="37"/>
  <c r="HF13" i="37"/>
  <c r="HE13" i="37"/>
  <c r="HD13" i="37"/>
  <c r="HC13" i="37"/>
  <c r="HB13" i="37"/>
  <c r="HA13" i="37"/>
  <c r="GZ13" i="37"/>
  <c r="GY13" i="37"/>
  <c r="GX13" i="37"/>
  <c r="GW13" i="37"/>
  <c r="GV13" i="37"/>
  <c r="GU13" i="37"/>
  <c r="GT13" i="37"/>
  <c r="GS13" i="37"/>
  <c r="GR13" i="37"/>
  <c r="GI13" i="37"/>
  <c r="GH13" i="37"/>
  <c r="GG13" i="37"/>
  <c r="GF13" i="37"/>
  <c r="GE13" i="37"/>
  <c r="GD13" i="37"/>
  <c r="GC13" i="37"/>
  <c r="GB13" i="37"/>
  <c r="GA13" i="37"/>
  <c r="FZ13" i="37"/>
  <c r="FY13" i="37"/>
  <c r="FX13" i="37"/>
  <c r="FW13" i="37"/>
  <c r="FV13" i="37"/>
  <c r="FU13" i="37"/>
  <c r="FT13" i="37"/>
  <c r="FS13" i="37"/>
  <c r="FR13" i="37"/>
  <c r="FQ13" i="37"/>
  <c r="FP13" i="37"/>
  <c r="FO13" i="37"/>
  <c r="FN13" i="37"/>
  <c r="FM13" i="37"/>
  <c r="FL13" i="37"/>
  <c r="FK13" i="37"/>
  <c r="FJ13" i="37"/>
  <c r="FA13" i="37"/>
  <c r="EZ13" i="37"/>
  <c r="EY13" i="37"/>
  <c r="EX13" i="37"/>
  <c r="EW13" i="37"/>
  <c r="EV13" i="37"/>
  <c r="EU13" i="37"/>
  <c r="ET13" i="37"/>
  <c r="ES13" i="37"/>
  <c r="ER13" i="37"/>
  <c r="EQ13" i="37"/>
  <c r="EP13" i="37"/>
  <c r="EO13" i="37"/>
  <c r="EN13" i="37"/>
  <c r="EM13" i="37"/>
  <c r="EL13" i="37"/>
  <c r="EK13" i="37"/>
  <c r="EJ13" i="37"/>
  <c r="EI13" i="37"/>
  <c r="EH13" i="37"/>
  <c r="EG13" i="37"/>
  <c r="EF13" i="37"/>
  <c r="EE13" i="37"/>
  <c r="ED13" i="37"/>
  <c r="DW13" i="37"/>
  <c r="DV13" i="37"/>
  <c r="DU13" i="37"/>
  <c r="DT13" i="37"/>
  <c r="DS13" i="37"/>
  <c r="DR13" i="37"/>
  <c r="DQ13" i="37"/>
  <c r="DP13" i="37"/>
  <c r="DO13" i="37"/>
  <c r="DN13" i="37"/>
  <c r="DM13" i="37"/>
  <c r="DL13" i="37"/>
  <c r="DK13" i="37"/>
  <c r="DJ13" i="37"/>
  <c r="DI13" i="37"/>
  <c r="DH13" i="37"/>
  <c r="DG13" i="37"/>
  <c r="DF13" i="37"/>
  <c r="DE13" i="37"/>
  <c r="DD13" i="37"/>
  <c r="DC13" i="37"/>
  <c r="DB13" i="37"/>
  <c r="DA13" i="37"/>
  <c r="CZ13" i="37"/>
  <c r="CY13" i="37"/>
  <c r="CR13" i="37"/>
  <c r="CQ13" i="37"/>
  <c r="CP13" i="37"/>
  <c r="CO13" i="37"/>
  <c r="CN13" i="37"/>
  <c r="CM13" i="37"/>
  <c r="CL13" i="37"/>
  <c r="CK13" i="37"/>
  <c r="CJ13" i="37"/>
  <c r="CI13" i="37"/>
  <c r="CH13" i="37"/>
  <c r="CG13" i="37"/>
  <c r="CF13" i="37"/>
  <c r="CE13" i="37"/>
  <c r="CD13" i="37"/>
  <c r="CC13" i="37"/>
  <c r="CB13" i="37"/>
  <c r="CA13" i="37"/>
  <c r="BZ13" i="37"/>
  <c r="BY13" i="37"/>
  <c r="BX13" i="37"/>
  <c r="BW13" i="37"/>
  <c r="BV13" i="37"/>
  <c r="BU13" i="37"/>
  <c r="BT13" i="37"/>
  <c r="BS13" i="37"/>
  <c r="BL13" i="37"/>
  <c r="BK13" i="37"/>
  <c r="BJ13" i="37"/>
  <c r="BI13" i="37"/>
  <c r="BH13" i="37"/>
  <c r="BG13" i="37"/>
  <c r="BF13" i="37"/>
  <c r="BE13" i="37"/>
  <c r="BD13" i="37"/>
  <c r="BC13" i="37"/>
  <c r="BB13" i="37"/>
  <c r="BA13" i="37"/>
  <c r="AZ13" i="37"/>
  <c r="AY13" i="37"/>
  <c r="AX13" i="37"/>
  <c r="AW13" i="37"/>
  <c r="AV13" i="37"/>
  <c r="AU13" i="37"/>
  <c r="AT13" i="37"/>
  <c r="AS13" i="37"/>
  <c r="AR13" i="37"/>
  <c r="AQ13" i="37"/>
  <c r="AP13" i="37"/>
  <c r="AO13" i="37"/>
  <c r="AN13" i="37"/>
  <c r="AG13" i="37"/>
  <c r="AF13" i="37"/>
  <c r="AE13" i="37"/>
  <c r="AD13" i="37"/>
  <c r="AC13" i="37"/>
  <c r="AB13" i="37"/>
  <c r="AA13" i="37"/>
  <c r="Z13" i="37"/>
  <c r="Y13" i="37"/>
  <c r="X13" i="37"/>
  <c r="W13" i="37"/>
  <c r="V13" i="37"/>
  <c r="U13" i="37"/>
  <c r="T13" i="37"/>
  <c r="S13" i="37"/>
  <c r="R13" i="37"/>
  <c r="Q13" i="37"/>
  <c r="P13" i="37"/>
  <c r="O13" i="37"/>
  <c r="N13" i="37"/>
  <c r="M13" i="37"/>
  <c r="L13" i="37"/>
  <c r="K13" i="37"/>
  <c r="J13" i="37"/>
  <c r="HQ12" i="37"/>
  <c r="HP12" i="37"/>
  <c r="HO12" i="37"/>
  <c r="HN12" i="37"/>
  <c r="HM12" i="37"/>
  <c r="HL12" i="37"/>
  <c r="HK12" i="37"/>
  <c r="HJ12" i="37"/>
  <c r="HI12" i="37"/>
  <c r="HH12" i="37"/>
  <c r="HG12" i="37"/>
  <c r="HF12" i="37"/>
  <c r="HE12" i="37"/>
  <c r="HD12" i="37"/>
  <c r="HC12" i="37"/>
  <c r="HB12" i="37"/>
  <c r="HA12" i="37"/>
  <c r="GZ12" i="37"/>
  <c r="GY12" i="37"/>
  <c r="GX12" i="37"/>
  <c r="GW12" i="37"/>
  <c r="GV12" i="37"/>
  <c r="GU12" i="37"/>
  <c r="GT12" i="37"/>
  <c r="GS12" i="37"/>
  <c r="GR12" i="37"/>
  <c r="GI12" i="37"/>
  <c r="GH12" i="37"/>
  <c r="GG12" i="37"/>
  <c r="GF12" i="37"/>
  <c r="GE12" i="37"/>
  <c r="GD12" i="37"/>
  <c r="GC12" i="37"/>
  <c r="GB12" i="37"/>
  <c r="GA12" i="37"/>
  <c r="FZ12" i="37"/>
  <c r="FY12" i="37"/>
  <c r="FX12" i="37"/>
  <c r="FW12" i="37"/>
  <c r="FV12" i="37"/>
  <c r="FU12" i="37"/>
  <c r="FT12" i="37"/>
  <c r="FS12" i="37"/>
  <c r="FR12" i="37"/>
  <c r="FQ12" i="37"/>
  <c r="FP12" i="37"/>
  <c r="FO12" i="37"/>
  <c r="FN12" i="37"/>
  <c r="FM12" i="37"/>
  <c r="FL12" i="37"/>
  <c r="FK12" i="37"/>
  <c r="FJ12" i="37"/>
  <c r="FA12" i="37"/>
  <c r="EZ12" i="37"/>
  <c r="EY12" i="37"/>
  <c r="EX12" i="37"/>
  <c r="EW12" i="37"/>
  <c r="EV12" i="37"/>
  <c r="EU12" i="37"/>
  <c r="ET12" i="37"/>
  <c r="ES12" i="37"/>
  <c r="ER12" i="37"/>
  <c r="EQ12" i="37"/>
  <c r="EP12" i="37"/>
  <c r="EO12" i="37"/>
  <c r="EN12" i="37"/>
  <c r="EM12" i="37"/>
  <c r="EL12" i="37"/>
  <c r="EK12" i="37"/>
  <c r="EJ12" i="37"/>
  <c r="EI12" i="37"/>
  <c r="EH12" i="37"/>
  <c r="EG12" i="37"/>
  <c r="EF12" i="37"/>
  <c r="EE12" i="37"/>
  <c r="ED12" i="37"/>
  <c r="DW12" i="37"/>
  <c r="DV12" i="37"/>
  <c r="DU12" i="37"/>
  <c r="DT12" i="37"/>
  <c r="DS12" i="37"/>
  <c r="DR12" i="37"/>
  <c r="DQ12" i="37"/>
  <c r="DP12" i="37"/>
  <c r="DO12" i="37"/>
  <c r="DN12" i="37"/>
  <c r="DM12" i="37"/>
  <c r="DL12" i="37"/>
  <c r="DK12" i="37"/>
  <c r="DJ12" i="37"/>
  <c r="DI12" i="37"/>
  <c r="DH12" i="37"/>
  <c r="DG12" i="37"/>
  <c r="DF12" i="37"/>
  <c r="DE12" i="37"/>
  <c r="DD12" i="37"/>
  <c r="DC12" i="37"/>
  <c r="DB12" i="37"/>
  <c r="DA12" i="37"/>
  <c r="CZ12" i="37"/>
  <c r="CY12" i="37"/>
  <c r="CR12" i="37"/>
  <c r="CQ12" i="37"/>
  <c r="CP12" i="37"/>
  <c r="CO12" i="37"/>
  <c r="CN12" i="37"/>
  <c r="CM12" i="37"/>
  <c r="CL12" i="37"/>
  <c r="CK12" i="37"/>
  <c r="CJ12" i="37"/>
  <c r="CI12" i="37"/>
  <c r="CH12" i="37"/>
  <c r="CG12" i="37"/>
  <c r="CF12" i="37"/>
  <c r="CE12" i="37"/>
  <c r="CD12" i="37"/>
  <c r="CC12" i="37"/>
  <c r="CB12" i="37"/>
  <c r="CA12" i="37"/>
  <c r="BZ12" i="37"/>
  <c r="BY12" i="37"/>
  <c r="BX12" i="37"/>
  <c r="BW12" i="37"/>
  <c r="BV12" i="37"/>
  <c r="BU12" i="37"/>
  <c r="BT12" i="37"/>
  <c r="BS12" i="37"/>
  <c r="BL12" i="37"/>
  <c r="BK12" i="37"/>
  <c r="BJ12" i="37"/>
  <c r="BI12" i="37"/>
  <c r="BH12" i="37"/>
  <c r="BG12" i="37"/>
  <c r="BF12" i="37"/>
  <c r="BE12" i="37"/>
  <c r="BD12" i="37"/>
  <c r="BC12" i="37"/>
  <c r="BB12" i="37"/>
  <c r="BA12" i="37"/>
  <c r="AZ12" i="37"/>
  <c r="AY12" i="37"/>
  <c r="AX12" i="37"/>
  <c r="AW12" i="37"/>
  <c r="AV12" i="37"/>
  <c r="AU12" i="37"/>
  <c r="AT12" i="37"/>
  <c r="AS12" i="37"/>
  <c r="AR12" i="37"/>
  <c r="AQ12" i="37"/>
  <c r="AP12" i="37"/>
  <c r="AO12" i="37"/>
  <c r="AN12" i="37"/>
  <c r="AG12" i="37"/>
  <c r="AF12" i="37"/>
  <c r="AE12" i="37"/>
  <c r="AD12" i="37"/>
  <c r="AC12" i="37"/>
  <c r="AB12" i="37"/>
  <c r="AA12" i="37"/>
  <c r="Z12" i="37"/>
  <c r="Y12" i="37"/>
  <c r="X12" i="37"/>
  <c r="W12" i="37"/>
  <c r="V12" i="37"/>
  <c r="U12" i="37"/>
  <c r="T12" i="37"/>
  <c r="S12" i="37"/>
  <c r="R12" i="37"/>
  <c r="Q12" i="37"/>
  <c r="P12" i="37"/>
  <c r="O12" i="37"/>
  <c r="N12" i="37"/>
  <c r="M12" i="37"/>
  <c r="L12" i="37"/>
  <c r="K12" i="37"/>
  <c r="J12" i="37"/>
  <c r="AG241" i="30"/>
  <c r="AF241" i="30"/>
  <c r="AE241" i="30"/>
  <c r="AD241" i="30"/>
  <c r="AC241" i="30"/>
  <c r="AB241" i="30"/>
  <c r="AA241" i="30"/>
  <c r="Z241" i="30"/>
  <c r="Y241" i="30"/>
  <c r="X241" i="30"/>
  <c r="W241" i="30"/>
  <c r="V241" i="30"/>
  <c r="U241" i="30"/>
  <c r="T241" i="30"/>
  <c r="S241" i="30"/>
  <c r="R241" i="30"/>
  <c r="Q241" i="30"/>
  <c r="P241" i="30"/>
  <c r="O241" i="30"/>
  <c r="N241" i="30"/>
  <c r="M241" i="30"/>
  <c r="L241" i="30"/>
  <c r="K241" i="30"/>
  <c r="J241" i="30"/>
  <c r="I241" i="30"/>
  <c r="H241" i="30"/>
  <c r="G241" i="30"/>
  <c r="F241" i="30"/>
  <c r="AG240" i="30"/>
  <c r="AF240" i="30"/>
  <c r="AE240" i="30"/>
  <c r="AD240" i="30"/>
  <c r="AC240" i="30"/>
  <c r="AB240" i="30"/>
  <c r="AA240" i="30"/>
  <c r="Z240" i="30"/>
  <c r="Y240" i="30"/>
  <c r="X240" i="30"/>
  <c r="W240" i="30"/>
  <c r="V240" i="30"/>
  <c r="U240" i="30"/>
  <c r="T240" i="30"/>
  <c r="S240" i="30"/>
  <c r="R240" i="30"/>
  <c r="Q240" i="30"/>
  <c r="P240" i="30"/>
  <c r="O240" i="30"/>
  <c r="N240" i="30"/>
  <c r="M240" i="30"/>
  <c r="L240" i="30"/>
  <c r="K240" i="30"/>
  <c r="J240" i="30"/>
  <c r="I240" i="30"/>
  <c r="H240" i="30"/>
  <c r="G240" i="30"/>
  <c r="F240" i="30"/>
  <c r="AG239" i="30"/>
  <c r="AF239" i="30"/>
  <c r="AE239" i="30"/>
  <c r="AD239" i="30"/>
  <c r="AC239" i="30"/>
  <c r="AB239" i="30"/>
  <c r="AA239" i="30"/>
  <c r="Z239" i="30"/>
  <c r="Y239" i="30"/>
  <c r="X239" i="30"/>
  <c r="W239" i="30"/>
  <c r="V239" i="30"/>
  <c r="U239" i="30"/>
  <c r="T239" i="30"/>
  <c r="S239" i="30"/>
  <c r="R239" i="30"/>
  <c r="Q239" i="30"/>
  <c r="P239" i="30"/>
  <c r="O239" i="30"/>
  <c r="N239" i="30"/>
  <c r="M239" i="30"/>
  <c r="L239" i="30"/>
  <c r="K239" i="30"/>
  <c r="J239" i="30"/>
  <c r="I239" i="30"/>
  <c r="H239" i="30"/>
  <c r="G239" i="30"/>
  <c r="F239" i="30"/>
  <c r="AG238" i="30"/>
  <c r="AF238" i="30"/>
  <c r="AE238" i="30"/>
  <c r="AD238" i="30"/>
  <c r="AC238" i="30"/>
  <c r="AB238" i="30"/>
  <c r="AA238" i="30"/>
  <c r="Z238" i="30"/>
  <c r="Y238" i="30"/>
  <c r="X238" i="30"/>
  <c r="W238" i="30"/>
  <c r="V238" i="30"/>
  <c r="U238" i="30"/>
  <c r="T238" i="30"/>
  <c r="S238" i="30"/>
  <c r="R238" i="30"/>
  <c r="Q238" i="30"/>
  <c r="P238" i="30"/>
  <c r="O238" i="30"/>
  <c r="N238" i="30"/>
  <c r="M238" i="30"/>
  <c r="L238" i="30"/>
  <c r="K238" i="30"/>
  <c r="J238" i="30"/>
  <c r="I238" i="30"/>
  <c r="H238" i="30"/>
  <c r="G238" i="30"/>
  <c r="F238" i="30"/>
  <c r="AK199" i="30"/>
  <c r="AJ199" i="30"/>
  <c r="AI199" i="30"/>
  <c r="AH199" i="30"/>
  <c r="AG199" i="30"/>
  <c r="AF199" i="30"/>
  <c r="AE199" i="30"/>
  <c r="AD199" i="30"/>
  <c r="AC199" i="30"/>
  <c r="AB199" i="30"/>
  <c r="AA199" i="30"/>
  <c r="Z199" i="30"/>
  <c r="Y199" i="30"/>
  <c r="X199" i="30"/>
  <c r="W199" i="30"/>
  <c r="V199" i="30"/>
  <c r="U199" i="30"/>
  <c r="T199" i="30"/>
  <c r="S199" i="30"/>
  <c r="R199" i="30"/>
  <c r="Q199" i="30"/>
  <c r="P199" i="30"/>
  <c r="O199" i="30"/>
  <c r="N199" i="30"/>
  <c r="M199" i="30"/>
  <c r="L199" i="30"/>
  <c r="K199" i="30"/>
  <c r="J199" i="30"/>
  <c r="I199" i="30"/>
  <c r="H199" i="30"/>
  <c r="G199" i="30"/>
  <c r="F199" i="30"/>
  <c r="AK198" i="30"/>
  <c r="AJ198" i="30"/>
  <c r="AI198" i="30"/>
  <c r="AH198" i="30"/>
  <c r="AG198" i="30"/>
  <c r="AF198" i="30"/>
  <c r="AE198" i="30"/>
  <c r="AD198" i="30"/>
  <c r="AC198" i="30"/>
  <c r="AB198" i="30"/>
  <c r="AA198" i="30"/>
  <c r="Z198" i="30"/>
  <c r="Y198" i="30"/>
  <c r="X198" i="30"/>
  <c r="W198" i="30"/>
  <c r="V198" i="30"/>
  <c r="U198" i="30"/>
  <c r="T198" i="30"/>
  <c r="S198" i="30"/>
  <c r="R198" i="30"/>
  <c r="Q198" i="30"/>
  <c r="P198" i="30"/>
  <c r="O198" i="30"/>
  <c r="N198" i="30"/>
  <c r="M198" i="30"/>
  <c r="L198" i="30"/>
  <c r="K198" i="30"/>
  <c r="J198" i="30"/>
  <c r="I198" i="30"/>
  <c r="H198" i="30"/>
  <c r="G198" i="30"/>
  <c r="F198" i="30"/>
  <c r="AK197" i="30"/>
  <c r="AJ197" i="30"/>
  <c r="AI197" i="30"/>
  <c r="AH197" i="30"/>
  <c r="AG197" i="30"/>
  <c r="AF197" i="30"/>
  <c r="AE197" i="30"/>
  <c r="AD197" i="30"/>
  <c r="AC197" i="30"/>
  <c r="AB197" i="30"/>
  <c r="AA197" i="30"/>
  <c r="Z197" i="30"/>
  <c r="Y197" i="30"/>
  <c r="X197" i="30"/>
  <c r="W197" i="30"/>
  <c r="V197" i="30"/>
  <c r="U197" i="30"/>
  <c r="T197" i="30"/>
  <c r="S197" i="30"/>
  <c r="R197" i="30"/>
  <c r="Q197" i="30"/>
  <c r="P197" i="30"/>
  <c r="O197" i="30"/>
  <c r="N197" i="30"/>
  <c r="M197" i="30"/>
  <c r="L197" i="30"/>
  <c r="K197" i="30"/>
  <c r="J197" i="30"/>
  <c r="I197" i="30"/>
  <c r="H197" i="30"/>
  <c r="G197" i="30"/>
  <c r="F197" i="30"/>
  <c r="AK196" i="30"/>
  <c r="AJ196" i="30"/>
  <c r="AI196" i="30"/>
  <c r="AH196" i="30"/>
  <c r="AG196" i="30"/>
  <c r="AF196" i="30"/>
  <c r="AE196" i="30"/>
  <c r="AD196" i="30"/>
  <c r="AC196" i="30"/>
  <c r="AB196" i="30"/>
  <c r="AA196" i="30"/>
  <c r="Z196" i="30"/>
  <c r="Y196" i="30"/>
  <c r="X196" i="30"/>
  <c r="W196" i="30"/>
  <c r="V196" i="30"/>
  <c r="U196" i="30"/>
  <c r="T196" i="30"/>
  <c r="S196" i="30"/>
  <c r="R196" i="30"/>
  <c r="Q196" i="30"/>
  <c r="P196" i="30"/>
  <c r="O196" i="30"/>
  <c r="N196" i="30"/>
  <c r="M196" i="30"/>
  <c r="L196" i="30"/>
  <c r="K196" i="30"/>
  <c r="J196" i="30"/>
  <c r="I196" i="30"/>
  <c r="H196" i="30"/>
  <c r="G196" i="30"/>
  <c r="F196" i="30"/>
  <c r="AK195" i="30"/>
  <c r="AJ195" i="30"/>
  <c r="AI195" i="30"/>
  <c r="AH195" i="30"/>
  <c r="AG195" i="30"/>
  <c r="AF195" i="30"/>
  <c r="AE195" i="30"/>
  <c r="AD195" i="30"/>
  <c r="AC195" i="30"/>
  <c r="AB195" i="30"/>
  <c r="AA195" i="30"/>
  <c r="Z195" i="30"/>
  <c r="Y195" i="30"/>
  <c r="X195" i="30"/>
  <c r="W195" i="30"/>
  <c r="V195" i="30"/>
  <c r="U195" i="30"/>
  <c r="T195" i="30"/>
  <c r="S195" i="30"/>
  <c r="R195" i="30"/>
  <c r="Q195" i="30"/>
  <c r="P195" i="30"/>
  <c r="O195" i="30"/>
  <c r="N195" i="30"/>
  <c r="M195" i="30"/>
  <c r="L195" i="30"/>
  <c r="K195" i="30"/>
  <c r="J195" i="30"/>
  <c r="I195" i="30"/>
  <c r="H195" i="30"/>
  <c r="G195" i="30"/>
  <c r="F195" i="30"/>
  <c r="AK194" i="30"/>
  <c r="AJ194" i="30"/>
  <c r="AI194" i="30"/>
  <c r="AH194" i="30"/>
  <c r="AG194" i="30"/>
  <c r="AF194" i="30"/>
  <c r="AE194" i="30"/>
  <c r="AD194" i="30"/>
  <c r="AC194" i="30"/>
  <c r="AB194" i="30"/>
  <c r="AA194" i="30"/>
  <c r="Z194" i="30"/>
  <c r="Y194" i="30"/>
  <c r="X194" i="30"/>
  <c r="W194" i="30"/>
  <c r="V194" i="30"/>
  <c r="U194" i="30"/>
  <c r="T194" i="30"/>
  <c r="S194" i="30"/>
  <c r="R194" i="30"/>
  <c r="Q194" i="30"/>
  <c r="P194" i="30"/>
  <c r="O194" i="30"/>
  <c r="N194" i="30"/>
  <c r="M194" i="30"/>
  <c r="L194" i="30"/>
  <c r="K194" i="30"/>
  <c r="J194" i="30"/>
  <c r="I194" i="30"/>
  <c r="H194" i="30"/>
  <c r="G194" i="30"/>
  <c r="F194" i="30"/>
  <c r="U187" i="30"/>
  <c r="T187" i="30"/>
  <c r="S187" i="30"/>
  <c r="R187" i="30"/>
  <c r="Q187" i="30"/>
  <c r="P187" i="30"/>
  <c r="O187" i="30"/>
  <c r="N187" i="30"/>
  <c r="M187" i="30"/>
  <c r="L187" i="30"/>
  <c r="K187" i="30"/>
  <c r="J187" i="30"/>
  <c r="I187" i="30"/>
  <c r="H187" i="30"/>
  <c r="G187" i="30"/>
  <c r="F187" i="30"/>
  <c r="U186" i="30"/>
  <c r="T186" i="30"/>
  <c r="S186" i="30"/>
  <c r="R186" i="30"/>
  <c r="Q186" i="30"/>
  <c r="P186" i="30"/>
  <c r="O186" i="30"/>
  <c r="N186" i="30"/>
  <c r="M186" i="30"/>
  <c r="L186" i="30"/>
  <c r="K186" i="30"/>
  <c r="J186" i="30"/>
  <c r="I186" i="30"/>
  <c r="H186" i="30"/>
  <c r="G186" i="30"/>
  <c r="F186" i="30"/>
  <c r="U185" i="30"/>
  <c r="T185" i="30"/>
  <c r="S185" i="30"/>
  <c r="R185" i="30"/>
  <c r="Q185" i="30"/>
  <c r="P185" i="30"/>
  <c r="O185" i="30"/>
  <c r="N185" i="30"/>
  <c r="M185" i="30"/>
  <c r="L185" i="30"/>
  <c r="K185" i="30"/>
  <c r="J185" i="30"/>
  <c r="I185" i="30"/>
  <c r="H185" i="30"/>
  <c r="G185" i="30"/>
  <c r="F185" i="30"/>
  <c r="U184" i="30"/>
  <c r="T184" i="30"/>
  <c r="S184" i="30"/>
  <c r="R184" i="30"/>
  <c r="Q184" i="30"/>
  <c r="P184" i="30"/>
  <c r="O184" i="30"/>
  <c r="N184" i="30"/>
  <c r="M184" i="30"/>
  <c r="L184" i="30"/>
  <c r="K184" i="30"/>
  <c r="J184" i="30"/>
  <c r="I184" i="30"/>
  <c r="H184" i="30"/>
  <c r="G184" i="30"/>
  <c r="F184" i="30"/>
  <c r="U183" i="30"/>
  <c r="T183" i="30"/>
  <c r="S183" i="30"/>
  <c r="R183" i="30"/>
  <c r="Q183" i="30"/>
  <c r="P183" i="30"/>
  <c r="O183" i="30"/>
  <c r="N183" i="30"/>
  <c r="M183" i="30"/>
  <c r="L183" i="30"/>
  <c r="K183" i="30"/>
  <c r="J183" i="30"/>
  <c r="I183" i="30"/>
  <c r="H183" i="30"/>
  <c r="G183" i="30"/>
  <c r="F183" i="30"/>
  <c r="U182" i="30"/>
  <c r="T182" i="30"/>
  <c r="S182" i="30"/>
  <c r="R182" i="30"/>
  <c r="Q182" i="30"/>
  <c r="P182" i="30"/>
  <c r="O182" i="30"/>
  <c r="N182" i="30"/>
  <c r="M182" i="30"/>
  <c r="L182" i="30"/>
  <c r="K182" i="30"/>
  <c r="J182" i="30"/>
  <c r="I182" i="30"/>
  <c r="H182" i="30"/>
  <c r="G182" i="30"/>
  <c r="F182" i="30"/>
  <c r="DA35" i="30"/>
  <c r="CZ35" i="30"/>
  <c r="CY35" i="30"/>
  <c r="CX35" i="30"/>
  <c r="CW35" i="30"/>
  <c r="CV35" i="30"/>
  <c r="CU35" i="30"/>
  <c r="CT35" i="30"/>
  <c r="CS35" i="30"/>
  <c r="CR35" i="30"/>
  <c r="CP35" i="30"/>
  <c r="CN35" i="30"/>
  <c r="CM35" i="30"/>
  <c r="CL35" i="30"/>
  <c r="CK35" i="30"/>
  <c r="CJ35" i="30"/>
  <c r="CI35" i="30"/>
  <c r="CH35" i="30"/>
  <c r="CG35" i="30"/>
  <c r="CF35" i="30"/>
  <c r="CE35" i="30"/>
  <c r="CD35" i="30"/>
  <c r="CB35" i="30"/>
  <c r="BZ35" i="30"/>
  <c r="BY35" i="30"/>
  <c r="BX35" i="30"/>
  <c r="BW35" i="30"/>
  <c r="BV35" i="30"/>
  <c r="BU35" i="30"/>
  <c r="BT35" i="30"/>
  <c r="BS35" i="30"/>
  <c r="BR35" i="30"/>
  <c r="BQ35" i="30"/>
  <c r="BP35" i="30"/>
  <c r="BN35" i="30"/>
  <c r="BL35" i="30"/>
  <c r="BK35" i="30"/>
  <c r="BJ35" i="30"/>
  <c r="BI35" i="30"/>
  <c r="BH35" i="30"/>
  <c r="BG35" i="30"/>
  <c r="BF35" i="30"/>
  <c r="BE35" i="30"/>
  <c r="BD35" i="30"/>
  <c r="BC35" i="30"/>
  <c r="BB35" i="30"/>
  <c r="BA35" i="30"/>
  <c r="AZ35" i="30"/>
  <c r="AY35" i="30"/>
  <c r="AX35" i="30"/>
  <c r="AW35" i="30"/>
  <c r="AV35" i="30"/>
  <c r="AU35" i="30"/>
  <c r="AT35" i="30"/>
  <c r="AS35" i="30"/>
  <c r="AR35" i="30"/>
  <c r="AQ35" i="30"/>
  <c r="AP35" i="30"/>
  <c r="AO35" i="30"/>
  <c r="AN35" i="30"/>
  <c r="AM35" i="30"/>
  <c r="AL35" i="30"/>
  <c r="AK35" i="30"/>
  <c r="AJ35" i="30"/>
  <c r="AI35" i="30"/>
  <c r="AH35" i="30"/>
  <c r="AG35" i="30"/>
  <c r="AF35" i="30"/>
  <c r="AE35" i="30"/>
  <c r="AD35" i="30"/>
  <c r="AC35" i="30"/>
  <c r="AB35" i="30"/>
  <c r="AA35" i="30"/>
  <c r="Z35" i="30"/>
  <c r="Y35" i="30"/>
  <c r="X35" i="30"/>
  <c r="W35" i="30"/>
  <c r="V35" i="30"/>
  <c r="U35" i="30"/>
  <c r="T35" i="30"/>
  <c r="S35" i="30"/>
  <c r="R35" i="30"/>
  <c r="Q35" i="30"/>
  <c r="P35" i="30"/>
  <c r="O35" i="30"/>
  <c r="N35" i="30"/>
  <c r="M35" i="30"/>
  <c r="L35" i="30"/>
  <c r="K35" i="30"/>
  <c r="J35" i="30"/>
  <c r="I35" i="30"/>
  <c r="H35" i="30"/>
  <c r="G35" i="30"/>
  <c r="F35" i="30"/>
  <c r="E35" i="30"/>
  <c r="D35" i="30"/>
  <c r="DA34" i="30"/>
  <c r="CZ34" i="30"/>
  <c r="CY34" i="30"/>
  <c r="CX34" i="30"/>
  <c r="CW34" i="30"/>
  <c r="CV34" i="30"/>
  <c r="CU34" i="30"/>
  <c r="CT34" i="30"/>
  <c r="CS34" i="30"/>
  <c r="CR34" i="30"/>
  <c r="CP34" i="30"/>
  <c r="CN34" i="30"/>
  <c r="CM34" i="30"/>
  <c r="CL34" i="30"/>
  <c r="CK34" i="30"/>
  <c r="CJ34" i="30"/>
  <c r="CI34" i="30"/>
  <c r="CH34" i="30"/>
  <c r="CG34" i="30"/>
  <c r="CF34" i="30"/>
  <c r="CE34" i="30"/>
  <c r="CD34" i="30"/>
  <c r="CB34" i="30"/>
  <c r="BZ34" i="30"/>
  <c r="BY34" i="30"/>
  <c r="BX34" i="30"/>
  <c r="BW34" i="30"/>
  <c r="BV34" i="30"/>
  <c r="BU34" i="30"/>
  <c r="BT34" i="30"/>
  <c r="BS34" i="30"/>
  <c r="BR34" i="30"/>
  <c r="BQ34" i="30"/>
  <c r="BP34" i="30"/>
  <c r="BN34" i="30"/>
  <c r="BL34" i="30"/>
  <c r="BK34" i="30"/>
  <c r="BJ34" i="30"/>
  <c r="BI34" i="30"/>
  <c r="BH34" i="30"/>
  <c r="BG34" i="30"/>
  <c r="BF34" i="30"/>
  <c r="BE34" i="30"/>
  <c r="BD34" i="30"/>
  <c r="BC34" i="30"/>
  <c r="BB34" i="30"/>
  <c r="BA34" i="30"/>
  <c r="AZ34" i="30"/>
  <c r="AY34" i="30"/>
  <c r="AX34" i="30"/>
  <c r="AW34" i="30"/>
  <c r="AV34" i="30"/>
  <c r="AU34" i="30"/>
  <c r="AT34" i="30"/>
  <c r="AS34" i="30"/>
  <c r="AR34" i="30"/>
  <c r="AQ34" i="30"/>
  <c r="AP34" i="30"/>
  <c r="AO34" i="30"/>
  <c r="AN34" i="30"/>
  <c r="AM34" i="30"/>
  <c r="AL34" i="30"/>
  <c r="AK34" i="30"/>
  <c r="AJ34" i="30"/>
  <c r="AI34" i="30"/>
  <c r="AH34" i="30"/>
  <c r="AG34" i="30"/>
  <c r="AF34" i="30"/>
  <c r="AE34" i="30"/>
  <c r="AD34" i="30"/>
  <c r="AC34" i="30"/>
  <c r="AB34" i="30"/>
  <c r="AA34" i="30"/>
  <c r="Z34" i="30"/>
  <c r="Y34" i="30"/>
  <c r="X34" i="30"/>
  <c r="W34" i="30"/>
  <c r="V34" i="30"/>
  <c r="U34" i="30"/>
  <c r="T34" i="30"/>
  <c r="S34" i="30"/>
  <c r="R34" i="30"/>
  <c r="Q34" i="30"/>
  <c r="P34" i="30"/>
  <c r="O34" i="30"/>
  <c r="N34" i="30"/>
  <c r="M34" i="30"/>
  <c r="L34" i="30"/>
  <c r="K34" i="30"/>
  <c r="J34" i="30"/>
  <c r="I34" i="30"/>
  <c r="H34" i="30"/>
  <c r="G34" i="30"/>
  <c r="F34" i="30"/>
  <c r="E34" i="30"/>
  <c r="D34" i="30"/>
  <c r="DA33" i="30"/>
  <c r="CZ33" i="30"/>
  <c r="CY33" i="30"/>
  <c r="CX33" i="30"/>
  <c r="CW33" i="30"/>
  <c r="CV33" i="30"/>
  <c r="CU33" i="30"/>
  <c r="CT33" i="30"/>
  <c r="CS33" i="30"/>
  <c r="CR33" i="30"/>
  <c r="CP33" i="30"/>
  <c r="CN33" i="30"/>
  <c r="CM33" i="30"/>
  <c r="CL33" i="30"/>
  <c r="CK33" i="30"/>
  <c r="CJ33" i="30"/>
  <c r="CI33" i="30"/>
  <c r="CH33" i="30"/>
  <c r="CG33" i="30"/>
  <c r="CF33" i="30"/>
  <c r="CE33" i="30"/>
  <c r="CD33" i="30"/>
  <c r="CB33" i="30"/>
  <c r="BZ33" i="30"/>
  <c r="BY33" i="30"/>
  <c r="BX33" i="30"/>
  <c r="BW33" i="30"/>
  <c r="BV33" i="30"/>
  <c r="BU33" i="30"/>
  <c r="BT33" i="30"/>
  <c r="BS33" i="30"/>
  <c r="BR33" i="30"/>
  <c r="BQ33" i="30"/>
  <c r="BP33" i="30"/>
  <c r="BN33" i="30"/>
  <c r="BL33" i="30"/>
  <c r="BK33" i="30"/>
  <c r="BJ33" i="30"/>
  <c r="BI33" i="30"/>
  <c r="BH33" i="30"/>
  <c r="BG33" i="30"/>
  <c r="BF33" i="30"/>
  <c r="BE33" i="30"/>
  <c r="BD33" i="30"/>
  <c r="BC33" i="30"/>
  <c r="BB33" i="30"/>
  <c r="BA33" i="30"/>
  <c r="AZ33" i="30"/>
  <c r="AY33" i="30"/>
  <c r="AX33" i="30"/>
  <c r="AW33" i="30"/>
  <c r="AV33" i="30"/>
  <c r="AU33" i="30"/>
  <c r="AT33" i="30"/>
  <c r="AS33" i="30"/>
  <c r="AR33" i="30"/>
  <c r="AQ33" i="30"/>
  <c r="AP33" i="30"/>
  <c r="AO33" i="30"/>
  <c r="AN33" i="30"/>
  <c r="AM33" i="30"/>
  <c r="AL33" i="30"/>
  <c r="AK33" i="30"/>
  <c r="AJ33" i="30"/>
  <c r="AI33" i="30"/>
  <c r="AH33" i="30"/>
  <c r="AG33" i="30"/>
  <c r="AF33" i="30"/>
  <c r="AE33" i="30"/>
  <c r="AD33" i="30"/>
  <c r="AC33" i="30"/>
  <c r="AB33" i="30"/>
  <c r="AA33" i="30"/>
  <c r="Z33" i="30"/>
  <c r="Y33" i="30"/>
  <c r="X33" i="30"/>
  <c r="W33" i="30"/>
  <c r="V33" i="30"/>
  <c r="U33" i="30"/>
  <c r="T33" i="30"/>
  <c r="S33" i="30"/>
  <c r="R33" i="30"/>
  <c r="Q33" i="30"/>
  <c r="P33" i="30"/>
  <c r="O33" i="30"/>
  <c r="N33" i="30"/>
  <c r="M33" i="30"/>
  <c r="L33" i="30"/>
  <c r="K33" i="30"/>
  <c r="J33" i="30"/>
  <c r="I33" i="30"/>
  <c r="H33" i="30"/>
  <c r="G33" i="30"/>
  <c r="F33" i="30"/>
  <c r="E33" i="30"/>
  <c r="D33" i="30"/>
  <c r="DA32" i="30"/>
  <c r="CZ32" i="30"/>
  <c r="CY32" i="30"/>
  <c r="CX32" i="30"/>
  <c r="CW32" i="30"/>
  <c r="CV32" i="30"/>
  <c r="CU32" i="30"/>
  <c r="CT32" i="30"/>
  <c r="CS32" i="30"/>
  <c r="CR32" i="30"/>
  <c r="CP32" i="30"/>
  <c r="CN32" i="30"/>
  <c r="CM32" i="30"/>
  <c r="CL32" i="30"/>
  <c r="CK32" i="30"/>
  <c r="CJ32" i="30"/>
  <c r="CI32" i="30"/>
  <c r="CH32" i="30"/>
  <c r="CG32" i="30"/>
  <c r="CF32" i="30"/>
  <c r="CE32" i="30"/>
  <c r="CD32" i="30"/>
  <c r="CB32" i="30"/>
  <c r="BZ32" i="30"/>
  <c r="BY32" i="30"/>
  <c r="BX32" i="30"/>
  <c r="BW32" i="30"/>
  <c r="BV32" i="30"/>
  <c r="BU32" i="30"/>
  <c r="BT32" i="30"/>
  <c r="BS32" i="30"/>
  <c r="BR32" i="30"/>
  <c r="BQ32" i="30"/>
  <c r="BP32" i="30"/>
  <c r="BN32" i="30"/>
  <c r="BL32" i="30"/>
  <c r="BK32" i="30"/>
  <c r="BJ32" i="30"/>
  <c r="BI32" i="30"/>
  <c r="BH32" i="30"/>
  <c r="BG32" i="30"/>
  <c r="BF32" i="30"/>
  <c r="BE32" i="30"/>
  <c r="BD32" i="30"/>
  <c r="BC32" i="30"/>
  <c r="BB32" i="30"/>
  <c r="BA32" i="30"/>
  <c r="AZ32" i="30"/>
  <c r="AY32" i="30"/>
  <c r="AX32" i="30"/>
  <c r="AW32" i="30"/>
  <c r="AV32" i="30"/>
  <c r="AU32" i="30"/>
  <c r="AT32" i="30"/>
  <c r="AS32" i="30"/>
  <c r="AR32" i="30"/>
  <c r="AQ32" i="30"/>
  <c r="AP32" i="30"/>
  <c r="AO32" i="30"/>
  <c r="AN32" i="30"/>
  <c r="AM32" i="30"/>
  <c r="AL32" i="30"/>
  <c r="AK32" i="30"/>
  <c r="AJ32" i="30"/>
  <c r="AI32" i="30"/>
  <c r="AH32" i="30"/>
  <c r="AG32" i="30"/>
  <c r="AF32" i="30"/>
  <c r="AE32" i="30"/>
  <c r="AD32" i="30"/>
  <c r="AC32" i="30"/>
  <c r="AB32" i="30"/>
  <c r="AA32" i="30"/>
  <c r="Z32" i="30"/>
  <c r="Y32" i="30"/>
  <c r="X32" i="30"/>
  <c r="W32" i="30"/>
  <c r="V32" i="30"/>
  <c r="U32" i="30"/>
  <c r="T32" i="30"/>
  <c r="S32" i="30"/>
  <c r="R32" i="30"/>
  <c r="Q32" i="30"/>
  <c r="P32" i="30"/>
  <c r="O32" i="30"/>
  <c r="N32" i="30"/>
  <c r="M32" i="30"/>
  <c r="L32" i="30"/>
  <c r="K32" i="30"/>
  <c r="J32" i="30"/>
  <c r="I32" i="30"/>
  <c r="H32" i="30"/>
  <c r="G32" i="30"/>
  <c r="F32" i="30"/>
  <c r="E32" i="30"/>
  <c r="D32" i="30"/>
  <c r="DA31" i="30"/>
  <c r="CZ31" i="30"/>
  <c r="CY31" i="30"/>
  <c r="CX31" i="30"/>
  <c r="CW31" i="30"/>
  <c r="CV31" i="30"/>
  <c r="CU31" i="30"/>
  <c r="CT31" i="30"/>
  <c r="CS31" i="30"/>
  <c r="CR31" i="30"/>
  <c r="CP31" i="30"/>
  <c r="CN31" i="30"/>
  <c r="CM31" i="30"/>
  <c r="CL31" i="30"/>
  <c r="CK31" i="30"/>
  <c r="CJ31" i="30"/>
  <c r="CI31" i="30"/>
  <c r="CH31" i="30"/>
  <c r="CG31" i="30"/>
  <c r="CF31" i="30"/>
  <c r="CE31" i="30"/>
  <c r="CD31" i="30"/>
  <c r="CB31" i="30"/>
  <c r="BZ31" i="30"/>
  <c r="BY31" i="30"/>
  <c r="BX31" i="30"/>
  <c r="BW31" i="30"/>
  <c r="BV31" i="30"/>
  <c r="BU31" i="30"/>
  <c r="BT31" i="30"/>
  <c r="BS31" i="30"/>
  <c r="BR31" i="30"/>
  <c r="BQ31" i="30"/>
  <c r="BP31" i="30"/>
  <c r="BN31" i="30"/>
  <c r="BL31" i="30"/>
  <c r="BK31" i="30"/>
  <c r="BJ31" i="30"/>
  <c r="BI31" i="30"/>
  <c r="BH31" i="30"/>
  <c r="BG31" i="30"/>
  <c r="BF31" i="30"/>
  <c r="BE31" i="30"/>
  <c r="BD31" i="30"/>
  <c r="BC31" i="30"/>
  <c r="BB31" i="30"/>
  <c r="BA31" i="30"/>
  <c r="AZ31" i="30"/>
  <c r="AY31" i="30"/>
  <c r="AX31" i="30"/>
  <c r="AW31" i="30"/>
  <c r="AV31" i="30"/>
  <c r="AU31" i="30"/>
  <c r="AT31" i="30"/>
  <c r="AS31" i="30"/>
  <c r="AR31" i="30"/>
  <c r="AQ31" i="30"/>
  <c r="AP31" i="30"/>
  <c r="AO31" i="30"/>
  <c r="AN31" i="30"/>
  <c r="AM31" i="30"/>
  <c r="AL31" i="30"/>
  <c r="AK31" i="30"/>
  <c r="AJ31" i="30"/>
  <c r="AI31" i="30"/>
  <c r="AH31" i="30"/>
  <c r="AG31" i="30"/>
  <c r="AF31" i="30"/>
  <c r="AE31" i="30"/>
  <c r="AD31" i="30"/>
  <c r="AC31" i="30"/>
  <c r="AB31" i="30"/>
  <c r="AA31" i="30"/>
  <c r="Z31" i="30"/>
  <c r="Y31" i="30"/>
  <c r="X31" i="30"/>
  <c r="W31" i="30"/>
  <c r="V31" i="30"/>
  <c r="U31" i="30"/>
  <c r="T31" i="30"/>
  <c r="S31" i="30"/>
  <c r="R31" i="30"/>
  <c r="Q31" i="30"/>
  <c r="P31" i="30"/>
  <c r="O31" i="30"/>
  <c r="N31" i="30"/>
  <c r="M31" i="30"/>
  <c r="L31" i="30"/>
  <c r="K31" i="30"/>
  <c r="J31" i="30"/>
  <c r="I31" i="30"/>
  <c r="H31" i="30"/>
  <c r="G31" i="30"/>
  <c r="F31" i="30"/>
  <c r="E31" i="30"/>
  <c r="D31" i="30"/>
  <c r="DA30" i="30"/>
  <c r="CZ30" i="30"/>
  <c r="CY30" i="30"/>
  <c r="CX30" i="30"/>
  <c r="CW30" i="30"/>
  <c r="CV30" i="30"/>
  <c r="CU30" i="30"/>
  <c r="CT30" i="30"/>
  <c r="CS30" i="30"/>
  <c r="CR30" i="30"/>
  <c r="CP30" i="30"/>
  <c r="CN30" i="30"/>
  <c r="CM30" i="30"/>
  <c r="CL30" i="30"/>
  <c r="CK30" i="30"/>
  <c r="CJ30" i="30"/>
  <c r="CI30" i="30"/>
  <c r="CH30" i="30"/>
  <c r="CG30" i="30"/>
  <c r="CF30" i="30"/>
  <c r="CE30" i="30"/>
  <c r="CD30" i="30"/>
  <c r="CB30" i="30"/>
  <c r="BZ30" i="30"/>
  <c r="BY30" i="30"/>
  <c r="BX30" i="30"/>
  <c r="BW30" i="30"/>
  <c r="BV30" i="30"/>
  <c r="BU30" i="30"/>
  <c r="BT30" i="30"/>
  <c r="BS30" i="30"/>
  <c r="BR30" i="30"/>
  <c r="BQ30" i="30"/>
  <c r="BP30" i="30"/>
  <c r="BN30" i="30"/>
  <c r="BL30" i="30"/>
  <c r="BK30" i="30"/>
  <c r="BJ30" i="30"/>
  <c r="BI30" i="30"/>
  <c r="BH30" i="30"/>
  <c r="BG30" i="30"/>
  <c r="BF30" i="30"/>
  <c r="BE30" i="30"/>
  <c r="BD30" i="30"/>
  <c r="BC30" i="30"/>
  <c r="BB30" i="30"/>
  <c r="BA30" i="30"/>
  <c r="AZ30" i="30"/>
  <c r="AY30" i="30"/>
  <c r="AX30" i="30"/>
  <c r="AW30" i="30"/>
  <c r="AV30" i="30"/>
  <c r="AU30" i="30"/>
  <c r="AT30" i="30"/>
  <c r="AS30" i="30"/>
  <c r="AR30" i="30"/>
  <c r="AQ30" i="30"/>
  <c r="AP30" i="30"/>
  <c r="AO30" i="30"/>
  <c r="AN30" i="30"/>
  <c r="AM30" i="30"/>
  <c r="AL30" i="30"/>
  <c r="AK30" i="30"/>
  <c r="AJ30" i="30"/>
  <c r="AI30" i="30"/>
  <c r="AH30" i="30"/>
  <c r="AG30" i="30"/>
  <c r="AF30" i="30"/>
  <c r="AE30" i="30"/>
  <c r="AD30" i="30"/>
  <c r="AC30" i="30"/>
  <c r="AB30" i="30"/>
  <c r="AA30" i="30"/>
  <c r="Z30" i="30"/>
  <c r="Y30" i="30"/>
  <c r="X30" i="30"/>
  <c r="W30" i="30"/>
  <c r="V30" i="30"/>
  <c r="U30" i="30"/>
  <c r="T30" i="30"/>
  <c r="S30" i="30"/>
  <c r="R30" i="30"/>
  <c r="Q30" i="30"/>
  <c r="P30" i="30"/>
  <c r="O30" i="30"/>
  <c r="N30" i="30"/>
  <c r="M30" i="30"/>
  <c r="L30" i="30"/>
  <c r="K30" i="30"/>
  <c r="J30" i="30"/>
  <c r="I30" i="30"/>
  <c r="H30" i="30"/>
  <c r="G30" i="30"/>
  <c r="F30" i="30"/>
  <c r="E30" i="30"/>
  <c r="D30" i="30"/>
  <c r="DA29" i="30"/>
  <c r="CZ29" i="30"/>
  <c r="CY29" i="30"/>
  <c r="CX29" i="30"/>
  <c r="CW29" i="30"/>
  <c r="CV29" i="30"/>
  <c r="CU29" i="30"/>
  <c r="CT29" i="30"/>
  <c r="CS29" i="30"/>
  <c r="CR29" i="30"/>
  <c r="CP29" i="30"/>
  <c r="CN29" i="30"/>
  <c r="CM29" i="30"/>
  <c r="CL29" i="30"/>
  <c r="CK29" i="30"/>
  <c r="CJ29" i="30"/>
  <c r="CI29" i="30"/>
  <c r="CH29" i="30"/>
  <c r="CG29" i="30"/>
  <c r="CF29" i="30"/>
  <c r="CE29" i="30"/>
  <c r="CD29" i="30"/>
  <c r="CB29" i="30"/>
  <c r="BZ29" i="30"/>
  <c r="BY29" i="30"/>
  <c r="BX29" i="30"/>
  <c r="BW29" i="30"/>
  <c r="BV29" i="30"/>
  <c r="BU29" i="30"/>
  <c r="BT29" i="30"/>
  <c r="BS29" i="30"/>
  <c r="BR29" i="30"/>
  <c r="BQ29" i="30"/>
  <c r="BP29" i="30"/>
  <c r="BN29" i="30"/>
  <c r="BL29" i="30"/>
  <c r="BK29" i="30"/>
  <c r="BJ29" i="30"/>
  <c r="BI29" i="30"/>
  <c r="BH29" i="30"/>
  <c r="BG29" i="30"/>
  <c r="BF29" i="30"/>
  <c r="BE29" i="30"/>
  <c r="BD29" i="30"/>
  <c r="BC29" i="30"/>
  <c r="BB29" i="30"/>
  <c r="BA29" i="30"/>
  <c r="AZ29" i="30"/>
  <c r="AY29" i="30"/>
  <c r="AX29" i="30"/>
  <c r="AW29" i="30"/>
  <c r="AV29" i="30"/>
  <c r="AU29" i="30"/>
  <c r="AT29" i="30"/>
  <c r="AS29" i="30"/>
  <c r="AR29" i="30"/>
  <c r="AQ29" i="30"/>
  <c r="AP29" i="30"/>
  <c r="AO29" i="30"/>
  <c r="AN29" i="30"/>
  <c r="AM29" i="30"/>
  <c r="AL29" i="30"/>
  <c r="AK29" i="30"/>
  <c r="AJ29" i="30"/>
  <c r="AI29" i="30"/>
  <c r="AH29" i="30"/>
  <c r="AG29" i="30"/>
  <c r="AF29" i="30"/>
  <c r="AE29" i="30"/>
  <c r="AD29" i="30"/>
  <c r="AC29" i="30"/>
  <c r="AB29" i="30"/>
  <c r="AA29" i="30"/>
  <c r="Z29" i="30"/>
  <c r="Y29" i="30"/>
  <c r="X29" i="30"/>
  <c r="W29" i="30"/>
  <c r="V29" i="30"/>
  <c r="U29" i="30"/>
  <c r="T29" i="30"/>
  <c r="S29" i="30"/>
  <c r="R29" i="30"/>
  <c r="Q29" i="30"/>
  <c r="P29" i="30"/>
  <c r="O29" i="30"/>
  <c r="N29" i="30"/>
  <c r="M29" i="30"/>
  <c r="L29" i="30"/>
  <c r="K29" i="30"/>
  <c r="J29" i="30"/>
  <c r="I29" i="30"/>
  <c r="H29" i="30"/>
  <c r="G29" i="30"/>
  <c r="F29" i="30"/>
  <c r="E29" i="30"/>
  <c r="D29" i="30"/>
  <c r="DA28" i="30"/>
  <c r="CZ28" i="30"/>
  <c r="CY28" i="30"/>
  <c r="CX28" i="30"/>
  <c r="CW28" i="30"/>
  <c r="CV28" i="30"/>
  <c r="CU28" i="30"/>
  <c r="CT28" i="30"/>
  <c r="CS28" i="30"/>
  <c r="CR28" i="30"/>
  <c r="CP28" i="30"/>
  <c r="CN28" i="30"/>
  <c r="CM28" i="30"/>
  <c r="CL28" i="30"/>
  <c r="CK28" i="30"/>
  <c r="CJ28" i="30"/>
  <c r="CI28" i="30"/>
  <c r="CH28" i="30"/>
  <c r="CG28" i="30"/>
  <c r="CF28" i="30"/>
  <c r="CE28" i="30"/>
  <c r="CD28" i="30"/>
  <c r="CB28" i="30"/>
  <c r="BZ28" i="30"/>
  <c r="BY28" i="30"/>
  <c r="BX28" i="30"/>
  <c r="BW28" i="30"/>
  <c r="BV28" i="30"/>
  <c r="BU28" i="30"/>
  <c r="BT28" i="30"/>
  <c r="BS28" i="30"/>
  <c r="BR28" i="30"/>
  <c r="BQ28" i="30"/>
  <c r="BP28" i="30"/>
  <c r="BN28" i="30"/>
  <c r="BL28" i="30"/>
  <c r="BK28" i="30"/>
  <c r="BJ28" i="30"/>
  <c r="BI28" i="30"/>
  <c r="BH28" i="30"/>
  <c r="BG28" i="30"/>
  <c r="BF28" i="30"/>
  <c r="BE28" i="30"/>
  <c r="BD28" i="30"/>
  <c r="BC28" i="30"/>
  <c r="BB28" i="30"/>
  <c r="BA28" i="30"/>
  <c r="AZ28" i="30"/>
  <c r="AY28" i="30"/>
  <c r="AX28" i="30"/>
  <c r="AW28" i="30"/>
  <c r="AV28" i="30"/>
  <c r="AU28" i="30"/>
  <c r="AT28" i="30"/>
  <c r="AS28" i="30"/>
  <c r="AR28" i="30"/>
  <c r="AQ28" i="30"/>
  <c r="AP28" i="30"/>
  <c r="AO28" i="30"/>
  <c r="AN28" i="30"/>
  <c r="AM28" i="30"/>
  <c r="AL28" i="30"/>
  <c r="AK28" i="30"/>
  <c r="AJ28" i="30"/>
  <c r="AI28" i="30"/>
  <c r="AH28" i="30"/>
  <c r="AG28" i="30"/>
  <c r="AF28" i="30"/>
  <c r="AE28" i="30"/>
  <c r="AD28" i="30"/>
  <c r="AC28" i="30"/>
  <c r="AB28" i="30"/>
  <c r="AA28" i="30"/>
  <c r="Z28" i="30"/>
  <c r="Y28" i="30"/>
  <c r="X28" i="30"/>
  <c r="W28" i="30"/>
  <c r="V28" i="30"/>
  <c r="U28" i="30"/>
  <c r="T28" i="30"/>
  <c r="S28" i="30"/>
  <c r="R28" i="30"/>
  <c r="Q28" i="30"/>
  <c r="P28" i="30"/>
  <c r="O28" i="30"/>
  <c r="N28" i="30"/>
  <c r="M28" i="30"/>
  <c r="L28" i="30"/>
  <c r="K28" i="30"/>
  <c r="J28" i="30"/>
  <c r="I28" i="30"/>
  <c r="H28" i="30"/>
  <c r="G28" i="30"/>
  <c r="F28" i="30"/>
  <c r="E28" i="30"/>
  <c r="D28" i="30"/>
  <c r="DA27" i="30"/>
  <c r="CZ27" i="30"/>
  <c r="CY27" i="30"/>
  <c r="CX27" i="30"/>
  <c r="CW27" i="30"/>
  <c r="CV27" i="30"/>
  <c r="CU27" i="30"/>
  <c r="CT27" i="30"/>
  <c r="CS27" i="30"/>
  <c r="CR27" i="30"/>
  <c r="CP27" i="30"/>
  <c r="CN27" i="30"/>
  <c r="CM27" i="30"/>
  <c r="CL27" i="30"/>
  <c r="CK27" i="30"/>
  <c r="CJ27" i="30"/>
  <c r="CI27" i="30"/>
  <c r="CH27" i="30"/>
  <c r="CG27" i="30"/>
  <c r="CF27" i="30"/>
  <c r="CE27" i="30"/>
  <c r="CD27" i="30"/>
  <c r="CB27" i="30"/>
  <c r="BZ27" i="30"/>
  <c r="BY27" i="30"/>
  <c r="BX27" i="30"/>
  <c r="BW27" i="30"/>
  <c r="BV27" i="30"/>
  <c r="BU27" i="30"/>
  <c r="BT27" i="30"/>
  <c r="BS27" i="30"/>
  <c r="BR27" i="30"/>
  <c r="BQ27" i="30"/>
  <c r="BP27" i="30"/>
  <c r="BN27" i="30"/>
  <c r="BL27" i="30"/>
  <c r="BK27" i="30"/>
  <c r="BJ27" i="30"/>
  <c r="BI27" i="30"/>
  <c r="BH27" i="30"/>
  <c r="BG27" i="30"/>
  <c r="BF27" i="30"/>
  <c r="BE27" i="30"/>
  <c r="BD27" i="30"/>
  <c r="BC27" i="30"/>
  <c r="BB27" i="30"/>
  <c r="BA27" i="30"/>
  <c r="AZ27" i="30"/>
  <c r="AY27" i="30"/>
  <c r="AX27" i="30"/>
  <c r="AW27" i="30"/>
  <c r="AV27" i="30"/>
  <c r="AU27" i="30"/>
  <c r="AT27" i="30"/>
  <c r="AS27" i="30"/>
  <c r="AR27" i="30"/>
  <c r="AQ27" i="30"/>
  <c r="AP27" i="30"/>
  <c r="AO27" i="30"/>
  <c r="AN27" i="30"/>
  <c r="AM27" i="30"/>
  <c r="AL27" i="30"/>
  <c r="AK27" i="30"/>
  <c r="AJ27" i="30"/>
  <c r="AI27" i="30"/>
  <c r="AH27" i="30"/>
  <c r="AG27" i="30"/>
  <c r="AF27" i="30"/>
  <c r="AE27" i="30"/>
  <c r="AD27" i="30"/>
  <c r="AC27" i="30"/>
  <c r="AB27" i="30"/>
  <c r="AA27" i="30"/>
  <c r="Z27" i="30"/>
  <c r="Y27" i="30"/>
  <c r="X27" i="30"/>
  <c r="W27" i="30"/>
  <c r="V27" i="30"/>
  <c r="U27" i="30"/>
  <c r="T27" i="30"/>
  <c r="S27" i="30"/>
  <c r="R27" i="30"/>
  <c r="Q27" i="30"/>
  <c r="P27" i="30"/>
  <c r="O27" i="30"/>
  <c r="N27" i="30"/>
  <c r="M27" i="30"/>
  <c r="L27" i="30"/>
  <c r="K27" i="30"/>
  <c r="J27" i="30"/>
  <c r="I27" i="30"/>
  <c r="H27" i="30"/>
  <c r="G27" i="30"/>
  <c r="F27" i="30"/>
  <c r="E27" i="30"/>
  <c r="D27" i="30"/>
  <c r="DA26" i="30"/>
  <c r="CZ26" i="30"/>
  <c r="CY26" i="30"/>
  <c r="CX26" i="30"/>
  <c r="CW26" i="30"/>
  <c r="CV26" i="30"/>
  <c r="CU26" i="30"/>
  <c r="CT26" i="30"/>
  <c r="CS26" i="30"/>
  <c r="CR26" i="30"/>
  <c r="CP26" i="30"/>
  <c r="CN26" i="30"/>
  <c r="CM26" i="30"/>
  <c r="CL26" i="30"/>
  <c r="CK26" i="30"/>
  <c r="CJ26" i="30"/>
  <c r="CI26" i="30"/>
  <c r="CH26" i="30"/>
  <c r="CG26" i="30"/>
  <c r="CF26" i="30"/>
  <c r="CE26" i="30"/>
  <c r="CD26" i="30"/>
  <c r="CB26" i="30"/>
  <c r="BZ26" i="30"/>
  <c r="BY26" i="30"/>
  <c r="BX26" i="30"/>
  <c r="BW26" i="30"/>
  <c r="BV26" i="30"/>
  <c r="BU26" i="30"/>
  <c r="BT26" i="30"/>
  <c r="BS26" i="30"/>
  <c r="BR26" i="30"/>
  <c r="BQ26" i="30"/>
  <c r="BP26" i="30"/>
  <c r="BN26" i="30"/>
  <c r="BL26" i="30"/>
  <c r="BK26" i="30"/>
  <c r="BJ26" i="30"/>
  <c r="BI26" i="30"/>
  <c r="BH26" i="30"/>
  <c r="BG26" i="30"/>
  <c r="BF26" i="30"/>
  <c r="BE26" i="30"/>
  <c r="BD26" i="30"/>
  <c r="BC26" i="30"/>
  <c r="BB26" i="30"/>
  <c r="BA26" i="30"/>
  <c r="AZ26" i="30"/>
  <c r="AY26" i="30"/>
  <c r="AX26" i="30"/>
  <c r="AW26" i="30"/>
  <c r="AV26" i="30"/>
  <c r="AU26" i="30"/>
  <c r="AT26" i="30"/>
  <c r="AS26" i="30"/>
  <c r="AR26" i="30"/>
  <c r="AQ26" i="30"/>
  <c r="AP26" i="30"/>
  <c r="AO26" i="30"/>
  <c r="AN26" i="30"/>
  <c r="AM26" i="30"/>
  <c r="AL26" i="30"/>
  <c r="AK26" i="30"/>
  <c r="AJ26" i="30"/>
  <c r="AI26" i="30"/>
  <c r="AH26" i="30"/>
  <c r="AG26" i="30"/>
  <c r="AF26" i="30"/>
  <c r="AE26" i="30"/>
  <c r="AD26" i="30"/>
  <c r="AC26" i="30"/>
  <c r="AB26" i="30"/>
  <c r="AA26" i="30"/>
  <c r="Z26" i="30"/>
  <c r="Y26" i="30"/>
  <c r="X26" i="30"/>
  <c r="W26" i="30"/>
  <c r="V26" i="30"/>
  <c r="U26" i="30"/>
  <c r="T26" i="30"/>
  <c r="S26" i="30"/>
  <c r="R26" i="30"/>
  <c r="Q26" i="30"/>
  <c r="P26" i="30"/>
  <c r="O26" i="30"/>
  <c r="N26" i="30"/>
  <c r="M26" i="30"/>
  <c r="L26" i="30"/>
  <c r="K26" i="30"/>
  <c r="J26" i="30"/>
  <c r="I26" i="30"/>
  <c r="H26" i="30"/>
  <c r="G26" i="30"/>
  <c r="F26" i="30"/>
  <c r="E26" i="30"/>
  <c r="D26" i="30"/>
  <c r="DA25" i="30"/>
  <c r="CZ25" i="30"/>
  <c r="CY25" i="30"/>
  <c r="CX25" i="30"/>
  <c r="CW25" i="30"/>
  <c r="CV25" i="30"/>
  <c r="CU25" i="30"/>
  <c r="CT25" i="30"/>
  <c r="CS25" i="30"/>
  <c r="CR25" i="30"/>
  <c r="CP25" i="30"/>
  <c r="CN25" i="30"/>
  <c r="CM25" i="30"/>
  <c r="CL25" i="30"/>
  <c r="CK25" i="30"/>
  <c r="CJ25" i="30"/>
  <c r="CI25" i="30"/>
  <c r="CH25" i="30"/>
  <c r="CG25" i="30"/>
  <c r="CF25" i="30"/>
  <c r="CE25" i="30"/>
  <c r="CD25" i="30"/>
  <c r="CB25" i="30"/>
  <c r="BZ25" i="30"/>
  <c r="BY25" i="30"/>
  <c r="BX25" i="30"/>
  <c r="BW25" i="30"/>
  <c r="BV25" i="30"/>
  <c r="BU25" i="30"/>
  <c r="BT25" i="30"/>
  <c r="BS25" i="30"/>
  <c r="BR25" i="30"/>
  <c r="BQ25" i="30"/>
  <c r="BP25" i="30"/>
  <c r="BN25" i="30"/>
  <c r="BL25" i="30"/>
  <c r="BK25" i="30"/>
  <c r="BJ25" i="30"/>
  <c r="BI25" i="30"/>
  <c r="BH25" i="30"/>
  <c r="BG25" i="30"/>
  <c r="BF25" i="30"/>
  <c r="BE25" i="30"/>
  <c r="BD25" i="30"/>
  <c r="BC25" i="30"/>
  <c r="BB25" i="30"/>
  <c r="BA25" i="30"/>
  <c r="AZ25" i="30"/>
  <c r="AY25" i="30"/>
  <c r="AX25" i="30"/>
  <c r="AW25" i="30"/>
  <c r="AV25" i="30"/>
  <c r="AU25" i="30"/>
  <c r="AT25" i="30"/>
  <c r="AS25" i="30"/>
  <c r="AR25" i="30"/>
  <c r="AQ25" i="30"/>
  <c r="AP25" i="30"/>
  <c r="AO25" i="30"/>
  <c r="AN25" i="30"/>
  <c r="AM25" i="30"/>
  <c r="AL25" i="30"/>
  <c r="AK25" i="30"/>
  <c r="AJ25" i="30"/>
  <c r="AI25" i="30"/>
  <c r="AH25" i="30"/>
  <c r="AG25" i="30"/>
  <c r="AF25" i="30"/>
  <c r="AE25" i="30"/>
  <c r="AD25" i="30"/>
  <c r="AC25" i="30"/>
  <c r="AB25" i="30"/>
  <c r="AA25" i="30"/>
  <c r="Z25" i="30"/>
  <c r="Y25" i="30"/>
  <c r="X25" i="30"/>
  <c r="W25" i="30"/>
  <c r="V25" i="30"/>
  <c r="U25" i="30"/>
  <c r="T25" i="30"/>
  <c r="S25" i="30"/>
  <c r="R25" i="30"/>
  <c r="Q25" i="30"/>
  <c r="P25" i="30"/>
  <c r="O25" i="30"/>
  <c r="N25" i="30"/>
  <c r="M25" i="30"/>
  <c r="L25" i="30"/>
  <c r="K25" i="30"/>
  <c r="J25" i="30"/>
  <c r="I25" i="30"/>
  <c r="H25" i="30"/>
  <c r="G25" i="30"/>
  <c r="F25" i="30"/>
  <c r="E25" i="30"/>
  <c r="D25" i="30"/>
  <c r="DA24" i="30"/>
  <c r="CZ24" i="30"/>
  <c r="CY24" i="30"/>
  <c r="CX24" i="30"/>
  <c r="CW24" i="30"/>
  <c r="CV24" i="30"/>
  <c r="CU24" i="30"/>
  <c r="CT24" i="30"/>
  <c r="CS24" i="30"/>
  <c r="CR24" i="30"/>
  <c r="CP24" i="30"/>
  <c r="CN24" i="30"/>
  <c r="CM24" i="30"/>
  <c r="CL24" i="30"/>
  <c r="CK24" i="30"/>
  <c r="CJ24" i="30"/>
  <c r="CI24" i="30"/>
  <c r="CH24" i="30"/>
  <c r="CG24" i="30"/>
  <c r="CF24" i="30"/>
  <c r="CE24" i="30"/>
  <c r="CD24" i="30"/>
  <c r="CB24" i="30"/>
  <c r="BZ24" i="30"/>
  <c r="BY24" i="30"/>
  <c r="BX24" i="30"/>
  <c r="BW24" i="30"/>
  <c r="BV24" i="30"/>
  <c r="BU24" i="30"/>
  <c r="BT24" i="30"/>
  <c r="BS24" i="30"/>
  <c r="BR24" i="30"/>
  <c r="BQ24" i="30"/>
  <c r="BP24" i="30"/>
  <c r="BN24" i="30"/>
  <c r="BL24" i="30"/>
  <c r="BK24" i="30"/>
  <c r="BJ24" i="30"/>
  <c r="BI24" i="30"/>
  <c r="BH24" i="30"/>
  <c r="BG24" i="30"/>
  <c r="BF24" i="30"/>
  <c r="BE24" i="30"/>
  <c r="BD24" i="30"/>
  <c r="BC24" i="30"/>
  <c r="BB24" i="30"/>
  <c r="BA24" i="30"/>
  <c r="AZ24" i="30"/>
  <c r="AY24" i="30"/>
  <c r="AX24" i="30"/>
  <c r="AW24" i="30"/>
  <c r="AV24" i="30"/>
  <c r="AU24" i="30"/>
  <c r="AT24" i="30"/>
  <c r="AS24" i="30"/>
  <c r="AR24" i="30"/>
  <c r="AQ24" i="30"/>
  <c r="AP24" i="30"/>
  <c r="AO24" i="30"/>
  <c r="AN24" i="30"/>
  <c r="AM24" i="30"/>
  <c r="AL24" i="30"/>
  <c r="AK24" i="30"/>
  <c r="AJ24" i="30"/>
  <c r="AI24" i="30"/>
  <c r="AH24" i="30"/>
  <c r="AG24" i="30"/>
  <c r="AF24" i="30"/>
  <c r="AE24" i="30"/>
  <c r="AD24" i="30"/>
  <c r="AC24" i="30"/>
  <c r="AB24" i="30"/>
  <c r="AA24" i="30"/>
  <c r="Z24" i="30"/>
  <c r="Y24" i="30"/>
  <c r="X24" i="30"/>
  <c r="W24" i="30"/>
  <c r="V24" i="30"/>
  <c r="U24" i="30"/>
  <c r="T24" i="30"/>
  <c r="S24" i="30"/>
  <c r="R24" i="30"/>
  <c r="Q24" i="30"/>
  <c r="P24" i="30"/>
  <c r="O24" i="30"/>
  <c r="N24" i="30"/>
  <c r="M24" i="30"/>
  <c r="L24" i="30"/>
  <c r="K24" i="30"/>
  <c r="J24" i="30"/>
  <c r="I24" i="30"/>
  <c r="H24" i="30"/>
  <c r="G24" i="30"/>
  <c r="F24" i="30"/>
  <c r="E24" i="30"/>
  <c r="D24" i="30"/>
  <c r="DA23" i="30"/>
  <c r="CZ23" i="30"/>
  <c r="CY23" i="30"/>
  <c r="CX23" i="30"/>
  <c r="CW23" i="30"/>
  <c r="CV23" i="30"/>
  <c r="CU23" i="30"/>
  <c r="CT23" i="30"/>
  <c r="CS23" i="30"/>
  <c r="CR23" i="30"/>
  <c r="CP23" i="30"/>
  <c r="CN23" i="30"/>
  <c r="CM23" i="30"/>
  <c r="CL23" i="30"/>
  <c r="CK23" i="30"/>
  <c r="CJ23" i="30"/>
  <c r="CI23" i="30"/>
  <c r="CH23" i="30"/>
  <c r="CG23" i="30"/>
  <c r="CF23" i="30"/>
  <c r="CE23" i="30"/>
  <c r="CD23" i="30"/>
  <c r="CB23" i="30"/>
  <c r="BZ23" i="30"/>
  <c r="BY23" i="30"/>
  <c r="BX23" i="30"/>
  <c r="BW23" i="30"/>
  <c r="BV23" i="30"/>
  <c r="BU23" i="30"/>
  <c r="BT23" i="30"/>
  <c r="BS23" i="30"/>
  <c r="BR23" i="30"/>
  <c r="BQ23" i="30"/>
  <c r="BP23" i="30"/>
  <c r="BN23" i="30"/>
  <c r="BL23" i="30"/>
  <c r="BK23" i="30"/>
  <c r="BJ23" i="30"/>
  <c r="BI23" i="30"/>
  <c r="BH23" i="30"/>
  <c r="BG23" i="30"/>
  <c r="BF23" i="30"/>
  <c r="BE23" i="30"/>
  <c r="BD23" i="30"/>
  <c r="BC23" i="30"/>
  <c r="BB23" i="30"/>
  <c r="BA23" i="30"/>
  <c r="AZ23" i="30"/>
  <c r="AY23" i="30"/>
  <c r="AX23" i="30"/>
  <c r="AW23" i="30"/>
  <c r="AV23" i="30"/>
  <c r="AU23" i="30"/>
  <c r="AT23" i="30"/>
  <c r="AS23" i="30"/>
  <c r="AR23" i="30"/>
  <c r="AQ23" i="30"/>
  <c r="AP23" i="30"/>
  <c r="AO23" i="30"/>
  <c r="AN23" i="30"/>
  <c r="AM23" i="30"/>
  <c r="AL23" i="30"/>
  <c r="AK23" i="30"/>
  <c r="AJ23" i="30"/>
  <c r="AI23" i="30"/>
  <c r="AH23" i="30"/>
  <c r="AG23" i="30"/>
  <c r="AF23" i="30"/>
  <c r="AE23" i="30"/>
  <c r="AD23" i="30"/>
  <c r="AC23" i="30"/>
  <c r="AB23" i="30"/>
  <c r="AA23" i="30"/>
  <c r="Z23" i="30"/>
  <c r="Y23" i="30"/>
  <c r="X23" i="30"/>
  <c r="W23" i="30"/>
  <c r="V23" i="30"/>
  <c r="U23" i="30"/>
  <c r="T23" i="30"/>
  <c r="S23" i="30"/>
  <c r="R23" i="30"/>
  <c r="Q23" i="30"/>
  <c r="P23" i="30"/>
  <c r="O23" i="30"/>
  <c r="N23" i="30"/>
  <c r="M23" i="30"/>
  <c r="L23" i="30"/>
  <c r="K23" i="30"/>
  <c r="J23" i="30"/>
  <c r="I23" i="30"/>
  <c r="H23" i="30"/>
  <c r="G23" i="30"/>
  <c r="F23" i="30"/>
  <c r="E23" i="30"/>
  <c r="D23" i="30"/>
  <c r="DA22" i="30"/>
  <c r="CZ22" i="30"/>
  <c r="CY22" i="30"/>
  <c r="CX22" i="30"/>
  <c r="CW22" i="30"/>
  <c r="CV22" i="30"/>
  <c r="CU22" i="30"/>
  <c r="CT22" i="30"/>
  <c r="CS22" i="30"/>
  <c r="CR22" i="30"/>
  <c r="CP22" i="30"/>
  <c r="CN22" i="30"/>
  <c r="CM22" i="30"/>
  <c r="CL22" i="30"/>
  <c r="CK22" i="30"/>
  <c r="CJ22" i="30"/>
  <c r="CI22" i="30"/>
  <c r="CH22" i="30"/>
  <c r="CG22" i="30"/>
  <c r="CF22" i="30"/>
  <c r="CE22" i="30"/>
  <c r="CD22" i="30"/>
  <c r="CB22" i="30"/>
  <c r="BZ22" i="30"/>
  <c r="BY22" i="30"/>
  <c r="BX22" i="30"/>
  <c r="BW22" i="30"/>
  <c r="BV22" i="30"/>
  <c r="BU22" i="30"/>
  <c r="BT22" i="30"/>
  <c r="BS22" i="30"/>
  <c r="BR22" i="30"/>
  <c r="BQ22" i="30"/>
  <c r="BP22" i="30"/>
  <c r="BN22" i="30"/>
  <c r="BL22" i="30"/>
  <c r="BK22" i="30"/>
  <c r="BJ22" i="30"/>
  <c r="BI22" i="30"/>
  <c r="BH22" i="30"/>
  <c r="BG22" i="30"/>
  <c r="BF22" i="30"/>
  <c r="BE22" i="30"/>
  <c r="BD22" i="30"/>
  <c r="BC22" i="30"/>
  <c r="BB22" i="30"/>
  <c r="BA22" i="30"/>
  <c r="AZ22" i="30"/>
  <c r="AY22" i="30"/>
  <c r="AX22" i="30"/>
  <c r="AW22" i="30"/>
  <c r="AV22" i="30"/>
  <c r="AU22" i="30"/>
  <c r="AT22" i="30"/>
  <c r="AS22" i="30"/>
  <c r="AR22" i="30"/>
  <c r="AQ22" i="30"/>
  <c r="AP22" i="30"/>
  <c r="AO22" i="30"/>
  <c r="AN22" i="30"/>
  <c r="AM22" i="30"/>
  <c r="AL22" i="30"/>
  <c r="AK22" i="30"/>
  <c r="AJ22" i="30"/>
  <c r="AI22" i="30"/>
  <c r="AH22" i="30"/>
  <c r="AG22" i="30"/>
  <c r="AF22" i="30"/>
  <c r="AE22" i="30"/>
  <c r="AD22" i="30"/>
  <c r="AC22" i="30"/>
  <c r="AB22" i="30"/>
  <c r="AA22" i="30"/>
  <c r="Z22" i="30"/>
  <c r="Y22" i="30"/>
  <c r="X22" i="30"/>
  <c r="W22" i="30"/>
  <c r="V22" i="30"/>
  <c r="U22" i="30"/>
  <c r="T22" i="30"/>
  <c r="S22" i="30"/>
  <c r="R22" i="30"/>
  <c r="Q22" i="30"/>
  <c r="P22" i="30"/>
  <c r="O22" i="30"/>
  <c r="N22" i="30"/>
  <c r="M22" i="30"/>
  <c r="L22" i="30"/>
  <c r="K22" i="30"/>
  <c r="J22" i="30"/>
  <c r="I22" i="30"/>
  <c r="H22" i="30"/>
  <c r="G22" i="30"/>
  <c r="F22" i="30"/>
  <c r="E22" i="30"/>
  <c r="D22" i="30"/>
  <c r="DA21" i="30"/>
  <c r="CZ21" i="30"/>
  <c r="CY21" i="30"/>
  <c r="CX21" i="30"/>
  <c r="CW21" i="30"/>
  <c r="CV21" i="30"/>
  <c r="CU21" i="30"/>
  <c r="CT21" i="30"/>
  <c r="CS21" i="30"/>
  <c r="CR21" i="30"/>
  <c r="CP21" i="30"/>
  <c r="CN21" i="30"/>
  <c r="CM21" i="30"/>
  <c r="CL21" i="30"/>
  <c r="CK21" i="30"/>
  <c r="CJ21" i="30"/>
  <c r="CI21" i="30"/>
  <c r="CH21" i="30"/>
  <c r="CG21" i="30"/>
  <c r="CF21" i="30"/>
  <c r="CE21" i="30"/>
  <c r="CD21" i="30"/>
  <c r="CB21" i="30"/>
  <c r="BZ21" i="30"/>
  <c r="BY21" i="30"/>
  <c r="BX21" i="30"/>
  <c r="BW21" i="30"/>
  <c r="BV21" i="30"/>
  <c r="BU21" i="30"/>
  <c r="BT21" i="30"/>
  <c r="BS21" i="30"/>
  <c r="BR21" i="30"/>
  <c r="BQ21" i="30"/>
  <c r="BP21" i="30"/>
  <c r="BN21" i="30"/>
  <c r="BL21" i="30"/>
  <c r="BK21" i="30"/>
  <c r="BJ21" i="30"/>
  <c r="BI21" i="30"/>
  <c r="BH21" i="30"/>
  <c r="BG21" i="30"/>
  <c r="BF21" i="30"/>
  <c r="BE21" i="30"/>
  <c r="BD21" i="30"/>
  <c r="BC21" i="30"/>
  <c r="BB21" i="30"/>
  <c r="BA21" i="30"/>
  <c r="AZ21" i="30"/>
  <c r="AY21" i="30"/>
  <c r="AX21" i="30"/>
  <c r="AW21" i="30"/>
  <c r="AV21" i="30"/>
  <c r="AU21" i="30"/>
  <c r="AT21" i="30"/>
  <c r="AS21" i="30"/>
  <c r="AR21" i="30"/>
  <c r="AQ21" i="30"/>
  <c r="AP21" i="30"/>
  <c r="AO21" i="30"/>
  <c r="AN21" i="30"/>
  <c r="AM21" i="30"/>
  <c r="AL21" i="30"/>
  <c r="AK21" i="30"/>
  <c r="AJ21" i="30"/>
  <c r="AI21" i="30"/>
  <c r="AH21" i="30"/>
  <c r="AG21" i="30"/>
  <c r="AF21" i="30"/>
  <c r="AE21" i="30"/>
  <c r="AD21" i="30"/>
  <c r="AC21" i="30"/>
  <c r="AB21" i="30"/>
  <c r="AA21" i="30"/>
  <c r="Z21" i="30"/>
  <c r="Y21" i="30"/>
  <c r="X21" i="30"/>
  <c r="W21" i="30"/>
  <c r="V21" i="30"/>
  <c r="U21" i="30"/>
  <c r="T21" i="30"/>
  <c r="S21" i="30"/>
  <c r="R21" i="30"/>
  <c r="Q21" i="30"/>
  <c r="P21" i="30"/>
  <c r="O21" i="30"/>
  <c r="N21" i="30"/>
  <c r="M21" i="30"/>
  <c r="L21" i="30"/>
  <c r="K21" i="30"/>
  <c r="J21" i="30"/>
  <c r="I21" i="30"/>
  <c r="H21" i="30"/>
  <c r="G21" i="30"/>
  <c r="F21" i="30"/>
  <c r="E21" i="30"/>
  <c r="D21" i="30"/>
  <c r="DA20" i="30"/>
  <c r="CZ20" i="30"/>
  <c r="CY20" i="30"/>
  <c r="CX20" i="30"/>
  <c r="CW20" i="30"/>
  <c r="CV20" i="30"/>
  <c r="CU20" i="30"/>
  <c r="CT20" i="30"/>
  <c r="CS20" i="30"/>
  <c r="CR20" i="30"/>
  <c r="CP20" i="30"/>
  <c r="CN20" i="30"/>
  <c r="CM20" i="30"/>
  <c r="CL20" i="30"/>
  <c r="CK20" i="30"/>
  <c r="CJ20" i="30"/>
  <c r="CI20" i="30"/>
  <c r="CH20" i="30"/>
  <c r="CG20" i="30"/>
  <c r="CF20" i="30"/>
  <c r="CE20" i="30"/>
  <c r="CD20" i="30"/>
  <c r="CB20" i="30"/>
  <c r="BZ20" i="30"/>
  <c r="BY20" i="30"/>
  <c r="BX20" i="30"/>
  <c r="BW20" i="30"/>
  <c r="BV20" i="30"/>
  <c r="BU20" i="30"/>
  <c r="BT20" i="30"/>
  <c r="BS20" i="30"/>
  <c r="BR20" i="30"/>
  <c r="BQ20" i="30"/>
  <c r="BP20" i="30"/>
  <c r="BN20" i="30"/>
  <c r="BL20" i="30"/>
  <c r="BK20" i="30"/>
  <c r="BJ20" i="30"/>
  <c r="BI20" i="30"/>
  <c r="BH20" i="30"/>
  <c r="BG20" i="30"/>
  <c r="BF20" i="30"/>
  <c r="BE20" i="30"/>
  <c r="BD20" i="30"/>
  <c r="BC20" i="30"/>
  <c r="BB20" i="30"/>
  <c r="BA20" i="30"/>
  <c r="AZ20" i="30"/>
  <c r="AY20" i="30"/>
  <c r="AX20" i="30"/>
  <c r="AW20" i="30"/>
  <c r="AV20" i="30"/>
  <c r="AU20" i="30"/>
  <c r="AT20" i="30"/>
  <c r="AS20" i="30"/>
  <c r="AR20" i="30"/>
  <c r="AQ20" i="30"/>
  <c r="AP20" i="30"/>
  <c r="AO20" i="30"/>
  <c r="AN20" i="30"/>
  <c r="AM20" i="30"/>
  <c r="AL20" i="30"/>
  <c r="AK20" i="30"/>
  <c r="AJ20" i="30"/>
  <c r="AI20" i="30"/>
  <c r="AH20" i="30"/>
  <c r="AG20" i="30"/>
  <c r="AF20" i="30"/>
  <c r="AE20" i="30"/>
  <c r="AD20" i="30"/>
  <c r="AC20" i="30"/>
  <c r="AB20" i="30"/>
  <c r="AA20" i="30"/>
  <c r="Z20" i="30"/>
  <c r="Y20" i="30"/>
  <c r="X20" i="30"/>
  <c r="W20" i="30"/>
  <c r="V20" i="30"/>
  <c r="U20" i="30"/>
  <c r="T20" i="30"/>
  <c r="S20" i="30"/>
  <c r="R20" i="30"/>
  <c r="Q20" i="30"/>
  <c r="P20" i="30"/>
  <c r="O20" i="30"/>
  <c r="N20" i="30"/>
  <c r="M20" i="30"/>
  <c r="L20" i="30"/>
  <c r="K20" i="30"/>
  <c r="J20" i="30"/>
  <c r="I20" i="30"/>
  <c r="H20" i="30"/>
  <c r="G20" i="30"/>
  <c r="F20" i="30"/>
  <c r="E20" i="30"/>
  <c r="D20" i="30"/>
  <c r="DA19" i="30"/>
  <c r="CZ19" i="30"/>
  <c r="CY19" i="30"/>
  <c r="CX19" i="30"/>
  <c r="CW19" i="30"/>
  <c r="CV19" i="30"/>
  <c r="CU19" i="30"/>
  <c r="CT19" i="30"/>
  <c r="CS19" i="30"/>
  <c r="CR19" i="30"/>
  <c r="CP19" i="30"/>
  <c r="CN19" i="30"/>
  <c r="CM19" i="30"/>
  <c r="CL19" i="30"/>
  <c r="CK19" i="30"/>
  <c r="CJ19" i="30"/>
  <c r="CI19" i="30"/>
  <c r="CH19" i="30"/>
  <c r="CG19" i="30"/>
  <c r="CF19" i="30"/>
  <c r="CE19" i="30"/>
  <c r="CD19" i="30"/>
  <c r="CB19" i="30"/>
  <c r="BZ19" i="30"/>
  <c r="BY19" i="30"/>
  <c r="BX19" i="30"/>
  <c r="BW19" i="30"/>
  <c r="BV19" i="30"/>
  <c r="BU19" i="30"/>
  <c r="BT19" i="30"/>
  <c r="BS19" i="30"/>
  <c r="BR19" i="30"/>
  <c r="BQ19" i="30"/>
  <c r="BP19" i="30"/>
  <c r="BN19" i="30"/>
  <c r="BL19" i="30"/>
  <c r="BK19" i="30"/>
  <c r="BJ19" i="30"/>
  <c r="BI19" i="30"/>
  <c r="BH19" i="30"/>
  <c r="BG19" i="30"/>
  <c r="BF19" i="30"/>
  <c r="BE19" i="30"/>
  <c r="BD19" i="30"/>
  <c r="BC19" i="30"/>
  <c r="BB19" i="30"/>
  <c r="BA19" i="30"/>
  <c r="AZ19" i="30"/>
  <c r="AY19" i="30"/>
  <c r="AX19" i="30"/>
  <c r="AW19" i="30"/>
  <c r="AV19" i="30"/>
  <c r="AU19" i="30"/>
  <c r="AT19" i="30"/>
  <c r="AS19" i="30"/>
  <c r="AR19" i="30"/>
  <c r="AQ19" i="30"/>
  <c r="AP19" i="30"/>
  <c r="AO19" i="30"/>
  <c r="AN19" i="30"/>
  <c r="AM19" i="30"/>
  <c r="AL19" i="30"/>
  <c r="AK19" i="30"/>
  <c r="AJ19" i="30"/>
  <c r="AI19" i="30"/>
  <c r="AH19" i="30"/>
  <c r="AG19" i="30"/>
  <c r="AF19" i="30"/>
  <c r="AE19" i="30"/>
  <c r="AD19" i="30"/>
  <c r="AC19" i="30"/>
  <c r="AB19" i="30"/>
  <c r="AA19" i="30"/>
  <c r="Z19" i="30"/>
  <c r="Y19" i="30"/>
  <c r="X19" i="30"/>
  <c r="W19" i="30"/>
  <c r="V19" i="30"/>
  <c r="U19" i="30"/>
  <c r="T19" i="30"/>
  <c r="S19" i="30"/>
  <c r="R19" i="30"/>
  <c r="Q19" i="30"/>
  <c r="P19" i="30"/>
  <c r="O19" i="30"/>
  <c r="N19" i="30"/>
  <c r="M19" i="30"/>
  <c r="L19" i="30"/>
  <c r="K19" i="30"/>
  <c r="J19" i="30"/>
  <c r="I19" i="30"/>
  <c r="H19" i="30"/>
  <c r="G19" i="30"/>
  <c r="F19" i="30"/>
  <c r="E19" i="30"/>
  <c r="D19" i="30"/>
  <c r="DA18" i="30"/>
  <c r="CZ18" i="30"/>
  <c r="CY18" i="30"/>
  <c r="CX18" i="30"/>
  <c r="CW18" i="30"/>
  <c r="CV18" i="30"/>
  <c r="CU18" i="30"/>
  <c r="CT18" i="30"/>
  <c r="CS18" i="30"/>
  <c r="CR18" i="30"/>
  <c r="CP18" i="30"/>
  <c r="CN18" i="30"/>
  <c r="CM18" i="30"/>
  <c r="CL18" i="30"/>
  <c r="CK18" i="30"/>
  <c r="CJ18" i="30"/>
  <c r="CI18" i="30"/>
  <c r="CH18" i="30"/>
  <c r="CG18" i="30"/>
  <c r="CF18" i="30"/>
  <c r="CE18" i="30"/>
  <c r="CD18" i="30"/>
  <c r="CB18" i="30"/>
  <c r="BZ18" i="30"/>
  <c r="BY18" i="30"/>
  <c r="BX18" i="30"/>
  <c r="BW18" i="30"/>
  <c r="BV18" i="30"/>
  <c r="BU18" i="30"/>
  <c r="BT18" i="30"/>
  <c r="BS18" i="30"/>
  <c r="BR18" i="30"/>
  <c r="BQ18" i="30"/>
  <c r="BP18" i="30"/>
  <c r="BN18" i="30"/>
  <c r="BL18" i="30"/>
  <c r="BK18" i="30"/>
  <c r="BJ18" i="30"/>
  <c r="BI18" i="30"/>
  <c r="BH18" i="30"/>
  <c r="BG18" i="30"/>
  <c r="BF18" i="30"/>
  <c r="BE18" i="30"/>
  <c r="BD18" i="30"/>
  <c r="BC18" i="30"/>
  <c r="BB18" i="30"/>
  <c r="BA18" i="30"/>
  <c r="AZ18" i="30"/>
  <c r="AY18" i="30"/>
  <c r="AX18" i="30"/>
  <c r="AW18" i="30"/>
  <c r="AV18" i="30"/>
  <c r="AU18" i="30"/>
  <c r="AT18" i="30"/>
  <c r="AS18" i="30"/>
  <c r="AR18" i="30"/>
  <c r="AQ18" i="30"/>
  <c r="AP18" i="30"/>
  <c r="AO18" i="30"/>
  <c r="AN18" i="30"/>
  <c r="AM18" i="30"/>
  <c r="AL18" i="30"/>
  <c r="AK18" i="30"/>
  <c r="AJ18" i="30"/>
  <c r="AI18" i="30"/>
  <c r="AH18" i="30"/>
  <c r="AG18" i="30"/>
  <c r="AF18" i="30"/>
  <c r="AE18" i="30"/>
  <c r="AD18" i="30"/>
  <c r="AC18" i="30"/>
  <c r="AB18" i="30"/>
  <c r="AA18" i="30"/>
  <c r="Z18" i="30"/>
  <c r="Y18" i="30"/>
  <c r="X18" i="30"/>
  <c r="W18" i="30"/>
  <c r="V18" i="30"/>
  <c r="U18" i="30"/>
  <c r="T18" i="30"/>
  <c r="S18" i="30"/>
  <c r="R18" i="30"/>
  <c r="Q18" i="30"/>
  <c r="P18" i="30"/>
  <c r="O18" i="30"/>
  <c r="N18" i="30"/>
  <c r="M18" i="30"/>
  <c r="L18" i="30"/>
  <c r="K18" i="30"/>
  <c r="J18" i="30"/>
  <c r="I18" i="30"/>
  <c r="H18" i="30"/>
  <c r="G18" i="30"/>
  <c r="F18" i="30"/>
  <c r="E18" i="30"/>
  <c r="D18" i="30"/>
  <c r="CM14" i="30"/>
  <c r="CL14" i="30"/>
  <c r="CK14" i="30"/>
  <c r="CJ14" i="30"/>
  <c r="CI14" i="30"/>
  <c r="CH14" i="30"/>
  <c r="BY14" i="30"/>
  <c r="BX14" i="30"/>
  <c r="BW14" i="30"/>
  <c r="BV14" i="30"/>
  <c r="BU14" i="30"/>
  <c r="BT14" i="30"/>
  <c r="BK14" i="30"/>
  <c r="BJ14" i="30"/>
  <c r="BI14" i="30"/>
  <c r="BH14" i="30"/>
  <c r="BG14" i="30"/>
  <c r="BF14" i="30"/>
  <c r="AY14" i="30"/>
  <c r="AX14" i="30"/>
  <c r="AW14" i="30"/>
  <c r="AV14" i="30"/>
  <c r="AU14" i="30"/>
  <c r="AT14" i="30"/>
  <c r="AM14" i="30"/>
  <c r="AL14" i="30"/>
  <c r="AK14" i="30"/>
  <c r="AJ14" i="30"/>
  <c r="AI14" i="30"/>
  <c r="AH14" i="30"/>
  <c r="AA14" i="30"/>
  <c r="Z14" i="30"/>
  <c r="Y14" i="30"/>
  <c r="X14" i="30"/>
  <c r="W14" i="30"/>
  <c r="V14" i="30"/>
  <c r="O14" i="30"/>
  <c r="N14" i="30"/>
  <c r="M14" i="30"/>
  <c r="L14" i="30"/>
  <c r="K14" i="30"/>
  <c r="J14" i="30"/>
  <c r="CM13" i="30"/>
  <c r="CL13" i="30"/>
  <c r="CK13" i="30"/>
  <c r="CJ13" i="30"/>
  <c r="CI13" i="30"/>
  <c r="CH13" i="30"/>
  <c r="BY13" i="30"/>
  <c r="BX13" i="30"/>
  <c r="BW13" i="30"/>
  <c r="BV13" i="30"/>
  <c r="BU13" i="30"/>
  <c r="BT13" i="30"/>
  <c r="BK13" i="30"/>
  <c r="BJ13" i="30"/>
  <c r="BI13" i="30"/>
  <c r="BH13" i="30"/>
  <c r="BG13" i="30"/>
  <c r="BF13" i="30"/>
  <c r="AY13" i="30"/>
  <c r="AX13" i="30"/>
  <c r="AW13" i="30"/>
  <c r="AV13" i="30"/>
  <c r="AU13" i="30"/>
  <c r="AT13" i="30"/>
  <c r="AM13" i="30"/>
  <c r="AL13" i="30"/>
  <c r="AK13" i="30"/>
  <c r="AJ13" i="30"/>
  <c r="AI13" i="30"/>
  <c r="AH13" i="30"/>
  <c r="AA13" i="30"/>
  <c r="Z13" i="30"/>
  <c r="Y13" i="30"/>
  <c r="X13" i="30"/>
  <c r="W13" i="30"/>
  <c r="V13" i="30"/>
  <c r="O13" i="30"/>
  <c r="N13" i="30"/>
  <c r="M13" i="30"/>
  <c r="L13" i="30"/>
  <c r="K13" i="30"/>
  <c r="J13" i="30"/>
  <c r="CM12" i="30"/>
  <c r="CL12" i="30"/>
  <c r="CK12" i="30"/>
  <c r="CJ12" i="30"/>
  <c r="CI12" i="30"/>
  <c r="CH12" i="30"/>
  <c r="BY12" i="30"/>
  <c r="BX12" i="30"/>
  <c r="BW12" i="30"/>
  <c r="BV12" i="30"/>
  <c r="BU12" i="30"/>
  <c r="BT12" i="30"/>
  <c r="BK12" i="30"/>
  <c r="BJ12" i="30"/>
  <c r="BI12" i="30"/>
  <c r="BH12" i="30"/>
  <c r="BG12" i="30"/>
  <c r="BF12" i="30"/>
  <c r="AY12" i="30"/>
  <c r="AX12" i="30"/>
  <c r="AW12" i="30"/>
  <c r="AV12" i="30"/>
  <c r="AU12" i="30"/>
  <c r="AT12" i="30"/>
  <c r="AM12" i="30"/>
  <c r="AL12" i="30"/>
  <c r="AK12" i="30"/>
  <c r="AJ12" i="30"/>
  <c r="AI12" i="30"/>
  <c r="AH12" i="30"/>
  <c r="AA12" i="30"/>
  <c r="Z12" i="30"/>
  <c r="Y12" i="30"/>
  <c r="X12" i="30"/>
  <c r="W12" i="30"/>
  <c r="V12" i="30"/>
  <c r="O12" i="30"/>
  <c r="N12" i="30"/>
  <c r="M12" i="30"/>
  <c r="L12" i="30"/>
  <c r="K12" i="30"/>
  <c r="J12" i="30"/>
  <c r="AL260" i="23"/>
  <c r="AK260" i="23"/>
  <c r="AJ260" i="23"/>
  <c r="AI260" i="23"/>
  <c r="AH260" i="23"/>
  <c r="AG260" i="23"/>
  <c r="AF260" i="23"/>
  <c r="AE260" i="23"/>
  <c r="AD260" i="23"/>
  <c r="AC260" i="23"/>
  <c r="AB260" i="23"/>
  <c r="AA260" i="23"/>
  <c r="Z260" i="23"/>
  <c r="Y260" i="23"/>
  <c r="X260" i="23"/>
  <c r="W260" i="23"/>
  <c r="V260" i="23"/>
  <c r="U260" i="23"/>
  <c r="T260" i="23"/>
  <c r="S260" i="23"/>
  <c r="R260" i="23"/>
  <c r="Q260" i="23"/>
  <c r="P260" i="23"/>
  <c r="O260" i="23"/>
  <c r="N260" i="23"/>
  <c r="M260" i="23"/>
  <c r="L260" i="23"/>
  <c r="K260" i="23"/>
  <c r="J260" i="23"/>
  <c r="I260" i="23"/>
  <c r="H260" i="23"/>
  <c r="G260" i="23"/>
  <c r="F260" i="23"/>
  <c r="E260" i="23"/>
  <c r="D260" i="23"/>
  <c r="C260" i="23"/>
  <c r="AL259" i="23"/>
  <c r="AK259" i="23"/>
  <c r="AJ259" i="23"/>
  <c r="AI259" i="23"/>
  <c r="AH259" i="23"/>
  <c r="AG259" i="23"/>
  <c r="AF259" i="23"/>
  <c r="AE259" i="23"/>
  <c r="AD259" i="23"/>
  <c r="AC259" i="23"/>
  <c r="AB259" i="23"/>
  <c r="AA259" i="23"/>
  <c r="Z259" i="23"/>
  <c r="Y259" i="23"/>
  <c r="X259" i="23"/>
  <c r="W259" i="23"/>
  <c r="V259" i="23"/>
  <c r="U259" i="23"/>
  <c r="T259" i="23"/>
  <c r="S259" i="23"/>
  <c r="R259" i="23"/>
  <c r="Q259" i="23"/>
  <c r="P259" i="23"/>
  <c r="O259" i="23"/>
  <c r="N259" i="23"/>
  <c r="M259" i="23"/>
  <c r="L259" i="23"/>
  <c r="K259" i="23"/>
  <c r="J259" i="23"/>
  <c r="I259" i="23"/>
  <c r="H259" i="23"/>
  <c r="G259" i="23"/>
  <c r="F259" i="23"/>
  <c r="E259" i="23"/>
  <c r="D259" i="23"/>
  <c r="C259" i="23"/>
  <c r="AL258" i="23"/>
  <c r="AK258" i="23"/>
  <c r="AJ258" i="23"/>
  <c r="AI258" i="23"/>
  <c r="AH258" i="23"/>
  <c r="AG258" i="23"/>
  <c r="AF258" i="23"/>
  <c r="AE258" i="23"/>
  <c r="AD258" i="23"/>
  <c r="AC258" i="23"/>
  <c r="AB258" i="23"/>
  <c r="AA258" i="23"/>
  <c r="Z258" i="23"/>
  <c r="Y258" i="23"/>
  <c r="X258" i="23"/>
  <c r="W258" i="23"/>
  <c r="V258" i="23"/>
  <c r="U258" i="23"/>
  <c r="T258" i="23"/>
  <c r="S258" i="23"/>
  <c r="R258" i="23"/>
  <c r="Q258" i="23"/>
  <c r="P258" i="23"/>
  <c r="O258" i="23"/>
  <c r="N258" i="23"/>
  <c r="M258" i="23"/>
  <c r="L258" i="23"/>
  <c r="K258" i="23"/>
  <c r="J258" i="23"/>
  <c r="I258" i="23"/>
  <c r="H258" i="23"/>
  <c r="G258" i="23"/>
  <c r="F258" i="23"/>
  <c r="E258" i="23"/>
  <c r="D258" i="23"/>
  <c r="C258" i="23"/>
  <c r="AL257" i="23"/>
  <c r="AK257" i="23"/>
  <c r="AJ257" i="23"/>
  <c r="AI257" i="23"/>
  <c r="AH257" i="23"/>
  <c r="AG257" i="23"/>
  <c r="AF257" i="23"/>
  <c r="AE257" i="23"/>
  <c r="AD257" i="23"/>
  <c r="AC257" i="23"/>
  <c r="AB257" i="23"/>
  <c r="AA257" i="23"/>
  <c r="Z257" i="23"/>
  <c r="Y257" i="23"/>
  <c r="X257" i="23"/>
  <c r="W257" i="23"/>
  <c r="V257" i="23"/>
  <c r="U257" i="23"/>
  <c r="T257" i="23"/>
  <c r="S257" i="23"/>
  <c r="R257" i="23"/>
  <c r="Q257" i="23"/>
  <c r="P257" i="23"/>
  <c r="O257" i="23"/>
  <c r="N257" i="23"/>
  <c r="M257" i="23"/>
  <c r="L257" i="23"/>
  <c r="K257" i="23"/>
  <c r="J257" i="23"/>
  <c r="I257" i="23"/>
  <c r="H257" i="23"/>
  <c r="G257" i="23"/>
  <c r="F257" i="23"/>
  <c r="E257" i="23"/>
  <c r="D257" i="23"/>
  <c r="C257" i="23"/>
  <c r="AL256" i="23"/>
  <c r="AK256" i="23"/>
  <c r="AJ256" i="23"/>
  <c r="AI256" i="23"/>
  <c r="AH256" i="23"/>
  <c r="AG256" i="23"/>
  <c r="AF256" i="23"/>
  <c r="AE256" i="23"/>
  <c r="AD256" i="23"/>
  <c r="AC256" i="23"/>
  <c r="AB256" i="23"/>
  <c r="AA256" i="23"/>
  <c r="Z256" i="23"/>
  <c r="Y256" i="23"/>
  <c r="X256" i="23"/>
  <c r="W256" i="23"/>
  <c r="V256" i="23"/>
  <c r="U256" i="23"/>
  <c r="T256" i="23"/>
  <c r="S256" i="23"/>
  <c r="R256" i="23"/>
  <c r="Q256" i="23"/>
  <c r="P256" i="23"/>
  <c r="O256" i="23"/>
  <c r="N256" i="23"/>
  <c r="M256" i="23"/>
  <c r="L256" i="23"/>
  <c r="K256" i="23"/>
  <c r="J256" i="23"/>
  <c r="I256" i="23"/>
  <c r="H256" i="23"/>
  <c r="G256" i="23"/>
  <c r="F256" i="23"/>
  <c r="E256" i="23"/>
  <c r="D256" i="23"/>
  <c r="C256" i="23"/>
  <c r="AL255" i="23"/>
  <c r="AK255" i="23"/>
  <c r="AJ255" i="23"/>
  <c r="AI255" i="23"/>
  <c r="AH255" i="23"/>
  <c r="AG255" i="23"/>
  <c r="AF255" i="23"/>
  <c r="AE255" i="23"/>
  <c r="AD255" i="23"/>
  <c r="AC255" i="23"/>
  <c r="AB255" i="23"/>
  <c r="AA255" i="23"/>
  <c r="Z255" i="23"/>
  <c r="Y255" i="23"/>
  <c r="X255" i="23"/>
  <c r="W255" i="23"/>
  <c r="V255" i="23"/>
  <c r="U255" i="23"/>
  <c r="T255" i="23"/>
  <c r="S255" i="23"/>
  <c r="R255" i="23"/>
  <c r="Q255" i="23"/>
  <c r="P255" i="23"/>
  <c r="O255" i="23"/>
  <c r="N255" i="23"/>
  <c r="M255" i="23"/>
  <c r="L255" i="23"/>
  <c r="K255" i="23"/>
  <c r="J255" i="23"/>
  <c r="I255" i="23"/>
  <c r="H255" i="23"/>
  <c r="G255" i="23"/>
  <c r="F255" i="23"/>
  <c r="E255" i="23"/>
  <c r="D255" i="23"/>
  <c r="C255" i="23"/>
  <c r="T250" i="23"/>
  <c r="S250" i="23"/>
  <c r="R250" i="23"/>
  <c r="Q250" i="23"/>
  <c r="P250" i="23"/>
  <c r="O250" i="23"/>
  <c r="N250" i="23"/>
  <c r="M250" i="23"/>
  <c r="L250" i="23"/>
  <c r="K250" i="23"/>
  <c r="J250" i="23"/>
  <c r="I250" i="23"/>
  <c r="H250" i="23"/>
  <c r="G250" i="23"/>
  <c r="F250" i="23"/>
  <c r="E250" i="23"/>
  <c r="D250" i="23"/>
  <c r="C250" i="23"/>
  <c r="T249" i="23"/>
  <c r="S249" i="23"/>
  <c r="R249" i="23"/>
  <c r="Q249" i="23"/>
  <c r="P249" i="23"/>
  <c r="O249" i="23"/>
  <c r="N249" i="23"/>
  <c r="M249" i="23"/>
  <c r="L249" i="23"/>
  <c r="K249" i="23"/>
  <c r="J249" i="23"/>
  <c r="I249" i="23"/>
  <c r="H249" i="23"/>
  <c r="G249" i="23"/>
  <c r="F249" i="23"/>
  <c r="E249" i="23"/>
  <c r="D249" i="23"/>
  <c r="C249" i="23"/>
  <c r="T248" i="23"/>
  <c r="S248" i="23"/>
  <c r="R248" i="23"/>
  <c r="Q248" i="23"/>
  <c r="P248" i="23"/>
  <c r="O248" i="23"/>
  <c r="N248" i="23"/>
  <c r="M248" i="23"/>
  <c r="L248" i="23"/>
  <c r="K248" i="23"/>
  <c r="J248" i="23"/>
  <c r="I248" i="23"/>
  <c r="H248" i="23"/>
  <c r="G248" i="23"/>
  <c r="F248" i="23"/>
  <c r="E248" i="23"/>
  <c r="D248" i="23"/>
  <c r="C248" i="23"/>
  <c r="T247" i="23"/>
  <c r="S247" i="23"/>
  <c r="R247" i="23"/>
  <c r="Q247" i="23"/>
  <c r="P247" i="23"/>
  <c r="O247" i="23"/>
  <c r="N247" i="23"/>
  <c r="M247" i="23"/>
  <c r="L247" i="23"/>
  <c r="K247" i="23"/>
  <c r="J247" i="23"/>
  <c r="I247" i="23"/>
  <c r="H247" i="23"/>
  <c r="G247" i="23"/>
  <c r="F247" i="23"/>
  <c r="E247" i="23"/>
  <c r="D247" i="23"/>
  <c r="C247" i="23"/>
  <c r="T246" i="23"/>
  <c r="S246" i="23"/>
  <c r="R246" i="23"/>
  <c r="Q246" i="23"/>
  <c r="P246" i="23"/>
  <c r="O246" i="23"/>
  <c r="N246" i="23"/>
  <c r="M246" i="23"/>
  <c r="L246" i="23"/>
  <c r="K246" i="23"/>
  <c r="J246" i="23"/>
  <c r="I246" i="23"/>
  <c r="H246" i="23"/>
  <c r="G246" i="23"/>
  <c r="F246" i="23"/>
  <c r="E246" i="23"/>
  <c r="D246" i="23"/>
  <c r="C246" i="23"/>
  <c r="T245" i="23"/>
  <c r="S245" i="23"/>
  <c r="R245" i="23"/>
  <c r="Q245" i="23"/>
  <c r="P245" i="23"/>
  <c r="O245" i="23"/>
  <c r="N245" i="23"/>
  <c r="M245" i="23"/>
  <c r="L245" i="23"/>
  <c r="K245" i="23"/>
  <c r="J245" i="23"/>
  <c r="I245" i="23"/>
  <c r="H245" i="23"/>
  <c r="G245" i="23"/>
  <c r="F245" i="23"/>
  <c r="E245" i="23"/>
  <c r="D245" i="23"/>
  <c r="C245" i="23"/>
  <c r="AJ199" i="23"/>
  <c r="AH199" i="23"/>
  <c r="AG199" i="23"/>
  <c r="AF199" i="23"/>
  <c r="AE199" i="23"/>
  <c r="AD199" i="23"/>
  <c r="AC199" i="23"/>
  <c r="AB199" i="23"/>
  <c r="AA199" i="23"/>
  <c r="Z199" i="23"/>
  <c r="Y199" i="23"/>
  <c r="X199" i="23"/>
  <c r="W199" i="23"/>
  <c r="V199" i="23"/>
  <c r="U199" i="23"/>
  <c r="T199" i="23"/>
  <c r="S199" i="23"/>
  <c r="R199" i="23"/>
  <c r="Q199" i="23"/>
  <c r="P199" i="23"/>
  <c r="O199" i="23"/>
  <c r="N199" i="23"/>
  <c r="M199" i="23"/>
  <c r="L199" i="23"/>
  <c r="K199" i="23"/>
  <c r="J199" i="23"/>
  <c r="I199" i="23"/>
  <c r="H199" i="23"/>
  <c r="G199" i="23"/>
  <c r="F199" i="23"/>
  <c r="E199" i="23"/>
  <c r="AJ198" i="23"/>
  <c r="AH198" i="23"/>
  <c r="AG198" i="23"/>
  <c r="AF198" i="23"/>
  <c r="AE198" i="23"/>
  <c r="AD198" i="23"/>
  <c r="AC198" i="23"/>
  <c r="AB198" i="23"/>
  <c r="AA198" i="23"/>
  <c r="Z198" i="23"/>
  <c r="Y198" i="23"/>
  <c r="X198" i="23"/>
  <c r="W198" i="23"/>
  <c r="V198" i="23"/>
  <c r="U198" i="23"/>
  <c r="T198" i="23"/>
  <c r="S198" i="23"/>
  <c r="R198" i="23"/>
  <c r="Q198" i="23"/>
  <c r="P198" i="23"/>
  <c r="O198" i="23"/>
  <c r="N198" i="23"/>
  <c r="M198" i="23"/>
  <c r="L198" i="23"/>
  <c r="K198" i="23"/>
  <c r="J198" i="23"/>
  <c r="I198" i="23"/>
  <c r="H198" i="23"/>
  <c r="G198" i="23"/>
  <c r="F198" i="23"/>
  <c r="E198" i="23"/>
  <c r="AJ197" i="23"/>
  <c r="AH197" i="23"/>
  <c r="AG197" i="23"/>
  <c r="AF197" i="23"/>
  <c r="AE197" i="23"/>
  <c r="AD197" i="23"/>
  <c r="AC197" i="23"/>
  <c r="AB197" i="23"/>
  <c r="AA197" i="23"/>
  <c r="Z197" i="23"/>
  <c r="Y197" i="23"/>
  <c r="X197" i="23"/>
  <c r="W197" i="23"/>
  <c r="V197" i="23"/>
  <c r="U197" i="23"/>
  <c r="T197" i="23"/>
  <c r="S197" i="23"/>
  <c r="R197" i="23"/>
  <c r="Q197" i="23"/>
  <c r="P197" i="23"/>
  <c r="O197" i="23"/>
  <c r="N197" i="23"/>
  <c r="M197" i="23"/>
  <c r="L197" i="23"/>
  <c r="K197" i="23"/>
  <c r="J197" i="23"/>
  <c r="I197" i="23"/>
  <c r="H197" i="23"/>
  <c r="G197" i="23"/>
  <c r="F197" i="23"/>
  <c r="E197" i="23"/>
  <c r="AJ196" i="23"/>
  <c r="AH196" i="23"/>
  <c r="AG196" i="23"/>
  <c r="AF196" i="23"/>
  <c r="AE196" i="23"/>
  <c r="AD196" i="23"/>
  <c r="AC196" i="23"/>
  <c r="AB196" i="23"/>
  <c r="AA196" i="23"/>
  <c r="Z196" i="23"/>
  <c r="Y196" i="23"/>
  <c r="X196" i="23"/>
  <c r="W196" i="23"/>
  <c r="V196" i="23"/>
  <c r="U196" i="23"/>
  <c r="T196" i="23"/>
  <c r="S196" i="23"/>
  <c r="R196" i="23"/>
  <c r="Q196" i="23"/>
  <c r="P196" i="23"/>
  <c r="O196" i="23"/>
  <c r="N196" i="23"/>
  <c r="M196" i="23"/>
  <c r="L196" i="23"/>
  <c r="K196" i="23"/>
  <c r="J196" i="23"/>
  <c r="I196" i="23"/>
  <c r="H196" i="23"/>
  <c r="G196" i="23"/>
  <c r="F196" i="23"/>
  <c r="E196" i="23"/>
  <c r="AJ195" i="23"/>
  <c r="AH195" i="23"/>
  <c r="AG195" i="23"/>
  <c r="AF195" i="23"/>
  <c r="AE195" i="23"/>
  <c r="AD195" i="23"/>
  <c r="AC195" i="23"/>
  <c r="AB195" i="23"/>
  <c r="AA195" i="23"/>
  <c r="Z195" i="23"/>
  <c r="Y195" i="23"/>
  <c r="X195" i="23"/>
  <c r="W195" i="23"/>
  <c r="V195" i="23"/>
  <c r="U195" i="23"/>
  <c r="T195" i="23"/>
  <c r="S195" i="23"/>
  <c r="R195" i="23"/>
  <c r="Q195" i="23"/>
  <c r="P195" i="23"/>
  <c r="O195" i="23"/>
  <c r="N195" i="23"/>
  <c r="M195" i="23"/>
  <c r="L195" i="23"/>
  <c r="K195" i="23"/>
  <c r="J195" i="23"/>
  <c r="I195" i="23"/>
  <c r="H195" i="23"/>
  <c r="G195" i="23"/>
  <c r="F195" i="23"/>
  <c r="E195" i="23"/>
  <c r="AJ194" i="23"/>
  <c r="AH194" i="23"/>
  <c r="AG194" i="23"/>
  <c r="AF194" i="23"/>
  <c r="AE194" i="23"/>
  <c r="AD194" i="23"/>
  <c r="AC194" i="23"/>
  <c r="AB194" i="23"/>
  <c r="AA194" i="23"/>
  <c r="Z194" i="23"/>
  <c r="Y194" i="23"/>
  <c r="X194" i="23"/>
  <c r="W194" i="23"/>
  <c r="V194" i="23"/>
  <c r="U194" i="23"/>
  <c r="T194" i="23"/>
  <c r="S194" i="23"/>
  <c r="R194" i="23"/>
  <c r="Q194" i="23"/>
  <c r="P194" i="23"/>
  <c r="O194" i="23"/>
  <c r="N194" i="23"/>
  <c r="M194" i="23"/>
  <c r="L194" i="23"/>
  <c r="K194" i="23"/>
  <c r="J194" i="23"/>
  <c r="I194" i="23"/>
  <c r="H194" i="23"/>
  <c r="G194" i="23"/>
  <c r="F194" i="23"/>
  <c r="E194" i="23"/>
  <c r="T187" i="23"/>
  <c r="S187" i="23"/>
  <c r="R187" i="23"/>
  <c r="Q187" i="23"/>
  <c r="P187" i="23"/>
  <c r="O187" i="23"/>
  <c r="N187" i="23"/>
  <c r="M187" i="23"/>
  <c r="L187" i="23"/>
  <c r="K187" i="23"/>
  <c r="J187" i="23"/>
  <c r="I187" i="23"/>
  <c r="H187" i="23"/>
  <c r="G187" i="23"/>
  <c r="F187" i="23"/>
  <c r="E187" i="23"/>
  <c r="T186" i="23"/>
  <c r="S186" i="23"/>
  <c r="R186" i="23"/>
  <c r="Q186" i="23"/>
  <c r="P186" i="23"/>
  <c r="O186" i="23"/>
  <c r="N186" i="23"/>
  <c r="M186" i="23"/>
  <c r="L186" i="23"/>
  <c r="K186" i="23"/>
  <c r="J186" i="23"/>
  <c r="I186" i="23"/>
  <c r="H186" i="23"/>
  <c r="G186" i="23"/>
  <c r="F186" i="23"/>
  <c r="E186" i="23"/>
  <c r="T185" i="23"/>
  <c r="S185" i="23"/>
  <c r="R185" i="23"/>
  <c r="Q185" i="23"/>
  <c r="P185" i="23"/>
  <c r="O185" i="23"/>
  <c r="N185" i="23"/>
  <c r="M185" i="23"/>
  <c r="L185" i="23"/>
  <c r="K185" i="23"/>
  <c r="J185" i="23"/>
  <c r="I185" i="23"/>
  <c r="H185" i="23"/>
  <c r="G185" i="23"/>
  <c r="F185" i="23"/>
  <c r="E185" i="23"/>
  <c r="T184" i="23"/>
  <c r="S184" i="23"/>
  <c r="R184" i="23"/>
  <c r="Q184" i="23"/>
  <c r="P184" i="23"/>
  <c r="O184" i="23"/>
  <c r="N184" i="23"/>
  <c r="M184" i="23"/>
  <c r="L184" i="23"/>
  <c r="K184" i="23"/>
  <c r="J184" i="23"/>
  <c r="I184" i="23"/>
  <c r="H184" i="23"/>
  <c r="G184" i="23"/>
  <c r="F184" i="23"/>
  <c r="E184" i="23"/>
  <c r="T183" i="23"/>
  <c r="S183" i="23"/>
  <c r="R183" i="23"/>
  <c r="Q183" i="23"/>
  <c r="P183" i="23"/>
  <c r="O183" i="23"/>
  <c r="N183" i="23"/>
  <c r="M183" i="23"/>
  <c r="L183" i="23"/>
  <c r="K183" i="23"/>
  <c r="J183" i="23"/>
  <c r="I183" i="23"/>
  <c r="H183" i="23"/>
  <c r="G183" i="23"/>
  <c r="F183" i="23"/>
  <c r="E183" i="23"/>
  <c r="T182" i="23"/>
  <c r="S182" i="23"/>
  <c r="R182" i="23"/>
  <c r="Q182" i="23"/>
  <c r="P182" i="23"/>
  <c r="O182" i="23"/>
  <c r="N182" i="23"/>
  <c r="M182" i="23"/>
  <c r="L182" i="23"/>
  <c r="K182" i="23"/>
  <c r="J182" i="23"/>
  <c r="I182" i="23"/>
  <c r="H182" i="23"/>
  <c r="G182" i="23"/>
  <c r="F182" i="23"/>
  <c r="E182" i="23"/>
  <c r="CI35" i="23"/>
  <c r="CH35" i="23"/>
  <c r="CG35" i="23"/>
  <c r="CF35" i="23"/>
  <c r="CE35" i="23"/>
  <c r="CD35" i="23"/>
  <c r="CC35" i="23"/>
  <c r="CA35" i="23"/>
  <c r="BY35" i="23"/>
  <c r="BX35" i="23"/>
  <c r="BT35" i="23"/>
  <c r="BS35" i="23"/>
  <c r="BR35" i="23"/>
  <c r="BQ35" i="23"/>
  <c r="BP35" i="23"/>
  <c r="BO35" i="23"/>
  <c r="BJ35" i="23"/>
  <c r="BH35" i="23"/>
  <c r="BG35" i="23"/>
  <c r="BF35" i="23"/>
  <c r="BE35" i="23"/>
  <c r="BD35" i="23"/>
  <c r="BC35" i="23"/>
  <c r="BB35" i="23"/>
  <c r="BA35" i="23"/>
  <c r="AY35" i="23"/>
  <c r="AW35" i="23"/>
  <c r="AV35" i="23"/>
  <c r="AU35" i="23"/>
  <c r="AT35" i="23"/>
  <c r="AS35" i="23"/>
  <c r="AR35" i="23"/>
  <c r="AQ35" i="23"/>
  <c r="AP35" i="23"/>
  <c r="AO35" i="23"/>
  <c r="AN35" i="23"/>
  <c r="AM35" i="23"/>
  <c r="AL35" i="23"/>
  <c r="AK35" i="23"/>
  <c r="AJ35" i="23"/>
  <c r="AI35" i="23"/>
  <c r="AH35" i="23"/>
  <c r="AG35" i="23"/>
  <c r="AF35" i="23"/>
  <c r="AE35" i="23"/>
  <c r="AD35" i="23"/>
  <c r="AC35" i="23"/>
  <c r="AB35" i="23"/>
  <c r="AA35" i="23"/>
  <c r="Z35" i="23"/>
  <c r="Y35" i="23"/>
  <c r="X35" i="23"/>
  <c r="W35" i="23"/>
  <c r="V35" i="23"/>
  <c r="U35" i="23"/>
  <c r="T35" i="23"/>
  <c r="S35" i="23"/>
  <c r="R35" i="23"/>
  <c r="Q35" i="23"/>
  <c r="P35" i="23"/>
  <c r="O35" i="23"/>
  <c r="N35" i="23"/>
  <c r="M35" i="23"/>
  <c r="L35" i="23"/>
  <c r="K35" i="23"/>
  <c r="J35" i="23"/>
  <c r="I35" i="23"/>
  <c r="H35" i="23"/>
  <c r="G35" i="23"/>
  <c r="F35" i="23"/>
  <c r="E35" i="23"/>
  <c r="D35" i="23"/>
  <c r="CI34" i="23"/>
  <c r="CH34" i="23"/>
  <c r="CG34" i="23"/>
  <c r="CF34" i="23"/>
  <c r="CE34" i="23"/>
  <c r="CD34" i="23"/>
  <c r="CC34" i="23"/>
  <c r="CA34" i="23"/>
  <c r="BY34" i="23"/>
  <c r="BX34" i="23"/>
  <c r="BT34" i="23"/>
  <c r="BS34" i="23"/>
  <c r="BR34" i="23"/>
  <c r="BQ34" i="23"/>
  <c r="BP34" i="23"/>
  <c r="BO34" i="23"/>
  <c r="BJ34" i="23"/>
  <c r="BH34" i="23"/>
  <c r="BG34" i="23"/>
  <c r="BF34" i="23"/>
  <c r="BE34" i="23"/>
  <c r="BD34" i="23"/>
  <c r="BC34" i="23"/>
  <c r="BB34" i="23"/>
  <c r="BA34" i="23"/>
  <c r="AY34" i="23"/>
  <c r="AW34" i="23"/>
  <c r="AV34" i="23"/>
  <c r="AU34" i="23"/>
  <c r="AT34" i="23"/>
  <c r="AS34" i="23"/>
  <c r="AR34" i="23"/>
  <c r="AQ34" i="23"/>
  <c r="AP34" i="23"/>
  <c r="AO34" i="23"/>
  <c r="AN34" i="23"/>
  <c r="AM34" i="23"/>
  <c r="AL34" i="23"/>
  <c r="AK34" i="23"/>
  <c r="AJ34" i="23"/>
  <c r="AI34" i="23"/>
  <c r="AH34" i="23"/>
  <c r="AG34" i="23"/>
  <c r="AF34" i="23"/>
  <c r="AE34" i="23"/>
  <c r="AD34" i="23"/>
  <c r="AC34" i="23"/>
  <c r="AB34" i="23"/>
  <c r="AA34" i="23"/>
  <c r="Z34" i="23"/>
  <c r="Y34" i="23"/>
  <c r="X34" i="23"/>
  <c r="W34" i="23"/>
  <c r="V34" i="23"/>
  <c r="U34" i="23"/>
  <c r="T34" i="23"/>
  <c r="S34" i="23"/>
  <c r="R34" i="23"/>
  <c r="Q34" i="23"/>
  <c r="P34" i="23"/>
  <c r="O34" i="23"/>
  <c r="N34" i="23"/>
  <c r="M34" i="23"/>
  <c r="L34" i="23"/>
  <c r="K34" i="23"/>
  <c r="J34" i="23"/>
  <c r="I34" i="23"/>
  <c r="H34" i="23"/>
  <c r="G34" i="23"/>
  <c r="F34" i="23"/>
  <c r="E34" i="23"/>
  <c r="D34" i="23"/>
  <c r="CI33" i="23"/>
  <c r="CH33" i="23"/>
  <c r="CG33" i="23"/>
  <c r="CF33" i="23"/>
  <c r="CE33" i="23"/>
  <c r="CD33" i="23"/>
  <c r="CC33" i="23"/>
  <c r="CA33" i="23"/>
  <c r="BY33" i="23"/>
  <c r="BX33" i="23"/>
  <c r="BT33" i="23"/>
  <c r="BS33" i="23"/>
  <c r="BR33" i="23"/>
  <c r="BQ33" i="23"/>
  <c r="BP33" i="23"/>
  <c r="BO33" i="23"/>
  <c r="BJ33" i="23"/>
  <c r="BH33" i="23"/>
  <c r="BG33" i="23"/>
  <c r="BF33" i="23"/>
  <c r="BE33" i="23"/>
  <c r="BD33" i="23"/>
  <c r="BC33" i="23"/>
  <c r="BB33" i="23"/>
  <c r="BA33" i="23"/>
  <c r="AY33" i="23"/>
  <c r="AW33" i="23"/>
  <c r="AV33" i="23"/>
  <c r="AU33" i="23"/>
  <c r="AT33" i="23"/>
  <c r="AS33" i="23"/>
  <c r="AR33" i="23"/>
  <c r="AQ33" i="23"/>
  <c r="AP33" i="23"/>
  <c r="AO33" i="23"/>
  <c r="AN33" i="23"/>
  <c r="AM33" i="23"/>
  <c r="AL33" i="23"/>
  <c r="AK33" i="23"/>
  <c r="AJ33" i="23"/>
  <c r="AI33" i="23"/>
  <c r="AH33" i="23"/>
  <c r="AG33" i="23"/>
  <c r="AF33" i="23"/>
  <c r="AE33" i="23"/>
  <c r="AD33" i="23"/>
  <c r="AC33" i="23"/>
  <c r="AB33" i="23"/>
  <c r="AA33" i="23"/>
  <c r="Z33" i="23"/>
  <c r="Y33" i="23"/>
  <c r="X33" i="23"/>
  <c r="W33" i="23"/>
  <c r="V33" i="23"/>
  <c r="U33" i="23"/>
  <c r="T33" i="23"/>
  <c r="S33" i="23"/>
  <c r="R33" i="23"/>
  <c r="Q33" i="23"/>
  <c r="P33" i="23"/>
  <c r="O33" i="23"/>
  <c r="N33" i="23"/>
  <c r="M33" i="23"/>
  <c r="L33" i="23"/>
  <c r="K33" i="23"/>
  <c r="J33" i="23"/>
  <c r="I33" i="23"/>
  <c r="H33" i="23"/>
  <c r="G33" i="23"/>
  <c r="F33" i="23"/>
  <c r="E33" i="23"/>
  <c r="D33" i="23"/>
  <c r="CI32" i="23"/>
  <c r="CH32" i="23"/>
  <c r="CG32" i="23"/>
  <c r="CF32" i="23"/>
  <c r="CE32" i="23"/>
  <c r="CD32" i="23"/>
  <c r="CC32" i="23"/>
  <c r="CA32" i="23"/>
  <c r="BY32" i="23"/>
  <c r="BX32" i="23"/>
  <c r="BT32" i="23"/>
  <c r="BS32" i="23"/>
  <c r="BR32" i="23"/>
  <c r="BQ32" i="23"/>
  <c r="BP32" i="23"/>
  <c r="BO32" i="23"/>
  <c r="BJ32" i="23"/>
  <c r="BH32" i="23"/>
  <c r="BG32" i="23"/>
  <c r="BF32" i="23"/>
  <c r="BE32" i="23"/>
  <c r="BD32" i="23"/>
  <c r="BC32" i="23"/>
  <c r="BB32" i="23"/>
  <c r="BA32" i="23"/>
  <c r="AY32" i="23"/>
  <c r="AW32" i="23"/>
  <c r="AV32" i="23"/>
  <c r="AU32" i="23"/>
  <c r="AT32" i="23"/>
  <c r="AS32" i="23"/>
  <c r="AR32" i="23"/>
  <c r="AQ32" i="23"/>
  <c r="AP32" i="23"/>
  <c r="AO32" i="23"/>
  <c r="AN32" i="23"/>
  <c r="AM32" i="23"/>
  <c r="AL32" i="23"/>
  <c r="AK32" i="23"/>
  <c r="AJ32" i="23"/>
  <c r="AI32" i="23"/>
  <c r="AH32" i="23"/>
  <c r="AG32" i="23"/>
  <c r="AF32" i="23"/>
  <c r="AE32" i="23"/>
  <c r="AD32" i="23"/>
  <c r="AC32" i="23"/>
  <c r="AB32" i="23"/>
  <c r="AA32" i="23"/>
  <c r="Z32" i="23"/>
  <c r="Y32" i="23"/>
  <c r="X32" i="23"/>
  <c r="W32" i="23"/>
  <c r="V32" i="23"/>
  <c r="U32" i="23"/>
  <c r="T32" i="23"/>
  <c r="S32" i="23"/>
  <c r="R32" i="23"/>
  <c r="Q32" i="23"/>
  <c r="P32" i="23"/>
  <c r="O32" i="23"/>
  <c r="N32" i="23"/>
  <c r="M32" i="23"/>
  <c r="L32" i="23"/>
  <c r="K32" i="23"/>
  <c r="J32" i="23"/>
  <c r="I32" i="23"/>
  <c r="H32" i="23"/>
  <c r="G32" i="23"/>
  <c r="F32" i="23"/>
  <c r="E32" i="23"/>
  <c r="D32" i="23"/>
  <c r="CI31" i="23"/>
  <c r="CH31" i="23"/>
  <c r="CG31" i="23"/>
  <c r="CF31" i="23"/>
  <c r="CE31" i="23"/>
  <c r="CD31" i="23"/>
  <c r="CC31" i="23"/>
  <c r="CA31" i="23"/>
  <c r="BY31" i="23"/>
  <c r="BX31" i="23"/>
  <c r="BT31" i="23"/>
  <c r="BS31" i="23"/>
  <c r="BR31" i="23"/>
  <c r="BQ31" i="23"/>
  <c r="BP31" i="23"/>
  <c r="BO31" i="23"/>
  <c r="BJ31" i="23"/>
  <c r="BH31" i="23"/>
  <c r="BG31" i="23"/>
  <c r="BF31" i="23"/>
  <c r="BE31" i="23"/>
  <c r="BD31" i="23"/>
  <c r="BC31" i="23"/>
  <c r="BB31" i="23"/>
  <c r="BA31" i="23"/>
  <c r="AY31" i="23"/>
  <c r="AW31" i="23"/>
  <c r="AV31" i="23"/>
  <c r="AU31" i="23"/>
  <c r="AT31" i="23"/>
  <c r="AS31" i="23"/>
  <c r="AR31" i="23"/>
  <c r="AQ31" i="23"/>
  <c r="AP31" i="23"/>
  <c r="AO31" i="23"/>
  <c r="AN31" i="23"/>
  <c r="AM31" i="23"/>
  <c r="AL31" i="23"/>
  <c r="AK31" i="23"/>
  <c r="AJ31" i="23"/>
  <c r="AI31" i="23"/>
  <c r="AH31" i="23"/>
  <c r="AG31" i="23"/>
  <c r="AF31" i="23"/>
  <c r="AE31" i="23"/>
  <c r="AD31" i="23"/>
  <c r="AC31" i="23"/>
  <c r="AB31" i="23"/>
  <c r="AA31" i="23"/>
  <c r="Z31" i="23"/>
  <c r="Y31" i="23"/>
  <c r="X31" i="23"/>
  <c r="W31" i="23"/>
  <c r="V31" i="23"/>
  <c r="U31" i="23"/>
  <c r="T31" i="23"/>
  <c r="S31" i="23"/>
  <c r="R31" i="23"/>
  <c r="Q31" i="23"/>
  <c r="P31" i="23"/>
  <c r="O31" i="23"/>
  <c r="N31" i="23"/>
  <c r="M31" i="23"/>
  <c r="L31" i="23"/>
  <c r="K31" i="23"/>
  <c r="J31" i="23"/>
  <c r="I31" i="23"/>
  <c r="H31" i="23"/>
  <c r="G31" i="23"/>
  <c r="F31" i="23"/>
  <c r="E31" i="23"/>
  <c r="D31" i="23"/>
  <c r="CI30" i="23"/>
  <c r="CH30" i="23"/>
  <c r="CG30" i="23"/>
  <c r="CF30" i="23"/>
  <c r="CE30" i="23"/>
  <c r="CD30" i="23"/>
  <c r="CC30" i="23"/>
  <c r="CA30" i="23"/>
  <c r="BY30" i="23"/>
  <c r="BX30" i="23"/>
  <c r="BT30" i="23"/>
  <c r="BS30" i="23"/>
  <c r="BR30" i="23"/>
  <c r="BQ30" i="23"/>
  <c r="BP30" i="23"/>
  <c r="BO30" i="23"/>
  <c r="BJ30" i="23"/>
  <c r="BH30" i="23"/>
  <c r="BG30" i="23"/>
  <c r="BF30" i="23"/>
  <c r="BE30" i="23"/>
  <c r="BD30" i="23"/>
  <c r="BC30" i="23"/>
  <c r="BB30" i="23"/>
  <c r="BA30" i="23"/>
  <c r="AY30" i="23"/>
  <c r="AW30" i="23"/>
  <c r="AV30" i="23"/>
  <c r="AU30" i="23"/>
  <c r="AT30" i="23"/>
  <c r="AS30" i="23"/>
  <c r="AR30" i="23"/>
  <c r="AQ30" i="23"/>
  <c r="AP30" i="23"/>
  <c r="AO30" i="23"/>
  <c r="AN30" i="23"/>
  <c r="AM30" i="23"/>
  <c r="AL30" i="23"/>
  <c r="AK30" i="23"/>
  <c r="AJ30" i="23"/>
  <c r="AI30" i="23"/>
  <c r="AH30" i="23"/>
  <c r="AG30" i="23"/>
  <c r="AF30" i="23"/>
  <c r="AE30" i="23"/>
  <c r="AD30" i="23"/>
  <c r="AC30" i="23"/>
  <c r="AB30" i="23"/>
  <c r="AA30" i="23"/>
  <c r="Z30" i="23"/>
  <c r="Y30" i="23"/>
  <c r="X30" i="23"/>
  <c r="W30" i="23"/>
  <c r="V30" i="23"/>
  <c r="U30" i="23"/>
  <c r="T30" i="23"/>
  <c r="S30" i="23"/>
  <c r="R30" i="23"/>
  <c r="Q30" i="23"/>
  <c r="P30" i="23"/>
  <c r="O30" i="23"/>
  <c r="N30" i="23"/>
  <c r="M30" i="23"/>
  <c r="L30" i="23"/>
  <c r="K30" i="23"/>
  <c r="J30" i="23"/>
  <c r="I30" i="23"/>
  <c r="H30" i="23"/>
  <c r="G30" i="23"/>
  <c r="F30" i="23"/>
  <c r="E30" i="23"/>
  <c r="D30" i="23"/>
  <c r="CI29" i="23"/>
  <c r="CH29" i="23"/>
  <c r="CG29" i="23"/>
  <c r="CF29" i="23"/>
  <c r="CE29" i="23"/>
  <c r="CD29" i="23"/>
  <c r="CC29" i="23"/>
  <c r="CA29" i="23"/>
  <c r="BY29" i="23"/>
  <c r="BX29" i="23"/>
  <c r="BT29" i="23"/>
  <c r="BS29" i="23"/>
  <c r="BR29" i="23"/>
  <c r="BQ29" i="23"/>
  <c r="BP29" i="23"/>
  <c r="BO29" i="23"/>
  <c r="BJ29" i="23"/>
  <c r="BH29" i="23"/>
  <c r="BG29" i="23"/>
  <c r="BF29" i="23"/>
  <c r="BE29" i="23"/>
  <c r="BD29" i="23"/>
  <c r="BC29" i="23"/>
  <c r="BB29" i="23"/>
  <c r="BA29" i="23"/>
  <c r="AY29" i="23"/>
  <c r="AW29" i="23"/>
  <c r="AV29" i="23"/>
  <c r="AU29" i="23"/>
  <c r="AT29" i="23"/>
  <c r="AS29" i="23"/>
  <c r="AR29" i="23"/>
  <c r="AQ29" i="23"/>
  <c r="AP29" i="23"/>
  <c r="AO29" i="23"/>
  <c r="AN29" i="23"/>
  <c r="AM29" i="23"/>
  <c r="AL29" i="23"/>
  <c r="AK29" i="23"/>
  <c r="AJ29" i="23"/>
  <c r="AI29" i="23"/>
  <c r="AH29" i="23"/>
  <c r="AG29" i="23"/>
  <c r="AF29" i="23"/>
  <c r="AE29" i="23"/>
  <c r="AD29" i="23"/>
  <c r="AC29" i="23"/>
  <c r="AB29" i="23"/>
  <c r="AA29" i="23"/>
  <c r="Z29" i="23"/>
  <c r="Y29" i="23"/>
  <c r="X29" i="23"/>
  <c r="W29" i="23"/>
  <c r="V29" i="23"/>
  <c r="U29" i="23"/>
  <c r="T29" i="23"/>
  <c r="S29" i="23"/>
  <c r="R29" i="23"/>
  <c r="Q29" i="23"/>
  <c r="P29" i="23"/>
  <c r="O29" i="23"/>
  <c r="N29" i="23"/>
  <c r="M29" i="23"/>
  <c r="L29" i="23"/>
  <c r="K29" i="23"/>
  <c r="J29" i="23"/>
  <c r="I29" i="23"/>
  <c r="H29" i="23"/>
  <c r="G29" i="23"/>
  <c r="F29" i="23"/>
  <c r="E29" i="23"/>
  <c r="D29" i="23"/>
  <c r="CI28" i="23"/>
  <c r="CH28" i="23"/>
  <c r="CG28" i="23"/>
  <c r="CF28" i="23"/>
  <c r="CE28" i="23"/>
  <c r="CD28" i="23"/>
  <c r="CC28" i="23"/>
  <c r="CA28" i="23"/>
  <c r="BY28" i="23"/>
  <c r="BX28" i="23"/>
  <c r="BT28" i="23"/>
  <c r="BS28" i="23"/>
  <c r="BR28" i="23"/>
  <c r="BQ28" i="23"/>
  <c r="BP28" i="23"/>
  <c r="BO28" i="23"/>
  <c r="BJ28" i="23"/>
  <c r="BH28" i="23"/>
  <c r="BG28" i="23"/>
  <c r="BF28" i="23"/>
  <c r="BE28" i="23"/>
  <c r="BD28" i="23"/>
  <c r="BC28" i="23"/>
  <c r="BB28" i="23"/>
  <c r="BA28" i="23"/>
  <c r="AY28" i="23"/>
  <c r="AW28" i="23"/>
  <c r="AV28" i="23"/>
  <c r="AU28" i="23"/>
  <c r="AT28" i="23"/>
  <c r="AS28" i="23"/>
  <c r="AR28" i="23"/>
  <c r="AQ28" i="23"/>
  <c r="AP28" i="23"/>
  <c r="AO28" i="23"/>
  <c r="AN28" i="23"/>
  <c r="AM28" i="23"/>
  <c r="AL28" i="23"/>
  <c r="AK28" i="23"/>
  <c r="AJ28" i="23"/>
  <c r="AI28" i="23"/>
  <c r="AH28" i="23"/>
  <c r="AG28" i="23"/>
  <c r="AF28" i="23"/>
  <c r="AE28" i="23"/>
  <c r="AD28" i="23"/>
  <c r="AC28" i="23"/>
  <c r="AB28" i="23"/>
  <c r="AA28" i="23"/>
  <c r="Z28" i="23"/>
  <c r="Y28" i="23"/>
  <c r="X28" i="23"/>
  <c r="W28" i="23"/>
  <c r="V28" i="23"/>
  <c r="U28" i="23"/>
  <c r="T28" i="23"/>
  <c r="S28" i="23"/>
  <c r="R28" i="23"/>
  <c r="Q28" i="23"/>
  <c r="P28" i="23"/>
  <c r="O28" i="23"/>
  <c r="N28" i="23"/>
  <c r="M28" i="23"/>
  <c r="L28" i="23"/>
  <c r="K28" i="23"/>
  <c r="J28" i="23"/>
  <c r="I28" i="23"/>
  <c r="H28" i="23"/>
  <c r="G28" i="23"/>
  <c r="F28" i="23"/>
  <c r="E28" i="23"/>
  <c r="D28" i="23"/>
  <c r="CI27" i="23"/>
  <c r="CH27" i="23"/>
  <c r="CG27" i="23"/>
  <c r="CF27" i="23"/>
  <c r="CE27" i="23"/>
  <c r="CD27" i="23"/>
  <c r="CC27" i="23"/>
  <c r="CA27" i="23"/>
  <c r="BY27" i="23"/>
  <c r="BX27" i="23"/>
  <c r="BT27" i="23"/>
  <c r="BS27" i="23"/>
  <c r="BR27" i="23"/>
  <c r="BQ27" i="23"/>
  <c r="BP27" i="23"/>
  <c r="BO27" i="23"/>
  <c r="BJ27" i="23"/>
  <c r="BH27" i="23"/>
  <c r="BG27" i="23"/>
  <c r="BF27" i="23"/>
  <c r="BE27" i="23"/>
  <c r="BD27" i="23"/>
  <c r="BC27" i="23"/>
  <c r="BB27" i="23"/>
  <c r="BA27" i="23"/>
  <c r="AY27" i="23"/>
  <c r="AW27" i="23"/>
  <c r="AV27" i="23"/>
  <c r="AU27" i="23"/>
  <c r="AT27" i="23"/>
  <c r="AS27" i="23"/>
  <c r="AR27" i="23"/>
  <c r="AQ27" i="23"/>
  <c r="AP27" i="23"/>
  <c r="AO27" i="23"/>
  <c r="AN27" i="23"/>
  <c r="AM27" i="23"/>
  <c r="AL27" i="23"/>
  <c r="AK27" i="23"/>
  <c r="AJ27" i="23"/>
  <c r="AI27" i="23"/>
  <c r="AH27" i="23"/>
  <c r="AG27" i="23"/>
  <c r="AF27" i="23"/>
  <c r="AE27" i="23"/>
  <c r="AD27" i="23"/>
  <c r="AC27" i="23"/>
  <c r="AB27" i="23"/>
  <c r="AA27" i="23"/>
  <c r="Z27" i="23"/>
  <c r="Y27" i="23"/>
  <c r="X27" i="23"/>
  <c r="W27" i="23"/>
  <c r="V27" i="23"/>
  <c r="U27" i="23"/>
  <c r="T27" i="23"/>
  <c r="S27" i="23"/>
  <c r="R27" i="23"/>
  <c r="Q27" i="23"/>
  <c r="P27" i="23"/>
  <c r="O27" i="23"/>
  <c r="N27" i="23"/>
  <c r="M27" i="23"/>
  <c r="L27" i="23"/>
  <c r="K27" i="23"/>
  <c r="J27" i="23"/>
  <c r="I27" i="23"/>
  <c r="H27" i="23"/>
  <c r="G27" i="23"/>
  <c r="F27" i="23"/>
  <c r="E27" i="23"/>
  <c r="D27" i="23"/>
  <c r="CI26" i="23"/>
  <c r="CH26" i="23"/>
  <c r="CG26" i="23"/>
  <c r="CF26" i="23"/>
  <c r="CE26" i="23"/>
  <c r="CD26" i="23"/>
  <c r="CC26" i="23"/>
  <c r="CA26" i="23"/>
  <c r="BY26" i="23"/>
  <c r="BX26" i="23"/>
  <c r="BT26" i="23"/>
  <c r="BS26" i="23"/>
  <c r="BR26" i="23"/>
  <c r="BQ26" i="23"/>
  <c r="BP26" i="23"/>
  <c r="BO26" i="23"/>
  <c r="BJ26" i="23"/>
  <c r="BH26" i="23"/>
  <c r="BG26" i="23"/>
  <c r="BF26" i="23"/>
  <c r="BE26" i="23"/>
  <c r="BD26" i="23"/>
  <c r="BC26" i="23"/>
  <c r="BB26" i="23"/>
  <c r="BA26" i="23"/>
  <c r="AY26" i="23"/>
  <c r="AW26" i="23"/>
  <c r="AV26" i="23"/>
  <c r="AU26" i="23"/>
  <c r="AT26" i="23"/>
  <c r="AS26" i="23"/>
  <c r="AR26" i="23"/>
  <c r="AQ26" i="23"/>
  <c r="AP26" i="23"/>
  <c r="AO26" i="23"/>
  <c r="AN26" i="23"/>
  <c r="AM26" i="23"/>
  <c r="AL26" i="23"/>
  <c r="AK26" i="23"/>
  <c r="AJ26" i="23"/>
  <c r="AI26" i="23"/>
  <c r="AH26" i="23"/>
  <c r="AG26" i="23"/>
  <c r="AF26" i="23"/>
  <c r="AE26" i="23"/>
  <c r="AD26" i="23"/>
  <c r="AC26" i="23"/>
  <c r="AB26" i="23"/>
  <c r="AA26" i="23"/>
  <c r="Z26" i="23"/>
  <c r="Y26" i="23"/>
  <c r="X26" i="23"/>
  <c r="W26" i="23"/>
  <c r="V26" i="23"/>
  <c r="U26" i="23"/>
  <c r="T26" i="23"/>
  <c r="S26" i="23"/>
  <c r="R26" i="23"/>
  <c r="Q26" i="23"/>
  <c r="P26" i="23"/>
  <c r="O26" i="23"/>
  <c r="N26" i="23"/>
  <c r="M26" i="23"/>
  <c r="L26" i="23"/>
  <c r="K26" i="23"/>
  <c r="J26" i="23"/>
  <c r="I26" i="23"/>
  <c r="H26" i="23"/>
  <c r="G26" i="23"/>
  <c r="F26" i="23"/>
  <c r="E26" i="23"/>
  <c r="D26" i="23"/>
  <c r="CI25" i="23"/>
  <c r="CH25" i="23"/>
  <c r="CG25" i="23"/>
  <c r="CF25" i="23"/>
  <c r="CE25" i="23"/>
  <c r="CD25" i="23"/>
  <c r="CC25" i="23"/>
  <c r="CA25" i="23"/>
  <c r="BY25" i="23"/>
  <c r="BX25" i="23"/>
  <c r="BT25" i="23"/>
  <c r="BS25" i="23"/>
  <c r="BR25" i="23"/>
  <c r="BQ25" i="23"/>
  <c r="BP25" i="23"/>
  <c r="BO25" i="23"/>
  <c r="BJ25" i="23"/>
  <c r="BH25" i="23"/>
  <c r="BG25" i="23"/>
  <c r="BF25" i="23"/>
  <c r="BE25" i="23"/>
  <c r="BD25" i="23"/>
  <c r="BC25" i="23"/>
  <c r="BB25" i="23"/>
  <c r="BA25" i="23"/>
  <c r="AY25" i="23"/>
  <c r="AW25" i="23"/>
  <c r="AV25" i="23"/>
  <c r="AU25" i="23"/>
  <c r="AT25" i="23"/>
  <c r="AS25" i="23"/>
  <c r="AR25" i="23"/>
  <c r="AQ25" i="23"/>
  <c r="AP25" i="23"/>
  <c r="AO25" i="23"/>
  <c r="AN25" i="23"/>
  <c r="AM25" i="23"/>
  <c r="AL25" i="23"/>
  <c r="AK25" i="23"/>
  <c r="AJ25" i="23"/>
  <c r="AI25" i="23"/>
  <c r="AH25" i="23"/>
  <c r="AG25" i="23"/>
  <c r="AF25" i="23"/>
  <c r="AE25" i="23"/>
  <c r="AD25" i="23"/>
  <c r="AC25" i="23"/>
  <c r="AB25" i="23"/>
  <c r="AA25" i="23"/>
  <c r="Z25" i="23"/>
  <c r="Y25" i="23"/>
  <c r="X25" i="23"/>
  <c r="W25" i="23"/>
  <c r="V25" i="23"/>
  <c r="U25" i="23"/>
  <c r="T25" i="23"/>
  <c r="S25" i="23"/>
  <c r="R25" i="23"/>
  <c r="Q25" i="23"/>
  <c r="P25" i="23"/>
  <c r="O25" i="23"/>
  <c r="N25" i="23"/>
  <c r="M25" i="23"/>
  <c r="L25" i="23"/>
  <c r="K25" i="23"/>
  <c r="J25" i="23"/>
  <c r="I25" i="23"/>
  <c r="H25" i="23"/>
  <c r="G25" i="23"/>
  <c r="F25" i="23"/>
  <c r="E25" i="23"/>
  <c r="D25" i="23"/>
  <c r="CI24" i="23"/>
  <c r="CH24" i="23"/>
  <c r="CG24" i="23"/>
  <c r="CF24" i="23"/>
  <c r="CE24" i="23"/>
  <c r="CD24" i="23"/>
  <c r="CC24" i="23"/>
  <c r="CA24" i="23"/>
  <c r="BY24" i="23"/>
  <c r="BX24" i="23"/>
  <c r="BT24" i="23"/>
  <c r="BS24" i="23"/>
  <c r="BR24" i="23"/>
  <c r="BQ24" i="23"/>
  <c r="BP24" i="23"/>
  <c r="BO24" i="23"/>
  <c r="BJ24" i="23"/>
  <c r="BH24" i="23"/>
  <c r="BG24" i="23"/>
  <c r="BF24" i="23"/>
  <c r="BE24" i="23"/>
  <c r="BD24" i="23"/>
  <c r="BC24" i="23"/>
  <c r="BB24" i="23"/>
  <c r="BA24" i="23"/>
  <c r="AY24" i="23"/>
  <c r="AW24" i="23"/>
  <c r="AV24" i="23"/>
  <c r="AU24" i="23"/>
  <c r="AT24" i="23"/>
  <c r="AS24" i="23"/>
  <c r="AR24" i="23"/>
  <c r="AQ24" i="23"/>
  <c r="AP24" i="23"/>
  <c r="AO24" i="23"/>
  <c r="AN24" i="23"/>
  <c r="AM24" i="23"/>
  <c r="AL24" i="23"/>
  <c r="AK24" i="23"/>
  <c r="AJ24" i="23"/>
  <c r="AI24" i="23"/>
  <c r="AH24" i="23"/>
  <c r="AG24" i="23"/>
  <c r="AF24" i="23"/>
  <c r="AE24" i="23"/>
  <c r="AD24" i="23"/>
  <c r="AC24" i="23"/>
  <c r="AB24" i="23"/>
  <c r="AA24" i="23"/>
  <c r="Z24" i="23"/>
  <c r="Y24" i="23"/>
  <c r="X24" i="23"/>
  <c r="W24" i="23"/>
  <c r="V24" i="23"/>
  <c r="U24" i="23"/>
  <c r="T24" i="23"/>
  <c r="S24" i="23"/>
  <c r="R24" i="23"/>
  <c r="Q24" i="23"/>
  <c r="P24" i="23"/>
  <c r="O24" i="23"/>
  <c r="N24" i="23"/>
  <c r="M24" i="23"/>
  <c r="L24" i="23"/>
  <c r="K24" i="23"/>
  <c r="J24" i="23"/>
  <c r="I24" i="23"/>
  <c r="H24" i="23"/>
  <c r="G24" i="23"/>
  <c r="F24" i="23"/>
  <c r="E24" i="23"/>
  <c r="D24" i="23"/>
  <c r="CI23" i="23"/>
  <c r="CH23" i="23"/>
  <c r="CG23" i="23"/>
  <c r="CF23" i="23"/>
  <c r="CE23" i="23"/>
  <c r="CD23" i="23"/>
  <c r="CC23" i="23"/>
  <c r="CA23" i="23"/>
  <c r="BY23" i="23"/>
  <c r="BX23" i="23"/>
  <c r="BT23" i="23"/>
  <c r="BS23" i="23"/>
  <c r="BR23" i="23"/>
  <c r="BQ23" i="23"/>
  <c r="BP23" i="23"/>
  <c r="BO23" i="23"/>
  <c r="BJ23" i="23"/>
  <c r="BH23" i="23"/>
  <c r="BG23" i="23"/>
  <c r="BF23" i="23"/>
  <c r="BE23" i="23"/>
  <c r="BD23" i="23"/>
  <c r="BC23" i="23"/>
  <c r="BB23" i="23"/>
  <c r="BA23" i="23"/>
  <c r="AY23" i="23"/>
  <c r="AW23" i="23"/>
  <c r="AV23" i="23"/>
  <c r="AU23" i="23"/>
  <c r="AT23" i="23"/>
  <c r="AS23" i="23"/>
  <c r="AR23" i="23"/>
  <c r="AQ23" i="23"/>
  <c r="AP23" i="23"/>
  <c r="AO23" i="23"/>
  <c r="AN23" i="23"/>
  <c r="AM23" i="23"/>
  <c r="AL23" i="23"/>
  <c r="AK23" i="23"/>
  <c r="AJ23" i="23"/>
  <c r="AI23" i="23"/>
  <c r="AH23" i="23"/>
  <c r="AG23" i="23"/>
  <c r="AF23" i="23"/>
  <c r="AE23" i="23"/>
  <c r="AD23" i="23"/>
  <c r="AC23" i="23"/>
  <c r="AB23" i="23"/>
  <c r="AA23" i="23"/>
  <c r="Z23" i="23"/>
  <c r="Y23" i="23"/>
  <c r="X23" i="23"/>
  <c r="W23" i="23"/>
  <c r="V23" i="23"/>
  <c r="U23" i="23"/>
  <c r="T23" i="23"/>
  <c r="S23" i="23"/>
  <c r="R23" i="23"/>
  <c r="Q23" i="23"/>
  <c r="P23" i="23"/>
  <c r="O23" i="23"/>
  <c r="N23" i="23"/>
  <c r="M23" i="23"/>
  <c r="L23" i="23"/>
  <c r="K23" i="23"/>
  <c r="J23" i="23"/>
  <c r="I23" i="23"/>
  <c r="H23" i="23"/>
  <c r="G23" i="23"/>
  <c r="F23" i="23"/>
  <c r="E23" i="23"/>
  <c r="D23" i="23"/>
  <c r="CI22" i="23"/>
  <c r="CH22" i="23"/>
  <c r="CG22" i="23"/>
  <c r="CF22" i="23"/>
  <c r="CE22" i="23"/>
  <c r="CD22" i="23"/>
  <c r="CC22" i="23"/>
  <c r="CA22" i="23"/>
  <c r="BY22" i="23"/>
  <c r="BX22" i="23"/>
  <c r="BT22" i="23"/>
  <c r="BS22" i="23"/>
  <c r="BR22" i="23"/>
  <c r="BQ22" i="23"/>
  <c r="BP22" i="23"/>
  <c r="BO22" i="23"/>
  <c r="BJ22" i="23"/>
  <c r="BH22" i="23"/>
  <c r="BG22" i="23"/>
  <c r="BF22" i="23"/>
  <c r="BE22" i="23"/>
  <c r="BD22" i="23"/>
  <c r="BC22" i="23"/>
  <c r="BB22" i="23"/>
  <c r="BA22" i="23"/>
  <c r="AY22" i="23"/>
  <c r="AW22" i="23"/>
  <c r="AV22" i="23"/>
  <c r="AU22" i="23"/>
  <c r="AT22" i="23"/>
  <c r="AS22" i="23"/>
  <c r="AR22" i="23"/>
  <c r="AQ22" i="23"/>
  <c r="AP22" i="23"/>
  <c r="AO22" i="23"/>
  <c r="AN22" i="23"/>
  <c r="AM22" i="23"/>
  <c r="AL22" i="23"/>
  <c r="AK22" i="23"/>
  <c r="AJ22" i="23"/>
  <c r="AI22" i="23"/>
  <c r="AH22" i="23"/>
  <c r="AG22" i="23"/>
  <c r="AF22" i="23"/>
  <c r="AE22" i="23"/>
  <c r="AD22" i="23"/>
  <c r="AC22" i="23"/>
  <c r="AB22" i="23"/>
  <c r="AA22" i="23"/>
  <c r="Z22" i="23"/>
  <c r="Y22" i="23"/>
  <c r="X22" i="23"/>
  <c r="W22" i="23"/>
  <c r="V22" i="23"/>
  <c r="U22" i="23"/>
  <c r="T22" i="23"/>
  <c r="S22" i="23"/>
  <c r="R22" i="23"/>
  <c r="Q22" i="23"/>
  <c r="P22" i="23"/>
  <c r="O22" i="23"/>
  <c r="N22" i="23"/>
  <c r="M22" i="23"/>
  <c r="L22" i="23"/>
  <c r="K22" i="23"/>
  <c r="J22" i="23"/>
  <c r="I22" i="23"/>
  <c r="H22" i="23"/>
  <c r="G22" i="23"/>
  <c r="F22" i="23"/>
  <c r="E22" i="23"/>
  <c r="D22" i="23"/>
  <c r="CI21" i="23"/>
  <c r="CH21" i="23"/>
  <c r="CG21" i="23"/>
  <c r="CF21" i="23"/>
  <c r="CE21" i="23"/>
  <c r="CD21" i="23"/>
  <c r="CC21" i="23"/>
  <c r="CA21" i="23"/>
  <c r="BY21" i="23"/>
  <c r="BX21" i="23"/>
  <c r="BT21" i="23"/>
  <c r="BS21" i="23"/>
  <c r="BR21" i="23"/>
  <c r="BQ21" i="23"/>
  <c r="BP21" i="23"/>
  <c r="BO21" i="23"/>
  <c r="BJ21" i="23"/>
  <c r="BH21" i="23"/>
  <c r="BG21" i="23"/>
  <c r="BF21" i="23"/>
  <c r="BE21" i="23"/>
  <c r="BD21" i="23"/>
  <c r="BC21" i="23"/>
  <c r="BB21" i="23"/>
  <c r="BA21" i="23"/>
  <c r="AY21" i="23"/>
  <c r="AW21" i="23"/>
  <c r="AV21" i="23"/>
  <c r="AU21" i="23"/>
  <c r="AT21" i="23"/>
  <c r="AS21" i="23"/>
  <c r="AR21" i="23"/>
  <c r="AQ21" i="23"/>
  <c r="AP21" i="23"/>
  <c r="AO21" i="23"/>
  <c r="AN21" i="23"/>
  <c r="AM21" i="23"/>
  <c r="AL21" i="23"/>
  <c r="AK21" i="23"/>
  <c r="AJ21" i="23"/>
  <c r="AI21" i="23"/>
  <c r="AH21" i="23"/>
  <c r="AG21" i="23"/>
  <c r="AF21" i="23"/>
  <c r="AE21" i="23"/>
  <c r="AD21" i="23"/>
  <c r="AC21" i="23"/>
  <c r="AB21" i="23"/>
  <c r="AA21" i="23"/>
  <c r="Z21" i="23"/>
  <c r="Y21" i="23"/>
  <c r="X21" i="23"/>
  <c r="W21" i="23"/>
  <c r="V21" i="23"/>
  <c r="U21" i="23"/>
  <c r="T21" i="23"/>
  <c r="S21" i="23"/>
  <c r="R21" i="23"/>
  <c r="Q21" i="23"/>
  <c r="P21" i="23"/>
  <c r="O21" i="23"/>
  <c r="N21" i="23"/>
  <c r="M21" i="23"/>
  <c r="L21" i="23"/>
  <c r="K21" i="23"/>
  <c r="J21" i="23"/>
  <c r="I21" i="23"/>
  <c r="H21" i="23"/>
  <c r="G21" i="23"/>
  <c r="F21" i="23"/>
  <c r="E21" i="23"/>
  <c r="D21" i="23"/>
  <c r="CI20" i="23"/>
  <c r="CH20" i="23"/>
  <c r="CG20" i="23"/>
  <c r="CF20" i="23"/>
  <c r="CE20" i="23"/>
  <c r="CD20" i="23"/>
  <c r="CC20" i="23"/>
  <c r="CA20" i="23"/>
  <c r="BY20" i="23"/>
  <c r="BX20" i="23"/>
  <c r="BT20" i="23"/>
  <c r="BS20" i="23"/>
  <c r="BR20" i="23"/>
  <c r="BQ20" i="23"/>
  <c r="BP20" i="23"/>
  <c r="BO20" i="23"/>
  <c r="BJ20" i="23"/>
  <c r="BH20" i="23"/>
  <c r="BG20" i="23"/>
  <c r="BF20" i="23"/>
  <c r="BE20" i="23"/>
  <c r="BD20" i="23"/>
  <c r="BC20" i="23"/>
  <c r="BB20" i="23"/>
  <c r="BA20" i="23"/>
  <c r="AY20" i="23"/>
  <c r="AW20" i="23"/>
  <c r="AV20" i="23"/>
  <c r="AU20" i="23"/>
  <c r="AT20" i="23"/>
  <c r="AS20" i="23"/>
  <c r="AR20" i="23"/>
  <c r="AQ20" i="23"/>
  <c r="AP20" i="23"/>
  <c r="AO20" i="23"/>
  <c r="AN20" i="23"/>
  <c r="AM20" i="23"/>
  <c r="AL20" i="23"/>
  <c r="AK20" i="23"/>
  <c r="AJ20" i="23"/>
  <c r="AI20" i="23"/>
  <c r="AH20" i="23"/>
  <c r="AG20" i="23"/>
  <c r="AF20" i="23"/>
  <c r="AE20" i="23"/>
  <c r="AD20" i="23"/>
  <c r="AC20" i="23"/>
  <c r="AB20" i="23"/>
  <c r="AA20" i="23"/>
  <c r="Z20" i="23"/>
  <c r="Y20" i="23"/>
  <c r="X20" i="23"/>
  <c r="W20" i="23"/>
  <c r="V20" i="23"/>
  <c r="U20" i="23"/>
  <c r="T20" i="23"/>
  <c r="S20" i="23"/>
  <c r="R20" i="23"/>
  <c r="Q20" i="23"/>
  <c r="P20" i="23"/>
  <c r="O20" i="23"/>
  <c r="N20" i="23"/>
  <c r="M20" i="23"/>
  <c r="L20" i="23"/>
  <c r="K20" i="23"/>
  <c r="J20" i="23"/>
  <c r="I20" i="23"/>
  <c r="H20" i="23"/>
  <c r="G20" i="23"/>
  <c r="F20" i="23"/>
  <c r="E20" i="23"/>
  <c r="D20" i="23"/>
  <c r="CI19" i="23"/>
  <c r="CH19" i="23"/>
  <c r="CG19" i="23"/>
  <c r="CF19" i="23"/>
  <c r="CE19" i="23"/>
  <c r="CD19" i="23"/>
  <c r="CC19" i="23"/>
  <c r="CA19" i="23"/>
  <c r="BY19" i="23"/>
  <c r="BX19" i="23"/>
  <c r="BT19" i="23"/>
  <c r="BS19" i="23"/>
  <c r="BR19" i="23"/>
  <c r="BQ19" i="23"/>
  <c r="BP19" i="23"/>
  <c r="BO19" i="23"/>
  <c r="BJ19" i="23"/>
  <c r="BH19" i="23"/>
  <c r="BG19" i="23"/>
  <c r="BF19" i="23"/>
  <c r="BE19" i="23"/>
  <c r="BD19" i="23"/>
  <c r="BC19" i="23"/>
  <c r="BB19" i="23"/>
  <c r="BA19" i="23"/>
  <c r="AY19" i="23"/>
  <c r="AW19" i="23"/>
  <c r="AV19" i="23"/>
  <c r="AU19" i="23"/>
  <c r="AT19" i="23"/>
  <c r="AS19" i="23"/>
  <c r="AR19" i="23"/>
  <c r="AQ19" i="23"/>
  <c r="AP19" i="23"/>
  <c r="AO19" i="23"/>
  <c r="AN19" i="23"/>
  <c r="AM19" i="23"/>
  <c r="AL19" i="23"/>
  <c r="AK19" i="23"/>
  <c r="AJ19" i="23"/>
  <c r="AI19" i="23"/>
  <c r="AH19" i="23"/>
  <c r="AG19" i="23"/>
  <c r="AF19" i="23"/>
  <c r="AE19" i="23"/>
  <c r="AD19" i="23"/>
  <c r="AC19" i="23"/>
  <c r="AB19" i="23"/>
  <c r="AA19" i="23"/>
  <c r="Z19" i="23"/>
  <c r="Y19" i="23"/>
  <c r="X19" i="23"/>
  <c r="W19" i="23"/>
  <c r="V19" i="23"/>
  <c r="U19" i="23"/>
  <c r="T19" i="23"/>
  <c r="S19" i="23"/>
  <c r="R19" i="23"/>
  <c r="Q19" i="23"/>
  <c r="P19" i="23"/>
  <c r="O19" i="23"/>
  <c r="N19" i="23"/>
  <c r="M19" i="23"/>
  <c r="L19" i="23"/>
  <c r="K19" i="23"/>
  <c r="J19" i="23"/>
  <c r="I19" i="23"/>
  <c r="H19" i="23"/>
  <c r="G19" i="23"/>
  <c r="F19" i="23"/>
  <c r="E19" i="23"/>
  <c r="D19" i="23"/>
  <c r="CI18" i="23"/>
  <c r="CH18" i="23"/>
  <c r="CG18" i="23"/>
  <c r="CF18" i="23"/>
  <c r="CE18" i="23"/>
  <c r="CD18" i="23"/>
  <c r="CC18" i="23"/>
  <c r="CA18" i="23"/>
  <c r="BY18" i="23"/>
  <c r="BX18" i="23"/>
  <c r="BT18" i="23"/>
  <c r="BS18" i="23"/>
  <c r="BR18" i="23"/>
  <c r="BQ18" i="23"/>
  <c r="BP18" i="23"/>
  <c r="BO18" i="23"/>
  <c r="BJ18" i="23"/>
  <c r="BH18" i="23"/>
  <c r="BG18" i="23"/>
  <c r="BF18" i="23"/>
  <c r="BE18" i="23"/>
  <c r="BD18" i="23"/>
  <c r="BC18" i="23"/>
  <c r="BB18" i="23"/>
  <c r="BA18" i="23"/>
  <c r="AY18" i="23"/>
  <c r="AW18" i="23"/>
  <c r="AV18" i="23"/>
  <c r="AU18" i="23"/>
  <c r="AT18" i="23"/>
  <c r="AS18" i="23"/>
  <c r="AR18" i="23"/>
  <c r="AQ18" i="23"/>
  <c r="AP18" i="23"/>
  <c r="AO18" i="23"/>
  <c r="AN18" i="23"/>
  <c r="AM18" i="23"/>
  <c r="AL18" i="23"/>
  <c r="AK18" i="23"/>
  <c r="AJ18" i="23"/>
  <c r="AI18" i="23"/>
  <c r="AH18" i="23"/>
  <c r="AG18" i="23"/>
  <c r="AF18" i="23"/>
  <c r="AE18" i="23"/>
  <c r="AD18" i="23"/>
  <c r="AC18" i="23"/>
  <c r="AB18" i="23"/>
  <c r="AA18" i="23"/>
  <c r="Z18" i="23"/>
  <c r="Y18" i="23"/>
  <c r="X18" i="23"/>
  <c r="W18" i="23"/>
  <c r="V18" i="23"/>
  <c r="U18" i="23"/>
  <c r="T18" i="23"/>
  <c r="S18" i="23"/>
  <c r="R18" i="23"/>
  <c r="Q18" i="23"/>
  <c r="P18" i="23"/>
  <c r="O18" i="23"/>
  <c r="N18" i="23"/>
  <c r="M18" i="23"/>
  <c r="L18" i="23"/>
  <c r="K18" i="23"/>
  <c r="J18" i="23"/>
  <c r="I18" i="23"/>
  <c r="H18" i="23"/>
  <c r="G18" i="23"/>
  <c r="F18" i="23"/>
  <c r="E18" i="23"/>
  <c r="D18" i="23"/>
  <c r="BX14" i="23"/>
  <c r="BT14" i="23"/>
  <c r="BS14" i="23"/>
  <c r="BG14" i="23"/>
  <c r="BF14" i="23"/>
  <c r="BE14" i="23"/>
  <c r="AV14" i="23"/>
  <c r="AU14" i="23"/>
  <c r="AT14" i="23"/>
  <c r="AM14" i="23"/>
  <c r="AL14" i="23"/>
  <c r="AK14" i="23"/>
  <c r="AD14" i="23"/>
  <c r="AC14" i="23"/>
  <c r="AB14" i="23"/>
  <c r="U14" i="23"/>
  <c r="T14" i="23"/>
  <c r="S14" i="23"/>
  <c r="L14" i="23"/>
  <c r="K14" i="23"/>
  <c r="J14" i="23"/>
  <c r="BX13" i="23"/>
  <c r="BT13" i="23"/>
  <c r="BS13" i="23"/>
  <c r="BG13" i="23"/>
  <c r="BF13" i="23"/>
  <c r="BE13" i="23"/>
  <c r="AV13" i="23"/>
  <c r="AU13" i="23"/>
  <c r="AT13" i="23"/>
  <c r="AM13" i="23"/>
  <c r="AL13" i="23"/>
  <c r="AK13" i="23"/>
  <c r="AD13" i="23"/>
  <c r="AC13" i="23"/>
  <c r="AB13" i="23"/>
  <c r="U13" i="23"/>
  <c r="T13" i="23"/>
  <c r="S13" i="23"/>
  <c r="L13" i="23"/>
  <c r="K13" i="23"/>
  <c r="J13" i="23"/>
  <c r="BX12" i="23"/>
  <c r="BT12" i="23"/>
  <c r="BS12" i="23"/>
  <c r="BG12" i="23"/>
  <c r="BF12" i="23"/>
  <c r="BE12" i="23"/>
  <c r="AV12" i="23"/>
  <c r="AU12" i="23"/>
  <c r="AT12" i="23"/>
  <c r="AM12" i="23"/>
  <c r="AL12" i="23"/>
  <c r="AK12" i="23"/>
  <c r="AD12" i="23"/>
  <c r="AC12" i="23"/>
  <c r="AB12" i="23"/>
  <c r="U12" i="23"/>
  <c r="T12" i="23"/>
  <c r="S12" i="23"/>
  <c r="L12" i="23"/>
  <c r="K12" i="23"/>
  <c r="J12" i="23"/>
  <c r="AO282" i="16"/>
  <c r="AN282" i="16"/>
  <c r="AM282" i="16"/>
  <c r="AL282" i="16"/>
  <c r="AK282" i="16"/>
  <c r="AJ282" i="16"/>
  <c r="AI282" i="16"/>
  <c r="AH282" i="16"/>
  <c r="AG282" i="16"/>
  <c r="AF282" i="16"/>
  <c r="AE282" i="16"/>
  <c r="AD282" i="16"/>
  <c r="AC282" i="16"/>
  <c r="AB282" i="16"/>
  <c r="AA282" i="16"/>
  <c r="Z282" i="16"/>
  <c r="Y282" i="16"/>
  <c r="X282" i="16"/>
  <c r="W282" i="16"/>
  <c r="V282" i="16"/>
  <c r="U282" i="16"/>
  <c r="T282" i="16"/>
  <c r="S282" i="16"/>
  <c r="R282" i="16"/>
  <c r="Q282" i="16"/>
  <c r="P282" i="16"/>
  <c r="O282" i="16"/>
  <c r="N282" i="16"/>
  <c r="M282" i="16"/>
  <c r="L282" i="16"/>
  <c r="K282" i="16"/>
  <c r="J282" i="16"/>
  <c r="I282" i="16"/>
  <c r="H282" i="16"/>
  <c r="G282" i="16"/>
  <c r="F282" i="16"/>
  <c r="AO281" i="16"/>
  <c r="AN281" i="16"/>
  <c r="AM281" i="16"/>
  <c r="AL281" i="16"/>
  <c r="AK281" i="16"/>
  <c r="AJ281" i="16"/>
  <c r="AI281" i="16"/>
  <c r="AH281" i="16"/>
  <c r="AG281" i="16"/>
  <c r="AF281" i="16"/>
  <c r="AE281" i="16"/>
  <c r="AD281" i="16"/>
  <c r="AC281" i="16"/>
  <c r="AB281" i="16"/>
  <c r="AA281" i="16"/>
  <c r="Z281" i="16"/>
  <c r="Y281" i="16"/>
  <c r="X281" i="16"/>
  <c r="W281" i="16"/>
  <c r="V281" i="16"/>
  <c r="U281" i="16"/>
  <c r="T281" i="16"/>
  <c r="S281" i="16"/>
  <c r="R281" i="16"/>
  <c r="Q281" i="16"/>
  <c r="P281" i="16"/>
  <c r="O281" i="16"/>
  <c r="N281" i="16"/>
  <c r="M281" i="16"/>
  <c r="L281" i="16"/>
  <c r="K281" i="16"/>
  <c r="J281" i="16"/>
  <c r="I281" i="16"/>
  <c r="H281" i="16"/>
  <c r="G281" i="16"/>
  <c r="F281" i="16"/>
  <c r="AO280" i="16"/>
  <c r="AN280" i="16"/>
  <c r="AM280" i="16"/>
  <c r="AL280" i="16"/>
  <c r="AK280" i="16"/>
  <c r="AJ280" i="16"/>
  <c r="AI280" i="16"/>
  <c r="AH280" i="16"/>
  <c r="AG280" i="16"/>
  <c r="AF280" i="16"/>
  <c r="AE280" i="16"/>
  <c r="AD280" i="16"/>
  <c r="AC280" i="16"/>
  <c r="AB280" i="16"/>
  <c r="AA280" i="16"/>
  <c r="Z280" i="16"/>
  <c r="Y280" i="16"/>
  <c r="X280" i="16"/>
  <c r="W280" i="16"/>
  <c r="V280" i="16"/>
  <c r="U280" i="16"/>
  <c r="T280" i="16"/>
  <c r="S280" i="16"/>
  <c r="R280" i="16"/>
  <c r="Q280" i="16"/>
  <c r="P280" i="16"/>
  <c r="O280" i="16"/>
  <c r="N280" i="16"/>
  <c r="M280" i="16"/>
  <c r="L280" i="16"/>
  <c r="K280" i="16"/>
  <c r="J280" i="16"/>
  <c r="I280" i="16"/>
  <c r="H280" i="16"/>
  <c r="G280" i="16"/>
  <c r="F280" i="16"/>
  <c r="AO279" i="16"/>
  <c r="AN279" i="16"/>
  <c r="AM279" i="16"/>
  <c r="AL279" i="16"/>
  <c r="AK279" i="16"/>
  <c r="AJ279" i="16"/>
  <c r="AI279" i="16"/>
  <c r="AH279" i="16"/>
  <c r="AG279" i="16"/>
  <c r="AF279" i="16"/>
  <c r="AE279" i="16"/>
  <c r="AD279" i="16"/>
  <c r="AC279" i="16"/>
  <c r="AB279" i="16"/>
  <c r="AA279" i="16"/>
  <c r="Z279" i="16"/>
  <c r="Y279" i="16"/>
  <c r="X279" i="16"/>
  <c r="W279" i="16"/>
  <c r="V279" i="16"/>
  <c r="U279" i="16"/>
  <c r="T279" i="16"/>
  <c r="S279" i="16"/>
  <c r="R279" i="16"/>
  <c r="Q279" i="16"/>
  <c r="P279" i="16"/>
  <c r="O279" i="16"/>
  <c r="N279" i="16"/>
  <c r="M279" i="16"/>
  <c r="L279" i="16"/>
  <c r="K279" i="16"/>
  <c r="J279" i="16"/>
  <c r="I279" i="16"/>
  <c r="H279" i="16"/>
  <c r="G279" i="16"/>
  <c r="F279" i="16"/>
  <c r="AO278" i="16"/>
  <c r="AN278" i="16"/>
  <c r="AM278" i="16"/>
  <c r="AL278" i="16"/>
  <c r="AK278" i="16"/>
  <c r="AJ278" i="16"/>
  <c r="AI278" i="16"/>
  <c r="AH278" i="16"/>
  <c r="AG278" i="16"/>
  <c r="AF278" i="16"/>
  <c r="AE278" i="16"/>
  <c r="AD278" i="16"/>
  <c r="AC278" i="16"/>
  <c r="AB278" i="16"/>
  <c r="AA278" i="16"/>
  <c r="Z278" i="16"/>
  <c r="Y278" i="16"/>
  <c r="X278" i="16"/>
  <c r="W278" i="16"/>
  <c r="V278" i="16"/>
  <c r="U278" i="16"/>
  <c r="T278" i="16"/>
  <c r="S278" i="16"/>
  <c r="R278" i="16"/>
  <c r="Q278" i="16"/>
  <c r="P278" i="16"/>
  <c r="O278" i="16"/>
  <c r="N278" i="16"/>
  <c r="M278" i="16"/>
  <c r="L278" i="16"/>
  <c r="K278" i="16"/>
  <c r="J278" i="16"/>
  <c r="I278" i="16"/>
  <c r="H278" i="16"/>
  <c r="G278" i="16"/>
  <c r="F278" i="16"/>
  <c r="AO277" i="16"/>
  <c r="AN277" i="16"/>
  <c r="AM277" i="16"/>
  <c r="AL277" i="16"/>
  <c r="AK277" i="16"/>
  <c r="AJ277" i="16"/>
  <c r="AI277" i="16"/>
  <c r="AH277" i="16"/>
  <c r="AG277" i="16"/>
  <c r="AF277" i="16"/>
  <c r="AE277" i="16"/>
  <c r="AD277" i="16"/>
  <c r="AC277" i="16"/>
  <c r="AB277" i="16"/>
  <c r="AA277" i="16"/>
  <c r="Z277" i="16"/>
  <c r="Y277" i="16"/>
  <c r="X277" i="16"/>
  <c r="W277" i="16"/>
  <c r="V277" i="16"/>
  <c r="U277" i="16"/>
  <c r="T277" i="16"/>
  <c r="S277" i="16"/>
  <c r="R277" i="16"/>
  <c r="Q277" i="16"/>
  <c r="P277" i="16"/>
  <c r="O277" i="16"/>
  <c r="N277" i="16"/>
  <c r="M277" i="16"/>
  <c r="L277" i="16"/>
  <c r="K277" i="16"/>
  <c r="J277" i="16"/>
  <c r="I277" i="16"/>
  <c r="H277" i="16"/>
  <c r="G277" i="16"/>
  <c r="F277" i="16"/>
  <c r="W272" i="16"/>
  <c r="V272" i="16"/>
  <c r="U272" i="16"/>
  <c r="T272" i="16"/>
  <c r="S272" i="16"/>
  <c r="R272" i="16"/>
  <c r="Q272" i="16"/>
  <c r="P272" i="16"/>
  <c r="O272" i="16"/>
  <c r="N272" i="16"/>
  <c r="M272" i="16"/>
  <c r="L272" i="16"/>
  <c r="K272" i="16"/>
  <c r="J272" i="16"/>
  <c r="I272" i="16"/>
  <c r="H272" i="16"/>
  <c r="G272" i="16"/>
  <c r="F272" i="16"/>
  <c r="W271" i="16"/>
  <c r="V271" i="16"/>
  <c r="U271" i="16"/>
  <c r="T271" i="16"/>
  <c r="S271" i="16"/>
  <c r="R271" i="16"/>
  <c r="Q271" i="16"/>
  <c r="P271" i="16"/>
  <c r="O271" i="16"/>
  <c r="N271" i="16"/>
  <c r="M271" i="16"/>
  <c r="L271" i="16"/>
  <c r="K271" i="16"/>
  <c r="J271" i="16"/>
  <c r="I271" i="16"/>
  <c r="H271" i="16"/>
  <c r="G271" i="16"/>
  <c r="F271" i="16"/>
  <c r="W270" i="16"/>
  <c r="V270" i="16"/>
  <c r="U270" i="16"/>
  <c r="T270" i="16"/>
  <c r="S270" i="16"/>
  <c r="R270" i="16"/>
  <c r="Q270" i="16"/>
  <c r="P270" i="16"/>
  <c r="O270" i="16"/>
  <c r="N270" i="16"/>
  <c r="M270" i="16"/>
  <c r="L270" i="16"/>
  <c r="K270" i="16"/>
  <c r="J270" i="16"/>
  <c r="I270" i="16"/>
  <c r="H270" i="16"/>
  <c r="G270" i="16"/>
  <c r="F270" i="16"/>
  <c r="W269" i="16"/>
  <c r="V269" i="16"/>
  <c r="U269" i="16"/>
  <c r="T269" i="16"/>
  <c r="S269" i="16"/>
  <c r="R269" i="16"/>
  <c r="Q269" i="16"/>
  <c r="P269" i="16"/>
  <c r="O269" i="16"/>
  <c r="N269" i="16"/>
  <c r="M269" i="16"/>
  <c r="L269" i="16"/>
  <c r="K269" i="16"/>
  <c r="J269" i="16"/>
  <c r="I269" i="16"/>
  <c r="H269" i="16"/>
  <c r="G269" i="16"/>
  <c r="F269" i="16"/>
  <c r="W268" i="16"/>
  <c r="V268" i="16"/>
  <c r="U268" i="16"/>
  <c r="T268" i="16"/>
  <c r="S268" i="16"/>
  <c r="R268" i="16"/>
  <c r="Q268" i="16"/>
  <c r="P268" i="16"/>
  <c r="O268" i="16"/>
  <c r="N268" i="16"/>
  <c r="M268" i="16"/>
  <c r="L268" i="16"/>
  <c r="K268" i="16"/>
  <c r="J268" i="16"/>
  <c r="I268" i="16"/>
  <c r="H268" i="16"/>
  <c r="G268" i="16"/>
  <c r="F268" i="16"/>
  <c r="W267" i="16"/>
  <c r="V267" i="16"/>
  <c r="U267" i="16"/>
  <c r="T267" i="16"/>
  <c r="S267" i="16"/>
  <c r="R267" i="16"/>
  <c r="Q267" i="16"/>
  <c r="P267" i="16"/>
  <c r="O267" i="16"/>
  <c r="N267" i="16"/>
  <c r="M267" i="16"/>
  <c r="L267" i="16"/>
  <c r="K267" i="16"/>
  <c r="J267" i="16"/>
  <c r="I267" i="16"/>
  <c r="H267" i="16"/>
  <c r="G267" i="16"/>
  <c r="F267" i="16"/>
  <c r="BA263" i="16"/>
  <c r="AZ263" i="16"/>
  <c r="AY263" i="16"/>
  <c r="AX263" i="16"/>
  <c r="AW263" i="16"/>
  <c r="AV263" i="16"/>
  <c r="AU263" i="16"/>
  <c r="AT263" i="16"/>
  <c r="AS263" i="16"/>
  <c r="AR263" i="16"/>
  <c r="AQ263" i="16"/>
  <c r="AP263" i="16"/>
  <c r="AO263" i="16"/>
  <c r="AN263" i="16"/>
  <c r="AM263" i="16"/>
  <c r="AL263" i="16"/>
  <c r="AK263" i="16"/>
  <c r="AJ263" i="16"/>
  <c r="AI263" i="16"/>
  <c r="AH263" i="16"/>
  <c r="AG263" i="16"/>
  <c r="AF263" i="16"/>
  <c r="AE263" i="16"/>
  <c r="AD263" i="16"/>
  <c r="AC263" i="16"/>
  <c r="AB263" i="16"/>
  <c r="AA263" i="16"/>
  <c r="Z263" i="16"/>
  <c r="Y263" i="16"/>
  <c r="X263" i="16"/>
  <c r="W263" i="16"/>
  <c r="V263" i="16"/>
  <c r="U263" i="16"/>
  <c r="T263" i="16"/>
  <c r="S263" i="16"/>
  <c r="R263" i="16"/>
  <c r="Q263" i="16"/>
  <c r="P263" i="16"/>
  <c r="O263" i="16"/>
  <c r="N263" i="16"/>
  <c r="M263" i="16"/>
  <c r="L263" i="16"/>
  <c r="K263" i="16"/>
  <c r="J263" i="16"/>
  <c r="I263" i="16"/>
  <c r="H263" i="16"/>
  <c r="G263" i="16"/>
  <c r="F263" i="16"/>
  <c r="BA262" i="16"/>
  <c r="AZ262" i="16"/>
  <c r="AY262" i="16"/>
  <c r="AX262" i="16"/>
  <c r="AW262" i="16"/>
  <c r="AV262" i="16"/>
  <c r="AU262" i="16"/>
  <c r="AT262" i="16"/>
  <c r="AS262" i="16"/>
  <c r="AR262" i="16"/>
  <c r="AQ262" i="16"/>
  <c r="AP262" i="16"/>
  <c r="AO262" i="16"/>
  <c r="AN262" i="16"/>
  <c r="AM262" i="16"/>
  <c r="AL262" i="16"/>
  <c r="AK262" i="16"/>
  <c r="AJ262" i="16"/>
  <c r="AI262" i="16"/>
  <c r="AH262" i="16"/>
  <c r="AG262" i="16"/>
  <c r="AF262" i="16"/>
  <c r="AE262" i="16"/>
  <c r="AD262" i="16"/>
  <c r="AC262" i="16"/>
  <c r="AB262" i="16"/>
  <c r="AA262" i="16"/>
  <c r="Z262" i="16"/>
  <c r="Y262" i="16"/>
  <c r="X262" i="16"/>
  <c r="W262" i="16"/>
  <c r="V262" i="16"/>
  <c r="U262" i="16"/>
  <c r="T262" i="16"/>
  <c r="S262" i="16"/>
  <c r="R262" i="16"/>
  <c r="Q262" i="16"/>
  <c r="P262" i="16"/>
  <c r="O262" i="16"/>
  <c r="N262" i="16"/>
  <c r="M262" i="16"/>
  <c r="L262" i="16"/>
  <c r="K262" i="16"/>
  <c r="J262" i="16"/>
  <c r="I262" i="16"/>
  <c r="H262" i="16"/>
  <c r="G262" i="16"/>
  <c r="F262" i="16"/>
  <c r="BA261" i="16"/>
  <c r="AZ261" i="16"/>
  <c r="AY261" i="16"/>
  <c r="AX261" i="16"/>
  <c r="AW261" i="16"/>
  <c r="AV261" i="16"/>
  <c r="AU261" i="16"/>
  <c r="AT261" i="16"/>
  <c r="AS261" i="16"/>
  <c r="AR261" i="16"/>
  <c r="AQ261" i="16"/>
  <c r="AP261" i="16"/>
  <c r="AO261" i="16"/>
  <c r="AN261" i="16"/>
  <c r="AM261" i="16"/>
  <c r="AL261" i="16"/>
  <c r="AK261" i="16"/>
  <c r="AJ261" i="16"/>
  <c r="AI261" i="16"/>
  <c r="AH261" i="16"/>
  <c r="AG261" i="16"/>
  <c r="AF261" i="16"/>
  <c r="AE261" i="16"/>
  <c r="AD261" i="16"/>
  <c r="AC261" i="16"/>
  <c r="AB261" i="16"/>
  <c r="AA261" i="16"/>
  <c r="Z261" i="16"/>
  <c r="Y261" i="16"/>
  <c r="X261" i="16"/>
  <c r="W261" i="16"/>
  <c r="V261" i="16"/>
  <c r="U261" i="16"/>
  <c r="T261" i="16"/>
  <c r="S261" i="16"/>
  <c r="R261" i="16"/>
  <c r="Q261" i="16"/>
  <c r="P261" i="16"/>
  <c r="O261" i="16"/>
  <c r="N261" i="16"/>
  <c r="M261" i="16"/>
  <c r="L261" i="16"/>
  <c r="K261" i="16"/>
  <c r="J261" i="16"/>
  <c r="I261" i="16"/>
  <c r="H261" i="16"/>
  <c r="G261" i="16"/>
  <c r="F261" i="16"/>
  <c r="BA260" i="16"/>
  <c r="AZ260" i="16"/>
  <c r="AY260" i="16"/>
  <c r="AX260" i="16"/>
  <c r="AW260" i="16"/>
  <c r="AV260" i="16"/>
  <c r="AU260" i="16"/>
  <c r="AT260" i="16"/>
  <c r="AS260" i="16"/>
  <c r="AR260" i="16"/>
  <c r="AQ260" i="16"/>
  <c r="AP260" i="16"/>
  <c r="AO260" i="16"/>
  <c r="AN260" i="16"/>
  <c r="AM260" i="16"/>
  <c r="AL260" i="16"/>
  <c r="AK260" i="16"/>
  <c r="AJ260" i="16"/>
  <c r="AI260" i="16"/>
  <c r="AH260" i="16"/>
  <c r="AG260" i="16"/>
  <c r="AF260" i="16"/>
  <c r="AE260" i="16"/>
  <c r="AD260" i="16"/>
  <c r="AC260" i="16"/>
  <c r="AB260" i="16"/>
  <c r="AA260" i="16"/>
  <c r="Z260" i="16"/>
  <c r="Y260" i="16"/>
  <c r="X260" i="16"/>
  <c r="W260" i="16"/>
  <c r="V260" i="16"/>
  <c r="U260" i="16"/>
  <c r="T260" i="16"/>
  <c r="S260" i="16"/>
  <c r="R260" i="16"/>
  <c r="Q260" i="16"/>
  <c r="P260" i="16"/>
  <c r="O260" i="16"/>
  <c r="N260" i="16"/>
  <c r="M260" i="16"/>
  <c r="L260" i="16"/>
  <c r="K260" i="16"/>
  <c r="J260" i="16"/>
  <c r="I260" i="16"/>
  <c r="H260" i="16"/>
  <c r="G260" i="16"/>
  <c r="F260" i="16"/>
  <c r="BA259" i="16"/>
  <c r="AZ259" i="16"/>
  <c r="AY259" i="16"/>
  <c r="AX259" i="16"/>
  <c r="AW259" i="16"/>
  <c r="AV259" i="16"/>
  <c r="AU259" i="16"/>
  <c r="AT259" i="16"/>
  <c r="AS259" i="16"/>
  <c r="AR259" i="16"/>
  <c r="AQ259" i="16"/>
  <c r="AP259" i="16"/>
  <c r="AO259" i="16"/>
  <c r="AN259" i="16"/>
  <c r="AM259" i="16"/>
  <c r="AL259" i="16"/>
  <c r="AK259" i="16"/>
  <c r="AJ259" i="16"/>
  <c r="AI259" i="16"/>
  <c r="AH259" i="16"/>
  <c r="AG259" i="16"/>
  <c r="AF259" i="16"/>
  <c r="AE259" i="16"/>
  <c r="AD259" i="16"/>
  <c r="AC259" i="16"/>
  <c r="AB259" i="16"/>
  <c r="AA259" i="16"/>
  <c r="Z259" i="16"/>
  <c r="Y259" i="16"/>
  <c r="X259" i="16"/>
  <c r="W259" i="16"/>
  <c r="V259" i="16"/>
  <c r="U259" i="16"/>
  <c r="T259" i="16"/>
  <c r="S259" i="16"/>
  <c r="R259" i="16"/>
  <c r="Q259" i="16"/>
  <c r="P259" i="16"/>
  <c r="O259" i="16"/>
  <c r="N259" i="16"/>
  <c r="M259" i="16"/>
  <c r="L259" i="16"/>
  <c r="K259" i="16"/>
  <c r="J259" i="16"/>
  <c r="I259" i="16"/>
  <c r="H259" i="16"/>
  <c r="G259" i="16"/>
  <c r="F259" i="16"/>
  <c r="BA258" i="16"/>
  <c r="AZ258" i="16"/>
  <c r="AY258" i="16"/>
  <c r="AX258" i="16"/>
  <c r="AW258" i="16"/>
  <c r="AV258" i="16"/>
  <c r="AU258" i="16"/>
  <c r="AT258" i="16"/>
  <c r="AS258" i="16"/>
  <c r="AR258" i="16"/>
  <c r="AQ258" i="16"/>
  <c r="AP258" i="16"/>
  <c r="AO258" i="16"/>
  <c r="AN258" i="16"/>
  <c r="AM258" i="16"/>
  <c r="AL258" i="16"/>
  <c r="AK258" i="16"/>
  <c r="AJ258" i="16"/>
  <c r="AI258" i="16"/>
  <c r="AH258" i="16"/>
  <c r="AG258" i="16"/>
  <c r="AF258" i="16"/>
  <c r="AE258" i="16"/>
  <c r="AD258" i="16"/>
  <c r="AC258" i="16"/>
  <c r="AB258" i="16"/>
  <c r="AA258" i="16"/>
  <c r="Z258" i="16"/>
  <c r="Y258" i="16"/>
  <c r="X258" i="16"/>
  <c r="W258" i="16"/>
  <c r="V258" i="16"/>
  <c r="U258" i="16"/>
  <c r="T258" i="16"/>
  <c r="S258" i="16"/>
  <c r="R258" i="16"/>
  <c r="Q258" i="16"/>
  <c r="P258" i="16"/>
  <c r="O258" i="16"/>
  <c r="N258" i="16"/>
  <c r="M258" i="16"/>
  <c r="L258" i="16"/>
  <c r="K258" i="16"/>
  <c r="J258" i="16"/>
  <c r="I258" i="16"/>
  <c r="H258" i="16"/>
  <c r="G258" i="16"/>
  <c r="F258" i="16"/>
  <c r="AC253" i="16"/>
  <c r="AB253" i="16"/>
  <c r="AA253" i="16"/>
  <c r="Z253" i="16"/>
  <c r="Y253" i="16"/>
  <c r="X253" i="16"/>
  <c r="W253" i="16"/>
  <c r="V253" i="16"/>
  <c r="U253" i="16"/>
  <c r="T253" i="16"/>
  <c r="S253" i="16"/>
  <c r="R253" i="16"/>
  <c r="Q253" i="16"/>
  <c r="P253" i="16"/>
  <c r="O253" i="16"/>
  <c r="N253" i="16"/>
  <c r="M253" i="16"/>
  <c r="L253" i="16"/>
  <c r="K253" i="16"/>
  <c r="J253" i="16"/>
  <c r="I253" i="16"/>
  <c r="H253" i="16"/>
  <c r="G253" i="16"/>
  <c r="F253" i="16"/>
  <c r="AC252" i="16"/>
  <c r="AB252" i="16"/>
  <c r="AA252" i="16"/>
  <c r="Z252" i="16"/>
  <c r="Y252" i="16"/>
  <c r="X252" i="16"/>
  <c r="W252" i="16"/>
  <c r="V252" i="16"/>
  <c r="U252" i="16"/>
  <c r="T252" i="16"/>
  <c r="S252" i="16"/>
  <c r="R252" i="16"/>
  <c r="Q252" i="16"/>
  <c r="P252" i="16"/>
  <c r="O252" i="16"/>
  <c r="N252" i="16"/>
  <c r="M252" i="16"/>
  <c r="L252" i="16"/>
  <c r="K252" i="16"/>
  <c r="J252" i="16"/>
  <c r="I252" i="16"/>
  <c r="H252" i="16"/>
  <c r="G252" i="16"/>
  <c r="F252" i="16"/>
  <c r="AC251" i="16"/>
  <c r="AB251" i="16"/>
  <c r="AA251" i="16"/>
  <c r="Z251" i="16"/>
  <c r="Y251" i="16"/>
  <c r="X251" i="16"/>
  <c r="W251" i="16"/>
  <c r="V251" i="16"/>
  <c r="U251" i="16"/>
  <c r="T251" i="16"/>
  <c r="S251" i="16"/>
  <c r="R251" i="16"/>
  <c r="Q251" i="16"/>
  <c r="P251" i="16"/>
  <c r="O251" i="16"/>
  <c r="N251" i="16"/>
  <c r="M251" i="16"/>
  <c r="L251" i="16"/>
  <c r="K251" i="16"/>
  <c r="J251" i="16"/>
  <c r="I251" i="16"/>
  <c r="H251" i="16"/>
  <c r="G251" i="16"/>
  <c r="F251" i="16"/>
  <c r="AC250" i="16"/>
  <c r="AB250" i="16"/>
  <c r="AA250" i="16"/>
  <c r="Z250" i="16"/>
  <c r="Y250" i="16"/>
  <c r="X250" i="16"/>
  <c r="W250" i="16"/>
  <c r="V250" i="16"/>
  <c r="U250" i="16"/>
  <c r="T250" i="16"/>
  <c r="S250" i="16"/>
  <c r="R250" i="16"/>
  <c r="Q250" i="16"/>
  <c r="P250" i="16"/>
  <c r="O250" i="16"/>
  <c r="N250" i="16"/>
  <c r="M250" i="16"/>
  <c r="L250" i="16"/>
  <c r="K250" i="16"/>
  <c r="J250" i="16"/>
  <c r="I250" i="16"/>
  <c r="H250" i="16"/>
  <c r="G250" i="16"/>
  <c r="F250" i="16"/>
  <c r="AC249" i="16"/>
  <c r="AB249" i="16"/>
  <c r="AA249" i="16"/>
  <c r="Z249" i="16"/>
  <c r="Y249" i="16"/>
  <c r="X249" i="16"/>
  <c r="W249" i="16"/>
  <c r="V249" i="16"/>
  <c r="U249" i="16"/>
  <c r="T249" i="16"/>
  <c r="S249" i="16"/>
  <c r="R249" i="16"/>
  <c r="Q249" i="16"/>
  <c r="P249" i="16"/>
  <c r="O249" i="16"/>
  <c r="N249" i="16"/>
  <c r="M249" i="16"/>
  <c r="L249" i="16"/>
  <c r="K249" i="16"/>
  <c r="J249" i="16"/>
  <c r="I249" i="16"/>
  <c r="H249" i="16"/>
  <c r="G249" i="16"/>
  <c r="F249" i="16"/>
  <c r="AC248" i="16"/>
  <c r="AB248" i="16"/>
  <c r="AA248" i="16"/>
  <c r="Z248" i="16"/>
  <c r="Y248" i="16"/>
  <c r="X248" i="16"/>
  <c r="W248" i="16"/>
  <c r="V248" i="16"/>
  <c r="U248" i="16"/>
  <c r="T248" i="16"/>
  <c r="S248" i="16"/>
  <c r="R248" i="16"/>
  <c r="Q248" i="16"/>
  <c r="P248" i="16"/>
  <c r="O248" i="16"/>
  <c r="N248" i="16"/>
  <c r="M248" i="16"/>
  <c r="L248" i="16"/>
  <c r="K248" i="16"/>
  <c r="J248" i="16"/>
  <c r="I248" i="16"/>
  <c r="H248" i="16"/>
  <c r="G248" i="16"/>
  <c r="F248" i="16"/>
  <c r="AH200" i="16"/>
  <c r="AG200" i="16"/>
  <c r="AF200" i="16"/>
  <c r="AE200" i="16"/>
  <c r="AD200" i="16"/>
  <c r="AC200" i="16"/>
  <c r="AB200" i="16"/>
  <c r="AA200" i="16"/>
  <c r="Z200" i="16"/>
  <c r="Y200" i="16"/>
  <c r="X200" i="16"/>
  <c r="W200" i="16"/>
  <c r="V200" i="16"/>
  <c r="U200" i="16"/>
  <c r="T200" i="16"/>
  <c r="S200" i="16"/>
  <c r="R200" i="16"/>
  <c r="Q200" i="16"/>
  <c r="P200" i="16"/>
  <c r="O200" i="16"/>
  <c r="N200" i="16"/>
  <c r="M200" i="16"/>
  <c r="L200" i="16"/>
  <c r="K200" i="16"/>
  <c r="J200" i="16"/>
  <c r="I200" i="16"/>
  <c r="H200" i="16"/>
  <c r="G200" i="16"/>
  <c r="F200" i="16"/>
  <c r="E200" i="16"/>
  <c r="D200" i="16"/>
  <c r="C200" i="16"/>
  <c r="AH199" i="16"/>
  <c r="AG199" i="16"/>
  <c r="AF199" i="16"/>
  <c r="AE199" i="16"/>
  <c r="AD199" i="16"/>
  <c r="AC199" i="16"/>
  <c r="AB199" i="16"/>
  <c r="AA199" i="16"/>
  <c r="Z199" i="16"/>
  <c r="Y199" i="16"/>
  <c r="X199" i="16"/>
  <c r="W199" i="16"/>
  <c r="V199" i="16"/>
  <c r="U199" i="16"/>
  <c r="T199" i="16"/>
  <c r="S199" i="16"/>
  <c r="R199" i="16"/>
  <c r="Q199" i="16"/>
  <c r="P199" i="16"/>
  <c r="O199" i="16"/>
  <c r="N199" i="16"/>
  <c r="M199" i="16"/>
  <c r="L199" i="16"/>
  <c r="K199" i="16"/>
  <c r="J199" i="16"/>
  <c r="I199" i="16"/>
  <c r="H199" i="16"/>
  <c r="G199" i="16"/>
  <c r="F199" i="16"/>
  <c r="E199" i="16"/>
  <c r="D199" i="16"/>
  <c r="C199" i="16"/>
  <c r="AH198" i="16"/>
  <c r="AG198" i="16"/>
  <c r="AF198" i="16"/>
  <c r="AE198" i="16"/>
  <c r="AD198" i="16"/>
  <c r="AC198" i="16"/>
  <c r="AB198" i="16"/>
  <c r="AA198" i="16"/>
  <c r="Z198" i="16"/>
  <c r="Y198" i="16"/>
  <c r="X198" i="16"/>
  <c r="W198" i="16"/>
  <c r="V198" i="16"/>
  <c r="U198" i="16"/>
  <c r="T198" i="16"/>
  <c r="S198" i="16"/>
  <c r="R198" i="16"/>
  <c r="Q198" i="16"/>
  <c r="P198" i="16"/>
  <c r="O198" i="16"/>
  <c r="N198" i="16"/>
  <c r="M198" i="16"/>
  <c r="L198" i="16"/>
  <c r="K198" i="16"/>
  <c r="J198" i="16"/>
  <c r="I198" i="16"/>
  <c r="H198" i="16"/>
  <c r="G198" i="16"/>
  <c r="F198" i="16"/>
  <c r="E198" i="16"/>
  <c r="D198" i="16"/>
  <c r="C198" i="16"/>
  <c r="AH197" i="16"/>
  <c r="AG197" i="16"/>
  <c r="AF197" i="16"/>
  <c r="AE197" i="16"/>
  <c r="AD197" i="16"/>
  <c r="AC197" i="16"/>
  <c r="AB197" i="16"/>
  <c r="AA197" i="16"/>
  <c r="Z197" i="16"/>
  <c r="Y197" i="16"/>
  <c r="X197" i="16"/>
  <c r="W197" i="16"/>
  <c r="V197" i="16"/>
  <c r="U197" i="16"/>
  <c r="T197" i="16"/>
  <c r="S197" i="16"/>
  <c r="R197" i="16"/>
  <c r="Q197" i="16"/>
  <c r="P197" i="16"/>
  <c r="O197" i="16"/>
  <c r="N197" i="16"/>
  <c r="M197" i="16"/>
  <c r="L197" i="16"/>
  <c r="K197" i="16"/>
  <c r="J197" i="16"/>
  <c r="I197" i="16"/>
  <c r="H197" i="16"/>
  <c r="G197" i="16"/>
  <c r="F197" i="16"/>
  <c r="E197" i="16"/>
  <c r="D197" i="16"/>
  <c r="C197" i="16"/>
  <c r="BC196" i="16"/>
  <c r="BB196" i="16"/>
  <c r="BA196" i="16"/>
  <c r="AZ196" i="16"/>
  <c r="AY196" i="16"/>
  <c r="AX196" i="16"/>
  <c r="AW196" i="16"/>
  <c r="AV196" i="16"/>
  <c r="AU196" i="16"/>
  <c r="AT196" i="16"/>
  <c r="AS196" i="16"/>
  <c r="AR196" i="16"/>
  <c r="AH196" i="16"/>
  <c r="AG196" i="16"/>
  <c r="AF196" i="16"/>
  <c r="AE196" i="16"/>
  <c r="AD196" i="16"/>
  <c r="AC196" i="16"/>
  <c r="AB196" i="16"/>
  <c r="AA196" i="16"/>
  <c r="Z196" i="16"/>
  <c r="Y196" i="16"/>
  <c r="X196" i="16"/>
  <c r="W196" i="16"/>
  <c r="V196" i="16"/>
  <c r="U196" i="16"/>
  <c r="T196" i="16"/>
  <c r="S196" i="16"/>
  <c r="R196" i="16"/>
  <c r="Q196" i="16"/>
  <c r="P196" i="16"/>
  <c r="O196" i="16"/>
  <c r="N196" i="16"/>
  <c r="M196" i="16"/>
  <c r="L196" i="16"/>
  <c r="K196" i="16"/>
  <c r="J196" i="16"/>
  <c r="I196" i="16"/>
  <c r="H196" i="16"/>
  <c r="G196" i="16"/>
  <c r="F196" i="16"/>
  <c r="E196" i="16"/>
  <c r="D196" i="16"/>
  <c r="C196" i="16"/>
  <c r="BC195" i="16"/>
  <c r="BB195" i="16"/>
  <c r="BA195" i="16"/>
  <c r="AZ195" i="16"/>
  <c r="AY195" i="16"/>
  <c r="AX195" i="16"/>
  <c r="AW195" i="16"/>
  <c r="AV195" i="16"/>
  <c r="AU195" i="16"/>
  <c r="AT195" i="16"/>
  <c r="AS195" i="16"/>
  <c r="AR195" i="16"/>
  <c r="AH195" i="16"/>
  <c r="AG195" i="16"/>
  <c r="AF195" i="16"/>
  <c r="AE195" i="16"/>
  <c r="AD195" i="16"/>
  <c r="AC195" i="16"/>
  <c r="AB195" i="16"/>
  <c r="AA195" i="16"/>
  <c r="Z195" i="16"/>
  <c r="Y195" i="16"/>
  <c r="X195" i="16"/>
  <c r="W195" i="16"/>
  <c r="V195" i="16"/>
  <c r="U195" i="16"/>
  <c r="T195" i="16"/>
  <c r="S195" i="16"/>
  <c r="R195" i="16"/>
  <c r="Q195" i="16"/>
  <c r="P195" i="16"/>
  <c r="O195" i="16"/>
  <c r="N195" i="16"/>
  <c r="M195" i="16"/>
  <c r="L195" i="16"/>
  <c r="K195" i="16"/>
  <c r="J195" i="16"/>
  <c r="I195" i="16"/>
  <c r="H195" i="16"/>
  <c r="G195" i="16"/>
  <c r="F195" i="16"/>
  <c r="E195" i="16"/>
  <c r="D195" i="16"/>
  <c r="C195" i="16"/>
  <c r="BC194" i="16"/>
  <c r="BB194" i="16"/>
  <c r="BA194" i="16"/>
  <c r="AZ194" i="16"/>
  <c r="AY194" i="16"/>
  <c r="AX194" i="16"/>
  <c r="AW194" i="16"/>
  <c r="AV194" i="16"/>
  <c r="AU194" i="16"/>
  <c r="AT194" i="16"/>
  <c r="AS194" i="16"/>
  <c r="AR194" i="16"/>
  <c r="BC193" i="16"/>
  <c r="BB193" i="16"/>
  <c r="BA193" i="16"/>
  <c r="AZ193" i="16"/>
  <c r="AY193" i="16"/>
  <c r="AX193" i="16"/>
  <c r="AW193" i="16"/>
  <c r="AV193" i="16"/>
  <c r="AU193" i="16"/>
  <c r="AT193" i="16"/>
  <c r="AS193" i="16"/>
  <c r="AR193" i="16"/>
  <c r="N188" i="16"/>
  <c r="M188" i="16"/>
  <c r="L188" i="16"/>
  <c r="K188" i="16"/>
  <c r="J188" i="16"/>
  <c r="I188" i="16"/>
  <c r="H188" i="16"/>
  <c r="G188" i="16"/>
  <c r="F188" i="16"/>
  <c r="E188" i="16"/>
  <c r="D188" i="16"/>
  <c r="C188" i="16"/>
  <c r="N187" i="16"/>
  <c r="M187" i="16"/>
  <c r="L187" i="16"/>
  <c r="K187" i="16"/>
  <c r="J187" i="16"/>
  <c r="I187" i="16"/>
  <c r="H187" i="16"/>
  <c r="G187" i="16"/>
  <c r="F187" i="16"/>
  <c r="E187" i="16"/>
  <c r="D187" i="16"/>
  <c r="C187" i="16"/>
  <c r="N186" i="16"/>
  <c r="M186" i="16"/>
  <c r="L186" i="16"/>
  <c r="K186" i="16"/>
  <c r="J186" i="16"/>
  <c r="I186" i="16"/>
  <c r="H186" i="16"/>
  <c r="G186" i="16"/>
  <c r="F186" i="16"/>
  <c r="E186" i="16"/>
  <c r="D186" i="16"/>
  <c r="C186" i="16"/>
  <c r="N185" i="16"/>
  <c r="M185" i="16"/>
  <c r="L185" i="16"/>
  <c r="K185" i="16"/>
  <c r="J185" i="16"/>
  <c r="I185" i="16"/>
  <c r="H185" i="16"/>
  <c r="G185" i="16"/>
  <c r="F185" i="16"/>
  <c r="E185" i="16"/>
  <c r="D185" i="16"/>
  <c r="C185" i="16"/>
  <c r="N184" i="16"/>
  <c r="M184" i="16"/>
  <c r="L184" i="16"/>
  <c r="K184" i="16"/>
  <c r="J184" i="16"/>
  <c r="I184" i="16"/>
  <c r="H184" i="16"/>
  <c r="G184" i="16"/>
  <c r="F184" i="16"/>
  <c r="E184" i="16"/>
  <c r="D184" i="16"/>
  <c r="C184" i="16"/>
  <c r="N183" i="16"/>
  <c r="M183" i="16"/>
  <c r="L183" i="16"/>
  <c r="K183" i="16"/>
  <c r="J183" i="16"/>
  <c r="I183" i="16"/>
  <c r="H183" i="16"/>
  <c r="G183" i="16"/>
  <c r="F183" i="16"/>
  <c r="E183" i="16"/>
  <c r="D183" i="16"/>
  <c r="C183" i="16"/>
  <c r="CN35" i="16"/>
  <c r="BE292" i="16" s="1"/>
  <c r="Q387" i="16" s="1"/>
  <c r="CM35" i="16"/>
  <c r="BD292" i="16" s="1"/>
  <c r="P387" i="16" s="1"/>
  <c r="CL35" i="16"/>
  <c r="BC292" i="16" s="1"/>
  <c r="O387" i="16" s="1"/>
  <c r="CK35" i="16"/>
  <c r="CJ35" i="16"/>
  <c r="CI35" i="16"/>
  <c r="CH35" i="16"/>
  <c r="CF35" i="16"/>
  <c r="CD35" i="16"/>
  <c r="CC35" i="16"/>
  <c r="CB35" i="16"/>
  <c r="CA35" i="16"/>
  <c r="BZ35" i="16"/>
  <c r="BY35" i="16"/>
  <c r="BX35" i="16"/>
  <c r="BW35" i="16"/>
  <c r="BU35" i="16"/>
  <c r="BS35" i="16"/>
  <c r="BR35" i="16"/>
  <c r="BQ35" i="16"/>
  <c r="BP35" i="16"/>
  <c r="BO35" i="16"/>
  <c r="BN35" i="16"/>
  <c r="BM35" i="16"/>
  <c r="BL35" i="16"/>
  <c r="BJ35" i="16"/>
  <c r="BH35" i="16"/>
  <c r="CN34" i="16"/>
  <c r="BE291" i="16" s="1"/>
  <c r="Q386" i="16" s="1"/>
  <c r="CM34" i="16"/>
  <c r="BD291" i="16" s="1"/>
  <c r="P386" i="16" s="1"/>
  <c r="CL34" i="16"/>
  <c r="BC291" i="16" s="1"/>
  <c r="O386" i="16" s="1"/>
  <c r="CK34" i="16"/>
  <c r="CJ34" i="16"/>
  <c r="CI34" i="16"/>
  <c r="CH34" i="16"/>
  <c r="CF34" i="16"/>
  <c r="CD34" i="16"/>
  <c r="CC34" i="16"/>
  <c r="CB34" i="16"/>
  <c r="CA34" i="16"/>
  <c r="BZ34" i="16"/>
  <c r="BY34" i="16"/>
  <c r="BX34" i="16"/>
  <c r="BW34" i="16"/>
  <c r="BU34" i="16"/>
  <c r="BS34" i="16"/>
  <c r="BR34" i="16"/>
  <c r="BQ34" i="16"/>
  <c r="BP34" i="16"/>
  <c r="BO34" i="16"/>
  <c r="BN34" i="16"/>
  <c r="BM34" i="16"/>
  <c r="BL34" i="16"/>
  <c r="BJ34" i="16"/>
  <c r="BH34" i="16"/>
  <c r="CN33" i="16"/>
  <c r="CM33" i="16"/>
  <c r="CL33" i="16"/>
  <c r="CK33" i="16"/>
  <c r="CJ33" i="16"/>
  <c r="CI33" i="16"/>
  <c r="CH33" i="16"/>
  <c r="CF33" i="16"/>
  <c r="CD33" i="16"/>
  <c r="CC33" i="16"/>
  <c r="CB33" i="16"/>
  <c r="CA33" i="16"/>
  <c r="BZ33" i="16"/>
  <c r="BY33" i="16"/>
  <c r="BX33" i="16"/>
  <c r="BW33" i="16"/>
  <c r="BU33" i="16"/>
  <c r="BS33" i="16"/>
  <c r="BR33" i="16"/>
  <c r="BQ33" i="16"/>
  <c r="BP33" i="16"/>
  <c r="BO33" i="16"/>
  <c r="BN33" i="16"/>
  <c r="BM33" i="16"/>
  <c r="BL33" i="16"/>
  <c r="BJ33" i="16"/>
  <c r="BH33" i="16"/>
  <c r="CN32" i="16"/>
  <c r="CM32" i="16"/>
  <c r="CL32" i="16"/>
  <c r="CK32" i="16"/>
  <c r="CJ32" i="16"/>
  <c r="CI32" i="16"/>
  <c r="CH32" i="16"/>
  <c r="CF32" i="16"/>
  <c r="CD32" i="16"/>
  <c r="CC32" i="16"/>
  <c r="CB32" i="16"/>
  <c r="CA32" i="16"/>
  <c r="BZ32" i="16"/>
  <c r="BY32" i="16"/>
  <c r="BX32" i="16"/>
  <c r="BW32" i="16"/>
  <c r="BU32" i="16"/>
  <c r="BS32" i="16"/>
  <c r="BR32" i="16"/>
  <c r="BQ32" i="16"/>
  <c r="BP32" i="16"/>
  <c r="BO32" i="16"/>
  <c r="BN32" i="16"/>
  <c r="BM32" i="16"/>
  <c r="BL32" i="16"/>
  <c r="BJ32" i="16"/>
  <c r="BH32" i="16"/>
  <c r="CN31" i="16"/>
  <c r="CM31" i="16"/>
  <c r="CL31" i="16"/>
  <c r="CK31" i="16"/>
  <c r="CJ31" i="16"/>
  <c r="CI31" i="16"/>
  <c r="CH31" i="16"/>
  <c r="CF31" i="16"/>
  <c r="CD31" i="16"/>
  <c r="CC31" i="16"/>
  <c r="CB31" i="16"/>
  <c r="CA31" i="16"/>
  <c r="BZ31" i="16"/>
  <c r="BY31" i="16"/>
  <c r="BX31" i="16"/>
  <c r="BW31" i="16"/>
  <c r="BU31" i="16"/>
  <c r="BS31" i="16"/>
  <c r="BR31" i="16"/>
  <c r="BQ31" i="16"/>
  <c r="BP31" i="16"/>
  <c r="BO31" i="16"/>
  <c r="BN31" i="16"/>
  <c r="BM31" i="16"/>
  <c r="BL31" i="16"/>
  <c r="BJ31" i="16"/>
  <c r="BH31" i="16"/>
  <c r="CN30" i="16"/>
  <c r="CM30" i="16"/>
  <c r="CL30" i="16"/>
  <c r="CK30" i="16"/>
  <c r="CJ30" i="16"/>
  <c r="CI30" i="16"/>
  <c r="CH30" i="16"/>
  <c r="CF30" i="16"/>
  <c r="CD30" i="16"/>
  <c r="CC30" i="16"/>
  <c r="CB30" i="16"/>
  <c r="CA30" i="16"/>
  <c r="BZ30" i="16"/>
  <c r="BY30" i="16"/>
  <c r="BX30" i="16"/>
  <c r="BW30" i="16"/>
  <c r="BU30" i="16"/>
  <c r="BS30" i="16"/>
  <c r="BR30" i="16"/>
  <c r="BQ30" i="16"/>
  <c r="BP30" i="16"/>
  <c r="BO30" i="16"/>
  <c r="BN30" i="16"/>
  <c r="BM30" i="16"/>
  <c r="BL30" i="16"/>
  <c r="BJ30" i="16"/>
  <c r="BH30" i="16"/>
  <c r="CN29" i="16"/>
  <c r="BE290" i="16" s="1"/>
  <c r="Q385" i="16" s="1"/>
  <c r="CM29" i="16"/>
  <c r="BD290" i="16" s="1"/>
  <c r="P385" i="16" s="1"/>
  <c r="CL29" i="16"/>
  <c r="BC290" i="16" s="1"/>
  <c r="O385" i="16" s="1"/>
  <c r="CK29" i="16"/>
  <c r="CJ29" i="16"/>
  <c r="CI29" i="16"/>
  <c r="CH29" i="16"/>
  <c r="CF29" i="16"/>
  <c r="CD29" i="16"/>
  <c r="CC29" i="16"/>
  <c r="CB29" i="16"/>
  <c r="CA29" i="16"/>
  <c r="BZ29" i="16"/>
  <c r="BY29" i="16"/>
  <c r="BX29" i="16"/>
  <c r="BW29" i="16"/>
  <c r="BU29" i="16"/>
  <c r="BS29" i="16"/>
  <c r="BR29" i="16"/>
  <c r="BQ29" i="16"/>
  <c r="BP29" i="16"/>
  <c r="BO29" i="16"/>
  <c r="BN29" i="16"/>
  <c r="BM29" i="16"/>
  <c r="BL29" i="16"/>
  <c r="BJ29" i="16"/>
  <c r="BH29" i="16"/>
  <c r="CN28" i="16"/>
  <c r="BE289" i="16" s="1"/>
  <c r="Q384" i="16" s="1"/>
  <c r="CM28" i="16"/>
  <c r="BD289" i="16" s="1"/>
  <c r="P384" i="16" s="1"/>
  <c r="CL28" i="16"/>
  <c r="BC289" i="16" s="1"/>
  <c r="O384" i="16" s="1"/>
  <c r="CK28" i="16"/>
  <c r="CJ28" i="16"/>
  <c r="CI28" i="16"/>
  <c r="CH28" i="16"/>
  <c r="CF28" i="16"/>
  <c r="CD28" i="16"/>
  <c r="CC28" i="16"/>
  <c r="CB28" i="16"/>
  <c r="CA28" i="16"/>
  <c r="BZ28" i="16"/>
  <c r="BY28" i="16"/>
  <c r="BX28" i="16"/>
  <c r="BW28" i="16"/>
  <c r="BU28" i="16"/>
  <c r="BS28" i="16"/>
  <c r="BR28" i="16"/>
  <c r="BQ28" i="16"/>
  <c r="BP28" i="16"/>
  <c r="BO28" i="16"/>
  <c r="BN28" i="16"/>
  <c r="BM28" i="16"/>
  <c r="BL28" i="16"/>
  <c r="BJ28" i="16"/>
  <c r="BH28" i="16"/>
  <c r="CN27" i="16"/>
  <c r="CM27" i="16"/>
  <c r="CL27" i="16"/>
  <c r="CK27" i="16"/>
  <c r="CJ27" i="16"/>
  <c r="CI27" i="16"/>
  <c r="CH27" i="16"/>
  <c r="CF27" i="16"/>
  <c r="CD27" i="16"/>
  <c r="CC27" i="16"/>
  <c r="CB27" i="16"/>
  <c r="CA27" i="16"/>
  <c r="BZ27" i="16"/>
  <c r="BY27" i="16"/>
  <c r="BX27" i="16"/>
  <c r="BW27" i="16"/>
  <c r="BU27" i="16"/>
  <c r="BS27" i="16"/>
  <c r="BR27" i="16"/>
  <c r="BQ27" i="16"/>
  <c r="BP27" i="16"/>
  <c r="BO27" i="16"/>
  <c r="BN27" i="16"/>
  <c r="BM27" i="16"/>
  <c r="BL27" i="16"/>
  <c r="BJ27" i="16"/>
  <c r="BH27" i="16"/>
  <c r="CN26" i="16"/>
  <c r="CM26" i="16"/>
  <c r="CL26" i="16"/>
  <c r="CK26" i="16"/>
  <c r="CJ26" i="16"/>
  <c r="CI26" i="16"/>
  <c r="CH26" i="16"/>
  <c r="CF26" i="16"/>
  <c r="CD26" i="16"/>
  <c r="CC26" i="16"/>
  <c r="CB26" i="16"/>
  <c r="CA26" i="16"/>
  <c r="BZ26" i="16"/>
  <c r="BY26" i="16"/>
  <c r="BX26" i="16"/>
  <c r="BW26" i="16"/>
  <c r="BU26" i="16"/>
  <c r="BS26" i="16"/>
  <c r="BR26" i="16"/>
  <c r="BQ26" i="16"/>
  <c r="BP26" i="16"/>
  <c r="BO26" i="16"/>
  <c r="BN26" i="16"/>
  <c r="BM26" i="16"/>
  <c r="BL26" i="16"/>
  <c r="BJ26" i="16"/>
  <c r="BH26" i="16"/>
  <c r="CN25" i="16"/>
  <c r="CM25" i="16"/>
  <c r="CL25" i="16"/>
  <c r="CK25" i="16"/>
  <c r="CJ25" i="16"/>
  <c r="CI25" i="16"/>
  <c r="CH25" i="16"/>
  <c r="CF25" i="16"/>
  <c r="CD25" i="16"/>
  <c r="CC25" i="16"/>
  <c r="CB25" i="16"/>
  <c r="CA25" i="16"/>
  <c r="BZ25" i="16"/>
  <c r="BY25" i="16"/>
  <c r="BX25" i="16"/>
  <c r="BW25" i="16"/>
  <c r="BU25" i="16"/>
  <c r="BS25" i="16"/>
  <c r="BR25" i="16"/>
  <c r="BQ25" i="16"/>
  <c r="BP25" i="16"/>
  <c r="BO25" i="16"/>
  <c r="BN25" i="16"/>
  <c r="BM25" i="16"/>
  <c r="BL25" i="16"/>
  <c r="BJ25" i="16"/>
  <c r="BH25" i="16"/>
  <c r="CN24" i="16"/>
  <c r="CM24" i="16"/>
  <c r="CL24" i="16"/>
  <c r="CK24" i="16"/>
  <c r="CJ24" i="16"/>
  <c r="CI24" i="16"/>
  <c r="CH24" i="16"/>
  <c r="CF24" i="16"/>
  <c r="CD24" i="16"/>
  <c r="CC24" i="16"/>
  <c r="CB24" i="16"/>
  <c r="CA24" i="16"/>
  <c r="BZ24" i="16"/>
  <c r="BY24" i="16"/>
  <c r="BX24" i="16"/>
  <c r="BW24" i="16"/>
  <c r="BU24" i="16"/>
  <c r="BS24" i="16"/>
  <c r="BR24" i="16"/>
  <c r="BQ24" i="16"/>
  <c r="BP24" i="16"/>
  <c r="BO24" i="16"/>
  <c r="BN24" i="16"/>
  <c r="BM24" i="16"/>
  <c r="BL24" i="16"/>
  <c r="BJ24" i="16"/>
  <c r="BH24" i="16"/>
  <c r="CN23" i="16"/>
  <c r="CM23" i="16"/>
  <c r="CL23" i="16"/>
  <c r="CK23" i="16"/>
  <c r="CJ23" i="16"/>
  <c r="CI23" i="16"/>
  <c r="CH23" i="16"/>
  <c r="CF23" i="16"/>
  <c r="CD23" i="16"/>
  <c r="CC23" i="16"/>
  <c r="CB23" i="16"/>
  <c r="CA23" i="16"/>
  <c r="BZ23" i="16"/>
  <c r="BY23" i="16"/>
  <c r="BX23" i="16"/>
  <c r="BW23" i="16"/>
  <c r="BU23" i="16"/>
  <c r="BS23" i="16"/>
  <c r="BR23" i="16"/>
  <c r="BQ23" i="16"/>
  <c r="BP23" i="16"/>
  <c r="BO23" i="16"/>
  <c r="BN23" i="16"/>
  <c r="BM23" i="16"/>
  <c r="BL23" i="16"/>
  <c r="BJ23" i="16"/>
  <c r="BH23" i="16"/>
  <c r="AV23" i="16"/>
  <c r="AU23" i="16"/>
  <c r="AT23" i="16"/>
  <c r="AM23" i="16"/>
  <c r="AL23" i="16"/>
  <c r="AK23" i="16"/>
  <c r="AD23" i="16"/>
  <c r="AC23" i="16"/>
  <c r="AB23" i="16"/>
  <c r="U23" i="16"/>
  <c r="T23" i="16"/>
  <c r="S23" i="16"/>
  <c r="L23" i="16"/>
  <c r="K23" i="16"/>
  <c r="J23" i="16"/>
  <c r="CN22" i="16"/>
  <c r="CM22" i="16"/>
  <c r="CL22" i="16"/>
  <c r="CK22" i="16"/>
  <c r="CJ22" i="16"/>
  <c r="CI22" i="16"/>
  <c r="CH22" i="16"/>
  <c r="CF22" i="16"/>
  <c r="CD22" i="16"/>
  <c r="CC22" i="16"/>
  <c r="CB22" i="16"/>
  <c r="CA22" i="16"/>
  <c r="BZ22" i="16"/>
  <c r="BY22" i="16"/>
  <c r="BX22" i="16"/>
  <c r="BW22" i="16"/>
  <c r="BU22" i="16"/>
  <c r="BS22" i="16"/>
  <c r="BR22" i="16"/>
  <c r="BQ22" i="16"/>
  <c r="BP22" i="16"/>
  <c r="BO22" i="16"/>
  <c r="BN22" i="16"/>
  <c r="BM22" i="16"/>
  <c r="BL22" i="16"/>
  <c r="BJ22" i="16"/>
  <c r="BH22" i="16"/>
  <c r="AV22" i="16"/>
  <c r="AU22" i="16"/>
  <c r="AT22" i="16"/>
  <c r="AM22" i="16"/>
  <c r="AL22" i="16"/>
  <c r="AK22" i="16"/>
  <c r="AD22" i="16"/>
  <c r="AC22" i="16"/>
  <c r="AB22" i="16"/>
  <c r="U22" i="16"/>
  <c r="T22" i="16"/>
  <c r="S22" i="16"/>
  <c r="L22" i="16"/>
  <c r="K22" i="16"/>
  <c r="J22" i="16"/>
  <c r="CN21" i="16"/>
  <c r="CM21" i="16"/>
  <c r="CL21" i="16"/>
  <c r="CK21" i="16"/>
  <c r="CJ21" i="16"/>
  <c r="CI21" i="16"/>
  <c r="CH21" i="16"/>
  <c r="CF21" i="16"/>
  <c r="CD21" i="16"/>
  <c r="CC21" i="16"/>
  <c r="CB21" i="16"/>
  <c r="CA21" i="16"/>
  <c r="BZ21" i="16"/>
  <c r="BY21" i="16"/>
  <c r="BX21" i="16"/>
  <c r="BW21" i="16"/>
  <c r="BU21" i="16"/>
  <c r="BS21" i="16"/>
  <c r="BR21" i="16"/>
  <c r="BQ21" i="16"/>
  <c r="BP21" i="16"/>
  <c r="BO21" i="16"/>
  <c r="BN21" i="16"/>
  <c r="BM21" i="16"/>
  <c r="BL21" i="16"/>
  <c r="BJ21" i="16"/>
  <c r="BH21" i="16"/>
  <c r="AV21" i="16"/>
  <c r="AU21" i="16"/>
  <c r="AT21" i="16"/>
  <c r="AM21" i="16"/>
  <c r="AL21" i="16"/>
  <c r="AK21" i="16"/>
  <c r="AD21" i="16"/>
  <c r="AC21" i="16"/>
  <c r="AB21" i="16"/>
  <c r="U21" i="16"/>
  <c r="T21" i="16"/>
  <c r="S21" i="16"/>
  <c r="L21" i="16"/>
  <c r="K21" i="16"/>
  <c r="J21" i="16"/>
  <c r="CN20" i="16"/>
  <c r="CM20" i="16"/>
  <c r="CL20" i="16"/>
  <c r="CK20" i="16"/>
  <c r="CJ20" i="16"/>
  <c r="CI20" i="16"/>
  <c r="CH20" i="16"/>
  <c r="CF20" i="16"/>
  <c r="CD20" i="16"/>
  <c r="CC20" i="16"/>
  <c r="CB20" i="16"/>
  <c r="CA20" i="16"/>
  <c r="BZ20" i="16"/>
  <c r="BY20" i="16"/>
  <c r="BX20" i="16"/>
  <c r="BW20" i="16"/>
  <c r="BU20" i="16"/>
  <c r="BS20" i="16"/>
  <c r="BR20" i="16"/>
  <c r="BQ20" i="16"/>
  <c r="BP20" i="16"/>
  <c r="BO20" i="16"/>
  <c r="BN20" i="16"/>
  <c r="BM20" i="16"/>
  <c r="BL20" i="16"/>
  <c r="BJ20" i="16"/>
  <c r="BH20" i="16"/>
  <c r="AV20" i="16"/>
  <c r="AU20" i="16"/>
  <c r="AT20" i="16"/>
  <c r="AM20" i="16"/>
  <c r="AL20" i="16"/>
  <c r="AK20" i="16"/>
  <c r="AD20" i="16"/>
  <c r="AC20" i="16"/>
  <c r="AB20" i="16"/>
  <c r="U20" i="16"/>
  <c r="T20" i="16"/>
  <c r="S20" i="16"/>
  <c r="L20" i="16"/>
  <c r="K20" i="16"/>
  <c r="J20" i="16"/>
  <c r="CN19" i="16"/>
  <c r="CM19" i="16"/>
  <c r="CL19" i="16"/>
  <c r="CK19" i="16"/>
  <c r="CJ19" i="16"/>
  <c r="CI19" i="16"/>
  <c r="CH19" i="16"/>
  <c r="CF19" i="16"/>
  <c r="CD19" i="16"/>
  <c r="CC19" i="16"/>
  <c r="CB19" i="16"/>
  <c r="CA19" i="16"/>
  <c r="BZ19" i="16"/>
  <c r="BY19" i="16"/>
  <c r="BX19" i="16"/>
  <c r="BW19" i="16"/>
  <c r="BU19" i="16"/>
  <c r="BS19" i="16"/>
  <c r="BR19" i="16"/>
  <c r="BQ19" i="16"/>
  <c r="BP19" i="16"/>
  <c r="BO19" i="16"/>
  <c r="BN19" i="16"/>
  <c r="BM19" i="16"/>
  <c r="BL19" i="16"/>
  <c r="BJ19" i="16"/>
  <c r="BH19" i="16"/>
  <c r="AV19" i="16"/>
  <c r="AU19" i="16"/>
  <c r="AT19" i="16"/>
  <c r="AM19" i="16"/>
  <c r="AL19" i="16"/>
  <c r="AK19" i="16"/>
  <c r="AD19" i="16"/>
  <c r="AC19" i="16"/>
  <c r="AB19" i="16"/>
  <c r="U19" i="16"/>
  <c r="T19" i="16"/>
  <c r="S19" i="16"/>
  <c r="L19" i="16"/>
  <c r="K19" i="16"/>
  <c r="J19" i="16"/>
  <c r="CN18" i="16"/>
  <c r="CM18" i="16"/>
  <c r="CL18" i="16"/>
  <c r="CK18" i="16"/>
  <c r="CJ18" i="16"/>
  <c r="CI18" i="16"/>
  <c r="CH18" i="16"/>
  <c r="CF18" i="16"/>
  <c r="CD18" i="16"/>
  <c r="CC18" i="16"/>
  <c r="CB18" i="16"/>
  <c r="CA18" i="16"/>
  <c r="BZ18" i="16"/>
  <c r="BY18" i="16"/>
  <c r="BX18" i="16"/>
  <c r="BW18" i="16"/>
  <c r="BU18" i="16"/>
  <c r="BS18" i="16"/>
  <c r="BR18" i="16"/>
  <c r="BQ18" i="16"/>
  <c r="BP18" i="16"/>
  <c r="BO18" i="16"/>
  <c r="BN18" i="16"/>
  <c r="BM18" i="16"/>
  <c r="BL18" i="16"/>
  <c r="BJ18" i="16"/>
  <c r="BH18" i="16"/>
  <c r="AV18" i="16"/>
  <c r="AU18" i="16"/>
  <c r="AT18" i="16"/>
  <c r="AM18" i="16"/>
  <c r="AL18" i="16"/>
  <c r="AK18" i="16"/>
  <c r="AD18" i="16"/>
  <c r="AC18" i="16"/>
  <c r="AB18" i="16"/>
  <c r="U18" i="16"/>
  <c r="T18" i="16"/>
  <c r="S18" i="16"/>
  <c r="L18" i="16"/>
  <c r="K18" i="16"/>
  <c r="J18" i="16"/>
  <c r="BR14" i="16"/>
  <c r="BQ14" i="16"/>
  <c r="BP14" i="16"/>
  <c r="BG14" i="16"/>
  <c r="BF14" i="16"/>
  <c r="BE14" i="16"/>
  <c r="AV14" i="16"/>
  <c r="AU14" i="16"/>
  <c r="AT14" i="16"/>
  <c r="AM14" i="16"/>
  <c r="AL14" i="16"/>
  <c r="AK14" i="16"/>
  <c r="AD14" i="16"/>
  <c r="AC14" i="16"/>
  <c r="AB14" i="16"/>
  <c r="U14" i="16"/>
  <c r="T14" i="16"/>
  <c r="S14" i="16"/>
  <c r="L14" i="16"/>
  <c r="K14" i="16"/>
  <c r="J14" i="16"/>
  <c r="BR13" i="16"/>
  <c r="BQ13" i="16"/>
  <c r="BP13" i="16"/>
  <c r="BG13" i="16"/>
  <c r="BF13" i="16"/>
  <c r="BE13" i="16"/>
  <c r="AV13" i="16"/>
  <c r="AU13" i="16"/>
  <c r="AT13" i="16"/>
  <c r="AM13" i="16"/>
  <c r="AL13" i="16"/>
  <c r="AK13" i="16"/>
  <c r="AD13" i="16"/>
  <c r="AC13" i="16"/>
  <c r="AB13" i="16"/>
  <c r="U13" i="16"/>
  <c r="T13" i="16"/>
  <c r="S13" i="16"/>
  <c r="L13" i="16"/>
  <c r="K13" i="16"/>
  <c r="J13" i="16"/>
  <c r="BR12" i="16"/>
  <c r="BQ12" i="16"/>
  <c r="BP12" i="16"/>
  <c r="BG12" i="16"/>
  <c r="BF12" i="16"/>
  <c r="BE12" i="16"/>
  <c r="AV12" i="16"/>
  <c r="AU12" i="16"/>
  <c r="AT12" i="16"/>
  <c r="AM12" i="16"/>
  <c r="AL12" i="16"/>
  <c r="AK12" i="16"/>
  <c r="AD12" i="16"/>
  <c r="AC12" i="16"/>
  <c r="AB12" i="16"/>
  <c r="U12" i="16"/>
  <c r="T12" i="16"/>
  <c r="S12" i="16"/>
  <c r="L12" i="16"/>
  <c r="K12" i="16"/>
  <c r="J12" i="16"/>
  <c r="E14" i="54"/>
  <c r="D14" i="54"/>
  <c r="C14" i="54"/>
  <c r="F4" i="63"/>
  <c r="D4" i="63"/>
  <c r="AO34" i="2"/>
  <c r="AN34" i="2"/>
  <c r="AM34" i="2"/>
  <c r="AL34" i="2"/>
  <c r="AK34" i="2"/>
  <c r="AJ34" i="2"/>
  <c r="AI34" i="2"/>
  <c r="AH34" i="2"/>
  <c r="AG34" i="2"/>
  <c r="AF34" i="2"/>
  <c r="AE34" i="2"/>
  <c r="AD34" i="2"/>
  <c r="AC34" i="2"/>
  <c r="AB34" i="2"/>
  <c r="AA34" i="2"/>
  <c r="Z34" i="2"/>
  <c r="Y34" i="2"/>
  <c r="X34" i="2"/>
  <c r="W34" i="2"/>
  <c r="V34" i="2"/>
  <c r="U34" i="2"/>
  <c r="T34" i="2"/>
  <c r="S34" i="2"/>
  <c r="R34" i="2"/>
  <c r="Q34" i="2"/>
  <c r="P34" i="2"/>
  <c r="O34" i="2"/>
  <c r="N34" i="2"/>
  <c r="M34" i="2"/>
  <c r="L34" i="2"/>
  <c r="K34" i="2"/>
  <c r="J34" i="2"/>
  <c r="I34" i="2"/>
  <c r="H34" i="2"/>
  <c r="G34" i="2"/>
  <c r="F34" i="2"/>
  <c r="AO33" i="2"/>
  <c r="AN33" i="2"/>
  <c r="AM33" i="2"/>
  <c r="AL33" i="2"/>
  <c r="AK33" i="2"/>
  <c r="AJ33" i="2"/>
  <c r="AI33" i="2"/>
  <c r="AH33" i="2"/>
  <c r="AG33" i="2"/>
  <c r="AF33" i="2"/>
  <c r="AE33" i="2"/>
  <c r="AD33" i="2"/>
  <c r="AC33" i="2"/>
  <c r="AB33" i="2"/>
  <c r="AA33" i="2"/>
  <c r="Z33" i="2"/>
  <c r="Y33" i="2"/>
  <c r="X33" i="2"/>
  <c r="W33" i="2"/>
  <c r="V33" i="2"/>
  <c r="U33" i="2"/>
  <c r="T33" i="2"/>
  <c r="S33" i="2"/>
  <c r="R33" i="2"/>
  <c r="Q33" i="2"/>
  <c r="P33" i="2"/>
  <c r="O33" i="2"/>
  <c r="N33" i="2"/>
  <c r="M33" i="2"/>
  <c r="L33" i="2"/>
  <c r="K33" i="2"/>
  <c r="J33" i="2"/>
  <c r="I33" i="2"/>
  <c r="H33" i="2"/>
  <c r="G33" i="2"/>
  <c r="F33" i="2"/>
  <c r="AO32" i="2"/>
  <c r="AN32" i="2"/>
  <c r="AM32" i="2"/>
  <c r="AL32" i="2"/>
  <c r="AK32" i="2"/>
  <c r="AJ32" i="2"/>
  <c r="AI32" i="2"/>
  <c r="AH32" i="2"/>
  <c r="AG32" i="2"/>
  <c r="AF32" i="2"/>
  <c r="AE32" i="2"/>
  <c r="AD32" i="2"/>
  <c r="AC32" i="2"/>
  <c r="AB32" i="2"/>
  <c r="AA32" i="2"/>
  <c r="Z32" i="2"/>
  <c r="Y32" i="2"/>
  <c r="X32" i="2"/>
  <c r="W32" i="2"/>
  <c r="V32" i="2"/>
  <c r="U32" i="2"/>
  <c r="T32" i="2"/>
  <c r="S32" i="2"/>
  <c r="R32" i="2"/>
  <c r="Q32" i="2"/>
  <c r="P32" i="2"/>
  <c r="O32" i="2"/>
  <c r="N32" i="2"/>
  <c r="M32" i="2"/>
  <c r="L32" i="2"/>
  <c r="K32" i="2"/>
  <c r="J32" i="2"/>
  <c r="I32" i="2"/>
  <c r="H32" i="2"/>
  <c r="G32" i="2"/>
  <c r="F32" i="2"/>
  <c r="AO31" i="2"/>
  <c r="AN31" i="2"/>
  <c r="AM31" i="2"/>
  <c r="AL31" i="2"/>
  <c r="AK31" i="2"/>
  <c r="AJ31" i="2"/>
  <c r="AI31" i="2"/>
  <c r="AH31" i="2"/>
  <c r="AG31" i="2"/>
  <c r="AF31" i="2"/>
  <c r="AE31" i="2"/>
  <c r="AD31" i="2"/>
  <c r="AC31" i="2"/>
  <c r="AB31" i="2"/>
  <c r="AA31" i="2"/>
  <c r="Z31" i="2"/>
  <c r="Y31" i="2"/>
  <c r="X31" i="2"/>
  <c r="W31" i="2"/>
  <c r="V31" i="2"/>
  <c r="U31" i="2"/>
  <c r="T31" i="2"/>
  <c r="S31" i="2"/>
  <c r="R31" i="2"/>
  <c r="Q31" i="2"/>
  <c r="P31" i="2"/>
  <c r="O31" i="2"/>
  <c r="N31" i="2"/>
  <c r="M31" i="2"/>
  <c r="L31" i="2"/>
  <c r="K31" i="2"/>
  <c r="J31" i="2"/>
  <c r="I31" i="2"/>
  <c r="H31" i="2"/>
  <c r="G31" i="2"/>
  <c r="F31" i="2"/>
  <c r="AO30" i="2"/>
  <c r="AN30" i="2"/>
  <c r="AM30" i="2"/>
  <c r="AL30" i="2"/>
  <c r="AK30" i="2"/>
  <c r="AJ30" i="2"/>
  <c r="AI30" i="2"/>
  <c r="AH30" i="2"/>
  <c r="AG30" i="2"/>
  <c r="AF30" i="2"/>
  <c r="AE30" i="2"/>
  <c r="AD30" i="2"/>
  <c r="AC30" i="2"/>
  <c r="AB30" i="2"/>
  <c r="AA30" i="2"/>
  <c r="Z30" i="2"/>
  <c r="Y30" i="2"/>
  <c r="X30" i="2"/>
  <c r="W30" i="2"/>
  <c r="V30" i="2"/>
  <c r="U30" i="2"/>
  <c r="T30" i="2"/>
  <c r="S30" i="2"/>
  <c r="R30" i="2"/>
  <c r="Q30" i="2"/>
  <c r="P30" i="2"/>
  <c r="O30" i="2"/>
  <c r="N30" i="2"/>
  <c r="M30" i="2"/>
  <c r="L30" i="2"/>
  <c r="K30" i="2"/>
  <c r="J30" i="2"/>
  <c r="I30" i="2"/>
  <c r="H30" i="2"/>
  <c r="G30" i="2"/>
  <c r="F30" i="2"/>
  <c r="AO29" i="2"/>
  <c r="AN29" i="2"/>
  <c r="AM29" i="2"/>
  <c r="AL29" i="2"/>
  <c r="AK29" i="2"/>
  <c r="AJ29" i="2"/>
  <c r="AI29" i="2"/>
  <c r="AH29" i="2"/>
  <c r="AG29" i="2"/>
  <c r="AF29" i="2"/>
  <c r="AE29" i="2"/>
  <c r="AD29" i="2"/>
  <c r="AC29" i="2"/>
  <c r="AB29" i="2"/>
  <c r="AA29" i="2"/>
  <c r="Z29" i="2"/>
  <c r="Y29" i="2"/>
  <c r="X29" i="2"/>
  <c r="W29" i="2"/>
  <c r="V29" i="2"/>
  <c r="U29" i="2"/>
  <c r="T29" i="2"/>
  <c r="S29" i="2"/>
  <c r="R29" i="2"/>
  <c r="Q29" i="2"/>
  <c r="P29" i="2"/>
  <c r="O29" i="2"/>
  <c r="N29" i="2"/>
  <c r="M29" i="2"/>
  <c r="L29" i="2"/>
  <c r="K29" i="2"/>
  <c r="J29" i="2"/>
  <c r="I29" i="2"/>
  <c r="H29" i="2"/>
  <c r="G29" i="2"/>
  <c r="F29" i="2"/>
  <c r="AO28" i="2"/>
  <c r="AN28" i="2"/>
  <c r="AM28" i="2"/>
  <c r="AL28" i="2"/>
  <c r="AK28" i="2"/>
  <c r="AJ28" i="2"/>
  <c r="AI28" i="2"/>
  <c r="AH28" i="2"/>
  <c r="AG28" i="2"/>
  <c r="AF28" i="2"/>
  <c r="AE28" i="2"/>
  <c r="AD28" i="2"/>
  <c r="AC28" i="2"/>
  <c r="AB28" i="2"/>
  <c r="AA28" i="2"/>
  <c r="Z28" i="2"/>
  <c r="Y28" i="2"/>
  <c r="X28" i="2"/>
  <c r="W28" i="2"/>
  <c r="V28" i="2"/>
  <c r="U28" i="2"/>
  <c r="T28" i="2"/>
  <c r="S28" i="2"/>
  <c r="R28" i="2"/>
  <c r="Q28" i="2"/>
  <c r="P28" i="2"/>
  <c r="O28" i="2"/>
  <c r="N28" i="2"/>
  <c r="M28" i="2"/>
  <c r="L28" i="2"/>
  <c r="K28" i="2"/>
  <c r="J28" i="2"/>
  <c r="I28" i="2"/>
  <c r="H28" i="2"/>
  <c r="G28" i="2"/>
  <c r="F28" i="2"/>
  <c r="AO27" i="2"/>
  <c r="AN27" i="2"/>
  <c r="AM27" i="2"/>
  <c r="AL27" i="2"/>
  <c r="AK27" i="2"/>
  <c r="AJ27" i="2"/>
  <c r="AI27" i="2"/>
  <c r="AH27" i="2"/>
  <c r="AG27" i="2"/>
  <c r="AF27" i="2"/>
  <c r="AE27" i="2"/>
  <c r="AD27" i="2"/>
  <c r="AC27" i="2"/>
  <c r="AB27" i="2"/>
  <c r="AA27" i="2"/>
  <c r="Z27" i="2"/>
  <c r="Y27" i="2"/>
  <c r="X27" i="2"/>
  <c r="W27" i="2"/>
  <c r="V27" i="2"/>
  <c r="U27" i="2"/>
  <c r="T27" i="2"/>
  <c r="S27" i="2"/>
  <c r="R27" i="2"/>
  <c r="Q27" i="2"/>
  <c r="P27" i="2"/>
  <c r="O27" i="2"/>
  <c r="N27" i="2"/>
  <c r="M27" i="2"/>
  <c r="L27" i="2"/>
  <c r="K27" i="2"/>
  <c r="J27" i="2"/>
  <c r="I27" i="2"/>
  <c r="H27" i="2"/>
  <c r="G27" i="2"/>
  <c r="F27" i="2"/>
  <c r="AO26" i="2"/>
  <c r="AN26" i="2"/>
  <c r="AM26" i="2"/>
  <c r="AL26" i="2"/>
  <c r="AK26" i="2"/>
  <c r="AJ26" i="2"/>
  <c r="AI26" i="2"/>
  <c r="AH26" i="2"/>
  <c r="AG26" i="2"/>
  <c r="AF26" i="2"/>
  <c r="AE26" i="2"/>
  <c r="AD26" i="2"/>
  <c r="AC26" i="2"/>
  <c r="AB26" i="2"/>
  <c r="AA26" i="2"/>
  <c r="Z26" i="2"/>
  <c r="Y26" i="2"/>
  <c r="X26" i="2"/>
  <c r="W26" i="2"/>
  <c r="V26" i="2"/>
  <c r="U26" i="2"/>
  <c r="T26" i="2"/>
  <c r="S26" i="2"/>
  <c r="R26" i="2"/>
  <c r="Q26" i="2"/>
  <c r="P26" i="2"/>
  <c r="O26" i="2"/>
  <c r="N26" i="2"/>
  <c r="M26" i="2"/>
  <c r="L26" i="2"/>
  <c r="K26" i="2"/>
  <c r="J26" i="2"/>
  <c r="I26" i="2"/>
  <c r="H26" i="2"/>
  <c r="G26" i="2"/>
  <c r="F26" i="2"/>
  <c r="AO25" i="2"/>
  <c r="AN25" i="2"/>
  <c r="AM25" i="2"/>
  <c r="AL25" i="2"/>
  <c r="AK25" i="2"/>
  <c r="AJ25" i="2"/>
  <c r="AI25" i="2"/>
  <c r="AH25" i="2"/>
  <c r="AG25" i="2"/>
  <c r="AF25" i="2"/>
  <c r="AE25" i="2"/>
  <c r="AD25" i="2"/>
  <c r="AC25" i="2"/>
  <c r="AB25" i="2"/>
  <c r="AA25" i="2"/>
  <c r="Z25" i="2"/>
  <c r="Y25" i="2"/>
  <c r="X25" i="2"/>
  <c r="W25" i="2"/>
  <c r="V25" i="2"/>
  <c r="U25" i="2"/>
  <c r="T25" i="2"/>
  <c r="S25" i="2"/>
  <c r="R25" i="2"/>
  <c r="Q25" i="2"/>
  <c r="P25" i="2"/>
  <c r="O25" i="2"/>
  <c r="N25" i="2"/>
  <c r="M25" i="2"/>
  <c r="L25" i="2"/>
  <c r="K25" i="2"/>
  <c r="J25" i="2"/>
  <c r="I25" i="2"/>
  <c r="H25" i="2"/>
  <c r="G25" i="2"/>
  <c r="F25" i="2"/>
  <c r="AO24" i="2"/>
  <c r="AN24" i="2"/>
  <c r="AM24" i="2"/>
  <c r="AL24" i="2"/>
  <c r="AK24" i="2"/>
  <c r="AJ24" i="2"/>
  <c r="AI24" i="2"/>
  <c r="AH24" i="2"/>
  <c r="AG24" i="2"/>
  <c r="AF24" i="2"/>
  <c r="AE24" i="2"/>
  <c r="AD24" i="2"/>
  <c r="AC24" i="2"/>
  <c r="AB24" i="2"/>
  <c r="AA24" i="2"/>
  <c r="Z24" i="2"/>
  <c r="Y24" i="2"/>
  <c r="X24" i="2"/>
  <c r="W24" i="2"/>
  <c r="V24" i="2"/>
  <c r="U24" i="2"/>
  <c r="T24" i="2"/>
  <c r="S24" i="2"/>
  <c r="R24" i="2"/>
  <c r="Q24" i="2"/>
  <c r="P24" i="2"/>
  <c r="O24" i="2"/>
  <c r="N24" i="2"/>
  <c r="M24" i="2"/>
  <c r="L24" i="2"/>
  <c r="K24" i="2"/>
  <c r="J24" i="2"/>
  <c r="I24" i="2"/>
  <c r="H24" i="2"/>
  <c r="G24" i="2"/>
  <c r="F24" i="2"/>
  <c r="AO23" i="2"/>
  <c r="AN23" i="2"/>
  <c r="AM23" i="2"/>
  <c r="AL23" i="2"/>
  <c r="AK23" i="2"/>
  <c r="AJ23" i="2"/>
  <c r="AI23" i="2"/>
  <c r="AH23" i="2"/>
  <c r="AG23" i="2"/>
  <c r="AF23" i="2"/>
  <c r="AE23" i="2"/>
  <c r="AD23" i="2"/>
  <c r="AC23" i="2"/>
  <c r="AB23" i="2"/>
  <c r="AA23" i="2"/>
  <c r="Z23" i="2"/>
  <c r="Y23" i="2"/>
  <c r="X23" i="2"/>
  <c r="W23" i="2"/>
  <c r="V23" i="2"/>
  <c r="U23" i="2"/>
  <c r="T23" i="2"/>
  <c r="S23" i="2"/>
  <c r="R23" i="2"/>
  <c r="Q23" i="2"/>
  <c r="P23" i="2"/>
  <c r="O23" i="2"/>
  <c r="N23" i="2"/>
  <c r="M23" i="2"/>
  <c r="L23" i="2"/>
  <c r="K23" i="2"/>
  <c r="J23" i="2"/>
  <c r="I23" i="2"/>
  <c r="H23" i="2"/>
  <c r="G23" i="2"/>
  <c r="F23" i="2"/>
  <c r="AO22" i="2"/>
  <c r="AN22" i="2"/>
  <c r="AM22" i="2"/>
  <c r="AL22" i="2"/>
  <c r="AK22" i="2"/>
  <c r="AJ22" i="2"/>
  <c r="AI22" i="2"/>
  <c r="AH22" i="2"/>
  <c r="AG22" i="2"/>
  <c r="AF22" i="2"/>
  <c r="AE22" i="2"/>
  <c r="AD22" i="2"/>
  <c r="AC22" i="2"/>
  <c r="AB22" i="2"/>
  <c r="AA22" i="2"/>
  <c r="Z22" i="2"/>
  <c r="Y22" i="2"/>
  <c r="X22" i="2"/>
  <c r="W22" i="2"/>
  <c r="V22" i="2"/>
  <c r="U22" i="2"/>
  <c r="T22" i="2"/>
  <c r="S22" i="2"/>
  <c r="R22" i="2"/>
  <c r="Q22" i="2"/>
  <c r="P22" i="2"/>
  <c r="O22" i="2"/>
  <c r="N22" i="2"/>
  <c r="M22" i="2"/>
  <c r="L22" i="2"/>
  <c r="K22" i="2"/>
  <c r="J22" i="2"/>
  <c r="I22" i="2"/>
  <c r="H22" i="2"/>
  <c r="G22" i="2"/>
  <c r="F22" i="2"/>
  <c r="AO21" i="2"/>
  <c r="AN21" i="2"/>
  <c r="AM21" i="2"/>
  <c r="AL21" i="2"/>
  <c r="AK21" i="2"/>
  <c r="AJ21" i="2"/>
  <c r="AI21" i="2"/>
  <c r="AH21" i="2"/>
  <c r="AG21" i="2"/>
  <c r="AF21" i="2"/>
  <c r="AE21" i="2"/>
  <c r="AD21" i="2"/>
  <c r="AC21" i="2"/>
  <c r="AB21" i="2"/>
  <c r="AA21" i="2"/>
  <c r="Z21" i="2"/>
  <c r="Y21" i="2"/>
  <c r="X21" i="2"/>
  <c r="W21" i="2"/>
  <c r="V21" i="2"/>
  <c r="U21" i="2"/>
  <c r="T21" i="2"/>
  <c r="S21" i="2"/>
  <c r="R21" i="2"/>
  <c r="Q21" i="2"/>
  <c r="P21" i="2"/>
  <c r="O21" i="2"/>
  <c r="N21" i="2"/>
  <c r="M21" i="2"/>
  <c r="L21" i="2"/>
  <c r="K21" i="2"/>
  <c r="J21" i="2"/>
  <c r="I21" i="2"/>
  <c r="H21" i="2"/>
  <c r="G21" i="2"/>
  <c r="F21" i="2"/>
  <c r="AO20" i="2"/>
  <c r="AN20" i="2"/>
  <c r="AM20" i="2"/>
  <c r="AL20" i="2"/>
  <c r="AK20" i="2"/>
  <c r="AJ20" i="2"/>
  <c r="AI20" i="2"/>
  <c r="AH20" i="2"/>
  <c r="AG20" i="2"/>
  <c r="AF20" i="2"/>
  <c r="AE20" i="2"/>
  <c r="AD20" i="2"/>
  <c r="AC20" i="2"/>
  <c r="AB20" i="2"/>
  <c r="AA20" i="2"/>
  <c r="Z20" i="2"/>
  <c r="Y20" i="2"/>
  <c r="X20" i="2"/>
  <c r="W20" i="2"/>
  <c r="V20" i="2"/>
  <c r="U20" i="2"/>
  <c r="T20" i="2"/>
  <c r="S20" i="2"/>
  <c r="R20" i="2"/>
  <c r="Q20" i="2"/>
  <c r="P20" i="2"/>
  <c r="O20" i="2"/>
  <c r="N20" i="2"/>
  <c r="M20" i="2"/>
  <c r="L20" i="2"/>
  <c r="K20" i="2"/>
  <c r="J20" i="2"/>
  <c r="I20" i="2"/>
  <c r="H20" i="2"/>
  <c r="G20" i="2"/>
  <c r="F20" i="2"/>
  <c r="AO19" i="2"/>
  <c r="AN19" i="2"/>
  <c r="AM19" i="2"/>
  <c r="AL19" i="2"/>
  <c r="AK19" i="2"/>
  <c r="AJ19" i="2"/>
  <c r="AI19" i="2"/>
  <c r="AH19" i="2"/>
  <c r="AG19" i="2"/>
  <c r="AF19" i="2"/>
  <c r="AE19" i="2"/>
  <c r="AD19" i="2"/>
  <c r="AC19" i="2"/>
  <c r="AB19" i="2"/>
  <c r="AA19" i="2"/>
  <c r="Z19" i="2"/>
  <c r="Y19" i="2"/>
  <c r="X19" i="2"/>
  <c r="W19" i="2"/>
  <c r="V19" i="2"/>
  <c r="U19" i="2"/>
  <c r="T19" i="2"/>
  <c r="S19" i="2"/>
  <c r="R19" i="2"/>
  <c r="Q19" i="2"/>
  <c r="P19" i="2"/>
  <c r="O19" i="2"/>
  <c r="N19" i="2"/>
  <c r="M19" i="2"/>
  <c r="L19" i="2"/>
  <c r="K19" i="2"/>
  <c r="J19" i="2"/>
  <c r="I19" i="2"/>
  <c r="H19" i="2"/>
  <c r="G19" i="2"/>
  <c r="F19" i="2"/>
  <c r="AO18" i="2"/>
  <c r="AN18" i="2"/>
  <c r="AM18" i="2"/>
  <c r="AL18" i="2"/>
  <c r="AK18" i="2"/>
  <c r="AJ18" i="2"/>
  <c r="AI18" i="2"/>
  <c r="AH18" i="2"/>
  <c r="AG18" i="2"/>
  <c r="AF18" i="2"/>
  <c r="AE18" i="2"/>
  <c r="AD18" i="2"/>
  <c r="AC18" i="2"/>
  <c r="AB18" i="2"/>
  <c r="AA18" i="2"/>
  <c r="Z18" i="2"/>
  <c r="Y18" i="2"/>
  <c r="X18" i="2"/>
  <c r="W18" i="2"/>
  <c r="V18" i="2"/>
  <c r="U18" i="2"/>
  <c r="T18" i="2"/>
  <c r="S18" i="2"/>
  <c r="R18" i="2"/>
  <c r="Q18" i="2"/>
  <c r="P18" i="2"/>
  <c r="O18" i="2"/>
  <c r="N18" i="2"/>
  <c r="M18" i="2"/>
  <c r="L18" i="2"/>
  <c r="K18" i="2"/>
  <c r="J18" i="2"/>
  <c r="I18" i="2"/>
  <c r="H18" i="2"/>
  <c r="G18" i="2"/>
  <c r="F18" i="2"/>
  <c r="AO17" i="2"/>
  <c r="AN17" i="2"/>
  <c r="AM17" i="2"/>
  <c r="AL17" i="2"/>
  <c r="AK17" i="2"/>
  <c r="AJ17" i="2"/>
  <c r="AI17" i="2"/>
  <c r="AH17" i="2"/>
  <c r="AG17" i="2"/>
  <c r="AF17" i="2"/>
  <c r="AE17" i="2"/>
  <c r="AD17" i="2"/>
  <c r="AC17" i="2"/>
  <c r="AB17" i="2"/>
  <c r="AA17" i="2"/>
  <c r="Z17" i="2"/>
  <c r="Y17" i="2"/>
  <c r="X17" i="2"/>
  <c r="W17" i="2"/>
  <c r="V17" i="2"/>
  <c r="U17" i="2"/>
  <c r="T17" i="2"/>
  <c r="S17" i="2"/>
  <c r="R17" i="2"/>
  <c r="Q17" i="2"/>
  <c r="P17" i="2"/>
  <c r="O17" i="2"/>
  <c r="N17" i="2"/>
  <c r="M17" i="2"/>
  <c r="L17" i="2"/>
  <c r="K17" i="2"/>
  <c r="J17" i="2"/>
  <c r="I17" i="2"/>
  <c r="H17" i="2"/>
  <c r="G17" i="2"/>
  <c r="F17" i="2"/>
  <c r="AN228" i="3"/>
  <c r="AM228" i="3"/>
  <c r="AG228" i="3"/>
  <c r="AF228" i="3"/>
  <c r="AE228" i="3"/>
  <c r="AD228" i="3"/>
  <c r="AC228" i="3"/>
  <c r="AB228" i="3"/>
  <c r="AA228" i="3"/>
  <c r="Z228" i="3"/>
  <c r="Y228" i="3"/>
  <c r="X228" i="3"/>
  <c r="W228" i="3"/>
  <c r="V228" i="3"/>
  <c r="U228" i="3"/>
  <c r="T228" i="3"/>
  <c r="S228" i="3"/>
  <c r="R228" i="3"/>
  <c r="Q228" i="3"/>
  <c r="P228" i="3"/>
  <c r="O228" i="3"/>
  <c r="N228" i="3"/>
  <c r="M228" i="3"/>
  <c r="L228" i="3"/>
  <c r="K228" i="3"/>
  <c r="J228" i="3"/>
  <c r="I228" i="3"/>
  <c r="H228" i="3"/>
  <c r="G228" i="3"/>
  <c r="F228" i="3"/>
  <c r="E228" i="3"/>
  <c r="D228" i="3"/>
  <c r="AN227" i="3"/>
  <c r="AM227" i="3"/>
  <c r="AG227" i="3"/>
  <c r="AF227" i="3"/>
  <c r="AE227" i="3"/>
  <c r="AD227" i="3"/>
  <c r="AC227" i="3"/>
  <c r="AB227" i="3"/>
  <c r="AA227" i="3"/>
  <c r="Z227" i="3"/>
  <c r="Y227" i="3"/>
  <c r="X227" i="3"/>
  <c r="W227" i="3"/>
  <c r="V227" i="3"/>
  <c r="U227" i="3"/>
  <c r="T227" i="3"/>
  <c r="S227" i="3"/>
  <c r="R227" i="3"/>
  <c r="Q227" i="3"/>
  <c r="P227" i="3"/>
  <c r="O227" i="3"/>
  <c r="N227" i="3"/>
  <c r="M227" i="3"/>
  <c r="L227" i="3"/>
  <c r="K227" i="3"/>
  <c r="J227" i="3"/>
  <c r="I227" i="3"/>
  <c r="H227" i="3"/>
  <c r="G227" i="3"/>
  <c r="F227" i="3"/>
  <c r="E227" i="3"/>
  <c r="D227" i="3"/>
  <c r="AN226" i="3"/>
  <c r="AM226" i="3"/>
  <c r="AG226" i="3"/>
  <c r="AF226" i="3"/>
  <c r="AE226" i="3"/>
  <c r="AD226" i="3"/>
  <c r="AC226" i="3"/>
  <c r="AB226" i="3"/>
  <c r="AA226" i="3"/>
  <c r="Z226" i="3"/>
  <c r="Y226" i="3"/>
  <c r="X226" i="3"/>
  <c r="W226" i="3"/>
  <c r="V226" i="3"/>
  <c r="U226" i="3"/>
  <c r="T226" i="3"/>
  <c r="S226" i="3"/>
  <c r="R226" i="3"/>
  <c r="Q226" i="3"/>
  <c r="P226" i="3"/>
  <c r="O226" i="3"/>
  <c r="N226" i="3"/>
  <c r="M226" i="3"/>
  <c r="L226" i="3"/>
  <c r="K226" i="3"/>
  <c r="J226" i="3"/>
  <c r="I226" i="3"/>
  <c r="H226" i="3"/>
  <c r="G226" i="3"/>
  <c r="F226" i="3"/>
  <c r="E226" i="3"/>
  <c r="D226" i="3"/>
  <c r="AN225" i="3"/>
  <c r="AM225" i="3"/>
  <c r="AG225" i="3"/>
  <c r="AF225" i="3"/>
  <c r="AE225" i="3"/>
  <c r="AD225" i="3"/>
  <c r="AC225" i="3"/>
  <c r="AB225" i="3"/>
  <c r="AA225" i="3"/>
  <c r="Z225" i="3"/>
  <c r="Y225" i="3"/>
  <c r="X225" i="3"/>
  <c r="W225" i="3"/>
  <c r="V225" i="3"/>
  <c r="U225" i="3"/>
  <c r="T225" i="3"/>
  <c r="S225" i="3"/>
  <c r="R225" i="3"/>
  <c r="Q225" i="3"/>
  <c r="P225" i="3"/>
  <c r="O225" i="3"/>
  <c r="N225" i="3"/>
  <c r="M225" i="3"/>
  <c r="L225" i="3"/>
  <c r="K225" i="3"/>
  <c r="J225" i="3"/>
  <c r="I225" i="3"/>
  <c r="H225" i="3"/>
  <c r="G225" i="3"/>
  <c r="F225" i="3"/>
  <c r="E225" i="3"/>
  <c r="D225" i="3"/>
  <c r="AN224" i="3"/>
  <c r="AM224" i="3"/>
  <c r="AG224" i="3"/>
  <c r="AF224" i="3"/>
  <c r="AE224" i="3"/>
  <c r="AD224" i="3"/>
  <c r="AC224" i="3"/>
  <c r="AB224" i="3"/>
  <c r="AA224" i="3"/>
  <c r="Z224" i="3"/>
  <c r="Y224" i="3"/>
  <c r="X224" i="3"/>
  <c r="W224" i="3"/>
  <c r="V224" i="3"/>
  <c r="U224" i="3"/>
  <c r="T224" i="3"/>
  <c r="S224" i="3"/>
  <c r="R224" i="3"/>
  <c r="Q224" i="3"/>
  <c r="P224" i="3"/>
  <c r="O224" i="3"/>
  <c r="N224" i="3"/>
  <c r="M224" i="3"/>
  <c r="L224" i="3"/>
  <c r="K224" i="3"/>
  <c r="J224" i="3"/>
  <c r="I224" i="3"/>
  <c r="H224" i="3"/>
  <c r="G224" i="3"/>
  <c r="F224" i="3"/>
  <c r="E224" i="3"/>
  <c r="D224" i="3"/>
  <c r="AN223" i="3"/>
  <c r="AM223" i="3"/>
  <c r="AG223" i="3"/>
  <c r="AF223" i="3"/>
  <c r="AE223" i="3"/>
  <c r="AD223" i="3"/>
  <c r="AC223" i="3"/>
  <c r="AB223" i="3"/>
  <c r="AA223" i="3"/>
  <c r="Z223" i="3"/>
  <c r="Y223" i="3"/>
  <c r="X223" i="3"/>
  <c r="W223" i="3"/>
  <c r="V223" i="3"/>
  <c r="U223" i="3"/>
  <c r="T223" i="3"/>
  <c r="S223" i="3"/>
  <c r="R223" i="3"/>
  <c r="Q223" i="3"/>
  <c r="P223" i="3"/>
  <c r="O223" i="3"/>
  <c r="N223" i="3"/>
  <c r="M223" i="3"/>
  <c r="L223" i="3"/>
  <c r="K223" i="3"/>
  <c r="J223" i="3"/>
  <c r="I223" i="3"/>
  <c r="H223" i="3"/>
  <c r="G223" i="3"/>
  <c r="F223" i="3"/>
  <c r="E223" i="3"/>
  <c r="D223" i="3"/>
  <c r="G222" i="3"/>
  <c r="F222" i="3"/>
  <c r="E222" i="3"/>
  <c r="D222" i="3"/>
  <c r="S186" i="3"/>
  <c r="R186" i="3"/>
  <c r="Q186" i="3"/>
  <c r="P186" i="3"/>
  <c r="O186" i="3"/>
  <c r="N186" i="3"/>
  <c r="M186" i="3"/>
  <c r="L186" i="3"/>
  <c r="K186" i="3"/>
  <c r="J186" i="3"/>
  <c r="I186" i="3"/>
  <c r="H186" i="3"/>
  <c r="G186" i="3"/>
  <c r="F186" i="3"/>
  <c r="S185" i="3"/>
  <c r="R185" i="3"/>
  <c r="Q185" i="3"/>
  <c r="P185" i="3"/>
  <c r="O185" i="3"/>
  <c r="N185" i="3"/>
  <c r="M185" i="3"/>
  <c r="L185" i="3"/>
  <c r="K185" i="3"/>
  <c r="J185" i="3"/>
  <c r="I185" i="3"/>
  <c r="H185" i="3"/>
  <c r="G185" i="3"/>
  <c r="F185" i="3"/>
  <c r="S184" i="3"/>
  <c r="R184" i="3"/>
  <c r="Q184" i="3"/>
  <c r="P184" i="3"/>
  <c r="O184" i="3"/>
  <c r="N184" i="3"/>
  <c r="M184" i="3"/>
  <c r="L184" i="3"/>
  <c r="K184" i="3"/>
  <c r="J184" i="3"/>
  <c r="I184" i="3"/>
  <c r="H184" i="3"/>
  <c r="G184" i="3"/>
  <c r="F184" i="3"/>
  <c r="S183" i="3"/>
  <c r="R183" i="3"/>
  <c r="Q183" i="3"/>
  <c r="P183" i="3"/>
  <c r="O183" i="3"/>
  <c r="N183" i="3"/>
  <c r="M183" i="3"/>
  <c r="L183" i="3"/>
  <c r="K183" i="3"/>
  <c r="J183" i="3"/>
  <c r="I183" i="3"/>
  <c r="H183" i="3"/>
  <c r="G183" i="3"/>
  <c r="F183" i="3"/>
  <c r="S182" i="3"/>
  <c r="R182" i="3"/>
  <c r="Q182" i="3"/>
  <c r="P182" i="3"/>
  <c r="O182" i="3"/>
  <c r="N182" i="3"/>
  <c r="M182" i="3"/>
  <c r="L182" i="3"/>
  <c r="K182" i="3"/>
  <c r="J182" i="3"/>
  <c r="I182" i="3"/>
  <c r="H182" i="3"/>
  <c r="G182" i="3"/>
  <c r="F182" i="3"/>
  <c r="S181" i="3"/>
  <c r="R181" i="3"/>
  <c r="Q181" i="3"/>
  <c r="P181" i="3"/>
  <c r="O181" i="3"/>
  <c r="N181" i="3"/>
  <c r="M181" i="3"/>
  <c r="L181" i="3"/>
  <c r="K181" i="3"/>
  <c r="J181" i="3"/>
  <c r="I181" i="3"/>
  <c r="H181" i="3"/>
  <c r="G181" i="3"/>
  <c r="F181" i="3"/>
  <c r="AB35" i="3"/>
  <c r="Z35" i="3"/>
  <c r="X35" i="3"/>
  <c r="V35" i="3"/>
  <c r="T35" i="3"/>
  <c r="R35" i="3"/>
  <c r="Q35" i="3"/>
  <c r="P35" i="3"/>
  <c r="O35" i="3"/>
  <c r="N35" i="3"/>
  <c r="M35" i="3"/>
  <c r="L35" i="3"/>
  <c r="K35" i="3"/>
  <c r="J35" i="3"/>
  <c r="I35" i="3"/>
  <c r="H35" i="3"/>
  <c r="F35" i="3"/>
  <c r="D35" i="3"/>
  <c r="AB34" i="3"/>
  <c r="Z34" i="3"/>
  <c r="X34" i="3"/>
  <c r="V34" i="3"/>
  <c r="T34" i="3"/>
  <c r="R34" i="3"/>
  <c r="Q34" i="3"/>
  <c r="P34" i="3"/>
  <c r="O34" i="3"/>
  <c r="N34" i="3"/>
  <c r="M34" i="3"/>
  <c r="L34" i="3"/>
  <c r="K34" i="3"/>
  <c r="J34" i="3"/>
  <c r="I34" i="3"/>
  <c r="H34" i="3"/>
  <c r="F34" i="3"/>
  <c r="D34" i="3"/>
  <c r="AB33" i="3"/>
  <c r="Z33" i="3"/>
  <c r="X33" i="3"/>
  <c r="V33" i="3"/>
  <c r="T33" i="3"/>
  <c r="R33" i="3"/>
  <c r="Q33" i="3"/>
  <c r="P33" i="3"/>
  <c r="O33" i="3"/>
  <c r="N33" i="3"/>
  <c r="M33" i="3"/>
  <c r="L33" i="3"/>
  <c r="K33" i="3"/>
  <c r="J33" i="3"/>
  <c r="I33" i="3"/>
  <c r="H33" i="3"/>
  <c r="F33" i="3"/>
  <c r="D33" i="3"/>
  <c r="AB32" i="3"/>
  <c r="Z32" i="3"/>
  <c r="X32" i="3"/>
  <c r="V32" i="3"/>
  <c r="T32" i="3"/>
  <c r="R32" i="3"/>
  <c r="Q32" i="3"/>
  <c r="P32" i="3"/>
  <c r="O32" i="3"/>
  <c r="N32" i="3"/>
  <c r="M32" i="3"/>
  <c r="L32" i="3"/>
  <c r="K32" i="3"/>
  <c r="J32" i="3"/>
  <c r="I32" i="3"/>
  <c r="H32" i="3"/>
  <c r="F32" i="3"/>
  <c r="D32" i="3"/>
  <c r="AB31" i="3"/>
  <c r="Z31" i="3"/>
  <c r="X31" i="3"/>
  <c r="V31" i="3"/>
  <c r="T31" i="3"/>
  <c r="R31" i="3"/>
  <c r="Q31" i="3"/>
  <c r="P31" i="3"/>
  <c r="O31" i="3"/>
  <c r="N31" i="3"/>
  <c r="M31" i="3"/>
  <c r="L31" i="3"/>
  <c r="K31" i="3"/>
  <c r="J31" i="3"/>
  <c r="I31" i="3"/>
  <c r="H31" i="3"/>
  <c r="F31" i="3"/>
  <c r="D31" i="3"/>
  <c r="AB30" i="3"/>
  <c r="Z30" i="3"/>
  <c r="X30" i="3"/>
  <c r="V30" i="3"/>
  <c r="T30" i="3"/>
  <c r="R30" i="3"/>
  <c r="Q30" i="3"/>
  <c r="P30" i="3"/>
  <c r="O30" i="3"/>
  <c r="N30" i="3"/>
  <c r="M30" i="3"/>
  <c r="L30" i="3"/>
  <c r="K30" i="3"/>
  <c r="J30" i="3"/>
  <c r="I30" i="3"/>
  <c r="H30" i="3"/>
  <c r="F30" i="3"/>
  <c r="D30" i="3"/>
  <c r="AB29" i="3"/>
  <c r="Z29" i="3"/>
  <c r="X29" i="3"/>
  <c r="V29" i="3"/>
  <c r="T29" i="3"/>
  <c r="R29" i="3"/>
  <c r="Q29" i="3"/>
  <c r="P29" i="3"/>
  <c r="O29" i="3"/>
  <c r="N29" i="3"/>
  <c r="M29" i="3"/>
  <c r="L29" i="3"/>
  <c r="K29" i="3"/>
  <c r="J29" i="3"/>
  <c r="I29" i="3"/>
  <c r="H29" i="3"/>
  <c r="F29" i="3"/>
  <c r="D29" i="3"/>
  <c r="AB28" i="3"/>
  <c r="Z28" i="3"/>
  <c r="X28" i="3"/>
  <c r="V28" i="3"/>
  <c r="T28" i="3"/>
  <c r="R28" i="3"/>
  <c r="Q28" i="3"/>
  <c r="P28" i="3"/>
  <c r="O28" i="3"/>
  <c r="N28" i="3"/>
  <c r="M28" i="3"/>
  <c r="L28" i="3"/>
  <c r="K28" i="3"/>
  <c r="J28" i="3"/>
  <c r="I28" i="3"/>
  <c r="H28" i="3"/>
  <c r="F28" i="3"/>
  <c r="D28" i="3"/>
  <c r="AB27" i="3"/>
  <c r="Z27" i="3"/>
  <c r="X27" i="3"/>
  <c r="V27" i="3"/>
  <c r="T27" i="3"/>
  <c r="R27" i="3"/>
  <c r="Q27" i="3"/>
  <c r="P27" i="3"/>
  <c r="O27" i="3"/>
  <c r="N27" i="3"/>
  <c r="M27" i="3"/>
  <c r="L27" i="3"/>
  <c r="K27" i="3"/>
  <c r="J27" i="3"/>
  <c r="I27" i="3"/>
  <c r="H27" i="3"/>
  <c r="F27" i="3"/>
  <c r="D27" i="3"/>
  <c r="AB26" i="3"/>
  <c r="Z26" i="3"/>
  <c r="X26" i="3"/>
  <c r="V26" i="3"/>
  <c r="T26" i="3"/>
  <c r="R26" i="3"/>
  <c r="Q26" i="3"/>
  <c r="P26" i="3"/>
  <c r="O26" i="3"/>
  <c r="N26" i="3"/>
  <c r="M26" i="3"/>
  <c r="L26" i="3"/>
  <c r="K26" i="3"/>
  <c r="J26" i="3"/>
  <c r="I26" i="3"/>
  <c r="H26" i="3"/>
  <c r="F26" i="3"/>
  <c r="D26" i="3"/>
  <c r="AB25" i="3"/>
  <c r="Z25" i="3"/>
  <c r="X25" i="3"/>
  <c r="V25" i="3"/>
  <c r="T25" i="3"/>
  <c r="R25" i="3"/>
  <c r="Q25" i="3"/>
  <c r="P25" i="3"/>
  <c r="O25" i="3"/>
  <c r="N25" i="3"/>
  <c r="M25" i="3"/>
  <c r="L25" i="3"/>
  <c r="K25" i="3"/>
  <c r="J25" i="3"/>
  <c r="I25" i="3"/>
  <c r="H25" i="3"/>
  <c r="F25" i="3"/>
  <c r="D25" i="3"/>
  <c r="AB24" i="3"/>
  <c r="Z24" i="3"/>
  <c r="X24" i="3"/>
  <c r="V24" i="3"/>
  <c r="T24" i="3"/>
  <c r="R24" i="3"/>
  <c r="Q24" i="3"/>
  <c r="P24" i="3"/>
  <c r="O24" i="3"/>
  <c r="N24" i="3"/>
  <c r="M24" i="3"/>
  <c r="L24" i="3"/>
  <c r="K24" i="3"/>
  <c r="J24" i="3"/>
  <c r="I24" i="3"/>
  <c r="H24" i="3"/>
  <c r="F24" i="3"/>
  <c r="D24" i="3"/>
  <c r="AB23" i="3"/>
  <c r="Z23" i="3"/>
  <c r="X23" i="3"/>
  <c r="V23" i="3"/>
  <c r="T23" i="3"/>
  <c r="R23" i="3"/>
  <c r="Q23" i="3"/>
  <c r="P23" i="3"/>
  <c r="O23" i="3"/>
  <c r="N23" i="3"/>
  <c r="M23" i="3"/>
  <c r="L23" i="3"/>
  <c r="K23" i="3"/>
  <c r="J23" i="3"/>
  <c r="I23" i="3"/>
  <c r="H23" i="3"/>
  <c r="F23" i="3"/>
  <c r="D23" i="3"/>
  <c r="AB22" i="3"/>
  <c r="Z22" i="3"/>
  <c r="X22" i="3"/>
  <c r="V22" i="3"/>
  <c r="T22" i="3"/>
  <c r="R22" i="3"/>
  <c r="Q22" i="3"/>
  <c r="P22" i="3"/>
  <c r="O22" i="3"/>
  <c r="N22" i="3"/>
  <c r="M22" i="3"/>
  <c r="L22" i="3"/>
  <c r="K22" i="3"/>
  <c r="J22" i="3"/>
  <c r="I22" i="3"/>
  <c r="H22" i="3"/>
  <c r="F22" i="3"/>
  <c r="D22" i="3"/>
  <c r="AB21" i="3"/>
  <c r="Z21" i="3"/>
  <c r="X21" i="3"/>
  <c r="V21" i="3"/>
  <c r="T21" i="3"/>
  <c r="R21" i="3"/>
  <c r="Q21" i="3"/>
  <c r="P21" i="3"/>
  <c r="O21" i="3"/>
  <c r="N21" i="3"/>
  <c r="M21" i="3"/>
  <c r="L21" i="3"/>
  <c r="K21" i="3"/>
  <c r="J21" i="3"/>
  <c r="I21" i="3"/>
  <c r="H21" i="3"/>
  <c r="F21" i="3"/>
  <c r="D21" i="3"/>
  <c r="AB20" i="3"/>
  <c r="Z20" i="3"/>
  <c r="X20" i="3"/>
  <c r="V20" i="3"/>
  <c r="T20" i="3"/>
  <c r="R20" i="3"/>
  <c r="Q20" i="3"/>
  <c r="P20" i="3"/>
  <c r="O20" i="3"/>
  <c r="N20" i="3"/>
  <c r="M20" i="3"/>
  <c r="L20" i="3"/>
  <c r="K20" i="3"/>
  <c r="J20" i="3"/>
  <c r="I20" i="3"/>
  <c r="H20" i="3"/>
  <c r="F20" i="3"/>
  <c r="D20" i="3"/>
  <c r="AB19" i="3"/>
  <c r="Z19" i="3"/>
  <c r="X19" i="3"/>
  <c r="V19" i="3"/>
  <c r="T19" i="3"/>
  <c r="R19" i="3"/>
  <c r="Q19" i="3"/>
  <c r="P19" i="3"/>
  <c r="O19" i="3"/>
  <c r="N19" i="3"/>
  <c r="M19" i="3"/>
  <c r="L19" i="3"/>
  <c r="K19" i="3"/>
  <c r="J19" i="3"/>
  <c r="I19" i="3"/>
  <c r="H19" i="3"/>
  <c r="F19" i="3"/>
  <c r="D19" i="3"/>
  <c r="AB18" i="3"/>
  <c r="Z18" i="3"/>
  <c r="C22" i="54" s="1"/>
  <c r="V18" i="3"/>
  <c r="C21" i="54" s="1"/>
  <c r="T18" i="3"/>
  <c r="R18" i="3"/>
  <c r="C20" i="54" s="1"/>
  <c r="Q18" i="3"/>
  <c r="P18" i="3"/>
  <c r="C19" i="54" s="1"/>
  <c r="O18" i="3"/>
  <c r="N18" i="3"/>
  <c r="C18" i="54" s="1"/>
  <c r="M18" i="3"/>
  <c r="L18" i="3"/>
  <c r="C17" i="54" s="1"/>
  <c r="K18" i="3"/>
  <c r="J18" i="3"/>
  <c r="C16" i="54" s="1"/>
  <c r="I18" i="3"/>
  <c r="H18" i="3"/>
  <c r="C15" i="54" s="1"/>
  <c r="F18" i="3"/>
  <c r="D18" i="3"/>
  <c r="O311" i="64" l="1"/>
  <c r="M311" i="64"/>
  <c r="F292" i="64"/>
  <c r="N311" i="64"/>
  <c r="L311" i="64"/>
  <c r="K311" i="64"/>
  <c r="J311" i="64"/>
  <c r="K310" i="64"/>
  <c r="D292" i="64"/>
  <c r="J310" i="64"/>
  <c r="O310" i="64"/>
  <c r="N310" i="64"/>
  <c r="M310" i="64"/>
  <c r="L310" i="64"/>
  <c r="L249" i="64"/>
  <c r="N249" i="64"/>
  <c r="K249" i="64"/>
  <c r="J249" i="64"/>
  <c r="M249" i="64"/>
  <c r="N248" i="64"/>
  <c r="K248" i="64"/>
  <c r="J248" i="64"/>
  <c r="M248" i="64"/>
  <c r="L248" i="64"/>
  <c r="N183" i="64"/>
  <c r="K183" i="64"/>
  <c r="J183" i="64"/>
  <c r="M183" i="64"/>
  <c r="L183" i="64"/>
  <c r="N184" i="64"/>
  <c r="K184" i="64"/>
  <c r="J184" i="64"/>
  <c r="M184" i="64"/>
  <c r="L184" i="64"/>
  <c r="K100" i="64"/>
  <c r="M97" i="64"/>
  <c r="L100" i="64"/>
  <c r="M100" i="64"/>
  <c r="L97" i="64"/>
  <c r="K97" i="64"/>
  <c r="D84" i="64"/>
  <c r="N97" i="64"/>
  <c r="L98" i="64"/>
  <c r="M101" i="64"/>
  <c r="M98" i="64"/>
  <c r="K101" i="64"/>
  <c r="N98" i="64"/>
  <c r="F84" i="64"/>
  <c r="K98" i="64"/>
  <c r="L101" i="64"/>
  <c r="O295" i="64"/>
  <c r="L40" i="64"/>
  <c r="D83" i="64"/>
  <c r="N103" i="64"/>
  <c r="J103" i="64"/>
  <c r="K40" i="64"/>
  <c r="D22" i="64"/>
  <c r="M103" i="64"/>
  <c r="L103" i="64"/>
  <c r="K103" i="64"/>
  <c r="N100" i="64"/>
  <c r="N40" i="64"/>
  <c r="M40" i="64"/>
  <c r="N104" i="64"/>
  <c r="J104" i="64"/>
  <c r="K41" i="64"/>
  <c r="F22" i="64"/>
  <c r="N41" i="64"/>
  <c r="F83" i="64"/>
  <c r="M104" i="64"/>
  <c r="K104" i="64"/>
  <c r="N101" i="64"/>
  <c r="M41" i="64"/>
  <c r="L104" i="64"/>
  <c r="L41" i="64"/>
  <c r="J26" i="64"/>
  <c r="J19" i="64"/>
  <c r="J22" i="64"/>
  <c r="J25" i="64"/>
  <c r="J28" i="64"/>
  <c r="J31" i="64"/>
  <c r="J34" i="64"/>
  <c r="J37" i="64"/>
  <c r="J40" i="64"/>
  <c r="J29" i="64"/>
  <c r="J32" i="64"/>
  <c r="J35" i="64"/>
  <c r="J38" i="64"/>
  <c r="N38" i="64"/>
  <c r="L228" i="64"/>
  <c r="J41" i="64"/>
  <c r="J20" i="64"/>
  <c r="J23" i="64"/>
  <c r="J30" i="64"/>
  <c r="J17" i="52"/>
  <c r="I21" i="48"/>
  <c r="E22" i="48"/>
  <c r="J18" i="64"/>
  <c r="J39" i="64"/>
  <c r="J21" i="64"/>
  <c r="C19" i="66"/>
  <c r="D21" i="66"/>
  <c r="G22" i="66"/>
  <c r="J33" i="64"/>
  <c r="E21" i="53"/>
  <c r="D23" i="66"/>
  <c r="J36" i="64"/>
  <c r="G15" i="48"/>
  <c r="F17" i="51"/>
  <c r="J24" i="64"/>
  <c r="H19" i="51"/>
  <c r="J27" i="64"/>
  <c r="K36" i="64"/>
  <c r="L225" i="64"/>
  <c r="L234" i="64"/>
  <c r="J78" i="64"/>
  <c r="M237" i="64"/>
  <c r="F78" i="64"/>
  <c r="N243" i="64"/>
  <c r="J92" i="64"/>
  <c r="J289" i="64"/>
  <c r="K289" i="64"/>
  <c r="F159" i="64"/>
  <c r="J293" i="64"/>
  <c r="M161" i="64"/>
  <c r="J298" i="64"/>
  <c r="F162" i="64"/>
  <c r="L302" i="64"/>
  <c r="K17" i="64"/>
  <c r="M166" i="64"/>
  <c r="J306" i="64"/>
  <c r="L20" i="64"/>
  <c r="J172" i="64"/>
  <c r="N83" i="64"/>
  <c r="L89" i="64"/>
  <c r="K23" i="64"/>
  <c r="K175" i="64"/>
  <c r="L29" i="64"/>
  <c r="M181" i="64"/>
  <c r="M32" i="64"/>
  <c r="F221" i="64"/>
  <c r="D16" i="48"/>
  <c r="J22" i="66"/>
  <c r="H20" i="51"/>
  <c r="G16" i="48"/>
  <c r="J20" i="51"/>
  <c r="E18" i="48"/>
  <c r="F22" i="51"/>
  <c r="H18" i="48"/>
  <c r="G19" i="48"/>
  <c r="C21" i="64"/>
  <c r="D15" i="51"/>
  <c r="D16" i="52"/>
  <c r="N167" i="64"/>
  <c r="H16" i="51"/>
  <c r="G17" i="52"/>
  <c r="E18" i="51"/>
  <c r="J19" i="52"/>
  <c r="L15" i="47"/>
  <c r="E16" i="66"/>
  <c r="G18" i="51"/>
  <c r="H16" i="66"/>
  <c r="I18" i="51"/>
  <c r="L226" i="64"/>
  <c r="E15" i="48"/>
  <c r="F19" i="51"/>
  <c r="N93" i="64"/>
  <c r="M176" i="64"/>
  <c r="I16" i="48"/>
  <c r="F20" i="51"/>
  <c r="E18" i="52"/>
  <c r="E24" i="53"/>
  <c r="J244" i="64"/>
  <c r="K303" i="64"/>
  <c r="I17" i="48"/>
  <c r="G19" i="52"/>
  <c r="M33" i="64"/>
  <c r="L244" i="64"/>
  <c r="N303" i="64"/>
  <c r="J16" i="66"/>
  <c r="F15" i="51"/>
  <c r="E21" i="51"/>
  <c r="E20" i="52"/>
  <c r="M36" i="64"/>
  <c r="C222" i="64"/>
  <c r="J285" i="64"/>
  <c r="I18" i="48"/>
  <c r="F18" i="66"/>
  <c r="D16" i="51"/>
  <c r="F21" i="51"/>
  <c r="J21" i="52"/>
  <c r="C15" i="64"/>
  <c r="J223" i="64"/>
  <c r="M285" i="64"/>
  <c r="E19" i="48"/>
  <c r="I18" i="66"/>
  <c r="F16" i="51"/>
  <c r="H21" i="51"/>
  <c r="E22" i="52"/>
  <c r="K15" i="64"/>
  <c r="K161" i="64"/>
  <c r="O285" i="64"/>
  <c r="J23" i="52"/>
  <c r="K16" i="47"/>
  <c r="G20" i="48"/>
  <c r="F20" i="66"/>
  <c r="C17" i="51"/>
  <c r="H22" i="51"/>
  <c r="M18" i="64"/>
  <c r="M78" i="64"/>
  <c r="C227" i="64"/>
  <c r="I20" i="48"/>
  <c r="J20" i="66"/>
  <c r="D17" i="51"/>
  <c r="J22" i="51"/>
  <c r="C20" i="64"/>
  <c r="C78" i="64"/>
  <c r="C291" i="64"/>
  <c r="F21" i="48"/>
  <c r="L167" i="64"/>
  <c r="N232" i="64"/>
  <c r="K291" i="64"/>
  <c r="G21" i="48"/>
  <c r="E19" i="53"/>
  <c r="L84" i="64"/>
  <c r="K235" i="64"/>
  <c r="O294" i="64"/>
  <c r="E20" i="53"/>
  <c r="N24" i="64"/>
  <c r="N84" i="64"/>
  <c r="N173" i="64"/>
  <c r="M235" i="64"/>
  <c r="L297" i="64"/>
  <c r="L27" i="64"/>
  <c r="N297" i="64"/>
  <c r="E16" i="48"/>
  <c r="D23" i="53"/>
  <c r="N27" i="64"/>
  <c r="L93" i="64"/>
  <c r="K176" i="64"/>
  <c r="M241" i="64"/>
  <c r="E23" i="53"/>
  <c r="J20" i="47"/>
  <c r="C13" i="64"/>
  <c r="N18" i="64"/>
  <c r="N33" i="64"/>
  <c r="K78" i="64"/>
  <c r="J84" i="64"/>
  <c r="J93" i="64"/>
  <c r="O102" i="64"/>
  <c r="C160" i="64"/>
  <c r="J167" i="64"/>
  <c r="C221" i="64"/>
  <c r="M226" i="64"/>
  <c r="N241" i="64"/>
  <c r="K285" i="64"/>
  <c r="J297" i="64"/>
  <c r="L303" i="64"/>
  <c r="J15" i="47"/>
  <c r="K20" i="47"/>
  <c r="F16" i="66"/>
  <c r="G18" i="66"/>
  <c r="G20" i="66"/>
  <c r="H22" i="66"/>
  <c r="C18" i="52"/>
  <c r="C20" i="52"/>
  <c r="C22" i="52"/>
  <c r="C14" i="64"/>
  <c r="C19" i="64"/>
  <c r="K27" i="64"/>
  <c r="L78" i="64"/>
  <c r="K84" i="64"/>
  <c r="K93" i="64"/>
  <c r="J161" i="64"/>
  <c r="K167" i="64"/>
  <c r="J176" i="64"/>
  <c r="N226" i="64"/>
  <c r="J235" i="64"/>
  <c r="L285" i="64"/>
  <c r="C290" i="64"/>
  <c r="K297" i="64"/>
  <c r="M303" i="64"/>
  <c r="K15" i="47"/>
  <c r="L20" i="47"/>
  <c r="F16" i="48"/>
  <c r="D19" i="48"/>
  <c r="H21" i="48"/>
  <c r="G16" i="66"/>
  <c r="H18" i="66"/>
  <c r="I20" i="66"/>
  <c r="I22" i="66"/>
  <c r="E15" i="51"/>
  <c r="E17" i="51"/>
  <c r="G19" i="51"/>
  <c r="G21" i="51"/>
  <c r="C16" i="52"/>
  <c r="D18" i="52"/>
  <c r="D20" i="52"/>
  <c r="D22" i="52"/>
  <c r="D24" i="53"/>
  <c r="J15" i="64"/>
  <c r="M27" i="64"/>
  <c r="L36" i="64"/>
  <c r="N78" i="64"/>
  <c r="M84" i="64"/>
  <c r="M93" i="64"/>
  <c r="L161" i="64"/>
  <c r="M167" i="64"/>
  <c r="L176" i="64"/>
  <c r="C223" i="64"/>
  <c r="C228" i="64"/>
  <c r="L235" i="64"/>
  <c r="K244" i="64"/>
  <c r="N285" i="64"/>
  <c r="J291" i="64"/>
  <c r="M297" i="64"/>
  <c r="O303" i="64"/>
  <c r="J16" i="47"/>
  <c r="H16" i="48"/>
  <c r="F19" i="48"/>
  <c r="D22" i="48"/>
  <c r="I16" i="66"/>
  <c r="J18" i="66"/>
  <c r="C21" i="66"/>
  <c r="C23" i="66"/>
  <c r="G15" i="51"/>
  <c r="G17" i="51"/>
  <c r="I19" i="51"/>
  <c r="I21" i="51"/>
  <c r="E16" i="52"/>
  <c r="F18" i="52"/>
  <c r="F20" i="52"/>
  <c r="F22" i="52"/>
  <c r="H15" i="51"/>
  <c r="H17" i="51"/>
  <c r="J19" i="51"/>
  <c r="J21" i="51"/>
  <c r="G16" i="52"/>
  <c r="G18" i="52"/>
  <c r="G20" i="52"/>
  <c r="G22" i="52"/>
  <c r="E17" i="53"/>
  <c r="L15" i="64"/>
  <c r="N36" i="64"/>
  <c r="J87" i="64"/>
  <c r="J96" i="64"/>
  <c r="C155" i="64"/>
  <c r="N161" i="64"/>
  <c r="J170" i="64"/>
  <c r="N176" i="64"/>
  <c r="K223" i="64"/>
  <c r="C229" i="64"/>
  <c r="N235" i="64"/>
  <c r="M244" i="64"/>
  <c r="C286" i="64"/>
  <c r="L291" i="64"/>
  <c r="O297" i="64"/>
  <c r="K306" i="64"/>
  <c r="L16" i="47"/>
  <c r="D17" i="48"/>
  <c r="H19" i="48"/>
  <c r="F22" i="48"/>
  <c r="D19" i="66"/>
  <c r="E21" i="66"/>
  <c r="E23" i="66"/>
  <c r="I15" i="51"/>
  <c r="I17" i="51"/>
  <c r="C20" i="51"/>
  <c r="C22" i="51"/>
  <c r="H16" i="52"/>
  <c r="H18" i="52"/>
  <c r="H20" i="52"/>
  <c r="H22" i="52"/>
  <c r="D18" i="53"/>
  <c r="M15" i="64"/>
  <c r="K21" i="64"/>
  <c r="C79" i="64"/>
  <c r="K87" i="64"/>
  <c r="C156" i="64"/>
  <c r="C161" i="64"/>
  <c r="K170" i="64"/>
  <c r="J179" i="64"/>
  <c r="L223" i="64"/>
  <c r="J229" i="64"/>
  <c r="N244" i="64"/>
  <c r="C287" i="64"/>
  <c r="M291" i="64"/>
  <c r="L306" i="64"/>
  <c r="J17" i="47"/>
  <c r="E17" i="48"/>
  <c r="I19" i="48"/>
  <c r="G22" i="48"/>
  <c r="E19" i="66"/>
  <c r="F21" i="66"/>
  <c r="F23" i="66"/>
  <c r="J15" i="51"/>
  <c r="J17" i="51"/>
  <c r="D20" i="51"/>
  <c r="D22" i="51"/>
  <c r="I16" i="52"/>
  <c r="I18" i="52"/>
  <c r="I20" i="52"/>
  <c r="I22" i="52"/>
  <c r="E18" i="53"/>
  <c r="N15" i="64"/>
  <c r="L21" i="64"/>
  <c r="K30" i="64"/>
  <c r="C80" i="64"/>
  <c r="L87" i="64"/>
  <c r="C157" i="64"/>
  <c r="C162" i="64"/>
  <c r="L170" i="64"/>
  <c r="K179" i="64"/>
  <c r="M223" i="64"/>
  <c r="K229" i="64"/>
  <c r="J238" i="64"/>
  <c r="C288" i="64"/>
  <c r="N291" i="64"/>
  <c r="J300" i="64"/>
  <c r="M306" i="64"/>
  <c r="K17" i="47"/>
  <c r="F17" i="48"/>
  <c r="D20" i="48"/>
  <c r="H22" i="48"/>
  <c r="F19" i="66"/>
  <c r="G21" i="66"/>
  <c r="G23" i="66"/>
  <c r="C16" i="51"/>
  <c r="D18" i="51"/>
  <c r="E20" i="51"/>
  <c r="E22" i="51"/>
  <c r="J16" i="52"/>
  <c r="J18" i="52"/>
  <c r="J20" i="52"/>
  <c r="J22" i="52"/>
  <c r="D19" i="53"/>
  <c r="C16" i="64"/>
  <c r="M21" i="64"/>
  <c r="L30" i="64"/>
  <c r="J81" i="64"/>
  <c r="M87" i="64"/>
  <c r="J158" i="64"/>
  <c r="M170" i="64"/>
  <c r="L179" i="64"/>
  <c r="N223" i="64"/>
  <c r="L229" i="64"/>
  <c r="K238" i="64"/>
  <c r="J288" i="64"/>
  <c r="O291" i="64"/>
  <c r="K300" i="64"/>
  <c r="N306" i="64"/>
  <c r="L17" i="47"/>
  <c r="G17" i="48"/>
  <c r="E20" i="48"/>
  <c r="I22" i="48"/>
  <c r="G19" i="66"/>
  <c r="H21" i="66"/>
  <c r="H23" i="66"/>
  <c r="C17" i="52"/>
  <c r="C19" i="52"/>
  <c r="C21" i="52"/>
  <c r="C23" i="52"/>
  <c r="C17" i="64"/>
  <c r="N21" i="64"/>
  <c r="M30" i="64"/>
  <c r="K81" i="64"/>
  <c r="N87" i="64"/>
  <c r="K158" i="64"/>
  <c r="C163" i="64"/>
  <c r="N170" i="64"/>
  <c r="M179" i="64"/>
  <c r="C224" i="64"/>
  <c r="M229" i="64"/>
  <c r="L238" i="64"/>
  <c r="K288" i="64"/>
  <c r="L300" i="64"/>
  <c r="O306" i="64"/>
  <c r="J18" i="47"/>
  <c r="D15" i="48"/>
  <c r="H17" i="48"/>
  <c r="F20" i="48"/>
  <c r="H19" i="66"/>
  <c r="I21" i="66"/>
  <c r="I23" i="66"/>
  <c r="E16" i="51"/>
  <c r="F18" i="51"/>
  <c r="G20" i="51"/>
  <c r="G22" i="51"/>
  <c r="D17" i="52"/>
  <c r="D19" i="52"/>
  <c r="D21" i="52"/>
  <c r="D23" i="52"/>
  <c r="D20" i="53"/>
  <c r="N30" i="64"/>
  <c r="L81" i="64"/>
  <c r="J90" i="64"/>
  <c r="L158" i="64"/>
  <c r="J164" i="64"/>
  <c r="N179" i="64"/>
  <c r="C225" i="64"/>
  <c r="N229" i="64"/>
  <c r="M238" i="64"/>
  <c r="L288" i="64"/>
  <c r="J294" i="64"/>
  <c r="M300" i="64"/>
  <c r="K18" i="47"/>
  <c r="I19" i="66"/>
  <c r="J21" i="66"/>
  <c r="J23" i="66"/>
  <c r="E17" i="52"/>
  <c r="E19" i="52"/>
  <c r="E21" i="52"/>
  <c r="E23" i="52"/>
  <c r="C18" i="64"/>
  <c r="M81" i="64"/>
  <c r="K90" i="64"/>
  <c r="J99" i="64"/>
  <c r="M158" i="64"/>
  <c r="K164" i="64"/>
  <c r="J173" i="64"/>
  <c r="J232" i="64"/>
  <c r="N238" i="64"/>
  <c r="M288" i="64"/>
  <c r="K294" i="64"/>
  <c r="N300" i="64"/>
  <c r="L18" i="47"/>
  <c r="F15" i="48"/>
  <c r="D18" i="48"/>
  <c r="H20" i="48"/>
  <c r="J19" i="66"/>
  <c r="C22" i="66"/>
  <c r="G16" i="51"/>
  <c r="H18" i="51"/>
  <c r="I20" i="51"/>
  <c r="I22" i="51"/>
  <c r="F17" i="52"/>
  <c r="F19" i="52"/>
  <c r="F21" i="52"/>
  <c r="F23" i="52"/>
  <c r="D21" i="53"/>
  <c r="K24" i="64"/>
  <c r="C75" i="64"/>
  <c r="N81" i="64"/>
  <c r="L90" i="64"/>
  <c r="N158" i="64"/>
  <c r="L164" i="64"/>
  <c r="K173" i="64"/>
  <c r="C226" i="64"/>
  <c r="K232" i="64"/>
  <c r="J241" i="64"/>
  <c r="C283" i="64"/>
  <c r="N288" i="64"/>
  <c r="L294" i="64"/>
  <c r="O300" i="64"/>
  <c r="J19" i="47"/>
  <c r="C18" i="66"/>
  <c r="C20" i="66"/>
  <c r="D22" i="66"/>
  <c r="G21" i="52"/>
  <c r="G23" i="52"/>
  <c r="K19" i="47"/>
  <c r="H15" i="48"/>
  <c r="F18" i="48"/>
  <c r="D21" i="48"/>
  <c r="C16" i="66"/>
  <c r="D18" i="66"/>
  <c r="D20" i="66"/>
  <c r="I16" i="51"/>
  <c r="J18" i="51"/>
  <c r="C21" i="51"/>
  <c r="H17" i="52"/>
  <c r="H19" i="52"/>
  <c r="H21" i="52"/>
  <c r="H23" i="52"/>
  <c r="D22" i="53"/>
  <c r="K18" i="64"/>
  <c r="L24" i="64"/>
  <c r="K33" i="64"/>
  <c r="C76" i="64"/>
  <c r="C81" i="64"/>
  <c r="M90" i="64"/>
  <c r="C158" i="64"/>
  <c r="M164" i="64"/>
  <c r="L173" i="64"/>
  <c r="J226" i="64"/>
  <c r="L232" i="64"/>
  <c r="K241" i="64"/>
  <c r="C284" i="64"/>
  <c r="O288" i="64"/>
  <c r="M294" i="64"/>
  <c r="L18" i="64"/>
  <c r="M24" i="64"/>
  <c r="L33" i="64"/>
  <c r="C77" i="64"/>
  <c r="C82" i="64"/>
  <c r="N90" i="64"/>
  <c r="C159" i="64"/>
  <c r="N164" i="64"/>
  <c r="M173" i="64"/>
  <c r="K226" i="64"/>
  <c r="M232" i="64"/>
  <c r="L241" i="64"/>
  <c r="C285" i="64"/>
  <c r="C289" i="64"/>
  <c r="N294" i="64"/>
  <c r="J303" i="64"/>
  <c r="I15" i="48"/>
  <c r="G18" i="48"/>
  <c r="D16" i="66"/>
  <c r="E18" i="66"/>
  <c r="E20" i="66"/>
  <c r="J16" i="51"/>
  <c r="D19" i="51"/>
  <c r="I17" i="52"/>
  <c r="I19" i="52"/>
  <c r="I21" i="52"/>
  <c r="F13" i="64"/>
  <c r="L17" i="64"/>
  <c r="M20" i="64"/>
  <c r="M29" i="64"/>
  <c r="K92" i="64"/>
  <c r="J160" i="64"/>
  <c r="J163" i="64"/>
  <c r="K172" i="64"/>
  <c r="N181" i="64"/>
  <c r="M234" i="64"/>
  <c r="F287" i="64"/>
  <c r="F289" i="64"/>
  <c r="L293" i="64"/>
  <c r="M302" i="64"/>
  <c r="K38" i="64"/>
  <c r="M89" i="64"/>
  <c r="K95" i="64"/>
  <c r="M17" i="64"/>
  <c r="N20" i="64"/>
  <c r="N29" i="64"/>
  <c r="F75" i="64"/>
  <c r="J86" i="64"/>
  <c r="M92" i="64"/>
  <c r="K160" i="64"/>
  <c r="K163" i="64"/>
  <c r="L172" i="64"/>
  <c r="N234" i="64"/>
  <c r="J240" i="64"/>
  <c r="J287" i="64"/>
  <c r="M293" i="64"/>
  <c r="J308" i="64"/>
  <c r="F76" i="64"/>
  <c r="N89" i="64"/>
  <c r="L95" i="64"/>
  <c r="L296" i="64"/>
  <c r="N302" i="64"/>
  <c r="F14" i="64"/>
  <c r="N17" i="64"/>
  <c r="M35" i="64"/>
  <c r="M86" i="64"/>
  <c r="F155" i="64"/>
  <c r="L160" i="64"/>
  <c r="L163" i="64"/>
  <c r="M172" i="64"/>
  <c r="K240" i="64"/>
  <c r="K287" i="64"/>
  <c r="N293" i="64"/>
  <c r="J299" i="64"/>
  <c r="K308" i="64"/>
  <c r="M38" i="64"/>
  <c r="K290" i="64"/>
  <c r="M296" i="64"/>
  <c r="O302" i="64"/>
  <c r="F21" i="64"/>
  <c r="M160" i="64"/>
  <c r="M163" i="64"/>
  <c r="N172" i="64"/>
  <c r="J178" i="64"/>
  <c r="J231" i="64"/>
  <c r="L240" i="64"/>
  <c r="F283" i="64"/>
  <c r="L287" i="64"/>
  <c r="K299" i="64"/>
  <c r="M308" i="64"/>
  <c r="K80" i="64"/>
  <c r="N95" i="64"/>
  <c r="L290" i="64"/>
  <c r="N296" i="64"/>
  <c r="F290" i="64"/>
  <c r="F15" i="64"/>
  <c r="F18" i="64"/>
  <c r="K26" i="64"/>
  <c r="F81" i="64"/>
  <c r="F156" i="64"/>
  <c r="N160" i="64"/>
  <c r="N163" i="64"/>
  <c r="K178" i="64"/>
  <c r="K231" i="64"/>
  <c r="M240" i="64"/>
  <c r="M287" i="64"/>
  <c r="J290" i="64"/>
  <c r="M299" i="64"/>
  <c r="N308" i="64"/>
  <c r="L80" i="64"/>
  <c r="M290" i="64"/>
  <c r="O296" i="64"/>
  <c r="L26" i="64"/>
  <c r="J169" i="64"/>
  <c r="L178" i="64"/>
  <c r="F224" i="64"/>
  <c r="F227" i="64"/>
  <c r="L231" i="64"/>
  <c r="N240" i="64"/>
  <c r="J246" i="64"/>
  <c r="N287" i="64"/>
  <c r="N290" i="64"/>
  <c r="N299" i="64"/>
  <c r="O308" i="64"/>
  <c r="F20" i="64"/>
  <c r="M80" i="64"/>
  <c r="K86" i="64"/>
  <c r="F80" i="64"/>
  <c r="M26" i="64"/>
  <c r="F82" i="64"/>
  <c r="J101" i="64"/>
  <c r="F157" i="64"/>
  <c r="F160" i="64"/>
  <c r="F163" i="64"/>
  <c r="K169" i="64"/>
  <c r="M178" i="64"/>
  <c r="M231" i="64"/>
  <c r="K246" i="64"/>
  <c r="F285" i="64"/>
  <c r="O287" i="64"/>
  <c r="O290" i="64"/>
  <c r="O299" i="64"/>
  <c r="N80" i="64"/>
  <c r="L86" i="64"/>
  <c r="F229" i="64"/>
  <c r="N26" i="64"/>
  <c r="J83" i="64"/>
  <c r="J95" i="64"/>
  <c r="L169" i="64"/>
  <c r="F225" i="64"/>
  <c r="F228" i="64"/>
  <c r="N231" i="64"/>
  <c r="J237" i="64"/>
  <c r="L246" i="64"/>
  <c r="J305" i="64"/>
  <c r="K35" i="64"/>
  <c r="K32" i="64"/>
  <c r="L83" i="64"/>
  <c r="J89" i="64"/>
  <c r="M95" i="64"/>
  <c r="M169" i="64"/>
  <c r="J225" i="64"/>
  <c r="J228" i="64"/>
  <c r="K237" i="64"/>
  <c r="M246" i="64"/>
  <c r="F288" i="64"/>
  <c r="F291" i="64"/>
  <c r="K305" i="64"/>
  <c r="L35" i="64"/>
  <c r="N86" i="64"/>
  <c r="L92" i="64"/>
  <c r="L299" i="64"/>
  <c r="N305" i="64"/>
  <c r="L32" i="64"/>
  <c r="L38" i="64"/>
  <c r="M83" i="64"/>
  <c r="K89" i="64"/>
  <c r="N169" i="64"/>
  <c r="J175" i="64"/>
  <c r="K225" i="64"/>
  <c r="K228" i="64"/>
  <c r="L237" i="64"/>
  <c r="N246" i="64"/>
  <c r="J296" i="64"/>
  <c r="L305" i="64"/>
  <c r="F284" i="64"/>
  <c r="K293" i="64"/>
  <c r="O305" i="64"/>
  <c r="K296" i="64"/>
  <c r="P296" i="64" s="1"/>
  <c r="M305" i="64"/>
  <c r="N35" i="64"/>
  <c r="F77" i="64"/>
  <c r="N92" i="64"/>
  <c r="N166" i="64"/>
  <c r="N178" i="64"/>
  <c r="F16" i="64"/>
  <c r="F19" i="64"/>
  <c r="L23" i="64"/>
  <c r="N32" i="64"/>
  <c r="L175" i="64"/>
  <c r="M225" i="64"/>
  <c r="M228" i="64"/>
  <c r="N237" i="64"/>
  <c r="J243" i="64"/>
  <c r="M23" i="64"/>
  <c r="J80" i="64"/>
  <c r="J166" i="64"/>
  <c r="M175" i="64"/>
  <c r="J181" i="64"/>
  <c r="F222" i="64"/>
  <c r="N225" i="64"/>
  <c r="N228" i="64"/>
  <c r="K243" i="64"/>
  <c r="K83" i="64"/>
  <c r="F79" i="64"/>
  <c r="F17" i="64"/>
  <c r="N23" i="64"/>
  <c r="F158" i="64"/>
  <c r="F161" i="64"/>
  <c r="K166" i="64"/>
  <c r="N175" i="64"/>
  <c r="K181" i="64"/>
  <c r="J234" i="64"/>
  <c r="L243" i="64"/>
  <c r="J302" i="64"/>
  <c r="O293" i="64"/>
  <c r="J17" i="64"/>
  <c r="K20" i="64"/>
  <c r="K29" i="64"/>
  <c r="J98" i="64"/>
  <c r="L166" i="64"/>
  <c r="L181" i="64"/>
  <c r="F223" i="64"/>
  <c r="F226" i="64"/>
  <c r="K234" i="64"/>
  <c r="O234" i="64" s="1"/>
  <c r="M243" i="64"/>
  <c r="F286" i="64"/>
  <c r="K302" i="64"/>
  <c r="P302" i="64" s="1"/>
  <c r="O286" i="64"/>
  <c r="D16" i="64"/>
  <c r="D20" i="64"/>
  <c r="M25" i="64"/>
  <c r="N28" i="64"/>
  <c r="L159" i="64"/>
  <c r="N25" i="64"/>
  <c r="K94" i="64"/>
  <c r="D156" i="64"/>
  <c r="M159" i="64"/>
  <c r="D223" i="64"/>
  <c r="D287" i="64"/>
  <c r="D291" i="64"/>
  <c r="N224" i="64"/>
  <c r="D13" i="64"/>
  <c r="J16" i="64"/>
  <c r="L94" i="64"/>
  <c r="N159" i="64"/>
  <c r="D225" i="64"/>
  <c r="D227" i="64"/>
  <c r="D229" i="64"/>
  <c r="D18" i="64"/>
  <c r="K16" i="64"/>
  <c r="J91" i="64"/>
  <c r="M94" i="64"/>
  <c r="J245" i="64"/>
  <c r="D289" i="64"/>
  <c r="M28" i="64"/>
  <c r="N85" i="64"/>
  <c r="N165" i="64"/>
  <c r="J94" i="64"/>
  <c r="L16" i="64"/>
  <c r="D78" i="64"/>
  <c r="K91" i="64"/>
  <c r="N94" i="64"/>
  <c r="D157" i="64"/>
  <c r="D159" i="64"/>
  <c r="D161" i="64"/>
  <c r="D163" i="64"/>
  <c r="J180" i="64"/>
  <c r="J227" i="64"/>
  <c r="J242" i="64"/>
  <c r="K245" i="64"/>
  <c r="K180" i="64"/>
  <c r="K239" i="64"/>
  <c r="D21" i="64"/>
  <c r="K37" i="64"/>
  <c r="K79" i="64"/>
  <c r="J88" i="64"/>
  <c r="N91" i="64"/>
  <c r="K162" i="64"/>
  <c r="J174" i="64"/>
  <c r="K177" i="64"/>
  <c r="M180" i="64"/>
  <c r="M227" i="64"/>
  <c r="J233" i="64"/>
  <c r="K236" i="64"/>
  <c r="L239" i="64"/>
  <c r="M242" i="64"/>
  <c r="N245" i="64"/>
  <c r="L289" i="64"/>
  <c r="D15" i="64"/>
  <c r="D17" i="64"/>
  <c r="D19" i="64"/>
  <c r="L37" i="64"/>
  <c r="D75" i="64"/>
  <c r="L79" i="64"/>
  <c r="J82" i="64"/>
  <c r="K88" i="64"/>
  <c r="L162" i="64"/>
  <c r="J171" i="64"/>
  <c r="K174" i="64"/>
  <c r="L177" i="64"/>
  <c r="N180" i="64"/>
  <c r="N227" i="64"/>
  <c r="J230" i="64"/>
  <c r="K233" i="64"/>
  <c r="L236" i="64"/>
  <c r="M239" i="64"/>
  <c r="N242" i="64"/>
  <c r="D286" i="64"/>
  <c r="M289" i="64"/>
  <c r="K298" i="64"/>
  <c r="J301" i="64"/>
  <c r="J304" i="64"/>
  <c r="J307" i="64"/>
  <c r="D285" i="64"/>
  <c r="J239" i="64"/>
  <c r="M91" i="64"/>
  <c r="J177" i="64"/>
  <c r="L227" i="64"/>
  <c r="M37" i="64"/>
  <c r="M79" i="64"/>
  <c r="K82" i="64"/>
  <c r="L88" i="64"/>
  <c r="J100" i="64"/>
  <c r="M162" i="64"/>
  <c r="J168" i="64"/>
  <c r="K171" i="64"/>
  <c r="L174" i="64"/>
  <c r="M177" i="64"/>
  <c r="D224" i="64"/>
  <c r="K230" i="64"/>
  <c r="L233" i="64"/>
  <c r="M236" i="64"/>
  <c r="N239" i="64"/>
  <c r="N289" i="64"/>
  <c r="J292" i="64"/>
  <c r="J295" i="64"/>
  <c r="L298" i="64"/>
  <c r="K301" i="64"/>
  <c r="K304" i="64"/>
  <c r="K307" i="64"/>
  <c r="D80" i="64"/>
  <c r="K242" i="64"/>
  <c r="N16" i="64"/>
  <c r="J79" i="64"/>
  <c r="L180" i="64"/>
  <c r="J236" i="64"/>
  <c r="N37" i="64"/>
  <c r="N79" i="64"/>
  <c r="L82" i="64"/>
  <c r="M88" i="64"/>
  <c r="N162" i="64"/>
  <c r="K168" i="64"/>
  <c r="L171" i="64"/>
  <c r="M174" i="64"/>
  <c r="N177" i="64"/>
  <c r="D226" i="64"/>
  <c r="D228" i="64"/>
  <c r="L230" i="64"/>
  <c r="M233" i="64"/>
  <c r="N236" i="64"/>
  <c r="D283" i="64"/>
  <c r="J286" i="64"/>
  <c r="D288" i="64"/>
  <c r="O289" i="64"/>
  <c r="K292" i="64"/>
  <c r="K295" i="64"/>
  <c r="M298" i="64"/>
  <c r="L301" i="64"/>
  <c r="L304" i="64"/>
  <c r="L307" i="64"/>
  <c r="L25" i="64"/>
  <c r="K227" i="64"/>
  <c r="M245" i="64"/>
  <c r="M82" i="64"/>
  <c r="L168" i="64"/>
  <c r="D221" i="64"/>
  <c r="M230" i="64"/>
  <c r="K286" i="64"/>
  <c r="M307" i="64"/>
  <c r="L19" i="64"/>
  <c r="K31" i="64"/>
  <c r="L34" i="64"/>
  <c r="D79" i="64"/>
  <c r="N82" i="64"/>
  <c r="K85" i="64"/>
  <c r="J97" i="64"/>
  <c r="D158" i="64"/>
  <c r="D160" i="64"/>
  <c r="D162" i="64"/>
  <c r="K165" i="64"/>
  <c r="M168" i="64"/>
  <c r="N171" i="64"/>
  <c r="K224" i="64"/>
  <c r="N230" i="64"/>
  <c r="L286" i="64"/>
  <c r="D290" i="64"/>
  <c r="M292" i="64"/>
  <c r="M295" i="64"/>
  <c r="O298" i="64"/>
  <c r="N301" i="64"/>
  <c r="N304" i="64"/>
  <c r="N307" i="64"/>
  <c r="D14" i="64"/>
  <c r="L91" i="64"/>
  <c r="D81" i="64"/>
  <c r="J162" i="64"/>
  <c r="K34" i="64"/>
  <c r="D76" i="64"/>
  <c r="N88" i="64"/>
  <c r="J165" i="64"/>
  <c r="M171" i="64"/>
  <c r="N174" i="64"/>
  <c r="J224" i="64"/>
  <c r="N233" i="64"/>
  <c r="L292" i="64"/>
  <c r="L295" i="64"/>
  <c r="N298" i="64"/>
  <c r="M304" i="64"/>
  <c r="M19" i="64"/>
  <c r="K28" i="64"/>
  <c r="L31" i="64"/>
  <c r="M34" i="64"/>
  <c r="D77" i="64"/>
  <c r="L85" i="64"/>
  <c r="L165" i="64"/>
  <c r="N168" i="64"/>
  <c r="L224" i="64"/>
  <c r="D284" i="64"/>
  <c r="M286" i="64"/>
  <c r="N292" i="64"/>
  <c r="N295" i="64"/>
  <c r="O301" i="64"/>
  <c r="O304" i="64"/>
  <c r="O307" i="64"/>
  <c r="N31" i="64"/>
  <c r="K159" i="64"/>
  <c r="M16" i="64"/>
  <c r="L245" i="64"/>
  <c r="L242" i="64"/>
  <c r="K19" i="64"/>
  <c r="J85" i="64"/>
  <c r="M301" i="64"/>
  <c r="N19" i="64"/>
  <c r="K25" i="64"/>
  <c r="L28" i="64"/>
  <c r="M31" i="64"/>
  <c r="N34" i="64"/>
  <c r="D82" i="64"/>
  <c r="M85" i="64"/>
  <c r="D155" i="64"/>
  <c r="J159" i="64"/>
  <c r="M165" i="64"/>
  <c r="D222" i="64"/>
  <c r="M224" i="64"/>
  <c r="N286" i="64"/>
  <c r="O292" i="64"/>
  <c r="L308" i="64"/>
  <c r="O96" i="64"/>
  <c r="P297" i="64" l="1"/>
  <c r="O97" i="64"/>
  <c r="O84" i="64"/>
  <c r="O20" i="64"/>
  <c r="O226" i="64"/>
  <c r="O98" i="64"/>
  <c r="O104" i="64"/>
  <c r="P291" i="64"/>
  <c r="P310" i="64"/>
  <c r="P290" i="64"/>
  <c r="P308" i="64"/>
  <c r="O17" i="64"/>
  <c r="O95" i="64"/>
  <c r="O103" i="64"/>
  <c r="O92" i="64"/>
  <c r="O180" i="64"/>
  <c r="O183" i="64"/>
  <c r="O29" i="64"/>
  <c r="O89" i="64"/>
  <c r="O230" i="64"/>
  <c r="O36" i="64"/>
  <c r="O176" i="64"/>
  <c r="P306" i="64"/>
  <c r="O225" i="64"/>
  <c r="O245" i="64"/>
  <c r="O244" i="64"/>
  <c r="O169" i="64"/>
  <c r="O175" i="64"/>
  <c r="O165" i="64"/>
  <c r="O85" i="64"/>
  <c r="O35" i="64"/>
  <c r="O25" i="64"/>
  <c r="O82" i="64"/>
  <c r="O231" i="64"/>
  <c r="O78" i="64"/>
  <c r="O101" i="64"/>
  <c r="O160" i="64"/>
  <c r="O167" i="64"/>
  <c r="O83" i="64"/>
  <c r="O170" i="64"/>
  <c r="O94" i="64"/>
  <c r="O15" i="64"/>
  <c r="P301" i="64"/>
  <c r="O239" i="64"/>
  <c r="O159" i="64"/>
  <c r="P287" i="64"/>
  <c r="O177" i="64"/>
  <c r="O184" i="64"/>
  <c r="O32" i="64"/>
  <c r="O172" i="64"/>
  <c r="O162" i="64"/>
  <c r="O158" i="64"/>
  <c r="O166" i="64"/>
  <c r="O26" i="64"/>
  <c r="P307" i="64"/>
  <c r="O168" i="64"/>
  <c r="O100" i="64"/>
  <c r="O23" i="64"/>
  <c r="O34" i="64"/>
  <c r="P295" i="64"/>
  <c r="O235" i="64"/>
  <c r="O242" i="64"/>
  <c r="P303" i="64"/>
  <c r="P285" i="64"/>
  <c r="O223" i="64"/>
  <c r="O249" i="64"/>
  <c r="O161" i="64"/>
  <c r="O90" i="64"/>
  <c r="O21" i="64"/>
  <c r="P309" i="64"/>
  <c r="O228" i="64"/>
  <c r="O80" i="64"/>
  <c r="P293" i="64"/>
  <c r="P311" i="64"/>
  <c r="O246" i="64"/>
  <c r="O237" i="64"/>
  <c r="O31" i="64"/>
  <c r="O179" i="64"/>
  <c r="O174" i="64"/>
  <c r="O171" i="64"/>
  <c r="P298" i="64"/>
  <c r="P304" i="64"/>
  <c r="O88" i="64"/>
  <c r="O28" i="64"/>
  <c r="O233" i="64"/>
  <c r="P289" i="64"/>
  <c r="O41" i="64"/>
  <c r="O181" i="64"/>
  <c r="O38" i="64"/>
  <c r="O178" i="64"/>
  <c r="O86" i="64"/>
  <c r="O87" i="64"/>
  <c r="O164" i="64"/>
  <c r="O182" i="64"/>
  <c r="O93" i="64"/>
  <c r="O27" i="64"/>
  <c r="O243" i="64"/>
  <c r="O236" i="64"/>
  <c r="O79" i="64"/>
  <c r="O37" i="64"/>
  <c r="P292" i="64"/>
  <c r="O19" i="64"/>
  <c r="O33" i="64"/>
  <c r="O81" i="64"/>
  <c r="O173" i="64"/>
  <c r="P300" i="64"/>
  <c r="O39" i="64"/>
  <c r="P305" i="64"/>
  <c r="O163" i="64"/>
  <c r="O241" i="64"/>
  <c r="O99" i="64"/>
  <c r="O247" i="64"/>
  <c r="O30" i="64"/>
  <c r="O18" i="64"/>
  <c r="O232" i="64"/>
  <c r="P288" i="64"/>
  <c r="O238" i="64"/>
  <c r="P294" i="64"/>
  <c r="O24" i="64"/>
  <c r="O229" i="64"/>
  <c r="P299" i="64"/>
  <c r="O240" i="64"/>
  <c r="O227" i="64"/>
  <c r="P286" i="64"/>
  <c r="O40" i="64"/>
  <c r="O91" i="64"/>
  <c r="O16" i="64"/>
  <c r="O248" i="64"/>
  <c r="O224" i="6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J9" authorId="0" shapeId="0" xr:uid="{885EE214-3DC6-417A-AF56-816A69B9CA7A}">
      <text>
        <r>
          <rPr>
            <sz val="10"/>
            <rFont val="Arial"/>
            <family val="2"/>
          </rPr>
          <t xml:space="preserve">Identifica y entiende los contenidos locales que conforman un texto. </t>
        </r>
      </text>
    </comment>
    <comment ref="K9" authorId="0" shapeId="0" xr:uid="{E58F9EC0-063E-4A71-99C6-8127107177BB}">
      <text>
        <r>
          <rPr>
            <sz val="10"/>
            <rFont val="Arial"/>
            <family val="2"/>
          </rPr>
          <t>Comprende cómo se articulan las partes de un texto para darle un sentido global.</t>
        </r>
      </text>
    </comment>
    <comment ref="L9" authorId="0" shapeId="0" xr:uid="{8280C25A-9C9E-49B0-82F6-C48FC1041030}">
      <text>
        <r>
          <rPr>
            <sz val="10"/>
            <rFont val="Arial"/>
            <family val="2"/>
          </rPr>
          <t>Reflexiona a partir de un texto y evalúa su contenido.</t>
        </r>
      </text>
    </comment>
    <comment ref="S9" authorId="0" shapeId="0" xr:uid="{3B13F41C-C36F-4F3A-9FD6-B5251E89A60D}">
      <text>
        <r>
          <rPr>
            <sz val="10"/>
            <rFont val="Arial"/>
            <family val="2"/>
          </rPr>
          <t xml:space="preserve">Identifica y entiende los contenidos locales que conforman un texto. </t>
        </r>
      </text>
    </comment>
    <comment ref="T9" authorId="0" shapeId="0" xr:uid="{5C031ED8-BDC1-41E3-889B-9A08A8EACB18}">
      <text>
        <r>
          <rPr>
            <sz val="10"/>
            <rFont val="Arial"/>
            <family val="2"/>
          </rPr>
          <t>Comprende cómo se articulan las partes de un texto para darle un sentido global.</t>
        </r>
      </text>
    </comment>
    <comment ref="U9" authorId="0" shapeId="0" xr:uid="{3E28162E-90E3-48AC-B677-AE7EF567A21F}">
      <text>
        <r>
          <rPr>
            <sz val="10"/>
            <rFont val="Arial"/>
            <family val="2"/>
          </rPr>
          <t>Reflexiona a partir de un texto y evalúa su contenido.</t>
        </r>
      </text>
    </comment>
    <comment ref="AB9" authorId="0" shapeId="0" xr:uid="{1AB126F2-3A29-45FA-9889-195179A16C1E}">
      <text>
        <r>
          <rPr>
            <sz val="10"/>
            <rFont val="Arial"/>
            <family val="2"/>
          </rPr>
          <t>Comprende cómo se articulan las partes de un texto para darle un sentido global.</t>
        </r>
      </text>
    </comment>
    <comment ref="AC9" authorId="0" shapeId="0" xr:uid="{9C451770-E53A-45F3-9C3A-82B23A038527}">
      <text>
        <r>
          <rPr>
            <sz val="10"/>
            <rFont val="Arial"/>
            <family val="2"/>
          </rPr>
          <t xml:space="preserve">Identifica y entiende los contenidos locales que conforman un texto. </t>
        </r>
      </text>
    </comment>
    <comment ref="AD9" authorId="0" shapeId="0" xr:uid="{AF29E377-E0A8-482F-877C-396B967BBDEC}">
      <text>
        <r>
          <rPr>
            <sz val="10"/>
            <rFont val="Arial"/>
            <family val="2"/>
          </rPr>
          <t>Reflexiona a partir de un texto y evalúa su contenido.</t>
        </r>
      </text>
    </comment>
    <comment ref="AK9" authorId="0" shapeId="0" xr:uid="{1B4CE652-2328-4061-AB4A-F4BA26301BE3}">
      <text>
        <r>
          <rPr>
            <sz val="10"/>
            <rFont val="Arial"/>
            <family val="2"/>
          </rPr>
          <t>Comprende cómo se articulan las partes de un texto para darle un sentido global.</t>
        </r>
      </text>
    </comment>
    <comment ref="AL9" authorId="0" shapeId="0" xr:uid="{43756A68-CF6F-40F7-9E2B-ACE3085F013B}">
      <text>
        <r>
          <rPr>
            <sz val="10"/>
            <rFont val="Arial"/>
            <family val="2"/>
          </rPr>
          <t xml:space="preserve">Identifica y entiende los contenidos locales que conforman un texto. </t>
        </r>
      </text>
    </comment>
    <comment ref="AM9" authorId="0" shapeId="0" xr:uid="{222AA603-4B7C-4C71-9298-979F3E4C4E7D}">
      <text>
        <r>
          <rPr>
            <sz val="10"/>
            <rFont val="Arial"/>
            <family val="2"/>
          </rPr>
          <t>Reflexiona a partir de un texto y evalúa su contenido.</t>
        </r>
      </text>
    </comment>
    <comment ref="AT9" authorId="0" shapeId="0" xr:uid="{C3B4D163-2805-4C7E-9264-B68B93B97A5D}">
      <text>
        <r>
          <rPr>
            <sz val="10"/>
            <rFont val="Arial"/>
            <family val="2"/>
          </rPr>
          <t>Comprende cómo se articulan las partes de un texto para darle un sentido global.</t>
        </r>
      </text>
    </comment>
    <comment ref="AU9" authorId="0" shapeId="0" xr:uid="{EE405EC8-B4CF-459C-B816-69EE8BC19F8B}">
      <text>
        <r>
          <rPr>
            <sz val="10"/>
            <rFont val="Arial"/>
            <family val="2"/>
          </rPr>
          <t>Reflexiona a partir de un texto y evalúa su contenido.</t>
        </r>
      </text>
    </comment>
    <comment ref="AV9" authorId="0" shapeId="0" xr:uid="{CA2175E5-A724-4013-AEAF-100583A16945}">
      <text>
        <r>
          <rPr>
            <sz val="10"/>
            <rFont val="Arial"/>
            <family val="2"/>
          </rPr>
          <t xml:space="preserve">Identifica y entiende los contenidos locales que conforman un texto.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J9" authorId="0" shapeId="0" xr:uid="{A0D9C544-5DEE-4175-9778-E73BD5C45C49}">
      <text>
        <r>
          <rPr>
            <sz val="10"/>
            <rFont val="Arial"/>
            <family val="2"/>
          </rPr>
          <t xml:space="preserve">Comprende y transforma la información cuantitativa y esquemática presentada en distintos formatos </t>
        </r>
      </text>
    </comment>
    <comment ref="K9" authorId="0" shapeId="0" xr:uid="{A4AF2657-B6DB-4BE6-BBAC-ED9A4DE71212}">
      <text>
        <r>
          <rPr>
            <sz val="10"/>
            <rFont val="Arial"/>
            <family val="2"/>
          </rPr>
          <t>Valida procedimientos y  estrategias matemáticas utilizadas para dar solución a problemas.</t>
        </r>
      </text>
    </comment>
    <comment ref="L9" authorId="0" shapeId="0" xr:uid="{23674551-B7D8-4898-9FA4-39FA685D8CA9}">
      <text>
        <r>
          <rPr>
            <sz val="10"/>
            <rFont val="Arial"/>
            <family val="2"/>
          </rPr>
          <t>Frente a un problema que involucre información cuantitativa, plantea e implementa estrategias que lleven a soluciones adecuadas.</t>
        </r>
      </text>
    </comment>
    <comment ref="S9" authorId="0" shapeId="0" xr:uid="{D698E70F-F098-447E-AD21-F66D197A8841}">
      <text>
        <r>
          <rPr>
            <sz val="10"/>
            <rFont val="Arial"/>
            <family val="2"/>
          </rPr>
          <t>Valida procedimientos y  estrategias matemáticas utilizadas para dar solución a problemas.</t>
        </r>
      </text>
    </comment>
    <comment ref="T9" authorId="0" shapeId="0" xr:uid="{D6CD127B-0249-4D9C-8F1A-88E76FF26682}">
      <text>
        <r>
          <rPr>
            <sz val="10"/>
            <rFont val="Arial"/>
            <family val="2"/>
          </rPr>
          <t>Frente a un problema que involucre información cuantitativa, plantea e implementa estrategias que lleven a soluciones adecuadas.</t>
        </r>
      </text>
    </comment>
    <comment ref="U9" authorId="0" shapeId="0" xr:uid="{FF31CA5B-3E13-4FBF-8E84-8C89860B10B6}">
      <text>
        <r>
          <rPr>
            <sz val="10"/>
            <rFont val="Arial"/>
            <family val="2"/>
          </rPr>
          <t xml:space="preserve">Comprende y transforma la información cuantitativa y esquemática presentada en distintos formatos </t>
        </r>
      </text>
    </comment>
    <comment ref="AB9" authorId="0" shapeId="0" xr:uid="{0CEE6D1A-C6A8-44FA-A340-7C1C55B31B95}">
      <text>
        <r>
          <rPr>
            <sz val="10"/>
            <rFont val="Arial"/>
            <family val="2"/>
          </rPr>
          <t>Frente a un problema que involucre información cuantitativa, plantea e implementa estrategias que lleven a soluciones adecuadas.</t>
        </r>
      </text>
    </comment>
    <comment ref="AC9" authorId="0" shapeId="0" xr:uid="{38879742-7B56-4BDD-8D63-E906FA41CC71}">
      <text>
        <r>
          <rPr>
            <sz val="10"/>
            <rFont val="Arial"/>
            <family val="2"/>
          </rPr>
          <t xml:space="preserve">Comprende y transforma la información cuantitativa y esquemática presentada en distintos formatos </t>
        </r>
      </text>
    </comment>
    <comment ref="AD9" authorId="0" shapeId="0" xr:uid="{3FEC9532-5AEC-4544-83D0-2334EA087BEA}">
      <text>
        <r>
          <rPr>
            <sz val="10"/>
            <rFont val="Arial"/>
            <family val="2"/>
          </rPr>
          <t>Valida procedimientos y  estrategias matemáticas utilizadas para dar solución a problemas.</t>
        </r>
      </text>
    </comment>
    <comment ref="AK9" authorId="0" shapeId="0" xr:uid="{B48FADC1-ABF0-415A-B265-C2E5BA9EB919}">
      <text>
        <r>
          <rPr>
            <sz val="10"/>
            <rFont val="Arial"/>
            <family val="2"/>
          </rPr>
          <t>Frente a un problema que involucre información cuantitativa, plantea e implementa estrategias que lleven a soluciones adecuadas.</t>
        </r>
      </text>
    </comment>
    <comment ref="AL9" authorId="0" shapeId="0" xr:uid="{F49EF897-6E04-4782-B5EA-306378080B9D}">
      <text>
        <r>
          <rPr>
            <sz val="10"/>
            <rFont val="Arial"/>
            <family val="2"/>
          </rPr>
          <t>Valida procedimientos y  estrategias matemáticas utilizadas para dar solución a problemas.</t>
        </r>
      </text>
    </comment>
    <comment ref="AM9" authorId="0" shapeId="0" xr:uid="{99D90CC7-A88B-4356-AF85-CA768B21543B}">
      <text>
        <r>
          <rPr>
            <sz val="10"/>
            <rFont val="Arial"/>
            <family val="2"/>
          </rPr>
          <t xml:space="preserve">Comprende y transforma la información cuantitativa y esquemática presentada en distintos formatos </t>
        </r>
      </text>
    </comment>
    <comment ref="AT9" authorId="0" shapeId="0" xr:uid="{4134133E-0D8B-4CA8-9007-52990E262D8E}">
      <text>
        <r>
          <rPr>
            <sz val="10"/>
            <rFont val="Arial"/>
            <family val="2"/>
          </rPr>
          <t xml:space="preserve">Comprende y transforma la información cuantitativa y esquemática presentada en distintos formatos </t>
        </r>
      </text>
    </comment>
    <comment ref="AU9" authorId="0" shapeId="0" xr:uid="{65515FF6-E402-46D3-97E2-A2BE5F082AC4}">
      <text>
        <r>
          <rPr>
            <sz val="10"/>
            <rFont val="Arial"/>
            <family val="2"/>
          </rPr>
          <t>Frente a un problema que involucre información cuantitativa, plantea e implementa estrategias que lleven a soluciones adecuadas.</t>
        </r>
      </text>
    </comment>
    <comment ref="AV9" authorId="0" shapeId="0" xr:uid="{DC9C86B0-84E8-49FD-BFE0-B35F4CB57B04}">
      <text>
        <r>
          <rPr>
            <sz val="10"/>
            <rFont val="Arial"/>
            <family val="2"/>
          </rPr>
          <t>Valida procedimientos y  estrategias matemáticas utilizadas para dar solución a problemas.</t>
        </r>
      </text>
    </comment>
    <comment ref="BE9" authorId="0" shapeId="0" xr:uid="{3139B9E4-A07F-4B40-BF0C-BAA2C8728043}">
      <text>
        <r>
          <rPr>
            <sz val="10"/>
            <rFont val="Arial"/>
            <family val="2"/>
          </rPr>
          <t xml:space="preserve">Comprende y transforma la información cuantitativa y esquemática presentada en distintos formatos </t>
        </r>
      </text>
    </comment>
    <comment ref="BF9" authorId="0" shapeId="0" xr:uid="{2254F535-B33A-4F7B-8C02-749E987B23D6}">
      <text>
        <r>
          <rPr>
            <sz val="10"/>
            <rFont val="Arial"/>
            <family val="2"/>
          </rPr>
          <t>Frente a un problema que involucre información cuantitativa, plantea e implementa estrategias que lleven a soluciones adecuadas.</t>
        </r>
      </text>
    </comment>
    <comment ref="BG9" authorId="0" shapeId="0" xr:uid="{E26B9FB8-CBD3-4A85-9C4F-9828D9699641}">
      <text>
        <r>
          <rPr>
            <sz val="10"/>
            <rFont val="Arial"/>
            <family val="2"/>
          </rPr>
          <t>Valida procedimientos y  estrategias matemáticas utilizadas para dar solución a problemas.</t>
        </r>
      </text>
    </comment>
    <comment ref="BS9" authorId="0" shapeId="0" xr:uid="{FF7664C7-1820-4AB2-AB1E-7AB24AC4EA32}">
      <text>
        <r>
          <rPr>
            <sz val="10"/>
            <rFont val="Arial"/>
            <family val="2"/>
          </rPr>
          <t>Frente a un problema que involucre información cuantitativa, plantea e implementa estrategias que lleven a soluciones adecuadas.</t>
        </r>
      </text>
    </comment>
    <comment ref="BT9" authorId="0" shapeId="0" xr:uid="{8784269F-A2AC-4CC1-BE71-C7E540984B1C}">
      <text>
        <r>
          <rPr>
            <sz val="10"/>
            <rFont val="Arial"/>
            <family val="2"/>
          </rPr>
          <t>Valida procedimientos y  estrategias matemáticas utilizadas para dar solución a problemas.</t>
        </r>
      </text>
    </comment>
    <comment ref="BX9" authorId="0" shapeId="0" xr:uid="{773B5F53-FE04-4518-9204-4EB89ECFA5DF}">
      <text>
        <r>
          <rPr>
            <sz val="10"/>
            <rFont val="Arial"/>
            <family val="2"/>
          </rPr>
          <t>Comprende y transforma la información cuantitativa y esquemática presentada en distintos formatos</t>
        </r>
      </text>
    </comment>
    <comment ref="CG9" authorId="0" shapeId="0" xr:uid="{16B56AD0-DC8C-4210-967F-33EE902FEDEA}">
      <text>
        <r>
          <rPr>
            <sz val="10"/>
            <rFont val="Arial"/>
            <family val="2"/>
          </rPr>
          <t>Valida procedimientos y  estrategias matemáticas utilizadas para dar solución a problemas.</t>
        </r>
      </text>
    </comment>
    <comment ref="CH9" authorId="0" shapeId="0" xr:uid="{D6D3552D-1FB8-47D0-A95D-FA027EFB5E25}">
      <text>
        <r>
          <rPr>
            <sz val="10"/>
            <rFont val="Arial"/>
            <family val="2"/>
          </rPr>
          <t>Comprende y transforma la información cuantitativa y esquemática presentada en distintos formatos</t>
        </r>
      </text>
    </comment>
    <comment ref="CI9" authorId="0" shapeId="0" xr:uid="{43D0A002-64EF-4BE6-9B6A-ED57C0546BB6}">
      <text>
        <r>
          <rPr>
            <sz val="10"/>
            <rFont val="Arial"/>
            <family val="2"/>
          </rPr>
          <t>Frente a un problema que involucre información cuantitativa, plantea e implementa estrategias que lleven a soluciones adecuadas.</t>
        </r>
      </text>
    </comment>
    <comment ref="CR9" authorId="0" shapeId="0" xr:uid="{EF24CB50-837A-4228-B8F5-7E8109ACA9D1}">
      <text>
        <r>
          <rPr>
            <sz val="10"/>
            <rFont val="Arial"/>
            <family val="2"/>
          </rPr>
          <t>Valida procedimientos y  estrategias matemáticas utilizadas para dar solución a problemas.</t>
        </r>
      </text>
    </comment>
    <comment ref="CS9" authorId="0" shapeId="0" xr:uid="{7388C469-FFDB-4AD7-9215-45F7561F893C}">
      <text>
        <r>
          <rPr>
            <sz val="10"/>
            <rFont val="Arial"/>
            <family val="2"/>
          </rPr>
          <t>Frente a un problema que involucre información cuantitativa, plantea e implementa estrategias que lleven a soluciones adecuadas.</t>
        </r>
      </text>
    </comment>
    <comment ref="CT9" authorId="0" shapeId="0" xr:uid="{5EDDE287-489B-4727-9992-F3E63B772285}">
      <text>
        <r>
          <rPr>
            <sz val="10"/>
            <rFont val="Arial"/>
            <family val="2"/>
          </rPr>
          <t>Comprende y transforma la información cuantitativa y esquemática presentada en distintos formatos</t>
        </r>
      </text>
    </comment>
    <comment ref="DC9" authorId="0" shapeId="0" xr:uid="{15FB5DC3-715C-4C9F-99BA-625987E2FDA0}">
      <text>
        <r>
          <rPr>
            <sz val="10"/>
            <rFont val="Arial"/>
            <family val="2"/>
          </rPr>
          <t>Valida procedimientos y  estrategias matemáticas utilizadas para dar solución a problemas.</t>
        </r>
      </text>
    </comment>
    <comment ref="DD9" authorId="0" shapeId="0" xr:uid="{B2F45F60-038F-47E0-A9EE-25FAB78F113A}">
      <text>
        <r>
          <rPr>
            <sz val="10"/>
            <rFont val="Arial"/>
            <family val="2"/>
          </rPr>
          <t>Frente a un problema que involucre información cuantitativa, plantea e implementa estrategias que lleven a soluciones adecuadas.</t>
        </r>
      </text>
    </comment>
    <comment ref="DE9" authorId="0" shapeId="0" xr:uid="{D1EF2DD6-8634-40AB-9B80-B02BB257020E}">
      <text>
        <r>
          <rPr>
            <sz val="10"/>
            <rFont val="Arial"/>
            <family val="2"/>
          </rPr>
          <t>Comprende y transforma la información cuantitativa y esquemática presentada en distintos formatos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authors>
  <commentList>
    <comment ref="J9" authorId="0" shapeId="0" xr:uid="{430EA1BB-7F67-4EFF-9D61-CF6C83BC3474}">
      <text>
        <r>
          <rPr>
            <sz val="10"/>
            <rFont val="Arial"/>
            <family val="2"/>
          </rPr>
          <t>Contextualiza y evalúa usos de fuentes y argumentos.</t>
        </r>
      </text>
    </comment>
    <comment ref="K9" authorId="0" shapeId="0" xr:uid="{AD074940-4D29-4535-A533-A0199491B498}">
      <text>
        <r>
          <rPr>
            <sz val="10"/>
            <rFont val="Arial"/>
            <family val="2"/>
          </rPr>
          <t>Comprende perspectivas de distintos actores y grupos sociales.</t>
        </r>
      </text>
    </comment>
    <comment ref="L9" authorId="0" shapeId="0" xr:uid="{463D5C49-7FAF-45FF-AFF4-2F7C546FE2D2}">
      <text>
        <r>
          <rPr>
            <sz val="10"/>
            <rFont val="Arial"/>
            <family val="2"/>
          </rPr>
          <t>Evalúa usos sociales de las ciencias sociales.</t>
        </r>
      </text>
    </comment>
    <comment ref="M9" authorId="0" shapeId="0" xr:uid="{14BBB7BE-AC94-41DE-9A59-7DD01924F217}">
      <text>
        <r>
          <rPr>
            <sz val="10"/>
            <rFont val="Arial"/>
            <family val="2"/>
          </rPr>
          <t>Comprende que los problemas y sus soluciones involucran distintas dimensiones y reconoce relaciones entre estas.</t>
        </r>
      </text>
    </comment>
    <comment ref="N9" authorId="0" shapeId="0" xr:uid="{850175C9-5F58-4894-A41A-ABE8BC20C734}">
      <text>
        <r>
          <rPr>
            <sz val="10"/>
            <rFont val="Arial"/>
            <family val="2"/>
          </rPr>
          <t>Comprende modelos conceptuales, sus características y contextos de aplicación.</t>
        </r>
      </text>
    </comment>
    <comment ref="O9" authorId="0" shapeId="0" xr:uid="{36DFB875-BDB0-46CC-A8BA-46127CF5030C}">
      <text>
        <r>
          <rPr>
            <sz val="10"/>
            <rFont val="Arial"/>
            <family val="2"/>
          </rPr>
          <t>Comprende dimensiones espaciales y temporales de eventos, problemáticas y prácticas sociales.</t>
        </r>
      </text>
    </comment>
    <comment ref="V9" authorId="0" shapeId="0" xr:uid="{01B3C843-5697-4D34-9EE6-9AF9201DA9B8}">
      <text>
        <r>
          <rPr>
            <sz val="10"/>
            <rFont val="Arial"/>
            <family val="2"/>
          </rPr>
          <t>Contextualiza y evalúa usos de fuentes y argumentos.</t>
        </r>
      </text>
    </comment>
    <comment ref="W9" authorId="0" shapeId="0" xr:uid="{82896830-517D-418A-AE35-98B5A63F940E}">
      <text>
        <r>
          <rPr>
            <sz val="10"/>
            <rFont val="Arial"/>
            <family val="2"/>
          </rPr>
          <t>Comprende perspectivas de distintos actores y grupos sociales.</t>
        </r>
      </text>
    </comment>
    <comment ref="X9" authorId="0" shapeId="0" xr:uid="{D61BDAB5-1491-431F-9565-72997C934102}">
      <text>
        <r>
          <rPr>
            <sz val="10"/>
            <rFont val="Arial"/>
            <family val="2"/>
          </rPr>
          <t>Evalúa usos sociales de las ciencias sociales.</t>
        </r>
      </text>
    </comment>
    <comment ref="Y9" authorId="0" shapeId="0" xr:uid="{6CC98C43-41A8-43E3-82BD-B78E3979DA8A}">
      <text>
        <r>
          <rPr>
            <sz val="10"/>
            <rFont val="Arial"/>
            <family val="2"/>
          </rPr>
          <t>Comprende que los problemas y sus soluciones involucran distintas dimensiones y reconoce relaciones entre estas.</t>
        </r>
      </text>
    </comment>
    <comment ref="Z9" authorId="0" shapeId="0" xr:uid="{60AE737D-6E98-4140-8849-75316B977A5C}">
      <text>
        <r>
          <rPr>
            <sz val="10"/>
            <rFont val="Arial"/>
            <family val="2"/>
          </rPr>
          <t>Comprende modelos conceptuales, sus características y contextos de aplicación.</t>
        </r>
      </text>
    </comment>
    <comment ref="AA9" authorId="0" shapeId="0" xr:uid="{7F3C56B3-3ABB-4AFF-8F99-6368D54E9389}">
      <text>
        <r>
          <rPr>
            <sz val="10"/>
            <rFont val="Arial"/>
            <family val="2"/>
          </rPr>
          <t>Comprende dimensiones espaciales y temporales de eventos, problemáticas y prácticas sociales.</t>
        </r>
      </text>
    </comment>
    <comment ref="AH9" authorId="0" shapeId="0" xr:uid="{9E843A69-3D08-474B-AAE6-C3DE1F8DA834}">
      <text>
        <r>
          <rPr>
            <sz val="10"/>
            <rFont val="Arial"/>
            <family val="2"/>
          </rPr>
          <t>Comprende modelos conceptuales, sus características y contextos de aplicación.</t>
        </r>
      </text>
    </comment>
    <comment ref="AI9" authorId="0" shapeId="0" xr:uid="{FEE60B7F-E6AE-4807-AFF9-452DF9B1C32C}">
      <text>
        <r>
          <rPr>
            <sz val="10"/>
            <rFont val="Arial"/>
            <family val="2"/>
          </rPr>
          <t>Comprende perspectivas de distintos actores y grupos sociales.</t>
        </r>
      </text>
    </comment>
    <comment ref="AJ9" authorId="0" shapeId="0" xr:uid="{60982D75-57C9-4214-9D8F-D22C0AC3E268}">
      <text>
        <r>
          <rPr>
            <sz val="10"/>
            <rFont val="Arial"/>
            <family val="2"/>
          </rPr>
          <t>Comprende que los problemas y sus soluciones involucran distintas dimensiones y reconoce relaciones entre estas.</t>
        </r>
      </text>
    </comment>
    <comment ref="AK9" authorId="0" shapeId="0" xr:uid="{00CE3BDF-BA0D-407F-A61E-F1DAEAF9CDBB}">
      <text>
        <r>
          <rPr>
            <sz val="10"/>
            <rFont val="Arial"/>
            <family val="2"/>
          </rPr>
          <t>Contextualiza y evalúa usos de fuentes y argumentos.</t>
        </r>
      </text>
    </comment>
    <comment ref="AL9" authorId="0" shapeId="0" xr:uid="{45E3EB24-F9B6-4535-AF54-6565A5BE785D}">
      <text>
        <r>
          <rPr>
            <sz val="10"/>
            <rFont val="Arial"/>
            <family val="2"/>
          </rPr>
          <t>Comprende dimensiones espaciales y temporales de eventos, problemáticas y prácticas sociales.</t>
        </r>
      </text>
    </comment>
    <comment ref="AM9" authorId="0" shapeId="0" xr:uid="{83234E66-99CB-4AAC-B6DC-8E1A03B70B69}">
      <text>
        <r>
          <rPr>
            <sz val="10"/>
            <rFont val="Arial"/>
            <family val="2"/>
          </rPr>
          <t>Evalúa usos sociales de las ciencias sociales.</t>
        </r>
      </text>
    </comment>
    <comment ref="AT9" authorId="0" shapeId="0" xr:uid="{5E214D49-802F-4A12-BCF7-5953A7A7C798}">
      <text>
        <r>
          <rPr>
            <sz val="10"/>
            <rFont val="Arial"/>
            <family val="2"/>
          </rPr>
          <t>Evalúa usos sociales de las ciencias sociales.</t>
        </r>
      </text>
    </comment>
    <comment ref="AU9" authorId="0" shapeId="0" xr:uid="{E8AFCBBC-9FE1-48DC-B394-9FF9D7CC51B9}">
      <text>
        <r>
          <rPr>
            <sz val="10"/>
            <rFont val="Arial"/>
            <family val="2"/>
          </rPr>
          <t>Comprende dimensiones espaciales y temporales de eventos, problemáticas y prácticas sociales.</t>
        </r>
      </text>
    </comment>
    <comment ref="AV9" authorId="0" shapeId="0" xr:uid="{0367CFB0-050D-412D-84EB-E3A09A1F871A}">
      <text>
        <r>
          <rPr>
            <sz val="10"/>
            <rFont val="Arial"/>
            <family val="2"/>
          </rPr>
          <t>Comprende modelos conceptuales, sus características y contextos de aplicación.</t>
        </r>
      </text>
    </comment>
    <comment ref="AW9" authorId="0" shapeId="0" xr:uid="{88362284-FC3E-4DA1-A3F7-73D24E4AAA13}">
      <text>
        <r>
          <rPr>
            <sz val="10"/>
            <rFont val="Arial"/>
            <family val="2"/>
          </rPr>
          <t>Comprende que los problemas y sus soluciones involucran distintas dimensiones y reconoce relaciones entre estas.</t>
        </r>
      </text>
    </comment>
    <comment ref="AX9" authorId="0" shapeId="0" xr:uid="{A188D893-68CD-47DD-B82F-640F6FBF657B}">
      <text>
        <r>
          <rPr>
            <sz val="10"/>
            <rFont val="Arial"/>
            <family val="2"/>
          </rPr>
          <t>Contextualiza y evalúa usos de fuentes y argumentos.</t>
        </r>
      </text>
    </comment>
    <comment ref="AY9" authorId="0" shapeId="0" xr:uid="{3023601E-C20E-4EC0-9D20-27BD10C86D6A}">
      <text>
        <r>
          <rPr>
            <sz val="10"/>
            <rFont val="Arial"/>
            <family val="2"/>
          </rPr>
          <t>Comprende perspectivas de distintos actores y grupos sociales.</t>
        </r>
      </text>
    </comment>
    <comment ref="BF9" authorId="0" shapeId="0" xr:uid="{42308766-29E6-4D48-A6CA-805A1262C794}">
      <text>
        <r>
          <rPr>
            <sz val="10"/>
            <rFont val="Arial"/>
            <family val="2"/>
          </rPr>
          <t>Comprende dimensiones espaciales y temporales de eventos, problemáticas y prácticas sociales.</t>
        </r>
      </text>
    </comment>
    <comment ref="BG9" authorId="0" shapeId="0" xr:uid="{2DB9A332-16E2-4A52-9D21-8FEDEDBE0C94}">
      <text>
        <r>
          <rPr>
            <sz val="10"/>
            <rFont val="Arial"/>
            <family val="2"/>
          </rPr>
          <t>Comprende que los problemas y sus soluciones involucran distintas dimensiones y reconoce relaciones entre estas.</t>
        </r>
      </text>
    </comment>
    <comment ref="BH9" authorId="0" shapeId="0" xr:uid="{AFD17CB8-7D5B-42D3-B771-E15615F119DC}">
      <text>
        <r>
          <rPr>
            <sz val="10"/>
            <rFont val="Arial"/>
            <family val="2"/>
          </rPr>
          <t>Contextualiza y evalúa usos de fuentes y argumentos.</t>
        </r>
      </text>
    </comment>
    <comment ref="BI9" authorId="0" shapeId="0" xr:uid="{15504C94-1C6D-438D-8ECA-0C70C709AF5A}">
      <text>
        <r>
          <rPr>
            <sz val="10"/>
            <rFont val="Arial"/>
            <family val="2"/>
          </rPr>
          <t>Evalúa usos sociales de las ciencias sociales.</t>
        </r>
      </text>
    </comment>
    <comment ref="BJ9" authorId="0" shapeId="0" xr:uid="{821EBCCD-0976-459B-A643-FE4412FA9DE7}">
      <text>
        <r>
          <rPr>
            <sz val="10"/>
            <rFont val="Arial"/>
            <family val="2"/>
          </rPr>
          <t>Comprende modelos conceptuales, sus características y contextos de aplicación.</t>
        </r>
      </text>
    </comment>
    <comment ref="BK9" authorId="0" shapeId="0" xr:uid="{ECF9E555-20A8-4434-9FAF-D0957E3E5006}">
      <text>
        <r>
          <rPr>
            <sz val="10"/>
            <rFont val="Arial"/>
            <family val="2"/>
          </rPr>
          <t>Comprende perspectivas de distintos actores y grupos sociales.</t>
        </r>
      </text>
    </comment>
    <comment ref="BT9" authorId="0" shapeId="0" xr:uid="{468A2F3E-A618-44C6-8055-70DC748A2798}">
      <text>
        <r>
          <rPr>
            <sz val="10"/>
            <rFont val="Arial"/>
            <family val="2"/>
          </rPr>
          <t>Evalúa usos sociales de las ciencias sociales.</t>
        </r>
      </text>
    </comment>
    <comment ref="BU9" authorId="0" shapeId="0" xr:uid="{7AA13C58-0552-43D6-993C-E16A4D217561}">
      <text>
        <r>
          <rPr>
            <sz val="10"/>
            <rFont val="Arial"/>
            <family val="2"/>
          </rPr>
          <t>Contextualiza y evalúa usos de fuentes y argumentos.</t>
        </r>
      </text>
    </comment>
    <comment ref="BV9" authorId="0" shapeId="0" xr:uid="{25B3D4D4-21F7-4801-9E40-9B75B3597275}">
      <text>
        <r>
          <rPr>
            <sz val="10"/>
            <rFont val="Arial"/>
            <family val="2"/>
          </rPr>
          <t>Comprende dimensiones espaciales y temporales de eventos, problemáticas y prácticas sociales.</t>
        </r>
      </text>
    </comment>
    <comment ref="BW9" authorId="0" shapeId="0" xr:uid="{B26E2D73-95E5-413C-B85B-A0B608D5F881}">
      <text>
        <r>
          <rPr>
            <sz val="10"/>
            <rFont val="Arial"/>
            <family val="2"/>
          </rPr>
          <t>Comprende modelos conceptuales, sus características y contextos de aplicación.</t>
        </r>
      </text>
    </comment>
    <comment ref="BX9" authorId="0" shapeId="0" xr:uid="{E5C056DA-41D6-44FD-92F6-4EF494760045}">
      <text>
        <r>
          <rPr>
            <sz val="10"/>
            <rFont val="Arial"/>
            <family val="2"/>
          </rPr>
          <t>Comprende que los problemas y sus soluciones involucran distintas dimensiones y reconoce relaciones entre estas.</t>
        </r>
      </text>
    </comment>
    <comment ref="BY9" authorId="0" shapeId="0" xr:uid="{503AAE5F-623C-458F-8F62-F43115EB89B6}">
      <text>
        <r>
          <rPr>
            <sz val="10"/>
            <rFont val="Arial"/>
            <family val="2"/>
          </rPr>
          <t>Comprende perspectivas de distintos actores y grupos sociales.</t>
        </r>
      </text>
    </comment>
    <comment ref="CH9" authorId="0" shapeId="0" xr:uid="{56BAAD90-D19D-4463-BAF0-A9DA82DC99F7}">
      <text>
        <r>
          <rPr>
            <sz val="10"/>
            <rFont val="Arial"/>
            <family val="2"/>
          </rPr>
          <t>Evalúa usos sociales de las ciencias sociales.</t>
        </r>
      </text>
    </comment>
    <comment ref="CI9" authorId="0" shapeId="0" xr:uid="{13E89953-C99B-4BE6-B25C-CA47744C4C88}">
      <text>
        <r>
          <rPr>
            <sz val="10"/>
            <rFont val="Arial"/>
            <family val="2"/>
          </rPr>
          <t>Contextualiza y evalúa usos de fuentes y argumentos.</t>
        </r>
      </text>
    </comment>
    <comment ref="CJ9" authorId="0" shapeId="0" xr:uid="{55F0F1EF-9C51-4AFF-A762-48A86781172B}">
      <text>
        <r>
          <rPr>
            <sz val="10"/>
            <rFont val="Arial"/>
            <family val="2"/>
          </rPr>
          <t>Comprende dimensiones espaciales y temporales de eventos, problemáticas y prácticas sociales.</t>
        </r>
      </text>
    </comment>
    <comment ref="CK9" authorId="0" shapeId="0" xr:uid="{8F3227BE-2CFC-4185-B792-7BCCAAA53750}">
      <text>
        <r>
          <rPr>
            <sz val="10"/>
            <rFont val="Arial"/>
            <family val="2"/>
          </rPr>
          <t>Comprende modelos conceptuales, sus características y contextos de aplicación.</t>
        </r>
      </text>
    </comment>
    <comment ref="CL9" authorId="0" shapeId="0" xr:uid="{50A9A529-3654-4555-9662-8DE5297DCF1C}">
      <text>
        <r>
          <rPr>
            <sz val="10"/>
            <rFont val="Arial"/>
            <family val="2"/>
          </rPr>
          <t>Comprende que los problemas y sus soluciones involucran distintas dimensiones y reconoce relaciones entre estas.</t>
        </r>
      </text>
    </comment>
    <comment ref="CM9" authorId="0" shapeId="0" xr:uid="{DBB60805-225E-428D-938A-98C973FF06DE}">
      <text>
        <r>
          <rPr>
            <sz val="10"/>
            <rFont val="Arial"/>
            <family val="2"/>
          </rPr>
          <t>Comprende perspectivas de distintos actores y grupos sociales.</t>
        </r>
      </text>
    </comment>
    <comment ref="CV9" authorId="0" shapeId="0" xr:uid="{73646B9B-F0B1-4E29-BF29-3F27CD4DEAF4}">
      <text>
        <r>
          <rPr>
            <sz val="10"/>
            <rFont val="Arial"/>
            <family val="2"/>
          </rPr>
          <t>Evalúa usos sociales de las ciencias sociales.</t>
        </r>
      </text>
    </comment>
    <comment ref="CW9" authorId="0" shapeId="0" xr:uid="{A2D28849-EED9-44D9-A498-80F550D46E68}">
      <text>
        <r>
          <rPr>
            <sz val="10"/>
            <rFont val="Arial"/>
            <family val="2"/>
          </rPr>
          <t>Contextualiza y evalúa usos de fuentes y argumentos.</t>
        </r>
      </text>
    </comment>
    <comment ref="CX9" authorId="0" shapeId="0" xr:uid="{4088FA31-D2B7-4AE1-A690-5011C9E39942}">
      <text>
        <r>
          <rPr>
            <sz val="10"/>
            <rFont val="Arial"/>
            <family val="2"/>
          </rPr>
          <t>Comprende dimensiones espaciales y temporales de eventos, problemáticas y prácticas sociales.</t>
        </r>
      </text>
    </comment>
    <comment ref="CY9" authorId="0" shapeId="0" xr:uid="{2DB5851A-768F-4804-8D1D-6BAAEA6D4DC9}">
      <text>
        <r>
          <rPr>
            <sz val="10"/>
            <rFont val="Arial"/>
            <family val="2"/>
          </rPr>
          <t>Comprende modelos conceptuales, sus características y contextos de aplicación.</t>
        </r>
      </text>
    </comment>
    <comment ref="CZ9" authorId="0" shapeId="0" xr:uid="{71F0BE7E-533D-4E99-A2CF-9F4AB951FB7F}">
      <text>
        <r>
          <rPr>
            <sz val="10"/>
            <rFont val="Arial"/>
            <family val="2"/>
          </rPr>
          <t>Comprende que los problemas y sus soluciones involucran distintas dimensiones y reconoce relaciones entre estas.</t>
        </r>
      </text>
    </comment>
    <comment ref="DA9" authorId="0" shapeId="0" xr:uid="{65C7568A-D0D8-4586-A91B-C89098762E06}">
      <text>
        <r>
          <rPr>
            <sz val="10"/>
            <rFont val="Arial"/>
            <family val="2"/>
          </rPr>
          <t>Comprende perspectivas de distintos actores y grupos sociales.</t>
        </r>
      </text>
    </comment>
    <comment ref="DJ9" authorId="0" shapeId="0" xr:uid="{400E4B1B-4D83-45F9-B6DA-8D708C0C8D7A}">
      <text>
        <r>
          <rPr>
            <sz val="10"/>
            <rFont val="Arial"/>
            <family val="2"/>
          </rPr>
          <t>Comprende modelos conceptuales, sus características y contextos de aplicación.</t>
        </r>
      </text>
    </comment>
    <comment ref="DK9" authorId="0" shapeId="0" xr:uid="{FBBFA2DE-3F4D-478F-B07C-91692B7A9576}">
      <text>
        <r>
          <rPr>
            <sz val="10"/>
            <rFont val="Arial"/>
            <family val="2"/>
          </rPr>
          <t>Comprende dimensiones espaciales y temporales de eventos, problemáticas y prácticas sociales.</t>
        </r>
      </text>
    </comment>
    <comment ref="DL9" authorId="0" shapeId="0" xr:uid="{1092D64E-7D19-4DA0-BD9E-BBC095689DCE}">
      <text>
        <r>
          <rPr>
            <sz val="10"/>
            <rFont val="Arial"/>
            <family val="2"/>
          </rPr>
          <t>Contextualiza y evalúa usos de fuentes y argumentos.</t>
        </r>
      </text>
    </comment>
    <comment ref="DM9" authorId="0" shapeId="0" xr:uid="{202AA4AD-F622-48A1-A942-8D0900AA3FF2}">
      <text>
        <r>
          <rPr>
            <sz val="10"/>
            <rFont val="Arial"/>
            <family val="2"/>
          </rPr>
          <t>Comprende perspectivas de distintos actores y grupos sociales.</t>
        </r>
      </text>
    </comment>
    <comment ref="DN9" authorId="0" shapeId="0" xr:uid="{C2887931-3DB9-4CFC-A751-9F2CAD8A6149}">
      <text>
        <r>
          <rPr>
            <sz val="10"/>
            <rFont val="Arial"/>
            <family val="2"/>
          </rPr>
          <t>Evalúa usos sociales de las ciencias sociales.</t>
        </r>
      </text>
    </comment>
    <comment ref="DO9" authorId="0" shapeId="0" xr:uid="{53223ED5-81BE-4F05-BDC3-0DF7646054D7}">
      <text>
        <r>
          <rPr>
            <sz val="10"/>
            <rFont val="Arial"/>
            <family val="2"/>
          </rPr>
          <t>Comprende que los problemas y sus soluciones involucran distintas dimensiones y reconoce relaciones entre estas.</t>
        </r>
      </text>
    </comment>
    <comment ref="DX9" authorId="0" shapeId="0" xr:uid="{FF759336-F523-4AAF-9F05-A1ED9E768A90}">
      <text>
        <r>
          <rPr>
            <sz val="10"/>
            <rFont val="Arial"/>
            <family val="2"/>
          </rPr>
          <t>Comprende modelos conceptuales, sus características y contextos de aplicación.</t>
        </r>
      </text>
    </comment>
    <comment ref="DY9" authorId="0" shapeId="0" xr:uid="{7C4DD82F-C27C-4DF5-A6FA-A331B3A0725E}">
      <text>
        <r>
          <rPr>
            <sz val="10"/>
            <rFont val="Arial"/>
            <family val="2"/>
          </rPr>
          <t>Comprende dimensiones espaciales y temporales de eventos, problemáticas y prácticas sociales.</t>
        </r>
      </text>
    </comment>
    <comment ref="DZ9" authorId="0" shapeId="0" xr:uid="{8514B10F-A7AC-4FAB-8E64-6B52A688748D}">
      <text>
        <r>
          <rPr>
            <sz val="10"/>
            <rFont val="Arial"/>
            <family val="2"/>
          </rPr>
          <t>Contextualiza y evalúa usos de fuentes y argumentos.</t>
        </r>
      </text>
    </comment>
    <comment ref="EA9" authorId="0" shapeId="0" xr:uid="{BB33EA03-9157-4C5E-BBC1-CC513DAFBAF5}">
      <text>
        <r>
          <rPr>
            <sz val="10"/>
            <rFont val="Arial"/>
            <family val="2"/>
          </rPr>
          <t>Comprende perspectivas de distintos actores y grupos sociales.</t>
        </r>
      </text>
    </comment>
    <comment ref="EB9" authorId="0" shapeId="0" xr:uid="{F8E4EEE4-34DA-4D1C-AF24-BAA8C51AEDB5}">
      <text>
        <r>
          <rPr>
            <sz val="10"/>
            <rFont val="Arial"/>
            <family val="2"/>
          </rPr>
          <t>Evalúa usos sociales de las ciencias sociales.</t>
        </r>
      </text>
    </comment>
    <comment ref="EC9" authorId="0" shapeId="0" xr:uid="{A7D8E5C6-104A-4045-950F-E0D8072DA9C7}">
      <text>
        <r>
          <rPr>
            <sz val="10"/>
            <rFont val="Arial"/>
            <family val="2"/>
          </rPr>
          <t>Comprende que los problemas y sus soluciones involucran distintas dimensiones y reconoce relaciones entre estas.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
  </authors>
  <commentList>
    <comment ref="J8" authorId="0" shapeId="0" xr:uid="{B430F109-9834-43F7-B76E-703CB4D713D4}">
      <text>
        <r>
          <rPr>
            <sz val="10"/>
            <rFont val="Arial"/>
            <family val="2"/>
          </rPr>
          <t>Modelar fenómenos de la naturaleza basado en el análisis de variables, la relación entre dos o más conceptos del conocimiento científico y de la evidencia derivada de investigaciones científicas. - Procesos vivos</t>
        </r>
      </text>
    </comment>
    <comment ref="K8" authorId="0" shapeId="0" xr:uid="{4418BA58-500E-48C8-9274-7B11DF4F7612}">
      <text>
        <r>
          <rPr>
            <sz val="10"/>
            <rFont val="Arial"/>
            <family val="2"/>
          </rPr>
          <t>Explicar cómo ocurren algunos fenómenos de la naturaleza basado en observaciones, en patrones y  en conceptos propios del conocimiento científico. - Procesos vivos</t>
        </r>
      </text>
    </comment>
    <comment ref="L8" authorId="0" shapeId="0" xr:uid="{8D2C07A5-0F5B-4334-9AC7-770D2B5ABAF7}">
      <text>
        <r>
          <rPr>
            <sz val="10"/>
            <rFont val="Arial"/>
            <family val="2"/>
          </rPr>
          <t>Comprender que a partir de la investigación científica se construyen explicaciones sobre el mundo natural. - Procesos vivos</t>
        </r>
      </text>
    </comment>
    <comment ref="M8" authorId="0" shapeId="0" xr:uid="{3B9B3E58-9899-49D0-9066-C783E3027CEA}">
      <text>
        <r>
          <rPr>
            <sz val="10"/>
            <rFont val="Arial"/>
            <family val="2"/>
          </rPr>
          <t>Derivar conclusiones para algunos fenómenos de la naturaleza basándose en conocimientos científicos y en la evidencia de su propia investigación y de la de otros. - Procesos vivos</t>
        </r>
      </text>
    </comment>
    <comment ref="N8" authorId="0" shapeId="0" xr:uid="{110EA361-316C-419D-977F-071F2FB1F775}">
      <text>
        <r>
          <rPr>
            <sz val="10"/>
            <rFont val="Arial"/>
            <family val="2"/>
          </rPr>
          <t>Observar y relacionar patrones en los datos para evaluar las predicciones. - Procesos vivos</t>
        </r>
      </text>
    </comment>
    <comment ref="O8" authorId="0" shapeId="0" xr:uid="{A638285E-C17B-4240-8590-59288D4A9F6A}">
      <text>
        <r>
          <rPr>
            <sz val="10"/>
            <rFont val="Arial"/>
            <family val="2"/>
          </rPr>
          <t>Utilizar algunas habilidades de pensamiento y de procedimiento para  evaluar predicciones - Procesos vivos</t>
        </r>
      </text>
    </comment>
    <comment ref="P8" authorId="0" shapeId="0" xr:uid="{B986A74D-69A8-409C-A775-9984AD1DA42D}">
      <text>
        <r>
          <rPr>
            <sz val="10"/>
            <rFont val="Arial"/>
            <family val="2"/>
          </rPr>
          <t>Asociar fenómenos naturales con conceptos propios del conocimiento científico. - Procesos vivos</t>
        </r>
      </text>
    </comment>
    <comment ref="Q8" authorId="0" shapeId="0" xr:uid="{A6BC4A42-0EED-40C7-A870-7D953D868BE3}">
      <text>
        <r>
          <rPr>
            <sz val="10"/>
            <rFont val="Arial"/>
            <family val="2"/>
          </rPr>
          <t>Identificar las características  de algunos fenómenos de la naturaleza basado en el análisis de información  y  conceptos propios del conocimiento científico. - Procesos vivos</t>
        </r>
      </text>
    </comment>
    <comment ref="R8" authorId="0" shapeId="0" xr:uid="{79790EEA-7FBB-4AB8-AB91-E9513CFEBFAE}">
      <text>
        <r>
          <rPr>
            <sz val="10"/>
            <rFont val="Arial"/>
            <family val="2"/>
          </rPr>
          <t>Modelar fenómenos de la naturaleza basado en el análisis de variables, la relación entre dos o más conceptos del conocimiento científico y de la evidencia derivada de investigaciones científicas. - Procesos químicos</t>
        </r>
      </text>
    </comment>
    <comment ref="S8" authorId="0" shapeId="0" xr:uid="{5F141F57-DDC5-4418-9CE3-E28CA732F727}">
      <text>
        <r>
          <rPr>
            <sz val="10"/>
            <rFont val="Arial"/>
            <family val="2"/>
          </rPr>
          <t>Explicar cómo ocurren algunos fenómenos de la naturaleza basado en observaciones, en patrones y  en conceptos propios del conocimiento científico. - Procesos químicos</t>
        </r>
      </text>
    </comment>
    <comment ref="T8" authorId="0" shapeId="0" xr:uid="{220A0662-2E24-4208-95FA-52F502B1F967}">
      <text>
        <r>
          <rPr>
            <sz val="10"/>
            <rFont val="Arial"/>
            <family val="2"/>
          </rPr>
          <t>Comprender que a partir de la investigación científica se construyen explicaciones sobre el mundo natural. - Procesos químicos</t>
        </r>
      </text>
    </comment>
    <comment ref="U8" authorId="0" shapeId="0" xr:uid="{498AF6FF-AF63-44E9-9F7C-2DBA604AC4F7}">
      <text>
        <r>
          <rPr>
            <sz val="10"/>
            <rFont val="Arial"/>
            <family val="2"/>
          </rPr>
          <t>Derivar conclusiones para algunos fenómenos de la naturaleza basándose en conocimientos científicos y en la evidencia de su propia investigación y de la de otros. - Procesos químicos</t>
        </r>
      </text>
    </comment>
    <comment ref="V8" authorId="0" shapeId="0" xr:uid="{A5D2DB9C-EF1D-4BB4-8C60-6DE35CF42FE8}">
      <text>
        <r>
          <rPr>
            <sz val="10"/>
            <rFont val="Arial"/>
            <family val="2"/>
          </rPr>
          <t>Observar y relacionar patrones en los datos para evaluar las predicciones. - Procesos químicos</t>
        </r>
      </text>
    </comment>
    <comment ref="W8" authorId="0" shapeId="0" xr:uid="{BB700C7E-5EC4-4646-B9FE-50CA1A89257B}">
      <text>
        <r>
          <rPr>
            <sz val="10"/>
            <rFont val="Arial"/>
            <family val="2"/>
          </rPr>
          <t>Utilizar algunas habilidades de pensamiento y de procedimiento para  evaluar predicciones - Procesos químicos</t>
        </r>
      </text>
    </comment>
    <comment ref="X8" authorId="0" shapeId="0" xr:uid="{56C3C8B8-EC85-41CC-967D-1C25623D642E}">
      <text>
        <r>
          <rPr>
            <sz val="10"/>
            <rFont val="Arial"/>
            <family val="2"/>
          </rPr>
          <t>Asociar fenómenos naturales con conceptos propios del conocimiento científico. - Procesos químicos</t>
        </r>
      </text>
    </comment>
    <comment ref="Y8" authorId="0" shapeId="0" xr:uid="{5589EBE5-C5EC-4360-BB80-9D5618394F7C}">
      <text>
        <r>
          <rPr>
            <sz val="10"/>
            <rFont val="Arial"/>
            <family val="2"/>
          </rPr>
          <t>Identificar las características  de algunos fenómenos de la naturaleza basado en el análisis de información  y  conceptos propios del conocimiento científico. - Procesos químicos</t>
        </r>
      </text>
    </comment>
    <comment ref="Z8" authorId="0" shapeId="0" xr:uid="{B043CDD3-3D98-41BC-9FFA-DFE3FC2CCA45}">
      <text>
        <r>
          <rPr>
            <sz val="10"/>
            <rFont val="Arial"/>
            <family val="2"/>
          </rPr>
          <t>Modelar fenómenos de la naturaleza basado en el análisis de variables, la relación entre dos o más conceptos del conocimiento científico y de la evidencia derivada de investigaciones científicas. - Procesos físicos</t>
        </r>
      </text>
    </comment>
    <comment ref="AA8" authorId="0" shapeId="0" xr:uid="{316888E8-36BE-410A-9286-050EA80F4F84}">
      <text>
        <r>
          <rPr>
            <sz val="10"/>
            <rFont val="Arial"/>
            <family val="2"/>
          </rPr>
          <t>Explicar cómo ocurren algunos fenómenos de la naturaleza basado en observaciones, en patrones y  en conceptos propios del conocimiento científico. - Procesos físicos</t>
        </r>
      </text>
    </comment>
    <comment ref="AB8" authorId="0" shapeId="0" xr:uid="{2C5B31E0-45C6-49FD-9F54-BA5C451C72E9}">
      <text>
        <r>
          <rPr>
            <sz val="10"/>
            <rFont val="Arial"/>
            <family val="2"/>
          </rPr>
          <t>Comprender que a partir de la investigación científica se construyen explicaciones sobre el mundo natural. - Procesos físicos</t>
        </r>
      </text>
    </comment>
    <comment ref="AC8" authorId="0" shapeId="0" xr:uid="{EF9462E8-9889-467A-97EB-F5391EAE0AC2}">
      <text>
        <r>
          <rPr>
            <sz val="10"/>
            <rFont val="Arial"/>
            <family val="2"/>
          </rPr>
          <t>Observar y relacionar patrones en los datos para evaluar las predicciones. - Procesos físicos</t>
        </r>
      </text>
    </comment>
    <comment ref="AD8" authorId="0" shapeId="0" xr:uid="{2685EDE1-5073-406C-8289-067E84D60641}">
      <text>
        <r>
          <rPr>
            <sz val="10"/>
            <rFont val="Arial"/>
            <family val="2"/>
          </rPr>
          <t>Utilizar algunas habilidades de pensamiento y de procedimiento para  evaluar predicciones - Procesos físicos</t>
        </r>
      </text>
    </comment>
    <comment ref="AE8" authorId="0" shapeId="0" xr:uid="{33A6C5FE-F689-4BE3-A9E9-D32DA18F2E6E}">
      <text>
        <r>
          <rPr>
            <sz val="10"/>
            <rFont val="Arial"/>
            <family val="2"/>
          </rPr>
          <t>Asociar fenómenos naturales con conceptos propios del conocimiento científico. - Procesos físicos</t>
        </r>
      </text>
    </comment>
    <comment ref="AF8" authorId="0" shapeId="0" xr:uid="{4D56640F-238E-4124-A527-D0AA488F0DAE}">
      <text>
        <r>
          <rPr>
            <sz val="10"/>
            <rFont val="Arial"/>
            <family val="2"/>
          </rPr>
          <t>Identificar las características  de algunos fenómenos de la naturaleza basado en el análisis de información  y  conceptos propios del conocimiento científico. - Procesos físicos</t>
        </r>
      </text>
    </comment>
    <comment ref="AG8" authorId="0" shapeId="0" xr:uid="{CD1F60FB-1B07-4CD4-90C6-F5BC9E5DAE86}">
      <text>
        <r>
          <rPr>
            <sz val="10"/>
            <rFont val="Arial"/>
            <family val="2"/>
          </rPr>
          <t>Analizar  el potencial del uso de recursos  naturales  o artefactos  y sus efectos sobre el entorno y la salud , así como las posibilidades de desarrollo para las comunidades. - CTS</t>
        </r>
      </text>
    </comment>
    <comment ref="AN8" authorId="0" shapeId="0" xr:uid="{CF5F47ED-A8F2-4555-B0A2-EF3EDF632EB4}">
      <text>
        <r>
          <rPr>
            <sz val="10"/>
            <rFont val="Arial"/>
            <family val="2"/>
          </rPr>
          <t>Modelar fenómenos de la naturaleza basado en el análisis de variables, la relación entre dos o más conceptos del conocimiento científico y de la evidencia derivada de investigaciones científicas. - Procesos vivos</t>
        </r>
      </text>
    </comment>
    <comment ref="AO8" authorId="0" shapeId="0" xr:uid="{142F8891-3E3E-414F-BF75-C2B84EB8CB68}">
      <text>
        <r>
          <rPr>
            <sz val="10"/>
            <rFont val="Arial"/>
            <family val="2"/>
          </rPr>
          <t>Explicar cómo ocurren algunos fenómenos de la naturaleza basado en observaciones, en patrones y  en conceptos propios del conocimiento científico. - Procesos vivos</t>
        </r>
      </text>
    </comment>
    <comment ref="AP8" authorId="0" shapeId="0" xr:uid="{DA974F82-85A0-487E-9732-4CF714CA97C1}">
      <text>
        <r>
          <rPr>
            <sz val="10"/>
            <rFont val="Arial"/>
            <family val="2"/>
          </rPr>
          <t>Comprender que a partir de la investigación científica se construyen explicaciones sobre el mundo natural. - Procesos vivos</t>
        </r>
      </text>
    </comment>
    <comment ref="AQ8" authorId="0" shapeId="0" xr:uid="{2161D722-35FA-4EB8-9B6B-B29A1EBDBF76}">
      <text>
        <r>
          <rPr>
            <sz val="10"/>
            <rFont val="Arial"/>
            <family val="2"/>
          </rPr>
          <t>Derivar conclusiones para algunos fenómenos de la naturaleza basándose en conocimientos científicos y en la evidencia de su propia investigación y de la de otros. - Procesos vivos</t>
        </r>
      </text>
    </comment>
    <comment ref="AR8" authorId="0" shapeId="0" xr:uid="{2362827C-4D98-4604-883D-A9B37727546E}">
      <text>
        <r>
          <rPr>
            <sz val="10"/>
            <rFont val="Arial"/>
            <family val="2"/>
          </rPr>
          <t>Observar y relacionar patrones en los datos para evaluar las predicciones. - Procesos vivos</t>
        </r>
      </text>
    </comment>
    <comment ref="AS8" authorId="0" shapeId="0" xr:uid="{3978562E-CD9B-4B95-AB07-E5DA6A14ECCE}">
      <text>
        <r>
          <rPr>
            <sz val="10"/>
            <rFont val="Arial"/>
            <family val="2"/>
          </rPr>
          <t>Asociar fenómenos naturales con conceptos propios del conocimiento científico. - Procesos vivos</t>
        </r>
      </text>
    </comment>
    <comment ref="AT8" authorId="0" shapeId="0" xr:uid="{AC18A6A4-9408-473F-A3C7-45EF872DF642}">
      <text>
        <r>
          <rPr>
            <sz val="10"/>
            <rFont val="Arial"/>
            <family val="2"/>
          </rPr>
          <t>Identificar las características  de algunos fenómenos de la naturaleza basado en el análisis de información  y  conceptos propios del conocimiento científico. - Procesos vivos</t>
        </r>
      </text>
    </comment>
    <comment ref="AU8" authorId="0" shapeId="0" xr:uid="{C3FC4D17-1F23-4C52-8098-BF315FD82375}">
      <text>
        <r>
          <rPr>
            <sz val="10"/>
            <rFont val="Arial"/>
            <family val="2"/>
          </rPr>
          <t>Modelar fenómenos de la naturaleza basado en el análisis de variables, la relación entre dos o más conceptos del conocimiento científico y de la evidencia derivada de investigaciones científicas. - Procesos químicos</t>
        </r>
      </text>
    </comment>
    <comment ref="AV8" authorId="0" shapeId="0" xr:uid="{28397F07-582F-4243-BFEB-98B0A7DC8559}">
      <text>
        <r>
          <rPr>
            <sz val="10"/>
            <rFont val="Arial"/>
            <family val="2"/>
          </rPr>
          <t>Explicar cómo ocurren algunos fenómenos de la naturaleza basado en observaciones, en patrones y  en conceptos propios del conocimiento científico. - Procesos químicos</t>
        </r>
      </text>
    </comment>
    <comment ref="AW8" authorId="0" shapeId="0" xr:uid="{F7BF5C6D-8E0B-45B0-966C-56204EDD8BD2}">
      <text>
        <r>
          <rPr>
            <sz val="10"/>
            <rFont val="Arial"/>
            <family val="2"/>
          </rPr>
          <t>Comprender que a partir de la investigación científica se construyen explicaciones sobre el mundo natural. - Procesos químicos</t>
        </r>
      </text>
    </comment>
    <comment ref="AX8" authorId="0" shapeId="0" xr:uid="{F3A5FCE0-FF83-4B46-B2DE-B3B3523C8205}">
      <text>
        <r>
          <rPr>
            <sz val="10"/>
            <rFont val="Arial"/>
            <family val="2"/>
          </rPr>
          <t>Derivar conclusiones para algunos fenómenos de la naturaleza basándose en conocimientos científicos y en la evidencia de su propia investigación y de la de otros. - Procesos químicos</t>
        </r>
      </text>
    </comment>
    <comment ref="AY8" authorId="0" shapeId="0" xr:uid="{A9A89553-7015-4D1A-8CDC-70DE91ED1676}">
      <text>
        <r>
          <rPr>
            <sz val="10"/>
            <rFont val="Arial"/>
            <family val="2"/>
          </rPr>
          <t>Observar y relacionar patrones en los datos para evaluar las predicciones. - Procesos químicos</t>
        </r>
      </text>
    </comment>
    <comment ref="AZ8" authorId="0" shapeId="0" xr:uid="{800035CE-0836-41E8-B690-EF5CFB5D0B64}">
      <text>
        <r>
          <rPr>
            <sz val="10"/>
            <rFont val="Arial"/>
            <family val="2"/>
          </rPr>
          <t>Utilizar algunas habilidades de pensamiento y de procedimiento para  evaluar predicciones - Procesos químicos</t>
        </r>
      </text>
    </comment>
    <comment ref="BA8" authorId="0" shapeId="0" xr:uid="{EF9A9B2B-F94C-4636-A319-092382EAB942}">
      <text>
        <r>
          <rPr>
            <sz val="10"/>
            <rFont val="Arial"/>
            <family val="2"/>
          </rPr>
          <t>Asociar fenómenos naturales con conceptos propios del conocimiento científico. - Procesos químicos</t>
        </r>
      </text>
    </comment>
    <comment ref="BB8" authorId="0" shapeId="0" xr:uid="{F98E062F-558F-4746-BD66-06BBB71B8387}">
      <text>
        <r>
          <rPr>
            <sz val="10"/>
            <rFont val="Arial"/>
            <family val="2"/>
          </rPr>
          <t>Identificar las características  de algunos fenómenos de la naturaleza basado en el análisis de información  y  conceptos propios del conocimiento científico. - Procesos químicos</t>
        </r>
      </text>
    </comment>
    <comment ref="BC8" authorId="0" shapeId="0" xr:uid="{19EAF00E-3825-453D-9FC8-2C663B5A9F17}">
      <text>
        <r>
          <rPr>
            <sz val="10"/>
            <rFont val="Arial"/>
            <family val="2"/>
          </rPr>
          <t>Modelar fenómenos de la naturaleza basado en el análisis de variables, la relación entre dos o más conceptos del conocimiento científico y de la evidencia derivada de investigaciones científicas. - Procesos físicos</t>
        </r>
      </text>
    </comment>
    <comment ref="BD8" authorId="0" shapeId="0" xr:uid="{1D3226E3-31DB-41AF-B657-CADA3BDC41E3}">
      <text>
        <r>
          <rPr>
            <sz val="10"/>
            <rFont val="Arial"/>
            <family val="2"/>
          </rPr>
          <t>Explicar cómo ocurren algunos fenómenos de la naturaleza basado en observaciones, en patrones y  en conceptos propios del conocimiento científico. - Procesos físicos</t>
        </r>
      </text>
    </comment>
    <comment ref="BE8" authorId="0" shapeId="0" xr:uid="{633ABEA6-61A9-4E85-99C5-767D5A54E64C}">
      <text>
        <r>
          <rPr>
            <sz val="10"/>
            <rFont val="Arial"/>
            <family val="2"/>
          </rPr>
          <t>Comprender que a partir de la investigación científica se construyen explicaciones sobre el mundo natural. - Procesos físicos</t>
        </r>
      </text>
    </comment>
    <comment ref="BF8" authorId="0" shapeId="0" xr:uid="{9AAF5618-976D-406C-A551-5CC549DD389B}">
      <text>
        <r>
          <rPr>
            <sz val="10"/>
            <rFont val="Arial"/>
            <family val="2"/>
          </rPr>
          <t>Derivar conclusiones para algunos fenómenos de la naturaleza basándose en conocimientos científicos y en la evidencia de su propia investigación y de la de otros. - Procesos físicos</t>
        </r>
      </text>
    </comment>
    <comment ref="BG8" authorId="0" shapeId="0" xr:uid="{7FCB8126-87AB-4773-BA31-205575BC4BAC}">
      <text>
        <r>
          <rPr>
            <sz val="10"/>
            <rFont val="Arial"/>
            <family val="2"/>
          </rPr>
          <t>Observar y relacionar patrones en los datos para evaluar las predicciones. - Procesos físicos</t>
        </r>
      </text>
    </comment>
    <comment ref="BH8" authorId="0" shapeId="0" xr:uid="{2B519BD7-C7D1-4FF1-BDA3-C70E7D0D1216}">
      <text>
        <r>
          <rPr>
            <sz val="10"/>
            <rFont val="Arial"/>
            <family val="2"/>
          </rPr>
          <t>Utilizar algunas habilidades de pensamiento y de procedimiento para  evaluar predicciones - Procesos físicos</t>
        </r>
      </text>
    </comment>
    <comment ref="BI8" authorId="0" shapeId="0" xr:uid="{153BB0B9-E231-452B-856A-9EA32010A9EF}">
      <text>
        <r>
          <rPr>
            <sz val="10"/>
            <rFont val="Arial"/>
            <family val="2"/>
          </rPr>
          <t>Asociar fenómenos naturales con conceptos propios del conocimiento científico. - Procesos físicos</t>
        </r>
      </text>
    </comment>
    <comment ref="BJ8" authorId="0" shapeId="0" xr:uid="{4C621448-FB15-4013-BDDF-E4DE39CB669F}">
      <text>
        <r>
          <rPr>
            <sz val="10"/>
            <rFont val="Arial"/>
            <family val="2"/>
          </rPr>
          <t>Identificar las características  de algunos fenómenos de la naturaleza basado en el análisis de información  y  conceptos propios del conocimiento científico. - Procesos físicos</t>
        </r>
      </text>
    </comment>
    <comment ref="BK8" authorId="0" shapeId="0" xr:uid="{508A311B-53F3-4DC3-8B0D-DAF07B7F1FEF}">
      <text>
        <r>
          <rPr>
            <sz val="10"/>
            <rFont val="Arial"/>
            <family val="2"/>
          </rPr>
          <t>Analizar  el potencial del uso de recursos  naturales  o artefactos  y sus efectos sobre el entorno y la salud , así como las posibilidades de desarrollo para las comunidades. - CTS</t>
        </r>
      </text>
    </comment>
    <comment ref="BL8" authorId="0" shapeId="0" xr:uid="{8EA89ABE-7152-41F6-89FC-AB1AF20286E9}">
      <text>
        <r>
          <rPr>
            <sz val="10"/>
            <rFont val="Arial"/>
            <family val="2"/>
          </rPr>
          <t>Identificar las características  de algunos fenómenos de la naturaleza basado en el análisis de información  y  conceptos propios del conocimiento científico. - CTS</t>
        </r>
      </text>
    </comment>
    <comment ref="BV8" authorId="0" shapeId="0" xr:uid="{FF3CE55E-BF9E-4558-B3C4-C86134CB708A}">
      <text>
        <r>
          <rPr>
            <sz val="10"/>
            <rFont val="Arial"/>
            <family val="2"/>
          </rPr>
          <t>Comprender que a partir de la investigación científica se construyen explicaciones sobre el mundo natural. - Procesos físicos</t>
        </r>
      </text>
    </comment>
    <comment ref="BW8" authorId="0" shapeId="0" xr:uid="{F9B67F40-ABEC-43CF-BB33-F151CC61D29E}">
      <text>
        <r>
          <rPr>
            <sz val="10"/>
            <rFont val="Arial"/>
            <family val="2"/>
          </rPr>
          <t>Identificar las características  de algunos fenómenos de la naturaleza basado en el análisis de información  y  conceptos propios del conocimiento científico. - CTS</t>
        </r>
      </text>
    </comment>
    <comment ref="BX8" authorId="0" shapeId="0" xr:uid="{0E63CDB6-60E6-4DC3-8060-37D06CC7BDCE}">
      <text>
        <r>
          <rPr>
            <sz val="10"/>
            <rFont val="Arial"/>
            <family val="2"/>
          </rPr>
          <t>Observar y relacionar patrones en los datos para evaluar las predicciones. - Procesos vivos</t>
        </r>
      </text>
    </comment>
    <comment ref="BY8" authorId="0" shapeId="0" xr:uid="{B05ACF8C-D4C1-4C5E-9FCE-1AF264D7D8D9}">
      <text>
        <r>
          <rPr>
            <sz val="10"/>
            <rFont val="Arial"/>
            <family val="2"/>
          </rPr>
          <t>Identificar las características  de algunos fenómenos de la naturaleza basado en el análisis de información  y  conceptos propios del conocimiento científico. - Procesos vivos</t>
        </r>
      </text>
    </comment>
    <comment ref="BZ8" authorId="0" shapeId="0" xr:uid="{85266B2C-1512-4E7E-9B16-4F6893B06D01}">
      <text>
        <r>
          <rPr>
            <sz val="10"/>
            <rFont val="Arial"/>
            <family val="2"/>
          </rPr>
          <t>Identificar las características  de algunos fenómenos de la naturaleza basado en el análisis de información  y  conceptos propios del conocimiento científico. - Procesos físicos</t>
        </r>
      </text>
    </comment>
    <comment ref="CA8" authorId="0" shapeId="0" xr:uid="{69C16BE4-C812-4E87-B672-C0F8324EDC51}">
      <text>
        <r>
          <rPr>
            <sz val="10"/>
            <rFont val="Arial"/>
            <family val="2"/>
          </rPr>
          <t>Modelar fenómenos de la naturaleza basado en el análisis de variables, la relación entre dos o más conceptos del conocimiento científico y de la evidencia derivada de investigaciones científicas. - Procesos vivos</t>
        </r>
      </text>
    </comment>
    <comment ref="CB8" authorId="0" shapeId="0" xr:uid="{BE0A38BC-973D-4694-94F6-6C386D4CE9CD}">
      <text>
        <r>
          <rPr>
            <sz val="10"/>
            <rFont val="Arial"/>
            <family val="2"/>
          </rPr>
          <t>Derivar conclusiones para algunos fenómenos de la naturaleza basándose en conocimientos científicos y en la evidencia de su propia investigación y de la de otros. - Procesos químicos</t>
        </r>
      </text>
    </comment>
    <comment ref="CC8" authorId="0" shapeId="0" xr:uid="{FFB21307-2778-4EA8-909A-67E408691477}">
      <text>
        <r>
          <rPr>
            <sz val="10"/>
            <rFont val="Arial"/>
            <family val="2"/>
          </rPr>
          <t>Observar y relacionar patrones en los datos para evaluar las predicciones. - Procesos químicos</t>
        </r>
      </text>
    </comment>
    <comment ref="CD8" authorId="0" shapeId="0" xr:uid="{19FC02A4-3685-486D-BC50-0081F40C13BD}">
      <text>
        <r>
          <rPr>
            <sz val="10"/>
            <rFont val="Arial"/>
            <family val="2"/>
          </rPr>
          <t>Analizar  el potencial del uso de recursos  naturales  o artefactos  y sus efectos sobre el entorno y la salud , así como las posibilidades de desarrollo para las comunidades. - CTS</t>
        </r>
      </text>
    </comment>
    <comment ref="CE8" authorId="0" shapeId="0" xr:uid="{2C7C5367-0186-41D6-8145-9E0AD32F5B33}">
      <text>
        <r>
          <rPr>
            <sz val="10"/>
            <rFont val="Arial"/>
            <family val="2"/>
          </rPr>
          <t>Comprender que a partir de la investigación científica se construyen explicaciones sobre el mundo natural. - Procesos químicos</t>
        </r>
      </text>
    </comment>
    <comment ref="CF8" authorId="0" shapeId="0" xr:uid="{E5920FC1-03CC-4A95-8234-B92D7BF8BF2B}">
      <text>
        <r>
          <rPr>
            <sz val="10"/>
            <rFont val="Arial"/>
            <family val="2"/>
          </rPr>
          <t>Utilizar algunas habilidades de pensamiento y de procedimiento para  evaluar predicciones - Procesos químicos</t>
        </r>
      </text>
    </comment>
    <comment ref="CG8" authorId="0" shapeId="0" xr:uid="{C8E28F4A-99EC-453B-92A9-5439D67C59CD}">
      <text>
        <r>
          <rPr>
            <sz val="10"/>
            <rFont val="Arial"/>
            <family val="2"/>
          </rPr>
          <t>Observar y relacionar patrones en los datos para evaluar las predicciones. - Procesos físicos</t>
        </r>
      </text>
    </comment>
    <comment ref="CH8" authorId="0" shapeId="0" xr:uid="{6844556A-FDA4-4053-BB98-7946A18EC622}">
      <text>
        <r>
          <rPr>
            <sz val="10"/>
            <rFont val="Arial"/>
            <family val="2"/>
          </rPr>
          <t>Asociar fenómenos naturales con conceptos propios del conocimiento científico. - Procesos vivos</t>
        </r>
      </text>
    </comment>
    <comment ref="CI8" authorId="0" shapeId="0" xr:uid="{FDEFE8CD-E2AF-4C31-B8C0-1AEEC750DA4D}">
      <text>
        <r>
          <rPr>
            <sz val="10"/>
            <rFont val="Arial"/>
            <family val="2"/>
          </rPr>
          <t>Explicar cómo ocurren algunos fenómenos de la naturaleza basado en observaciones, en patrones y  en conceptos propios del conocimiento científico. - Procesos físicos</t>
        </r>
      </text>
    </comment>
    <comment ref="CJ8" authorId="0" shapeId="0" xr:uid="{34D9136A-4E37-44B3-99C5-3CE7382C461C}">
      <text>
        <r>
          <rPr>
            <sz val="10"/>
            <rFont val="Arial"/>
            <family val="2"/>
          </rPr>
          <t>Derivar conclusiones para algunos fenómenos de la naturaleza basándose en conocimientos científicos y en la evidencia de su propia investigación y de la de otros. - Procesos físicos</t>
        </r>
      </text>
    </comment>
    <comment ref="CK8" authorId="0" shapeId="0" xr:uid="{82E0658B-B695-4ACE-B329-7016D3F8DCF1}">
      <text>
        <r>
          <rPr>
            <sz val="10"/>
            <rFont val="Arial"/>
            <family val="2"/>
          </rPr>
          <t>Utilizar algunas habilidades de pensamiento y de procedimiento para  evaluar predicciones - Procesos físicos</t>
        </r>
      </text>
    </comment>
    <comment ref="CL8" authorId="0" shapeId="0" xr:uid="{ECF90A28-9A52-4146-8BDE-62A00A8FFA4F}">
      <text>
        <r>
          <rPr>
            <sz val="10"/>
            <rFont val="Arial"/>
            <family val="2"/>
          </rPr>
          <t>Derivar conclusiones para algunos fenómenos de la naturaleza basándose en conocimientos científicos y en la evidencia de su propia investigación y de la de otros. - Procesos vivos</t>
        </r>
      </text>
    </comment>
    <comment ref="CM8" authorId="0" shapeId="0" xr:uid="{74B45849-4393-4A64-9EAC-79FCB181EE7D}">
      <text>
        <r>
          <rPr>
            <sz val="10"/>
            <rFont val="Arial"/>
            <family val="2"/>
          </rPr>
          <t>Utilizar algunas habilidades de pensamiento y de procedimiento para  evaluar predicciones - Procesos vivos</t>
        </r>
      </text>
    </comment>
    <comment ref="CN8" authorId="0" shapeId="0" xr:uid="{E98A70B8-0E4C-4F82-B796-31EC31AACAB5}">
      <text>
        <r>
          <rPr>
            <sz val="10"/>
            <rFont val="Arial"/>
            <family val="2"/>
          </rPr>
          <t>Asociar fenómenos naturales con conceptos propios del conocimiento científico. - Procesos químicos</t>
        </r>
      </text>
    </comment>
    <comment ref="CO8" authorId="0" shapeId="0" xr:uid="{CEA232B5-23FC-4279-ACB0-02AB45AA4B4B}">
      <text>
        <r>
          <rPr>
            <sz val="10"/>
            <rFont val="Arial"/>
            <family val="2"/>
          </rPr>
          <t>Identificar las características  de algunos fenómenos de la naturaleza basado en el análisis de información  y  conceptos propios del conocimiento científico. - Procesos químicos</t>
        </r>
      </text>
    </comment>
    <comment ref="CP8" authorId="0" shapeId="0" xr:uid="{0418F270-724E-46C6-AA94-98F1E701023D}">
      <text>
        <r>
          <rPr>
            <sz val="10"/>
            <rFont val="Arial"/>
            <family val="2"/>
          </rPr>
          <t>Explicar cómo ocurren algunos fenómenos de la naturaleza basado en observaciones, en patrones y  en conceptos propios del conocimiento científico. - Procesos vivos</t>
        </r>
      </text>
    </comment>
    <comment ref="CQ8" authorId="0" shapeId="0" xr:uid="{D8D6F4BC-1301-4B9C-AFD2-5A943CCDD824}">
      <text>
        <r>
          <rPr>
            <sz val="10"/>
            <rFont val="Arial"/>
            <family val="2"/>
          </rPr>
          <t>Explicar cómo ocurren algunos fenómenos de la naturaleza basado en observaciones, en patrones y  en conceptos propios del conocimiento científico. - Procesos químicos</t>
        </r>
      </text>
    </comment>
    <comment ref="CR8" authorId="0" shapeId="0" xr:uid="{154B280B-2584-4449-A6B5-378EFA852869}">
      <text>
        <r>
          <rPr>
            <sz val="10"/>
            <rFont val="Arial"/>
            <family val="2"/>
          </rPr>
          <t>Modelar fenómenos de la naturaleza basado en el análisis de variables, la relación entre dos o más conceptos del conocimiento científico y de la evidencia derivada de investigaciones científicas. - Procesos físicos</t>
        </r>
      </text>
    </comment>
    <comment ref="CY8" authorId="0" shapeId="0" xr:uid="{C815FE5E-0323-494C-AA95-6AC9584C592C}">
      <text>
        <r>
          <rPr>
            <sz val="10"/>
            <rFont val="Arial"/>
            <family val="2"/>
          </rPr>
          <t>Identificar las características  de algunos fenómenos de la naturaleza basado en el análisis de información  y  conceptos propios del conocimiento científico. - Procesos físicos</t>
        </r>
      </text>
    </comment>
    <comment ref="CZ8" authorId="0" shapeId="0" xr:uid="{864B0B03-EA32-4F61-8E80-5B3FFE0FF5C7}">
      <text>
        <r>
          <rPr>
            <sz val="10"/>
            <rFont val="Arial"/>
            <family val="2"/>
          </rPr>
          <t>Observar y relacionar patrones en los datos para evaluar las predicciones. - Procesos vivos</t>
        </r>
      </text>
    </comment>
    <comment ref="DA8" authorId="0" shapeId="0" xr:uid="{DD682CFA-9973-4BE7-B871-55F61CCC67AD}">
      <text>
        <r>
          <rPr>
            <sz val="10"/>
            <rFont val="Arial"/>
            <family val="2"/>
          </rPr>
          <t>Asociar fenómenos naturales con conceptos propios del conocimiento científico. - Procesos vivos</t>
        </r>
      </text>
    </comment>
    <comment ref="DB8" authorId="0" shapeId="0" xr:uid="{89370E73-C335-47B3-BA13-F93FEE6DF047}">
      <text>
        <r>
          <rPr>
            <sz val="10"/>
            <rFont val="Arial"/>
            <family val="2"/>
          </rPr>
          <t>Derivar conclusiones para algunos fenómenos de la naturaleza basándose en conocimientos científicos y en la evidencia de su propia investigación y de la de otros. - Procesos químicos</t>
        </r>
      </text>
    </comment>
    <comment ref="DC8" authorId="0" shapeId="0" xr:uid="{6B466012-46DF-46B5-8484-66E5BD59694D}">
      <text>
        <r>
          <rPr>
            <sz val="10"/>
            <rFont val="Arial"/>
            <family val="2"/>
          </rPr>
          <t>Utilizar algunas habilidades de pensamiento y de procedimiento para  evaluar predicciones - Procesos físicos</t>
        </r>
      </text>
    </comment>
    <comment ref="DD8" authorId="0" shapeId="0" xr:uid="{17D6BD41-F3AB-4BDF-A33C-EEB2885B0A52}">
      <text>
        <r>
          <rPr>
            <sz val="10"/>
            <rFont val="Arial"/>
            <family val="2"/>
          </rPr>
          <t>Asociar fenómenos naturales con conceptos propios del conocimiento científico. - Procesos físicos</t>
        </r>
      </text>
    </comment>
    <comment ref="DE8" authorId="0" shapeId="0" xr:uid="{E88BA17C-9777-436A-83D3-399B57B2B91D}">
      <text>
        <r>
          <rPr>
            <sz val="10"/>
            <rFont val="Arial"/>
            <family val="2"/>
          </rPr>
          <t>Comprender que a partir de la investigación científica se construyen explicaciones sobre el mundo natural. - Procesos vivos</t>
        </r>
      </text>
    </comment>
    <comment ref="DF8" authorId="0" shapeId="0" xr:uid="{FEDFCB0F-ACFB-4ADF-9710-F3BE76CB3C39}">
      <text>
        <r>
          <rPr>
            <sz val="10"/>
            <rFont val="Arial"/>
            <family val="2"/>
          </rPr>
          <t>Modelar fenómenos de la naturaleza basado en el análisis de variables, la relación entre dos o más conceptos del conocimiento científico y de la evidencia derivada de investigaciones científicas. - Procesos físicos</t>
        </r>
      </text>
    </comment>
    <comment ref="DG8" authorId="0" shapeId="0" xr:uid="{08D9D2CF-8566-451C-8416-C0F6E365837F}">
      <text>
        <r>
          <rPr>
            <sz val="10"/>
            <rFont val="Arial"/>
            <family val="2"/>
          </rPr>
          <t>Observar y relacionar patrones en los datos para evaluar las predicciones. - Procesos físicos</t>
        </r>
      </text>
    </comment>
    <comment ref="DH8" authorId="0" shapeId="0" xr:uid="{E61A9326-9380-497C-BF98-3A7A8182683F}">
      <text>
        <r>
          <rPr>
            <sz val="10"/>
            <rFont val="Arial"/>
            <family val="2"/>
          </rPr>
          <t>Identificar las características  de algunos fenómenos de la naturaleza basado en el análisis de información  y  conceptos propios del conocimiento científico. - Procesos vivos</t>
        </r>
      </text>
    </comment>
    <comment ref="DI8" authorId="0" shapeId="0" xr:uid="{3273AC59-7D17-4B86-942E-670D307CB2CA}">
      <text>
        <r>
          <rPr>
            <sz val="10"/>
            <rFont val="Arial"/>
            <family val="2"/>
          </rPr>
          <t>Observar y relacionar patrones en los datos para evaluar las predicciones. - Procesos químicos</t>
        </r>
      </text>
    </comment>
    <comment ref="DJ8" authorId="0" shapeId="0" xr:uid="{64C2F8EE-92A7-40EE-A758-A4C12E445A9D}">
      <text>
        <r>
          <rPr>
            <sz val="10"/>
            <rFont val="Arial"/>
            <family val="2"/>
          </rPr>
          <t>Asociar fenómenos naturales con conceptos propios del conocimiento científico. - Procesos químicos</t>
        </r>
      </text>
    </comment>
    <comment ref="DK8" authorId="0" shapeId="0" xr:uid="{2C5814B6-3963-4E08-8CF9-E9923306E2AC}">
      <text>
        <r>
          <rPr>
            <sz val="10"/>
            <rFont val="Arial"/>
            <family val="2"/>
          </rPr>
          <t>Derivar conclusiones para algunos fenómenos de la naturaleza basándose en conocimientos científicos y en la evidencia de su propia investigación y de la de otros. - Procesos vivos</t>
        </r>
      </text>
    </comment>
    <comment ref="DL8" authorId="0" shapeId="0" xr:uid="{350E8FC6-2874-4F39-BBCB-DFD3C5C688B7}">
      <text>
        <r>
          <rPr>
            <sz val="10"/>
            <rFont val="Arial"/>
            <family val="2"/>
          </rPr>
          <t>Comprender que a partir de la investigación científica se construyen explicaciones sobre el mundo natural. - Procesos físicos</t>
        </r>
      </text>
    </comment>
    <comment ref="DM8" authorId="0" shapeId="0" xr:uid="{9D62161A-0470-4881-BAEA-FCE4FAD48FF7}">
      <text>
        <r>
          <rPr>
            <sz val="10"/>
            <rFont val="Arial"/>
            <family val="2"/>
          </rPr>
          <t>Modelar fenómenos de la naturaleza basado en el análisis de variables, la relación entre dos o más conceptos del conocimiento científico y de la evidencia derivada de investigaciones científicas. - Procesos vivos</t>
        </r>
      </text>
    </comment>
    <comment ref="DN8" authorId="0" shapeId="0" xr:uid="{24B8818C-C96F-43D9-B3B7-80AB6E95A77A}">
      <text>
        <r>
          <rPr>
            <sz val="10"/>
            <rFont val="Arial"/>
            <family val="2"/>
          </rPr>
          <t>Explicar cómo ocurren algunos fenómenos de la naturaleza basado en observaciones, en patrones y  en conceptos propios del conocimiento científico. - Procesos vivos</t>
        </r>
      </text>
    </comment>
    <comment ref="DO8" authorId="0" shapeId="0" xr:uid="{D89D6496-3C93-4AB6-80D8-1544BBE431CD}">
      <text>
        <r>
          <rPr>
            <sz val="10"/>
            <rFont val="Arial"/>
            <family val="2"/>
          </rPr>
          <t>Comprender que a partir de la investigación científica se construyen explicaciones sobre el mundo natural. - Procesos químicos</t>
        </r>
      </text>
    </comment>
    <comment ref="DP8" authorId="0" shapeId="0" xr:uid="{7CC395D5-1516-4F55-AFD2-00A18589AA67}">
      <text>
        <r>
          <rPr>
            <sz val="10"/>
            <rFont val="Arial"/>
            <family val="2"/>
          </rPr>
          <t>Analizar  el potencial del uso de recursos  naturales  o artefactos  y sus efectos sobre el entorno y la salud , así como las posibilidades de desarrollo para las comunidades. - CTS</t>
        </r>
      </text>
    </comment>
    <comment ref="DQ8" authorId="0" shapeId="0" xr:uid="{2A97E2F6-BBD3-4666-AAA5-42F9901541BB}">
      <text>
        <r>
          <rPr>
            <sz val="10"/>
            <rFont val="Arial"/>
            <family val="2"/>
          </rPr>
          <t>Explicar cómo ocurren algunos fenómenos de la naturaleza basado en observaciones, en patrones y  en conceptos propios del conocimiento científico. - Procesos químicos</t>
        </r>
      </text>
    </comment>
    <comment ref="DR8" authorId="0" shapeId="0" xr:uid="{82661972-3111-4E8C-85AE-81FE4C603BEE}">
      <text>
        <r>
          <rPr>
            <sz val="10"/>
            <rFont val="Arial"/>
            <family val="2"/>
          </rPr>
          <t>Utilizar algunas habilidades de pensamiento y de procedimiento para  evaluar predicciones - Procesos químicos</t>
        </r>
      </text>
    </comment>
    <comment ref="DS8" authorId="0" shapeId="0" xr:uid="{DDF4065C-5219-454D-A3BE-C80F8F644B77}">
      <text>
        <r>
          <rPr>
            <sz val="10"/>
            <rFont val="Arial"/>
            <family val="2"/>
          </rPr>
          <t>Identificar las características  de algunos fenómenos de la naturaleza basado en el análisis de información  y  conceptos propios del conocimiento científico. - Procesos químicos</t>
        </r>
      </text>
    </comment>
    <comment ref="DT8" authorId="0" shapeId="0" xr:uid="{FB78DF85-64C2-426B-BF50-3727622C6763}">
      <text>
        <r>
          <rPr>
            <sz val="10"/>
            <rFont val="Arial"/>
            <family val="2"/>
          </rPr>
          <t>Explicar cómo ocurren algunos fenómenos de la naturaleza basado en observaciones, en patrones y  en conceptos propios del conocimiento científico. - Procesos físicos</t>
        </r>
      </text>
    </comment>
    <comment ref="DU8" authorId="0" shapeId="0" xr:uid="{7396572B-5A73-450C-B09A-28B1482BF127}">
      <text>
        <r>
          <rPr>
            <sz val="10"/>
            <rFont val="Arial"/>
            <family val="2"/>
          </rPr>
          <t>Utilizar algunas habilidades de pensamiento y de procedimiento para  evaluar predicciones - Procesos vivos</t>
        </r>
      </text>
    </comment>
    <comment ref="DV8" authorId="0" shapeId="0" xr:uid="{9704B3B9-79E7-437E-B67A-6982677754A6}">
      <text>
        <r>
          <rPr>
            <sz val="10"/>
            <rFont val="Arial"/>
            <family val="2"/>
          </rPr>
          <t>Identificar las características  de algunos fenómenos de la naturaleza basado en el análisis de información  y  conceptos propios del conocimiento científico. - CTS</t>
        </r>
      </text>
    </comment>
    <comment ref="DW8" authorId="0" shapeId="0" xr:uid="{029F049E-D9E7-4240-AE39-D3B45F96AEFD}">
      <text>
        <r>
          <rPr>
            <sz val="10"/>
            <rFont val="Arial"/>
            <family val="2"/>
          </rPr>
          <t>Derivar conclusiones para algunos fenómenos de la naturaleza basándose en conocimientos científicos y en la evidencia de su propia investigación y de la de otros. - Procesos físicos</t>
        </r>
      </text>
    </comment>
    <comment ref="EH8" authorId="0" shapeId="0" xr:uid="{DA87FA04-82D3-442F-96BC-90EBBAFB98C7}">
      <text>
        <r>
          <rPr>
            <sz val="10"/>
            <rFont val="Arial"/>
            <family val="2"/>
          </rPr>
          <t>Observar y relacionar patrones en los datos para evaluar las predicciones. - Procesos físicos</t>
        </r>
      </text>
    </comment>
    <comment ref="EI8" authorId="0" shapeId="0" xr:uid="{8275B0CE-5B82-4B90-A3AC-2D0834660E5F}">
      <text>
        <r>
          <rPr>
            <sz val="10"/>
            <rFont val="Arial"/>
            <family val="2"/>
          </rPr>
          <t>Identificar las características  de algunos fenómenos de la naturaleza basado en el análisis de información  y  conceptos propios del conocimiento científico. - CTS</t>
        </r>
      </text>
    </comment>
    <comment ref="EJ8" authorId="0" shapeId="0" xr:uid="{59EC6E3F-C6BB-423E-ABD6-5737B47D683D}">
      <text>
        <r>
          <rPr>
            <sz val="10"/>
            <rFont val="Arial"/>
            <family val="2"/>
          </rPr>
          <t>Identificar las características  de algunos fenómenos de la naturaleza basado en el análisis de información  y  conceptos propios del conocimiento científico. - Procesos vivos</t>
        </r>
      </text>
    </comment>
    <comment ref="EK8" authorId="0" shapeId="0" xr:uid="{836DFAD6-E5A1-4E8A-9FB6-BE946C2C26C0}">
      <text>
        <r>
          <rPr>
            <sz val="10"/>
            <rFont val="Arial"/>
            <family val="2"/>
          </rPr>
          <t>Asociar fenómenos naturales con conceptos propios del conocimiento científico. - Procesos físicos</t>
        </r>
      </text>
    </comment>
    <comment ref="EL8" authorId="0" shapeId="0" xr:uid="{9BE50FBC-2C42-4BAE-AD92-9489A869A545}">
      <text>
        <r>
          <rPr>
            <sz val="10"/>
            <rFont val="Arial"/>
            <family val="2"/>
          </rPr>
          <t>Observar y relacionar patrones en los datos para evaluar las predicciones. - Procesos vivos</t>
        </r>
      </text>
    </comment>
    <comment ref="EM8" authorId="0" shapeId="0" xr:uid="{E6AEC499-C903-48E0-AB9C-C5F459A64C30}">
      <text>
        <r>
          <rPr>
            <sz val="10"/>
            <rFont val="Arial"/>
            <family val="2"/>
          </rPr>
          <t>Observar y relacionar patrones en los datos para evaluar las predicciones. - Procesos químicos</t>
        </r>
      </text>
    </comment>
    <comment ref="EN8" authorId="0" shapeId="0" xr:uid="{6B79A796-C37F-4E6B-895F-0CA1C17B0DBE}">
      <text>
        <r>
          <rPr>
            <sz val="10"/>
            <rFont val="Arial"/>
            <family val="2"/>
          </rPr>
          <t>Asociar fenómenos naturales con conceptos propios del conocimiento científico. - Procesos químicos</t>
        </r>
      </text>
    </comment>
    <comment ref="EO8" authorId="0" shapeId="0" xr:uid="{167B0904-349B-45ED-9089-96454A4F2BFD}">
      <text>
        <r>
          <rPr>
            <sz val="10"/>
            <rFont val="Arial"/>
            <family val="2"/>
          </rPr>
          <t>Identificar las características  de algunos fenómenos de la naturaleza basado en el análisis de información  y  conceptos propios del conocimiento científico. - Procesos físicos</t>
        </r>
      </text>
    </comment>
    <comment ref="EP8" authorId="0" shapeId="0" xr:uid="{E0FE23F4-9F7D-49C2-BB8D-BBA83B7692A8}">
      <text>
        <r>
          <rPr>
            <sz val="10"/>
            <rFont val="Arial"/>
            <family val="2"/>
          </rPr>
          <t>Derivar conclusiones para algunos fenómenos de la naturaleza basándose en conocimientos científicos y en la evidencia de su propia investigación y de la de otros. - Procesos vivos</t>
        </r>
      </text>
    </comment>
    <comment ref="EQ8" authorId="0" shapeId="0" xr:uid="{DD6B96BD-98A4-403C-BFDE-21EAD4F793B4}">
      <text>
        <r>
          <rPr>
            <sz val="10"/>
            <rFont val="Arial"/>
            <family val="2"/>
          </rPr>
          <t>Comprender que a partir de la investigación científica se construyen explicaciones sobre el mundo natural. - Procesos químicos</t>
        </r>
      </text>
    </comment>
    <comment ref="ER8" authorId="0" shapeId="0" xr:uid="{A143F385-1C61-4CA5-9C90-AE93116AC777}">
      <text>
        <r>
          <rPr>
            <sz val="10"/>
            <rFont val="Arial"/>
            <family val="2"/>
          </rPr>
          <t>Utilizar algunas habilidades de pensamiento y de procedimiento para  evaluar predicciones - Procesos físicos</t>
        </r>
      </text>
    </comment>
    <comment ref="ES8" authorId="0" shapeId="0" xr:uid="{822308DA-F468-487A-919A-01D613209027}">
      <text>
        <r>
          <rPr>
            <sz val="10"/>
            <rFont val="Arial"/>
            <family val="2"/>
          </rPr>
          <t>Comprender que a partir de la investigación científica se construyen explicaciones sobre el mundo natural. - Procesos vivos</t>
        </r>
      </text>
    </comment>
    <comment ref="ET8" authorId="0" shapeId="0" xr:uid="{E87ACFDA-4FD6-4D7A-97E4-8C7BB4F9B7E2}">
      <text>
        <r>
          <rPr>
            <sz val="10"/>
            <rFont val="Arial"/>
            <family val="2"/>
          </rPr>
          <t>Derivar conclusiones para algunos fenómenos de la naturaleza basándose en conocimientos científicos y en la evidencia de su propia investigación y de la de otros. - Procesos químicos</t>
        </r>
      </text>
    </comment>
    <comment ref="EU8" authorId="0" shapeId="0" xr:uid="{8D23203A-62F2-4B8D-8CE1-138189976177}">
      <text>
        <r>
          <rPr>
            <sz val="10"/>
            <rFont val="Arial"/>
            <family val="2"/>
          </rPr>
          <t>Explicar cómo ocurren algunos fenómenos de la naturaleza basado en observaciones, en patrones y  en conceptos propios del conocimiento científico. - Procesos físicos</t>
        </r>
      </text>
    </comment>
    <comment ref="EV8" authorId="0" shapeId="0" xr:uid="{8308612D-05B0-4DDD-B898-AB39D944254C}">
      <text>
        <r>
          <rPr>
            <sz val="10"/>
            <rFont val="Arial"/>
            <family val="2"/>
          </rPr>
          <t>Derivar conclusiones para algunos fenómenos de la naturaleza basándose en conocimientos científicos y en la evidencia de su propia investigación y de la de otros. - Procesos físicos</t>
        </r>
      </text>
    </comment>
    <comment ref="EW8" authorId="0" shapeId="0" xr:uid="{E7A976DD-94B0-490F-A649-79F53E81E032}">
      <text>
        <r>
          <rPr>
            <sz val="10"/>
            <rFont val="Arial"/>
            <family val="2"/>
          </rPr>
          <t>Analizar  el potencial del uso de recursos  naturales  o artefactos  y sus efectos sobre el entorno y la salud , así como las posibilidades de desarrollo para las comunidades. - CTS</t>
        </r>
      </text>
    </comment>
    <comment ref="EX8" authorId="0" shapeId="0" xr:uid="{A133EDB8-9A18-4E6F-9649-BF92803511E5}">
      <text>
        <r>
          <rPr>
            <sz val="10"/>
            <rFont val="Arial"/>
            <family val="2"/>
          </rPr>
          <t>Explicar cómo ocurren algunos fenómenos de la naturaleza basado en observaciones, en patrones y  en conceptos propios del conocimiento científico. - Procesos vivos</t>
        </r>
      </text>
    </comment>
    <comment ref="EY8" authorId="0" shapeId="0" xr:uid="{8C53199B-98D8-44B3-9E4C-D5CB24807C8A}">
      <text>
        <r>
          <rPr>
            <sz val="10"/>
            <rFont val="Arial"/>
            <family val="2"/>
          </rPr>
          <t>Explicar cómo ocurren algunos fenómenos de la naturaleza basado en observaciones, en patrones y  en conceptos propios del conocimiento científico. - Procesos químicos</t>
        </r>
      </text>
    </comment>
    <comment ref="EZ8" authorId="0" shapeId="0" xr:uid="{2C2CDE97-D630-4E2B-B468-8EC72CA06C53}">
      <text>
        <r>
          <rPr>
            <sz val="10"/>
            <rFont val="Arial"/>
            <family val="2"/>
          </rPr>
          <t>Utilizar algunas habilidades de pensamiento y de procedimiento para  evaluar predicciones - Procesos químicos</t>
        </r>
      </text>
    </comment>
    <comment ref="FA8" authorId="0" shapeId="0" xr:uid="{530F0C16-AC0D-4040-BAB8-DD2A87DC2019}">
      <text>
        <r>
          <rPr>
            <sz val="10"/>
            <rFont val="Arial"/>
            <family val="2"/>
          </rPr>
          <t>Modelar fenómenos de la naturaleza basado en el análisis de variables, la relación entre dos o más conceptos del conocimiento científico y de la evidencia derivada de investigaciones científicas. - Procesos físicos</t>
        </r>
      </text>
    </comment>
  </commentList>
</comments>
</file>

<file path=xl/sharedStrings.xml><?xml version="1.0" encoding="utf-8"?>
<sst xmlns="http://schemas.openxmlformats.org/spreadsheetml/2006/main" count="18679" uniqueCount="976">
  <si>
    <t>SOACHA</t>
  </si>
  <si>
    <t>Instituto Colombiano para la Evaluación de la Educación - ICFES</t>
  </si>
  <si>
    <t>Resultados para entidades territoriales (ET)</t>
  </si>
  <si>
    <t>Código DANE</t>
  </si>
  <si>
    <t>Paí/ET/Municipios</t>
  </si>
  <si>
    <t>Establecimientos educativos</t>
  </si>
  <si>
    <t>Matriculados</t>
  </si>
  <si>
    <t>Registrados</t>
  </si>
  <si>
    <t>Presentes</t>
  </si>
  <si>
    <t>Publicados</t>
  </si>
  <si>
    <t>COLOMBIA</t>
  </si>
  <si>
    <t/>
  </si>
  <si>
    <t>OFICIALES URBANOS DE SOACHA</t>
  </si>
  <si>
    <t>OFICIALES RURALES DE SOACHA</t>
  </si>
  <si>
    <t>PRIVADOS DE SOACHA</t>
  </si>
  <si>
    <t>GC 2 DE SOACHA</t>
  </si>
  <si>
    <t>GC 3 DE SOACHA</t>
  </si>
  <si>
    <t>GC 4 DE SOACHA</t>
  </si>
  <si>
    <t>LICEO LOS ANGELES</t>
  </si>
  <si>
    <t>INSTITUCION EDUCATIVA EL BOSQUE</t>
  </si>
  <si>
    <t>INSTITUCION EDUCATIVA GENERAL SANTANDER</t>
  </si>
  <si>
    <t>COLEGIO NUESTRA SENORA DE LAS MISERICORDIAS</t>
  </si>
  <si>
    <t>INSTITUCION EDUCATIVA  RICAURTE</t>
  </si>
  <si>
    <t>BACHILLERATO TECNICO COMERCIAL SANTA ANA</t>
  </si>
  <si>
    <t>INSTITUTO TECNICO GRANCOLOMBIANO</t>
  </si>
  <si>
    <t>INSTITUCION EDUCATIVA LAS VILLAS</t>
  </si>
  <si>
    <t>CENTRO EDUCATIVO COLOMBO LATINO</t>
  </si>
  <si>
    <t>INSITITUCION EDUCATIVA EUGENIO DIAZ CASTRO</t>
  </si>
  <si>
    <t>COLEGIO TECNICO HEROES NACIONALES</t>
  </si>
  <si>
    <t>INSTITUTO DE INVESTIGACION AMBIENTAL JOAQUIN MONTOYA</t>
  </si>
  <si>
    <t>COLEGIO SANTA ROSA DE LIMA</t>
  </si>
  <si>
    <t>COLEGIO AMOR</t>
  </si>
  <si>
    <t>INSTITUCION EDUCATIVA DE MARIA REINA</t>
  </si>
  <si>
    <t>INSTITUCION EDUCATIVA CAZUCA</t>
  </si>
  <si>
    <t>INSTITUCION EDUCATIVA SANTA VERONICA</t>
  </si>
  <si>
    <t>INSTITUTO DE INTEGRACION ESCOLAR SAN AGUSTIN</t>
  </si>
  <si>
    <t>INSTITUTO TECNOLOGICO LOS ANDES</t>
  </si>
  <si>
    <t>LICEO ISABEL SARMIENTO</t>
  </si>
  <si>
    <t>COLEGIO MIGUEL DE CERVANTES</t>
  </si>
  <si>
    <t>INSTITUCION EDUCATIVA EDUARDO SANTOS</t>
  </si>
  <si>
    <t>COLEGIO ALFONSO REYES</t>
  </si>
  <si>
    <t>INSTITUCION EDUCATIVA LEON XIII</t>
  </si>
  <si>
    <t>INSTITUTO PSICOPEDAGOGICO JUAN PABLO II</t>
  </si>
  <si>
    <t>COLEGIO ANTONIA SANTOS</t>
  </si>
  <si>
    <t>LICEO PEDAGOGICO CUNDINAMARCA</t>
  </si>
  <si>
    <t>LICEO SATELITE</t>
  </si>
  <si>
    <t>COLEGIO MILITAR LICEO SOCIAL COMPARTIR</t>
  </si>
  <si>
    <t>GIMNASIO TEQUENDAMA</t>
  </si>
  <si>
    <t>2</t>
  </si>
  <si>
    <t>COLEGIO RAFAEL POMBO CAZUCA</t>
  </si>
  <si>
    <t>54</t>
  </si>
  <si>
    <t>COLEGIO INTEGRAL FEMENINO</t>
  </si>
  <si>
    <t>INSTITUCION EDUCATIVA COMPARTIR</t>
  </si>
  <si>
    <t>INSTITUCION EDUCATIVA INTEGRADO DE SOACHA</t>
  </si>
  <si>
    <t>INSTITUCION EDUCATIVA SANTA ANA</t>
  </si>
  <si>
    <t>INSTITUCION EDUCATIVA  NUEVO COMPARTIR</t>
  </si>
  <si>
    <t>COLEGIO NUESTRA SENORA DEL CARMEN DE SOACHA LTDA.</t>
  </si>
  <si>
    <t>4</t>
  </si>
  <si>
    <t>GIMNASIO MODERNO LOS CEDROS</t>
  </si>
  <si>
    <t>LICEO SAN MATEO</t>
  </si>
  <si>
    <t>COLEGIO COSMOS</t>
  </si>
  <si>
    <t>INSTITUCION EDUCATIVA CIUDADELA  SUCRE</t>
  </si>
  <si>
    <t>INSTITUCION EDUCATIVA LICEO CONVIBA</t>
  </si>
  <si>
    <t>COLEGIO SAULO DE TARSO</t>
  </si>
  <si>
    <t>ESCUELA NORMAL SUPERIOR MARIA AUXILIADORA</t>
  </si>
  <si>
    <t>INSTITUCION EDUCATIVA BUENOS AIRES</t>
  </si>
  <si>
    <t>COLEGIO LEON MAGNO</t>
  </si>
  <si>
    <t>COLEGIO DE BACHILLERATO NINO JESUS</t>
  </si>
  <si>
    <t>LICEO MARANATA</t>
  </si>
  <si>
    <t>INSTITUTO COMERCIAL OASIS</t>
  </si>
  <si>
    <t>LICEO CRISTIANO VIDA NUEVA</t>
  </si>
  <si>
    <t>INSTITUCION EDUCATIVA GABRIEL GARCIA MARQUEZ</t>
  </si>
  <si>
    <t>COLEGIO BOLIVAR DE SOACHA</t>
  </si>
  <si>
    <t>COLEGIO MARIA MAGDALENA</t>
  </si>
  <si>
    <t>INSTITUCION EDUCATIVA MANUELA BELTRAN</t>
  </si>
  <si>
    <t>COLEGIO MIGUEL DE CERVANTES SAAVEDRA</t>
  </si>
  <si>
    <t>COLEGIO COLOMBO AMERICANO</t>
  </si>
  <si>
    <t>GIMNASIO MODERNO COLOMBIANO</t>
  </si>
  <si>
    <t>INSTITUCION EDUCATIVA CIUDAD LATINA</t>
  </si>
  <si>
    <t>LICEO CRISTIANO MARTIN LUTERO</t>
  </si>
  <si>
    <t>LICEO COMFACUNDI EU</t>
  </si>
  <si>
    <t>INSTITUTO PEDAGOGICO LAURA VICUNA</t>
  </si>
  <si>
    <t>38</t>
  </si>
  <si>
    <t>INSTITUCION EDUCATIVA  SAN MATEO</t>
  </si>
  <si>
    <t>LICEO CRISTIANO MANANTIAL DE VIDA</t>
  </si>
  <si>
    <t>COLEGIO DE LA INMACULADA CONCEPCION</t>
  </si>
  <si>
    <t>GIMNASIO LA ALAMEDA</t>
  </si>
  <si>
    <t>INSTITUTO PEDAGOGICO ALFRED BINET</t>
  </si>
  <si>
    <t>3</t>
  </si>
  <si>
    <t>COLEGIO MAYOR NUESTRA SENORA DE LA ESPERANZA</t>
  </si>
  <si>
    <t>COLEGIO JORGE ISAACS</t>
  </si>
  <si>
    <t>40</t>
  </si>
  <si>
    <t>LICEO EDUCATIVO BADEN POWELL</t>
  </si>
  <si>
    <t>COLEGIO PEDAGOGICO LOS OLIVOS</t>
  </si>
  <si>
    <t>COLEGIO RICAURTE DE SOACHA</t>
  </si>
  <si>
    <t>GIMNASIO NUEVO BOLIVAR</t>
  </si>
  <si>
    <t>INSTITUCION EDUCATIVA LA DESPENSA</t>
  </si>
  <si>
    <t>COLEGIO EUGENIO DIAZ CASTRO SAS</t>
  </si>
  <si>
    <t>LICEO NUESTRA SENORA MILAGROSA</t>
  </si>
  <si>
    <t>COLEGIO MILITAR ALMIRANTE PADILLA</t>
  </si>
  <si>
    <t>GIMNASIO MODERNO ROBINSON CRUSOE</t>
  </si>
  <si>
    <t>COLEGIO THOMAS ALVA EDISON</t>
  </si>
  <si>
    <t>COLEGIO JORGE ELIECER GAITAN</t>
  </si>
  <si>
    <t>INSTITUCION EDUCATIVA LUIS CARLOS GALAN</t>
  </si>
  <si>
    <t>COL CENT DE INSTRUCION SISTEMATIZADO</t>
  </si>
  <si>
    <t>1</t>
  </si>
  <si>
    <t>INSTITUTO BOLIVARIANO ESDISEÑOS</t>
  </si>
  <si>
    <t>LICEO LEONARDO DA VINCI</t>
  </si>
  <si>
    <t>LICEO DIRIGENTES DEL FUTURO</t>
  </si>
  <si>
    <t>COLEGIO EL MINUTO DE DIOS CIUDAD VERDE</t>
  </si>
  <si>
    <t>LICEO MAYOR DE SOACHA BIENESTAR PARA TODOS</t>
  </si>
  <si>
    <t>COLEGIO PEDAGOGICO SAGRADA SABIDURIA</t>
  </si>
  <si>
    <t>LICEO MARIA INMACULADA</t>
  </si>
  <si>
    <t>LICEO PSICOPEDAGÓGICO MUNDO ACTIVO</t>
  </si>
  <si>
    <t>INSTITUTO PEDAGOGICO NUEVA GENERACION</t>
  </si>
  <si>
    <t>LICEO INTEGRAL LOS ALISOS</t>
  </si>
  <si>
    <t>LICEO MODERNO AMERICAN SCHOOL LTDA.</t>
  </si>
  <si>
    <t>INSTITUTO COL TECNISISTEMAS</t>
  </si>
  <si>
    <t>Promedio Puntaje Global</t>
  </si>
  <si>
    <t>Desviación</t>
  </si>
  <si>
    <t>Promedio</t>
  </si>
  <si>
    <t>OFICIAL</t>
  </si>
  <si>
    <t>CORREGIMIENTO</t>
  </si>
  <si>
    <t>NO OFICIAL</t>
  </si>
  <si>
    <t>INSTITUCION EDUCATIVA GIMNASIO SANTO DOMINGO DE LA JUVENTUD EU</t>
  </si>
  <si>
    <t>COLEGIO BENEDICTO XVI</t>
  </si>
  <si>
    <t>.</t>
  </si>
  <si>
    <t>INST DE EDUCACIÓN PARA JOVENES Y ADULTOS DE SOACHA GENESIS</t>
  </si>
  <si>
    <t>,</t>
  </si>
  <si>
    <t>INSTITUTO EDUCATIVO COMERCIAL INEC</t>
  </si>
  <si>
    <t>LICEO GREGORIO MENDEL</t>
  </si>
  <si>
    <t>COLEGIO CRISTIANO SEMIDA</t>
  </si>
  <si>
    <t>COLEGIO SAN LUIS</t>
  </si>
  <si>
    <t>INSTITUTO BUENOS AIRES</t>
  </si>
  <si>
    <t>GIMNASIO EDUCATIVO INTEGRAL</t>
  </si>
  <si>
    <t>INSTITUTO PEDAGOGICO DE SOACHA</t>
  </si>
  <si>
    <t>LECTURA CRÍTICA</t>
  </si>
  <si>
    <t>CIENCIAS NATURALES</t>
  </si>
  <si>
    <t>Sector</t>
  </si>
  <si>
    <t>Comuna</t>
  </si>
  <si>
    <t>COMUNA 1</t>
  </si>
  <si>
    <t>COMUNA 2</t>
  </si>
  <si>
    <t>COMUNA 3</t>
  </si>
  <si>
    <t>COMUNA 4</t>
  </si>
  <si>
    <t>COMUNA 5</t>
  </si>
  <si>
    <t>COMUNA 6</t>
  </si>
  <si>
    <t xml:space="preserve">RESULTADOS POR COMUNA </t>
  </si>
  <si>
    <t xml:space="preserve">Desviación </t>
  </si>
  <si>
    <t>OFICIALES</t>
  </si>
  <si>
    <t>NO OFICIALES</t>
  </si>
  <si>
    <t>SOACHA GENERAL</t>
  </si>
  <si>
    <t xml:space="preserve">RESULTADOS LECTURA CRÍTICA POR COMUNA </t>
  </si>
  <si>
    <t xml:space="preserve"> </t>
  </si>
  <si>
    <t xml:space="preserve">RESULTADOS MATEMÁTICAS POR COMUNA </t>
  </si>
  <si>
    <t xml:space="preserve">RESULTADOS INGLÉS POR COMUNA </t>
  </si>
  <si>
    <t xml:space="preserve">RESULTADOS CIENCIAS NATURALES POR COMUNA </t>
  </si>
  <si>
    <t xml:space="preserve">RESULTADOS SOCIALES Y CIUDADANAS POR COMUNA </t>
  </si>
  <si>
    <t>MATEMATICAS</t>
  </si>
  <si>
    <t xml:space="preserve">SOCIALES Y CIUDADANAS </t>
  </si>
  <si>
    <t>INGLÉS</t>
  </si>
  <si>
    <t>258</t>
  </si>
  <si>
    <t>251</t>
  </si>
  <si>
    <t>GIMNASIO BRITANICO BRIGTHON</t>
  </si>
  <si>
    <t>CENTRO EDUCATIVO MANOS UNIDAS</t>
  </si>
  <si>
    <t>COLEGIO ANTONIO NARINO</t>
  </si>
  <si>
    <t>COLEGIO BRITANICO</t>
  </si>
  <si>
    <t>CENTRO DE CAPACITACIÓN BOLÍVAR CENCABO</t>
  </si>
  <si>
    <t>CENTRO EDUCATIVO DIOS ES AMOR</t>
  </si>
  <si>
    <t>Porcentaje de estudiantes por niveles de desempeño</t>
  </si>
  <si>
    <t>Porcentaje promedio de estudiantes que responde incorrectamente a los aprendizajes</t>
  </si>
  <si>
    <t>Aprendizaje 1</t>
  </si>
  <si>
    <t>Aprendizaje 2</t>
  </si>
  <si>
    <t>Aprendizaje 3</t>
  </si>
  <si>
    <t>N.D.</t>
  </si>
  <si>
    <t>55%</t>
  </si>
  <si>
    <t>LICEO NUEVA VIDA</t>
  </si>
  <si>
    <t>INSTITUCION EDUCATIVA SOACHA PARA VIVIR MEJOR</t>
  </si>
  <si>
    <t>INSTITUCION EDUCATIVA CIUDAD VERDE</t>
  </si>
  <si>
    <t>Aprendizaje 4</t>
  </si>
  <si>
    <t>Aprendizaje 5</t>
  </si>
  <si>
    <t>Aprendizaje 6</t>
  </si>
  <si>
    <t>CENTRO EDUCATIVO EL CASTILLO DE SAN MATEO</t>
  </si>
  <si>
    <t>Aprendizaje 7</t>
  </si>
  <si>
    <t>Aprendizaje 8</t>
  </si>
  <si>
    <t>Aprendizaje 9</t>
  </si>
  <si>
    <t>Aprendizaje 10</t>
  </si>
  <si>
    <t>Aprendizaje 11</t>
  </si>
  <si>
    <t>Aprendizaje 12</t>
  </si>
  <si>
    <t>Aprendizaje 13</t>
  </si>
  <si>
    <t>Aprendizaje 14</t>
  </si>
  <si>
    <t>Aprendizaje 15</t>
  </si>
  <si>
    <t>Aprendizaje 16</t>
  </si>
  <si>
    <t>Aprendizaje 17</t>
  </si>
  <si>
    <t>Aprendizaje 18</t>
  </si>
  <si>
    <t>Aprendizaje 19</t>
  </si>
  <si>
    <t>Aprendizaje 20</t>
  </si>
  <si>
    <t>Aprendizaje 21</t>
  </si>
  <si>
    <t>Aprendizaje 22</t>
  </si>
  <si>
    <t>Aprendizaje 23</t>
  </si>
  <si>
    <t>Aprendizaje 24</t>
  </si>
  <si>
    <t>A-</t>
  </si>
  <si>
    <t>A1</t>
  </si>
  <si>
    <t>A2</t>
  </si>
  <si>
    <t>B1</t>
  </si>
  <si>
    <t>B+</t>
  </si>
  <si>
    <t>Aprendizaje 25</t>
  </si>
  <si>
    <t>Aprendizaje 26</t>
  </si>
  <si>
    <t xml:space="preserve">Niveles de desempeño Soacha General </t>
  </si>
  <si>
    <t>SOACHA OFICIAL</t>
  </si>
  <si>
    <t>SOACHA NO OFICIAL</t>
  </si>
  <si>
    <t>Niveles de desempeño Matemáticas 2016 - 2020</t>
  </si>
  <si>
    <t>Aprendizaje 1: Comprende cómo se articulan las partes de un texto para darle un sentido global.</t>
  </si>
  <si>
    <t xml:space="preserve">Aprendizaje 3: Identifica y entiende los contenidos locales que conforman un texto. </t>
  </si>
  <si>
    <t xml:space="preserve">Aprendizaje 2: Identifica y entiende los contenidos locales que conforman un texto. </t>
  </si>
  <si>
    <t>Aprendizaje 2: Reflexiona a partir de un texto y evalúa su contenido.</t>
  </si>
  <si>
    <t>Aprendizaje 3: Reflexiona a partir de un texto y evalúa su contenido.</t>
  </si>
  <si>
    <t xml:space="preserve">Aprendizaje 2:_ Identifica y entiende los contenidos locales que conforman un texto. </t>
  </si>
  <si>
    <t xml:space="preserve">Aprendizaje 1: Identifica y entiende los contenidos locales que conforman un texto. </t>
  </si>
  <si>
    <t>Aprendizaje 2: Comprende cómo se articulan las partes de un texto para darle un sentido global.</t>
  </si>
  <si>
    <t>Aprendizaje 1:  Comprende cómo se articulan las partes de un texto para darle un sentido global.</t>
  </si>
  <si>
    <t>Aprendizaje 3: Reflexiona a partir de un texto y evalúa su contenido</t>
  </si>
  <si>
    <t>Aprendizaje 1: Comprende y transforma la información cuantitativa y esquemática presentada en distintos formatos</t>
  </si>
  <si>
    <t>Aprendizaje 2: Valida procedimientos y  estrategias matemáticas utilizadas para dar solución a problemas.</t>
  </si>
  <si>
    <t>Aprendizaje 1: Valida procedimientos y  estrategias matemáticas utilizadas para dar solución a problemas.</t>
  </si>
  <si>
    <t>Aprendizaje 3: Valida procedimientos y  estrategias matemáticas utilizadas para dar solución a problemas.</t>
  </si>
  <si>
    <t>Aprendizaje 2: Comprende y transforma la información cuantitativa y esquemática presentada en distintos formatos</t>
  </si>
  <si>
    <t>Aprendizaje 3: Comprende y transforma la información cuantitativa y esquemática presentada en distintos formatos</t>
  </si>
  <si>
    <t>Aprendizaje 2: Frente a un problema que involucre información cuantitativa, plantea e implementa estrategias que lleven a soluciones adecuadas.</t>
  </si>
  <si>
    <t>Aprendizaje 1: Frente a un problema que involucre información cuantitativa, plantea e implementa estrategias que lleven a soluciones adecuadas.</t>
  </si>
  <si>
    <t>Aprendizaje 3: Frente a un problema que involucre información cuantitativa, plantea e implementa estrategias que lleven a soluciones adecuadas.</t>
  </si>
  <si>
    <t>Aprendizaje 3:  Comprende y transforma la información cuantitativa y esquemática presentada en distintos formatos</t>
  </si>
  <si>
    <t>Aprendizaje 6: Comprende dimensiones espaciales y temporales de eventos, problemáticas y prácticas sociales.</t>
  </si>
  <si>
    <t>Aprendizaje 5: Comprende dimensiones espaciales y temporales de eventos, problemáticas y prácticas sociales.</t>
  </si>
  <si>
    <t>Aprendizaje 2: Comprende dimensiones espaciales y temporales de eventos, problemáticas y prácticas sociales.</t>
  </si>
  <si>
    <t>Aprendizaje 1: Comprende dimensiones espaciales y temporales de eventos, problemáticas y prácticas sociales.</t>
  </si>
  <si>
    <t>Aprendizaje 5: Comprende modelos conceptuales, sus características y contextos de aplicación.</t>
  </si>
  <si>
    <t>Aprendizaje 3: Comprende modelos conceptuales, sus características y contextos de aplicación.</t>
  </si>
  <si>
    <t>Aprendizaje 1: Comprende modelos conceptuales, sus características y contextos de aplicación.</t>
  </si>
  <si>
    <t>Aprendizaje 2: Comprende que los problemas y sus soluciones involucran distintas dimensiones y reconoce relaciones entre estas.</t>
  </si>
  <si>
    <t>Aprendizaje 4: Comprende que los problemas y sus soluciones involucran distintas dimensiones y reconoce relaciones entre estas.</t>
  </si>
  <si>
    <t>Aprendizaje 3: Comprende que los problemas y sus soluciones involucran distintas dimensiones y reconoce relaciones entre estas.</t>
  </si>
  <si>
    <t>Aprendizaje 1: Contextualiza y evalúa usos de fuentes y argumentos.</t>
  </si>
  <si>
    <t>Aprendizaje 4: Contextualiza y evalúa usos de fuentes y argumentos.</t>
  </si>
  <si>
    <t>Aprendizaje 5: Contextualiza y evalúa usos de fuentes y argumentos.</t>
  </si>
  <si>
    <t>Aprendizaje 3: Contextualiza y evalúa usos de fuentes y argumentos.</t>
  </si>
  <si>
    <t>Aprendizaje 6: Comprende perspectivas de distintos actores y grupos sociales.</t>
  </si>
  <si>
    <t>Aprendizaje 2: Comprende perspectivas de distintos actores y grupos sociales.</t>
  </si>
  <si>
    <t>Aprendizaje 3: Evalúa usos sociales de las ciencias sociales.</t>
  </si>
  <si>
    <t>Aprendizaje 6: Evalúa usos sociales de las ciencias sociales.</t>
  </si>
  <si>
    <t>Aprendizaje 1: Evalúa usos sociales de las ciencias sociales.</t>
  </si>
  <si>
    <t>Aprendizaje 4: Evalúa usos sociales de las ciencias sociales.</t>
  </si>
  <si>
    <t>Competencia</t>
  </si>
  <si>
    <t>Aprendizaje</t>
  </si>
  <si>
    <t>Comprende y transforma la información cuantitativa y esquemática presentada en distintos formatos</t>
  </si>
  <si>
    <t>Frente a un problema que involucre información cuantitativa, plantea e implementa estrategias que lleven a soluciones adecuadas.</t>
  </si>
  <si>
    <t>Valida procedimientos y  estrategias matemáticas utilizadas para dar solución a problemas.</t>
  </si>
  <si>
    <t>Comprende modelos conceptuales, sus características y contextos de aplicación.</t>
  </si>
  <si>
    <t>Comprende dimensiones espaciales y temporales de eventos, problemáticas y prácticas sociales.</t>
  </si>
  <si>
    <t>Contextualiza y evalúa usos de fuentes y argumentos.</t>
  </si>
  <si>
    <t>Comprende perspectivas de distintos actores y grupos sociales.</t>
  </si>
  <si>
    <t>Evalúa usos sociales de las ciencias sociales.</t>
  </si>
  <si>
    <t>Comprende que los problemas y sus soluciones involucran distintas dimensiones y reconoce relaciones entre estas.</t>
  </si>
  <si>
    <t>Modelar fenómenos de la naturaleza basado en el análisis de variables, la relación entre dos o más conceptos del conocimiento científico y de la evidencia derivada de investigaciones científicas. - Procesos vivos</t>
  </si>
  <si>
    <t>Explicar cómo ocurren algunos fenómenos de la naturaleza basado en observaciones, en patrones y  en conceptos propios del conocimiento científico. - Procesos vivos</t>
  </si>
  <si>
    <t>Comprender que a partir de la investigación científica se construyen explicaciones sobre el mundo natural. - Procesos vivos</t>
  </si>
  <si>
    <t>Derivar conclusiones para algunos fenómenos de la naturaleza basándose en conocimientos científicos y en la evidencia de su propia investigación y de la de otros. - Procesos vivos</t>
  </si>
  <si>
    <t>Observar y relacionar patrones en los datos para evaluar las predicciones. - Procesos vivos</t>
  </si>
  <si>
    <t>Utilizar algunas habilidades de pensamiento y de procedimiento para  evaluar predicciones - Procesos vivos</t>
  </si>
  <si>
    <t>Asociar fenómenos naturales con conceptos propios del conocimiento científico. - Procesos vivos</t>
  </si>
  <si>
    <t>Identificar las características  de algunos fenómenos de la naturaleza basado en el análisis de información  y  conceptos propios del conocimiento científico. - Procesos vivos</t>
  </si>
  <si>
    <t>Analizar  el potencial del uso de recursos  naturales  o artefactos  y sus efectos sobre el entorno y la salud , así como las posibilidades de desarrollo para las comunidades. - CTS</t>
  </si>
  <si>
    <t>Utilizar algunas habilidades de pensamiento y de procedimiento para  evaluar predicciones - Procesos químicos</t>
  </si>
  <si>
    <t>Identificar las características  de algunos fenómenos de la naturaleza basado en el análisis de información  y  conceptos propios del conocimiento científico. - Procesos químicos</t>
  </si>
  <si>
    <t>Explicar cómo ocurren algunos fenómenos de la naturaleza basado en observaciones, en patrones y  en conceptos propios del conocimiento científico. - Procesos físicos</t>
  </si>
  <si>
    <t>Identificar las características  de algunos fenómenos de la naturaleza basado en el análisis de información  y  conceptos propios del conocimiento científico. - CTS</t>
  </si>
  <si>
    <t>Derivar conclusiones para algunos fenómenos de la naturaleza basándose en conocimientos científicos y en la evidencia de su propia investigación y de la de otros. - Procesos físicos</t>
  </si>
  <si>
    <t>Identificar las características  de algunos fenómenos de la naturaleza basado en el análisis de información  y  conceptos propios del conocimiento científico. - Procesos físicos</t>
  </si>
  <si>
    <t>Observar y relacionar patrones en los datos para evaluar las predicciones. - Procesos químicos</t>
  </si>
  <si>
    <t>Asociar fenómenos naturales con conceptos propios del conocimiento científico. - Procesos químicos</t>
  </si>
  <si>
    <t>Comprender que a partir de la investigación científica se construyen explicaciones sobre el mundo natural. - Procesos físicos</t>
  </si>
  <si>
    <t>Comprender que a partir de la investigación científica se construyen explicaciones sobre el mundo natural. - Procesos químicos</t>
  </si>
  <si>
    <t>Derivar conclusiones para algunos fenómenos de la naturaleza basándose en conocimientos científicos y en la evidencia de su propia investigación y de la de otros. - Procesos químicos</t>
  </si>
  <si>
    <t>Utilizar algunas habilidades de pensamiento y de procedimiento para  evaluar predicciones - Procesos físicos</t>
  </si>
  <si>
    <t>Asociar fenómenos naturales con conceptos propios del conocimiento científico. - Procesos físicos</t>
  </si>
  <si>
    <t>Modelar fenómenos de la naturaleza basado en el análisis de variables, la relación entre dos o más conceptos del conocimiento científico y de la evidencia derivada de investigaciones científicas. - Procesos físicos</t>
  </si>
  <si>
    <t>Observar y relacionar patrones en los datos para evaluar las predicciones. - Procesos físicos</t>
  </si>
  <si>
    <t>Explicar cómo ocurren algunos fenómenos de la naturaleza basado en observaciones, en patrones y  en conceptos propios del conocimiento científico. - Procesos químicos</t>
  </si>
  <si>
    <t>Modelar fenómenos de la naturaleza basado en el análisis de variables, la relación entre dos o más conceptos del conocimiento científico y de la evidencia derivada de investigaciones científicas. - Procesos químicos</t>
  </si>
  <si>
    <t>NR</t>
  </si>
  <si>
    <t>PUNTAJE GLOBAL</t>
  </si>
  <si>
    <t>Año</t>
  </si>
  <si>
    <t>CATEGORÍA</t>
  </si>
  <si>
    <t>Categoría</t>
  </si>
  <si>
    <t>A+</t>
  </si>
  <si>
    <t>A</t>
  </si>
  <si>
    <t>B</t>
  </si>
  <si>
    <t>Nombre del Establecimiento</t>
  </si>
  <si>
    <t>Código Dane</t>
  </si>
  <si>
    <t>Municipio</t>
  </si>
  <si>
    <t>Matriculados (últimos 3 años)</t>
  </si>
  <si>
    <t>Evaluados (últimos 3 años)</t>
  </si>
  <si>
    <t>Índice de Matemática</t>
  </si>
  <si>
    <t>Índice de Ciencias Naturales</t>
  </si>
  <si>
    <t>Índice de Sociales y Ciudadanas</t>
  </si>
  <si>
    <t>Índice de Lectura Crítica</t>
  </si>
  <si>
    <t>Índice de Inglés</t>
  </si>
  <si>
    <t>Índice Total</t>
  </si>
  <si>
    <t>SOACHA (CUNDINAMARCA)</t>
  </si>
  <si>
    <t>47</t>
  </si>
  <si>
    <t>85</t>
  </si>
  <si>
    <t>80</t>
  </si>
  <si>
    <t>59</t>
  </si>
  <si>
    <t>57</t>
  </si>
  <si>
    <t>69</t>
  </si>
  <si>
    <t>68</t>
  </si>
  <si>
    <t>196</t>
  </si>
  <si>
    <t>194</t>
  </si>
  <si>
    <t>451</t>
  </si>
  <si>
    <t>446</t>
  </si>
  <si>
    <t>96</t>
  </si>
  <si>
    <t>191</t>
  </si>
  <si>
    <t>190</t>
  </si>
  <si>
    <t>37</t>
  </si>
  <si>
    <t>94</t>
  </si>
  <si>
    <t>75</t>
  </si>
  <si>
    <t>153</t>
  </si>
  <si>
    <t>414</t>
  </si>
  <si>
    <t>411</t>
  </si>
  <si>
    <t>77</t>
  </si>
  <si>
    <t>124</t>
  </si>
  <si>
    <t>345</t>
  </si>
  <si>
    <t>344</t>
  </si>
  <si>
    <t>76</t>
  </si>
  <si>
    <t>35</t>
  </si>
  <si>
    <t>95</t>
  </si>
  <si>
    <t>90</t>
  </si>
  <si>
    <t>86</t>
  </si>
  <si>
    <t>83</t>
  </si>
  <si>
    <t>292</t>
  </si>
  <si>
    <t>290</t>
  </si>
  <si>
    <t>116</t>
  </si>
  <si>
    <t>115</t>
  </si>
  <si>
    <t>215</t>
  </si>
  <si>
    <t>214</t>
  </si>
  <si>
    <t>338</t>
  </si>
  <si>
    <t>334</t>
  </si>
  <si>
    <t>111</t>
  </si>
  <si>
    <t>108</t>
  </si>
  <si>
    <t>342</t>
  </si>
  <si>
    <t>393</t>
  </si>
  <si>
    <t>388</t>
  </si>
  <si>
    <t>123</t>
  </si>
  <si>
    <t>51</t>
  </si>
  <si>
    <t>48</t>
  </si>
  <si>
    <t>128</t>
  </si>
  <si>
    <t>199</t>
  </si>
  <si>
    <t>167</t>
  </si>
  <si>
    <t>159</t>
  </si>
  <si>
    <t>63</t>
  </si>
  <si>
    <t>62</t>
  </si>
  <si>
    <t>102</t>
  </si>
  <si>
    <t>101</t>
  </si>
  <si>
    <t>197</t>
  </si>
  <si>
    <t>195</t>
  </si>
  <si>
    <t>114</t>
  </si>
  <si>
    <t>818</t>
  </si>
  <si>
    <t>787</t>
  </si>
  <si>
    <t>42</t>
  </si>
  <si>
    <t>39</t>
  </si>
  <si>
    <t>44</t>
  </si>
  <si>
    <t>43</t>
  </si>
  <si>
    <t>237</t>
  </si>
  <si>
    <t>232</t>
  </si>
  <si>
    <t>122</t>
  </si>
  <si>
    <t>65</t>
  </si>
  <si>
    <t>127</t>
  </si>
  <si>
    <t>121</t>
  </si>
  <si>
    <t>129</t>
  </si>
  <si>
    <t>17</t>
  </si>
  <si>
    <t>18</t>
  </si>
  <si>
    <t>448</t>
  </si>
  <si>
    <t>443</t>
  </si>
  <si>
    <t>218</t>
  </si>
  <si>
    <t>72</t>
  </si>
  <si>
    <t>473</t>
  </si>
  <si>
    <t>453</t>
  </si>
  <si>
    <t>58</t>
  </si>
  <si>
    <t>98</t>
  </si>
  <si>
    <t>97</t>
  </si>
  <si>
    <t>386</t>
  </si>
  <si>
    <t>375</t>
  </si>
  <si>
    <t>962</t>
  </si>
  <si>
    <t>881</t>
  </si>
  <si>
    <t>830</t>
  </si>
  <si>
    <t>809</t>
  </si>
  <si>
    <t>509</t>
  </si>
  <si>
    <t>500</t>
  </si>
  <si>
    <t>789</t>
  </si>
  <si>
    <t>758</t>
  </si>
  <si>
    <t>88</t>
  </si>
  <si>
    <t>25</t>
  </si>
  <si>
    <t>24</t>
  </si>
  <si>
    <t>154</t>
  </si>
  <si>
    <t>152</t>
  </si>
  <si>
    <t>329</t>
  </si>
  <si>
    <t>321</t>
  </si>
  <si>
    <t>316</t>
  </si>
  <si>
    <t>315</t>
  </si>
  <si>
    <t>939</t>
  </si>
  <si>
    <t>931</t>
  </si>
  <si>
    <t>107</t>
  </si>
  <si>
    <t>105</t>
  </si>
  <si>
    <t>176</t>
  </si>
  <si>
    <t>171</t>
  </si>
  <si>
    <t>339</t>
  </si>
  <si>
    <t>319</t>
  </si>
  <si>
    <t>23</t>
  </si>
  <si>
    <t>22</t>
  </si>
  <si>
    <t>833</t>
  </si>
  <si>
    <t>808</t>
  </si>
  <si>
    <t>33</t>
  </si>
  <si>
    <t>119</t>
  </si>
  <si>
    <t>118</t>
  </si>
  <si>
    <t>117</t>
  </si>
  <si>
    <t>248</t>
  </si>
  <si>
    <t>244</t>
  </si>
  <si>
    <t>15</t>
  </si>
  <si>
    <t>C</t>
  </si>
  <si>
    <t>21</t>
  </si>
  <si>
    <t>19</t>
  </si>
  <si>
    <t>50</t>
  </si>
  <si>
    <t>49</t>
  </si>
  <si>
    <t>74</t>
  </si>
  <si>
    <t>92</t>
  </si>
  <si>
    <t>79</t>
  </si>
  <si>
    <t>126</t>
  </si>
  <si>
    <t>354</t>
  </si>
  <si>
    <t>41</t>
  </si>
  <si>
    <t>36</t>
  </si>
  <si>
    <t>20</t>
  </si>
  <si>
    <t>112</t>
  </si>
  <si>
    <t>106</t>
  </si>
  <si>
    <t>29</t>
  </si>
  <si>
    <t>D</t>
  </si>
  <si>
    <t>146</t>
  </si>
  <si>
    <t>139</t>
  </si>
  <si>
    <t>13</t>
  </si>
  <si>
    <t>12</t>
  </si>
  <si>
    <t>11</t>
  </si>
  <si>
    <t>34</t>
  </si>
  <si>
    <t>32</t>
  </si>
  <si>
    <t>Tipo</t>
  </si>
  <si>
    <t>Establecimiento</t>
  </si>
  <si>
    <t>56</t>
  </si>
  <si>
    <t>46</t>
  </si>
  <si>
    <t>238</t>
  </si>
  <si>
    <t>187</t>
  </si>
  <si>
    <t>186</t>
  </si>
  <si>
    <t>485</t>
  </si>
  <si>
    <t>482</t>
  </si>
  <si>
    <t>66</t>
  </si>
  <si>
    <t>312</t>
  </si>
  <si>
    <t>310</t>
  </si>
  <si>
    <t>109</t>
  </si>
  <si>
    <t>64</t>
  </si>
  <si>
    <t>81</t>
  </si>
  <si>
    <t>78</t>
  </si>
  <si>
    <t>93</t>
  </si>
  <si>
    <t>70</t>
  </si>
  <si>
    <t>306</t>
  </si>
  <si>
    <t>302</t>
  </si>
  <si>
    <t>367</t>
  </si>
  <si>
    <t>364</t>
  </si>
  <si>
    <t>326</t>
  </si>
  <si>
    <t>323</t>
  </si>
  <si>
    <t>410</t>
  </si>
  <si>
    <t>407</t>
  </si>
  <si>
    <t>295</t>
  </si>
  <si>
    <t>291</t>
  </si>
  <si>
    <t>210</t>
  </si>
  <si>
    <t>55</t>
  </si>
  <si>
    <t>60</t>
  </si>
  <si>
    <t>166</t>
  </si>
  <si>
    <t>164</t>
  </si>
  <si>
    <t>103</t>
  </si>
  <si>
    <t>84</t>
  </si>
  <si>
    <t>31</t>
  </si>
  <si>
    <t>212</t>
  </si>
  <si>
    <t>161</t>
  </si>
  <si>
    <t>421</t>
  </si>
  <si>
    <t>879</t>
  </si>
  <si>
    <t>168</t>
  </si>
  <si>
    <t>45</t>
  </si>
  <si>
    <t>110</t>
  </si>
  <si>
    <t>99</t>
  </si>
  <si>
    <t>220</t>
  </si>
  <si>
    <t>249</t>
  </si>
  <si>
    <t>243</t>
  </si>
  <si>
    <t>293</t>
  </si>
  <si>
    <t>308</t>
  </si>
  <si>
    <t>299</t>
  </si>
  <si>
    <t>680</t>
  </si>
  <si>
    <t>655</t>
  </si>
  <si>
    <t>514</t>
  </si>
  <si>
    <t>498</t>
  </si>
  <si>
    <t>872</t>
  </si>
  <si>
    <t>852</t>
  </si>
  <si>
    <t>394</t>
  </si>
  <si>
    <t>765</t>
  </si>
  <si>
    <t>742</t>
  </si>
  <si>
    <t>189</t>
  </si>
  <si>
    <t>282</t>
  </si>
  <si>
    <t>474</t>
  </si>
  <si>
    <t>454</t>
  </si>
  <si>
    <t>745</t>
  </si>
  <si>
    <t>738</t>
  </si>
  <si>
    <t>125</t>
  </si>
  <si>
    <t>138</t>
  </si>
  <si>
    <t>16</t>
  </si>
  <si>
    <t>61</t>
  </si>
  <si>
    <t>350</t>
  </si>
  <si>
    <t>336</t>
  </si>
  <si>
    <t>71</t>
  </si>
  <si>
    <t>89</t>
  </si>
  <si>
    <t>82</t>
  </si>
  <si>
    <t>30</t>
  </si>
  <si>
    <t>27</t>
  </si>
  <si>
    <t>156</t>
  </si>
  <si>
    <t>226</t>
  </si>
  <si>
    <t>224</t>
  </si>
  <si>
    <t>504</t>
  </si>
  <si>
    <t>502</t>
  </si>
  <si>
    <t>91</t>
  </si>
  <si>
    <t>240</t>
  </si>
  <si>
    <t>26</t>
  </si>
  <si>
    <t>142</t>
  </si>
  <si>
    <t>140</t>
  </si>
  <si>
    <t>281</t>
  </si>
  <si>
    <t>277</t>
  </si>
  <si>
    <t>418</t>
  </si>
  <si>
    <t>416</t>
  </si>
  <si>
    <t>373</t>
  </si>
  <si>
    <t>113</t>
  </si>
  <si>
    <t>53</t>
  </si>
  <si>
    <t>104</t>
  </si>
  <si>
    <t>192</t>
  </si>
  <si>
    <t>254</t>
  </si>
  <si>
    <t>14</t>
  </si>
  <si>
    <t>87</t>
  </si>
  <si>
    <t>311</t>
  </si>
  <si>
    <t>301</t>
  </si>
  <si>
    <t>179</t>
  </si>
  <si>
    <t>120</t>
  </si>
  <si>
    <t>150</t>
  </si>
  <si>
    <t>147</t>
  </si>
  <si>
    <t>155</t>
  </si>
  <si>
    <t>405</t>
  </si>
  <si>
    <t>941</t>
  </si>
  <si>
    <t>889</t>
  </si>
  <si>
    <t>239</t>
  </si>
  <si>
    <t>235</t>
  </si>
  <si>
    <t>193</t>
  </si>
  <si>
    <t>184</t>
  </si>
  <si>
    <t>67</t>
  </si>
  <si>
    <t>259</t>
  </si>
  <si>
    <t>612</t>
  </si>
  <si>
    <t>592</t>
  </si>
  <si>
    <t>748</t>
  </si>
  <si>
    <t>629</t>
  </si>
  <si>
    <t>620</t>
  </si>
  <si>
    <t>355</t>
  </si>
  <si>
    <t>880</t>
  </si>
  <si>
    <t>834</t>
  </si>
  <si>
    <t>305</t>
  </si>
  <si>
    <t>288</t>
  </si>
  <si>
    <t>395</t>
  </si>
  <si>
    <t>585</t>
  </si>
  <si>
    <t>576</t>
  </si>
  <si>
    <t>151</t>
  </si>
  <si>
    <t>578</t>
  </si>
  <si>
    <t>551</t>
  </si>
  <si>
    <t>178</t>
  </si>
  <si>
    <t>177</t>
  </si>
  <si>
    <t>518</t>
  </si>
  <si>
    <t>495</t>
  </si>
  <si>
    <t>273</t>
  </si>
  <si>
    <t>297</t>
  </si>
  <si>
    <t>365</t>
  </si>
  <si>
    <t>352</t>
  </si>
  <si>
    <t>132</t>
  </si>
  <si>
    <t>149</t>
  </si>
  <si>
    <t>275</t>
  </si>
  <si>
    <t>52</t>
  </si>
  <si>
    <t>130</t>
  </si>
  <si>
    <t>170</t>
  </si>
  <si>
    <t>143</t>
  </si>
  <si>
    <t>898</t>
  </si>
  <si>
    <t>276</t>
  </si>
  <si>
    <t>358</t>
  </si>
  <si>
    <t>134</t>
  </si>
  <si>
    <t>309</t>
  </si>
  <si>
    <t>382</t>
  </si>
  <si>
    <t>343</t>
  </si>
  <si>
    <t>135</t>
  </si>
  <si>
    <t>(0 - 35)</t>
  </si>
  <si>
    <t>(36 - 50)</t>
  </si>
  <si>
    <t>(51 - 65)</t>
  </si>
  <si>
    <t>(66 - 100)</t>
  </si>
  <si>
    <t>(0-50)</t>
  </si>
  <si>
    <t>PROMEDIO ÁREA 
Lectura Crítica</t>
  </si>
  <si>
    <t>(51 - 70)</t>
  </si>
  <si>
    <t>(71 - 100)</t>
  </si>
  <si>
    <t>PROMEDIO ÁREA 
Matemáticas</t>
  </si>
  <si>
    <t>PROMEDIO ÁREA 
Sociales y Ciudadanas</t>
  </si>
  <si>
    <t>(0 - 40)</t>
  </si>
  <si>
    <t>(41 - 55)</t>
  </si>
  <si>
    <t>(56 - 70)</t>
  </si>
  <si>
    <t>(0-55)</t>
  </si>
  <si>
    <t>PROMEDIO ÁREA 
Ciencias Naturales</t>
  </si>
  <si>
    <t>PROMEDIO ÁREA 
Inglés</t>
  </si>
  <si>
    <t>(0 - 47)</t>
  </si>
  <si>
    <t>(48 - 57)</t>
  </si>
  <si>
    <t>(58 - 67)</t>
  </si>
  <si>
    <t>(68 - 78)</t>
  </si>
  <si>
    <t>(79 - 100)</t>
  </si>
  <si>
    <t>(0-57)</t>
  </si>
  <si>
    <t>A- y A1</t>
  </si>
  <si>
    <t>389</t>
  </si>
  <si>
    <t>182</t>
  </si>
  <si>
    <t>180</t>
  </si>
  <si>
    <t>444</t>
  </si>
  <si>
    <t>439</t>
  </si>
  <si>
    <t>332</t>
  </si>
  <si>
    <t>331</t>
  </si>
  <si>
    <t>300</t>
  </si>
  <si>
    <t>236</t>
  </si>
  <si>
    <t>390</t>
  </si>
  <si>
    <t>335</t>
  </si>
  <si>
    <t>419</t>
  </si>
  <si>
    <t>417</t>
  </si>
  <si>
    <t>169</t>
  </si>
  <si>
    <t>162</t>
  </si>
  <si>
    <t>208</t>
  </si>
  <si>
    <t>205</t>
  </si>
  <si>
    <t>754</t>
  </si>
  <si>
    <t>490</t>
  </si>
  <si>
    <t>470</t>
  </si>
  <si>
    <t>519</t>
  </si>
  <si>
    <t>507</t>
  </si>
  <si>
    <t>841</t>
  </si>
  <si>
    <t>821</t>
  </si>
  <si>
    <t>826</t>
  </si>
  <si>
    <t>977</t>
  </si>
  <si>
    <t>965</t>
  </si>
  <si>
    <t>188</t>
  </si>
  <si>
    <t>478</t>
  </si>
  <si>
    <t>374</t>
  </si>
  <si>
    <t>325</t>
  </si>
  <si>
    <t>318</t>
  </si>
  <si>
    <t>944</t>
  </si>
  <si>
    <t>783</t>
  </si>
  <si>
    <t>759</t>
  </si>
  <si>
    <t>307</t>
  </si>
  <si>
    <t>Modelar fenómenos de la naturaleza basado en el análisis de variables, la relación entre dos o más conceptos del conocimiento científico y de la evidencia derivada de investigaciones científicas. - Procesos quimicos</t>
  </si>
  <si>
    <t>Zona</t>
  </si>
  <si>
    <t>Índice de Matemática</t>
  </si>
  <si>
    <t>Índice de Ciencias Naturales</t>
  </si>
  <si>
    <t>Índice de Sociales y Ciudadanas</t>
  </si>
  <si>
    <t>Índice de Lectura Crítica</t>
  </si>
  <si>
    <t>Índice de Inglés</t>
  </si>
  <si>
    <t>Índice Total</t>
  </si>
  <si>
    <t>Urbana</t>
  </si>
  <si>
    <t>Rural</t>
  </si>
  <si>
    <t>586</t>
  </si>
  <si>
    <t>488</t>
  </si>
  <si>
    <t>204</t>
  </si>
  <si>
    <t>148</t>
  </si>
  <si>
    <t>Clasificación</t>
  </si>
  <si>
    <t>136</t>
  </si>
  <si>
    <t>28</t>
  </si>
  <si>
    <t>73</t>
  </si>
  <si>
    <t>10</t>
  </si>
  <si>
    <t>165</t>
  </si>
  <si>
    <t>163</t>
  </si>
  <si>
    <t>372</t>
  </si>
  <si>
    <t>271</t>
  </si>
  <si>
    <t>893</t>
  </si>
  <si>
    <t>379</t>
  </si>
  <si>
    <t>561</t>
  </si>
  <si>
    <t>415</t>
  </si>
  <si>
    <t>303</t>
  </si>
  <si>
    <t>359</t>
  </si>
  <si>
    <t>530</t>
  </si>
  <si>
    <t>528</t>
  </si>
  <si>
    <t>145</t>
  </si>
  <si>
    <t>404</t>
  </si>
  <si>
    <t>183</t>
  </si>
  <si>
    <t>100</t>
  </si>
  <si>
    <t>603</t>
  </si>
  <si>
    <t>582</t>
  </si>
  <si>
    <t>380</t>
  </si>
  <si>
    <t>351</t>
  </si>
  <si>
    <t>750</t>
  </si>
  <si>
    <t>724</t>
  </si>
  <si>
    <t>298</t>
  </si>
  <si>
    <t>285</t>
  </si>
  <si>
    <t>634</t>
  </si>
  <si>
    <t>628</t>
  </si>
  <si>
    <t>144</t>
  </si>
  <si>
    <t>936</t>
  </si>
  <si>
    <t>858</t>
  </si>
  <si>
    <t>429</t>
  </si>
  <si>
    <t>423</t>
  </si>
  <si>
    <t>483</t>
  </si>
  <si>
    <t>679</t>
  </si>
  <si>
    <t>663</t>
  </si>
  <si>
    <t>408</t>
  </si>
  <si>
    <t>402</t>
  </si>
  <si>
    <t>304</t>
  </si>
  <si>
    <t>294</t>
  </si>
  <si>
    <t>185</t>
  </si>
  <si>
    <t>377</t>
  </si>
  <si>
    <t>376</t>
  </si>
  <si>
    <t>278</t>
  </si>
  <si>
    <t>133</t>
  </si>
  <si>
    <t>172</t>
  </si>
  <si>
    <t>241</t>
  </si>
  <si>
    <t>COLEGIO DEL NAZARENO</t>
  </si>
  <si>
    <t>LICEO ANGEL DE LA GUARDA</t>
  </si>
  <si>
    <t>INDICE GLOBAL</t>
  </si>
  <si>
    <t>CLASIFICACIÓN DE PLANTELES</t>
  </si>
  <si>
    <t>Porcentaje de estudiantes por niveles de desempeño
Lectura Crítica</t>
  </si>
  <si>
    <t>PROMEDIO POR PRUEBAS Y NIVELES DE DESEMPEÑO</t>
  </si>
  <si>
    <t>Porcentaje de estudiantes por niveles de desempeño
Matemáticas</t>
  </si>
  <si>
    <t>Porcentaje de estudiantes por niveles de desempeño
Sociales y Ciudadanas</t>
  </si>
  <si>
    <t>Porcentaje de estudiantes por niveles de desempeño
Ciencias Naturales</t>
  </si>
  <si>
    <t>Porcentaje de estudiantes por niveles de desempeño
Inglés</t>
  </si>
  <si>
    <t>1 y 2</t>
  </si>
  <si>
    <t>Porcentaje promedio de estudiantes que responde incorrectamente a los aprendizajes
Lectura Crítica</t>
  </si>
  <si>
    <t>COMPETENCIA</t>
  </si>
  <si>
    <t>Porcentaje promedio de estudiantes que responde incorrectamente a los aprendizajes
Matemáticas</t>
  </si>
  <si>
    <t>Competencias</t>
  </si>
  <si>
    <t>Aprendizaje 
Año</t>
  </si>
  <si>
    <t>INSTITUCIÓN EDUCATIVA:</t>
  </si>
  <si>
    <t>PORCENTAJE DE ESTUDIANTES QUE RESPONDE INCORRECTAMENTE A LOS APRENDIZAJES
LECTURA CRÍTICA</t>
  </si>
  <si>
    <t>PORCENTAJE DE ESTUDIANTES QUE RESPONDE INCORRECTAMENTE A LOS APRENDIZAJES
MATEMÁTICAS</t>
  </si>
  <si>
    <t>PORCENTAJE DE ESTUDIANTES QUE RESPONDE INCORRECTAMENTE A LOS APRENDIZAJES
SOCIALES Y CIUDADANAS</t>
  </si>
  <si>
    <t>Porcentaje promedio de estudiantes que responde incorrectamente a los aprendizajes
Sociales y Ciudadanas</t>
  </si>
  <si>
    <t>PORCENTAJE DE ESTUDIANTES QUE RESPONDE INCORRECTAMENTE A LOS APRENDIZAJES
CIENCIAS NATURALES
PROCESOS VIVOS</t>
  </si>
  <si>
    <t>PORCENTAJE DE ESTUDIANTES QUE RESPONDE INCORRECTAMENTE A LOS APRENDIZAJES
CIENCIAS NATURALES
PROCESOS QUÍMICOS</t>
  </si>
  <si>
    <t>PORCENTAJE DE ESTUDIANTES QUE RESPONDE INCORRECTAMENTE A LOS APRENDIZAJES
CIENCIAS NATURALES
PROCESOS FÍSICOS</t>
  </si>
  <si>
    <t>PORCENTAJE DE ESTUDIANTES QUE RESPONDE INCORRECTAMENTE A LOS APRENDIZAJES
CIENCIAS NATURALES
CIENCIA, TECNOLOGÍA Y SOCIEDAD</t>
  </si>
  <si>
    <t>APRENDIZAJE</t>
  </si>
  <si>
    <t>COMPARACIÓN 1:</t>
  </si>
  <si>
    <t>COMPARACIÓN 2:</t>
  </si>
  <si>
    <t>PROMEDIO</t>
  </si>
  <si>
    <t>Comparación PG</t>
  </si>
  <si>
    <t>Comparación DPG</t>
  </si>
  <si>
    <t>Similar</t>
  </si>
  <si>
    <t>Menor</t>
  </si>
  <si>
    <t>Mayor</t>
  </si>
  <si>
    <t>COLEGIO NUEVA ANDALUCIA</t>
  </si>
  <si>
    <t>Aprendizaje 2:  Identifica y entiende los contenidos locales que conforman un texto.</t>
  </si>
  <si>
    <t>Comparación PLC</t>
  </si>
  <si>
    <t>Comparación DLC</t>
  </si>
  <si>
    <t>Comparación PMAT</t>
  </si>
  <si>
    <t>Comparación DMAT</t>
  </si>
  <si>
    <t>Aprendizaje 2: Contextualiza y evalúa usos de fuentes y argumentos.</t>
  </si>
  <si>
    <t>Aprendizaje 3: Comprende dimensiones espaciales y temporales de eventos, problemáticas y prácticas sociales.</t>
  </si>
  <si>
    <t>Aprendizaje 4: Comprende modelos conceptuales, sus características y contextos de aplicación.</t>
  </si>
  <si>
    <t>Aprendizaje 5: Comprende que los problemas y sus soluciones involucran distintas dimensiones y reconoce relaciones entre estas.</t>
  </si>
  <si>
    <t>Comparación PSYC</t>
  </si>
  <si>
    <t>Comparación DSYC</t>
  </si>
  <si>
    <t>INSTITUCION EDUCATIVA CHILOÉ</t>
  </si>
  <si>
    <t>INSTITUTO TÉCNICO DE CUNDINAMARCA</t>
  </si>
  <si>
    <t>198</t>
  </si>
  <si>
    <t>COMUNA 1 OFICIAL</t>
  </si>
  <si>
    <t>COMUNA 2 OFICIAL</t>
  </si>
  <si>
    <t>COMUNA 3 OFICIAL</t>
  </si>
  <si>
    <t>COMUNA 4 OFICIAL</t>
  </si>
  <si>
    <t>COMUNA 5 OFICIAL</t>
  </si>
  <si>
    <t>COMUNA 6 OFICIAL</t>
  </si>
  <si>
    <t>COMUNA 1 PRIVADOS</t>
  </si>
  <si>
    <t>COMUNA 2 PRIVADOS</t>
  </si>
  <si>
    <t>COMUNA 3 PRIVADOS</t>
  </si>
  <si>
    <t>COMUNA 4 PRIVADOS</t>
  </si>
  <si>
    <t>COMUNA 5 PRIVADOS</t>
  </si>
  <si>
    <t>COMUNA 6 PRIVADOS</t>
  </si>
  <si>
    <t>Comprende</t>
  </si>
  <si>
    <t>Identifica</t>
  </si>
  <si>
    <t>Reflexiona</t>
  </si>
  <si>
    <t>Valida</t>
  </si>
  <si>
    <t>Frente</t>
  </si>
  <si>
    <t xml:space="preserve">OFICIALES </t>
  </si>
  <si>
    <t xml:space="preserve">NO OFICIALES </t>
  </si>
  <si>
    <t>398</t>
  </si>
  <si>
    <t>CENTRO DE ESTUDIOS PAULO FREIRE</t>
  </si>
  <si>
    <t>COLEGIO ABRAHAM LINCOLN SOACHA</t>
  </si>
  <si>
    <t>COLEGIO COLSUBSIDIO MAIPORÉ</t>
  </si>
  <si>
    <t>COLEGIO RAFAEL NUNEZ</t>
  </si>
  <si>
    <t>COLEGIO SANTA TERESITA</t>
  </si>
  <si>
    <t>FUNDACIÓN ACEPTA EL CAMBIO PARA VIDA NUEVA</t>
  </si>
  <si>
    <t>INSTITUCION EDUCATIVA LUIS HENRIQUEZ</t>
  </si>
  <si>
    <t>INSTITUCION EDUCATIVA PAZ Y ESPERANZA</t>
  </si>
  <si>
    <t>INSTITUCION EDUCATIVA SOACHA AVANZA LA UNIDAD</t>
  </si>
  <si>
    <t>INSTITUCION EDUCATIVA VIDA NUEVA</t>
  </si>
  <si>
    <t>INSTITUTO FRANCESCO PETRARCA</t>
  </si>
  <si>
    <t>Aprendizaje 4: Comprende dimensiones espaciales y temporales de eventos, problemáticas y prácticas sociales.</t>
  </si>
  <si>
    <t>Aprendizaje 1: Comprende que los problemas y sus soluciones involucran distintas dimensiones y reconoce relaciones entre estas.</t>
  </si>
  <si>
    <t>Elaboración propia Dirección de Calidad Educativa de la Secretaría de Educación de Soacha, adaptado de Secretaría de Educación de Itagüí</t>
  </si>
  <si>
    <t>422</t>
  </si>
  <si>
    <t>330</t>
  </si>
  <si>
    <t>516</t>
  </si>
  <si>
    <t>333</t>
  </si>
  <si>
    <t>213</t>
  </si>
  <si>
    <t>211</t>
  </si>
  <si>
    <t>589</t>
  </si>
  <si>
    <t>658</t>
  </si>
  <si>
    <t>649</t>
  </si>
  <si>
    <t>337</t>
  </si>
  <si>
    <t>547</t>
  </si>
  <si>
    <t>541</t>
  </si>
  <si>
    <t>686</t>
  </si>
  <si>
    <t>681</t>
  </si>
  <si>
    <t>327</t>
  </si>
  <si>
    <t>712</t>
  </si>
  <si>
    <t>692</t>
  </si>
  <si>
    <t>503</t>
  </si>
  <si>
    <t>888</t>
  </si>
  <si>
    <t>861</t>
  </si>
  <si>
    <t>357</t>
  </si>
  <si>
    <t>597</t>
  </si>
  <si>
    <t>284</t>
  </si>
  <si>
    <t>324</t>
  </si>
  <si>
    <t>181</t>
  </si>
  <si>
    <t>340</t>
  </si>
  <si>
    <t>207</t>
  </si>
  <si>
    <t>479</t>
  </si>
  <si>
    <t>477</t>
  </si>
  <si>
    <t>2016</t>
  </si>
  <si>
    <t>2017</t>
  </si>
  <si>
    <t>2018</t>
  </si>
  <si>
    <t>2019</t>
  </si>
  <si>
    <t>2020</t>
  </si>
  <si>
    <t>2021</t>
  </si>
  <si>
    <t>2022</t>
  </si>
  <si>
    <t>MATEMÁTICAS</t>
  </si>
  <si>
    <t>SOCIALES Y CIUDADANAS</t>
  </si>
  <si>
    <t>INGLES</t>
  </si>
  <si>
    <t>HERRAMIENTA RESULTADOS HISTÓRICOS PRUEBAS SABER 11</t>
  </si>
  <si>
    <t>RESULTADOS PRUEBAS SABER 11
PUNTAJE PROMEDIO GLOBAL</t>
  </si>
  <si>
    <t xml:space="preserve">En la lista desplegable escoja la Institución Educativa y grupos de comparación de su preferencia. Si no desea realizar comparaciones escoja la opción Ninguno que se encuentra al final de la lista. </t>
  </si>
  <si>
    <t>EVIDENCIAS</t>
  </si>
  <si>
    <t>• Comprende la estructura formal de un texto y la función de sus partes.
• Identifica y caracteriza las diferentes voces o situaciones presentes en un texto.
• Comprende las relaciones entre diferentes partes o enunciados de un texto.
• Identifica y caracteriza las ideas o afirmaciones presentes en un texto informativo.
• Identifica el tipo de relación existente entre diferentes elementos de un texto (discontinuo).</t>
  </si>
  <si>
    <t>• Establece la validez e implicaciones de un enunciado de un texto (argumentativo o expositivo).
• Establece relaciones entre un texto y otros textos o enunciados.
• Reconoce contenidos valorativos presentes en un texto.
• Reconoce las estrategias discursivas en un texto.
• Contextualiza adecuadamente un texto o la información contenida en este.</t>
  </si>
  <si>
    <t>• Entiende el significado de los elementos locales que constituyen un texto.
• Identifica los eventos narrados de manera explícita en un texto (literario, descriptivo, caricatura o cómic) y los personajes involucrados (si los hay).</t>
  </si>
  <si>
    <t>PREGUNTAS ORIENTADORAS PARA EL ANÁLISIS DE RESULTADOS</t>
  </si>
  <si>
    <t>Identifica y entiende los contenidos locales que conforman un texto.
(25% de las preguntas)</t>
  </si>
  <si>
    <t>Comprende cómo se articulan las partes de un texto para darle un sentido global.
(42% de las preguntas)</t>
  </si>
  <si>
    <t>Reflexiona a partir de un texto y evalúa su contenido.
(33% de las preguntas)</t>
  </si>
  <si>
    <t>Interpretación y representación
(34% de las preguntas)</t>
  </si>
  <si>
    <t>Formulación y ejecución
(43% de las preguntas)</t>
  </si>
  <si>
    <t>Argumentación
(23% de las preguntas)</t>
  </si>
  <si>
    <t>•	Da cuenta de las características básicas de la información presentada en diferentes formatos como series, gráficas, tablas y esquemas.
•	Transforma la representación de una o más piezas de información.</t>
  </si>
  <si>
    <t>•	Diseña planes para la solución de problemas que involucran información cuantitativa o esquemática.
•	Ejecuta un plan de solución para un problema que involucra información
•	cuantitativa o esquemática.
•	Resuelve un problema que involucra información cuantitativa o esquemática.</t>
  </si>
  <si>
    <t>•	Plantea afirmaciones que sustentan o refutan una interpretación dada a la información disponible en el marco de la solución de un problema.
•	Argumenta a favor o en contra de un procedimiento para resolver un problema a la luz de criterios presentados o establecidos.
•	Establece la validez o pertinencia de una solución propuesta a un problema dado.</t>
  </si>
  <si>
    <t>•	¿En qué aspectos los estudiantes tienen mayores fortalezas? ¿En qué aspectos se observan mayores dificultades? Considerar especialmente los aprendizajes y evidencias descritos.
•	La planeación de área que se propone para el grado, ¿considera acciones asociadas a los aprendizajes evaluados en la prueba Saber? 
En caso de responder afirmativamente, ¿los resultados de la evaluación externa para dichos aprendizajes guardan relación con los resultados del seguimiento que se da en el aula? 
En caso de responder negativamente, ¿qué dificultades se presentan para que esto no ocurra? 
•	¿Qué aprendizajes del plan de área se deben priorizar para alcanzar los objetivos propuestos?
•	¿Cómo se están trabajando los aprendizajes en el aula?
•	¿Los estudiantes desarrollan las actividades y las profundizan en el trabajo en casa?
•	¿Qué situaciones motivan más a los estudiantes? ¿Qué actividades o estrategias generan más involucramiento de los estudiantes?
•	¿Cómo considero en la propuesta pedagógica los saberes previos de los estudiantes?
•	¿Cómo reviso y valoro la planeación?
•	¿Cómo realizo la retroalimentación a los estudiantes? ¿es la adecuada?
•	¿Las actividades para recolectar evidencias de aprendizaje son las adecuadas? ¿Qué aspectos puedo considerar para potencializarlas?
•	¿Los estudiantes conocen los criterios de evaluación con anterioridad?</t>
  </si>
  <si>
    <t>Evidencias</t>
  </si>
  <si>
    <t>•	Identifica y usa conceptos sociales básicos (económicos, políticos, culturales y geográficos).
•	Conoce el modelo de Estado Social de Derecho y su aplicación en Colombia.
•	Conoce la organización del Estado: Conoce las funciones y alcances de las ramas del poder y de los organismos de control.
•	Conoce los mecanismos que los ciudadanos tienen a su disposición para participar activamente en la democracia y para garantizar el respeto de sus derechos.</t>
  </si>
  <si>
    <t>•	Localiza en el tiempo y en el espacio eventos históricos y prácticas sociales.
•	Relaciona dimensiones históricas y geográficas de eventos y problemáticas sociales.
•	Relaciona problemáticas o prácticas sociales con características del espacio geográfico.</t>
  </si>
  <si>
    <t>•	Inscribe una fuente primaria dada en un contexto económico, político o cultural.
•	Evalúa posibilidades y limitaciones del uso de una fuente para apoyar argumentos o explicaciones.
•	Devela prejuicios e intenciones en enunciados o argumentos</t>
  </si>
  <si>
    <t>•	Reconoce y compara perspectivas de actores y grupos sociales.
•	Reconoce que las cosmovisiones, ideologías y roles sociales, influyen en diferentes argumentos, posiciones y conductas.
•	Establece relaciones entre las perspectivas de los individuos en una situación conflictiva y las propuestas de solución.</t>
  </si>
  <si>
    <t>•	Analiza modelos conceptuales y sus usos en decisiones sociales.</t>
  </si>
  <si>
    <t>•	Establece relaciones que hay entre dimensiones presentes en una situación problemática.
•	Analiza los efectos en distintas dimensiones que tendría una posible intervención</t>
  </si>
  <si>
    <r>
      <rPr>
        <b/>
        <sz val="12"/>
        <color rgb="FFC00000"/>
        <rFont val="Arial"/>
        <family val="2"/>
      </rPr>
      <t>Hoja 1: Guía de Uso</t>
    </r>
    <r>
      <rPr>
        <sz val="12"/>
        <color theme="1"/>
        <rFont val="Arial"/>
        <family val="2"/>
      </rPr>
      <t xml:space="preserve">
En la primera pestaña encontrarán la Guía de uso para las Instituciones Educativas en la cual se explica el contenido del documento y se orienta el uso de cada apartado. </t>
    </r>
  </si>
  <si>
    <t>Hoja 2: Puntaje Global</t>
  </si>
  <si>
    <t>Hoja 3: Promedios y Niveles</t>
  </si>
  <si>
    <t xml:space="preserve">Hoja 4: AprenLectura
</t>
  </si>
  <si>
    <t xml:space="preserve">Hoja 5: AprenMate
</t>
  </si>
  <si>
    <r>
      <rPr>
        <b/>
        <sz val="12"/>
        <color rgb="FFFF6600"/>
        <rFont val="Arial"/>
        <family val="2"/>
      </rPr>
      <t>Hoja 6: AprenSyC</t>
    </r>
    <r>
      <rPr>
        <b/>
        <sz val="12"/>
        <color theme="4"/>
        <rFont val="Arial"/>
        <family val="2"/>
      </rPr>
      <t xml:space="preserve">
</t>
    </r>
  </si>
  <si>
    <t xml:space="preserve">Hoja 7: AprenCNProVivos
</t>
  </si>
  <si>
    <t xml:space="preserve">Hoja 8: AprenCNProQuímicos
</t>
  </si>
  <si>
    <t xml:space="preserve">Hoja 10: AprenCNCTS
</t>
  </si>
  <si>
    <t>NIVEL DE DESEMPEÑO</t>
  </si>
  <si>
    <t>RANGO DEL PUNTAJE</t>
  </si>
  <si>
    <t>DESCRIPCIÓN</t>
  </si>
  <si>
    <t>El estudiante que se ubica en este nivel probablemente identifica elementos literales en textos continuos y discontinuos sin establecer relaciones de significado.</t>
  </si>
  <si>
    <t>El estudiante que se ubica en este nivel comprende textos continuos y discontinuos de manera literal. Reconoce información explícita y la relaciona con el contexto. Para clasificar en este nivel, el estudiante: 
• Identifica información local del texto. 
• Identifica la estructura de textos continuos y discontinuos. 
• Identifica relaciones básicas entre componentes del texto. 
• Identifica fenómenos semánticos básicos: sinónimos y antónimos. 
• Reconoce en un texto la diferencia entre proposición y párrafo. 
• Reconoce el sentido local y global del texto. 
• Identifica intenciones comunicativas implícitas. 
• Identifica relaciones básicas: Contraste, similitud y complementación, entre textos presentes.</t>
  </si>
  <si>
    <t>Además de lo descrito en el nivel 2, el estudiante que se ubica en este nivel interpreta información de textos al inferir contenidos implícitos y reconocer estructuras, estrategias discursivas y juicios valorativos. Para clasificar en este nivel, el estudiante: 
• Jerarquiza la información presente en un texto. 
• Infiere información implícita en textos continuos y discontinuos. 
• Establece relaciones intertextuales: definición, causa-efecto, oposición y antecedente – consecuente, entre textos presentes.
• Reconoce la intención comunicativa del texto. 
• Relaciona marcadores textuales en la interpretación de textos. 
• Reconoce la función de figuras literarias. 
• Identifica el uso del lenguaje en contexto. 
• Analiza y sintetiza la información contenida en un texto. 
• Identifica la estructura sintáctica en textos discontinuos. 
• Establece la validez de argumentos en un texto.</t>
  </si>
  <si>
    <t>Además de lo descrito en los niveles 2 y 3, el estudiante que se ubica en este nivel reflexiona a partir de un texto sobre la visión de mundo del autor (costumbres, creencias, juicios, carácter ideo-político y posturas éticas, entre otros). Asimismo, da cuenta de elementos paratextuales significativos presentes en el texto. Finalmente, valora y contrasta los elementos mencionados con la posición propia. Para clasificar en este nivel, el estudiante: 
• Propone soluciones a problemas de interpretación que subyacen en un texto. 
• Evalúa contenidos, estrategias discursivas y argumentativas presentes en un texto. 
• Relaciona información de dos o más textos o fragmentos de texto para llegar a una conclusión.
• Aplica conceptos de análisis literario para caracterizar diferentes elementos en un texto. 
• Reconoce los contextos como elementos importantes en la valoración de un texto. 
• Selecciona elementos locales y construye argumentos que sustentan una tesis con base en textos relacionados. 
• Asume una postura crítica frente a los planteamientos de un texto. 
• Plantea hipótesis de lectura a partir de las ideas presentes en un texto.</t>
  </si>
  <si>
    <t>Descripción Niveles de Desempeño Prueba Lectura Crítica</t>
  </si>
  <si>
    <t>El estudiante que se ubica en este nivel probablemente puede leer información puntual (un dato) relacionada con situaciones cotidianas y presentada en tablas o gráficas con escala explícita, cuadrícula o por lo menos líneas horizontales. Pero puede tener dificultades al comparar distintos conjuntos de datos, involucrar diferentes variables o analizar situaciones alejadas de su vida diaria.</t>
  </si>
  <si>
    <t>El estudiante que se ubica en este nivel es capaz de hacer comparaciones y establecer relaciones entre los datos presentados e identificar y extraer información local y global de manera directa. En contextos familiares o personales que involucran gráficas con escala explícita, cuadrícula o por lo menos líneas horizontales u otros formatos con poca información.
Para clasificar en este nivel, el estudiante:
• Compara datos de dos variables presentadas en una misma gráfica sin necesidad de hacer operaciones aritméticas.
• Identifica valores o puntos representativos en diferentes tipos de registro a partir del significado que tienen en la situación.
• Compara la probabilidad de eventos simples (casos favorables/casos posibles), cuando los casos posibles son los mismos en ambos eventos, en contextos similares a los presentados en el aula.
• Toma decisiones sobre la veracidad o falsedad de una afirmación cuando esta se puede explicar verbalizando la lectura directa que se hace de la información.
• Cambia gráficas de barras a tablas de doble entrada.
• Reconoce e interpreta según el contexto el significado de promedio simple, moda, mayor, menor, máximo y mínimo</t>
  </si>
  <si>
    <t>Además de lo descrito en el nivel 2, el estudiante que se ubica en este nivel selecciona información, señala errores, hace distintos tipos de transformaciones y, manipulaciones aritméticas y algebraicas sencillas; para enfrentarse a problemas que involucran el uso de conceptos de proporcionalidad, factores de conversión, áreas y desarrollos planos; en contextos laborales u ocupacionales, matemáticos o científicos y, comunitarios o sociales. Para clasificar en este nivel, el estudiante:
• Selecciona la gráfica a partir de una tabla, que puede ser de doble entrada o a partir de verbalizaciones (características de crecimiento o decrecimiento), teniendo en cuenta para la selección la escala, el tipo de variable y el tipo de gráfica.
• Compara información gráfica que requiere algunas manipulaciones aritméticas.
• Señala información representada en formatos no convencional (mapas o infografías).
• Reconoce errores dada una transformación entre diferentes registros.
• Reconoce el desarrollo de planos de una forma tridimensional y viceversa.
• Compara la probabilidad de eventos simples (casos favorables/casos posibles), cuando los casos posibles son diferentes, en diversos contextos.
• Selecciona información necesaria para resolver problemas que involucran operaciones aritméticas.
• Selecciona información necesaria para resolver problemas que involucran
características medibles de figuras geométricas elementales (triángulos, cuadriláteros y circunferencias).
• Cambia la escala cuando la transformación no es convencional.
• Justifica afirmaciones utilizando planteamientos y operaciones aritméticas o haciendo uso directo de un concepto; es decir, a partir de un único argumento.
• Identifica información relevante cuando el tipo de registro contiene información de más de tres categorías.
• Hace manipulaciones algebraicas sencillas (aritmética de términos semejantes).</t>
  </si>
  <si>
    <t>Además de lo descrito en los niveles 2 y 3, el estudiante que se ubica en este nivel resuelve problemas y justifica la veracidad o falsedad de afirmaciones que requieren el uso de conceptos de probabilidad, propiedades algebraicas, relaciones trigonométricas y características de funciones reales. En contextos principalmente matemáticos o científicos.
Para clasificar en este nivel, el estudiante:
• Resuelve problemas que requieren interpretar información de eventos dependientes.
• Realiza transformaciones de subconjuntos de información que pueden requerir el uso de operaciones complejas (cálculos de porcentajes).
• Resuelve problemas que requieren construir una representación auxiliar (gráficas y fórmulas) como paso intermedio para su solución.
• Modela usando lenguaje algebraico información dada en lenguaje natural, tablas o representaciones geométricas.
• Manipula expresiones algebraicas o aritméticas haciendo uso de las propiedades de las operaciones.
• Modela fenómenos variacionales no explícitos haciendo uso de lenguaje simbólico o gráficas.
• Reconoce en diferentes formatos el espacio muestral de un experimento aleatorio.
• Resuelve problemas de conteo que requieren el uso de permutaciones.
• Justifica la falta de información de un problema para tomar una decisión.
• Toma decisiones sobre la veracidad o falsedad de una afirmación cuando requiere el uso de varias propiedades o conceptualizaciones formales.</t>
  </si>
  <si>
    <t>Descripción Niveles de Desempeño Prueba Matemáticas</t>
  </si>
  <si>
    <t>Descripción Niveles de Desempeño Prueba Sociales y Ciudadanas</t>
  </si>
  <si>
    <t>El estudiante que se ubica en este nivel podría reconocer algunos derechos ciudadanos en situaciones sencillas. Adicionalmente, podría reconocer factores que generan un conflicto y creencias que explican algunos comportamientos. Este estudiante probablemente no está en capacidad de utilizar conceptos de las ciencias sociales o modelos conceptuales; tampoco reconocer principios constitucionales ni analizar enunciados, dimensiones de una problemática o propuestas de solución.</t>
  </si>
  <si>
    <t>El estudiante que se ubica en este nivel reconoce deberes del Estado colombiano y situaciones de protección o vulneración de derechos en el marco del Estado Social de Derecho; identifica relaciones entre conductas de las personas y sus cosmovisiones; y reconoce las dimensiones presentes en una situación, problema, decisión tomada o propuesta de solución. Además, contextualiza fuentes y procesos sociales. En este nivel, se presentan contextos cuya descripción es corta, con pocos actores,
enunciados directos y posturas o posiciones explícitas, sencillas y claras. Además, se presentan situaciones cercanas a la cotidianidad del estudiante o de conocimiento y amplia discusión pública.
Para clasificar en este nivel, el estudiante:
• Identifica derechos ciudadanos y deberes del Estado establecidos en la Constitución Política de Colombia.
• Relaciona la conducta de una persona con su forma de ver la vida.
• Reconoce los efectos de una solución y las dimensiones que privilegia.
• Identifica contextos o procesos en los que se inscribe una fuente o evento.</t>
  </si>
  <si>
    <t>Además de lo descrito en el nivel 2, el estudiante que se ubica en este nivel identifica
prejuicios o intenciones contenidos en una afirmación y reconoce las dimensiones e
intereses involucrados en un problema o alternativa de solución. Así mismo, identifica algunos conceptos básicos de las ciencias sociales y modelos conceptuales, y valora y contextualiza la información presentada en una fuente.
En este nivel, las competencias se evalúan tanto en situaciones cotidianas o de amplio conocimiento y discusión pública, como en contextos más lejanos y complejos, algunos de ellos con descripciones más largas que las del nivel mínimo.
Para clasificar en este nivel, el estudiante:
• Reconoce intenciones y prejuicios, así como argumentos similares o diferentes dados en un contexto o una situación específica.
• Identifica dimensiones (económicas, políticas, culturales, ambientales, etc.) involucradas en situaciones, problemáticas o propuestas de solución.
• Identifica y compara opiniones e intereses de diferentes actores involucrados en una situación problemática y establece relaciones entre esas posturas y posibles soluciones.
• Reconoce algunos conceptos básicos de las ciencias sociales.
• Identifica supuestos y usos de algunos modelos conceptuales.
• Relaciona contextos históricos y/o geoGráficas con fuentes, situaciones y prácticas sociales.
• Valora la información contenida en una fuente y reconoce sus alcances.</t>
  </si>
  <si>
    <t>Además de lo descrito en los niveles 2 y 3, el estudiante que se ubica en este nivel conoce algunas disposiciones de la Constitución política de Colombia que posibilitan la participación ciudadana y el control a los poderes públicos; analiza y compara enunciados, intereses y argumentos; y evalúa alternativas de solución a un problema. Este estudiante analiza situaciones a partir de conceptos básicos de las ciencias sociales o de contextos históricos y/o geoGráficas. A su vez, relaciona fuentes y políticas con modelos conceptuales, y valora los contenidos de una fuente.
En este nivel, las competencias se evalúan principalmente en contextos que pueden estar alejados de la cotidianidad del estudiante y que no necesariamente son de amplia discusión pública. Se incluyen preguntas con contextos cortos que requieren ciertos conocimientos sociales, históricos, políticos, culturales y económicos adicionales para ser respondidas correctamente. El estudiante de este nivel es capaz de abordar las preguntas de manera objetiva y realizar el ejercicio cognitivo esperado, independientemente de su posición personal.
Finalmente, el estudiante logra identificar diferencias sutiles entre conceptos, entre intenciones y entre intereses de diferentes actores.
Para clasificar en este nivel, el estudiante:
• Conoce los procedimientos de reforma a la Constitución Política de Colombia, los mecanismos de participación ciudadana y las funciones de los organismos de control.
• Compara enunciados o argumentos, así como intereses y posiciones de actores en contextos en los que se discuten situaciones problemáticas o sus alternativas de solución.
• Relaciona propuestas de solución a un problema con su contexto de implementación, o con sus posibles impactos en ciertas dimensiones (económicas, políticas, culturales, ambientales, etc.).
• Entiende problemáticas, eventos o procesos sociales a partir del uso de conceptos básicos de las ciencias sociales, o a partir de contextos históricos y/o geoGráficas.
• Analiza fuentes (primarias y secundarias) para valorar inferencias o identificar intenciones, características de los actores involucrados y contextos en los que se ubican dichas fuentes.
• Establece relaciones entre modelos conceptuales y fuentes que los abordan o decisiones sociales que los aplican</t>
  </si>
  <si>
    <t>Descripción Niveles de Desempeño Prueba Ciencias Naturales</t>
  </si>
  <si>
    <t>El estudiante que se ubica en este nivel muy posiblemente alcanza a reconocer información explícita, presentada de manera ordenada en tablas o gráficas, con un lenguaje cotidiano y que implica la lectura de una sola variable  independiente. Por lo tanto, estos estudiantes demuestran un insuficiente desarrollo de la competencia Indagar definida en el marco teórico de la prueba.</t>
  </si>
  <si>
    <t>El estudiante que se ubica en este nivel reconoce información suministrada en tablas, gráficas y esquemas de una sola variable independiente, y la asocia con nociones de los conceptos básicos de las ciencias naturales (tiempo, posición, velocidad, imantación y filtración).
Para clasificar en este nivel, el estudiante:
• Identifica patrones y características a partir de información presentada en textos, gráficas y tablas.
• Relaciona esquemas con nociones básicas del conocimiento científico.
• Establece predicciones a partir de datos presentados en tablas, gráficas y esquemas en donde se presentan patrones claramente crecientes o decrecientes.
• Ordena datos e información en gráficas y tablas.</t>
  </si>
  <si>
    <t>Además de lo descrito en el nivel 2, el estudiante que se ubica en este nivel interrelaciona conceptos, leyes y teorías científicas con información presentada en diversos contextos, en los que intervienen dos o más variables, para hacer inferencias sobre una situación problema o un fenómeno natural.
Para clasificar en este nivel, el estudiante:
• Establece relaciones de causa-efecto usando información no suministrada.
• Interpreta gráficas, tablas y modelos para hacer predicciones.
• Establece relaciones entre conceptos, leyes y teorías científicas con diseños experimentales y sus resultados.
• Diferencia entre evidencias y conclusiones.
• Plantea hipótesis basadas en evidencias.
• Relaciona variables para explicar algunos fenómenos naturales.</t>
  </si>
  <si>
    <t>Además de lo descrito en los niveles anteriores, el estudiante que se ubica en este nivel usa conceptos, teorías o leyes en la solución de situaciones problema que involucran procedimientos, habilidades, conocimientos y un
lenguaje propio de las ciencias naturales.
Descriptores específicos:
• Plantea preguntas de investigación desde las ciencias naturales a partir de un contexto determinado.
• Establece conclusiones derivadas de una investigación.
• Contrasta modelos de las ciencias naturales con fenómenos cotidianos.
• Resuelve situaciones problema usando conceptos, leyes y teorías de las ciencias naturales.
• Comunica resultados de procesos de investigación científica.
• Analiza fenómenos naturales con base en los procedimientos propios de la investigación científica</t>
  </si>
  <si>
    <t>•  Analiza aspectos de los  ecosistemas y da razón de cómo funcionan, de sus interrelaciones con los factores bióticos y abióticos y de sus efectos al modificarse alguna variable en el interior.
•  Analiza la dinámica interna de los organismos y da razón de cómo funcionan sus componentes por separado y en conjunto para mantener la vida en el organismo.</t>
  </si>
  <si>
    <t>• Analiza qué tipo de pregunta puede ser contestada a partir del contexto de una investigación científica.
• Reconoce la importancia de la evidencia para comprender fenómenos naturales.</t>
  </si>
  <si>
    <t>• Comunica de forma apropiada el proceso y los resultados de investigación en ciencias naturales.
• Determina si los resultados derivados de una investigación son suficientes y pertinentes para sacar conclusiones en una situación dada.
• Elabora conclusiones a partir de información o evidencias que las respalden. 
• Hace predicciones con base en información, patrones y regularidades.</t>
  </si>
  <si>
    <t>• Interpreta y analiza datos representados en texto, gráficas, dibujos, diagramas o tablas.
• Representa datos en gráficas y tablas.</t>
  </si>
  <si>
    <t>• Da posibles explicaciones de eventos o fenómenos consistentes con conceptos de la ciencia (predicción o hipótesis).
• Diseña experimentos para dar respuesta a sus preguntas. 
• Elige y utiliza instrumentos adecuados para reunir datos. 
• Reconoce la necesidad de registrar y clasificar la información para realizar un buen análisis.
• Usa información adicional para evaluar una predicción.</t>
  </si>
  <si>
    <t xml:space="preserve">• Explica algunos principios para mantener la salud individual y la pública con base en principios biológicos, químicos y físicos. 
• Explica cómo la explotación de un recurso o el uso de una tecnología tiene efectos positivos y/o negativos en las personas y en el entorno.
• Explica el uso correcto y seguro de una tecnología o artefacto en un contexto específico. </t>
  </si>
  <si>
    <t>EVIDENCIA</t>
  </si>
  <si>
    <t>• Relaciona los componentes de un circuito en serie y en paralelo con sus respectivos voltajes y corrientes.
• Relaciona los distintos factores que determinan la dinámica de un sistema o fenómeno (condiciones iniciales, parámetros y constantes) para identificar (no en un modelo) su comportamiento, teniendo en cuenta las leyes de la física.
• Relaciona los tipos de energía presentes en un objeto con las interacciones que presenta el sistema con su entorno.</t>
  </si>
  <si>
    <t xml:space="preserve">• Identifica las características fundamentales de las ondas, así como las variables y parámetros que afectan estas características en un medio de propagación.
• Identifica las formas de energía presentes en un fenómeno físico y las transformaciones que se dan entre la formas de energía. 
• Identifica los diferentes tipos de fuerzas que actúan sobre los cuerpos que conforman un sistema.
</t>
  </si>
  <si>
    <t>• Usa modelos físicos (no básicos) basados en dinámica clásica (modelos mecanicistas) de un fenómeno particular en un sistema.</t>
  </si>
  <si>
    <t xml:space="preserve">• Elabora explicaciones al relacionar las variables de estado que describen un sistema electrónico, argumentando a partir de los modelos básicos de circuitos.
• Elabora explicaciones al relacionar las variables de estado que describen un sistema, argumentando a partir de los modelos básicos de cinemática y dinámica newtoniana.
• Elabora explicaciones al relacionar las variables de estado que describen un sistema, argumentando a partir de los modelos básicos de la termodinámica.
• Elabora explicaciones al relacionar las variables de estado que describen un sistema, argumentando a partir de los modelos básicos de ondas. </t>
  </si>
  <si>
    <t>• Identifica y usa modelos químicos para comprender fenómenos particulares de la naturaleza.</t>
  </si>
  <si>
    <t>• Da las razones por las cuales una reacción describe un fenómeno y justifica las relaciones cuantitativas existentes, teniendo en cuenta la ley de la conservación de la masa y carga.
• Reconoce las razones por las cuales la materia se puede diferenciar según su estructura y propiedades, y justifica las diferencias existentes entre distintos elementos, compuestos
y mezclas.
• Reconoce los atributos que definen ciertos procesos fisicoquímicos simples (separación de mezclas, solubilidad, gases ideales, cambios de fase) y da razón de la manera en que ocurren.</t>
  </si>
  <si>
    <t>• Diferencia distintos tipos de reacciones químicas y realiza cálculos de manera adecuada teniendo en cuenta la ley de la conservación de la masa y carga.
• Establece relaciones entre conceptos fisicoquímicos simples (separación de mezclas, solubilidad, gases ideales) con distintos fenómenos naturales.
• Establece relaciones entre las propiedades y estructura de la materia con la formación de iones y moléculas.</t>
  </si>
  <si>
    <t>• Identifica las propiedades y estructura de la materia y diferencia elementos, compuestos y mezclas.</t>
  </si>
  <si>
    <t>• Analiza y usa modelos biológicos para comprender la dinámica que se da en lo vivo y en el entorno.</t>
  </si>
  <si>
    <t xml:space="preserve">• Establece relaciones entre fenómenos biológicos para comprender la dinámica de lo vivo. 
• Establece relaciones entre fenómenos biológicos para comprender su entorno. 
</t>
  </si>
  <si>
    <t xml:space="preserve">• Identifica características de algunos procesos que se dan en los ecosistemas para comprender la dinámica que se da en su interior.
• Identifica características de algunos procesos que se dan en los organismos para comprender la dinámica de lo vivo.
</t>
  </si>
  <si>
    <t>1. PENSAMIENTO SOCIAL 
(30% de las preguntas)</t>
  </si>
  <si>
    <t>2. INTERPRETACIÓN Y ANÁLISIS DE PERSPECTIVAS 
(40% de las preguntas)</t>
  </si>
  <si>
    <t>3. PENSAMIENTO REFLEXIVO Y SISTEMÁTICO 
(30% de las preguntas)</t>
  </si>
  <si>
    <t>Porcentaje promedio de estudiantes que responde incorrectamente a los aprendizajes
Ciencias Naturales - Procesos Vivos 
(30% de las preguntas)</t>
  </si>
  <si>
    <t>Uso comprensivo del conocimiento científico 
(9% de las preguntas)</t>
  </si>
  <si>
    <t>Indagar 
(9% de las preguntas)</t>
  </si>
  <si>
    <t>Explicación de fenómenos 
(12% de las preguntas)</t>
  </si>
  <si>
    <t>Porcentaje promedio de estudiantes que responde incorrectamente a los aprendizajes
Procesos Químicos 
(30% de las preguntas)</t>
  </si>
  <si>
    <t>Explicación de fenómenos 
(9% de las preguntas)</t>
  </si>
  <si>
    <t>Indagar 
(12% de las preguntas)</t>
  </si>
  <si>
    <t>Uso comprensivo del conocimiento científico 
(3% de las preguntas)</t>
  </si>
  <si>
    <t>Explicación de fenómenos
(3% de las preguntas)</t>
  </si>
  <si>
    <t>Porcentaje promedio de estudiantes que responde incorrectamente a los aprendizajes
Ciencia, tecnología y sociedad
(10% de las preguntas)</t>
  </si>
  <si>
    <t>• Reconoce posibles cambios en el entorno por la explotación de un recurso o el uso de una tecnología.</t>
  </si>
  <si>
    <t>Porcentaje promedio de estudiantes que responde incorrectamente a los aprendizajes
Procesos físicos
(30% de las preguntas)</t>
  </si>
  <si>
    <t>SOACHA OFICIALES URBANOS</t>
  </si>
  <si>
    <t>SOACHA PRIVADOS</t>
  </si>
  <si>
    <t>NINGUNO</t>
  </si>
  <si>
    <t>RESULTADOS SOACHA 2016-2024</t>
  </si>
  <si>
    <t>2023</t>
  </si>
  <si>
    <t>2024</t>
  </si>
  <si>
    <t>Comparación DING</t>
  </si>
  <si>
    <t>Comparación PING</t>
  </si>
  <si>
    <t>Niveles de desempeño Inglés 2016 - 2024</t>
  </si>
  <si>
    <t>Niveles de desempeño Ciencias Naturales 2016 - 2024</t>
  </si>
  <si>
    <t>COLEGIO SUE</t>
  </si>
  <si>
    <t>LICEO TALENTOS</t>
  </si>
  <si>
    <t>GUÍA DE USO PARA LAS INSTITUCIONES EDUCATIVAS SOACHA 2025</t>
  </si>
  <si>
    <t>CENCOSISTEMAS SOACHA</t>
  </si>
  <si>
    <t>INSTITUCION EDUCATIVA JULIO CÉSAR TURBAY AYALA</t>
  </si>
  <si>
    <t>INSTITUCION EDUCATIVA JUVENTUD DEL SUR</t>
  </si>
  <si>
    <t>INSTITUTO CAMPESTRE SENDEROS  LTDA.</t>
  </si>
  <si>
    <t>COLEGIO SANTA TERESITA SEDE EL OASIS</t>
  </si>
  <si>
    <t>COLEGIO SANTA TERESITA EL OASIS</t>
  </si>
  <si>
    <t>267</t>
  </si>
  <si>
    <t>COLEGIO RAFAEL POMBO</t>
  </si>
  <si>
    <t>COLEGIO EL TRIANGULO</t>
  </si>
  <si>
    <t>LICEO PEDAGOGICO GABRIEL GARCIA MARQUEZ</t>
  </si>
  <si>
    <t>2025</t>
  </si>
  <si>
    <t>Comparación PCN</t>
  </si>
  <si>
    <t>Comparación DCN</t>
  </si>
  <si>
    <t>Esta herramienta contiene los resultados en pruebas Saber 11 entre 2016 y 2025 obtenidos por las instituciones educativas oficiales y privadas del municipio de Soacha. 
El objetivo de consolidar los resultados históricos en este documento es incentivar en las instituciones educativas el análisis y uso de los resultados de las pruebas externas para la toma de decisiones informadas y el establecimiento de estrategias de que permitan el mejoramiento de la calidad en cada una de ellas. 
El documento cuenta con 10 hojas:</t>
  </si>
  <si>
    <t>En esta pestaña encontrarán la información correspondiente al Promedio Global por Institución Educativa y la clasificación del plantel publicado por el Icfes para los años 2016 a 2025. Para esto, el usuario debe seleccionar de la lista desplegable ubicada en la parte superior la institución educativa de su interés. Adicionalmente, cuenta con la posibilidad de hacer comparaciones con otras instituciones educativas o con otros grupos de comparación como la comuna, municipio o país. Si no desea comparar puede escoger al final del listado la opción "Ninguno"</t>
  </si>
  <si>
    <t xml:space="preserve">En esta pestaña se consolidan los resultados para cada una de las 5 pruebas evaluadas: Lectura Crítica, Matemáticas, Sociales y Ciudadanas, Ciencias Naturales e Inglés. Se presenta el promedio obtenido por la institución educativa en cada prueba desde 2016 hasta 2025. Igualmente encontrarán el porcentaje de estudiantes que se ubican en cada nivel de desempeño y el descriptor de cada nivel de desempeño. Muestra los datos de las instituciones o grupos seleccionados en la Hoja 2 Puntaje Global. Los resultados se muestran en tabla y gráfica para facilitar la apropiación de los mismos. </t>
  </si>
  <si>
    <t xml:space="preserve">En la pestaña 4 se encuentra el porcentaje de respuestas incorrectas obtenido por la institución educativa para cada una de las competencias evaluadas en la prueba de lectura desde el año 2016 al año 2025. </t>
  </si>
  <si>
    <t xml:space="preserve">En la pestaña 5 se encuentra el porcentaje de respuestas incorrectas obtenido por la institución educativa para cada una de las competencias evaluadas en la prueba de matemáticas desde el año 2016 al año 2025. </t>
  </si>
  <si>
    <t xml:space="preserve">En la pestaña 6 se encuentra el porcentaje de respuestas incorrectas obtenido por la institución educativa para cada uno de los aprendizajes evaluados en la prueba de sociales y ciudadanas desde el año 2016 al año 2025. </t>
  </si>
  <si>
    <r>
      <t xml:space="preserve">En la pestaña 7 se encuentra el porcentaje de respuestas incorrectas obtenido por la institución educativa para cada uno de los aprendizajes evaluados en la prueba de ciencias naturales </t>
    </r>
    <r>
      <rPr>
        <b/>
        <sz val="12"/>
        <color theme="1"/>
        <rFont val="Arial"/>
        <family val="2"/>
      </rPr>
      <t>componente procesos vivos</t>
    </r>
    <r>
      <rPr>
        <sz val="12"/>
        <color theme="1"/>
        <rFont val="Arial"/>
        <family val="2"/>
      </rPr>
      <t xml:space="preserve"> desde el año 2016 al año 2025. </t>
    </r>
  </si>
  <si>
    <r>
      <t>En la pestaña 8 se encuentra el porcentaje de respuestas incorrectas obtenido por la institución educativa para cada uno de los aprendizajes evaluados en la prueba de</t>
    </r>
    <r>
      <rPr>
        <b/>
        <sz val="12"/>
        <color theme="1"/>
        <rFont val="Arial"/>
        <family val="2"/>
      </rPr>
      <t xml:space="preserve"> ciencias naturales componente procesos químicos</t>
    </r>
    <r>
      <rPr>
        <sz val="12"/>
        <color theme="1"/>
        <rFont val="Arial"/>
        <family val="2"/>
      </rPr>
      <t xml:space="preserve"> desde el año 2016 al año 2025. </t>
    </r>
  </si>
  <si>
    <r>
      <t>En la pestaña 9 se encuentra el porcentaje de respuestas incorrectas obtenido por la institución educativa para cada uno de los aprendizajes evaluados en la prueba de</t>
    </r>
    <r>
      <rPr>
        <b/>
        <sz val="12"/>
        <color theme="1"/>
        <rFont val="Arial"/>
        <family val="2"/>
      </rPr>
      <t xml:space="preserve"> ciencias naturales componente procesos físicos</t>
    </r>
    <r>
      <rPr>
        <sz val="12"/>
        <color theme="1"/>
        <rFont val="Arial"/>
        <family val="2"/>
      </rPr>
      <t xml:space="preserve"> desde el año 2016 al año 2025. </t>
    </r>
  </si>
  <si>
    <r>
      <t>En la pestaña 10 se encuentra el porcentaje de respuestas incorrectas obtenido por la institución educativa para cada uno de los aprendizajes evaluados en la prueba de</t>
    </r>
    <r>
      <rPr>
        <b/>
        <sz val="12"/>
        <color theme="1"/>
        <rFont val="Arial"/>
        <family val="2"/>
      </rPr>
      <t xml:space="preserve"> ciencias naturales componente ciencia, tecnología y sociedad </t>
    </r>
    <r>
      <rPr>
        <sz val="12"/>
        <color theme="1"/>
        <rFont val="Arial"/>
        <family val="2"/>
      </rPr>
      <t xml:space="preserve">desde el año 2016 al año 2025. </t>
    </r>
  </si>
  <si>
    <t>Hoja 9: AprenCNProFísicos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</si>
</sst>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0"/>
    <numFmt numFmtId="165" formatCode="0.0"/>
  </numFmts>
  <fonts count="8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color indexed="9"/>
      <name val="Arial"/>
      <family val="2"/>
    </font>
    <font>
      <b/>
      <sz val="20"/>
      <color indexed="12"/>
      <name val="Arial"/>
      <family val="2"/>
    </font>
    <font>
      <b/>
      <sz val="16"/>
      <color indexed="12"/>
      <name val="Arial"/>
      <family val="2"/>
    </font>
    <font>
      <b/>
      <sz val="10"/>
      <color indexed="54"/>
      <name val="Arial"/>
      <family val="2"/>
    </font>
    <font>
      <b/>
      <sz val="10"/>
      <color indexed="54"/>
      <name val="Arial"/>
      <family val="2"/>
    </font>
    <font>
      <b/>
      <sz val="10"/>
      <color indexed="9"/>
      <name val="Arial"/>
      <family val="2"/>
    </font>
    <font>
      <b/>
      <sz val="10"/>
      <color theme="0"/>
      <name val="Arial"/>
      <family val="2"/>
    </font>
    <font>
      <b/>
      <sz val="10"/>
      <color indexed="9"/>
      <name val="Calibri"/>
      <family val="2"/>
      <scheme val="minor"/>
    </font>
    <font>
      <b/>
      <sz val="10"/>
      <color indexed="54"/>
      <name val="Calibri"/>
      <family val="2"/>
      <scheme val="minor"/>
    </font>
    <font>
      <sz val="12"/>
      <color theme="1"/>
      <name val="Calibri"/>
      <family val="2"/>
      <scheme val="minor"/>
    </font>
    <font>
      <b/>
      <sz val="14"/>
      <color theme="1"/>
      <name val="Calibri"/>
      <family val="2"/>
      <scheme val="minor"/>
    </font>
    <font>
      <sz val="10"/>
      <name val="Arial"/>
      <family val="2"/>
    </font>
    <font>
      <b/>
      <sz val="10"/>
      <name val="Arial"/>
      <family val="2"/>
    </font>
    <font>
      <b/>
      <sz val="9"/>
      <color rgb="FF000000"/>
      <name val="Arial"/>
      <family val="2"/>
    </font>
    <font>
      <sz val="10"/>
      <color rgb="FF000000"/>
      <name val="Arial"/>
      <family val="2"/>
    </font>
    <font>
      <b/>
      <i/>
      <sz val="16"/>
      <color rgb="FF000000"/>
      <name val="Arial"/>
      <family val="2"/>
    </font>
    <font>
      <b/>
      <sz val="16"/>
      <name val="Arial"/>
      <family val="2"/>
    </font>
    <font>
      <b/>
      <sz val="18"/>
      <color theme="1"/>
      <name val="Calibri"/>
      <family val="2"/>
      <scheme val="minor"/>
    </font>
    <font>
      <sz val="8"/>
      <name val="Arial"/>
      <family val="2"/>
    </font>
    <font>
      <sz val="16"/>
      <color theme="1"/>
      <name val="Calibri"/>
      <family val="2"/>
      <scheme val="minor"/>
    </font>
    <font>
      <b/>
      <sz val="20"/>
      <color theme="1"/>
      <name val="Calibri"/>
      <family val="2"/>
      <scheme val="minor"/>
    </font>
    <font>
      <b/>
      <sz val="10"/>
      <color rgb="FF000000"/>
      <name val="Arial"/>
      <family val="2"/>
    </font>
    <font>
      <b/>
      <sz val="12"/>
      <color theme="1"/>
      <name val="Calibri"/>
      <family val="2"/>
      <scheme val="minor"/>
    </font>
    <font>
      <sz val="12"/>
      <color rgb="FFFF0000"/>
      <name val="Calibri"/>
      <family val="2"/>
      <scheme val="minor"/>
    </font>
    <font>
      <b/>
      <sz val="14"/>
      <color rgb="FFFF0000"/>
      <name val="Calibri"/>
      <family val="2"/>
      <scheme val="minor"/>
    </font>
    <font>
      <sz val="12"/>
      <color theme="0"/>
      <name val="Arial"/>
      <family val="2"/>
    </font>
    <font>
      <b/>
      <sz val="12"/>
      <color theme="1"/>
      <name val="Arial"/>
      <family val="2"/>
    </font>
    <font>
      <b/>
      <sz val="9"/>
      <color rgb="FFFF0000"/>
      <name val="Arial"/>
      <family val="2"/>
    </font>
    <font>
      <b/>
      <sz val="16"/>
      <color theme="0"/>
      <name val="Arial"/>
      <family val="2"/>
    </font>
    <font>
      <b/>
      <sz val="16"/>
      <color theme="1"/>
      <name val="Arial"/>
      <family val="2"/>
    </font>
    <font>
      <sz val="16"/>
      <color theme="1"/>
      <name val="Arial"/>
      <family val="2"/>
    </font>
    <font>
      <b/>
      <i/>
      <sz val="16"/>
      <color rgb="FFFF0000"/>
      <name val="Arial"/>
      <family val="2"/>
    </font>
    <font>
      <b/>
      <sz val="12"/>
      <color theme="0"/>
      <name val="Arial"/>
      <family val="2"/>
    </font>
    <font>
      <b/>
      <sz val="14"/>
      <color theme="0"/>
      <name val="Arial"/>
      <family val="2"/>
    </font>
    <font>
      <sz val="12"/>
      <color rgb="FFFF0000"/>
      <name val="Arial"/>
      <family val="2"/>
    </font>
    <font>
      <b/>
      <sz val="12"/>
      <name val="Arial"/>
      <family val="2"/>
    </font>
    <font>
      <sz val="12"/>
      <name val="Arial"/>
      <family val="2"/>
    </font>
    <font>
      <b/>
      <sz val="10"/>
      <name val="Arial"/>
      <family val="2"/>
    </font>
    <font>
      <b/>
      <i/>
      <sz val="16"/>
      <name val="Arial"/>
      <family val="2"/>
    </font>
    <font>
      <b/>
      <sz val="12"/>
      <color rgb="FF000000"/>
      <name val="Arial"/>
      <family val="2"/>
    </font>
    <font>
      <sz val="12"/>
      <name val="Calibri"/>
      <family val="2"/>
      <scheme val="minor"/>
    </font>
    <font>
      <sz val="16"/>
      <name val="Arial"/>
      <family val="2"/>
    </font>
    <font>
      <b/>
      <sz val="16"/>
      <color rgb="FFFF0000"/>
      <name val="Arial"/>
      <family val="2"/>
    </font>
    <font>
      <sz val="16"/>
      <color rgb="FFFF0000"/>
      <name val="Arial"/>
      <family val="2"/>
    </font>
    <font>
      <b/>
      <sz val="16"/>
      <color theme="1"/>
      <name val="Calibri"/>
      <family val="2"/>
      <scheme val="minor"/>
    </font>
    <font>
      <i/>
      <sz val="10"/>
      <color theme="1"/>
      <name val="Calibri"/>
      <family val="2"/>
      <scheme val="minor"/>
    </font>
    <font>
      <i/>
      <sz val="10"/>
      <color theme="1"/>
      <name val="Arial"/>
      <family val="2"/>
    </font>
    <font>
      <sz val="10"/>
      <name val="Arial"/>
      <family val="2"/>
    </font>
    <font>
      <b/>
      <sz val="10"/>
      <color indexed="54"/>
      <name val="Arial"/>
      <family val="2"/>
    </font>
    <font>
      <b/>
      <sz val="10"/>
      <color indexed="9"/>
      <name val="Arial"/>
      <family val="2"/>
    </font>
    <font>
      <b/>
      <sz val="10"/>
      <color indexed="9"/>
      <name val="Arial"/>
      <family val="2"/>
    </font>
    <font>
      <b/>
      <sz val="10"/>
      <color indexed="54"/>
      <name val="Arial"/>
      <family val="2"/>
    </font>
    <font>
      <b/>
      <i/>
      <sz val="16"/>
      <color rgb="FF000000"/>
      <name val="Calibri"/>
      <family val="2"/>
      <scheme val="minor"/>
    </font>
    <font>
      <sz val="10"/>
      <name val="Calibri"/>
      <family val="2"/>
      <scheme val="minor"/>
    </font>
    <font>
      <sz val="12"/>
      <color theme="1"/>
      <name val="Arial"/>
      <family val="2"/>
    </font>
    <font>
      <b/>
      <sz val="12"/>
      <color rgb="FFFF0000"/>
      <name val="Arial"/>
      <family val="2"/>
    </font>
    <font>
      <b/>
      <sz val="12"/>
      <color rgb="FFC00000"/>
      <name val="Arial"/>
      <family val="2"/>
    </font>
    <font>
      <b/>
      <sz val="12"/>
      <color rgb="FF92D050"/>
      <name val="Arial"/>
      <family val="2"/>
    </font>
    <font>
      <b/>
      <sz val="12"/>
      <color theme="4"/>
      <name val="Arial"/>
      <family val="2"/>
    </font>
    <font>
      <b/>
      <sz val="12"/>
      <color rgb="FF00B050"/>
      <name val="Arial"/>
      <family val="2"/>
    </font>
    <font>
      <b/>
      <sz val="12"/>
      <color rgb="FFFF6600"/>
      <name val="Arial"/>
      <family val="2"/>
    </font>
    <font>
      <b/>
      <sz val="12"/>
      <color rgb="FF7030A0"/>
      <name val="Arial"/>
      <family val="2"/>
    </font>
    <font>
      <sz val="9"/>
      <color rgb="FF000000"/>
      <name val="Arial"/>
      <family val="2"/>
    </font>
    <font>
      <sz val="14"/>
      <name val="Arial"/>
      <family val="2"/>
    </font>
    <font>
      <sz val="9"/>
      <name val="Arial"/>
      <family val="2"/>
    </font>
    <font>
      <b/>
      <sz val="14"/>
      <color theme="1"/>
      <name val="Arial"/>
      <family val="2"/>
    </font>
    <font>
      <sz val="14"/>
      <color theme="1"/>
      <name val="Calibri"/>
      <family val="2"/>
      <scheme val="minor"/>
    </font>
    <font>
      <sz val="10"/>
      <color theme="1"/>
      <name val="Arial"/>
      <family val="2"/>
    </font>
    <font>
      <b/>
      <sz val="14"/>
      <name val="Arial"/>
      <family val="2"/>
    </font>
    <font>
      <sz val="14"/>
      <color theme="1"/>
      <name val="Arial"/>
      <family val="2"/>
    </font>
    <font>
      <sz val="9"/>
      <color theme="1"/>
      <name val="Arial"/>
      <family val="2"/>
    </font>
    <font>
      <b/>
      <sz val="10"/>
      <color indexed="9"/>
      <name val="Arial"/>
      <family val="2"/>
    </font>
    <font>
      <b/>
      <sz val="10"/>
      <color indexed="54"/>
      <name val="Arial"/>
      <family val="2"/>
    </font>
    <font>
      <sz val="11"/>
      <name val="Calibri"/>
      <family val="2"/>
      <scheme val="minor"/>
    </font>
    <font>
      <sz val="8"/>
      <name val="Arial"/>
      <family val="2"/>
    </font>
    <font>
      <sz val="11"/>
      <name val="Arial Narrow"/>
      <family val="2"/>
    </font>
    <font>
      <b/>
      <sz val="10"/>
      <color indexed="9"/>
      <name val="Arial"/>
    </font>
    <font>
      <b/>
      <sz val="10"/>
      <color indexed="54"/>
      <name val="Arial"/>
    </font>
    <font>
      <b/>
      <sz val="10"/>
      <color theme="1"/>
      <name val="Arial"/>
      <family val="2"/>
    </font>
  </fonts>
  <fills count="32">
    <fill>
      <patternFill patternType="none"/>
    </fill>
    <fill>
      <patternFill patternType="gray125"/>
    </fill>
    <fill>
      <patternFill patternType="solid">
        <fgColor indexed="63"/>
        <bgColor indexed="64"/>
      </patternFill>
    </fill>
    <fill>
      <patternFill patternType="solid">
        <fgColor indexed="55"/>
        <bgColor indexed="64"/>
      </patternFill>
    </fill>
    <fill>
      <patternFill patternType="solid">
        <fgColor indexed="22"/>
        <bgColor indexed="64"/>
      </patternFill>
    </fill>
    <fill>
      <patternFill patternType="solid">
        <fgColor indexed="13"/>
        <bgColor indexed="64"/>
      </patternFill>
    </fill>
    <fill>
      <patternFill patternType="solid">
        <fgColor indexed="54"/>
        <bgColor indexed="64"/>
      </patternFill>
    </fill>
    <fill>
      <patternFill patternType="solid">
        <fgColor rgb="FFFFFF00"/>
        <bgColor indexed="64"/>
      </patternFill>
    </fill>
    <fill>
      <patternFill patternType="solid">
        <fgColor rgb="FF002060"/>
        <bgColor indexed="64"/>
      </patternFill>
    </fill>
    <fill>
      <patternFill patternType="solid">
        <fgColor theme="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FF0000"/>
        <bgColor indexed="64"/>
      </patternFill>
    </fill>
    <fill>
      <patternFill patternType="solid">
        <fgColor theme="2"/>
        <bgColor indexed="64"/>
      </patternFill>
    </fill>
    <fill>
      <patternFill patternType="solid">
        <fgColor theme="9"/>
        <bgColor indexed="64"/>
      </patternFill>
    </fill>
    <fill>
      <patternFill patternType="solid">
        <fgColor theme="5"/>
        <bgColor indexed="64"/>
      </patternFill>
    </fill>
    <fill>
      <patternFill patternType="solid">
        <fgColor theme="2" tint="-9.9978637043366805E-2"/>
        <bgColor indexed="64"/>
      </patternFill>
    </fill>
    <fill>
      <patternFill patternType="solid">
        <fgColor indexed="46"/>
        <bgColor indexed="64"/>
      </patternFill>
    </fill>
    <fill>
      <patternFill patternType="solid">
        <fgColor rgb="FFFFC000"/>
        <bgColor indexed="64"/>
      </patternFill>
    </fill>
    <fill>
      <patternFill patternType="solid">
        <fgColor rgb="FFDE0000"/>
        <bgColor indexed="64"/>
      </patternFill>
    </fill>
    <fill>
      <patternFill patternType="solid">
        <fgColor rgb="FF92D050"/>
        <bgColor indexed="64"/>
      </patternFill>
    </fill>
    <fill>
      <patternFill patternType="solid">
        <fgColor rgb="FF00B050"/>
        <bgColor indexed="64"/>
      </patternFill>
    </fill>
    <fill>
      <patternFill patternType="solid">
        <fgColor rgb="FFFF6600"/>
        <bgColor indexed="64"/>
      </patternFill>
    </fill>
    <fill>
      <patternFill patternType="solid">
        <fgColor rgb="FF800000"/>
        <bgColor indexed="64"/>
      </patternFill>
    </fill>
    <fill>
      <patternFill patternType="solid">
        <fgColor theme="6"/>
        <bgColor indexed="64"/>
      </patternFill>
    </fill>
    <fill>
      <patternFill patternType="solid">
        <fgColor theme="4"/>
        <bgColor indexed="64"/>
      </patternFill>
    </fill>
    <fill>
      <patternFill patternType="solid">
        <fgColor theme="9" tint="0.59999389629810485"/>
        <bgColor indexed="64"/>
      </patternFill>
    </fill>
    <fill>
      <patternFill patternType="solid">
        <fgColor theme="9" tint="-0.249977111117893"/>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rgb="FF0070C0"/>
        <bgColor indexed="64"/>
      </patternFill>
    </fill>
    <fill>
      <patternFill patternType="solid">
        <fgColor rgb="FF00B0F0"/>
        <bgColor indexed="64"/>
      </patternFill>
    </fill>
  </fills>
  <borders count="151">
    <border>
      <left/>
      <right/>
      <top/>
      <bottom/>
      <diagonal/>
    </border>
    <border>
      <left style="thin">
        <color indexed="49"/>
      </left>
      <right style="thin">
        <color indexed="49"/>
      </right>
      <top style="thin">
        <color indexed="49"/>
      </top>
      <bottom style="thin">
        <color indexed="49"/>
      </bottom>
      <diagonal/>
    </border>
    <border>
      <left style="thin">
        <color indexed="63"/>
      </left>
      <right style="thin">
        <color indexed="63"/>
      </right>
      <top style="thin">
        <color indexed="63"/>
      </top>
      <bottom style="thin">
        <color indexed="63"/>
      </bottom>
      <diagonal/>
    </border>
    <border>
      <left/>
      <right/>
      <top/>
      <bottom style="thin">
        <color indexed="63"/>
      </bottom>
      <diagonal/>
    </border>
    <border>
      <left style="thin">
        <color indexed="49"/>
      </left>
      <right style="thin">
        <color indexed="49"/>
      </right>
      <top/>
      <bottom/>
      <diagonal/>
    </border>
    <border>
      <left style="thin">
        <color indexed="63"/>
      </left>
      <right/>
      <top/>
      <bottom/>
      <diagonal/>
    </border>
    <border>
      <left style="thin">
        <color indexed="63"/>
      </left>
      <right/>
      <top style="thin">
        <color indexed="63"/>
      </top>
      <bottom style="thin">
        <color indexed="63"/>
      </bottom>
      <diagonal/>
    </border>
    <border>
      <left/>
      <right/>
      <top style="thin">
        <color indexed="63"/>
      </top>
      <bottom style="thin">
        <color indexed="63"/>
      </bottom>
      <diagonal/>
    </border>
    <border>
      <left/>
      <right style="thin">
        <color indexed="63"/>
      </right>
      <top style="thin">
        <color indexed="63"/>
      </top>
      <bottom style="thin">
        <color indexed="63"/>
      </bottom>
      <diagonal/>
    </border>
    <border>
      <left style="thin">
        <color indexed="63"/>
      </left>
      <right style="thin">
        <color indexed="63"/>
      </right>
      <top style="thin">
        <color indexed="63"/>
      </top>
      <bottom/>
      <diagonal/>
    </border>
    <border>
      <left style="thin">
        <color indexed="63"/>
      </left>
      <right style="thin">
        <color indexed="63"/>
      </right>
      <top/>
      <bottom style="thin">
        <color indexed="63"/>
      </bottom>
      <diagonal/>
    </border>
    <border>
      <left style="thin">
        <color indexed="63"/>
      </left>
      <right/>
      <top style="thin">
        <color indexed="63"/>
      </top>
      <bottom style="thin">
        <color indexed="49"/>
      </bottom>
      <diagonal/>
    </border>
    <border>
      <left/>
      <right style="thin">
        <color indexed="63"/>
      </right>
      <top/>
      <bottom/>
      <diagonal/>
    </border>
    <border>
      <left/>
      <right style="thin">
        <color indexed="63"/>
      </right>
      <top/>
      <bottom style="thin">
        <color indexed="63"/>
      </bottom>
      <diagonal/>
    </border>
    <border>
      <left style="thin">
        <color indexed="63"/>
      </left>
      <right/>
      <top/>
      <bottom style="thin">
        <color indexed="63"/>
      </bottom>
      <diagonal/>
    </border>
    <border>
      <left style="thin">
        <color indexed="63"/>
      </left>
      <right style="thin">
        <color indexed="63"/>
      </right>
      <top/>
      <bottom/>
      <diagonal/>
    </border>
    <border>
      <left/>
      <right style="thin">
        <color indexed="63"/>
      </right>
      <top style="thin">
        <color indexed="63"/>
      </top>
      <bottom/>
      <diagonal/>
    </border>
    <border>
      <left/>
      <right/>
      <top style="thin">
        <color indexed="63"/>
      </top>
      <bottom/>
      <diagonal/>
    </border>
    <border>
      <left/>
      <right/>
      <top/>
      <bottom style="thin">
        <color indexed="49"/>
      </bottom>
      <diagonal/>
    </border>
    <border>
      <left style="thin">
        <color indexed="63"/>
      </left>
      <right style="thin">
        <color indexed="63"/>
      </right>
      <top/>
      <bottom style="thin">
        <color indexed="49"/>
      </bottom>
      <diagonal/>
    </border>
    <border>
      <left style="thin">
        <color indexed="49"/>
      </left>
      <right/>
      <top style="thin">
        <color indexed="49"/>
      </top>
      <bottom style="thin">
        <color indexed="49"/>
      </bottom>
      <diagonal/>
    </border>
    <border>
      <left style="thin">
        <color indexed="63"/>
      </left>
      <right/>
      <top style="thin">
        <color indexed="63"/>
      </top>
      <bottom/>
      <diagonal/>
    </border>
    <border>
      <left style="thin">
        <color indexed="49"/>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style="medium">
        <color indexed="8"/>
      </left>
      <right/>
      <top style="medium">
        <color indexed="8"/>
      </top>
      <bottom style="medium">
        <color indexed="8"/>
      </bottom>
      <diagonal/>
    </border>
    <border>
      <left/>
      <right/>
      <top style="medium">
        <color indexed="8"/>
      </top>
      <bottom style="medium">
        <color indexed="8"/>
      </bottom>
      <diagonal/>
    </border>
    <border>
      <left/>
      <right style="medium">
        <color indexed="8"/>
      </right>
      <top style="medium">
        <color indexed="8"/>
      </top>
      <bottom style="medium">
        <color indexed="8"/>
      </bottom>
      <diagonal/>
    </border>
    <border>
      <left style="thin">
        <color auto="1"/>
      </left>
      <right style="thin">
        <color auto="1"/>
      </right>
      <top style="thin">
        <color auto="1"/>
      </top>
      <bottom/>
      <diagonal/>
    </border>
    <border>
      <left style="medium">
        <color indexed="8"/>
      </left>
      <right style="medium">
        <color indexed="8"/>
      </right>
      <top style="medium">
        <color indexed="8"/>
      </top>
      <bottom/>
      <diagonal/>
    </border>
    <border>
      <left style="medium">
        <color indexed="8"/>
      </left>
      <right style="medium">
        <color indexed="8"/>
      </right>
      <top style="medium">
        <color indexed="8"/>
      </top>
      <bottom/>
      <diagonal/>
    </border>
    <border>
      <left style="medium">
        <color indexed="8"/>
      </left>
      <right/>
      <top style="medium">
        <color indexed="8"/>
      </top>
      <bottom style="medium">
        <color indexed="8"/>
      </bottom>
      <diagonal/>
    </border>
    <border>
      <left/>
      <right style="medium">
        <color indexed="8"/>
      </right>
      <top style="medium">
        <color indexed="8"/>
      </top>
      <bottom/>
      <diagonal/>
    </border>
    <border>
      <left style="medium">
        <color indexed="8"/>
      </left>
      <right/>
      <top style="medium">
        <color indexed="8"/>
      </top>
      <bottom/>
      <diagonal/>
    </border>
    <border>
      <left/>
      <right/>
      <top style="medium">
        <color indexed="8"/>
      </top>
      <bottom/>
      <diagonal/>
    </border>
    <border>
      <left style="medium">
        <color indexed="64"/>
      </left>
      <right style="medium">
        <color indexed="8"/>
      </right>
      <top style="medium">
        <color indexed="64"/>
      </top>
      <bottom style="medium">
        <color indexed="64"/>
      </bottom>
      <diagonal/>
    </border>
    <border>
      <left style="medium">
        <color indexed="8"/>
      </left>
      <right style="medium">
        <color indexed="8"/>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auto="1"/>
      </left>
      <right style="thin">
        <color auto="1"/>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49"/>
      </left>
      <right style="thin">
        <color indexed="49"/>
      </right>
      <top style="thin">
        <color indexed="49"/>
      </top>
      <bottom style="thin">
        <color indexed="49"/>
      </bottom>
      <diagonal/>
    </border>
    <border>
      <left style="thin">
        <color indexed="63"/>
      </left>
      <right style="thin">
        <color indexed="63"/>
      </right>
      <top style="thin">
        <color indexed="63"/>
      </top>
      <bottom style="thin">
        <color indexed="63"/>
      </bottom>
      <diagonal/>
    </border>
    <border>
      <left/>
      <right/>
      <top/>
      <bottom style="thin">
        <color indexed="63"/>
      </bottom>
      <diagonal/>
    </border>
    <border>
      <left/>
      <right style="thin">
        <color indexed="63"/>
      </right>
      <top/>
      <bottom style="thin">
        <color indexed="63"/>
      </bottom>
      <diagonal/>
    </border>
    <border>
      <left/>
      <right/>
      <top style="thin">
        <color indexed="63"/>
      </top>
      <bottom style="thin">
        <color indexed="63"/>
      </bottom>
      <diagonal/>
    </border>
    <border>
      <left style="thin">
        <color indexed="63"/>
      </left>
      <right/>
      <top/>
      <bottom style="thin">
        <color indexed="63"/>
      </bottom>
      <diagonal/>
    </border>
    <border>
      <left style="thin">
        <color indexed="63"/>
      </left>
      <right style="thin">
        <color indexed="63"/>
      </right>
      <top/>
      <bottom style="thin">
        <color indexed="49"/>
      </bottom>
      <diagonal/>
    </border>
    <border>
      <left/>
      <right/>
      <top/>
      <bottom style="thin">
        <color indexed="49"/>
      </bottom>
      <diagonal/>
    </border>
    <border>
      <left style="thin">
        <color auto="1"/>
      </left>
      <right style="thin">
        <color auto="1"/>
      </right>
      <top style="thin">
        <color auto="1"/>
      </top>
      <bottom style="thin">
        <color auto="1"/>
      </bottom>
      <diagonal/>
    </border>
    <border>
      <left/>
      <right style="thin">
        <color indexed="64"/>
      </right>
      <top style="thin">
        <color indexed="64"/>
      </top>
      <bottom style="thin">
        <color indexed="64"/>
      </bottom>
      <diagonal/>
    </border>
    <border>
      <left style="thin">
        <color auto="1"/>
      </left>
      <right/>
      <top style="thin">
        <color auto="1"/>
      </top>
      <bottom style="thin">
        <color auto="1"/>
      </bottom>
      <diagonal/>
    </border>
    <border>
      <left style="thin">
        <color auto="1"/>
      </left>
      <right style="thin">
        <color auto="1"/>
      </right>
      <top/>
      <bottom style="thin">
        <color auto="1"/>
      </bottom>
      <diagonal/>
    </border>
    <border>
      <left style="thin">
        <color indexed="49"/>
      </left>
      <right style="thin">
        <color indexed="49"/>
      </right>
      <top style="thin">
        <color indexed="49"/>
      </top>
      <bottom style="thin">
        <color indexed="49"/>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top style="thin">
        <color indexed="64"/>
      </top>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thin">
        <color indexed="63"/>
      </left>
      <right style="thin">
        <color indexed="63"/>
      </right>
      <top/>
      <bottom/>
      <diagonal/>
    </border>
    <border>
      <left style="thin">
        <color indexed="64"/>
      </left>
      <right style="thin">
        <color indexed="64"/>
      </right>
      <top/>
      <bottom style="thin">
        <color indexed="64"/>
      </bottom>
      <diagonal/>
    </border>
    <border>
      <left style="thin">
        <color indexed="49"/>
      </left>
      <right style="thin">
        <color indexed="49"/>
      </right>
      <top style="thin">
        <color indexed="49"/>
      </top>
      <bottom style="thin">
        <color indexed="49"/>
      </bottom>
      <diagonal/>
    </border>
    <border>
      <left style="thin">
        <color auto="1"/>
      </left>
      <right style="thin">
        <color auto="1"/>
      </right>
      <top style="thin">
        <color auto="1"/>
      </top>
      <bottom style="thin">
        <color auto="1"/>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49"/>
      </left>
      <right style="thin">
        <color indexed="49"/>
      </right>
      <top style="thin">
        <color indexed="49"/>
      </top>
      <bottom style="thin">
        <color indexed="49"/>
      </bottom>
      <diagonal/>
    </border>
    <border>
      <left style="thin">
        <color indexed="63"/>
      </left>
      <right/>
      <top style="thin">
        <color indexed="63"/>
      </top>
      <bottom style="thin">
        <color indexed="63"/>
      </bottom>
      <diagonal/>
    </border>
    <border>
      <left/>
      <right style="thin">
        <color indexed="63"/>
      </right>
      <top style="thin">
        <color indexed="63"/>
      </top>
      <bottom style="thin">
        <color indexed="63"/>
      </bottom>
      <diagonal/>
    </border>
    <border>
      <left/>
      <right/>
      <top style="thin">
        <color indexed="63"/>
      </top>
      <bottom style="thin">
        <color indexed="63"/>
      </bottom>
      <diagonal/>
    </border>
    <border>
      <left style="thin">
        <color indexed="49"/>
      </left>
      <right style="thin">
        <color indexed="49"/>
      </right>
      <top/>
      <bottom style="thin">
        <color indexed="49"/>
      </bottom>
      <diagonal/>
    </border>
    <border>
      <left style="thin">
        <color indexed="49"/>
      </left>
      <right style="thin">
        <color indexed="49"/>
      </right>
      <top style="thin">
        <color indexed="49"/>
      </top>
      <bottom/>
      <diagonal/>
    </border>
    <border>
      <left/>
      <right style="thin">
        <color indexed="49"/>
      </right>
      <top style="thin">
        <color indexed="49"/>
      </top>
      <bottom style="thin">
        <color indexed="49"/>
      </bottom>
      <diagonal/>
    </border>
    <border>
      <left style="thin">
        <color indexed="49"/>
      </left>
      <right style="thin">
        <color indexed="64"/>
      </right>
      <top style="thin">
        <color indexed="49"/>
      </top>
      <bottom style="thin">
        <color indexed="49"/>
      </bottom>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3"/>
      </left>
      <right/>
      <top/>
      <bottom style="thin">
        <color indexed="63"/>
      </bottom>
      <diagonal/>
    </border>
    <border>
      <left/>
      <right/>
      <top/>
      <bottom style="thin">
        <color indexed="63"/>
      </bottom>
      <diagonal/>
    </border>
    <border>
      <left/>
      <right style="thin">
        <color theme="4" tint="-0.499984740745262"/>
      </right>
      <top/>
      <bottom/>
      <diagonal/>
    </border>
    <border>
      <left style="thin">
        <color indexed="49"/>
      </left>
      <right style="thin">
        <color theme="4" tint="-0.499984740745262"/>
      </right>
      <top style="thin">
        <color indexed="49"/>
      </top>
      <bottom style="thin">
        <color indexed="49"/>
      </bottom>
      <diagonal/>
    </border>
    <border>
      <left style="thin">
        <color indexed="63"/>
      </left>
      <right/>
      <top/>
      <bottom/>
      <diagonal/>
    </border>
    <border>
      <left/>
      <right style="thin">
        <color indexed="63"/>
      </right>
      <top/>
      <bottom style="thin">
        <color indexed="63"/>
      </bottom>
      <diagonal/>
    </border>
    <border>
      <left style="thin">
        <color theme="4" tint="-0.499984740745262"/>
      </left>
      <right style="thin">
        <color theme="4" tint="-0.499984740745262"/>
      </right>
      <top style="thin">
        <color theme="4" tint="-0.499984740745262"/>
      </top>
      <bottom style="thin">
        <color theme="4" tint="-0.499984740745262"/>
      </bottom>
      <diagonal/>
    </border>
    <border>
      <left style="thin">
        <color theme="4" tint="-0.499984740745262"/>
      </left>
      <right/>
      <top/>
      <bottom/>
      <diagonal/>
    </border>
    <border>
      <left style="thin">
        <color theme="4" tint="-0.499984740745262"/>
      </left>
      <right/>
      <top style="thin">
        <color theme="4" tint="-0.499984740745262"/>
      </top>
      <bottom style="thin">
        <color theme="4" tint="-0.499984740745262"/>
      </bottom>
      <diagonal/>
    </border>
    <border>
      <left/>
      <right/>
      <top style="thin">
        <color theme="4" tint="-0.499984740745262"/>
      </top>
      <bottom style="thin">
        <color theme="4" tint="-0.499984740745262"/>
      </bottom>
      <diagonal/>
    </border>
    <border>
      <left/>
      <right style="thin">
        <color theme="4" tint="-0.499984740745262"/>
      </right>
      <top style="thin">
        <color theme="4" tint="-0.499984740745262"/>
      </top>
      <bottom style="thin">
        <color theme="4" tint="-0.499984740745262"/>
      </bottom>
      <diagonal/>
    </border>
    <border>
      <left style="thin">
        <color theme="4" tint="-0.499984740745262"/>
      </left>
      <right style="thin">
        <color theme="4" tint="-0.499984740745262"/>
      </right>
      <top style="thin">
        <color theme="4" tint="-0.499984740745262"/>
      </top>
      <bottom/>
      <diagonal/>
    </border>
    <border>
      <left style="thin">
        <color theme="4" tint="-0.499984740745262"/>
      </left>
      <right style="thin">
        <color theme="4" tint="-0.499984740745262"/>
      </right>
      <top/>
      <bottom/>
      <diagonal/>
    </border>
    <border>
      <left style="thin">
        <color theme="4" tint="-0.499984740745262"/>
      </left>
      <right style="thin">
        <color theme="4" tint="-0.499984740745262"/>
      </right>
      <top/>
      <bottom style="thin">
        <color theme="4" tint="-0.499984740745262"/>
      </bottom>
      <diagonal/>
    </border>
    <border>
      <left style="thin">
        <color indexed="49"/>
      </left>
      <right/>
      <top style="thin">
        <color indexed="49"/>
      </top>
      <bottom style="thin">
        <color indexed="49"/>
      </bottom>
      <diagonal/>
    </border>
    <border>
      <left style="thin">
        <color theme="4" tint="-0.499984740745262"/>
      </left>
      <right style="thin">
        <color indexed="49"/>
      </right>
      <top style="thin">
        <color indexed="49"/>
      </top>
      <bottom style="thin">
        <color indexed="49"/>
      </bottom>
      <diagonal/>
    </border>
    <border>
      <left style="thin">
        <color theme="4" tint="-0.499984740745262"/>
      </left>
      <right style="thin">
        <color indexed="49"/>
      </right>
      <top style="thin">
        <color indexed="49"/>
      </top>
      <bottom style="thin">
        <color theme="4" tint="-0.499984740745262"/>
      </bottom>
      <diagonal/>
    </border>
    <border>
      <left style="thin">
        <color indexed="49"/>
      </left>
      <right style="thin">
        <color indexed="49"/>
      </right>
      <top style="thin">
        <color indexed="49"/>
      </top>
      <bottom style="thin">
        <color theme="4" tint="-0.499984740745262"/>
      </bottom>
      <diagonal/>
    </border>
    <border>
      <left style="thin">
        <color indexed="49"/>
      </left>
      <right style="thin">
        <color theme="4" tint="-0.499984740745262"/>
      </right>
      <top style="thin">
        <color indexed="49"/>
      </top>
      <bottom style="thin">
        <color theme="4" tint="-0.499984740745262"/>
      </bottom>
      <diagonal/>
    </border>
    <border>
      <left/>
      <right style="thin">
        <color indexed="49"/>
      </right>
      <top style="thin">
        <color indexed="49"/>
      </top>
      <bottom style="thin">
        <color theme="4" tint="-0.499984740745262"/>
      </bottom>
      <diagonal/>
    </border>
    <border>
      <left style="thin">
        <color indexed="49"/>
      </left>
      <right/>
      <top style="thin">
        <color indexed="49"/>
      </top>
      <bottom style="thin">
        <color theme="4" tint="-0.499984740745262"/>
      </bottom>
      <diagonal/>
    </border>
    <border>
      <left style="thin">
        <color theme="4" tint="-0.499984740745262"/>
      </left>
      <right style="thin">
        <color indexed="49"/>
      </right>
      <top/>
      <bottom style="thin">
        <color indexed="49"/>
      </bottom>
      <diagonal/>
    </border>
    <border>
      <left style="thin">
        <color indexed="49"/>
      </left>
      <right style="thin">
        <color theme="4" tint="-0.499984740745262"/>
      </right>
      <top/>
      <bottom style="thin">
        <color indexed="49"/>
      </bottom>
      <diagonal/>
    </border>
    <border>
      <left style="thin">
        <color indexed="49"/>
      </left>
      <right/>
      <top/>
      <bottom style="thin">
        <color indexed="49"/>
      </bottom>
      <diagonal/>
    </border>
    <border>
      <left style="thin">
        <color indexed="64"/>
      </left>
      <right style="thin">
        <color indexed="64"/>
      </right>
      <top style="thin">
        <color indexed="64"/>
      </top>
      <bottom/>
      <diagonal/>
    </border>
    <border>
      <left style="thin">
        <color theme="1"/>
      </left>
      <right style="thin">
        <color theme="1"/>
      </right>
      <top style="thin">
        <color theme="1"/>
      </top>
      <bottom style="thin">
        <color theme="1"/>
      </bottom>
      <diagonal/>
    </border>
    <border>
      <left style="thin">
        <color indexed="64"/>
      </left>
      <right style="thin">
        <color theme="1"/>
      </right>
      <top style="thin">
        <color indexed="64"/>
      </top>
      <bottom style="thin">
        <color indexed="64"/>
      </bottom>
      <diagonal/>
    </border>
    <border>
      <left/>
      <right style="thin">
        <color theme="1"/>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theme="1"/>
      </left>
      <right/>
      <top style="thin">
        <color theme="1"/>
      </top>
      <bottom/>
      <diagonal/>
    </border>
    <border>
      <left style="thin">
        <color indexed="49"/>
      </left>
      <right style="thin">
        <color indexed="49"/>
      </right>
      <top/>
      <bottom/>
      <diagonal/>
    </border>
    <border>
      <left/>
      <right/>
      <top style="thin">
        <color indexed="64"/>
      </top>
      <bottom/>
      <diagonal/>
    </border>
    <border>
      <left style="thin">
        <color indexed="64"/>
      </left>
      <right/>
      <top style="thin">
        <color indexed="64"/>
      </top>
      <bottom/>
      <diagonal/>
    </border>
    <border>
      <left style="thin">
        <color theme="1"/>
      </left>
      <right style="thin">
        <color theme="1"/>
      </right>
      <top style="thin">
        <color theme="1"/>
      </top>
      <bottom/>
      <diagonal/>
    </border>
    <border>
      <left style="thin">
        <color indexed="64"/>
      </left>
      <right style="thin">
        <color indexed="64"/>
      </right>
      <top style="thin">
        <color indexed="64"/>
      </top>
      <bottom/>
      <diagonal/>
    </border>
    <border>
      <left/>
      <right style="thin">
        <color auto="1"/>
      </right>
      <top style="thin">
        <color auto="1"/>
      </top>
      <bottom style="thin">
        <color auto="1"/>
      </bottom>
      <diagonal/>
    </border>
    <border>
      <left/>
      <right style="thin">
        <color theme="1"/>
      </right>
      <top style="thin">
        <color indexed="64"/>
      </top>
      <bottom style="thin">
        <color indexed="64"/>
      </bottom>
      <diagonal/>
    </border>
    <border>
      <left style="thin">
        <color indexed="49"/>
      </left>
      <right style="thin">
        <color indexed="49"/>
      </right>
      <top style="thin">
        <color indexed="49"/>
      </top>
      <bottom style="thin">
        <color indexed="49"/>
      </bottom>
      <diagonal/>
    </border>
    <border>
      <left style="thin">
        <color auto="1"/>
      </left>
      <right style="thin">
        <color auto="1"/>
      </right>
      <top style="thin">
        <color auto="1"/>
      </top>
      <bottom style="thin">
        <color auto="1"/>
      </bottom>
      <diagonal/>
    </border>
    <border>
      <left style="thin">
        <color indexed="49"/>
      </left>
      <right style="thin">
        <color indexed="49"/>
      </right>
      <top style="thin">
        <color indexed="49"/>
      </top>
      <bottom style="thin">
        <color indexed="49"/>
      </bottom>
      <diagonal/>
    </border>
    <border>
      <left style="thin">
        <color indexed="49"/>
      </left>
      <right style="thin">
        <color indexed="49"/>
      </right>
      <top style="thin">
        <color indexed="49"/>
      </top>
      <bottom style="thin">
        <color indexed="49"/>
      </bottom>
      <diagonal/>
    </border>
    <border>
      <left style="thin">
        <color indexed="49"/>
      </left>
      <right style="thin">
        <color indexed="49"/>
      </right>
      <top style="thin">
        <color indexed="49"/>
      </top>
      <bottom style="thin">
        <color indexed="49"/>
      </bottom>
      <diagonal/>
    </border>
    <border>
      <left style="thin">
        <color indexed="64"/>
      </left>
      <right/>
      <top style="thin">
        <color indexed="64"/>
      </top>
      <bottom style="thin">
        <color indexed="64"/>
      </bottom>
      <diagonal/>
    </border>
    <border>
      <left style="thin">
        <color indexed="49"/>
      </left>
      <right style="thin">
        <color indexed="49"/>
      </right>
      <top style="thin">
        <color indexed="49"/>
      </top>
      <bottom style="thin">
        <color indexed="49"/>
      </bottom>
      <diagonal/>
    </border>
    <border>
      <left style="thin">
        <color indexed="49"/>
      </left>
      <right style="thin">
        <color indexed="49"/>
      </right>
      <top style="thin">
        <color indexed="49"/>
      </top>
      <bottom style="thin">
        <color indexed="49"/>
      </bottom>
      <diagonal/>
    </border>
    <border>
      <left style="thin">
        <color indexed="64"/>
      </left>
      <right style="thin">
        <color indexed="64"/>
      </right>
      <top style="thin">
        <color indexed="64"/>
      </top>
      <bottom/>
      <diagonal/>
    </border>
    <border>
      <left style="thin">
        <color auto="1"/>
      </left>
      <right style="thin">
        <color indexed="64"/>
      </right>
      <top/>
      <bottom/>
      <diagonal/>
    </border>
    <border>
      <left/>
      <right style="thin">
        <color indexed="64"/>
      </right>
      <top style="thin">
        <color indexed="64"/>
      </top>
      <bottom/>
      <diagonal/>
    </border>
    <border>
      <left style="thin">
        <color indexed="64"/>
      </left>
      <right/>
      <top/>
      <bottom/>
      <diagonal/>
    </border>
    <border>
      <left style="thin">
        <color indexed="49"/>
      </left>
      <right style="thin">
        <color indexed="49"/>
      </right>
      <top/>
      <bottom/>
      <diagonal/>
    </border>
    <border>
      <left style="thin">
        <color indexed="63"/>
      </left>
      <right/>
      <top/>
      <bottom/>
      <diagonal/>
    </border>
    <border>
      <left style="thin">
        <color indexed="49"/>
      </left>
      <right style="thin">
        <color indexed="49"/>
      </right>
      <top style="thin">
        <color indexed="49"/>
      </top>
      <bottom style="thin">
        <color indexed="49"/>
      </bottom>
      <diagonal/>
    </border>
    <border>
      <left style="thin">
        <color indexed="49"/>
      </left>
      <right style="thin">
        <color indexed="49"/>
      </right>
      <top style="thin">
        <color indexed="49"/>
      </top>
      <bottom/>
      <diagonal/>
    </border>
    <border>
      <left style="thin">
        <color indexed="63"/>
      </left>
      <right style="thin">
        <color indexed="63"/>
      </right>
      <top/>
      <bottom/>
      <diagonal/>
    </border>
    <border>
      <left/>
      <right/>
      <top style="thin">
        <color indexed="63"/>
      </top>
      <bottom style="thin">
        <color indexed="63"/>
      </bottom>
      <diagonal/>
    </border>
    <border>
      <left style="thin">
        <color indexed="63"/>
      </left>
      <right style="thin">
        <color indexed="63"/>
      </right>
      <top style="thin">
        <color indexed="63"/>
      </top>
      <bottom style="thin">
        <color indexed="63"/>
      </bottom>
      <diagonal/>
    </border>
  </borders>
  <cellStyleXfs count="8">
    <xf numFmtId="0" fontId="0" fillId="0" borderId="0"/>
    <xf numFmtId="0" fontId="16" fillId="0" borderId="0"/>
    <xf numFmtId="0" fontId="18" fillId="0" borderId="0"/>
    <xf numFmtId="0" fontId="18" fillId="0" borderId="0"/>
    <xf numFmtId="0" fontId="6" fillId="0" borderId="0"/>
    <xf numFmtId="9" fontId="54" fillId="0" borderId="0" applyFont="0" applyFill="0" applyBorder="0" applyAlignment="0" applyProtection="0"/>
    <xf numFmtId="0" fontId="4" fillId="0" borderId="0"/>
    <xf numFmtId="9" fontId="18" fillId="0" borderId="0" applyFont="0" applyFill="0" applyBorder="0" applyAlignment="0" applyProtection="0"/>
  </cellStyleXfs>
  <cellXfs count="1297">
    <xf numFmtId="0" fontId="0" fillId="0" borderId="0" xfId="0"/>
    <xf numFmtId="0" fontId="10" fillId="0" borderId="1" xfId="0" applyFont="1" applyBorder="1" applyAlignment="1">
      <alignment horizontal="right"/>
    </xf>
    <xf numFmtId="0" fontId="10" fillId="0" borderId="1" xfId="0" applyFont="1" applyBorder="1" applyAlignment="1">
      <alignment horizontal="center"/>
    </xf>
    <xf numFmtId="0" fontId="7" fillId="2" borderId="1" xfId="0" applyFont="1" applyFill="1" applyBorder="1" applyAlignment="1">
      <alignment horizontal="left"/>
    </xf>
    <xf numFmtId="0" fontId="10" fillId="3" borderId="1" xfId="0" applyFont="1" applyFill="1" applyBorder="1" applyAlignment="1">
      <alignment horizontal="left"/>
    </xf>
    <xf numFmtId="0" fontId="10" fillId="4" borderId="1" xfId="0" applyFont="1" applyFill="1" applyBorder="1" applyAlignment="1">
      <alignment horizontal="left"/>
    </xf>
    <xf numFmtId="0" fontId="10" fillId="5" borderId="1" xfId="0" applyFont="1" applyFill="1" applyBorder="1" applyAlignment="1">
      <alignment horizontal="left"/>
    </xf>
    <xf numFmtId="0" fontId="7" fillId="6" borderId="2" xfId="0" applyFont="1" applyFill="1" applyBorder="1" applyAlignment="1">
      <alignment horizontal="center" vertical="center" wrapText="1"/>
    </xf>
    <xf numFmtId="0" fontId="7" fillId="2" borderId="1" xfId="0" applyFont="1" applyFill="1" applyBorder="1" applyAlignment="1">
      <alignment horizontal="center"/>
    </xf>
    <xf numFmtId="0" fontId="10" fillId="3" borderId="1" xfId="0" applyFont="1" applyFill="1" applyBorder="1" applyAlignment="1">
      <alignment horizontal="center"/>
    </xf>
    <xf numFmtId="0" fontId="10" fillId="4" borderId="1" xfId="0" applyFont="1" applyFill="1" applyBorder="1" applyAlignment="1">
      <alignment horizontal="center"/>
    </xf>
    <xf numFmtId="0" fontId="10" fillId="5" borderId="1" xfId="0" applyFont="1" applyFill="1" applyBorder="1" applyAlignment="1">
      <alignment horizontal="center"/>
    </xf>
    <xf numFmtId="0" fontId="10" fillId="0" borderId="1" xfId="0" applyFont="1" applyBorder="1" applyAlignment="1">
      <alignment horizontal="center" vertical="center"/>
    </xf>
    <xf numFmtId="1" fontId="10" fillId="0" borderId="1" xfId="0" applyNumberFormat="1" applyFont="1" applyBorder="1" applyAlignment="1">
      <alignment horizontal="right"/>
    </xf>
    <xf numFmtId="0" fontId="11" fillId="0" borderId="1" xfId="0" applyFont="1" applyBorder="1" applyAlignment="1">
      <alignment horizontal="right"/>
    </xf>
    <xf numFmtId="1" fontId="0" fillId="0" borderId="0" xfId="0" applyNumberFormat="1" applyAlignment="1">
      <alignment horizontal="center"/>
    </xf>
    <xf numFmtId="0" fontId="12" fillId="6" borderId="2" xfId="0" applyFont="1" applyFill="1" applyBorder="1" applyAlignment="1">
      <alignment horizontal="center" vertical="center" wrapText="1"/>
    </xf>
    <xf numFmtId="0" fontId="7" fillId="2" borderId="1" xfId="0" applyFont="1" applyFill="1" applyBorder="1" applyAlignment="1">
      <alignment horizontal="center" vertical="center"/>
    </xf>
    <xf numFmtId="0" fontId="12" fillId="2" borderId="1" xfId="0" applyFont="1" applyFill="1" applyBorder="1" applyAlignment="1">
      <alignment horizontal="center" vertical="center"/>
    </xf>
    <xf numFmtId="0" fontId="10" fillId="3" borderId="1" xfId="0" applyFont="1" applyFill="1" applyBorder="1" applyAlignment="1">
      <alignment horizontal="center" vertical="center"/>
    </xf>
    <xf numFmtId="0" fontId="11" fillId="3" borderId="1" xfId="0" applyFont="1" applyFill="1" applyBorder="1" applyAlignment="1">
      <alignment horizontal="center" vertical="center"/>
    </xf>
    <xf numFmtId="0" fontId="10" fillId="5" borderId="1" xfId="0" applyFont="1" applyFill="1" applyBorder="1" applyAlignment="1">
      <alignment horizontal="center" vertical="center"/>
    </xf>
    <xf numFmtId="0" fontId="11" fillId="5" borderId="1" xfId="0" applyFont="1" applyFill="1" applyBorder="1" applyAlignment="1">
      <alignment horizontal="center" vertical="center"/>
    </xf>
    <xf numFmtId="0" fontId="10" fillId="4" borderId="1" xfId="0" applyFont="1" applyFill="1" applyBorder="1" applyAlignment="1">
      <alignment horizontal="center" vertical="center"/>
    </xf>
    <xf numFmtId="0" fontId="11" fillId="4" borderId="1" xfId="0" applyFont="1" applyFill="1" applyBorder="1" applyAlignment="1">
      <alignment horizontal="center" vertical="center"/>
    </xf>
    <xf numFmtId="0" fontId="11" fillId="0" borderId="1" xfId="0" applyFont="1" applyBorder="1" applyAlignment="1">
      <alignment horizontal="center" vertical="center"/>
    </xf>
    <xf numFmtId="1" fontId="0" fillId="0" borderId="0" xfId="0" applyNumberFormat="1"/>
    <xf numFmtId="1" fontId="10" fillId="0" borderId="1" xfId="0" applyNumberFormat="1" applyFont="1" applyBorder="1" applyAlignment="1">
      <alignment horizontal="center"/>
    </xf>
    <xf numFmtId="0" fontId="7" fillId="6" borderId="5" xfId="0" applyFont="1" applyFill="1" applyBorder="1" applyAlignment="1">
      <alignment horizontal="center" vertical="center" wrapText="1"/>
    </xf>
    <xf numFmtId="0" fontId="7" fillId="6" borderId="0" xfId="0" applyFont="1" applyFill="1" applyAlignment="1">
      <alignment horizontal="center" vertical="center" wrapText="1"/>
    </xf>
    <xf numFmtId="0" fontId="11" fillId="4" borderId="4" xfId="0" applyFont="1" applyFill="1" applyBorder="1" applyAlignment="1">
      <alignment horizontal="center"/>
    </xf>
    <xf numFmtId="0" fontId="7" fillId="6" borderId="9" xfId="0" applyFont="1" applyFill="1" applyBorder="1" applyAlignment="1">
      <alignment horizontal="center" vertical="center" wrapText="1"/>
    </xf>
    <xf numFmtId="1" fontId="10" fillId="0" borderId="0" xfId="0" applyNumberFormat="1" applyFont="1" applyAlignment="1">
      <alignment horizontal="center"/>
    </xf>
    <xf numFmtId="1" fontId="10" fillId="0" borderId="1" xfId="0" applyNumberFormat="1" applyFont="1" applyBorder="1" applyAlignment="1">
      <alignment horizontal="center" vertical="center"/>
    </xf>
    <xf numFmtId="0" fontId="7" fillId="6" borderId="6" xfId="0" applyFont="1" applyFill="1" applyBorder="1" applyAlignment="1">
      <alignment horizontal="center" vertical="center" wrapText="1"/>
    </xf>
    <xf numFmtId="0" fontId="11" fillId="0" borderId="1" xfId="0" applyFont="1" applyBorder="1" applyAlignment="1">
      <alignment horizontal="center"/>
    </xf>
    <xf numFmtId="0" fontId="11" fillId="0" borderId="1" xfId="0" applyFont="1" applyBorder="1" applyAlignment="1">
      <alignment horizontal="left"/>
    </xf>
    <xf numFmtId="9" fontId="7" fillId="2" borderId="1" xfId="0" applyNumberFormat="1" applyFont="1" applyFill="1" applyBorder="1" applyAlignment="1">
      <alignment horizontal="center"/>
    </xf>
    <xf numFmtId="9" fontId="10" fillId="3" borderId="1" xfId="0" applyNumberFormat="1" applyFont="1" applyFill="1" applyBorder="1" applyAlignment="1">
      <alignment horizontal="center"/>
    </xf>
    <xf numFmtId="9" fontId="10" fillId="5" borderId="1" xfId="0" applyNumberFormat="1" applyFont="1" applyFill="1" applyBorder="1" applyAlignment="1">
      <alignment horizontal="center"/>
    </xf>
    <xf numFmtId="9" fontId="11" fillId="0" borderId="1" xfId="0" applyNumberFormat="1" applyFont="1" applyBorder="1" applyAlignment="1">
      <alignment horizontal="center"/>
    </xf>
    <xf numFmtId="0" fontId="0" fillId="0" borderId="1" xfId="0" applyBorder="1"/>
    <xf numFmtId="0" fontId="10" fillId="0" borderId="0" xfId="0" applyFont="1" applyAlignment="1">
      <alignment horizontal="right"/>
    </xf>
    <xf numFmtId="0" fontId="10" fillId="0" borderId="4" xfId="0" applyFont="1" applyBorder="1" applyAlignment="1">
      <alignment horizontal="right"/>
    </xf>
    <xf numFmtId="0" fontId="10" fillId="0" borderId="4" xfId="0" applyFont="1" applyBorder="1" applyAlignment="1">
      <alignment horizontal="center"/>
    </xf>
    <xf numFmtId="0" fontId="11" fillId="0" borderId="0" xfId="0" applyFont="1" applyAlignment="1">
      <alignment horizontal="center"/>
    </xf>
    <xf numFmtId="9" fontId="11" fillId="0" borderId="0" xfId="0" applyNumberFormat="1" applyFont="1" applyAlignment="1">
      <alignment horizontal="center"/>
    </xf>
    <xf numFmtId="0" fontId="10" fillId="0" borderId="0" xfId="0" applyFont="1" applyAlignment="1">
      <alignment horizontal="center" vertical="center"/>
    </xf>
    <xf numFmtId="0" fontId="12" fillId="2" borderId="1" xfId="0" applyFont="1" applyFill="1" applyBorder="1" applyAlignment="1">
      <alignment horizontal="center"/>
    </xf>
    <xf numFmtId="0" fontId="11" fillId="3" borderId="1" xfId="0" applyFont="1" applyFill="1" applyBorder="1" applyAlignment="1">
      <alignment horizontal="center"/>
    </xf>
    <xf numFmtId="0" fontId="11" fillId="5" borderId="1" xfId="0" applyFont="1" applyFill="1" applyBorder="1" applyAlignment="1">
      <alignment horizontal="center"/>
    </xf>
    <xf numFmtId="0" fontId="12" fillId="6" borderId="14" xfId="0" applyFont="1" applyFill="1" applyBorder="1" applyAlignment="1">
      <alignment horizontal="center" vertical="center"/>
    </xf>
    <xf numFmtId="0" fontId="12" fillId="6" borderId="3" xfId="0" applyFont="1" applyFill="1" applyBorder="1" applyAlignment="1">
      <alignment horizontal="center" vertical="center"/>
    </xf>
    <xf numFmtId="0" fontId="12" fillId="6" borderId="13" xfId="0" applyFont="1" applyFill="1" applyBorder="1" applyAlignment="1">
      <alignment horizontal="center" vertical="center"/>
    </xf>
    <xf numFmtId="0" fontId="12" fillId="6" borderId="2" xfId="0" applyFont="1" applyFill="1" applyBorder="1" applyAlignment="1">
      <alignment horizontal="center" vertical="center"/>
    </xf>
    <xf numFmtId="9" fontId="12" fillId="2" borderId="1" xfId="0" applyNumberFormat="1" applyFont="1" applyFill="1" applyBorder="1" applyAlignment="1">
      <alignment horizontal="center"/>
    </xf>
    <xf numFmtId="9" fontId="11" fillId="3" borderId="1" xfId="0" applyNumberFormat="1" applyFont="1" applyFill="1" applyBorder="1" applyAlignment="1">
      <alignment horizontal="center"/>
    </xf>
    <xf numFmtId="9" fontId="11" fillId="5" borderId="1" xfId="0" applyNumberFormat="1" applyFont="1" applyFill="1" applyBorder="1" applyAlignment="1">
      <alignment horizontal="center"/>
    </xf>
    <xf numFmtId="9" fontId="12" fillId="2" borderId="1" xfId="0" applyNumberFormat="1" applyFont="1" applyFill="1" applyBorder="1" applyAlignment="1">
      <alignment horizontal="center" vertical="center"/>
    </xf>
    <xf numFmtId="9" fontId="11" fillId="3" borderId="1" xfId="0" applyNumberFormat="1" applyFont="1" applyFill="1" applyBorder="1" applyAlignment="1">
      <alignment horizontal="center" vertical="center"/>
    </xf>
    <xf numFmtId="9" fontId="11" fillId="5" borderId="1" xfId="0" applyNumberFormat="1" applyFont="1" applyFill="1" applyBorder="1" applyAlignment="1">
      <alignment horizontal="center" vertical="center"/>
    </xf>
    <xf numFmtId="9" fontId="11" fillId="0" borderId="1" xfId="0" applyNumberFormat="1" applyFont="1" applyBorder="1" applyAlignment="1">
      <alignment horizontal="center" vertical="center"/>
    </xf>
    <xf numFmtId="9" fontId="10" fillId="3" borderId="1" xfId="0" applyNumberFormat="1" applyFont="1" applyFill="1" applyBorder="1" applyAlignment="1">
      <alignment horizontal="center" vertical="center"/>
    </xf>
    <xf numFmtId="9" fontId="10" fillId="0" borderId="1" xfId="0" applyNumberFormat="1" applyFont="1" applyBorder="1" applyAlignment="1">
      <alignment horizontal="center"/>
    </xf>
    <xf numFmtId="9" fontId="7" fillId="2" borderId="1" xfId="0" applyNumberFormat="1" applyFont="1" applyFill="1" applyBorder="1" applyAlignment="1">
      <alignment horizontal="center" vertical="center"/>
    </xf>
    <xf numFmtId="9" fontId="10" fillId="5" borderId="1" xfId="0" applyNumberFormat="1" applyFont="1" applyFill="1" applyBorder="1" applyAlignment="1">
      <alignment horizontal="center" vertical="center"/>
    </xf>
    <xf numFmtId="9" fontId="10" fillId="0" borderId="1" xfId="0" applyNumberFormat="1" applyFont="1" applyBorder="1" applyAlignment="1">
      <alignment horizontal="center" vertical="center"/>
    </xf>
    <xf numFmtId="0" fontId="0" fillId="0" borderId="0" xfId="0" applyAlignment="1">
      <alignment vertical="center"/>
    </xf>
    <xf numFmtId="1" fontId="0" fillId="0" borderId="0" xfId="0" applyNumberFormat="1" applyAlignment="1">
      <alignment horizontal="center" vertical="center"/>
    </xf>
    <xf numFmtId="1" fontId="10" fillId="0" borderId="0" xfId="0" applyNumberFormat="1" applyFont="1" applyAlignment="1">
      <alignment horizontal="center" vertical="center"/>
    </xf>
    <xf numFmtId="0" fontId="10" fillId="4" borderId="20" xfId="0" applyFont="1" applyFill="1" applyBorder="1" applyAlignment="1">
      <alignment horizontal="center" vertical="center"/>
    </xf>
    <xf numFmtId="1" fontId="10" fillId="0" borderId="20" xfId="0" applyNumberFormat="1" applyFont="1" applyBorder="1" applyAlignment="1">
      <alignment horizontal="center"/>
    </xf>
    <xf numFmtId="0" fontId="7" fillId="0" borderId="0" xfId="0" applyFont="1" applyAlignment="1">
      <alignment horizontal="center" vertical="center" wrapText="1"/>
    </xf>
    <xf numFmtId="0" fontId="7" fillId="0" borderId="0" xfId="0" applyFont="1" applyAlignment="1">
      <alignment vertical="center" wrapText="1"/>
    </xf>
    <xf numFmtId="0" fontId="10" fillId="0" borderId="0" xfId="0" applyFont="1" applyAlignment="1">
      <alignment horizontal="center"/>
    </xf>
    <xf numFmtId="0" fontId="10" fillId="4" borderId="20" xfId="0" applyFont="1" applyFill="1" applyBorder="1" applyAlignment="1">
      <alignment horizontal="center"/>
    </xf>
    <xf numFmtId="0" fontId="11" fillId="4" borderId="22" xfId="0" applyFont="1" applyFill="1" applyBorder="1" applyAlignment="1">
      <alignment horizontal="center"/>
    </xf>
    <xf numFmtId="0" fontId="14" fillId="6" borderId="2" xfId="0" applyFont="1" applyFill="1" applyBorder="1" applyAlignment="1">
      <alignment horizontal="center" vertical="center" wrapText="1"/>
    </xf>
    <xf numFmtId="0" fontId="14" fillId="6" borderId="6" xfId="0" applyFont="1" applyFill="1" applyBorder="1" applyAlignment="1">
      <alignment horizontal="center" vertical="center" wrapText="1"/>
    </xf>
    <xf numFmtId="0" fontId="15" fillId="4" borderId="1" xfId="0" applyFont="1" applyFill="1" applyBorder="1" applyAlignment="1">
      <alignment horizontal="left"/>
    </xf>
    <xf numFmtId="0" fontId="15" fillId="4" borderId="1" xfId="0" applyFont="1" applyFill="1" applyBorder="1" applyAlignment="1">
      <alignment horizontal="center" vertical="center"/>
    </xf>
    <xf numFmtId="1" fontId="15" fillId="0" borderId="1" xfId="0" applyNumberFormat="1" applyFont="1" applyBorder="1" applyAlignment="1">
      <alignment horizontal="center"/>
    </xf>
    <xf numFmtId="1" fontId="10" fillId="0" borderId="20" xfId="0" applyNumberFormat="1" applyFont="1" applyBorder="1" applyAlignment="1">
      <alignment horizontal="center" vertical="center"/>
    </xf>
    <xf numFmtId="0" fontId="12" fillId="6" borderId="0" xfId="0" applyFont="1" applyFill="1" applyAlignment="1">
      <alignment horizontal="center" vertical="center" wrapText="1"/>
    </xf>
    <xf numFmtId="0" fontId="12" fillId="6" borderId="0" xfId="0" applyFont="1" applyFill="1" applyAlignment="1">
      <alignment horizontal="center" vertical="center"/>
    </xf>
    <xf numFmtId="9" fontId="0" fillId="0" borderId="0" xfId="0" applyNumberFormat="1"/>
    <xf numFmtId="0" fontId="0" fillId="0" borderId="0" xfId="0" applyAlignment="1">
      <alignment horizontal="center"/>
    </xf>
    <xf numFmtId="0" fontId="7" fillId="0" borderId="5" xfId="0" applyFont="1" applyBorder="1" applyAlignment="1">
      <alignment vertical="center" wrapText="1"/>
    </xf>
    <xf numFmtId="0" fontId="7" fillId="0" borderId="12" xfId="0" applyFont="1" applyBorder="1" applyAlignment="1">
      <alignment vertical="center" wrapText="1"/>
    </xf>
    <xf numFmtId="0" fontId="7" fillId="6" borderId="6" xfId="0" applyFont="1" applyFill="1" applyBorder="1" applyAlignment="1">
      <alignment vertical="center" wrapText="1"/>
    </xf>
    <xf numFmtId="0" fontId="7" fillId="6" borderId="8" xfId="0" applyFont="1" applyFill="1" applyBorder="1" applyAlignment="1">
      <alignment vertical="center" wrapText="1"/>
    </xf>
    <xf numFmtId="0" fontId="7" fillId="2" borderId="20" xfId="0" applyFont="1" applyFill="1" applyBorder="1" applyAlignment="1">
      <alignment horizontal="center" vertical="center"/>
    </xf>
    <xf numFmtId="0" fontId="10" fillId="3" borderId="20" xfId="0" applyFont="1" applyFill="1" applyBorder="1" applyAlignment="1">
      <alignment horizontal="center" vertical="center"/>
    </xf>
    <xf numFmtId="0" fontId="10" fillId="5" borderId="20" xfId="0" applyFont="1" applyFill="1" applyBorder="1" applyAlignment="1">
      <alignment horizontal="center" vertical="center"/>
    </xf>
    <xf numFmtId="0" fontId="7" fillId="0" borderId="0" xfId="0" applyFont="1" applyAlignment="1">
      <alignment horizontal="center" vertical="center"/>
    </xf>
    <xf numFmtId="9" fontId="0" fillId="0" borderId="0" xfId="0" applyNumberFormat="1" applyAlignment="1">
      <alignment horizontal="center"/>
    </xf>
    <xf numFmtId="9" fontId="10" fillId="0" borderId="0" xfId="0" applyNumberFormat="1" applyFont="1" applyAlignment="1">
      <alignment horizontal="center"/>
    </xf>
    <xf numFmtId="0" fontId="12" fillId="6" borderId="2" xfId="0" applyFont="1" applyFill="1" applyBorder="1" applyAlignment="1">
      <alignment horizontal="left" vertical="center" wrapText="1"/>
    </xf>
    <xf numFmtId="0" fontId="16" fillId="9" borderId="0" xfId="1" applyFill="1"/>
    <xf numFmtId="0" fontId="16" fillId="10" borderId="0" xfId="1" applyFill="1"/>
    <xf numFmtId="0" fontId="16" fillId="11" borderId="0" xfId="1" applyFill="1"/>
    <xf numFmtId="0" fontId="17" fillId="9" borderId="0" xfId="1" applyFont="1" applyFill="1" applyAlignment="1">
      <alignment horizontal="left"/>
    </xf>
    <xf numFmtId="0" fontId="17" fillId="9" borderId="0" xfId="1" applyFont="1" applyFill="1" applyAlignment="1">
      <alignment horizontal="center"/>
    </xf>
    <xf numFmtId="0" fontId="20" fillId="11" borderId="23" xfId="1" applyFont="1" applyFill="1" applyBorder="1" applyAlignment="1">
      <alignment horizontal="center" vertical="center" wrapText="1"/>
    </xf>
    <xf numFmtId="0" fontId="22" fillId="11" borderId="23" xfId="1" applyFont="1" applyFill="1" applyBorder="1" applyAlignment="1">
      <alignment horizontal="center" vertical="center" wrapText="1"/>
    </xf>
    <xf numFmtId="9" fontId="23" fillId="9" borderId="23" xfId="1" applyNumberFormat="1" applyFont="1" applyFill="1" applyBorder="1" applyAlignment="1">
      <alignment horizontal="center" vertical="center"/>
    </xf>
    <xf numFmtId="0" fontId="19" fillId="11" borderId="23" xfId="2" applyFont="1" applyFill="1" applyBorder="1" applyAlignment="1">
      <alignment horizontal="center" vertical="center" wrapText="1"/>
    </xf>
    <xf numFmtId="9" fontId="23" fillId="12" borderId="23" xfId="1" applyNumberFormat="1" applyFont="1" applyFill="1" applyBorder="1" applyAlignment="1">
      <alignment horizontal="center" vertical="center"/>
    </xf>
    <xf numFmtId="9" fontId="16" fillId="9" borderId="0" xfId="1" applyNumberFormat="1" applyFill="1"/>
    <xf numFmtId="0" fontId="16" fillId="0" borderId="0" xfId="1"/>
    <xf numFmtId="0" fontId="25" fillId="14" borderId="2" xfId="1" applyFont="1" applyFill="1" applyBorder="1" applyAlignment="1">
      <alignment horizontal="center" vertical="center" wrapText="1"/>
    </xf>
    <xf numFmtId="0" fontId="25" fillId="11" borderId="2" xfId="1" applyFont="1" applyFill="1" applyBorder="1" applyAlignment="1">
      <alignment horizontal="center" vertical="center" wrapText="1"/>
    </xf>
    <xf numFmtId="0" fontId="25" fillId="15" borderId="2" xfId="1" applyFont="1" applyFill="1" applyBorder="1" applyAlignment="1">
      <alignment horizontal="center" vertical="center" wrapText="1"/>
    </xf>
    <xf numFmtId="0" fontId="25" fillId="9" borderId="2" xfId="1" applyFont="1" applyFill="1" applyBorder="1" applyAlignment="1">
      <alignment horizontal="center" vertical="center" wrapText="1"/>
    </xf>
    <xf numFmtId="0" fontId="26" fillId="10" borderId="0" xfId="1" applyFont="1" applyFill="1"/>
    <xf numFmtId="1" fontId="16" fillId="10" borderId="0" xfId="1" applyNumberFormat="1" applyFill="1"/>
    <xf numFmtId="0" fontId="16" fillId="13" borderId="0" xfId="1" applyFill="1"/>
    <xf numFmtId="0" fontId="16" fillId="9" borderId="0" xfId="1" applyFill="1" applyAlignment="1">
      <alignment vertical="top" wrapText="1"/>
    </xf>
    <xf numFmtId="0" fontId="30" fillId="9" borderId="0" xfId="1" applyFont="1" applyFill="1"/>
    <xf numFmtId="0" fontId="31" fillId="9" borderId="0" xfId="1" applyFont="1" applyFill="1" applyAlignment="1">
      <alignment horizontal="left"/>
    </xf>
    <xf numFmtId="0" fontId="31" fillId="9" borderId="0" xfId="1" applyFont="1" applyFill="1" applyAlignment="1">
      <alignment horizontal="center"/>
    </xf>
    <xf numFmtId="0" fontId="29" fillId="9" borderId="0" xfId="1" applyFont="1" applyFill="1" applyAlignment="1">
      <alignment horizontal="center"/>
    </xf>
    <xf numFmtId="165" fontId="31" fillId="9" borderId="0" xfId="1" applyNumberFormat="1" applyFont="1" applyFill="1" applyAlignment="1">
      <alignment horizontal="left"/>
    </xf>
    <xf numFmtId="0" fontId="38" fillId="9" borderId="0" xfId="1" applyFont="1" applyFill="1" applyAlignment="1">
      <alignment horizontal="center" vertical="center" wrapText="1"/>
    </xf>
    <xf numFmtId="0" fontId="41" fillId="9" borderId="0" xfId="1" applyFont="1" applyFill="1"/>
    <xf numFmtId="0" fontId="30" fillId="11" borderId="0" xfId="1" applyFont="1" applyFill="1"/>
    <xf numFmtId="0" fontId="10" fillId="0" borderId="1" xfId="0" applyFont="1" applyBorder="1" applyAlignment="1">
      <alignment horizontal="left"/>
    </xf>
    <xf numFmtId="1" fontId="7" fillId="2" borderId="1" xfId="0" applyNumberFormat="1" applyFont="1" applyFill="1" applyBorder="1" applyAlignment="1">
      <alignment horizontal="center" vertical="center"/>
    </xf>
    <xf numFmtId="1" fontId="10" fillId="3" borderId="1" xfId="0" applyNumberFormat="1" applyFont="1" applyFill="1" applyBorder="1" applyAlignment="1">
      <alignment horizontal="center" vertical="center"/>
    </xf>
    <xf numFmtId="1" fontId="10" fillId="5" borderId="1" xfId="0" applyNumberFormat="1" applyFont="1" applyFill="1" applyBorder="1" applyAlignment="1">
      <alignment horizontal="center" vertical="center"/>
    </xf>
    <xf numFmtId="1" fontId="11" fillId="0" borderId="1" xfId="0" applyNumberFormat="1" applyFont="1" applyBorder="1" applyAlignment="1">
      <alignment horizontal="center" vertical="center"/>
    </xf>
    <xf numFmtId="1" fontId="10" fillId="0" borderId="4" xfId="0" applyNumberFormat="1" applyFont="1" applyBorder="1" applyAlignment="1">
      <alignment horizontal="center" vertical="center"/>
    </xf>
    <xf numFmtId="0" fontId="12" fillId="6" borderId="18" xfId="0" applyFont="1" applyFill="1" applyBorder="1" applyAlignment="1">
      <alignment horizontal="center" vertical="center"/>
    </xf>
    <xf numFmtId="0" fontId="6" fillId="0" borderId="0" xfId="4"/>
    <xf numFmtId="0" fontId="6" fillId="0" borderId="23" xfId="4" applyBorder="1"/>
    <xf numFmtId="0" fontId="6" fillId="7" borderId="23" xfId="4" applyFill="1" applyBorder="1" applyAlignment="1">
      <alignment horizontal="center"/>
    </xf>
    <xf numFmtId="0" fontId="6" fillId="0" borderId="23" xfId="4" applyBorder="1" applyAlignment="1">
      <alignment horizontal="center"/>
    </xf>
    <xf numFmtId="164" fontId="6" fillId="0" borderId="23" xfId="4" applyNumberFormat="1" applyBorder="1"/>
    <xf numFmtId="0" fontId="6" fillId="7" borderId="23" xfId="4" applyFill="1" applyBorder="1"/>
    <xf numFmtId="0" fontId="18" fillId="7" borderId="23" xfId="3" applyFill="1" applyBorder="1" applyAlignment="1">
      <alignment horizontal="center"/>
    </xf>
    <xf numFmtId="0" fontId="6" fillId="18" borderId="23" xfId="4" applyFill="1" applyBorder="1" applyAlignment="1">
      <alignment horizontal="center"/>
    </xf>
    <xf numFmtId="0" fontId="6" fillId="18" borderId="23" xfId="4" applyFill="1" applyBorder="1"/>
    <xf numFmtId="0" fontId="18" fillId="18" borderId="23" xfId="3" applyFill="1" applyBorder="1" applyAlignment="1">
      <alignment horizontal="center"/>
    </xf>
    <xf numFmtId="0" fontId="6" fillId="12" borderId="23" xfId="4" applyFill="1" applyBorder="1"/>
    <xf numFmtId="0" fontId="18" fillId="19" borderId="23" xfId="3" applyFill="1" applyBorder="1" applyAlignment="1">
      <alignment horizontal="center"/>
    </xf>
    <xf numFmtId="0" fontId="6" fillId="20" borderId="23" xfId="4" applyFill="1" applyBorder="1"/>
    <xf numFmtId="0" fontId="6" fillId="21" borderId="23" xfId="4" applyFill="1" applyBorder="1" applyAlignment="1">
      <alignment horizontal="center"/>
    </xf>
    <xf numFmtId="0" fontId="6" fillId="21" borderId="23" xfId="4" applyFill="1" applyBorder="1"/>
    <xf numFmtId="0" fontId="18" fillId="21" borderId="23" xfId="3" applyFill="1" applyBorder="1" applyAlignment="1">
      <alignment horizontal="center"/>
    </xf>
    <xf numFmtId="0" fontId="6" fillId="20" borderId="23" xfId="4" applyFill="1" applyBorder="1" applyAlignment="1">
      <alignment horizontal="center"/>
    </xf>
    <xf numFmtId="0" fontId="18" fillId="20" borderId="23" xfId="3" applyFill="1" applyBorder="1" applyAlignment="1">
      <alignment horizontal="center"/>
    </xf>
    <xf numFmtId="0" fontId="6" fillId="12" borderId="23" xfId="4" applyFill="1" applyBorder="1" applyAlignment="1">
      <alignment horizontal="center"/>
    </xf>
    <xf numFmtId="1" fontId="6" fillId="0" borderId="23" xfId="4" applyNumberFormat="1" applyBorder="1" applyAlignment="1">
      <alignment horizontal="center"/>
    </xf>
    <xf numFmtId="0" fontId="16" fillId="0" borderId="0" xfId="4" applyFont="1" applyAlignment="1">
      <alignment horizontal="center"/>
    </xf>
    <xf numFmtId="0" fontId="43" fillId="7" borderId="23" xfId="3" applyFont="1" applyFill="1" applyBorder="1" applyAlignment="1">
      <alignment horizontal="center"/>
    </xf>
    <xf numFmtId="0" fontId="16" fillId="18" borderId="23" xfId="4" applyFont="1" applyFill="1" applyBorder="1" applyAlignment="1">
      <alignment horizontal="center"/>
    </xf>
    <xf numFmtId="0" fontId="16" fillId="0" borderId="23" xfId="4" applyFont="1" applyBorder="1" applyAlignment="1">
      <alignment horizontal="center"/>
    </xf>
    <xf numFmtId="0" fontId="16" fillId="12" borderId="23" xfId="4" applyFont="1" applyFill="1" applyBorder="1" applyAlignment="1">
      <alignment horizontal="center"/>
    </xf>
    <xf numFmtId="0" fontId="16" fillId="20" borderId="23" xfId="4" applyFont="1" applyFill="1" applyBorder="1" applyAlignment="1">
      <alignment horizontal="center"/>
    </xf>
    <xf numFmtId="0" fontId="16" fillId="7" borderId="23" xfId="4" applyFont="1" applyFill="1" applyBorder="1" applyAlignment="1">
      <alignment horizontal="center"/>
    </xf>
    <xf numFmtId="0" fontId="16" fillId="21" borderId="23" xfId="4" applyFont="1" applyFill="1" applyBorder="1" applyAlignment="1">
      <alignment horizontal="center"/>
    </xf>
    <xf numFmtId="0" fontId="43" fillId="20" borderId="23" xfId="3" applyFont="1" applyFill="1" applyBorder="1" applyAlignment="1">
      <alignment horizontal="center"/>
    </xf>
    <xf numFmtId="0" fontId="43" fillId="0" borderId="23" xfId="3" applyFont="1" applyBorder="1" applyAlignment="1">
      <alignment horizontal="center"/>
    </xf>
    <xf numFmtId="164" fontId="6" fillId="0" borderId="0" xfId="4" applyNumberFormat="1"/>
    <xf numFmtId="0" fontId="6" fillId="0" borderId="26" xfId="4" applyBorder="1"/>
    <xf numFmtId="0" fontId="0" fillId="7" borderId="23" xfId="0" applyFill="1" applyBorder="1"/>
    <xf numFmtId="0" fontId="0" fillId="0" borderId="23" xfId="0" applyBorder="1"/>
    <xf numFmtId="0" fontId="0" fillId="18" borderId="23" xfId="0" applyFill="1" applyBorder="1"/>
    <xf numFmtId="0" fontId="0" fillId="20" borderId="23" xfId="0" applyFill="1" applyBorder="1"/>
    <xf numFmtId="0" fontId="0" fillId="12" borderId="23" xfId="0" applyFill="1" applyBorder="1"/>
    <xf numFmtId="0" fontId="6" fillId="0" borderId="27" xfId="4" applyBorder="1"/>
    <xf numFmtId="0" fontId="0" fillId="7" borderId="27" xfId="0" applyFill="1" applyBorder="1"/>
    <xf numFmtId="0" fontId="0" fillId="0" borderId="27" xfId="0" applyBorder="1"/>
    <xf numFmtId="0" fontId="0" fillId="7" borderId="40" xfId="0" applyFill="1" applyBorder="1"/>
    <xf numFmtId="0" fontId="0" fillId="0" borderId="40" xfId="0" applyBorder="1"/>
    <xf numFmtId="0" fontId="0" fillId="18" borderId="40" xfId="0" applyFill="1" applyBorder="1"/>
    <xf numFmtId="0" fontId="0" fillId="12" borderId="40" xfId="0" applyFill="1" applyBorder="1"/>
    <xf numFmtId="0" fontId="0" fillId="20" borderId="40" xfId="0" applyFill="1" applyBorder="1"/>
    <xf numFmtId="0" fontId="44" fillId="17" borderId="33" xfId="0" applyFont="1" applyFill="1" applyBorder="1" applyAlignment="1">
      <alignment vertical="center" wrapText="1"/>
    </xf>
    <xf numFmtId="0" fontId="42" fillId="17" borderId="32" xfId="4" applyFont="1" applyFill="1" applyBorder="1" applyAlignment="1">
      <alignment horizontal="center" vertical="center" wrapText="1"/>
    </xf>
    <xf numFmtId="0" fontId="19" fillId="17" borderId="32" xfId="4" applyFont="1" applyFill="1" applyBorder="1" applyAlignment="1">
      <alignment horizontal="center" vertical="center" wrapText="1"/>
    </xf>
    <xf numFmtId="0" fontId="19" fillId="17" borderId="39" xfId="4" applyFont="1" applyFill="1" applyBorder="1" applyAlignment="1">
      <alignment horizontal="center" vertical="center" wrapText="1"/>
    </xf>
    <xf numFmtId="0" fontId="19" fillId="17" borderId="39" xfId="0" applyFont="1" applyFill="1" applyBorder="1" applyAlignment="1">
      <alignment horizontal="center" vertical="center" wrapText="1"/>
    </xf>
    <xf numFmtId="164" fontId="19" fillId="17" borderId="32" xfId="4" applyNumberFormat="1" applyFont="1" applyFill="1" applyBorder="1" applyAlignment="1">
      <alignment horizontal="center" vertical="center" wrapText="1"/>
    </xf>
    <xf numFmtId="0" fontId="19" fillId="17" borderId="31" xfId="4" applyFont="1" applyFill="1" applyBorder="1" applyAlignment="1">
      <alignment horizontal="center" vertical="center" wrapText="1"/>
    </xf>
    <xf numFmtId="164" fontId="19" fillId="17" borderId="31" xfId="4" applyNumberFormat="1" applyFont="1" applyFill="1" applyBorder="1" applyAlignment="1">
      <alignment horizontal="center" vertical="center" wrapText="1"/>
    </xf>
    <xf numFmtId="0" fontId="6" fillId="0" borderId="0" xfId="4" applyAlignment="1">
      <alignment horizontal="center" vertical="center" wrapText="1"/>
    </xf>
    <xf numFmtId="164" fontId="22" fillId="9" borderId="0" xfId="1" applyNumberFormat="1" applyFont="1" applyFill="1" applyAlignment="1">
      <alignment horizontal="center" vertical="center" wrapText="1"/>
    </xf>
    <xf numFmtId="0" fontId="22" fillId="9" borderId="0" xfId="1" applyFont="1" applyFill="1" applyAlignment="1">
      <alignment horizontal="center" vertical="center" wrapText="1"/>
    </xf>
    <xf numFmtId="0" fontId="27" fillId="9" borderId="0" xfId="1" applyFont="1" applyFill="1"/>
    <xf numFmtId="1" fontId="45" fillId="9" borderId="40" xfId="1" applyNumberFormat="1" applyFont="1" applyFill="1" applyBorder="1" applyAlignment="1">
      <alignment horizontal="center" vertical="center" wrapText="1"/>
    </xf>
    <xf numFmtId="9" fontId="35" fillId="9" borderId="0" xfId="1" applyNumberFormat="1" applyFont="1" applyFill="1" applyAlignment="1">
      <alignment horizontal="center" vertical="center"/>
    </xf>
    <xf numFmtId="9" fontId="37" fillId="9" borderId="0" xfId="1" applyNumberFormat="1" applyFont="1" applyFill="1" applyAlignment="1">
      <alignment horizontal="center" vertical="center"/>
    </xf>
    <xf numFmtId="9" fontId="35" fillId="12" borderId="40" xfId="1" applyNumberFormat="1" applyFont="1" applyFill="1" applyBorder="1" applyAlignment="1">
      <alignment horizontal="center" vertical="center"/>
    </xf>
    <xf numFmtId="9" fontId="37" fillId="22" borderId="40" xfId="1" applyNumberFormat="1" applyFont="1" applyFill="1" applyBorder="1" applyAlignment="1">
      <alignment horizontal="center" vertical="center"/>
    </xf>
    <xf numFmtId="9" fontId="37" fillId="7" borderId="40" xfId="1" applyNumberFormat="1" applyFont="1" applyFill="1" applyBorder="1" applyAlignment="1">
      <alignment horizontal="center" vertical="center"/>
    </xf>
    <xf numFmtId="9" fontId="37" fillId="21" borderId="40" xfId="1" applyNumberFormat="1" applyFont="1" applyFill="1" applyBorder="1" applyAlignment="1">
      <alignment horizontal="center" vertical="center"/>
    </xf>
    <xf numFmtId="0" fontId="11" fillId="5" borderId="1" xfId="0" applyFont="1" applyFill="1" applyBorder="1" applyAlignment="1">
      <alignment horizontal="left"/>
    </xf>
    <xf numFmtId="1" fontId="10" fillId="5" borderId="1" xfId="0" applyNumberFormat="1" applyFont="1" applyFill="1" applyBorder="1" applyAlignment="1">
      <alignment horizontal="center"/>
    </xf>
    <xf numFmtId="0" fontId="45" fillId="9" borderId="0" xfId="1" applyFont="1" applyFill="1" applyAlignment="1">
      <alignment horizontal="center" vertical="center" wrapText="1"/>
    </xf>
    <xf numFmtId="1" fontId="45" fillId="9" borderId="0" xfId="1" applyNumberFormat="1" applyFont="1" applyFill="1" applyAlignment="1">
      <alignment horizontal="center" vertical="center" wrapText="1"/>
    </xf>
    <xf numFmtId="0" fontId="18" fillId="0" borderId="0" xfId="0" applyFont="1"/>
    <xf numFmtId="1" fontId="10" fillId="4" borderId="1" xfId="0" applyNumberFormat="1" applyFont="1" applyFill="1" applyBorder="1" applyAlignment="1">
      <alignment horizontal="center"/>
    </xf>
    <xf numFmtId="0" fontId="7" fillId="6" borderId="5" xfId="0" applyFont="1" applyFill="1" applyBorder="1" applyAlignment="1">
      <alignment vertical="center" wrapText="1"/>
    </xf>
    <xf numFmtId="0" fontId="7" fillId="6" borderId="0" xfId="0" applyFont="1" applyFill="1" applyAlignment="1">
      <alignment vertical="center" wrapText="1"/>
    </xf>
    <xf numFmtId="0" fontId="17" fillId="9" borderId="0" xfId="1" applyFont="1" applyFill="1"/>
    <xf numFmtId="0" fontId="45" fillId="11" borderId="40" xfId="1" applyFont="1" applyFill="1" applyBorder="1" applyAlignment="1">
      <alignment horizontal="center" vertical="center" wrapText="1"/>
    </xf>
    <xf numFmtId="165" fontId="45" fillId="9" borderId="0" xfId="1" applyNumberFormat="1" applyFont="1" applyFill="1" applyAlignment="1">
      <alignment horizontal="center" vertical="center" wrapText="1"/>
    </xf>
    <xf numFmtId="1" fontId="32" fillId="12" borderId="40" xfId="1" applyNumberFormat="1" applyFont="1" applyFill="1" applyBorder="1" applyAlignment="1">
      <alignment horizontal="center" vertical="center"/>
    </xf>
    <xf numFmtId="1" fontId="33" fillId="22" borderId="40" xfId="1" applyNumberFormat="1" applyFont="1" applyFill="1" applyBorder="1" applyAlignment="1">
      <alignment horizontal="center" vertical="center"/>
    </xf>
    <xf numFmtId="1" fontId="33" fillId="7" borderId="40" xfId="1" applyNumberFormat="1" applyFont="1" applyFill="1" applyBorder="1" applyAlignment="1">
      <alignment horizontal="center" vertical="center"/>
    </xf>
    <xf numFmtId="1" fontId="33" fillId="21" borderId="40" xfId="1" applyNumberFormat="1" applyFont="1" applyFill="1" applyBorder="1" applyAlignment="1">
      <alignment horizontal="center" vertical="center"/>
    </xf>
    <xf numFmtId="1" fontId="35" fillId="12" borderId="40" xfId="1" applyNumberFormat="1" applyFont="1" applyFill="1" applyBorder="1" applyAlignment="1">
      <alignment horizontal="center" vertical="center"/>
    </xf>
    <xf numFmtId="1" fontId="36" fillId="22" borderId="40" xfId="1" applyNumberFormat="1" applyFont="1" applyFill="1" applyBorder="1" applyAlignment="1">
      <alignment horizontal="center" vertical="center"/>
    </xf>
    <xf numFmtId="1" fontId="36" fillId="7" borderId="40" xfId="1" applyNumberFormat="1" applyFont="1" applyFill="1" applyBorder="1" applyAlignment="1">
      <alignment horizontal="center" vertical="center"/>
    </xf>
    <xf numFmtId="1" fontId="36" fillId="21" borderId="40" xfId="1" applyNumberFormat="1" applyFont="1" applyFill="1" applyBorder="1" applyAlignment="1">
      <alignment horizontal="center" vertical="center"/>
    </xf>
    <xf numFmtId="1" fontId="38" fillId="9" borderId="0" xfId="1" applyNumberFormat="1" applyFont="1" applyFill="1" applyAlignment="1">
      <alignment horizontal="center" vertical="center" wrapText="1"/>
    </xf>
    <xf numFmtId="165" fontId="38" fillId="9" borderId="0" xfId="1" applyNumberFormat="1" applyFont="1" applyFill="1" applyAlignment="1">
      <alignment horizontal="center" vertical="center" wrapText="1"/>
    </xf>
    <xf numFmtId="0" fontId="19" fillId="11" borderId="40" xfId="1" applyFont="1" applyFill="1" applyBorder="1" applyAlignment="1">
      <alignment horizontal="center" vertical="center" wrapText="1"/>
    </xf>
    <xf numFmtId="0" fontId="19" fillId="25" borderId="40" xfId="1" applyFont="1" applyFill="1" applyBorder="1" applyAlignment="1">
      <alignment horizontal="center" vertical="center" wrapText="1"/>
    </xf>
    <xf numFmtId="0" fontId="19" fillId="24" borderId="40" xfId="1" applyFont="1" applyFill="1" applyBorder="1" applyAlignment="1">
      <alignment horizontal="center" vertical="center" wrapText="1"/>
    </xf>
    <xf numFmtId="0" fontId="34" fillId="9" borderId="0" xfId="1" applyFont="1" applyFill="1" applyAlignment="1">
      <alignment vertical="center" wrapText="1"/>
    </xf>
    <xf numFmtId="9" fontId="48" fillId="22" borderId="40" xfId="1" applyNumberFormat="1" applyFont="1" applyFill="1" applyBorder="1" applyAlignment="1">
      <alignment horizontal="center" vertical="center"/>
    </xf>
    <xf numFmtId="0" fontId="47" fillId="9" borderId="0" xfId="1" applyFont="1" applyFill="1"/>
    <xf numFmtId="0" fontId="39" fillId="23" borderId="40" xfId="2" applyFont="1" applyFill="1" applyBorder="1" applyAlignment="1">
      <alignment horizontal="center" vertical="center" wrapText="1"/>
    </xf>
    <xf numFmtId="1" fontId="39" fillId="12" borderId="40" xfId="1" applyNumberFormat="1" applyFont="1" applyFill="1" applyBorder="1" applyAlignment="1">
      <alignment horizontal="center" vertical="center"/>
    </xf>
    <xf numFmtId="0" fontId="40" fillId="23" borderId="40" xfId="2" applyFont="1" applyFill="1" applyBorder="1" applyAlignment="1">
      <alignment horizontal="center" vertical="center" wrapText="1"/>
    </xf>
    <xf numFmtId="9" fontId="35" fillId="23" borderId="40" xfId="1" applyNumberFormat="1" applyFont="1" applyFill="1" applyBorder="1" applyAlignment="1">
      <alignment horizontal="center" vertical="center"/>
    </xf>
    <xf numFmtId="9" fontId="48" fillId="12" borderId="40" xfId="1" applyNumberFormat="1" applyFont="1" applyFill="1" applyBorder="1" applyAlignment="1">
      <alignment horizontal="center" vertical="center"/>
    </xf>
    <xf numFmtId="0" fontId="49" fillId="9" borderId="0" xfId="1" applyFont="1" applyFill="1" applyAlignment="1">
      <alignment horizontal="left"/>
    </xf>
    <xf numFmtId="0" fontId="50" fillId="9" borderId="0" xfId="1" applyFont="1" applyFill="1"/>
    <xf numFmtId="0" fontId="37" fillId="9" borderId="0" xfId="1" applyFont="1" applyFill="1"/>
    <xf numFmtId="0" fontId="16" fillId="10" borderId="0" xfId="1" applyFill="1" applyAlignment="1">
      <alignment vertical="top" wrapText="1"/>
    </xf>
    <xf numFmtId="0" fontId="36" fillId="9" borderId="0" xfId="1" applyFont="1" applyFill="1" applyAlignment="1">
      <alignment vertical="center"/>
    </xf>
    <xf numFmtId="0" fontId="52" fillId="9" borderId="0" xfId="1" applyFont="1" applyFill="1"/>
    <xf numFmtId="0" fontId="36" fillId="9" borderId="0" xfId="1" applyFont="1" applyFill="1"/>
    <xf numFmtId="0" fontId="36" fillId="9" borderId="0" xfId="1" applyFont="1" applyFill="1" applyAlignment="1">
      <alignment vertical="center" wrapText="1"/>
    </xf>
    <xf numFmtId="0" fontId="36" fillId="10" borderId="0" xfId="1" applyFont="1" applyFill="1" applyAlignment="1">
      <alignment vertical="center" wrapText="1"/>
    </xf>
    <xf numFmtId="0" fontId="36" fillId="9" borderId="0" xfId="1" applyFont="1" applyFill="1" applyAlignment="1">
      <alignment horizontal="left" vertical="center"/>
    </xf>
    <xf numFmtId="0" fontId="10" fillId="0" borderId="4" xfId="0" applyFont="1" applyBorder="1" applyAlignment="1">
      <alignment horizontal="left"/>
    </xf>
    <xf numFmtId="9" fontId="10" fillId="5" borderId="1" xfId="5" applyFont="1" applyFill="1" applyBorder="1" applyAlignment="1">
      <alignment horizontal="center"/>
    </xf>
    <xf numFmtId="0" fontId="12" fillId="6" borderId="5" xfId="0" applyFont="1" applyFill="1" applyBorder="1" applyAlignment="1">
      <alignment horizontal="center" vertical="center"/>
    </xf>
    <xf numFmtId="0" fontId="12" fillId="6" borderId="15" xfId="0" applyFont="1" applyFill="1" applyBorder="1" applyAlignment="1">
      <alignment horizontal="center" vertical="center"/>
    </xf>
    <xf numFmtId="0" fontId="55" fillId="3" borderId="45" xfId="0" applyFont="1" applyFill="1" applyBorder="1" applyAlignment="1">
      <alignment horizontal="center"/>
    </xf>
    <xf numFmtId="0" fontId="55" fillId="5" borderId="45" xfId="0" applyFont="1" applyFill="1" applyBorder="1" applyAlignment="1">
      <alignment horizontal="center"/>
    </xf>
    <xf numFmtId="0" fontId="56" fillId="2" borderId="45" xfId="0" applyFont="1" applyFill="1" applyBorder="1" applyAlignment="1">
      <alignment horizontal="center"/>
    </xf>
    <xf numFmtId="0" fontId="55" fillId="0" borderId="45" xfId="0" applyFont="1" applyBorder="1" applyAlignment="1">
      <alignment horizontal="center"/>
    </xf>
    <xf numFmtId="0" fontId="56" fillId="6" borderId="46" xfId="0" applyFont="1" applyFill="1" applyBorder="1" applyAlignment="1">
      <alignment horizontal="center" vertical="center" wrapText="1"/>
    </xf>
    <xf numFmtId="0" fontId="7" fillId="6" borderId="15" xfId="0" applyFont="1" applyFill="1" applyBorder="1" applyAlignment="1">
      <alignment horizontal="center" vertical="center" wrapText="1"/>
    </xf>
    <xf numFmtId="0" fontId="10" fillId="0" borderId="45" xfId="0" applyFont="1" applyBorder="1" applyAlignment="1">
      <alignment horizontal="center"/>
    </xf>
    <xf numFmtId="0" fontId="11" fillId="0" borderId="45" xfId="0" applyFont="1" applyBorder="1" applyAlignment="1">
      <alignment horizontal="center"/>
    </xf>
    <xf numFmtId="1" fontId="10" fillId="0" borderId="45" xfId="0" applyNumberFormat="1" applyFont="1" applyBorder="1" applyAlignment="1">
      <alignment horizontal="center"/>
    </xf>
    <xf numFmtId="1" fontId="10" fillId="0" borderId="45" xfId="0" applyNumberFormat="1" applyFont="1" applyBorder="1" applyAlignment="1">
      <alignment horizontal="center" vertical="center"/>
    </xf>
    <xf numFmtId="1" fontId="11" fillId="0" borderId="45" xfId="0" applyNumberFormat="1" applyFont="1" applyBorder="1" applyAlignment="1">
      <alignment horizontal="center" vertical="center"/>
    </xf>
    <xf numFmtId="0" fontId="10" fillId="0" borderId="45" xfId="0" applyFont="1" applyBorder="1" applyAlignment="1">
      <alignment horizontal="center" vertical="center"/>
    </xf>
    <xf numFmtId="9" fontId="10" fillId="0" borderId="45" xfId="0" applyNumberFormat="1" applyFont="1" applyBorder="1" applyAlignment="1">
      <alignment horizontal="center"/>
    </xf>
    <xf numFmtId="0" fontId="11" fillId="0" borderId="45" xfId="0" applyFont="1" applyBorder="1" applyAlignment="1">
      <alignment horizontal="center" vertical="center"/>
    </xf>
    <xf numFmtId="9" fontId="11" fillId="0" borderId="45" xfId="0" applyNumberFormat="1" applyFont="1" applyBorder="1" applyAlignment="1">
      <alignment horizontal="center" vertical="center"/>
    </xf>
    <xf numFmtId="9" fontId="10" fillId="0" borderId="45" xfId="0" applyNumberFormat="1" applyFont="1" applyBorder="1" applyAlignment="1">
      <alignment horizontal="center" vertical="center"/>
    </xf>
    <xf numFmtId="9" fontId="11" fillId="0" borderId="45" xfId="0" applyNumberFormat="1" applyFont="1" applyBorder="1" applyAlignment="1">
      <alignment horizontal="center"/>
    </xf>
    <xf numFmtId="9" fontId="56" fillId="2" borderId="45" xfId="0" applyNumberFormat="1" applyFont="1" applyFill="1" applyBorder="1" applyAlignment="1">
      <alignment horizontal="center"/>
    </xf>
    <xf numFmtId="9" fontId="55" fillId="3" borderId="45" xfId="0" applyNumberFormat="1" applyFont="1" applyFill="1" applyBorder="1" applyAlignment="1">
      <alignment horizontal="center"/>
    </xf>
    <xf numFmtId="9" fontId="55" fillId="5" borderId="45" xfId="0" applyNumberFormat="1" applyFont="1" applyFill="1" applyBorder="1" applyAlignment="1">
      <alignment horizontal="center"/>
    </xf>
    <xf numFmtId="9" fontId="55" fillId="0" borderId="45" xfId="0" applyNumberFormat="1" applyFont="1" applyBorder="1" applyAlignment="1">
      <alignment horizontal="center"/>
    </xf>
    <xf numFmtId="0" fontId="12" fillId="6" borderId="51" xfId="0" applyFont="1" applyFill="1" applyBorder="1" applyAlignment="1">
      <alignment horizontal="center" vertical="center"/>
    </xf>
    <xf numFmtId="0" fontId="25" fillId="0" borderId="2" xfId="1" applyFont="1" applyBorder="1" applyAlignment="1">
      <alignment horizontal="center" vertical="center" wrapText="1"/>
    </xf>
    <xf numFmtId="0" fontId="7" fillId="6" borderId="15" xfId="0" applyFont="1" applyFill="1" applyBorder="1" applyAlignment="1">
      <alignment horizontal="center" vertical="center"/>
    </xf>
    <xf numFmtId="0" fontId="12" fillId="6" borderId="52" xfId="0" applyFont="1" applyFill="1" applyBorder="1" applyAlignment="1">
      <alignment horizontal="center" vertical="center"/>
    </xf>
    <xf numFmtId="0" fontId="10" fillId="4" borderId="4" xfId="0" applyFont="1" applyFill="1" applyBorder="1" applyAlignment="1">
      <alignment horizontal="center"/>
    </xf>
    <xf numFmtId="0" fontId="6" fillId="0" borderId="53" xfId="4" applyBorder="1"/>
    <xf numFmtId="0" fontId="0" fillId="0" borderId="53" xfId="0" applyBorder="1"/>
    <xf numFmtId="164" fontId="6" fillId="0" borderId="53" xfId="4" applyNumberFormat="1" applyBorder="1"/>
    <xf numFmtId="1" fontId="6" fillId="0" borderId="53" xfId="4" applyNumberFormat="1" applyBorder="1" applyAlignment="1">
      <alignment horizontal="center"/>
    </xf>
    <xf numFmtId="0" fontId="16" fillId="7" borderId="53" xfId="4" applyFont="1" applyFill="1" applyBorder="1" applyAlignment="1">
      <alignment horizontal="center"/>
    </xf>
    <xf numFmtId="0" fontId="18" fillId="7" borderId="53" xfId="3" applyFill="1" applyBorder="1" applyAlignment="1">
      <alignment horizontal="center"/>
    </xf>
    <xf numFmtId="0" fontId="6" fillId="18" borderId="53" xfId="4" applyFill="1" applyBorder="1" applyAlignment="1">
      <alignment horizontal="center"/>
    </xf>
    <xf numFmtId="0" fontId="18" fillId="20" borderId="53" xfId="3" applyFill="1" applyBorder="1" applyAlignment="1">
      <alignment horizontal="center"/>
    </xf>
    <xf numFmtId="0" fontId="6" fillId="7" borderId="55" xfId="4" applyFill="1" applyBorder="1" applyAlignment="1">
      <alignment horizontal="center"/>
    </xf>
    <xf numFmtId="0" fontId="6" fillId="12" borderId="55" xfId="4" applyFill="1" applyBorder="1" applyAlignment="1">
      <alignment horizontal="center"/>
    </xf>
    <xf numFmtId="0" fontId="6" fillId="18" borderId="55" xfId="4" applyFill="1" applyBorder="1" applyAlignment="1">
      <alignment horizontal="center"/>
    </xf>
    <xf numFmtId="0" fontId="6" fillId="21" borderId="55" xfId="4" applyFill="1" applyBorder="1" applyAlignment="1">
      <alignment horizontal="center"/>
    </xf>
    <xf numFmtId="0" fontId="6" fillId="20" borderId="55" xfId="4" applyFill="1" applyBorder="1" applyAlignment="1">
      <alignment horizontal="center"/>
    </xf>
    <xf numFmtId="0" fontId="57" fillId="2" borderId="57" xfId="0" applyFont="1" applyFill="1" applyBorder="1" applyAlignment="1">
      <alignment horizontal="center"/>
    </xf>
    <xf numFmtId="0" fontId="58" fillId="3" borderId="57" xfId="0" applyFont="1" applyFill="1" applyBorder="1" applyAlignment="1">
      <alignment horizontal="center"/>
    </xf>
    <xf numFmtId="0" fontId="58" fillId="5" borderId="57" xfId="0" applyFont="1" applyFill="1" applyBorder="1" applyAlignment="1">
      <alignment horizontal="center"/>
    </xf>
    <xf numFmtId="9" fontId="57" fillId="2" borderId="57" xfId="0" applyNumberFormat="1" applyFont="1" applyFill="1" applyBorder="1" applyAlignment="1">
      <alignment horizontal="center"/>
    </xf>
    <xf numFmtId="9" fontId="58" fillId="3" borderId="57" xfId="0" applyNumberFormat="1" applyFont="1" applyFill="1" applyBorder="1" applyAlignment="1">
      <alignment horizontal="center"/>
    </xf>
    <xf numFmtId="9" fontId="7" fillId="2" borderId="57" xfId="0" applyNumberFormat="1" applyFont="1" applyFill="1" applyBorder="1" applyAlignment="1">
      <alignment horizontal="center"/>
    </xf>
    <xf numFmtId="9" fontId="10" fillId="3" borderId="57" xfId="0" applyNumberFormat="1" applyFont="1" applyFill="1" applyBorder="1" applyAlignment="1">
      <alignment horizontal="center"/>
    </xf>
    <xf numFmtId="9" fontId="7" fillId="2" borderId="57" xfId="0" applyNumberFormat="1" applyFont="1" applyFill="1" applyBorder="1" applyAlignment="1">
      <alignment horizontal="center" vertical="center"/>
    </xf>
    <xf numFmtId="9" fontId="10" fillId="3" borderId="57" xfId="0" applyNumberFormat="1" applyFont="1" applyFill="1" applyBorder="1" applyAlignment="1">
      <alignment horizontal="center" vertical="center"/>
    </xf>
    <xf numFmtId="9" fontId="10" fillId="5" borderId="57" xfId="0" applyNumberFormat="1" applyFont="1" applyFill="1" applyBorder="1" applyAlignment="1">
      <alignment horizontal="center"/>
    </xf>
    <xf numFmtId="0" fontId="10" fillId="5" borderId="57" xfId="0" applyFont="1" applyFill="1" applyBorder="1" applyAlignment="1">
      <alignment horizontal="left"/>
    </xf>
    <xf numFmtId="9" fontId="10" fillId="5" borderId="57" xfId="5" applyFont="1" applyFill="1" applyBorder="1" applyAlignment="1">
      <alignment horizontal="center"/>
    </xf>
    <xf numFmtId="1" fontId="55" fillId="5" borderId="45" xfId="0" applyNumberFormat="1" applyFont="1" applyFill="1" applyBorder="1" applyAlignment="1">
      <alignment horizontal="center"/>
    </xf>
    <xf numFmtId="1" fontId="11" fillId="5" borderId="1" xfId="0" applyNumberFormat="1" applyFont="1" applyFill="1" applyBorder="1" applyAlignment="1">
      <alignment horizontal="center" vertical="center"/>
    </xf>
    <xf numFmtId="9" fontId="0" fillId="0" borderId="0" xfId="5" applyFont="1"/>
    <xf numFmtId="0" fontId="19" fillId="11" borderId="31" xfId="2" applyFont="1" applyFill="1" applyBorder="1" applyAlignment="1">
      <alignment horizontal="center" vertical="center" wrapText="1"/>
    </xf>
    <xf numFmtId="0" fontId="11" fillId="5" borderId="45" xfId="0" applyFont="1" applyFill="1" applyBorder="1" applyAlignment="1">
      <alignment horizontal="left"/>
    </xf>
    <xf numFmtId="0" fontId="10" fillId="5" borderId="45" xfId="0" applyFont="1" applyFill="1" applyBorder="1" applyAlignment="1">
      <alignment horizontal="left"/>
    </xf>
    <xf numFmtId="1" fontId="10" fillId="5" borderId="45" xfId="0" applyNumberFormat="1" applyFont="1" applyFill="1" applyBorder="1" applyAlignment="1">
      <alignment horizontal="center" vertical="center"/>
    </xf>
    <xf numFmtId="9" fontId="58" fillId="3" borderId="45" xfId="0" applyNumberFormat="1" applyFont="1" applyFill="1" applyBorder="1" applyAlignment="1">
      <alignment horizontal="center"/>
    </xf>
    <xf numFmtId="9" fontId="58" fillId="5" borderId="45" xfId="0" applyNumberFormat="1" applyFont="1" applyFill="1" applyBorder="1" applyAlignment="1">
      <alignment horizontal="center"/>
    </xf>
    <xf numFmtId="9" fontId="12" fillId="2" borderId="1" xfId="5" applyFont="1" applyFill="1" applyBorder="1" applyAlignment="1">
      <alignment horizontal="center" vertical="center"/>
    </xf>
    <xf numFmtId="1" fontId="32" fillId="12" borderId="42" xfId="1" applyNumberFormat="1" applyFont="1" applyFill="1" applyBorder="1" applyAlignment="1">
      <alignment horizontal="center" vertical="center"/>
    </xf>
    <xf numFmtId="0" fontId="19" fillId="11" borderId="56" xfId="2" applyFont="1" applyFill="1" applyBorder="1" applyAlignment="1">
      <alignment horizontal="center" vertical="center" wrapText="1"/>
    </xf>
    <xf numFmtId="0" fontId="21" fillId="11" borderId="40" xfId="1" applyFont="1" applyFill="1" applyBorder="1" applyAlignment="1">
      <alignment horizontal="left" vertical="center" wrapText="1"/>
    </xf>
    <xf numFmtId="9" fontId="48" fillId="7" borderId="40" xfId="1" applyNumberFormat="1" applyFont="1" applyFill="1" applyBorder="1" applyAlignment="1">
      <alignment horizontal="center" vertical="center"/>
    </xf>
    <xf numFmtId="9" fontId="48" fillId="21" borderId="40" xfId="1" applyNumberFormat="1" applyFont="1" applyFill="1" applyBorder="1" applyAlignment="1">
      <alignment horizontal="center" vertical="center"/>
    </xf>
    <xf numFmtId="0" fontId="10" fillId="0" borderId="57" xfId="0" applyFont="1" applyBorder="1" applyAlignment="1">
      <alignment horizontal="center"/>
    </xf>
    <xf numFmtId="0" fontId="10" fillId="0" borderId="57" xfId="0" applyFont="1" applyBorder="1" applyAlignment="1">
      <alignment horizontal="right"/>
    </xf>
    <xf numFmtId="0" fontId="11" fillId="0" borderId="57" xfId="0" applyFont="1" applyBorder="1" applyAlignment="1">
      <alignment horizontal="center"/>
    </xf>
    <xf numFmtId="0" fontId="55" fillId="0" borderId="57" xfId="0" applyFont="1" applyBorder="1" applyAlignment="1">
      <alignment horizontal="center"/>
    </xf>
    <xf numFmtId="0" fontId="7" fillId="2" borderId="57" xfId="0" applyFont="1" applyFill="1" applyBorder="1" applyAlignment="1">
      <alignment horizontal="center"/>
    </xf>
    <xf numFmtId="0" fontId="10" fillId="3" borderId="57" xfId="0" applyFont="1" applyFill="1" applyBorder="1" applyAlignment="1">
      <alignment horizontal="center"/>
    </xf>
    <xf numFmtId="0" fontId="10" fillId="5" borderId="57" xfId="0" applyFont="1" applyFill="1" applyBorder="1" applyAlignment="1">
      <alignment horizontal="center"/>
    </xf>
    <xf numFmtId="0" fontId="10" fillId="5" borderId="57" xfId="0" applyFont="1" applyFill="1" applyBorder="1" applyAlignment="1">
      <alignment horizontal="center" vertical="center"/>
    </xf>
    <xf numFmtId="1" fontId="10" fillId="5" borderId="57" xfId="0" applyNumberFormat="1" applyFont="1" applyFill="1" applyBorder="1" applyAlignment="1">
      <alignment horizontal="center" vertical="center"/>
    </xf>
    <xf numFmtId="0" fontId="55" fillId="5" borderId="57" xfId="0" applyFont="1" applyFill="1" applyBorder="1" applyAlignment="1">
      <alignment horizontal="center"/>
    </xf>
    <xf numFmtId="1" fontId="10" fillId="0" borderId="57" xfId="0" applyNumberFormat="1" applyFont="1" applyBorder="1" applyAlignment="1">
      <alignment horizontal="center"/>
    </xf>
    <xf numFmtId="1" fontId="10" fillId="0" borderId="57" xfId="0" applyNumberFormat="1" applyFont="1" applyBorder="1" applyAlignment="1">
      <alignment horizontal="center" vertical="center"/>
    </xf>
    <xf numFmtId="1" fontId="11" fillId="0" borderId="57" xfId="0" applyNumberFormat="1" applyFont="1" applyBorder="1" applyAlignment="1">
      <alignment horizontal="center" vertical="center"/>
    </xf>
    <xf numFmtId="0" fontId="11" fillId="0" borderId="57" xfId="0" applyFont="1" applyBorder="1" applyAlignment="1">
      <alignment horizontal="left"/>
    </xf>
    <xf numFmtId="0" fontId="11" fillId="5" borderId="57" xfId="0" applyFont="1" applyFill="1" applyBorder="1" applyAlignment="1">
      <alignment horizontal="center" vertical="center"/>
    </xf>
    <xf numFmtId="9" fontId="11" fillId="5" borderId="57" xfId="0" applyNumberFormat="1" applyFont="1" applyFill="1" applyBorder="1" applyAlignment="1">
      <alignment horizontal="center" vertical="center"/>
    </xf>
    <xf numFmtId="9" fontId="10" fillId="5" borderId="57" xfId="0" applyNumberFormat="1" applyFont="1" applyFill="1" applyBorder="1" applyAlignment="1">
      <alignment horizontal="center" vertical="center"/>
    </xf>
    <xf numFmtId="9" fontId="55" fillId="5" borderId="57" xfId="0" applyNumberFormat="1" applyFont="1" applyFill="1" applyBorder="1" applyAlignment="1">
      <alignment horizontal="center"/>
    </xf>
    <xf numFmtId="9" fontId="10" fillId="0" borderId="57" xfId="0" applyNumberFormat="1" applyFont="1" applyBorder="1" applyAlignment="1">
      <alignment horizontal="center"/>
    </xf>
    <xf numFmtId="0" fontId="10" fillId="0" borderId="57" xfId="0" applyFont="1" applyBorder="1" applyAlignment="1">
      <alignment horizontal="center" vertical="center"/>
    </xf>
    <xf numFmtId="0" fontId="11" fillId="0" borderId="57" xfId="0" applyFont="1" applyBorder="1" applyAlignment="1">
      <alignment horizontal="center" vertical="center"/>
    </xf>
    <xf numFmtId="9" fontId="11" fillId="0" borderId="57" xfId="0" applyNumberFormat="1" applyFont="1" applyBorder="1" applyAlignment="1">
      <alignment horizontal="center" vertical="center"/>
    </xf>
    <xf numFmtId="9" fontId="11" fillId="0" borderId="57" xfId="0" applyNumberFormat="1" applyFont="1" applyBorder="1" applyAlignment="1">
      <alignment horizontal="center"/>
    </xf>
    <xf numFmtId="9" fontId="55" fillId="0" borderId="57" xfId="0" applyNumberFormat="1" applyFont="1" applyBorder="1" applyAlignment="1">
      <alignment horizontal="center"/>
    </xf>
    <xf numFmtId="9" fontId="10" fillId="0" borderId="57" xfId="0" applyNumberFormat="1" applyFont="1" applyBorder="1" applyAlignment="1">
      <alignment horizontal="center" vertical="center"/>
    </xf>
    <xf numFmtId="9" fontId="11" fillId="5" borderId="57" xfId="0" applyNumberFormat="1" applyFont="1" applyFill="1" applyBorder="1" applyAlignment="1">
      <alignment horizontal="center"/>
    </xf>
    <xf numFmtId="0" fontId="11" fillId="5" borderId="57" xfId="0" applyFont="1" applyFill="1" applyBorder="1" applyAlignment="1">
      <alignment horizontal="center"/>
    </xf>
    <xf numFmtId="0" fontId="55" fillId="5" borderId="0" xfId="0" applyFont="1" applyFill="1" applyAlignment="1">
      <alignment horizontal="center"/>
    </xf>
    <xf numFmtId="0" fontId="25" fillId="9" borderId="46" xfId="1" applyFont="1" applyFill="1" applyBorder="1" applyAlignment="1">
      <alignment horizontal="center" vertical="center" wrapText="1"/>
    </xf>
    <xf numFmtId="0" fontId="25" fillId="11" borderId="46" xfId="1" applyFont="1" applyFill="1" applyBorder="1" applyAlignment="1">
      <alignment horizontal="center" vertical="center" wrapText="1"/>
    </xf>
    <xf numFmtId="0" fontId="25" fillId="15" borderId="46" xfId="1" applyFont="1" applyFill="1" applyBorder="1" applyAlignment="1">
      <alignment horizontal="center" vertical="center" wrapText="1"/>
    </xf>
    <xf numFmtId="0" fontId="25" fillId="0" borderId="46" xfId="1" applyFont="1" applyBorder="1" applyAlignment="1">
      <alignment horizontal="center" vertical="center" wrapText="1"/>
    </xf>
    <xf numFmtId="0" fontId="25" fillId="14" borderId="46" xfId="1" applyFont="1" applyFill="1" applyBorder="1" applyAlignment="1">
      <alignment horizontal="center" vertical="center" wrapText="1"/>
    </xf>
    <xf numFmtId="9" fontId="10" fillId="5" borderId="1" xfId="5" applyFont="1" applyFill="1" applyBorder="1" applyAlignment="1">
      <alignment horizontal="center" vertical="center"/>
    </xf>
    <xf numFmtId="9" fontId="10" fillId="5" borderId="45" xfId="5" applyFont="1" applyFill="1" applyBorder="1" applyAlignment="1">
      <alignment horizontal="center" vertical="center"/>
    </xf>
    <xf numFmtId="0" fontId="6" fillId="0" borderId="58" xfId="4" applyBorder="1"/>
    <xf numFmtId="0" fontId="0" fillId="18" borderId="58" xfId="0" applyFill="1" applyBorder="1"/>
    <xf numFmtId="0" fontId="0" fillId="0" borderId="58" xfId="0" applyBorder="1"/>
    <xf numFmtId="0" fontId="6" fillId="18" borderId="58" xfId="4" applyFill="1" applyBorder="1"/>
    <xf numFmtId="164" fontId="6" fillId="0" borderId="58" xfId="4" applyNumberFormat="1" applyBorder="1"/>
    <xf numFmtId="0" fontId="16" fillId="18" borderId="58" xfId="4" applyFont="1" applyFill="1" applyBorder="1" applyAlignment="1">
      <alignment horizontal="center"/>
    </xf>
    <xf numFmtId="0" fontId="18" fillId="18" borderId="58" xfId="3" applyFill="1" applyBorder="1" applyAlignment="1">
      <alignment horizontal="center"/>
    </xf>
    <xf numFmtId="0" fontId="6" fillId="18" borderId="58" xfId="4" applyFill="1" applyBorder="1" applyAlignment="1">
      <alignment horizontal="center"/>
    </xf>
    <xf numFmtId="1" fontId="6" fillId="0" borderId="58" xfId="4" applyNumberFormat="1" applyBorder="1" applyAlignment="1">
      <alignment horizontal="center"/>
    </xf>
    <xf numFmtId="0" fontId="6" fillId="12" borderId="59" xfId="4" applyFill="1" applyBorder="1" applyAlignment="1">
      <alignment horizontal="center"/>
    </xf>
    <xf numFmtId="0" fontId="60" fillId="12" borderId="58" xfId="3" applyFont="1" applyFill="1" applyBorder="1" applyAlignment="1">
      <alignment horizontal="center" vertical="center"/>
    </xf>
    <xf numFmtId="0" fontId="60" fillId="0" borderId="58" xfId="3" applyFont="1" applyBorder="1" applyAlignment="1">
      <alignment horizontal="left" vertical="center"/>
    </xf>
    <xf numFmtId="0" fontId="60" fillId="7" borderId="58" xfId="3" applyFont="1" applyFill="1" applyBorder="1" applyAlignment="1">
      <alignment horizontal="center" vertical="center"/>
    </xf>
    <xf numFmtId="0" fontId="60" fillId="18" borderId="58" xfId="3" applyFont="1" applyFill="1" applyBorder="1" applyAlignment="1">
      <alignment horizontal="center" vertical="center"/>
    </xf>
    <xf numFmtId="0" fontId="60" fillId="21" borderId="58" xfId="3" applyFont="1" applyFill="1" applyBorder="1" applyAlignment="1">
      <alignment horizontal="center" vertical="center"/>
    </xf>
    <xf numFmtId="0" fontId="0" fillId="7" borderId="58" xfId="0" applyFill="1" applyBorder="1"/>
    <xf numFmtId="0" fontId="6" fillId="7" borderId="58" xfId="4" applyFill="1" applyBorder="1"/>
    <xf numFmtId="0" fontId="16" fillId="20" borderId="58" xfId="4" applyFont="1" applyFill="1" applyBorder="1" applyAlignment="1">
      <alignment horizontal="center"/>
    </xf>
    <xf numFmtId="0" fontId="18" fillId="20" borderId="58" xfId="3" applyFill="1" applyBorder="1" applyAlignment="1">
      <alignment horizontal="center"/>
    </xf>
    <xf numFmtId="0" fontId="6" fillId="20" borderId="58" xfId="4" applyFill="1" applyBorder="1"/>
    <xf numFmtId="0" fontId="60" fillId="20" borderId="58" xfId="3" applyFont="1" applyFill="1" applyBorder="1" applyAlignment="1">
      <alignment horizontal="center" vertical="center"/>
    </xf>
    <xf numFmtId="0" fontId="0" fillId="18" borderId="60" xfId="0" applyFill="1" applyBorder="1"/>
    <xf numFmtId="0" fontId="16" fillId="7" borderId="58" xfId="4" applyFont="1" applyFill="1" applyBorder="1" applyAlignment="1">
      <alignment horizontal="center"/>
    </xf>
    <xf numFmtId="0" fontId="18" fillId="7" borderId="58" xfId="3" applyFill="1" applyBorder="1" applyAlignment="1">
      <alignment horizontal="center"/>
    </xf>
    <xf numFmtId="0" fontId="6" fillId="7" borderId="58" xfId="4" applyFill="1" applyBorder="1" applyAlignment="1">
      <alignment horizontal="center"/>
    </xf>
    <xf numFmtId="0" fontId="6" fillId="7" borderId="59" xfId="4" applyFill="1" applyBorder="1" applyAlignment="1">
      <alignment horizontal="center"/>
    </xf>
    <xf numFmtId="0" fontId="0" fillId="20" borderId="58" xfId="0" applyFill="1" applyBorder="1"/>
    <xf numFmtId="0" fontId="6" fillId="21" borderId="58" xfId="4" applyFill="1" applyBorder="1"/>
    <xf numFmtId="0" fontId="18" fillId="21" borderId="58" xfId="3" applyFill="1" applyBorder="1" applyAlignment="1">
      <alignment horizontal="center"/>
    </xf>
    <xf numFmtId="0" fontId="6" fillId="21" borderId="58" xfId="4" applyFill="1" applyBorder="1" applyAlignment="1">
      <alignment horizontal="center"/>
    </xf>
    <xf numFmtId="0" fontId="6" fillId="12" borderId="58" xfId="4" applyFill="1" applyBorder="1" applyAlignment="1">
      <alignment horizontal="center"/>
    </xf>
    <xf numFmtId="0" fontId="6" fillId="18" borderId="59" xfId="4" applyFill="1" applyBorder="1" applyAlignment="1">
      <alignment horizontal="center"/>
    </xf>
    <xf numFmtId="0" fontId="28" fillId="9" borderId="0" xfId="1" applyFont="1" applyFill="1" applyAlignment="1">
      <alignment horizontal="center" vertical="center" wrapText="1"/>
    </xf>
    <xf numFmtId="0" fontId="19" fillId="11" borderId="40" xfId="2" applyFont="1" applyFill="1" applyBorder="1" applyAlignment="1">
      <alignment horizontal="center" vertical="center" wrapText="1"/>
    </xf>
    <xf numFmtId="0" fontId="46" fillId="9" borderId="0" xfId="1" applyFont="1" applyFill="1" applyAlignment="1">
      <alignment horizontal="center" vertical="center" wrapText="1"/>
    </xf>
    <xf numFmtId="1" fontId="22" fillId="9" borderId="0" xfId="1" applyNumberFormat="1" applyFont="1" applyFill="1" applyAlignment="1">
      <alignment horizontal="center" vertical="center" wrapText="1"/>
    </xf>
    <xf numFmtId="0" fontId="61" fillId="9" borderId="0" xfId="1" applyFont="1" applyFill="1" applyAlignment="1">
      <alignment vertical="center" wrapText="1"/>
    </xf>
    <xf numFmtId="0" fontId="46" fillId="9" borderId="0" xfId="1" applyFont="1" applyFill="1" applyAlignment="1">
      <alignment vertical="center" wrapText="1"/>
    </xf>
    <xf numFmtId="0" fontId="64" fillId="9" borderId="0" xfId="1" applyFont="1" applyFill="1" applyAlignment="1">
      <alignment vertical="center" wrapText="1"/>
    </xf>
    <xf numFmtId="0" fontId="20" fillId="11" borderId="40" xfId="1" applyFont="1" applyFill="1" applyBorder="1" applyAlignment="1">
      <alignment horizontal="center" vertical="center" wrapText="1"/>
    </xf>
    <xf numFmtId="0" fontId="70" fillId="9" borderId="0" xfId="0" applyFont="1" applyFill="1" applyAlignment="1">
      <alignment vertical="center" wrapText="1"/>
    </xf>
    <xf numFmtId="0" fontId="70" fillId="9" borderId="0" xfId="0" applyFont="1" applyFill="1" applyAlignment="1">
      <alignment horizontal="left" vertical="top" wrapText="1"/>
    </xf>
    <xf numFmtId="1" fontId="36" fillId="12" borderId="40" xfId="1" applyNumberFormat="1" applyFont="1" applyFill="1" applyBorder="1" applyAlignment="1">
      <alignment horizontal="center" vertical="center"/>
    </xf>
    <xf numFmtId="0" fontId="39" fillId="27" borderId="40" xfId="0" applyFont="1" applyFill="1" applyBorder="1" applyAlignment="1">
      <alignment horizontal="center" vertical="center" wrapText="1"/>
    </xf>
    <xf numFmtId="0" fontId="42" fillId="0" borderId="40" xfId="0" applyFont="1" applyBorder="1" applyAlignment="1">
      <alignment horizontal="center" vertical="center" wrapText="1"/>
    </xf>
    <xf numFmtId="0" fontId="43" fillId="0" borderId="40" xfId="0" applyFont="1" applyBorder="1" applyAlignment="1">
      <alignment horizontal="center" vertical="center" wrapText="1"/>
    </xf>
    <xf numFmtId="0" fontId="19" fillId="10" borderId="31" xfId="2" applyFont="1" applyFill="1" applyBorder="1" applyAlignment="1">
      <alignment horizontal="center" vertical="center" wrapText="1"/>
    </xf>
    <xf numFmtId="0" fontId="19" fillId="10" borderId="56" xfId="2" applyFont="1" applyFill="1" applyBorder="1" applyAlignment="1">
      <alignment horizontal="center" vertical="center" wrapText="1"/>
    </xf>
    <xf numFmtId="0" fontId="21" fillId="10" borderId="40" xfId="1" applyFont="1" applyFill="1" applyBorder="1" applyAlignment="1">
      <alignment horizontal="left" vertical="center" wrapText="1"/>
    </xf>
    <xf numFmtId="0" fontId="42" fillId="10" borderId="40" xfId="2" applyFont="1" applyFill="1" applyBorder="1" applyAlignment="1">
      <alignment horizontal="center" vertical="center" wrapText="1"/>
    </xf>
    <xf numFmtId="0" fontId="61" fillId="28" borderId="0" xfId="1" applyFont="1" applyFill="1"/>
    <xf numFmtId="0" fontId="72" fillId="28" borderId="0" xfId="1" applyFont="1" applyFill="1"/>
    <xf numFmtId="0" fontId="72" fillId="28" borderId="0" xfId="1" applyFont="1" applyFill="1" applyAlignment="1">
      <alignment vertical="center"/>
    </xf>
    <xf numFmtId="0" fontId="16" fillId="28" borderId="0" xfId="1" applyFill="1"/>
    <xf numFmtId="0" fontId="70" fillId="9" borderId="0" xfId="0" applyFont="1" applyFill="1" applyAlignment="1">
      <alignment vertical="top" wrapText="1"/>
    </xf>
    <xf numFmtId="0" fontId="73" fillId="9" borderId="0" xfId="1" applyFont="1" applyFill="1" applyAlignment="1">
      <alignment vertical="top" wrapText="1"/>
    </xf>
    <xf numFmtId="0" fontId="73" fillId="9" borderId="0" xfId="1" applyFont="1" applyFill="1" applyAlignment="1">
      <alignment vertical="top"/>
    </xf>
    <xf numFmtId="0" fontId="18" fillId="10" borderId="15" xfId="2" applyFill="1" applyBorder="1" applyAlignment="1">
      <alignment horizontal="center" vertical="center" wrapText="1"/>
    </xf>
    <xf numFmtId="0" fontId="71" fillId="10" borderId="40" xfId="2" applyFont="1" applyFill="1" applyBorder="1" applyAlignment="1">
      <alignment vertical="top" wrapText="1"/>
    </xf>
    <xf numFmtId="0" fontId="18" fillId="10" borderId="23" xfId="2" applyFill="1" applyBorder="1" applyAlignment="1">
      <alignment horizontal="center" vertical="center" wrapText="1"/>
    </xf>
    <xf numFmtId="0" fontId="71" fillId="10" borderId="40" xfId="2" applyFont="1" applyFill="1" applyBorder="1" applyAlignment="1">
      <alignment horizontal="left" vertical="top" wrapText="1"/>
    </xf>
    <xf numFmtId="0" fontId="59" fillId="9" borderId="0" xfId="1" applyFont="1" applyFill="1" applyAlignment="1">
      <alignment horizontal="center" vertical="center" wrapText="1"/>
    </xf>
    <xf numFmtId="0" fontId="74" fillId="10" borderId="71" xfId="2" applyFont="1" applyFill="1" applyBorder="1" applyAlignment="1">
      <alignment horizontal="center" vertical="center" wrapText="1"/>
    </xf>
    <xf numFmtId="0" fontId="74" fillId="10" borderId="40" xfId="2" applyFont="1" applyFill="1" applyBorder="1" applyAlignment="1">
      <alignment horizontal="left" vertical="top" wrapText="1"/>
    </xf>
    <xf numFmtId="0" fontId="20" fillId="11" borderId="27" xfId="1" applyFont="1" applyFill="1" applyBorder="1" applyAlignment="1">
      <alignment horizontal="center" vertical="center" wrapText="1"/>
    </xf>
    <xf numFmtId="0" fontId="74" fillId="10" borderId="53" xfId="2" applyFont="1" applyFill="1" applyBorder="1" applyAlignment="1">
      <alignment horizontal="center" vertical="center" wrapText="1"/>
    </xf>
    <xf numFmtId="0" fontId="20" fillId="11" borderId="72" xfId="1" applyFont="1" applyFill="1" applyBorder="1" applyAlignment="1">
      <alignment horizontal="center" vertical="center" wrapText="1"/>
    </xf>
    <xf numFmtId="0" fontId="77" fillId="10" borderId="53" xfId="2" applyFont="1" applyFill="1" applyBorder="1" applyAlignment="1">
      <alignment horizontal="left" vertical="top" wrapText="1"/>
    </xf>
    <xf numFmtId="0" fontId="77" fillId="10" borderId="53" xfId="2" applyFont="1" applyFill="1" applyBorder="1" applyAlignment="1">
      <alignment horizontal="left" vertical="center" wrapText="1"/>
    </xf>
    <xf numFmtId="9" fontId="23" fillId="9" borderId="53" xfId="1" applyNumberFormat="1" applyFont="1" applyFill="1" applyBorder="1" applyAlignment="1">
      <alignment horizontal="center" vertical="center"/>
    </xf>
    <xf numFmtId="0" fontId="76" fillId="9" borderId="0" xfId="1" applyFont="1" applyFill="1"/>
    <xf numFmtId="0" fontId="74" fillId="10" borderId="2" xfId="2" applyFont="1" applyFill="1" applyBorder="1" applyAlignment="1">
      <alignment horizontal="center" vertical="center" wrapText="1"/>
    </xf>
    <xf numFmtId="0" fontId="74" fillId="10" borderId="61" xfId="2" applyFont="1" applyFill="1" applyBorder="1" applyAlignment="1">
      <alignment horizontal="left" vertical="top" wrapText="1"/>
    </xf>
    <xf numFmtId="0" fontId="42" fillId="10" borderId="42" xfId="2" applyFont="1" applyFill="1" applyBorder="1" applyAlignment="1">
      <alignment horizontal="center" vertical="center" wrapText="1"/>
    </xf>
    <xf numFmtId="0" fontId="61" fillId="10" borderId="40" xfId="2" applyFont="1" applyFill="1" applyBorder="1" applyAlignment="1">
      <alignment horizontal="center" vertical="center" wrapText="1"/>
    </xf>
    <xf numFmtId="0" fontId="20" fillId="11" borderId="31" xfId="1" applyFont="1" applyFill="1" applyBorder="1" applyAlignment="1">
      <alignment horizontal="center" vertical="center" wrapText="1"/>
    </xf>
    <xf numFmtId="0" fontId="74" fillId="10" borderId="31" xfId="2" applyFont="1" applyFill="1" applyBorder="1" applyAlignment="1">
      <alignment horizontal="left" vertical="top" wrapText="1"/>
    </xf>
    <xf numFmtId="0" fontId="78" fillId="2" borderId="73" xfId="0" applyFont="1" applyFill="1" applyBorder="1" applyAlignment="1">
      <alignment horizontal="center"/>
    </xf>
    <xf numFmtId="0" fontId="79" fillId="3" borderId="73" xfId="0" applyFont="1" applyFill="1" applyBorder="1" applyAlignment="1">
      <alignment horizontal="center"/>
    </xf>
    <xf numFmtId="0" fontId="79" fillId="5" borderId="73" xfId="0" applyFont="1" applyFill="1" applyBorder="1" applyAlignment="1">
      <alignment horizontal="center"/>
    </xf>
    <xf numFmtId="0" fontId="79" fillId="0" borderId="73" xfId="0" applyFont="1" applyBorder="1" applyAlignment="1">
      <alignment horizontal="center"/>
    </xf>
    <xf numFmtId="9" fontId="78" fillId="2" borderId="73" xfId="0" applyNumberFormat="1" applyFont="1" applyFill="1" applyBorder="1" applyAlignment="1">
      <alignment horizontal="center"/>
    </xf>
    <xf numFmtId="9" fontId="79" fillId="3" borderId="73" xfId="0" applyNumberFormat="1" applyFont="1" applyFill="1" applyBorder="1" applyAlignment="1">
      <alignment horizontal="center"/>
    </xf>
    <xf numFmtId="9" fontId="79" fillId="5" borderId="73" xfId="0" applyNumberFormat="1" applyFont="1" applyFill="1" applyBorder="1" applyAlignment="1">
      <alignment horizontal="center"/>
    </xf>
    <xf numFmtId="9" fontId="79" fillId="0" borderId="73" xfId="0" applyNumberFormat="1" applyFont="1" applyBorder="1" applyAlignment="1">
      <alignment horizontal="center"/>
    </xf>
    <xf numFmtId="0" fontId="6" fillId="0" borderId="74" xfId="4" applyBorder="1"/>
    <xf numFmtId="0" fontId="0" fillId="12" borderId="74" xfId="0" applyFill="1" applyBorder="1"/>
    <xf numFmtId="0" fontId="0" fillId="0" borderId="74" xfId="0" applyBorder="1"/>
    <xf numFmtId="0" fontId="6" fillId="12" borderId="74" xfId="4" applyFill="1" applyBorder="1"/>
    <xf numFmtId="164" fontId="6" fillId="0" borderId="74" xfId="4" applyNumberFormat="1" applyBorder="1"/>
    <xf numFmtId="0" fontId="16" fillId="12" borderId="74" xfId="4" applyFont="1" applyFill="1" applyBorder="1" applyAlignment="1">
      <alignment horizontal="center"/>
    </xf>
    <xf numFmtId="0" fontId="18" fillId="19" borderId="74" xfId="3" applyFill="1" applyBorder="1" applyAlignment="1">
      <alignment horizontal="center"/>
    </xf>
    <xf numFmtId="1" fontId="6" fillId="0" borderId="74" xfId="4" applyNumberFormat="1" applyBorder="1" applyAlignment="1">
      <alignment horizontal="center"/>
    </xf>
    <xf numFmtId="0" fontId="22" fillId="11" borderId="74" xfId="1" applyFont="1" applyFill="1" applyBorder="1" applyAlignment="1">
      <alignment horizontal="center" vertical="center" wrapText="1"/>
    </xf>
    <xf numFmtId="9" fontId="23" fillId="9" borderId="74" xfId="1" applyNumberFormat="1" applyFont="1" applyFill="1" applyBorder="1" applyAlignment="1">
      <alignment horizontal="center" vertical="center"/>
    </xf>
    <xf numFmtId="0" fontId="20" fillId="11" borderId="75" xfId="1" applyFont="1" applyFill="1" applyBorder="1" applyAlignment="1">
      <alignment horizontal="center" vertical="center" wrapText="1"/>
    </xf>
    <xf numFmtId="0" fontId="28" fillId="11" borderId="23" xfId="1" applyFont="1" applyFill="1" applyBorder="1" applyAlignment="1">
      <alignment horizontal="center" vertical="center" wrapText="1"/>
    </xf>
    <xf numFmtId="0" fontId="28" fillId="11" borderId="40" xfId="1" applyFont="1" applyFill="1" applyBorder="1" applyAlignment="1">
      <alignment horizontal="center" vertical="center" wrapText="1"/>
    </xf>
    <xf numFmtId="0" fontId="69" fillId="10" borderId="40" xfId="1" applyFont="1" applyFill="1" applyBorder="1" applyAlignment="1">
      <alignment horizontal="left" vertical="top" wrapText="1"/>
    </xf>
    <xf numFmtId="0" fontId="69" fillId="10" borderId="40" xfId="1" applyFont="1" applyFill="1" applyBorder="1" applyAlignment="1">
      <alignment horizontal="justify" vertical="top" wrapText="1"/>
    </xf>
    <xf numFmtId="1" fontId="16" fillId="9" borderId="0" xfId="1" applyNumberFormat="1" applyFill="1"/>
    <xf numFmtId="0" fontId="70" fillId="9" borderId="0" xfId="0" applyFont="1" applyFill="1" applyAlignment="1">
      <alignment horizontal="left" vertical="center" wrapText="1"/>
    </xf>
    <xf numFmtId="0" fontId="51" fillId="9" borderId="0" xfId="1" applyFont="1" applyFill="1"/>
    <xf numFmtId="0" fontId="51" fillId="9" borderId="0" xfId="1" applyFont="1" applyFill="1" applyAlignment="1">
      <alignment horizontal="left"/>
    </xf>
    <xf numFmtId="0" fontId="53" fillId="10" borderId="0" xfId="1" applyFont="1" applyFill="1" applyAlignment="1">
      <alignment vertical="center" wrapText="1"/>
    </xf>
    <xf numFmtId="0" fontId="16" fillId="13" borderId="0" xfId="1" applyFill="1" applyProtection="1">
      <protection locked="0"/>
    </xf>
    <xf numFmtId="0" fontId="46" fillId="11" borderId="23" xfId="1" applyFont="1" applyFill="1" applyBorder="1" applyAlignment="1">
      <alignment horizontal="center" vertical="center" wrapText="1"/>
    </xf>
    <xf numFmtId="0" fontId="46" fillId="25" borderId="23" xfId="1" applyFont="1" applyFill="1" applyBorder="1" applyAlignment="1">
      <alignment horizontal="center" vertical="center" wrapText="1"/>
    </xf>
    <xf numFmtId="0" fontId="46" fillId="15" borderId="23" xfId="1" applyFont="1" applyFill="1" applyBorder="1" applyAlignment="1">
      <alignment horizontal="center" vertical="center" wrapText="1"/>
    </xf>
    <xf numFmtId="0" fontId="46" fillId="20" borderId="23" xfId="1" applyFont="1" applyFill="1" applyBorder="1" applyAlignment="1">
      <alignment horizontal="center" vertical="center" wrapText="1"/>
    </xf>
    <xf numFmtId="1" fontId="22" fillId="9" borderId="23" xfId="1" applyNumberFormat="1" applyFont="1" applyFill="1" applyBorder="1" applyAlignment="1">
      <alignment horizontal="center" vertical="center" wrapText="1"/>
    </xf>
    <xf numFmtId="0" fontId="22" fillId="11" borderId="40" xfId="1" applyFont="1" applyFill="1" applyBorder="1" applyAlignment="1">
      <alignment horizontal="center" vertical="center" wrapText="1"/>
    </xf>
    <xf numFmtId="164" fontId="22" fillId="9" borderId="40" xfId="1" applyNumberFormat="1" applyFont="1" applyFill="1" applyBorder="1" applyAlignment="1">
      <alignment horizontal="center" vertical="center" wrapText="1"/>
    </xf>
    <xf numFmtId="0" fontId="7" fillId="6" borderId="11" xfId="0" applyFont="1" applyFill="1" applyBorder="1" applyAlignment="1">
      <alignment horizontal="center" vertical="center" wrapText="1"/>
    </xf>
    <xf numFmtId="0" fontId="7" fillId="6" borderId="71" xfId="0" applyFont="1" applyFill="1" applyBorder="1" applyAlignment="1">
      <alignment horizontal="center" vertical="center" wrapText="1"/>
    </xf>
    <xf numFmtId="0" fontId="10" fillId="4" borderId="22" xfId="0" applyFont="1" applyFill="1" applyBorder="1" applyAlignment="1">
      <alignment horizontal="center"/>
    </xf>
    <xf numFmtId="0" fontId="7" fillId="6" borderId="8" xfId="0" applyFont="1" applyFill="1" applyBorder="1" applyAlignment="1">
      <alignment horizontal="center" vertical="center" wrapText="1"/>
    </xf>
    <xf numFmtId="0" fontId="7" fillId="2" borderId="82" xfId="0" applyFont="1" applyFill="1" applyBorder="1" applyAlignment="1">
      <alignment horizontal="center"/>
    </xf>
    <xf numFmtId="0" fontId="10" fillId="3" borderId="82" xfId="0" applyFont="1" applyFill="1" applyBorder="1" applyAlignment="1">
      <alignment horizontal="center"/>
    </xf>
    <xf numFmtId="0" fontId="10" fillId="5" borderId="82" xfId="0" applyFont="1" applyFill="1" applyBorder="1" applyAlignment="1">
      <alignment horizontal="center"/>
    </xf>
    <xf numFmtId="0" fontId="10" fillId="0" borderId="82" xfId="0" applyFont="1" applyBorder="1" applyAlignment="1">
      <alignment horizontal="center"/>
    </xf>
    <xf numFmtId="0" fontId="10" fillId="0" borderId="1" xfId="0" applyFont="1" applyBorder="1"/>
    <xf numFmtId="0" fontId="11" fillId="0" borderId="1" xfId="0" applyFont="1" applyBorder="1"/>
    <xf numFmtId="0" fontId="10" fillId="0" borderId="57" xfId="0" applyFont="1" applyBorder="1"/>
    <xf numFmtId="0" fontId="55" fillId="0" borderId="45" xfId="0" applyFont="1" applyBorder="1"/>
    <xf numFmtId="0" fontId="7" fillId="6" borderId="83" xfId="0" applyFont="1" applyFill="1" applyBorder="1" applyAlignment="1">
      <alignment vertical="center" wrapText="1"/>
    </xf>
    <xf numFmtId="0" fontId="7" fillId="6" borderId="84" xfId="0" applyFont="1" applyFill="1" applyBorder="1" applyAlignment="1">
      <alignment vertical="center" wrapText="1"/>
    </xf>
    <xf numFmtId="0" fontId="10" fillId="0" borderId="45" xfId="0" applyFont="1" applyBorder="1" applyAlignment="1">
      <alignment horizontal="right"/>
    </xf>
    <xf numFmtId="0" fontId="7" fillId="6" borderId="46" xfId="0" applyFont="1" applyFill="1" applyBorder="1" applyAlignment="1">
      <alignment horizontal="center" vertical="center" wrapText="1"/>
    </xf>
    <xf numFmtId="9" fontId="7" fillId="2" borderId="82" xfId="0" applyNumberFormat="1" applyFont="1" applyFill="1" applyBorder="1" applyAlignment="1">
      <alignment horizontal="center"/>
    </xf>
    <xf numFmtId="9" fontId="10" fillId="3" borderId="82" xfId="0" applyNumberFormat="1" applyFont="1" applyFill="1" applyBorder="1" applyAlignment="1">
      <alignment horizontal="center"/>
    </xf>
    <xf numFmtId="9" fontId="10" fillId="5" borderId="82" xfId="0" applyNumberFormat="1" applyFont="1" applyFill="1" applyBorder="1" applyAlignment="1">
      <alignment horizontal="center"/>
    </xf>
    <xf numFmtId="9" fontId="10" fillId="0" borderId="82" xfId="0" applyNumberFormat="1" applyFont="1" applyBorder="1" applyAlignment="1">
      <alignment horizontal="center"/>
    </xf>
    <xf numFmtId="0" fontId="10" fillId="0" borderId="0" xfId="0" applyFont="1" applyAlignment="1">
      <alignment horizontal="right" vertical="center"/>
    </xf>
    <xf numFmtId="1" fontId="10" fillId="0" borderId="0" xfId="0" applyNumberFormat="1" applyFont="1" applyAlignment="1">
      <alignment horizontal="right" vertical="center"/>
    </xf>
    <xf numFmtId="0" fontId="7" fillId="6" borderId="12" xfId="0" applyFont="1" applyFill="1" applyBorder="1" applyAlignment="1">
      <alignment vertical="center" wrapText="1"/>
    </xf>
    <xf numFmtId="0" fontId="10" fillId="5" borderId="82" xfId="0" applyFont="1" applyFill="1" applyBorder="1" applyAlignment="1">
      <alignment horizontal="center" vertical="center"/>
    </xf>
    <xf numFmtId="1" fontId="11" fillId="5" borderId="45" xfId="0" applyNumberFormat="1" applyFont="1" applyFill="1" applyBorder="1" applyAlignment="1">
      <alignment horizontal="center" vertical="center"/>
    </xf>
    <xf numFmtId="0" fontId="79" fillId="5" borderId="73" xfId="0" applyFont="1" applyFill="1" applyBorder="1" applyAlignment="1">
      <alignment horizontal="left"/>
    </xf>
    <xf numFmtId="1" fontId="10" fillId="5" borderId="82" xfId="0" applyNumberFormat="1" applyFont="1" applyFill="1" applyBorder="1" applyAlignment="1">
      <alignment horizontal="center"/>
    </xf>
    <xf numFmtId="1" fontId="10" fillId="5" borderId="86" xfId="0" applyNumberFormat="1" applyFont="1" applyFill="1" applyBorder="1" applyAlignment="1">
      <alignment horizontal="center"/>
    </xf>
    <xf numFmtId="1" fontId="10" fillId="5" borderId="87" xfId="0" applyNumberFormat="1" applyFont="1" applyFill="1" applyBorder="1" applyAlignment="1">
      <alignment horizontal="center"/>
    </xf>
    <xf numFmtId="9" fontId="79" fillId="5" borderId="73" xfId="0" applyNumberFormat="1" applyFont="1" applyFill="1" applyBorder="1" applyAlignment="1">
      <alignment horizontal="center" vertical="center"/>
    </xf>
    <xf numFmtId="9" fontId="10" fillId="5" borderId="82" xfId="0" applyNumberFormat="1" applyFont="1" applyFill="1" applyBorder="1" applyAlignment="1">
      <alignment horizontal="center" vertical="center"/>
    </xf>
    <xf numFmtId="0" fontId="14" fillId="6" borderId="2" xfId="0" applyFont="1" applyFill="1" applyBorder="1" applyAlignment="1">
      <alignment horizontal="center" vertical="top" wrapText="1"/>
    </xf>
    <xf numFmtId="0" fontId="14" fillId="6" borderId="6" xfId="0" applyFont="1" applyFill="1" applyBorder="1" applyAlignment="1">
      <alignment horizontal="center" vertical="top" wrapText="1"/>
    </xf>
    <xf numFmtId="1" fontId="10" fillId="5" borderId="45" xfId="5" applyNumberFormat="1" applyFont="1" applyFill="1" applyBorder="1" applyAlignment="1">
      <alignment horizontal="center" vertical="center"/>
    </xf>
    <xf numFmtId="0" fontId="7" fillId="6" borderId="13" xfId="0" applyFont="1" applyFill="1" applyBorder="1" applyAlignment="1">
      <alignment horizontal="center" vertical="center" wrapText="1"/>
    </xf>
    <xf numFmtId="0" fontId="12" fillId="6" borderId="3" xfId="0" applyFont="1" applyFill="1" applyBorder="1" applyAlignment="1">
      <alignment horizontal="center" vertical="center" wrapText="1"/>
    </xf>
    <xf numFmtId="0" fontId="7" fillId="6" borderId="16" xfId="0" applyFont="1" applyFill="1" applyBorder="1" applyAlignment="1">
      <alignment horizontal="center" vertical="center" wrapText="1"/>
    </xf>
    <xf numFmtId="0" fontId="12" fillId="6" borderId="17" xfId="0" applyFont="1" applyFill="1" applyBorder="1" applyAlignment="1">
      <alignment horizontal="center" vertical="center" wrapText="1"/>
    </xf>
    <xf numFmtId="0" fontId="0" fillId="0" borderId="0" xfId="0" applyAlignment="1">
      <alignment horizontal="center" vertical="center"/>
    </xf>
    <xf numFmtId="9" fontId="10" fillId="5" borderId="88" xfId="0" applyNumberFormat="1" applyFont="1" applyFill="1" applyBorder="1" applyAlignment="1">
      <alignment horizontal="center"/>
    </xf>
    <xf numFmtId="9" fontId="10" fillId="5" borderId="89" xfId="0" applyNumberFormat="1" applyFont="1" applyFill="1" applyBorder="1" applyAlignment="1">
      <alignment horizontal="center"/>
    </xf>
    <xf numFmtId="0" fontId="18" fillId="0" borderId="64" xfId="0" applyFont="1" applyBorder="1"/>
    <xf numFmtId="0" fontId="0" fillId="0" borderId="91" xfId="0" applyBorder="1"/>
    <xf numFmtId="0" fontId="0" fillId="0" borderId="92" xfId="0" applyBorder="1"/>
    <xf numFmtId="0" fontId="0" fillId="0" borderId="93" xfId="0" applyBorder="1"/>
    <xf numFmtId="0" fontId="0" fillId="0" borderId="90" xfId="0" applyBorder="1"/>
    <xf numFmtId="0" fontId="0" fillId="0" borderId="64" xfId="0" applyBorder="1"/>
    <xf numFmtId="1" fontId="10" fillId="0" borderId="82" xfId="0" applyNumberFormat="1" applyFont="1" applyBorder="1" applyAlignment="1">
      <alignment horizontal="center"/>
    </xf>
    <xf numFmtId="0" fontId="0" fillId="0" borderId="76" xfId="0" applyBorder="1"/>
    <xf numFmtId="0" fontId="0" fillId="0" borderId="78" xfId="0" applyBorder="1"/>
    <xf numFmtId="0" fontId="0" fillId="0" borderId="77" xfId="0" applyBorder="1"/>
    <xf numFmtId="0" fontId="0" fillId="0" borderId="0" xfId="0" applyAlignment="1">
      <alignment horizontal="right"/>
    </xf>
    <xf numFmtId="0" fontId="0" fillId="0" borderId="96" xfId="0" applyBorder="1"/>
    <xf numFmtId="9" fontId="10" fillId="5" borderId="97" xfId="0" applyNumberFormat="1" applyFont="1" applyFill="1" applyBorder="1" applyAlignment="1">
      <alignment horizontal="center"/>
    </xf>
    <xf numFmtId="0" fontId="18" fillId="0" borderId="96" xfId="0" applyFont="1" applyBorder="1"/>
    <xf numFmtId="9" fontId="78" fillId="2" borderId="88" xfId="0" applyNumberFormat="1" applyFont="1" applyFill="1" applyBorder="1" applyAlignment="1">
      <alignment horizontal="center"/>
    </xf>
    <xf numFmtId="9" fontId="79" fillId="5" borderId="97" xfId="0" applyNumberFormat="1" applyFont="1" applyFill="1" applyBorder="1" applyAlignment="1">
      <alignment horizontal="center"/>
    </xf>
    <xf numFmtId="0" fontId="7" fillId="6" borderId="96" xfId="0" applyFont="1" applyFill="1" applyBorder="1" applyAlignment="1">
      <alignment horizontal="center" vertical="center" wrapText="1"/>
    </xf>
    <xf numFmtId="9" fontId="7" fillId="2" borderId="88" xfId="0" applyNumberFormat="1" applyFont="1" applyFill="1" applyBorder="1" applyAlignment="1">
      <alignment horizontal="center"/>
    </xf>
    <xf numFmtId="9" fontId="58" fillId="5" borderId="97" xfId="0" applyNumberFormat="1" applyFont="1" applyFill="1" applyBorder="1" applyAlignment="1">
      <alignment horizontal="center"/>
    </xf>
    <xf numFmtId="9" fontId="57" fillId="2" borderId="88" xfId="0" applyNumberFormat="1" applyFont="1" applyFill="1" applyBorder="1" applyAlignment="1">
      <alignment horizontal="center"/>
    </xf>
    <xf numFmtId="9" fontId="0" fillId="0" borderId="96" xfId="0" applyNumberFormat="1" applyBorder="1" applyAlignment="1">
      <alignment horizontal="center"/>
    </xf>
    <xf numFmtId="9" fontId="79" fillId="3" borderId="73" xfId="0" applyNumberFormat="1" applyFont="1" applyFill="1" applyBorder="1" applyAlignment="1">
      <alignment horizontal="center" vertical="center"/>
    </xf>
    <xf numFmtId="0" fontId="79" fillId="3" borderId="73" xfId="0" applyFont="1" applyFill="1" applyBorder="1" applyAlignment="1">
      <alignment horizontal="center" vertical="center"/>
    </xf>
    <xf numFmtId="0" fontId="79" fillId="5" borderId="73" xfId="0" applyFont="1" applyFill="1" applyBorder="1" applyAlignment="1">
      <alignment horizontal="center" vertical="center"/>
    </xf>
    <xf numFmtId="9" fontId="10" fillId="5" borderId="45" xfId="5" applyFont="1" applyFill="1" applyBorder="1" applyAlignment="1">
      <alignment horizontal="center"/>
    </xf>
    <xf numFmtId="9" fontId="79" fillId="0" borderId="73" xfId="0" applyNumberFormat="1" applyFont="1" applyBorder="1" applyAlignment="1">
      <alignment horizontal="center" vertical="center"/>
    </xf>
    <xf numFmtId="0" fontId="10" fillId="0" borderId="82" xfId="0" applyFont="1" applyBorder="1" applyAlignment="1">
      <alignment horizontal="center" vertical="center"/>
    </xf>
    <xf numFmtId="9" fontId="10" fillId="0" borderId="82" xfId="0" applyNumberFormat="1" applyFont="1" applyBorder="1" applyAlignment="1">
      <alignment horizontal="center" vertical="center"/>
    </xf>
    <xf numFmtId="0" fontId="79" fillId="0" borderId="73" xfId="0" applyFont="1" applyBorder="1" applyAlignment="1">
      <alignment horizontal="center" vertical="center"/>
    </xf>
    <xf numFmtId="9" fontId="10" fillId="5" borderId="82" xfId="5" applyFont="1" applyFill="1" applyBorder="1" applyAlignment="1">
      <alignment horizontal="center" vertical="center"/>
    </xf>
    <xf numFmtId="0" fontId="12" fillId="6" borderId="95" xfId="0" applyFont="1" applyFill="1" applyBorder="1" applyAlignment="1">
      <alignment horizontal="center" vertical="center"/>
    </xf>
    <xf numFmtId="0" fontId="7" fillId="6" borderId="99" xfId="0" applyFont="1" applyFill="1" applyBorder="1" applyAlignment="1">
      <alignment horizontal="center" vertical="center" wrapText="1"/>
    </xf>
    <xf numFmtId="0" fontId="0" fillId="0" borderId="102" xfId="0" applyBorder="1"/>
    <xf numFmtId="0" fontId="0" fillId="0" borderId="103" xfId="0" applyBorder="1"/>
    <xf numFmtId="0" fontId="0" fillId="0" borderId="104" xfId="0" applyBorder="1"/>
    <xf numFmtId="0" fontId="18" fillId="0" borderId="102" xfId="0" applyFont="1" applyBorder="1"/>
    <xf numFmtId="0" fontId="7" fillId="6" borderId="96" xfId="0" applyFont="1" applyFill="1" applyBorder="1" applyAlignment="1">
      <alignment vertical="center" wrapText="1"/>
    </xf>
    <xf numFmtId="9" fontId="0" fillId="0" borderId="100" xfId="5" applyFont="1" applyBorder="1" applyAlignment="1">
      <alignment horizontal="center" vertical="center"/>
    </xf>
    <xf numFmtId="0" fontId="7" fillId="6" borderId="101" xfId="0" applyFont="1" applyFill="1" applyBorder="1" applyAlignment="1">
      <alignment horizontal="center" vertical="center" wrapText="1"/>
    </xf>
    <xf numFmtId="0" fontId="0" fillId="0" borderId="105" xfId="0" applyBorder="1" applyAlignment="1">
      <alignment horizontal="center"/>
    </xf>
    <xf numFmtId="0" fontId="0" fillId="0" borderId="106" xfId="0" applyBorder="1" applyAlignment="1">
      <alignment horizontal="center"/>
    </xf>
    <xf numFmtId="0" fontId="0" fillId="0" borderId="107" xfId="0" applyBorder="1" applyAlignment="1">
      <alignment horizontal="center"/>
    </xf>
    <xf numFmtId="0" fontId="12" fillId="6" borderId="83" xfId="0" applyFont="1" applyFill="1" applyBorder="1" applyAlignment="1">
      <alignment vertical="center"/>
    </xf>
    <xf numFmtId="0" fontId="12" fillId="6" borderId="85" xfId="0" applyFont="1" applyFill="1" applyBorder="1" applyAlignment="1">
      <alignment vertical="center"/>
    </xf>
    <xf numFmtId="0" fontId="18" fillId="0" borderId="0" xfId="0" applyFont="1" applyAlignment="1">
      <alignment horizontal="center"/>
    </xf>
    <xf numFmtId="1" fontId="10" fillId="0" borderId="108" xfId="0" applyNumberFormat="1" applyFont="1" applyBorder="1" applyAlignment="1">
      <alignment horizontal="center"/>
    </xf>
    <xf numFmtId="0" fontId="18" fillId="0" borderId="101" xfId="0" applyFont="1" applyBorder="1" applyAlignment="1">
      <alignment horizontal="center"/>
    </xf>
    <xf numFmtId="0" fontId="18" fillId="0" borderId="96" xfId="0" applyFont="1" applyBorder="1" applyAlignment="1">
      <alignment horizontal="center"/>
    </xf>
    <xf numFmtId="9" fontId="10" fillId="5" borderId="109" xfId="0" applyNumberFormat="1" applyFont="1" applyFill="1" applyBorder="1" applyAlignment="1">
      <alignment horizontal="center"/>
    </xf>
    <xf numFmtId="9" fontId="10" fillId="5" borderId="110" xfId="0" applyNumberFormat="1" applyFont="1" applyFill="1" applyBorder="1" applyAlignment="1">
      <alignment horizontal="center"/>
    </xf>
    <xf numFmtId="9" fontId="10" fillId="5" borderId="111" xfId="0" applyNumberFormat="1" applyFont="1" applyFill="1" applyBorder="1" applyAlignment="1">
      <alignment horizontal="center"/>
    </xf>
    <xf numFmtId="9" fontId="10" fillId="5" borderId="112" xfId="0" applyNumberFormat="1" applyFont="1" applyFill="1" applyBorder="1" applyAlignment="1">
      <alignment horizontal="center"/>
    </xf>
    <xf numFmtId="9" fontId="10" fillId="5" borderId="108" xfId="0" applyNumberFormat="1" applyFont="1" applyFill="1" applyBorder="1" applyAlignment="1">
      <alignment horizontal="center"/>
    </xf>
    <xf numFmtId="0" fontId="18" fillId="0" borderId="101" xfId="0" applyFont="1" applyBorder="1"/>
    <xf numFmtId="9" fontId="10" fillId="5" borderId="113" xfId="0" applyNumberFormat="1" applyFont="1" applyFill="1" applyBorder="1" applyAlignment="1">
      <alignment horizontal="center"/>
    </xf>
    <xf numFmtId="9" fontId="10" fillId="5" borderId="114" xfId="0" applyNumberFormat="1" applyFont="1" applyFill="1" applyBorder="1" applyAlignment="1">
      <alignment horizontal="center"/>
    </xf>
    <xf numFmtId="0" fontId="18" fillId="0" borderId="106" xfId="0" applyFont="1" applyBorder="1"/>
    <xf numFmtId="0" fontId="10" fillId="0" borderId="57" xfId="0" applyFont="1" applyBorder="1" applyAlignment="1">
      <alignment horizontal="left"/>
    </xf>
    <xf numFmtId="0" fontId="10" fillId="9" borderId="1" xfId="0" applyFont="1" applyFill="1" applyBorder="1" applyAlignment="1">
      <alignment horizontal="center" vertical="center"/>
    </xf>
    <xf numFmtId="9" fontId="11" fillId="9" borderId="1" xfId="0" applyNumberFormat="1" applyFont="1" applyFill="1" applyBorder="1" applyAlignment="1">
      <alignment horizontal="center" vertical="center"/>
    </xf>
    <xf numFmtId="9" fontId="10" fillId="5" borderId="86" xfId="0" applyNumberFormat="1" applyFont="1" applyFill="1" applyBorder="1" applyAlignment="1">
      <alignment horizontal="center"/>
    </xf>
    <xf numFmtId="0" fontId="18" fillId="0" borderId="100" xfId="0" applyFont="1" applyBorder="1"/>
    <xf numFmtId="9" fontId="10" fillId="5" borderId="115" xfId="0" applyNumberFormat="1" applyFont="1" applyFill="1" applyBorder="1" applyAlignment="1">
      <alignment horizontal="center"/>
    </xf>
    <xf numFmtId="9" fontId="10" fillId="5" borderId="116" xfId="0" applyNumberFormat="1" applyFont="1" applyFill="1" applyBorder="1" applyAlignment="1">
      <alignment horizontal="center"/>
    </xf>
    <xf numFmtId="9" fontId="10" fillId="5" borderId="117" xfId="0" applyNumberFormat="1" applyFont="1" applyFill="1" applyBorder="1" applyAlignment="1">
      <alignment horizontal="center"/>
    </xf>
    <xf numFmtId="0" fontId="6" fillId="0" borderId="40" xfId="4" applyBorder="1"/>
    <xf numFmtId="0" fontId="6" fillId="0" borderId="40" xfId="4" applyBorder="1" applyAlignment="1">
      <alignment horizontal="center" vertical="center"/>
    </xf>
    <xf numFmtId="0" fontId="60" fillId="0" borderId="42" xfId="3" applyFont="1" applyBorder="1" applyAlignment="1">
      <alignment horizontal="left" vertical="center"/>
    </xf>
    <xf numFmtId="0" fontId="60" fillId="0" borderId="120" xfId="3" applyFont="1" applyBorder="1" applyAlignment="1">
      <alignment horizontal="left" vertical="center"/>
    </xf>
    <xf numFmtId="0" fontId="6" fillId="0" borderId="42" xfId="4" applyBorder="1" applyAlignment="1">
      <alignment horizontal="center" vertical="center"/>
    </xf>
    <xf numFmtId="0" fontId="56" fillId="2" borderId="45" xfId="0" applyFont="1" applyFill="1" applyBorder="1" applyAlignment="1">
      <alignment horizontal="center" vertical="center"/>
    </xf>
    <xf numFmtId="0" fontId="7" fillId="2" borderId="57" xfId="0" applyFont="1" applyFill="1" applyBorder="1" applyAlignment="1">
      <alignment horizontal="center" vertical="center"/>
    </xf>
    <xf numFmtId="0" fontId="78" fillId="2" borderId="73" xfId="0" applyFont="1" applyFill="1" applyBorder="1" applyAlignment="1">
      <alignment horizontal="center" vertical="center"/>
    </xf>
    <xf numFmtId="0" fontId="7" fillId="2" borderId="82" xfId="0" applyFont="1" applyFill="1" applyBorder="1" applyAlignment="1">
      <alignment horizontal="center" vertical="center"/>
    </xf>
    <xf numFmtId="0" fontId="55" fillId="3" borderId="45" xfId="0" applyFont="1" applyFill="1" applyBorder="1" applyAlignment="1">
      <alignment horizontal="center" vertical="center"/>
    </xf>
    <xf numFmtId="0" fontId="10" fillId="3" borderId="57" xfId="0" applyFont="1" applyFill="1" applyBorder="1" applyAlignment="1">
      <alignment horizontal="center" vertical="center"/>
    </xf>
    <xf numFmtId="0" fontId="10" fillId="3" borderId="82" xfId="0" applyFont="1" applyFill="1" applyBorder="1" applyAlignment="1">
      <alignment horizontal="center" vertical="center"/>
    </xf>
    <xf numFmtId="0" fontId="55" fillId="5" borderId="45" xfId="0" applyFont="1" applyFill="1" applyBorder="1" applyAlignment="1">
      <alignment horizontal="center" vertical="center"/>
    </xf>
    <xf numFmtId="0" fontId="79" fillId="4" borderId="73" xfId="0" applyFont="1" applyFill="1" applyBorder="1" applyAlignment="1">
      <alignment horizontal="center" vertical="center"/>
    </xf>
    <xf numFmtId="0" fontId="55" fillId="0" borderId="45" xfId="0" applyFont="1" applyBorder="1" applyAlignment="1">
      <alignment horizontal="center" vertical="center"/>
    </xf>
    <xf numFmtId="0" fontId="55" fillId="0" borderId="57" xfId="0" applyFont="1" applyBorder="1" applyAlignment="1">
      <alignment horizontal="center" vertical="center"/>
    </xf>
    <xf numFmtId="0" fontId="55" fillId="0" borderId="0" xfId="0" applyFont="1" applyAlignment="1">
      <alignment horizontal="center" vertical="center"/>
    </xf>
    <xf numFmtId="0" fontId="10" fillId="0" borderId="4" xfId="0" applyFont="1" applyBorder="1" applyAlignment="1">
      <alignment horizontal="center" vertical="center"/>
    </xf>
    <xf numFmtId="0" fontId="22" fillId="9" borderId="40" xfId="1" applyFont="1" applyFill="1" applyBorder="1" applyAlignment="1">
      <alignment horizontal="center" vertical="center" wrapText="1"/>
    </xf>
    <xf numFmtId="2" fontId="6" fillId="0" borderId="40" xfId="4" applyNumberFormat="1" applyBorder="1"/>
    <xf numFmtId="2" fontId="6" fillId="0" borderId="0" xfId="4" applyNumberFormat="1"/>
    <xf numFmtId="164" fontId="6" fillId="0" borderId="121" xfId="4" applyNumberFormat="1" applyBorder="1"/>
    <xf numFmtId="164" fontId="6" fillId="0" borderId="40" xfId="4" applyNumberFormat="1" applyBorder="1" applyAlignment="1">
      <alignment horizontal="center" vertical="center"/>
    </xf>
    <xf numFmtId="164" fontId="6" fillId="0" borderId="40" xfId="4" applyNumberFormat="1" applyBorder="1"/>
    <xf numFmtId="164" fontId="6" fillId="0" borderId="119" xfId="4" applyNumberFormat="1" applyBorder="1" applyAlignment="1">
      <alignment horizontal="center" vertical="center"/>
    </xf>
    <xf numFmtId="0" fontId="12" fillId="6" borderId="50" xfId="0" applyFont="1" applyFill="1" applyBorder="1" applyAlignment="1">
      <alignment vertical="center"/>
    </xf>
    <xf numFmtId="0" fontId="12" fillId="6" borderId="47" xfId="0" applyFont="1" applyFill="1" applyBorder="1" applyAlignment="1">
      <alignment vertical="center"/>
    </xf>
    <xf numFmtId="0" fontId="12" fillId="6" borderId="48" xfId="0" applyFont="1" applyFill="1" applyBorder="1" applyAlignment="1">
      <alignment vertical="center"/>
    </xf>
    <xf numFmtId="0" fontId="25" fillId="9" borderId="46" xfId="1" applyFont="1" applyFill="1" applyBorder="1" applyAlignment="1">
      <alignment horizontal="center" vertical="top" wrapText="1"/>
    </xf>
    <xf numFmtId="0" fontId="25" fillId="14" borderId="46" xfId="1" applyFont="1" applyFill="1" applyBorder="1" applyAlignment="1">
      <alignment horizontal="center" vertical="top" wrapText="1"/>
    </xf>
    <xf numFmtId="0" fontId="25" fillId="15" borderId="46" xfId="1" applyFont="1" applyFill="1" applyBorder="1" applyAlignment="1">
      <alignment horizontal="center" vertical="top" wrapText="1"/>
    </xf>
    <xf numFmtId="0" fontId="25" fillId="11" borderId="46" xfId="1" applyFont="1" applyFill="1" applyBorder="1" applyAlignment="1">
      <alignment horizontal="center" vertical="top" wrapText="1"/>
    </xf>
    <xf numFmtId="0" fontId="25" fillId="0" borderId="46" xfId="1" applyFont="1" applyBorder="1" applyAlignment="1">
      <alignment horizontal="center" vertical="top" wrapText="1"/>
    </xf>
    <xf numFmtId="0" fontId="12" fillId="6" borderId="15" xfId="0" applyFont="1" applyFill="1" applyBorder="1" applyAlignment="1">
      <alignment vertical="center"/>
    </xf>
    <xf numFmtId="0" fontId="12" fillId="6" borderId="19" xfId="0" applyFont="1" applyFill="1" applyBorder="1" applyAlignment="1">
      <alignment vertical="center"/>
    </xf>
    <xf numFmtId="0" fontId="25" fillId="9" borderId="2" xfId="1" applyFont="1" applyFill="1" applyBorder="1" applyAlignment="1">
      <alignment horizontal="center" wrapText="1"/>
    </xf>
    <xf numFmtId="0" fontId="25" fillId="11" borderId="2" xfId="1" applyFont="1" applyFill="1" applyBorder="1" applyAlignment="1">
      <alignment horizontal="center" wrapText="1"/>
    </xf>
    <xf numFmtId="0" fontId="25" fillId="15" borderId="2" xfId="1" applyFont="1" applyFill="1" applyBorder="1" applyAlignment="1">
      <alignment horizontal="center" wrapText="1"/>
    </xf>
    <xf numFmtId="0" fontId="25" fillId="14" borderId="2" xfId="1" applyFont="1" applyFill="1" applyBorder="1" applyAlignment="1">
      <alignment horizontal="center" wrapText="1"/>
    </xf>
    <xf numFmtId="0" fontId="6" fillId="0" borderId="119" xfId="4" applyBorder="1" applyAlignment="1">
      <alignment horizontal="center" vertical="center"/>
    </xf>
    <xf numFmtId="0" fontId="5" fillId="0" borderId="40" xfId="4" applyFont="1" applyBorder="1" applyAlignment="1">
      <alignment horizontal="center" vertical="center"/>
    </xf>
    <xf numFmtId="0" fontId="10" fillId="0" borderId="82" xfId="0" applyFont="1" applyBorder="1" applyAlignment="1">
      <alignment horizontal="right"/>
    </xf>
    <xf numFmtId="1" fontId="10" fillId="0" borderId="57" xfId="0" applyNumberFormat="1" applyFont="1" applyBorder="1" applyAlignment="1">
      <alignment horizontal="right"/>
    </xf>
    <xf numFmtId="0" fontId="55" fillId="0" borderId="1" xfId="0" applyFont="1" applyBorder="1" applyAlignment="1">
      <alignment horizontal="right"/>
    </xf>
    <xf numFmtId="0" fontId="0" fillId="0" borderId="1" xfId="0" applyBorder="1" applyAlignment="1">
      <alignment horizontal="center" vertical="center"/>
    </xf>
    <xf numFmtId="0" fontId="11" fillId="0" borderId="82" xfId="0" applyFont="1" applyBorder="1" applyAlignment="1">
      <alignment horizontal="center" vertical="center"/>
    </xf>
    <xf numFmtId="0" fontId="0" fillId="0" borderId="45" xfId="0" applyBorder="1" applyAlignment="1">
      <alignment horizontal="center" vertical="center"/>
    </xf>
    <xf numFmtId="0" fontId="55" fillId="0" borderId="82" xfId="0" applyFont="1" applyBorder="1" applyAlignment="1">
      <alignment horizontal="center" vertical="center"/>
    </xf>
    <xf numFmtId="0" fontId="0" fillId="0" borderId="57" xfId="0" applyBorder="1" applyAlignment="1">
      <alignment horizontal="center" vertical="center"/>
    </xf>
    <xf numFmtId="0" fontId="10" fillId="0" borderId="73" xfId="0" applyFont="1" applyBorder="1" applyAlignment="1">
      <alignment horizontal="center" vertical="center"/>
    </xf>
    <xf numFmtId="0" fontId="79" fillId="0" borderId="82" xfId="0" applyFont="1" applyBorder="1" applyAlignment="1">
      <alignment horizontal="center" vertical="center"/>
    </xf>
    <xf numFmtId="0" fontId="0" fillId="0" borderId="73" xfId="0" applyBorder="1" applyAlignment="1">
      <alignment horizontal="center" vertical="center"/>
    </xf>
    <xf numFmtId="0" fontId="79" fillId="0" borderId="0" xfId="0" applyFont="1" applyAlignment="1">
      <alignment horizontal="center" vertical="center"/>
    </xf>
    <xf numFmtId="0" fontId="0" fillId="0" borderId="82" xfId="0" applyBorder="1" applyAlignment="1">
      <alignment horizontal="center" vertical="center"/>
    </xf>
    <xf numFmtId="0" fontId="11" fillId="0" borderId="82" xfId="0" applyFont="1" applyBorder="1" applyAlignment="1">
      <alignment horizontal="right"/>
    </xf>
    <xf numFmtId="0" fontId="6" fillId="0" borderId="122" xfId="4" applyBorder="1"/>
    <xf numFmtId="0" fontId="0" fillId="20" borderId="122" xfId="0" applyFill="1" applyBorder="1"/>
    <xf numFmtId="0" fontId="0" fillId="0" borderId="122" xfId="0" applyBorder="1"/>
    <xf numFmtId="0" fontId="6" fillId="20" borderId="122" xfId="4" applyFill="1" applyBorder="1"/>
    <xf numFmtId="164" fontId="6" fillId="0" borderId="122" xfId="4" applyNumberFormat="1" applyBorder="1"/>
    <xf numFmtId="0" fontId="18" fillId="21" borderId="122" xfId="3" applyFill="1" applyBorder="1" applyAlignment="1">
      <alignment horizontal="center"/>
    </xf>
    <xf numFmtId="1" fontId="6" fillId="0" borderId="122" xfId="4" applyNumberFormat="1" applyBorder="1" applyAlignment="1">
      <alignment horizontal="center"/>
    </xf>
    <xf numFmtId="0" fontId="60" fillId="0" borderId="122" xfId="3" applyFont="1" applyBorder="1" applyAlignment="1">
      <alignment horizontal="left" vertical="center"/>
    </xf>
    <xf numFmtId="0" fontId="0" fillId="7" borderId="122" xfId="0" applyFill="1" applyBorder="1"/>
    <xf numFmtId="0" fontId="0" fillId="20" borderId="26" xfId="0" applyFill="1" applyBorder="1"/>
    <xf numFmtId="0" fontId="0" fillId="7" borderId="26" xfId="0" applyFill="1" applyBorder="1"/>
    <xf numFmtId="0" fontId="0" fillId="18" borderId="26" xfId="0" applyFill="1" applyBorder="1"/>
    <xf numFmtId="0" fontId="6" fillId="7" borderId="122" xfId="4" applyFill="1" applyBorder="1"/>
    <xf numFmtId="0" fontId="16" fillId="7" borderId="122" xfId="4" applyFont="1" applyFill="1" applyBorder="1" applyAlignment="1">
      <alignment horizontal="center"/>
    </xf>
    <xf numFmtId="0" fontId="18" fillId="7" borderId="122" xfId="3" applyFill="1" applyBorder="1" applyAlignment="1">
      <alignment horizontal="center"/>
    </xf>
    <xf numFmtId="0" fontId="6" fillId="0" borderId="55" xfId="4" applyBorder="1"/>
    <xf numFmtId="0" fontId="60" fillId="7" borderId="122" xfId="3" applyFont="1" applyFill="1" applyBorder="1" applyAlignment="1">
      <alignment horizontal="center" vertical="center"/>
    </xf>
    <xf numFmtId="0" fontId="0" fillId="21" borderId="0" xfId="0" applyFill="1" applyAlignment="1">
      <alignment horizontal="center"/>
    </xf>
    <xf numFmtId="0" fontId="10" fillId="0" borderId="82" xfId="0" applyFont="1" applyBorder="1" applyAlignment="1">
      <alignment horizontal="left"/>
    </xf>
    <xf numFmtId="9" fontId="11" fillId="0" borderId="82" xfId="0" applyNumberFormat="1" applyFont="1" applyBorder="1" applyAlignment="1">
      <alignment horizontal="center"/>
    </xf>
    <xf numFmtId="0" fontId="11" fillId="0" borderId="82" xfId="0" applyFont="1" applyBorder="1" applyAlignment="1">
      <alignment horizontal="center"/>
    </xf>
    <xf numFmtId="0" fontId="55" fillId="0" borderId="82" xfId="0" applyFont="1" applyBorder="1" applyAlignment="1">
      <alignment horizontal="center"/>
    </xf>
    <xf numFmtId="9" fontId="55" fillId="0" borderId="82" xfId="0" applyNumberFormat="1" applyFont="1" applyBorder="1" applyAlignment="1">
      <alignment horizontal="center"/>
    </xf>
    <xf numFmtId="0" fontId="79" fillId="0" borderId="82" xfId="0" applyFont="1" applyBorder="1" applyAlignment="1">
      <alignment horizontal="center"/>
    </xf>
    <xf numFmtId="9" fontId="79" fillId="0" borderId="82" xfId="0" applyNumberFormat="1" applyFont="1" applyBorder="1" applyAlignment="1">
      <alignment horizontal="center"/>
    </xf>
    <xf numFmtId="0" fontId="11" fillId="0" borderId="82" xfId="0" applyFont="1" applyBorder="1" applyAlignment="1">
      <alignment horizontal="left"/>
    </xf>
    <xf numFmtId="0" fontId="55" fillId="0" borderId="1" xfId="0" applyFont="1" applyBorder="1" applyAlignment="1">
      <alignment horizontal="left"/>
    </xf>
    <xf numFmtId="0" fontId="10" fillId="0" borderId="45" xfId="0" applyFont="1" applyBorder="1" applyAlignment="1">
      <alignment horizontal="left"/>
    </xf>
    <xf numFmtId="0" fontId="0" fillId="0" borderId="45" xfId="0" applyBorder="1"/>
    <xf numFmtId="0" fontId="55" fillId="0" borderId="0" xfId="0" applyFont="1" applyAlignment="1">
      <alignment horizontal="center"/>
    </xf>
    <xf numFmtId="9" fontId="55" fillId="0" borderId="0" xfId="0" applyNumberFormat="1" applyFont="1" applyAlignment="1">
      <alignment horizontal="center"/>
    </xf>
    <xf numFmtId="0" fontId="0" fillId="0" borderId="57" xfId="0" applyBorder="1"/>
    <xf numFmtId="0" fontId="0" fillId="0" borderId="82" xfId="0" applyBorder="1"/>
    <xf numFmtId="0" fontId="0" fillId="0" borderId="73" xfId="0" applyBorder="1"/>
    <xf numFmtId="0" fontId="79" fillId="0" borderId="0" xfId="0" applyFont="1" applyAlignment="1">
      <alignment horizontal="center"/>
    </xf>
    <xf numFmtId="9" fontId="79" fillId="0" borderId="0" xfId="0" applyNumberFormat="1" applyFont="1" applyAlignment="1">
      <alignment horizontal="center"/>
    </xf>
    <xf numFmtId="0" fontId="10" fillId="0" borderId="73" xfId="0" applyFont="1" applyBorder="1" applyAlignment="1">
      <alignment horizontal="center"/>
    </xf>
    <xf numFmtId="9" fontId="10" fillId="0" borderId="73" xfId="0" applyNumberFormat="1" applyFont="1" applyBorder="1" applyAlignment="1">
      <alignment horizontal="center"/>
    </xf>
    <xf numFmtId="9" fontId="11" fillId="0" borderId="82" xfId="0" applyNumberFormat="1" applyFont="1" applyBorder="1" applyAlignment="1">
      <alignment horizontal="center" vertical="center"/>
    </xf>
    <xf numFmtId="0" fontId="55" fillId="0" borderId="1" xfId="0" applyFont="1" applyBorder="1" applyAlignment="1">
      <alignment horizontal="center"/>
    </xf>
    <xf numFmtId="9" fontId="79" fillId="0" borderId="82" xfId="0" applyNumberFormat="1" applyFont="1" applyBorder="1" applyAlignment="1">
      <alignment horizontal="center" vertical="center"/>
    </xf>
    <xf numFmtId="0" fontId="11" fillId="0" borderId="4" xfId="0" applyFont="1" applyBorder="1" applyAlignment="1">
      <alignment horizontal="right"/>
    </xf>
    <xf numFmtId="0" fontId="0" fillId="0" borderId="73" xfId="0" applyBorder="1" applyAlignment="1">
      <alignment vertical="center"/>
    </xf>
    <xf numFmtId="9" fontId="79" fillId="0" borderId="0" xfId="0" applyNumberFormat="1" applyFont="1" applyAlignment="1">
      <alignment horizontal="center" vertical="center"/>
    </xf>
    <xf numFmtId="0" fontId="0" fillId="0" borderId="82" xfId="0" applyBorder="1" applyAlignment="1">
      <alignment vertical="center"/>
    </xf>
    <xf numFmtId="9" fontId="10" fillId="0" borderId="73" xfId="0" applyNumberFormat="1" applyFont="1" applyBorder="1" applyAlignment="1">
      <alignment horizontal="center" vertical="center"/>
    </xf>
    <xf numFmtId="9" fontId="10" fillId="0" borderId="0" xfId="0" applyNumberFormat="1" applyFont="1" applyAlignment="1">
      <alignment horizontal="center" vertical="center"/>
    </xf>
    <xf numFmtId="9" fontId="78" fillId="2" borderId="73" xfId="0" applyNumberFormat="1" applyFont="1" applyFill="1" applyBorder="1" applyAlignment="1">
      <alignment horizontal="center" vertical="center"/>
    </xf>
    <xf numFmtId="1" fontId="10" fillId="0" borderId="82" xfId="0" applyNumberFormat="1" applyFont="1" applyBorder="1" applyAlignment="1">
      <alignment horizontal="center" vertical="center"/>
    </xf>
    <xf numFmtId="0" fontId="10" fillId="4" borderId="125" xfId="0" applyFont="1" applyFill="1" applyBorder="1" applyAlignment="1">
      <alignment horizontal="center"/>
    </xf>
    <xf numFmtId="1" fontId="6" fillId="0" borderId="23" xfId="4" applyNumberFormat="1" applyBorder="1" applyAlignment="1">
      <alignment horizontal="left"/>
    </xf>
    <xf numFmtId="0" fontId="82" fillId="0" borderId="40" xfId="0" applyFont="1" applyBorder="1" applyAlignment="1">
      <alignment horizontal="center"/>
    </xf>
    <xf numFmtId="0" fontId="0" fillId="18" borderId="0" xfId="0" applyFill="1"/>
    <xf numFmtId="0" fontId="0" fillId="7" borderId="53" xfId="0" applyFill="1" applyBorder="1"/>
    <xf numFmtId="0" fontId="60" fillId="0" borderId="0" xfId="3" applyFont="1" applyAlignment="1">
      <alignment horizontal="left" vertical="center"/>
    </xf>
    <xf numFmtId="0" fontId="0" fillId="20" borderId="120" xfId="0" applyFill="1" applyBorder="1"/>
    <xf numFmtId="0" fontId="0" fillId="0" borderId="120" xfId="0" applyBorder="1"/>
    <xf numFmtId="0" fontId="0" fillId="7" borderId="54" xfId="0" applyFill="1" applyBorder="1"/>
    <xf numFmtId="0" fontId="0" fillId="7" borderId="60" xfId="0" applyFill="1" applyBorder="1"/>
    <xf numFmtId="0" fontId="6" fillId="7" borderId="0" xfId="4" applyFill="1"/>
    <xf numFmtId="0" fontId="6" fillId="7" borderId="53" xfId="4" applyFill="1" applyBorder="1"/>
    <xf numFmtId="0" fontId="6" fillId="20" borderId="120" xfId="4" applyFill="1" applyBorder="1"/>
    <xf numFmtId="1" fontId="6" fillId="0" borderId="23" xfId="4" applyNumberFormat="1" applyBorder="1"/>
    <xf numFmtId="0" fontId="6" fillId="0" borderId="120" xfId="4" applyBorder="1"/>
    <xf numFmtId="164" fontId="6" fillId="0" borderId="120" xfId="4" applyNumberFormat="1" applyBorder="1"/>
    <xf numFmtId="0" fontId="16" fillId="7" borderId="0" xfId="4" applyFont="1" applyFill="1" applyAlignment="1">
      <alignment horizontal="center"/>
    </xf>
    <xf numFmtId="0" fontId="43" fillId="20" borderId="120" xfId="3" applyFont="1" applyFill="1" applyBorder="1" applyAlignment="1">
      <alignment horizontal="center"/>
    </xf>
    <xf numFmtId="0" fontId="16" fillId="21" borderId="122" xfId="4" applyFont="1" applyFill="1" applyBorder="1" applyAlignment="1">
      <alignment horizontal="center"/>
    </xf>
    <xf numFmtId="0" fontId="43" fillId="21" borderId="58" xfId="3" applyFont="1" applyFill="1" applyBorder="1" applyAlignment="1">
      <alignment horizontal="center"/>
    </xf>
    <xf numFmtId="0" fontId="43" fillId="7" borderId="53" xfId="3" applyFont="1" applyFill="1" applyBorder="1" applyAlignment="1">
      <alignment horizontal="center"/>
    </xf>
    <xf numFmtId="0" fontId="18" fillId="7" borderId="0" xfId="3" applyFill="1" applyAlignment="1">
      <alignment horizontal="center"/>
    </xf>
    <xf numFmtId="0" fontId="18" fillId="20" borderId="120" xfId="3" applyFill="1" applyBorder="1" applyAlignment="1">
      <alignment horizontal="center"/>
    </xf>
    <xf numFmtId="0" fontId="6" fillId="18" borderId="0" xfId="4" applyFill="1"/>
    <xf numFmtId="0" fontId="6" fillId="7" borderId="0" xfId="4" applyFill="1" applyAlignment="1">
      <alignment horizontal="center"/>
    </xf>
    <xf numFmtId="0" fontId="6" fillId="7" borderId="53" xfId="4" applyFill="1" applyBorder="1" applyAlignment="1">
      <alignment horizontal="center"/>
    </xf>
    <xf numFmtId="0" fontId="6" fillId="20" borderId="120" xfId="4" applyFill="1" applyBorder="1" applyAlignment="1">
      <alignment horizontal="center"/>
    </xf>
    <xf numFmtId="1" fontId="6" fillId="0" borderId="0" xfId="4" applyNumberFormat="1" applyAlignment="1">
      <alignment horizontal="center"/>
    </xf>
    <xf numFmtId="1" fontId="6" fillId="0" borderId="120" xfId="4" applyNumberFormat="1" applyBorder="1" applyAlignment="1">
      <alignment horizontal="center"/>
    </xf>
    <xf numFmtId="0" fontId="0" fillId="0" borderId="55" xfId="0" applyBorder="1"/>
    <xf numFmtId="0" fontId="6" fillId="20" borderId="0" xfId="4" applyFill="1" applyAlignment="1">
      <alignment horizontal="center"/>
    </xf>
    <xf numFmtId="0" fontId="6" fillId="21" borderId="0" xfId="4" applyFill="1" applyAlignment="1">
      <alignment horizontal="center"/>
    </xf>
    <xf numFmtId="0" fontId="60" fillId="7" borderId="0" xfId="3" applyFont="1" applyFill="1" applyAlignment="1">
      <alignment horizontal="center" vertical="center"/>
    </xf>
    <xf numFmtId="0" fontId="60" fillId="20" borderId="0" xfId="3" applyFont="1" applyFill="1" applyAlignment="1">
      <alignment horizontal="center" vertical="center"/>
    </xf>
    <xf numFmtId="0" fontId="60" fillId="20" borderId="120" xfId="3" applyFont="1" applyFill="1" applyBorder="1" applyAlignment="1">
      <alignment horizontal="center" vertical="center"/>
    </xf>
    <xf numFmtId="0" fontId="60" fillId="21" borderId="0" xfId="3" applyFont="1" applyFill="1" applyAlignment="1">
      <alignment horizontal="center" vertical="center"/>
    </xf>
    <xf numFmtId="0" fontId="0" fillId="20" borderId="0" xfId="0" applyFill="1" applyAlignment="1">
      <alignment horizontal="center"/>
    </xf>
    <xf numFmtId="0" fontId="0" fillId="7" borderId="0" xfId="0" applyFill="1" applyAlignment="1">
      <alignment horizontal="center"/>
    </xf>
    <xf numFmtId="0" fontId="80" fillId="18" borderId="0" xfId="0" applyFont="1" applyFill="1" applyAlignment="1">
      <alignment horizontal="center"/>
    </xf>
    <xf numFmtId="0" fontId="0" fillId="0" borderId="40" xfId="0" applyBorder="1" applyAlignment="1">
      <alignment horizontal="center"/>
    </xf>
    <xf numFmtId="0" fontId="6" fillId="0" borderId="0" xfId="4" applyAlignment="1">
      <alignment horizontal="right"/>
    </xf>
    <xf numFmtId="0" fontId="19" fillId="17" borderId="34" xfId="4" applyFont="1" applyFill="1" applyBorder="1" applyAlignment="1">
      <alignment horizontal="right" vertical="center" wrapText="1"/>
    </xf>
    <xf numFmtId="0" fontId="10" fillId="0" borderId="0" xfId="0" applyFont="1" applyAlignment="1">
      <alignment horizontal="left"/>
    </xf>
    <xf numFmtId="1" fontId="11" fillId="0" borderId="82" xfId="0" applyNumberFormat="1" applyFont="1" applyBorder="1" applyAlignment="1">
      <alignment horizontal="center" vertical="center"/>
    </xf>
    <xf numFmtId="164" fontId="0" fillId="0" borderId="122" xfId="0" applyNumberFormat="1" applyBorder="1"/>
    <xf numFmtId="0" fontId="0" fillId="0" borderId="123" xfId="0" applyBorder="1"/>
    <xf numFmtId="0" fontId="0" fillId="12" borderId="123" xfId="0" applyFill="1" applyBorder="1" applyAlignment="1">
      <alignment horizontal="center"/>
    </xf>
    <xf numFmtId="0" fontId="6" fillId="0" borderId="123" xfId="4" applyBorder="1"/>
    <xf numFmtId="0" fontId="0" fillId="7" borderId="123" xfId="0" applyFill="1" applyBorder="1" applyAlignment="1">
      <alignment horizontal="center"/>
    </xf>
    <xf numFmtId="0" fontId="0" fillId="21" borderId="123" xfId="0" applyFill="1" applyBorder="1" applyAlignment="1">
      <alignment horizontal="center"/>
    </xf>
    <xf numFmtId="0" fontId="0" fillId="20" borderId="123" xfId="0" applyFill="1" applyBorder="1" applyAlignment="1">
      <alignment horizontal="center"/>
    </xf>
    <xf numFmtId="0" fontId="80" fillId="18" borderId="123" xfId="0" applyFont="1" applyFill="1" applyBorder="1" applyAlignment="1">
      <alignment horizontal="center"/>
    </xf>
    <xf numFmtId="0" fontId="10" fillId="7" borderId="1" xfId="0" applyFont="1" applyFill="1" applyBorder="1"/>
    <xf numFmtId="0" fontId="3" fillId="0" borderId="23" xfId="4" applyFont="1" applyBorder="1"/>
    <xf numFmtId="0" fontId="6" fillId="0" borderId="127" xfId="4" applyBorder="1" applyAlignment="1">
      <alignment horizontal="center" vertical="center"/>
    </xf>
    <xf numFmtId="0" fontId="6" fillId="0" borderId="128" xfId="4" applyBorder="1" applyAlignment="1">
      <alignment horizontal="center" vertical="center"/>
    </xf>
    <xf numFmtId="164" fontId="6" fillId="0" borderId="128" xfId="4" applyNumberFormat="1" applyBorder="1" applyAlignment="1">
      <alignment horizontal="center" vertical="center"/>
    </xf>
    <xf numFmtId="0" fontId="6" fillId="0" borderId="129" xfId="4" applyBorder="1"/>
    <xf numFmtId="0" fontId="0" fillId="0" borderId="129" xfId="0" applyBorder="1"/>
    <xf numFmtId="164" fontId="0" fillId="0" borderId="129" xfId="0" applyNumberFormat="1" applyBorder="1"/>
    <xf numFmtId="0" fontId="6" fillId="0" borderId="129" xfId="4" applyBorder="1" applyAlignment="1">
      <alignment horizontal="center" vertical="center"/>
    </xf>
    <xf numFmtId="164" fontId="6" fillId="0" borderId="129" xfId="4" applyNumberFormat="1" applyBorder="1" applyAlignment="1">
      <alignment horizontal="center" vertical="center"/>
    </xf>
    <xf numFmtId="0" fontId="60" fillId="0" borderId="40" xfId="3" applyFont="1" applyBorder="1" applyAlignment="1">
      <alignment horizontal="left" vertical="center"/>
    </xf>
    <xf numFmtId="0" fontId="18" fillId="0" borderId="40" xfId="0" applyFont="1" applyBorder="1" applyAlignment="1">
      <alignment horizontal="center"/>
    </xf>
    <xf numFmtId="0" fontId="6" fillId="0" borderId="130" xfId="4" applyBorder="1"/>
    <xf numFmtId="0" fontId="0" fillId="0" borderId="131" xfId="0" applyBorder="1"/>
    <xf numFmtId="0" fontId="60" fillId="0" borderId="130" xfId="3" applyFont="1" applyBorder="1" applyAlignment="1">
      <alignment horizontal="left" vertical="center"/>
    </xf>
    <xf numFmtId="0" fontId="11" fillId="0" borderId="45" xfId="0" applyFont="1" applyBorder="1" applyAlignment="1">
      <alignment horizontal="left"/>
    </xf>
    <xf numFmtId="0" fontId="10" fillId="0" borderId="132" xfId="0" applyFont="1" applyBorder="1" applyAlignment="1">
      <alignment horizontal="center"/>
    </xf>
    <xf numFmtId="0" fontId="10" fillId="0" borderId="132" xfId="0" applyFont="1" applyBorder="1" applyAlignment="1">
      <alignment horizontal="center" vertical="center"/>
    </xf>
    <xf numFmtId="0" fontId="11" fillId="0" borderId="132" xfId="0" applyFont="1" applyBorder="1" applyAlignment="1">
      <alignment horizontal="center" vertical="center"/>
    </xf>
    <xf numFmtId="0" fontId="55" fillId="0" borderId="132" xfId="0" applyFont="1" applyBorder="1" applyAlignment="1">
      <alignment horizontal="center" vertical="center"/>
    </xf>
    <xf numFmtId="0" fontId="10" fillId="7" borderId="57" xfId="0" applyFont="1" applyFill="1" applyBorder="1"/>
    <xf numFmtId="0" fontId="10" fillId="7" borderId="57" xfId="0" applyFont="1" applyFill="1" applyBorder="1" applyAlignment="1">
      <alignment horizontal="left"/>
    </xf>
    <xf numFmtId="0" fontId="6" fillId="0" borderId="133" xfId="4" applyBorder="1"/>
    <xf numFmtId="0" fontId="0" fillId="20" borderId="133" xfId="0" applyFill="1" applyBorder="1"/>
    <xf numFmtId="0" fontId="0" fillId="0" borderId="133" xfId="0" applyBorder="1"/>
    <xf numFmtId="0" fontId="0" fillId="7" borderId="133" xfId="0" applyFill="1" applyBorder="1"/>
    <xf numFmtId="0" fontId="6" fillId="7" borderId="133" xfId="4" applyFill="1" applyBorder="1"/>
    <xf numFmtId="164" fontId="6" fillId="0" borderId="133" xfId="4" applyNumberFormat="1" applyBorder="1"/>
    <xf numFmtId="0" fontId="16" fillId="7" borderId="133" xfId="4" applyFont="1" applyFill="1" applyBorder="1" applyAlignment="1">
      <alignment horizontal="center"/>
    </xf>
    <xf numFmtId="0" fontId="18" fillId="7" borderId="133" xfId="3" applyFill="1" applyBorder="1" applyAlignment="1">
      <alignment horizontal="center"/>
    </xf>
    <xf numFmtId="0" fontId="6" fillId="20" borderId="133" xfId="4" applyFill="1" applyBorder="1" applyAlignment="1">
      <alignment horizontal="center"/>
    </xf>
    <xf numFmtId="1" fontId="6" fillId="0" borderId="133" xfId="4" applyNumberFormat="1" applyBorder="1" applyAlignment="1">
      <alignment horizontal="center"/>
    </xf>
    <xf numFmtId="0" fontId="60" fillId="20" borderId="133" xfId="3" applyFont="1" applyFill="1" applyBorder="1" applyAlignment="1">
      <alignment horizontal="center" vertical="center"/>
    </xf>
    <xf numFmtId="0" fontId="60" fillId="0" borderId="133" xfId="3" applyFont="1" applyBorder="1" applyAlignment="1">
      <alignment horizontal="left" vertical="center"/>
    </xf>
    <xf numFmtId="164" fontId="0" fillId="0" borderId="133" xfId="0" applyNumberFormat="1" applyBorder="1"/>
    <xf numFmtId="0" fontId="6" fillId="0" borderId="133" xfId="4" applyBorder="1" applyAlignment="1">
      <alignment horizontal="center" vertical="center"/>
    </xf>
    <xf numFmtId="164" fontId="6" fillId="0" borderId="133" xfId="4" applyNumberFormat="1" applyBorder="1" applyAlignment="1">
      <alignment horizontal="center" vertical="center"/>
    </xf>
    <xf numFmtId="0" fontId="0" fillId="20" borderId="133" xfId="0" applyFill="1" applyBorder="1" applyAlignment="1">
      <alignment horizontal="center"/>
    </xf>
    <xf numFmtId="0" fontId="0" fillId="0" borderId="0" xfId="0" applyAlignment="1">
      <alignment horizontal="left"/>
    </xf>
    <xf numFmtId="0" fontId="7" fillId="6" borderId="2" xfId="0" applyFont="1" applyFill="1" applyBorder="1" applyAlignment="1">
      <alignment horizontal="left" vertical="center" wrapText="1"/>
    </xf>
    <xf numFmtId="49" fontId="10" fillId="0" borderId="57" xfId="0" applyNumberFormat="1" applyFont="1" applyBorder="1" applyAlignment="1">
      <alignment horizontal="left"/>
    </xf>
    <xf numFmtId="49" fontId="10" fillId="0" borderId="1" xfId="0" applyNumberFormat="1" applyFont="1" applyBorder="1" applyAlignment="1">
      <alignment horizontal="left"/>
    </xf>
    <xf numFmtId="0" fontId="6" fillId="7" borderId="133" xfId="4" applyFill="1" applyBorder="1" applyAlignment="1">
      <alignment horizontal="center"/>
    </xf>
    <xf numFmtId="0" fontId="60" fillId="7" borderId="133" xfId="3" applyFont="1" applyFill="1" applyBorder="1" applyAlignment="1">
      <alignment horizontal="center" vertical="center"/>
    </xf>
    <xf numFmtId="0" fontId="11" fillId="7" borderId="1" xfId="0" applyFont="1" applyFill="1" applyBorder="1" applyAlignment="1">
      <alignment horizontal="left"/>
    </xf>
    <xf numFmtId="0" fontId="11" fillId="7" borderId="45" xfId="0" applyFont="1" applyFill="1" applyBorder="1" applyAlignment="1">
      <alignment horizontal="left"/>
    </xf>
    <xf numFmtId="0" fontId="0" fillId="18" borderId="133" xfId="0" applyFill="1" applyBorder="1"/>
    <xf numFmtId="0" fontId="0" fillId="12" borderId="58" xfId="0" applyFill="1" applyBorder="1"/>
    <xf numFmtId="0" fontId="6" fillId="20" borderId="133" xfId="4" applyFill="1" applyBorder="1"/>
    <xf numFmtId="0" fontId="6" fillId="12" borderId="58" xfId="4" applyFill="1" applyBorder="1"/>
    <xf numFmtId="0" fontId="16" fillId="21" borderId="133" xfId="4" applyFont="1" applyFill="1" applyBorder="1" applyAlignment="1">
      <alignment horizontal="center"/>
    </xf>
    <xf numFmtId="0" fontId="16" fillId="20" borderId="133" xfId="4" applyFont="1" applyFill="1" applyBorder="1" applyAlignment="1">
      <alignment horizontal="center"/>
    </xf>
    <xf numFmtId="0" fontId="16" fillId="12" borderId="58" xfId="4" applyFont="1" applyFill="1" applyBorder="1" applyAlignment="1">
      <alignment horizontal="center"/>
    </xf>
    <xf numFmtId="0" fontId="18" fillId="21" borderId="133" xfId="3" applyFill="1" applyBorder="1" applyAlignment="1">
      <alignment horizontal="center"/>
    </xf>
    <xf numFmtId="0" fontId="6" fillId="21" borderId="133" xfId="4" applyFill="1" applyBorder="1"/>
    <xf numFmtId="0" fontId="6" fillId="18" borderId="133" xfId="4" applyFill="1" applyBorder="1" applyAlignment="1">
      <alignment horizontal="center"/>
    </xf>
    <xf numFmtId="0" fontId="6" fillId="20" borderId="122" xfId="4" applyFill="1" applyBorder="1" applyAlignment="1">
      <alignment horizontal="center"/>
    </xf>
    <xf numFmtId="0" fontId="6" fillId="21" borderId="133" xfId="4" applyFill="1" applyBorder="1" applyAlignment="1">
      <alignment horizontal="center"/>
    </xf>
    <xf numFmtId="0" fontId="6" fillId="7" borderId="122" xfId="4" applyFill="1" applyBorder="1" applyAlignment="1">
      <alignment horizontal="center"/>
    </xf>
    <xf numFmtId="0" fontId="6" fillId="20" borderId="123" xfId="4" applyFill="1" applyBorder="1" applyAlignment="1">
      <alignment horizontal="center"/>
    </xf>
    <xf numFmtId="0" fontId="6" fillId="7" borderId="123" xfId="4" applyFill="1" applyBorder="1" applyAlignment="1">
      <alignment horizontal="center"/>
    </xf>
    <xf numFmtId="0" fontId="6" fillId="0" borderId="59" xfId="4" applyBorder="1"/>
    <xf numFmtId="0" fontId="60" fillId="20" borderId="122" xfId="3" applyFont="1" applyFill="1" applyBorder="1" applyAlignment="1">
      <alignment horizontal="center" vertical="center"/>
    </xf>
    <xf numFmtId="0" fontId="60" fillId="21" borderId="133" xfId="3" applyFont="1" applyFill="1" applyBorder="1" applyAlignment="1">
      <alignment horizontal="center" vertical="center"/>
    </xf>
    <xf numFmtId="0" fontId="60" fillId="12" borderId="133" xfId="3" applyFont="1" applyFill="1" applyBorder="1" applyAlignment="1">
      <alignment horizontal="center" vertical="center"/>
    </xf>
    <xf numFmtId="0" fontId="6" fillId="0" borderId="42" xfId="4" applyBorder="1"/>
    <xf numFmtId="0" fontId="0" fillId="7" borderId="133" xfId="0" applyFill="1" applyBorder="1" applyAlignment="1">
      <alignment horizontal="center"/>
    </xf>
    <xf numFmtId="0" fontId="0" fillId="21" borderId="133" xfId="0" applyFill="1" applyBorder="1" applyAlignment="1">
      <alignment horizontal="center"/>
    </xf>
    <xf numFmtId="0" fontId="6" fillId="0" borderId="126" xfId="4" applyBorder="1"/>
    <xf numFmtId="0" fontId="0" fillId="12" borderId="133" xfId="0" applyFill="1" applyBorder="1" applyAlignment="1">
      <alignment horizontal="center"/>
    </xf>
    <xf numFmtId="0" fontId="0" fillId="20" borderId="124" xfId="0" applyFill="1" applyBorder="1" applyAlignment="1">
      <alignment horizontal="center"/>
    </xf>
    <xf numFmtId="2" fontId="6" fillId="0" borderId="119" xfId="4" applyNumberFormat="1" applyBorder="1"/>
    <xf numFmtId="0" fontId="6" fillId="0" borderId="118" xfId="4" applyBorder="1" applyAlignment="1">
      <alignment horizontal="center" vertical="center"/>
    </xf>
    <xf numFmtId="2" fontId="6" fillId="0" borderId="133" xfId="4" applyNumberFormat="1" applyBorder="1"/>
    <xf numFmtId="0" fontId="6" fillId="0" borderId="119" xfId="4" applyBorder="1"/>
    <xf numFmtId="164" fontId="6" fillId="0" borderId="119" xfId="4" applyNumberFormat="1" applyBorder="1"/>
    <xf numFmtId="164" fontId="6" fillId="0" borderId="118" xfId="4" applyNumberFormat="1" applyBorder="1" applyAlignment="1">
      <alignment horizontal="center" vertical="center"/>
    </xf>
    <xf numFmtId="9" fontId="10" fillId="0" borderId="132" xfId="0" applyNumberFormat="1" applyFont="1" applyBorder="1" applyAlignment="1">
      <alignment horizontal="center"/>
    </xf>
    <xf numFmtId="9" fontId="11" fillId="0" borderId="132" xfId="0" applyNumberFormat="1" applyFont="1" applyBorder="1" applyAlignment="1">
      <alignment horizontal="center" vertical="center"/>
    </xf>
    <xf numFmtId="9" fontId="10" fillId="0" borderId="132" xfId="0" applyNumberFormat="1" applyFont="1" applyBorder="1" applyAlignment="1">
      <alignment horizontal="center" vertical="center"/>
    </xf>
    <xf numFmtId="0" fontId="11" fillId="0" borderId="132" xfId="0" applyFont="1" applyBorder="1" applyAlignment="1">
      <alignment horizontal="center"/>
    </xf>
    <xf numFmtId="9" fontId="11" fillId="0" borderId="132" xfId="0" applyNumberFormat="1" applyFont="1" applyBorder="1" applyAlignment="1">
      <alignment horizontal="center"/>
    </xf>
    <xf numFmtId="0" fontId="55" fillId="0" borderId="132" xfId="0" applyFont="1" applyBorder="1" applyAlignment="1">
      <alignment horizontal="center"/>
    </xf>
    <xf numFmtId="9" fontId="55" fillId="0" borderId="132" xfId="0" applyNumberFormat="1" applyFont="1" applyBorder="1" applyAlignment="1">
      <alignment horizontal="center"/>
    </xf>
    <xf numFmtId="0" fontId="10" fillId="9" borderId="1" xfId="0" applyFont="1" applyFill="1" applyBorder="1" applyAlignment="1">
      <alignment horizontal="left"/>
    </xf>
    <xf numFmtId="0" fontId="10" fillId="9" borderId="57" xfId="0" applyFont="1" applyFill="1" applyBorder="1" applyAlignment="1">
      <alignment horizontal="left"/>
    </xf>
    <xf numFmtId="49" fontId="10" fillId="9" borderId="1" xfId="0" applyNumberFormat="1" applyFont="1" applyFill="1" applyBorder="1" applyAlignment="1">
      <alignment horizontal="left"/>
    </xf>
    <xf numFmtId="0" fontId="55" fillId="9" borderId="1" xfId="0" applyFont="1" applyFill="1" applyBorder="1" applyAlignment="1">
      <alignment horizontal="left"/>
    </xf>
    <xf numFmtId="0" fontId="10" fillId="9" borderId="45" xfId="0" applyFont="1" applyFill="1" applyBorder="1" applyAlignment="1">
      <alignment horizontal="left"/>
    </xf>
    <xf numFmtId="0" fontId="11" fillId="9" borderId="57" xfId="0" applyFont="1" applyFill="1" applyBorder="1" applyAlignment="1">
      <alignment horizontal="left"/>
    </xf>
    <xf numFmtId="0" fontId="11" fillId="9" borderId="1" xfId="0" applyFont="1" applyFill="1" applyBorder="1" applyAlignment="1">
      <alignment horizontal="left"/>
    </xf>
    <xf numFmtId="0" fontId="11" fillId="9" borderId="82" xfId="0" applyFont="1" applyFill="1" applyBorder="1" applyAlignment="1">
      <alignment horizontal="left"/>
    </xf>
    <xf numFmtId="0" fontId="10" fillId="9" borderId="82" xfId="0" applyFont="1" applyFill="1" applyBorder="1" applyAlignment="1">
      <alignment horizontal="left"/>
    </xf>
    <xf numFmtId="0" fontId="10" fillId="0" borderId="134" xfId="0" applyFont="1" applyBorder="1" applyAlignment="1">
      <alignment horizontal="center" vertical="center"/>
    </xf>
    <xf numFmtId="0" fontId="10" fillId="0" borderId="134" xfId="0" applyFont="1" applyBorder="1" applyAlignment="1">
      <alignment horizontal="center"/>
    </xf>
    <xf numFmtId="49" fontId="10" fillId="0" borderId="134" xfId="0" applyNumberFormat="1" applyFont="1" applyBorder="1" applyAlignment="1">
      <alignment horizontal="left"/>
    </xf>
    <xf numFmtId="0" fontId="84" fillId="3" borderId="134" xfId="0" applyFont="1" applyFill="1" applyBorder="1" applyAlignment="1">
      <alignment horizontal="center"/>
    </xf>
    <xf numFmtId="0" fontId="84" fillId="5" borderId="134" xfId="0" applyFont="1" applyFill="1" applyBorder="1" applyAlignment="1">
      <alignment horizontal="center"/>
    </xf>
    <xf numFmtId="1" fontId="10" fillId="0" borderId="82" xfId="0" applyNumberFormat="1" applyFont="1" applyBorder="1" applyAlignment="1">
      <alignment horizontal="center" vertical="center" wrapText="1"/>
    </xf>
    <xf numFmtId="0" fontId="0" fillId="0" borderId="0" xfId="0"/>
    <xf numFmtId="0" fontId="7" fillId="6" borderId="2" xfId="0" applyFont="1" applyFill="1" applyBorder="1" applyAlignment="1">
      <alignment horizontal="center" vertical="center" wrapText="1"/>
    </xf>
    <xf numFmtId="0" fontId="0" fillId="0" borderId="0" xfId="0" applyAlignment="1">
      <alignment vertical="center"/>
    </xf>
    <xf numFmtId="0" fontId="0" fillId="0" borderId="0" xfId="0" applyAlignment="1">
      <alignment horizontal="center"/>
    </xf>
    <xf numFmtId="0" fontId="83" fillId="2" borderId="134" xfId="0" applyFont="1" applyFill="1" applyBorder="1" applyAlignment="1">
      <alignment horizontal="center" vertical="center"/>
    </xf>
    <xf numFmtId="0" fontId="11" fillId="4" borderId="4" xfId="0" applyFont="1" applyFill="1" applyBorder="1" applyAlignment="1">
      <alignment horizontal="center" vertical="center"/>
    </xf>
    <xf numFmtId="0" fontId="10" fillId="0" borderId="135" xfId="0" applyFont="1" applyBorder="1"/>
    <xf numFmtId="0" fontId="10" fillId="0" borderId="135" xfId="0" applyFont="1" applyBorder="1" applyAlignment="1">
      <alignment horizontal="center" vertical="center"/>
    </xf>
    <xf numFmtId="1" fontId="10" fillId="0" borderId="135" xfId="0" applyNumberFormat="1" applyFont="1" applyBorder="1" applyAlignment="1">
      <alignment horizontal="center"/>
    </xf>
    <xf numFmtId="0" fontId="10" fillId="0" borderId="135" xfId="0" applyFont="1" applyBorder="1" applyAlignment="1">
      <alignment horizontal="center"/>
    </xf>
    <xf numFmtId="1" fontId="10" fillId="0" borderId="135" xfId="0" applyNumberFormat="1" applyFont="1" applyBorder="1" applyAlignment="1">
      <alignment horizontal="center" vertical="center"/>
    </xf>
    <xf numFmtId="1" fontId="11" fillId="0" borderId="135" xfId="0" applyNumberFormat="1" applyFont="1" applyBorder="1" applyAlignment="1">
      <alignment horizontal="center" vertical="center"/>
    </xf>
    <xf numFmtId="0" fontId="55" fillId="0" borderId="135" xfId="0" applyFont="1" applyBorder="1" applyAlignment="1">
      <alignment horizontal="center"/>
    </xf>
    <xf numFmtId="0" fontId="79" fillId="0" borderId="135" xfId="0" applyFont="1" applyBorder="1" applyAlignment="1">
      <alignment horizontal="center"/>
    </xf>
    <xf numFmtId="0" fontId="56" fillId="6" borderId="46" xfId="0" applyFont="1" applyFill="1" applyBorder="1" applyAlignment="1">
      <alignment vertical="center" wrapText="1"/>
    </xf>
    <xf numFmtId="0" fontId="7" fillId="6" borderId="2" xfId="0" applyFont="1" applyFill="1" applyBorder="1" applyAlignment="1">
      <alignment vertical="center" wrapText="1"/>
    </xf>
    <xf numFmtId="0" fontId="83" fillId="2" borderId="134" xfId="0" applyFont="1" applyFill="1" applyBorder="1" applyAlignment="1">
      <alignment vertical="center"/>
    </xf>
    <xf numFmtId="0" fontId="84" fillId="3" borderId="134" xfId="0" applyFont="1" applyFill="1" applyBorder="1" applyAlignment="1">
      <alignment vertical="center"/>
    </xf>
    <xf numFmtId="0" fontId="84" fillId="5" borderId="134" xfId="0" applyFont="1" applyFill="1" applyBorder="1" applyAlignment="1">
      <alignment vertical="center"/>
    </xf>
    <xf numFmtId="0" fontId="10" fillId="5" borderId="82" xfId="0" applyFont="1" applyFill="1" applyBorder="1" applyAlignment="1">
      <alignment vertical="center"/>
    </xf>
    <xf numFmtId="0" fontId="11" fillId="5" borderId="1" xfId="0" applyFont="1" applyFill="1" applyBorder="1" applyAlignment="1">
      <alignment vertical="center"/>
    </xf>
    <xf numFmtId="0" fontId="11" fillId="5" borderId="45" xfId="0" applyFont="1" applyFill="1" applyBorder="1" applyAlignment="1">
      <alignment vertical="center"/>
    </xf>
    <xf numFmtId="0" fontId="10" fillId="0" borderId="82" xfId="0" applyFont="1" applyBorder="1" applyAlignment="1">
      <alignment vertical="center"/>
    </xf>
    <xf numFmtId="1" fontId="10" fillId="0" borderId="82" xfId="0" applyNumberFormat="1" applyFont="1" applyBorder="1" applyAlignment="1">
      <alignment vertical="center"/>
    </xf>
    <xf numFmtId="1" fontId="10" fillId="0" borderId="0" xfId="0" applyNumberFormat="1" applyFont="1" applyAlignment="1">
      <alignment vertical="center"/>
    </xf>
    <xf numFmtId="0" fontId="11" fillId="4" borderId="4" xfId="0" applyFont="1" applyFill="1" applyBorder="1" applyAlignment="1">
      <alignment vertical="center"/>
    </xf>
    <xf numFmtId="1" fontId="10" fillId="0" borderId="1" xfId="0" applyNumberFormat="1" applyFont="1" applyBorder="1" applyAlignment="1">
      <alignment vertical="center"/>
    </xf>
    <xf numFmtId="2" fontId="0" fillId="0" borderId="0" xfId="0" applyNumberFormat="1" applyAlignment="1">
      <alignment horizontal="center"/>
    </xf>
    <xf numFmtId="2" fontId="79" fillId="0" borderId="73" xfId="0" applyNumberFormat="1" applyFont="1" applyBorder="1" applyAlignment="1">
      <alignment horizontal="center"/>
    </xf>
    <xf numFmtId="0" fontId="0" fillId="0" borderId="0" xfId="0" applyNumberFormat="1" applyAlignment="1">
      <alignment horizontal="center"/>
    </xf>
    <xf numFmtId="0" fontId="79" fillId="0" borderId="73" xfId="0" applyNumberFormat="1" applyFont="1" applyBorder="1" applyAlignment="1">
      <alignment horizontal="center"/>
    </xf>
    <xf numFmtId="1" fontId="79" fillId="0" borderId="73" xfId="0" applyNumberFormat="1" applyFont="1" applyBorder="1" applyAlignment="1">
      <alignment horizontal="center"/>
    </xf>
    <xf numFmtId="0" fontId="0" fillId="0" borderId="0" xfId="0"/>
    <xf numFmtId="0" fontId="7" fillId="6" borderId="2" xfId="0" applyFont="1" applyFill="1" applyBorder="1" applyAlignment="1">
      <alignment horizontal="center" vertical="center" wrapText="1"/>
    </xf>
    <xf numFmtId="0" fontId="12" fillId="6" borderId="2" xfId="0" applyFont="1" applyFill="1" applyBorder="1" applyAlignment="1">
      <alignment horizontal="center" vertical="center" wrapText="1"/>
    </xf>
    <xf numFmtId="0" fontId="0" fillId="0" borderId="0" xfId="0" applyAlignment="1">
      <alignment vertical="center"/>
    </xf>
    <xf numFmtId="0" fontId="0" fillId="0" borderId="0" xfId="0" applyAlignment="1">
      <alignment horizontal="center"/>
    </xf>
    <xf numFmtId="0" fontId="0" fillId="0" borderId="0" xfId="0"/>
    <xf numFmtId="0" fontId="0" fillId="0" borderId="0" xfId="0" applyAlignment="1">
      <alignment horizontal="center"/>
    </xf>
    <xf numFmtId="0" fontId="7" fillId="2" borderId="1" xfId="0" applyFont="1" applyFill="1" applyBorder="1" applyAlignment="1">
      <alignment horizontal="left" vertical="center"/>
    </xf>
    <xf numFmtId="1" fontId="11" fillId="0" borderId="1" xfId="0" applyNumberFormat="1" applyFont="1" applyBorder="1" applyAlignment="1">
      <alignment horizontal="right"/>
    </xf>
    <xf numFmtId="1" fontId="12" fillId="6" borderId="2" xfId="0" applyNumberFormat="1" applyFont="1" applyFill="1" applyBorder="1" applyAlignment="1">
      <alignment horizontal="center" vertical="center" wrapText="1"/>
    </xf>
    <xf numFmtId="1" fontId="10" fillId="0" borderId="45" xfId="0" applyNumberFormat="1" applyFont="1" applyBorder="1" applyAlignment="1">
      <alignment horizontal="right"/>
    </xf>
    <xf numFmtId="1" fontId="55" fillId="0" borderId="1" xfId="0" applyNumberFormat="1" applyFont="1" applyBorder="1" applyAlignment="1">
      <alignment horizontal="right"/>
    </xf>
    <xf numFmtId="1" fontId="11" fillId="0" borderId="57" xfId="0" applyNumberFormat="1" applyFont="1" applyBorder="1" applyAlignment="1">
      <alignment horizontal="right"/>
    </xf>
    <xf numFmtId="1" fontId="79" fillId="0" borderId="135" xfId="0" applyNumberFormat="1" applyFont="1" applyBorder="1" applyAlignment="1">
      <alignment horizontal="center"/>
    </xf>
    <xf numFmtId="1" fontId="10" fillId="0" borderId="134" xfId="0" applyNumberFormat="1" applyFont="1" applyBorder="1" applyAlignment="1">
      <alignment horizontal="center" vertical="center"/>
    </xf>
    <xf numFmtId="1" fontId="10" fillId="0" borderId="136" xfId="0" applyNumberFormat="1" applyFont="1" applyBorder="1" applyAlignment="1">
      <alignment horizontal="right"/>
    </xf>
    <xf numFmtId="0" fontId="10" fillId="0" borderId="136" xfId="0" applyFont="1" applyBorder="1" applyAlignment="1">
      <alignment horizontal="left"/>
    </xf>
    <xf numFmtId="0" fontId="10" fillId="0" borderId="136" xfId="0" applyFont="1" applyBorder="1" applyAlignment="1">
      <alignment horizontal="center"/>
    </xf>
    <xf numFmtId="0" fontId="10" fillId="0" borderId="136" xfId="0" applyFont="1" applyBorder="1" applyAlignment="1">
      <alignment horizontal="center" vertical="center"/>
    </xf>
    <xf numFmtId="0" fontId="11" fillId="0" borderId="136" xfId="0" applyFont="1" applyBorder="1" applyAlignment="1">
      <alignment horizontal="center" vertical="center"/>
    </xf>
    <xf numFmtId="0" fontId="55" fillId="0" borderId="136" xfId="0" applyFont="1" applyBorder="1" applyAlignment="1">
      <alignment horizontal="center" vertical="center"/>
    </xf>
    <xf numFmtId="0" fontId="79" fillId="0" borderId="136" xfId="0" applyFont="1" applyBorder="1" applyAlignment="1">
      <alignment horizontal="center" vertical="center"/>
    </xf>
    <xf numFmtId="0" fontId="0" fillId="0" borderId="0" xfId="0" applyFill="1" applyAlignment="1">
      <alignment horizontal="center"/>
    </xf>
    <xf numFmtId="1" fontId="82" fillId="0" borderId="23" xfId="0" applyNumberFormat="1" applyFont="1" applyBorder="1" applyAlignment="1">
      <alignment horizontal="left"/>
    </xf>
    <xf numFmtId="1" fontId="6" fillId="0" borderId="0" xfId="4" applyNumberFormat="1" applyAlignment="1">
      <alignment horizontal="left"/>
    </xf>
    <xf numFmtId="1" fontId="19" fillId="17" borderId="38" xfId="4" applyNumberFormat="1" applyFont="1" applyFill="1" applyBorder="1" applyAlignment="1">
      <alignment horizontal="left" vertical="center" wrapText="1"/>
    </xf>
    <xf numFmtId="1" fontId="6" fillId="0" borderId="58" xfId="4" applyNumberFormat="1" applyBorder="1" applyAlignment="1">
      <alignment horizontal="left"/>
    </xf>
    <xf numFmtId="1" fontId="6" fillId="0" borderId="74" xfId="4" applyNumberFormat="1" applyBorder="1" applyAlignment="1">
      <alignment horizontal="left"/>
    </xf>
    <xf numFmtId="1" fontId="0" fillId="0" borderId="23" xfId="0" applyNumberFormat="1" applyBorder="1" applyAlignment="1">
      <alignment horizontal="left"/>
    </xf>
    <xf numFmtId="1" fontId="6" fillId="0" borderId="53" xfId="4" applyNumberFormat="1" applyBorder="1" applyAlignment="1">
      <alignment horizontal="left"/>
    </xf>
    <xf numFmtId="1" fontId="6" fillId="0" borderId="122" xfId="4" applyNumberFormat="1" applyBorder="1" applyAlignment="1">
      <alignment horizontal="left"/>
    </xf>
    <xf numFmtId="1" fontId="6" fillId="0" borderId="133" xfId="4" applyNumberFormat="1" applyBorder="1" applyAlignment="1">
      <alignment horizontal="left"/>
    </xf>
    <xf numFmtId="1" fontId="6" fillId="0" borderId="129" xfId="4" applyNumberFormat="1" applyBorder="1" applyAlignment="1">
      <alignment horizontal="left"/>
    </xf>
    <xf numFmtId="1" fontId="6" fillId="0" borderId="40" xfId="4" applyNumberFormat="1" applyBorder="1" applyAlignment="1">
      <alignment horizontal="left"/>
    </xf>
    <xf numFmtId="0" fontId="6" fillId="0" borderId="0" xfId="4" applyAlignment="1">
      <alignment horizontal="center"/>
    </xf>
    <xf numFmtId="0" fontId="18" fillId="20" borderId="133" xfId="3" applyFill="1" applyBorder="1" applyAlignment="1">
      <alignment horizontal="center"/>
    </xf>
    <xf numFmtId="0" fontId="6" fillId="20" borderId="137" xfId="4" applyFill="1" applyBorder="1" applyAlignment="1">
      <alignment horizontal="center"/>
    </xf>
    <xf numFmtId="0" fontId="0" fillId="20" borderId="0" xfId="0" applyFill="1" applyBorder="1" applyAlignment="1">
      <alignment horizontal="center"/>
    </xf>
    <xf numFmtId="0" fontId="2" fillId="0" borderId="0" xfId="4" applyFont="1" applyAlignment="1">
      <alignment horizontal="center"/>
    </xf>
    <xf numFmtId="0" fontId="16" fillId="9" borderId="0" xfId="1" applyFill="1" applyAlignment="1">
      <alignment horizontal="center"/>
    </xf>
    <xf numFmtId="1" fontId="45" fillId="9" borderId="40" xfId="1" applyNumberFormat="1" applyFont="1" applyFill="1" applyBorder="1" applyAlignment="1">
      <alignment horizontal="center" vertical="center" wrapText="1"/>
    </xf>
    <xf numFmtId="0" fontId="22" fillId="11" borderId="40" xfId="1" applyFont="1" applyFill="1" applyBorder="1" applyAlignment="1">
      <alignment horizontal="center" vertical="center" wrapText="1"/>
    </xf>
    <xf numFmtId="0" fontId="0" fillId="0" borderId="0" xfId="0"/>
    <xf numFmtId="0" fontId="7" fillId="6" borderId="15" xfId="0" applyFont="1" applyFill="1" applyBorder="1" applyAlignment="1">
      <alignment horizontal="center" vertical="center" wrapText="1"/>
    </xf>
    <xf numFmtId="0" fontId="1" fillId="0" borderId="0" xfId="4" applyFont="1" applyAlignment="1">
      <alignment horizontal="left"/>
    </xf>
    <xf numFmtId="0" fontId="7" fillId="6" borderId="0" xfId="0" applyFont="1" applyFill="1" applyAlignment="1">
      <alignment horizontal="center" vertical="center" wrapText="1"/>
    </xf>
    <xf numFmtId="0" fontId="0" fillId="0" borderId="0" xfId="0"/>
    <xf numFmtId="0" fontId="12" fillId="6" borderId="3" xfId="0" applyFont="1" applyFill="1" applyBorder="1" applyAlignment="1">
      <alignment horizontal="center" vertical="center" wrapText="1"/>
    </xf>
    <xf numFmtId="0" fontId="7" fillId="6" borderId="13" xfId="0" applyFont="1" applyFill="1" applyBorder="1" applyAlignment="1">
      <alignment horizontal="center" vertical="center" wrapText="1"/>
    </xf>
    <xf numFmtId="0" fontId="7" fillId="6" borderId="2" xfId="0" applyFont="1" applyFill="1" applyBorder="1" applyAlignment="1">
      <alignment horizontal="center" vertical="center" wrapText="1"/>
    </xf>
    <xf numFmtId="0" fontId="7" fillId="6" borderId="16" xfId="0" applyFont="1" applyFill="1" applyBorder="1" applyAlignment="1">
      <alignment horizontal="center" vertical="center" wrapText="1"/>
    </xf>
    <xf numFmtId="0" fontId="12" fillId="6" borderId="17" xfId="0" applyFont="1" applyFill="1" applyBorder="1" applyAlignment="1">
      <alignment horizontal="center" vertical="center" wrapText="1"/>
    </xf>
    <xf numFmtId="0" fontId="0" fillId="0" borderId="0" xfId="0" applyAlignment="1">
      <alignment horizontal="center"/>
    </xf>
    <xf numFmtId="0" fontId="12" fillId="6" borderId="50" xfId="0" applyFont="1" applyFill="1" applyBorder="1" applyAlignment="1">
      <alignment horizontal="center" vertical="center"/>
    </xf>
    <xf numFmtId="0" fontId="0" fillId="0" borderId="103" xfId="0" applyBorder="1" applyAlignment="1">
      <alignment horizontal="center"/>
    </xf>
    <xf numFmtId="0" fontId="10" fillId="9" borderId="136" xfId="0" applyFont="1" applyFill="1" applyBorder="1" applyAlignment="1">
      <alignment horizontal="left"/>
    </xf>
    <xf numFmtId="9" fontId="10" fillId="0" borderId="136" xfId="0" applyNumberFormat="1" applyFont="1" applyBorder="1" applyAlignment="1">
      <alignment horizontal="center"/>
    </xf>
    <xf numFmtId="9" fontId="11" fillId="0" borderId="136" xfId="0" applyNumberFormat="1" applyFont="1" applyBorder="1" applyAlignment="1">
      <alignment horizontal="center" vertical="center"/>
    </xf>
    <xf numFmtId="9" fontId="10" fillId="0" borderId="136" xfId="0" applyNumberFormat="1" applyFont="1" applyBorder="1" applyAlignment="1">
      <alignment horizontal="center" vertical="center"/>
    </xf>
    <xf numFmtId="0" fontId="11" fillId="0" borderId="136" xfId="0" applyFont="1" applyBorder="1" applyAlignment="1">
      <alignment horizontal="center"/>
    </xf>
    <xf numFmtId="9" fontId="11" fillId="0" borderId="136" xfId="0" applyNumberFormat="1" applyFont="1" applyBorder="1" applyAlignment="1">
      <alignment horizontal="center"/>
    </xf>
    <xf numFmtId="0" fontId="55" fillId="0" borderId="136" xfId="0" applyFont="1" applyBorder="1" applyAlignment="1">
      <alignment horizontal="center"/>
    </xf>
    <xf numFmtId="9" fontId="55" fillId="0" borderId="136" xfId="0" applyNumberFormat="1" applyFont="1" applyBorder="1" applyAlignment="1">
      <alignment horizontal="center"/>
    </xf>
    <xf numFmtId="0" fontId="79" fillId="0" borderId="136" xfId="0" applyFont="1" applyBorder="1" applyAlignment="1">
      <alignment horizontal="center"/>
    </xf>
    <xf numFmtId="9" fontId="79" fillId="0" borderId="136" xfId="0" applyNumberFormat="1" applyFont="1" applyBorder="1" applyAlignment="1">
      <alignment horizontal="center"/>
    </xf>
    <xf numFmtId="0" fontId="55" fillId="0" borderId="0" xfId="0" applyFont="1" applyBorder="1" applyAlignment="1">
      <alignment horizontal="center"/>
    </xf>
    <xf numFmtId="9" fontId="55" fillId="0" borderId="0" xfId="0" applyNumberFormat="1" applyFont="1" applyBorder="1" applyAlignment="1">
      <alignment horizontal="center"/>
    </xf>
    <xf numFmtId="0" fontId="10" fillId="0" borderId="0" xfId="0" applyFont="1" applyBorder="1" applyAlignment="1">
      <alignment horizontal="center"/>
    </xf>
    <xf numFmtId="9" fontId="10" fillId="0" borderId="0" xfId="0" applyNumberFormat="1" applyFont="1" applyBorder="1" applyAlignment="1">
      <alignment horizontal="center"/>
    </xf>
    <xf numFmtId="0" fontId="79" fillId="0" borderId="0" xfId="0" applyFont="1" applyBorder="1" applyAlignment="1">
      <alignment horizontal="center"/>
    </xf>
    <xf numFmtId="9" fontId="79" fillId="0" borderId="0" xfId="0" applyNumberFormat="1" applyFont="1" applyBorder="1" applyAlignment="1">
      <alignment horizontal="center"/>
    </xf>
    <xf numFmtId="0" fontId="0" fillId="7" borderId="0" xfId="0" applyFill="1"/>
    <xf numFmtId="1" fontId="0" fillId="7" borderId="0" xfId="0" applyNumberFormat="1" applyFill="1"/>
    <xf numFmtId="1" fontId="0" fillId="7" borderId="0" xfId="5" applyNumberFormat="1" applyFont="1" applyFill="1"/>
    <xf numFmtId="1" fontId="0" fillId="7" borderId="103" xfId="0" applyNumberFormat="1" applyFill="1" applyBorder="1"/>
    <xf numFmtId="1" fontId="7" fillId="7" borderId="0" xfId="0" applyNumberFormat="1" applyFont="1" applyFill="1" applyAlignment="1">
      <alignment horizontal="center" vertical="center" wrapText="1"/>
    </xf>
    <xf numFmtId="1" fontId="0" fillId="7" borderId="100" xfId="5" applyNumberFormat="1" applyFont="1" applyFill="1" applyBorder="1" applyAlignment="1">
      <alignment horizontal="center" vertical="center"/>
    </xf>
    <xf numFmtId="9" fontId="79" fillId="0" borderId="0" xfId="0" applyNumberFormat="1" applyFont="1" applyBorder="1" applyAlignment="1">
      <alignment horizontal="center" vertical="center"/>
    </xf>
    <xf numFmtId="0" fontId="10" fillId="0" borderId="0" xfId="0" applyFont="1" applyBorder="1" applyAlignment="1">
      <alignment horizontal="center" vertical="center"/>
    </xf>
    <xf numFmtId="9" fontId="10" fillId="0" borderId="0" xfId="0" applyNumberFormat="1" applyFont="1" applyBorder="1" applyAlignment="1">
      <alignment horizontal="center" vertical="center"/>
    </xf>
    <xf numFmtId="9" fontId="79" fillId="0" borderId="136" xfId="0" applyNumberFormat="1" applyFont="1" applyBorder="1" applyAlignment="1">
      <alignment horizontal="center" vertical="center"/>
    </xf>
    <xf numFmtId="0" fontId="0" fillId="0" borderId="0" xfId="0"/>
    <xf numFmtId="1" fontId="45" fillId="9" borderId="40" xfId="1" applyNumberFormat="1" applyFont="1" applyFill="1" applyBorder="1" applyAlignment="1">
      <alignment horizontal="center" vertical="center" wrapText="1"/>
    </xf>
    <xf numFmtId="0" fontId="0" fillId="0" borderId="0" xfId="0" applyAlignment="1">
      <alignment horizontal="center"/>
    </xf>
    <xf numFmtId="0" fontId="10" fillId="0" borderId="138" xfId="0" applyFont="1" applyBorder="1" applyAlignment="1">
      <alignment horizontal="left"/>
    </xf>
    <xf numFmtId="0" fontId="10" fillId="0" borderId="138" xfId="0" applyFont="1" applyBorder="1" applyAlignment="1">
      <alignment horizontal="center"/>
    </xf>
    <xf numFmtId="0" fontId="10" fillId="0" borderId="138" xfId="0" applyFont="1" applyBorder="1" applyAlignment="1">
      <alignment horizontal="center" vertical="center"/>
    </xf>
    <xf numFmtId="9" fontId="10" fillId="0" borderId="138" xfId="0" applyNumberFormat="1" applyFont="1" applyBorder="1" applyAlignment="1">
      <alignment horizontal="center" vertical="center"/>
    </xf>
    <xf numFmtId="9" fontId="11" fillId="0" borderId="138" xfId="0" applyNumberFormat="1" applyFont="1" applyBorder="1" applyAlignment="1">
      <alignment horizontal="center"/>
    </xf>
    <xf numFmtId="9" fontId="10" fillId="0" borderId="138" xfId="0" applyNumberFormat="1" applyFont="1" applyBorder="1" applyAlignment="1">
      <alignment horizontal="center"/>
    </xf>
    <xf numFmtId="0" fontId="11" fillId="0" borderId="138" xfId="0" applyFont="1" applyBorder="1" applyAlignment="1">
      <alignment horizontal="center"/>
    </xf>
    <xf numFmtId="0" fontId="55" fillId="0" borderId="138" xfId="0" applyFont="1" applyBorder="1" applyAlignment="1">
      <alignment horizontal="center"/>
    </xf>
    <xf numFmtId="9" fontId="55" fillId="0" borderId="138" xfId="0" applyNumberFormat="1" applyFont="1" applyBorder="1" applyAlignment="1">
      <alignment horizontal="center"/>
    </xf>
    <xf numFmtId="0" fontId="79" fillId="0" borderId="138" xfId="0" applyFont="1" applyBorder="1" applyAlignment="1">
      <alignment horizontal="center"/>
    </xf>
    <xf numFmtId="9" fontId="79" fillId="0" borderId="138" xfId="0" applyNumberFormat="1" applyFont="1" applyBorder="1" applyAlignment="1">
      <alignment horizontal="center"/>
    </xf>
    <xf numFmtId="0" fontId="10" fillId="9" borderId="138" xfId="0" applyFont="1" applyFill="1" applyBorder="1" applyAlignment="1">
      <alignment horizontal="left"/>
    </xf>
    <xf numFmtId="1" fontId="0" fillId="9" borderId="0" xfId="0" applyNumberFormat="1" applyFill="1"/>
    <xf numFmtId="9" fontId="11" fillId="0" borderId="138" xfId="0" applyNumberFormat="1" applyFont="1" applyBorder="1" applyAlignment="1">
      <alignment horizontal="center" vertical="center"/>
    </xf>
    <xf numFmtId="0" fontId="11" fillId="0" borderId="138" xfId="0" applyFont="1" applyBorder="1" applyAlignment="1">
      <alignment horizontal="center" vertical="center"/>
    </xf>
    <xf numFmtId="9" fontId="0" fillId="0" borderId="0" xfId="5" applyFont="1" applyAlignment="1">
      <alignment horizontal="center"/>
    </xf>
    <xf numFmtId="0" fontId="12" fillId="6" borderId="85" xfId="0" applyFont="1" applyFill="1" applyBorder="1" applyAlignment="1">
      <alignment horizontal="center" vertical="center"/>
    </xf>
    <xf numFmtId="0" fontId="18" fillId="0" borderId="103" xfId="0" applyFont="1" applyBorder="1" applyAlignment="1">
      <alignment horizontal="center"/>
    </xf>
    <xf numFmtId="0" fontId="18" fillId="0" borderId="102" xfId="0" applyFont="1" applyBorder="1" applyAlignment="1">
      <alignment horizontal="center"/>
    </xf>
    <xf numFmtId="0" fontId="7" fillId="2" borderId="138" xfId="0" applyFont="1" applyFill="1" applyBorder="1" applyAlignment="1">
      <alignment horizontal="center"/>
    </xf>
    <xf numFmtId="9" fontId="7" fillId="2" borderId="138" xfId="7" applyFont="1" applyFill="1" applyBorder="1" applyAlignment="1">
      <alignment horizontal="center"/>
    </xf>
    <xf numFmtId="0" fontId="10" fillId="3" borderId="138" xfId="0" applyFont="1" applyFill="1" applyBorder="1" applyAlignment="1">
      <alignment horizontal="center"/>
    </xf>
    <xf numFmtId="9" fontId="10" fillId="3" borderId="138" xfId="7" applyFont="1" applyFill="1" applyBorder="1" applyAlignment="1">
      <alignment horizontal="center"/>
    </xf>
    <xf numFmtId="0" fontId="10" fillId="5" borderId="138" xfId="0" applyFont="1" applyFill="1" applyBorder="1" applyAlignment="1">
      <alignment horizontal="center"/>
    </xf>
    <xf numFmtId="9" fontId="10" fillId="5" borderId="138" xfId="7" applyFont="1" applyFill="1" applyBorder="1" applyAlignment="1">
      <alignment horizontal="center"/>
    </xf>
    <xf numFmtId="9" fontId="0" fillId="7" borderId="0" xfId="5" applyFont="1" applyFill="1" applyAlignment="1">
      <alignment horizontal="center"/>
    </xf>
    <xf numFmtId="0" fontId="0" fillId="0" borderId="0" xfId="0"/>
    <xf numFmtId="1" fontId="45" fillId="9" borderId="40" xfId="1" applyNumberFormat="1" applyFont="1" applyFill="1" applyBorder="1" applyAlignment="1">
      <alignment horizontal="center" vertical="center" wrapText="1"/>
    </xf>
    <xf numFmtId="0" fontId="7" fillId="2" borderId="139" xfId="0" applyFont="1" applyFill="1" applyBorder="1" applyAlignment="1">
      <alignment horizontal="center"/>
    </xf>
    <xf numFmtId="9" fontId="7" fillId="2" borderId="139" xfId="5" applyFont="1" applyFill="1" applyBorder="1" applyAlignment="1">
      <alignment horizontal="center"/>
    </xf>
    <xf numFmtId="0" fontId="10" fillId="3" borderId="139" xfId="0" applyFont="1" applyFill="1" applyBorder="1" applyAlignment="1">
      <alignment horizontal="center"/>
    </xf>
    <xf numFmtId="9" fontId="10" fillId="3" borderId="139" xfId="5" applyFont="1" applyFill="1" applyBorder="1" applyAlignment="1">
      <alignment horizontal="center"/>
    </xf>
    <xf numFmtId="0" fontId="10" fillId="5" borderId="139" xfId="0" applyFont="1" applyFill="1" applyBorder="1" applyAlignment="1">
      <alignment horizontal="center"/>
    </xf>
    <xf numFmtId="9" fontId="10" fillId="5" borderId="139" xfId="5" applyFont="1" applyFill="1" applyBorder="1" applyAlignment="1">
      <alignment horizontal="center"/>
    </xf>
    <xf numFmtId="0" fontId="7" fillId="6" borderId="0" xfId="0" applyFont="1" applyFill="1" applyAlignment="1">
      <alignment horizontal="center" vertical="center" wrapText="1"/>
    </xf>
    <xf numFmtId="0" fontId="7" fillId="6" borderId="6" xfId="0" applyFont="1" applyFill="1" applyBorder="1" applyAlignment="1">
      <alignment horizontal="center" vertical="center" wrapText="1"/>
    </xf>
    <xf numFmtId="0" fontId="0" fillId="0" borderId="0" xfId="0"/>
    <xf numFmtId="0" fontId="0" fillId="0" borderId="0" xfId="0" applyAlignment="1">
      <alignment horizontal="center"/>
    </xf>
    <xf numFmtId="0" fontId="7" fillId="6" borderId="2" xfId="0" applyFont="1" applyFill="1" applyBorder="1" applyAlignment="1">
      <alignment horizontal="center" vertical="center" wrapText="1"/>
    </xf>
    <xf numFmtId="0" fontId="7" fillId="6" borderId="98" xfId="0" applyFont="1" applyFill="1" applyBorder="1" applyAlignment="1">
      <alignment horizontal="center" vertical="center" wrapText="1"/>
    </xf>
    <xf numFmtId="0" fontId="7" fillId="6" borderId="94" xfId="0" applyFont="1" applyFill="1" applyBorder="1" applyAlignment="1">
      <alignment horizontal="center" vertical="center" wrapText="1"/>
    </xf>
    <xf numFmtId="0" fontId="7" fillId="6" borderId="95" xfId="0" applyFont="1" applyFill="1" applyBorder="1" applyAlignment="1">
      <alignment horizontal="center" vertical="center" wrapText="1"/>
    </xf>
    <xf numFmtId="0" fontId="0" fillId="0" borderId="0" xfId="0"/>
    <xf numFmtId="0" fontId="0" fillId="0" borderId="0" xfId="0" applyAlignment="1">
      <alignment horizontal="center"/>
    </xf>
    <xf numFmtId="1" fontId="10" fillId="0" borderId="144" xfId="0" applyNumberFormat="1" applyFont="1" applyFill="1" applyBorder="1" applyAlignment="1">
      <alignment horizontal="center"/>
    </xf>
    <xf numFmtId="1" fontId="10" fillId="0" borderId="0" xfId="0" applyNumberFormat="1" applyFont="1" applyFill="1" applyBorder="1" applyAlignment="1">
      <alignment horizontal="center"/>
    </xf>
    <xf numFmtId="0" fontId="7" fillId="6" borderId="0" xfId="0" applyFont="1" applyFill="1" applyBorder="1" applyAlignment="1">
      <alignment horizontal="center" vertical="center" wrapText="1"/>
    </xf>
    <xf numFmtId="0" fontId="10" fillId="4" borderId="144" xfId="0" applyFont="1" applyFill="1" applyBorder="1" applyAlignment="1">
      <alignment horizontal="center"/>
    </xf>
    <xf numFmtId="0" fontId="10" fillId="4" borderId="144" xfId="0" applyFont="1" applyFill="1" applyBorder="1" applyAlignment="1">
      <alignment horizontal="center" vertical="center"/>
    </xf>
    <xf numFmtId="0" fontId="10" fillId="4" borderId="0" xfId="0" applyFont="1" applyFill="1" applyBorder="1" applyAlignment="1">
      <alignment horizontal="center" vertical="center"/>
    </xf>
    <xf numFmtId="0" fontId="7" fillId="6" borderId="145" xfId="0" applyFont="1" applyFill="1" applyBorder="1" applyAlignment="1">
      <alignment horizontal="center" vertical="center" wrapText="1"/>
    </xf>
    <xf numFmtId="0" fontId="84" fillId="5" borderId="146" xfId="0" applyFont="1" applyFill="1" applyBorder="1" applyAlignment="1">
      <alignment horizontal="center"/>
    </xf>
    <xf numFmtId="0" fontId="84" fillId="5" borderId="86" xfId="0" applyFont="1" applyFill="1" applyBorder="1" applyAlignment="1">
      <alignment horizontal="center"/>
    </xf>
    <xf numFmtId="0" fontId="84" fillId="5" borderId="147" xfId="0" applyFont="1" applyFill="1" applyBorder="1" applyAlignment="1">
      <alignment horizontal="center"/>
    </xf>
    <xf numFmtId="1" fontId="84" fillId="5" borderId="146" xfId="0" applyNumberFormat="1" applyFont="1" applyFill="1" applyBorder="1" applyAlignment="1">
      <alignment horizontal="center"/>
    </xf>
    <xf numFmtId="1" fontId="84" fillId="5" borderId="86" xfId="0" applyNumberFormat="1" applyFont="1" applyFill="1" applyBorder="1" applyAlignment="1">
      <alignment horizontal="center"/>
    </xf>
    <xf numFmtId="1" fontId="84" fillId="5" borderId="147" xfId="0" applyNumberFormat="1" applyFont="1" applyFill="1" applyBorder="1" applyAlignment="1">
      <alignment horizontal="center"/>
    </xf>
    <xf numFmtId="0" fontId="19" fillId="0" borderId="0" xfId="0" applyFont="1" applyFill="1" applyAlignment="1">
      <alignment horizontal="center"/>
    </xf>
    <xf numFmtId="1" fontId="19" fillId="0" borderId="0" xfId="0" applyNumberFormat="1" applyFont="1" applyFill="1" applyAlignment="1">
      <alignment horizontal="center"/>
    </xf>
    <xf numFmtId="0" fontId="19" fillId="0" borderId="0" xfId="0" applyFont="1" applyAlignment="1">
      <alignment horizontal="center"/>
    </xf>
    <xf numFmtId="1" fontId="19" fillId="0" borderId="0" xfId="0" applyNumberFormat="1" applyFont="1" applyAlignment="1">
      <alignment horizontal="center"/>
    </xf>
    <xf numFmtId="0" fontId="19" fillId="7" borderId="0" xfId="0" applyFont="1" applyFill="1" applyAlignment="1">
      <alignment horizontal="center"/>
    </xf>
    <xf numFmtId="0" fontId="19" fillId="7" borderId="0" xfId="0" applyFont="1" applyFill="1"/>
    <xf numFmtId="1" fontId="19" fillId="7" borderId="0" xfId="0" applyNumberFormat="1" applyFont="1" applyFill="1" applyAlignment="1">
      <alignment horizontal="center"/>
    </xf>
    <xf numFmtId="0" fontId="10" fillId="0" borderId="146" xfId="0" applyFont="1" applyBorder="1" applyAlignment="1">
      <alignment horizontal="center"/>
    </xf>
    <xf numFmtId="0" fontId="7" fillId="6" borderId="145" xfId="0" applyFont="1" applyFill="1" applyBorder="1" applyAlignment="1">
      <alignment horizontal="center" vertical="center" wrapText="1"/>
    </xf>
    <xf numFmtId="0" fontId="7" fillId="6" borderId="0" xfId="0" applyFont="1" applyFill="1" applyAlignment="1">
      <alignment horizontal="center" vertical="center" wrapText="1"/>
    </xf>
    <xf numFmtId="0" fontId="0" fillId="0" borderId="0" xfId="0"/>
    <xf numFmtId="0" fontId="0" fillId="0" borderId="0" xfId="0" applyAlignment="1">
      <alignment vertical="center"/>
    </xf>
    <xf numFmtId="9" fontId="7" fillId="2" borderId="138" xfId="5" applyFont="1" applyFill="1" applyBorder="1" applyAlignment="1">
      <alignment horizontal="center"/>
    </xf>
    <xf numFmtId="0" fontId="61" fillId="9" borderId="0" xfId="1" applyFont="1" applyFill="1" applyAlignment="1">
      <alignment horizontal="left" vertical="center" wrapText="1"/>
    </xf>
    <xf numFmtId="0" fontId="22" fillId="9" borderId="0" xfId="1" applyFont="1" applyFill="1" applyAlignment="1">
      <alignment horizontal="center" vertical="center" wrapText="1"/>
    </xf>
    <xf numFmtId="0" fontId="19" fillId="18" borderId="0" xfId="0" applyFont="1" applyFill="1" applyBorder="1" applyAlignment="1">
      <alignment horizontal="center" vertical="center" wrapText="1"/>
    </xf>
    <xf numFmtId="0" fontId="56" fillId="6" borderId="0" xfId="0" applyFont="1" applyFill="1" applyBorder="1" applyAlignment="1">
      <alignment vertical="center" wrapText="1"/>
    </xf>
    <xf numFmtId="0" fontId="83" fillId="2" borderId="0" xfId="0" applyFont="1" applyFill="1" applyBorder="1" applyAlignment="1">
      <alignment vertical="center"/>
    </xf>
    <xf numFmtId="0" fontId="84" fillId="3" borderId="0" xfId="0" applyFont="1" applyFill="1" applyBorder="1" applyAlignment="1">
      <alignment vertical="center"/>
    </xf>
    <xf numFmtId="0" fontId="84" fillId="5" borderId="0" xfId="0" applyFont="1" applyFill="1" applyBorder="1" applyAlignment="1">
      <alignment vertical="center"/>
    </xf>
    <xf numFmtId="0" fontId="10" fillId="5" borderId="0" xfId="0" applyFont="1" applyFill="1" applyBorder="1" applyAlignment="1">
      <alignment vertical="center"/>
    </xf>
    <xf numFmtId="0" fontId="11" fillId="5" borderId="0" xfId="0" applyFont="1" applyFill="1" applyBorder="1" applyAlignment="1">
      <alignment vertical="center"/>
    </xf>
    <xf numFmtId="1" fontId="10" fillId="0" borderId="146" xfId="0" applyNumberFormat="1" applyFont="1" applyBorder="1" applyAlignment="1">
      <alignment horizontal="center"/>
    </xf>
    <xf numFmtId="0" fontId="7" fillId="6" borderId="149" xfId="0" applyFont="1" applyFill="1" applyBorder="1" applyAlignment="1">
      <alignment horizontal="center" vertical="center" wrapText="1"/>
    </xf>
    <xf numFmtId="0" fontId="7" fillId="6" borderId="150" xfId="0" applyFont="1" applyFill="1" applyBorder="1" applyAlignment="1">
      <alignment vertical="center" wrapText="1"/>
    </xf>
    <xf numFmtId="0" fontId="11" fillId="4" borderId="144" xfId="0" applyFont="1" applyFill="1" applyBorder="1" applyAlignment="1">
      <alignment vertical="center"/>
    </xf>
    <xf numFmtId="1" fontId="10" fillId="0" borderId="146" xfId="0" applyNumberFormat="1" applyFont="1" applyBorder="1" applyAlignment="1">
      <alignment vertical="center"/>
    </xf>
    <xf numFmtId="0" fontId="16" fillId="9" borderId="0" xfId="1" applyFill="1" applyAlignment="1">
      <alignment horizontal="left" vertical="top"/>
    </xf>
    <xf numFmtId="0" fontId="22" fillId="9" borderId="0" xfId="1" applyFont="1" applyFill="1" applyAlignment="1">
      <alignment horizontal="left" vertical="top" wrapText="1"/>
    </xf>
    <xf numFmtId="0" fontId="16" fillId="13" borderId="0" xfId="1" applyFill="1" applyAlignment="1">
      <alignment horizontal="left" vertical="top"/>
    </xf>
    <xf numFmtId="0" fontId="83" fillId="2" borderId="134" xfId="0" applyNumberFormat="1" applyFont="1" applyFill="1" applyBorder="1" applyAlignment="1">
      <alignment horizontal="center" vertical="center"/>
    </xf>
    <xf numFmtId="0" fontId="84" fillId="3" borderId="134" xfId="0" applyNumberFormat="1" applyFont="1" applyFill="1" applyBorder="1" applyAlignment="1">
      <alignment horizontal="center" vertical="center"/>
    </xf>
    <xf numFmtId="0" fontId="84" fillId="5" borderId="134" xfId="0" applyNumberFormat="1" applyFont="1" applyFill="1" applyBorder="1" applyAlignment="1">
      <alignment horizontal="center" vertical="center"/>
    </xf>
    <xf numFmtId="0" fontId="84" fillId="3" borderId="134" xfId="0" applyNumberFormat="1" applyFont="1" applyFill="1" applyBorder="1" applyAlignment="1">
      <alignment horizontal="center"/>
    </xf>
    <xf numFmtId="0" fontId="84" fillId="5" borderId="134" xfId="0" applyNumberFormat="1" applyFont="1" applyFill="1" applyBorder="1" applyAlignment="1">
      <alignment horizontal="center"/>
    </xf>
    <xf numFmtId="0" fontId="7" fillId="2" borderId="136" xfId="0" applyNumberFormat="1" applyFont="1" applyFill="1" applyBorder="1" applyAlignment="1">
      <alignment horizontal="center"/>
    </xf>
    <xf numFmtId="0" fontId="10" fillId="3" borderId="136" xfId="0" applyNumberFormat="1" applyFont="1" applyFill="1" applyBorder="1" applyAlignment="1">
      <alignment horizontal="center"/>
    </xf>
    <xf numFmtId="0" fontId="10" fillId="5" borderId="136" xfId="0" applyNumberFormat="1" applyFont="1" applyFill="1" applyBorder="1" applyAlignment="1">
      <alignment horizontal="center"/>
    </xf>
    <xf numFmtId="0" fontId="53" fillId="9" borderId="0" xfId="1" applyFont="1" applyFill="1" applyAlignment="1">
      <alignment horizontal="left" vertical="center" wrapText="1"/>
    </xf>
    <xf numFmtId="0" fontId="36" fillId="9" borderId="0" xfId="1" applyFont="1" applyFill="1" applyAlignment="1">
      <alignment horizontal="center"/>
    </xf>
    <xf numFmtId="0" fontId="36" fillId="9" borderId="0" xfId="1" applyFont="1" applyFill="1" applyAlignment="1">
      <alignment horizontal="center" vertical="center"/>
    </xf>
    <xf numFmtId="0" fontId="61" fillId="9" borderId="0" xfId="1" applyFont="1" applyFill="1" applyAlignment="1">
      <alignment horizontal="left" vertical="center" wrapText="1"/>
    </xf>
    <xf numFmtId="0" fontId="65" fillId="9" borderId="0" xfId="1" applyFont="1" applyFill="1" applyAlignment="1">
      <alignment horizontal="left" vertical="center" wrapText="1"/>
    </xf>
    <xf numFmtId="0" fontId="61" fillId="9" borderId="0" xfId="1" applyFont="1" applyFill="1" applyAlignment="1">
      <alignment horizontal="left" vertical="top" wrapText="1"/>
    </xf>
    <xf numFmtId="0" fontId="66" fillId="9" borderId="0" xfId="1" applyFont="1" applyFill="1" applyAlignment="1">
      <alignment horizontal="left" vertical="top" wrapText="1"/>
    </xf>
    <xf numFmtId="0" fontId="66" fillId="9" borderId="0" xfId="1" applyFont="1" applyFill="1" applyAlignment="1">
      <alignment horizontal="left" vertical="center" wrapText="1"/>
    </xf>
    <xf numFmtId="0" fontId="62" fillId="9" borderId="0" xfId="1" applyFont="1" applyFill="1" applyAlignment="1">
      <alignment horizontal="left" vertical="center" wrapText="1"/>
    </xf>
    <xf numFmtId="0" fontId="68" fillId="9" borderId="0" xfId="1" applyFont="1" applyFill="1" applyAlignment="1">
      <alignment horizontal="left" vertical="center" wrapText="1"/>
    </xf>
    <xf numFmtId="0" fontId="33" fillId="9" borderId="0" xfId="1" applyFont="1" applyFill="1" applyAlignment="1">
      <alignment horizontal="left" vertical="center" wrapText="1"/>
    </xf>
    <xf numFmtId="0" fontId="16" fillId="9" borderId="0" xfId="1" applyFill="1" applyAlignment="1">
      <alignment horizontal="center"/>
    </xf>
    <xf numFmtId="0" fontId="28" fillId="9" borderId="0" xfId="1" applyFont="1" applyFill="1" applyAlignment="1">
      <alignment horizontal="center" vertical="center" wrapText="1"/>
    </xf>
    <xf numFmtId="0" fontId="19" fillId="18" borderId="50" xfId="0" applyFont="1" applyFill="1" applyBorder="1" applyAlignment="1">
      <alignment horizontal="center" vertical="center" wrapText="1"/>
    </xf>
    <xf numFmtId="0" fontId="19" fillId="18" borderId="47" xfId="0" applyFont="1" applyFill="1" applyBorder="1" applyAlignment="1">
      <alignment horizontal="center" vertical="center" wrapText="1"/>
    </xf>
    <xf numFmtId="0" fontId="7" fillId="6" borderId="83" xfId="0" applyFont="1" applyFill="1" applyBorder="1" applyAlignment="1">
      <alignment horizontal="center" vertical="center" wrapText="1"/>
    </xf>
    <xf numFmtId="0" fontId="7" fillId="6" borderId="85" xfId="0" applyFont="1" applyFill="1" applyBorder="1" applyAlignment="1">
      <alignment horizontal="center" vertical="center" wrapText="1"/>
    </xf>
    <xf numFmtId="0" fontId="7" fillId="6" borderId="6" xfId="0" applyFont="1" applyFill="1" applyBorder="1" applyAlignment="1">
      <alignment horizontal="center" vertical="center" wrapText="1"/>
    </xf>
    <xf numFmtId="0" fontId="7" fillId="6" borderId="8" xfId="0" applyFont="1" applyFill="1" applyBorder="1" applyAlignment="1">
      <alignment horizontal="center" vertical="center" wrapText="1"/>
    </xf>
    <xf numFmtId="0" fontId="7" fillId="6" borderId="17" xfId="0" applyFont="1" applyFill="1" applyBorder="1" applyAlignment="1">
      <alignment horizontal="center" vertical="center" wrapText="1"/>
    </xf>
    <xf numFmtId="0" fontId="7" fillId="6" borderId="18" xfId="0" applyFont="1" applyFill="1" applyBorder="1" applyAlignment="1">
      <alignment horizontal="center" vertical="center" wrapText="1"/>
    </xf>
    <xf numFmtId="0" fontId="7" fillId="6" borderId="7" xfId="0" applyFont="1" applyFill="1" applyBorder="1" applyAlignment="1">
      <alignment horizontal="center" vertical="center" wrapText="1"/>
    </xf>
    <xf numFmtId="0" fontId="7" fillId="6" borderId="50" xfId="0" applyFont="1" applyFill="1" applyBorder="1" applyAlignment="1">
      <alignment horizontal="center" vertical="center" wrapText="1"/>
    </xf>
    <xf numFmtId="0" fontId="7" fillId="6" borderId="47" xfId="0" applyFont="1" applyFill="1" applyBorder="1" applyAlignment="1">
      <alignment horizontal="center" vertical="center" wrapText="1"/>
    </xf>
    <xf numFmtId="0" fontId="7" fillId="6" borderId="5" xfId="0" applyFont="1" applyFill="1" applyBorder="1" applyAlignment="1">
      <alignment horizontal="center" vertical="center" wrapText="1"/>
    </xf>
    <xf numFmtId="0" fontId="7" fillId="6" borderId="0" xfId="0" applyFont="1" applyFill="1" applyAlignment="1">
      <alignment horizontal="center" vertical="center" wrapText="1"/>
    </xf>
    <xf numFmtId="0" fontId="7" fillId="6" borderId="149" xfId="0" applyFont="1" applyFill="1" applyBorder="1" applyAlignment="1">
      <alignment horizontal="center" vertical="center" wrapText="1"/>
    </xf>
    <xf numFmtId="0" fontId="7" fillId="0" borderId="0" xfId="0" applyFont="1" applyAlignment="1">
      <alignment horizontal="center" vertical="center" wrapText="1"/>
    </xf>
    <xf numFmtId="0" fontId="0" fillId="0" borderId="0" xfId="0"/>
    <xf numFmtId="0" fontId="7" fillId="6" borderId="145" xfId="0" applyFont="1" applyFill="1" applyBorder="1" applyAlignment="1">
      <alignment horizontal="center" vertical="center" wrapText="1"/>
    </xf>
    <xf numFmtId="0" fontId="7" fillId="6" borderId="0" xfId="0" applyFont="1" applyFill="1" applyBorder="1" applyAlignment="1">
      <alignment horizontal="center" vertical="center" wrapText="1"/>
    </xf>
    <xf numFmtId="0" fontId="7" fillId="6" borderId="94" xfId="0" applyFont="1" applyFill="1" applyBorder="1" applyAlignment="1">
      <alignment horizontal="center" vertical="center" wrapText="1"/>
    </xf>
    <xf numFmtId="0" fontId="7" fillId="6" borderId="95" xfId="0" applyFont="1" applyFill="1" applyBorder="1" applyAlignment="1">
      <alignment horizontal="center" vertical="center" wrapText="1"/>
    </xf>
    <xf numFmtId="0" fontId="7" fillId="6" borderId="99" xfId="0" applyFont="1" applyFill="1" applyBorder="1" applyAlignment="1">
      <alignment horizontal="center" vertical="center" wrapText="1"/>
    </xf>
    <xf numFmtId="0" fontId="7" fillId="6" borderId="49" xfId="0" applyFont="1" applyFill="1" applyBorder="1" applyAlignment="1">
      <alignment horizontal="center" vertical="center" wrapText="1"/>
    </xf>
    <xf numFmtId="0" fontId="7" fillId="6" borderId="14" xfId="0" applyFont="1" applyFill="1" applyBorder="1" applyAlignment="1">
      <alignment horizontal="center" vertical="center" wrapText="1"/>
    </xf>
    <xf numFmtId="0" fontId="7" fillId="6" borderId="3" xfId="0" applyFont="1" applyFill="1" applyBorder="1" applyAlignment="1">
      <alignment horizontal="center" vertical="center" wrapText="1"/>
    </xf>
    <xf numFmtId="0" fontId="8" fillId="0" borderId="0" xfId="0" applyFont="1" applyAlignment="1">
      <alignment horizontal="center" vertical="center"/>
    </xf>
    <xf numFmtId="0" fontId="9" fillId="0" borderId="0" xfId="0" applyFont="1" applyAlignment="1">
      <alignment horizontal="center" vertical="center"/>
    </xf>
    <xf numFmtId="0" fontId="19" fillId="17" borderId="36" xfId="4" applyFont="1" applyFill="1" applyBorder="1" applyAlignment="1">
      <alignment horizontal="center"/>
    </xf>
    <xf numFmtId="0" fontId="19" fillId="17" borderId="37" xfId="4" applyFont="1" applyFill="1" applyBorder="1" applyAlignment="1">
      <alignment horizontal="center"/>
    </xf>
    <xf numFmtId="0" fontId="19" fillId="17" borderId="35" xfId="4" applyFont="1" applyFill="1" applyBorder="1" applyAlignment="1">
      <alignment horizontal="center"/>
    </xf>
    <xf numFmtId="0" fontId="19" fillId="17" borderId="28" xfId="4" applyFont="1" applyFill="1" applyBorder="1" applyAlignment="1">
      <alignment horizontal="center"/>
    </xf>
    <xf numFmtId="0" fontId="19" fillId="17" borderId="29" xfId="4" applyFont="1" applyFill="1" applyBorder="1" applyAlignment="1">
      <alignment horizontal="center"/>
    </xf>
    <xf numFmtId="164" fontId="19" fillId="17" borderId="29" xfId="4" applyNumberFormat="1" applyFont="1" applyFill="1" applyBorder="1" applyAlignment="1">
      <alignment horizontal="center"/>
    </xf>
    <xf numFmtId="164" fontId="19" fillId="17" borderId="30" xfId="4" applyNumberFormat="1" applyFont="1" applyFill="1" applyBorder="1" applyAlignment="1">
      <alignment horizontal="center"/>
    </xf>
    <xf numFmtId="0" fontId="19" fillId="17" borderId="30" xfId="4" applyFont="1" applyFill="1" applyBorder="1" applyAlignment="1">
      <alignment horizontal="center"/>
    </xf>
    <xf numFmtId="0" fontId="19" fillId="7" borderId="28" xfId="4" applyFont="1" applyFill="1" applyBorder="1" applyAlignment="1">
      <alignment horizontal="center"/>
    </xf>
    <xf numFmtId="0" fontId="19" fillId="7" borderId="29" xfId="4" applyFont="1" applyFill="1" applyBorder="1" applyAlignment="1">
      <alignment horizontal="center"/>
    </xf>
    <xf numFmtId="164" fontId="19" fillId="7" borderId="29" xfId="4" applyNumberFormat="1" applyFont="1" applyFill="1" applyBorder="1" applyAlignment="1">
      <alignment horizontal="center"/>
    </xf>
    <xf numFmtId="164" fontId="19" fillId="7" borderId="30" xfId="4" applyNumberFormat="1" applyFont="1" applyFill="1" applyBorder="1" applyAlignment="1">
      <alignment horizontal="center"/>
    </xf>
    <xf numFmtId="0" fontId="28" fillId="11" borderId="24" xfId="1" applyFont="1" applyFill="1" applyBorder="1" applyAlignment="1">
      <alignment horizontal="center" vertical="center" wrapText="1"/>
    </xf>
    <xf numFmtId="0" fontId="28" fillId="11" borderId="25" xfId="1" applyFont="1" applyFill="1" applyBorder="1" applyAlignment="1">
      <alignment horizontal="center" vertical="center" wrapText="1"/>
    </xf>
    <xf numFmtId="0" fontId="28" fillId="11" borderId="26" xfId="1" applyFont="1" applyFill="1" applyBorder="1" applyAlignment="1">
      <alignment horizontal="center" vertical="center" wrapText="1"/>
    </xf>
    <xf numFmtId="0" fontId="36" fillId="9" borderId="0" xfId="1" applyFont="1" applyFill="1" applyAlignment="1">
      <alignment horizontal="center" vertical="center" wrapText="1"/>
    </xf>
    <xf numFmtId="0" fontId="36" fillId="9" borderId="0" xfId="1" applyFont="1" applyFill="1" applyAlignment="1">
      <alignment horizontal="left" vertical="center"/>
    </xf>
    <xf numFmtId="0" fontId="46" fillId="11" borderId="40" xfId="1" applyFont="1" applyFill="1" applyBorder="1" applyAlignment="1">
      <alignment horizontal="center" vertical="center" wrapText="1"/>
    </xf>
    <xf numFmtId="0" fontId="36" fillId="16" borderId="40" xfId="1" applyFont="1" applyFill="1" applyBorder="1" applyAlignment="1" applyProtection="1">
      <alignment horizontal="left" vertical="center"/>
      <protection locked="0"/>
    </xf>
    <xf numFmtId="0" fontId="61" fillId="9" borderId="0" xfId="1" applyFont="1" applyFill="1" applyAlignment="1">
      <alignment horizontal="center" vertical="top" wrapText="1"/>
    </xf>
    <xf numFmtId="1" fontId="45" fillId="9" borderId="40" xfId="1" applyNumberFormat="1" applyFont="1" applyFill="1" applyBorder="1" applyAlignment="1">
      <alignment horizontal="center" vertical="center" wrapText="1"/>
    </xf>
    <xf numFmtId="0" fontId="22" fillId="11" borderId="40" xfId="1" applyFont="1" applyFill="1" applyBorder="1" applyAlignment="1">
      <alignment horizontal="center" vertical="center" wrapText="1"/>
    </xf>
    <xf numFmtId="0" fontId="22" fillId="11" borderId="31" xfId="1" applyFont="1" applyFill="1" applyBorder="1" applyAlignment="1">
      <alignment horizontal="center" vertical="center" wrapText="1"/>
    </xf>
    <xf numFmtId="0" fontId="22" fillId="11" borderId="41" xfId="1" applyFont="1" applyFill="1" applyBorder="1" applyAlignment="1">
      <alignment horizontal="center" vertical="center" wrapText="1"/>
    </xf>
    <xf numFmtId="0" fontId="22" fillId="11" borderId="56" xfId="1" applyFont="1" applyFill="1" applyBorder="1" applyAlignment="1">
      <alignment horizontal="center" vertical="center" wrapText="1"/>
    </xf>
    <xf numFmtId="0" fontId="42" fillId="11" borderId="40" xfId="2" applyFont="1" applyFill="1" applyBorder="1" applyAlignment="1">
      <alignment horizontal="center" vertical="center" wrapText="1"/>
    </xf>
    <xf numFmtId="0" fontId="19" fillId="11" borderId="31" xfId="2" applyFont="1" applyFill="1" applyBorder="1" applyAlignment="1">
      <alignment horizontal="center" vertical="center" wrapText="1"/>
    </xf>
    <xf numFmtId="0" fontId="19" fillId="11" borderId="56" xfId="2" applyFont="1" applyFill="1" applyBorder="1" applyAlignment="1">
      <alignment horizontal="center" vertical="center" wrapText="1"/>
    </xf>
    <xf numFmtId="1" fontId="45" fillId="9" borderId="42" xfId="1" applyNumberFormat="1" applyFont="1" applyFill="1" applyBorder="1" applyAlignment="1">
      <alignment horizontal="center" vertical="center" wrapText="1"/>
    </xf>
    <xf numFmtId="1" fontId="45" fillId="9" borderId="44" xfId="1" applyNumberFormat="1" applyFont="1" applyFill="1" applyBorder="1" applyAlignment="1">
      <alignment horizontal="center" vertical="center" wrapText="1"/>
    </xf>
    <xf numFmtId="0" fontId="40" fillId="27" borderId="40" xfId="0" applyFont="1" applyFill="1" applyBorder="1" applyAlignment="1">
      <alignment horizontal="center" vertical="center" wrapText="1"/>
    </xf>
    <xf numFmtId="0" fontId="22" fillId="10" borderId="31" xfId="1" applyFont="1" applyFill="1" applyBorder="1" applyAlignment="1">
      <alignment horizontal="center" vertical="center" wrapText="1"/>
    </xf>
    <xf numFmtId="0" fontId="22" fillId="10" borderId="41" xfId="1" applyFont="1" applyFill="1" applyBorder="1" applyAlignment="1">
      <alignment horizontal="center" vertical="center" wrapText="1"/>
    </xf>
    <xf numFmtId="0" fontId="22" fillId="10" borderId="56" xfId="1" applyFont="1" applyFill="1" applyBorder="1" applyAlignment="1">
      <alignment horizontal="center" vertical="center" wrapText="1"/>
    </xf>
    <xf numFmtId="0" fontId="61" fillId="0" borderId="40" xfId="1" applyFont="1" applyBorder="1" applyAlignment="1">
      <alignment horizontal="left" vertical="center" wrapText="1"/>
    </xf>
    <xf numFmtId="0" fontId="42" fillId="0" borderId="40" xfId="0" applyFont="1" applyBorder="1" applyAlignment="1">
      <alignment horizontal="center" vertical="center" wrapText="1"/>
    </xf>
    <xf numFmtId="0" fontId="39" fillId="27" borderId="40" xfId="0" applyFont="1" applyFill="1" applyBorder="1" applyAlignment="1">
      <alignment horizontal="center" vertical="center" wrapText="1"/>
    </xf>
    <xf numFmtId="0" fontId="43" fillId="0" borderId="40" xfId="1" applyFont="1" applyBorder="1" applyAlignment="1">
      <alignment horizontal="left" vertical="center" wrapText="1"/>
    </xf>
    <xf numFmtId="0" fontId="43" fillId="0" borderId="40" xfId="1" applyFont="1" applyBorder="1" applyAlignment="1">
      <alignment horizontal="left" vertical="center"/>
    </xf>
    <xf numFmtId="0" fontId="43" fillId="26" borderId="40" xfId="1" applyFont="1" applyFill="1" applyBorder="1" applyAlignment="1">
      <alignment horizontal="left" vertical="center" wrapText="1"/>
    </xf>
    <xf numFmtId="0" fontId="43" fillId="26" borderId="40" xfId="1" applyFont="1" applyFill="1" applyBorder="1" applyAlignment="1">
      <alignment horizontal="left" vertical="center"/>
    </xf>
    <xf numFmtId="0" fontId="42" fillId="26" borderId="40" xfId="0" applyFont="1" applyFill="1" applyBorder="1" applyAlignment="1">
      <alignment horizontal="center" vertical="center" wrapText="1"/>
    </xf>
    <xf numFmtId="0" fontId="42" fillId="10" borderId="40" xfId="2" applyFont="1" applyFill="1" applyBorder="1" applyAlignment="1">
      <alignment horizontal="center" vertical="center" wrapText="1"/>
    </xf>
    <xf numFmtId="0" fontId="42" fillId="11" borderId="40" xfId="1" applyFont="1" applyFill="1" applyBorder="1" applyAlignment="1">
      <alignment horizontal="center" vertical="center" wrapText="1"/>
    </xf>
    <xf numFmtId="0" fontId="19" fillId="15" borderId="40" xfId="1" applyFont="1" applyFill="1" applyBorder="1" applyAlignment="1">
      <alignment horizontal="center" vertical="center" wrapText="1"/>
    </xf>
    <xf numFmtId="0" fontId="19" fillId="11" borderId="40" xfId="2" applyFont="1" applyFill="1" applyBorder="1" applyAlignment="1">
      <alignment horizontal="center" vertical="center" wrapText="1"/>
    </xf>
    <xf numFmtId="0" fontId="22" fillId="9" borderId="0" xfId="1" applyFont="1" applyFill="1" applyAlignment="1">
      <alignment horizontal="center" vertical="center" wrapText="1"/>
    </xf>
    <xf numFmtId="0" fontId="42" fillId="9" borderId="40" xfId="1" applyFont="1" applyFill="1" applyBorder="1" applyAlignment="1">
      <alignment horizontal="center" vertical="center" wrapText="1"/>
    </xf>
    <xf numFmtId="0" fontId="42" fillId="11" borderId="42" xfId="2" applyFont="1" applyFill="1" applyBorder="1" applyAlignment="1">
      <alignment horizontal="center" vertical="center" wrapText="1"/>
    </xf>
    <xf numFmtId="0" fontId="42" fillId="11" borderId="43" xfId="2" applyFont="1" applyFill="1" applyBorder="1" applyAlignment="1">
      <alignment horizontal="center" vertical="center" wrapText="1"/>
    </xf>
    <xf numFmtId="0" fontId="42" fillId="11" borderId="44" xfId="2" applyFont="1" applyFill="1" applyBorder="1" applyAlignment="1">
      <alignment horizontal="center" vertical="center" wrapText="1"/>
    </xf>
    <xf numFmtId="0" fontId="19" fillId="9" borderId="0" xfId="2" applyFont="1" applyFill="1" applyAlignment="1">
      <alignment horizontal="center" vertical="center" wrapText="1"/>
    </xf>
    <xf numFmtId="0" fontId="61" fillId="26" borderId="40" xfId="1" applyFont="1" applyFill="1" applyBorder="1" applyAlignment="1">
      <alignment horizontal="left" vertical="center" wrapText="1"/>
    </xf>
    <xf numFmtId="0" fontId="19" fillId="15" borderId="42" xfId="1" applyFont="1" applyFill="1" applyBorder="1" applyAlignment="1">
      <alignment horizontal="center" vertical="center" wrapText="1"/>
    </xf>
    <xf numFmtId="0" fontId="19" fillId="15" borderId="44" xfId="1" applyFont="1" applyFill="1" applyBorder="1" applyAlignment="1">
      <alignment horizontal="center" vertical="center" wrapText="1"/>
    </xf>
    <xf numFmtId="0" fontId="42" fillId="11" borderId="42" xfId="1" applyFont="1" applyFill="1" applyBorder="1" applyAlignment="1">
      <alignment horizontal="center" vertical="center" wrapText="1"/>
    </xf>
    <xf numFmtId="0" fontId="42" fillId="11" borderId="43" xfId="1" applyFont="1" applyFill="1" applyBorder="1" applyAlignment="1">
      <alignment horizontal="center" vertical="center" wrapText="1"/>
    </xf>
    <xf numFmtId="0" fontId="42" fillId="11" borderId="44" xfId="1" applyFont="1" applyFill="1" applyBorder="1" applyAlignment="1">
      <alignment horizontal="center" vertical="center" wrapText="1"/>
    </xf>
    <xf numFmtId="0" fontId="43" fillId="0" borderId="40" xfId="0" applyFont="1" applyBorder="1" applyAlignment="1">
      <alignment horizontal="center" vertical="center" wrapText="1"/>
    </xf>
    <xf numFmtId="0" fontId="42" fillId="26" borderId="31" xfId="0" applyFont="1" applyFill="1" applyBorder="1" applyAlignment="1">
      <alignment horizontal="center" vertical="center" wrapText="1"/>
    </xf>
    <xf numFmtId="0" fontId="42" fillId="26" borderId="41" xfId="0" applyFont="1" applyFill="1" applyBorder="1" applyAlignment="1">
      <alignment horizontal="center" vertical="center" wrapText="1"/>
    </xf>
    <xf numFmtId="0" fontId="42" fillId="26" borderId="68" xfId="0" applyFont="1" applyFill="1" applyBorder="1" applyAlignment="1">
      <alignment horizontal="center" vertical="center" wrapText="1"/>
    </xf>
    <xf numFmtId="0" fontId="43" fillId="26" borderId="61" xfId="1" applyFont="1" applyFill="1" applyBorder="1" applyAlignment="1">
      <alignment horizontal="left" vertical="center" wrapText="1"/>
    </xf>
    <xf numFmtId="0" fontId="43" fillId="26" borderId="65" xfId="1" applyFont="1" applyFill="1" applyBorder="1" applyAlignment="1">
      <alignment horizontal="left" vertical="center" wrapText="1"/>
    </xf>
    <xf numFmtId="0" fontId="43" fillId="26" borderId="62" xfId="1" applyFont="1" applyFill="1" applyBorder="1" applyAlignment="1">
      <alignment horizontal="left" vertical="center" wrapText="1"/>
    </xf>
    <xf numFmtId="0" fontId="43" fillId="26" borderId="63" xfId="1" applyFont="1" applyFill="1" applyBorder="1" applyAlignment="1">
      <alignment horizontal="left" vertical="center" wrapText="1"/>
    </xf>
    <xf numFmtId="0" fontId="43" fillId="26" borderId="0" xfId="1" applyFont="1" applyFill="1" applyAlignment="1">
      <alignment horizontal="left" vertical="center" wrapText="1"/>
    </xf>
    <xf numFmtId="0" fontId="43" fillId="26" borderId="64" xfId="1" applyFont="1" applyFill="1" applyBorder="1" applyAlignment="1">
      <alignment horizontal="left" vertical="center" wrapText="1"/>
    </xf>
    <xf numFmtId="0" fontId="43" fillId="26" borderId="66" xfId="1" applyFont="1" applyFill="1" applyBorder="1" applyAlignment="1">
      <alignment horizontal="left" vertical="center" wrapText="1"/>
    </xf>
    <xf numFmtId="0" fontId="43" fillId="26" borderId="67" xfId="1" applyFont="1" applyFill="1" applyBorder="1" applyAlignment="1">
      <alignment horizontal="left" vertical="center" wrapText="1"/>
    </xf>
    <xf numFmtId="0" fontId="43" fillId="26" borderId="69" xfId="1" applyFont="1" applyFill="1" applyBorder="1" applyAlignment="1">
      <alignment horizontal="left" vertical="center" wrapText="1"/>
    </xf>
    <xf numFmtId="0" fontId="61" fillId="26" borderId="127" xfId="1" applyFont="1" applyFill="1" applyBorder="1" applyAlignment="1">
      <alignment horizontal="left" vertical="center" wrapText="1"/>
    </xf>
    <xf numFmtId="0" fontId="61" fillId="26" borderId="126" xfId="1" applyFont="1" applyFill="1" applyBorder="1" applyAlignment="1">
      <alignment horizontal="left" vertical="center" wrapText="1"/>
    </xf>
    <xf numFmtId="0" fontId="61" fillId="26" borderId="142" xfId="1" applyFont="1" applyFill="1" applyBorder="1" applyAlignment="1">
      <alignment horizontal="left" vertical="center" wrapText="1"/>
    </xf>
    <xf numFmtId="0" fontId="61" fillId="26" borderId="143" xfId="1" applyFont="1" applyFill="1" applyBorder="1" applyAlignment="1">
      <alignment horizontal="left" vertical="center" wrapText="1"/>
    </xf>
    <xf numFmtId="0" fontId="61" fillId="26" borderId="0" xfId="1" applyFont="1" applyFill="1" applyBorder="1" applyAlignment="1">
      <alignment horizontal="left" vertical="center" wrapText="1"/>
    </xf>
    <xf numFmtId="0" fontId="61" fillId="26" borderId="64" xfId="1" applyFont="1" applyFill="1" applyBorder="1" applyAlignment="1">
      <alignment horizontal="left" vertical="center" wrapText="1"/>
    </xf>
    <xf numFmtId="0" fontId="61" fillId="26" borderId="76" xfId="1" applyFont="1" applyFill="1" applyBorder="1" applyAlignment="1">
      <alignment horizontal="left" vertical="center" wrapText="1"/>
    </xf>
    <xf numFmtId="0" fontId="61" fillId="26" borderId="78" xfId="1" applyFont="1" applyFill="1" applyBorder="1" applyAlignment="1">
      <alignment horizontal="left" vertical="center" wrapText="1"/>
    </xf>
    <xf numFmtId="0" fontId="61" fillId="26" borderId="77" xfId="1" applyFont="1" applyFill="1" applyBorder="1" applyAlignment="1">
      <alignment horizontal="left" vertical="center" wrapText="1"/>
    </xf>
    <xf numFmtId="0" fontId="42" fillId="26" borderId="140" xfId="0" applyFont="1" applyFill="1" applyBorder="1" applyAlignment="1">
      <alignment horizontal="center" vertical="center" wrapText="1"/>
    </xf>
    <xf numFmtId="0" fontId="42" fillId="26" borderId="141" xfId="0" applyFont="1" applyFill="1" applyBorder="1" applyAlignment="1">
      <alignment horizontal="center" vertical="center" wrapText="1"/>
    </xf>
    <xf numFmtId="0" fontId="42" fillId="26" borderId="75" xfId="0" applyFont="1" applyFill="1" applyBorder="1" applyAlignment="1">
      <alignment horizontal="center" vertical="center" wrapText="1"/>
    </xf>
    <xf numFmtId="0" fontId="43" fillId="0" borderId="61" xfId="1" applyFont="1" applyBorder="1" applyAlignment="1">
      <alignment horizontal="left" vertical="center" wrapText="1"/>
    </xf>
    <xf numFmtId="0" fontId="43" fillId="0" borderId="65" xfId="1" applyFont="1" applyBorder="1" applyAlignment="1">
      <alignment horizontal="left" vertical="center" wrapText="1"/>
    </xf>
    <xf numFmtId="0" fontId="43" fillId="0" borderId="62" xfId="1" applyFont="1" applyBorder="1" applyAlignment="1">
      <alignment horizontal="left" vertical="center" wrapText="1"/>
    </xf>
    <xf numFmtId="0" fontId="43" fillId="0" borderId="63" xfId="1" applyFont="1" applyBorder="1" applyAlignment="1">
      <alignment horizontal="left" vertical="center" wrapText="1"/>
    </xf>
    <xf numFmtId="0" fontId="43" fillId="0" borderId="0" xfId="1" applyFont="1" applyAlignment="1">
      <alignment horizontal="left" vertical="center" wrapText="1"/>
    </xf>
    <xf numFmtId="0" fontId="43" fillId="0" borderId="64" xfId="1" applyFont="1" applyBorder="1" applyAlignment="1">
      <alignment horizontal="left" vertical="center" wrapText="1"/>
    </xf>
    <xf numFmtId="0" fontId="43" fillId="0" borderId="66" xfId="1" applyFont="1" applyBorder="1" applyAlignment="1">
      <alignment horizontal="left" vertical="center" wrapText="1"/>
    </xf>
    <xf numFmtId="0" fontId="43" fillId="0" borderId="67" xfId="1" applyFont="1" applyBorder="1" applyAlignment="1">
      <alignment horizontal="left" vertical="center" wrapText="1"/>
    </xf>
    <xf numFmtId="0" fontId="43" fillId="0" borderId="69" xfId="1" applyFont="1" applyBorder="1" applyAlignment="1">
      <alignment horizontal="left" vertical="center" wrapText="1"/>
    </xf>
    <xf numFmtId="0" fontId="43" fillId="0" borderId="31" xfId="0" applyFont="1" applyBorder="1" applyAlignment="1">
      <alignment horizontal="center" vertical="center" wrapText="1"/>
    </xf>
    <xf numFmtId="0" fontId="43" fillId="0" borderId="41" xfId="0" applyFont="1" applyBorder="1" applyAlignment="1">
      <alignment horizontal="center" vertical="center" wrapText="1"/>
    </xf>
    <xf numFmtId="0" fontId="43" fillId="0" borderId="68" xfId="0" applyFont="1" applyBorder="1" applyAlignment="1">
      <alignment horizontal="center" vertical="center" wrapText="1"/>
    </xf>
    <xf numFmtId="0" fontId="42" fillId="0" borderId="31" xfId="0" applyFont="1" applyBorder="1" applyAlignment="1">
      <alignment horizontal="center" vertical="center" wrapText="1"/>
    </xf>
    <xf numFmtId="0" fontId="42" fillId="0" borderId="41" xfId="0" applyFont="1" applyBorder="1" applyAlignment="1">
      <alignment horizontal="center" vertical="center" wrapText="1"/>
    </xf>
    <xf numFmtId="0" fontId="42" fillId="0" borderId="68" xfId="0" applyFont="1" applyBorder="1" applyAlignment="1">
      <alignment horizontal="center" vertical="center" wrapText="1"/>
    </xf>
    <xf numFmtId="0" fontId="61" fillId="0" borderId="61" xfId="1" applyFont="1" applyBorder="1" applyAlignment="1">
      <alignment horizontal="left" vertical="center" wrapText="1"/>
    </xf>
    <xf numFmtId="0" fontId="61" fillId="0" borderId="65" xfId="1" applyFont="1" applyBorder="1" applyAlignment="1">
      <alignment horizontal="left" vertical="center" wrapText="1"/>
    </xf>
    <xf numFmtId="0" fontId="61" fillId="0" borderId="62" xfId="1" applyFont="1" applyBorder="1" applyAlignment="1">
      <alignment horizontal="left" vertical="center" wrapText="1"/>
    </xf>
    <xf numFmtId="0" fontId="61" fillId="0" borderId="63" xfId="1" applyFont="1" applyBorder="1" applyAlignment="1">
      <alignment horizontal="left" vertical="center" wrapText="1"/>
    </xf>
    <xf numFmtId="0" fontId="61" fillId="0" borderId="0" xfId="1" applyFont="1" applyAlignment="1">
      <alignment horizontal="left" vertical="center" wrapText="1"/>
    </xf>
    <xf numFmtId="0" fontId="61" fillId="0" borderId="64" xfId="1" applyFont="1" applyBorder="1" applyAlignment="1">
      <alignment horizontal="left" vertical="center" wrapText="1"/>
    </xf>
    <xf numFmtId="0" fontId="61" fillId="0" borderId="66" xfId="1" applyFont="1" applyBorder="1" applyAlignment="1">
      <alignment horizontal="left" vertical="center" wrapText="1"/>
    </xf>
    <xf numFmtId="0" fontId="61" fillId="0" borderId="67" xfId="1" applyFont="1" applyBorder="1" applyAlignment="1">
      <alignment horizontal="left" vertical="center" wrapText="1"/>
    </xf>
    <xf numFmtId="0" fontId="61" fillId="0" borderId="69" xfId="1" applyFont="1" applyBorder="1" applyAlignment="1">
      <alignment horizontal="left" vertical="center" wrapText="1"/>
    </xf>
    <xf numFmtId="0" fontId="61" fillId="26" borderId="61" xfId="1" applyFont="1" applyFill="1" applyBorder="1" applyAlignment="1">
      <alignment horizontal="left" vertical="center" wrapText="1"/>
    </xf>
    <xf numFmtId="0" fontId="61" fillId="26" borderId="65" xfId="1" applyFont="1" applyFill="1" applyBorder="1" applyAlignment="1">
      <alignment horizontal="left" vertical="center" wrapText="1"/>
    </xf>
    <xf numFmtId="0" fontId="61" fillId="26" borderId="62" xfId="1" applyFont="1" applyFill="1" applyBorder="1" applyAlignment="1">
      <alignment horizontal="left" vertical="center" wrapText="1"/>
    </xf>
    <xf numFmtId="0" fontId="61" fillId="26" borderId="63" xfId="1" applyFont="1" applyFill="1" applyBorder="1" applyAlignment="1">
      <alignment horizontal="left" vertical="center" wrapText="1"/>
    </xf>
    <xf numFmtId="0" fontId="61" fillId="26" borderId="0" xfId="1" applyFont="1" applyFill="1" applyAlignment="1">
      <alignment horizontal="left" vertical="center" wrapText="1"/>
    </xf>
    <xf numFmtId="0" fontId="61" fillId="26" borderId="66" xfId="1" applyFont="1" applyFill="1" applyBorder="1" applyAlignment="1">
      <alignment horizontal="left" vertical="center" wrapText="1"/>
    </xf>
    <xf numFmtId="0" fontId="61" fillId="26" borderId="67" xfId="1" applyFont="1" applyFill="1" applyBorder="1" applyAlignment="1">
      <alignment horizontal="left" vertical="center" wrapText="1"/>
    </xf>
    <xf numFmtId="0" fontId="61" fillId="26" borderId="69" xfId="1" applyFont="1" applyFill="1" applyBorder="1" applyAlignment="1">
      <alignment horizontal="left" vertical="center" wrapText="1"/>
    </xf>
    <xf numFmtId="0" fontId="39" fillId="27" borderId="59" xfId="0" applyFont="1" applyFill="1" applyBorder="1" applyAlignment="1">
      <alignment horizontal="center" vertical="center" wrapText="1"/>
    </xf>
    <xf numFmtId="0" fontId="39" fillId="27" borderId="70" xfId="0" applyFont="1" applyFill="1" applyBorder="1" applyAlignment="1">
      <alignment horizontal="center" vertical="center" wrapText="1"/>
    </xf>
    <xf numFmtId="0" fontId="39" fillId="27" borderId="60" xfId="0" applyFont="1" applyFill="1" applyBorder="1" applyAlignment="1">
      <alignment horizontal="center" vertical="center" wrapText="1"/>
    </xf>
    <xf numFmtId="0" fontId="85" fillId="7" borderId="5" xfId="0" applyFont="1" applyFill="1" applyBorder="1" applyAlignment="1">
      <alignment horizontal="center" vertical="center" wrapText="1"/>
    </xf>
    <xf numFmtId="0" fontId="85" fillId="7" borderId="0" xfId="0" applyFont="1" applyFill="1" applyAlignment="1">
      <alignment horizontal="center" vertical="center" wrapText="1"/>
    </xf>
    <xf numFmtId="0" fontId="12" fillId="6" borderId="0" xfId="0" applyFont="1" applyFill="1" applyAlignment="1">
      <alignment horizontal="center" vertical="center" wrapText="1"/>
    </xf>
    <xf numFmtId="0" fontId="12" fillId="6" borderId="3" xfId="0" applyFont="1" applyFill="1" applyBorder="1" applyAlignment="1">
      <alignment horizontal="center" vertical="center" wrapText="1"/>
    </xf>
    <xf numFmtId="0" fontId="7" fillId="6" borderId="12" xfId="0" applyFont="1" applyFill="1" applyBorder="1" applyAlignment="1">
      <alignment horizontal="center" vertical="center" wrapText="1"/>
    </xf>
    <xf numFmtId="0" fontId="7" fillId="6" borderId="13" xfId="0" applyFont="1" applyFill="1" applyBorder="1" applyAlignment="1">
      <alignment horizontal="center" vertical="center" wrapText="1"/>
    </xf>
    <xf numFmtId="0" fontId="7" fillId="6" borderId="2" xfId="0" applyFont="1" applyFill="1" applyBorder="1" applyAlignment="1">
      <alignment horizontal="center" vertical="center" wrapText="1"/>
    </xf>
    <xf numFmtId="0" fontId="0" fillId="0" borderId="0" xfId="0" applyAlignment="1">
      <alignment horizontal="center"/>
    </xf>
    <xf numFmtId="0" fontId="12" fillId="6" borderId="9" xfId="0" applyFont="1" applyFill="1" applyBorder="1" applyAlignment="1">
      <alignment horizontal="center" vertical="center" wrapText="1"/>
    </xf>
    <xf numFmtId="0" fontId="12" fillId="6" borderId="10" xfId="0" applyFont="1" applyFill="1" applyBorder="1" applyAlignment="1">
      <alignment horizontal="center" vertical="center" wrapText="1"/>
    </xf>
    <xf numFmtId="0" fontId="7" fillId="6" borderId="15" xfId="0" applyFont="1" applyFill="1" applyBorder="1" applyAlignment="1">
      <alignment horizontal="center" vertical="center" wrapText="1"/>
    </xf>
    <xf numFmtId="0" fontId="7" fillId="6" borderId="10" xfId="0" applyFont="1" applyFill="1" applyBorder="1" applyAlignment="1">
      <alignment horizontal="center" vertical="center" wrapText="1"/>
    </xf>
    <xf numFmtId="0" fontId="0" fillId="0" borderId="64" xfId="0" applyBorder="1" applyAlignment="1">
      <alignment horizontal="center"/>
    </xf>
    <xf numFmtId="0" fontId="7" fillId="30" borderId="5" xfId="0" applyFont="1" applyFill="1" applyBorder="1" applyAlignment="1">
      <alignment horizontal="center" vertical="center" wrapText="1"/>
    </xf>
    <xf numFmtId="0" fontId="7" fillId="30" borderId="0" xfId="0" applyFont="1" applyFill="1" applyAlignment="1">
      <alignment horizontal="center" vertical="center" wrapText="1"/>
    </xf>
    <xf numFmtId="0" fontId="14" fillId="6" borderId="9" xfId="0" applyFont="1" applyFill="1" applyBorder="1" applyAlignment="1">
      <alignment horizontal="center" vertical="center" wrapText="1"/>
    </xf>
    <xf numFmtId="0" fontId="14" fillId="6" borderId="10" xfId="0" applyFont="1" applyFill="1" applyBorder="1" applyAlignment="1">
      <alignment horizontal="center" vertical="center" wrapText="1"/>
    </xf>
    <xf numFmtId="0" fontId="14" fillId="6" borderId="5" xfId="0" applyFont="1" applyFill="1" applyBorder="1" applyAlignment="1">
      <alignment horizontal="center" vertical="center" wrapText="1"/>
    </xf>
    <xf numFmtId="0" fontId="14" fillId="6" borderId="0" xfId="0" applyFont="1" applyFill="1" applyAlignment="1">
      <alignment horizontal="center" vertical="center" wrapText="1"/>
    </xf>
    <xf numFmtId="0" fontId="14" fillId="6" borderId="6" xfId="0" applyFont="1" applyFill="1" applyBorder="1" applyAlignment="1">
      <alignment horizontal="center" vertical="center" wrapText="1"/>
    </xf>
    <xf numFmtId="0" fontId="14" fillId="6" borderId="7" xfId="0" applyFont="1" applyFill="1" applyBorder="1" applyAlignment="1">
      <alignment horizontal="center" vertical="center" wrapText="1"/>
    </xf>
    <xf numFmtId="0" fontId="7" fillId="6" borderId="16" xfId="0" applyFont="1" applyFill="1" applyBorder="1" applyAlignment="1">
      <alignment horizontal="center" vertical="center" wrapText="1"/>
    </xf>
    <xf numFmtId="0" fontId="12" fillId="6" borderId="17" xfId="0" applyFont="1" applyFill="1" applyBorder="1" applyAlignment="1">
      <alignment horizontal="center" vertical="center" wrapText="1"/>
    </xf>
    <xf numFmtId="0" fontId="12" fillId="6" borderId="2" xfId="0" applyFont="1" applyFill="1" applyBorder="1" applyAlignment="1">
      <alignment horizontal="center" vertical="center" wrapText="1"/>
    </xf>
    <xf numFmtId="0" fontId="0" fillId="0" borderId="0" xfId="0" applyAlignment="1">
      <alignment vertical="center"/>
    </xf>
    <xf numFmtId="0" fontId="19" fillId="20" borderId="5" xfId="0" applyFont="1" applyFill="1" applyBorder="1" applyAlignment="1">
      <alignment horizontal="center" vertical="center" wrapText="1"/>
    </xf>
    <xf numFmtId="0" fontId="19" fillId="20" borderId="0" xfId="0" applyFont="1" applyFill="1" applyAlignment="1">
      <alignment horizontal="center" vertical="center" wrapText="1"/>
    </xf>
    <xf numFmtId="0" fontId="14" fillId="6" borderId="83" xfId="0" applyFont="1" applyFill="1" applyBorder="1" applyAlignment="1">
      <alignment horizontal="center" vertical="center" wrapText="1"/>
    </xf>
    <xf numFmtId="0" fontId="14" fillId="6" borderId="49" xfId="0" applyFont="1" applyFill="1" applyBorder="1" applyAlignment="1">
      <alignment horizontal="center" vertical="center" wrapText="1"/>
    </xf>
    <xf numFmtId="0" fontId="0" fillId="0" borderId="90" xfId="0" applyBorder="1" applyAlignment="1">
      <alignment horizontal="center"/>
    </xf>
    <xf numFmtId="0" fontId="0" fillId="0" borderId="100" xfId="0" applyBorder="1" applyAlignment="1">
      <alignment horizontal="center"/>
    </xf>
    <xf numFmtId="0" fontId="0" fillId="0" borderId="100" xfId="0" applyBorder="1" applyAlignment="1">
      <alignment horizontal="center" vertical="center"/>
    </xf>
    <xf numFmtId="0" fontId="0" fillId="0" borderId="102" xfId="0" applyBorder="1" applyAlignment="1">
      <alignment horizontal="center"/>
    </xf>
    <xf numFmtId="0" fontId="12" fillId="6" borderId="83" xfId="0" applyFont="1" applyFill="1" applyBorder="1" applyAlignment="1">
      <alignment horizontal="center" vertical="center" wrapText="1"/>
    </xf>
    <xf numFmtId="0" fontId="12" fillId="6" borderId="85" xfId="0" applyFont="1" applyFill="1" applyBorder="1" applyAlignment="1">
      <alignment horizontal="center" vertical="center" wrapText="1"/>
    </xf>
    <xf numFmtId="0" fontId="12" fillId="30" borderId="83" xfId="0" applyFont="1" applyFill="1" applyBorder="1" applyAlignment="1">
      <alignment horizontal="center" vertical="center" wrapText="1"/>
    </xf>
    <xf numFmtId="0" fontId="12" fillId="30" borderId="85" xfId="0" applyFont="1" applyFill="1" applyBorder="1" applyAlignment="1">
      <alignment horizontal="center" vertical="center" wrapText="1"/>
    </xf>
    <xf numFmtId="0" fontId="12" fillId="30" borderId="84" xfId="0" applyFont="1" applyFill="1" applyBorder="1" applyAlignment="1">
      <alignment horizontal="center" vertical="center" wrapText="1"/>
    </xf>
    <xf numFmtId="0" fontId="12" fillId="6" borderId="6" xfId="0" applyFont="1" applyFill="1" applyBorder="1" applyAlignment="1">
      <alignment horizontal="center" vertical="center" wrapText="1"/>
    </xf>
    <xf numFmtId="0" fontId="12" fillId="6" borderId="49" xfId="0" applyFont="1" applyFill="1" applyBorder="1" applyAlignment="1">
      <alignment horizontal="center" vertical="center" wrapText="1"/>
    </xf>
    <xf numFmtId="0" fontId="12" fillId="6" borderId="7" xfId="0" applyFont="1" applyFill="1" applyBorder="1" applyAlignment="1">
      <alignment horizontal="center" vertical="center" wrapText="1"/>
    </xf>
    <xf numFmtId="0" fontId="12" fillId="6" borderId="8" xfId="0" applyFont="1" applyFill="1" applyBorder="1" applyAlignment="1">
      <alignment horizontal="center" vertical="center" wrapText="1"/>
    </xf>
    <xf numFmtId="0" fontId="7" fillId="6" borderId="9" xfId="0" applyFont="1" applyFill="1" applyBorder="1" applyAlignment="1">
      <alignment horizontal="center" vertical="center" wrapText="1"/>
    </xf>
    <xf numFmtId="0" fontId="7" fillId="6" borderId="96" xfId="0" applyFont="1" applyFill="1" applyBorder="1" applyAlignment="1">
      <alignment horizontal="center" vertical="center" wrapText="1"/>
    </xf>
    <xf numFmtId="0" fontId="19" fillId="7" borderId="83" xfId="0" applyFont="1" applyFill="1" applyBorder="1" applyAlignment="1">
      <alignment horizontal="center" vertical="center" wrapText="1"/>
    </xf>
    <xf numFmtId="0" fontId="19" fillId="7" borderId="85" xfId="0" applyFont="1" applyFill="1" applyBorder="1" applyAlignment="1">
      <alignment horizontal="center" vertical="center" wrapText="1"/>
    </xf>
    <xf numFmtId="0" fontId="7" fillId="6" borderId="98" xfId="0" applyFont="1" applyFill="1" applyBorder="1" applyAlignment="1">
      <alignment horizontal="center" vertical="center" wrapText="1"/>
    </xf>
    <xf numFmtId="0" fontId="7" fillId="31" borderId="5" xfId="0" applyFont="1" applyFill="1" applyBorder="1" applyAlignment="1">
      <alignment horizontal="center" vertical="center" wrapText="1"/>
    </xf>
    <xf numFmtId="0" fontId="7" fillId="31" borderId="0" xfId="0" applyFont="1" applyFill="1" applyAlignment="1">
      <alignment horizontal="center" vertical="center" wrapText="1"/>
    </xf>
    <xf numFmtId="0" fontId="56" fillId="6" borderId="15" xfId="0" applyFont="1" applyFill="1" applyBorder="1" applyAlignment="1">
      <alignment horizontal="center" vertical="center" wrapText="1"/>
    </xf>
    <xf numFmtId="0" fontId="12" fillId="6" borderId="50" xfId="0" applyFont="1" applyFill="1" applyBorder="1" applyAlignment="1">
      <alignment horizontal="center" vertical="center" wrapText="1"/>
    </xf>
    <xf numFmtId="0" fontId="12" fillId="6" borderId="47" xfId="0" applyFont="1" applyFill="1" applyBorder="1" applyAlignment="1">
      <alignment horizontal="center" vertical="center" wrapText="1"/>
    </xf>
    <xf numFmtId="0" fontId="12" fillId="6" borderId="48" xfId="0" applyFont="1" applyFill="1" applyBorder="1" applyAlignment="1">
      <alignment horizontal="center" vertical="center" wrapText="1"/>
    </xf>
    <xf numFmtId="0" fontId="12" fillId="6" borderId="50" xfId="0" applyFont="1" applyFill="1" applyBorder="1" applyAlignment="1">
      <alignment horizontal="center" vertical="center"/>
    </xf>
    <xf numFmtId="0" fontId="12" fillId="6" borderId="47" xfId="0" applyFont="1" applyFill="1" applyBorder="1" applyAlignment="1">
      <alignment horizontal="center" vertical="center"/>
    </xf>
    <xf numFmtId="0" fontId="12" fillId="6" borderId="48" xfId="0" applyFont="1" applyFill="1" applyBorder="1" applyAlignment="1">
      <alignment horizontal="center" vertical="center"/>
    </xf>
    <xf numFmtId="0" fontId="19" fillId="7" borderId="98" xfId="0" applyFont="1" applyFill="1" applyBorder="1" applyAlignment="1">
      <alignment horizontal="center" vertical="center"/>
    </xf>
    <xf numFmtId="0" fontId="19" fillId="7" borderId="0" xfId="0" applyFont="1" applyFill="1" applyAlignment="1">
      <alignment horizontal="center" vertical="center"/>
    </xf>
    <xf numFmtId="0" fontId="7" fillId="6" borderId="98" xfId="0" applyFont="1" applyFill="1" applyBorder="1" applyAlignment="1">
      <alignment horizontal="center" vertical="center"/>
    </xf>
    <xf numFmtId="0" fontId="7" fillId="6" borderId="0" xfId="0" applyFont="1" applyFill="1" applyAlignment="1">
      <alignment horizontal="center" vertical="center"/>
    </xf>
    <xf numFmtId="0" fontId="12" fillId="6" borderId="5" xfId="0" applyFont="1" applyFill="1" applyBorder="1" applyAlignment="1">
      <alignment horizontal="center" vertical="center"/>
    </xf>
    <xf numFmtId="0" fontId="12" fillId="6" borderId="0" xfId="0" applyFont="1" applyFill="1" applyAlignment="1">
      <alignment horizontal="center" vertical="center"/>
    </xf>
    <xf numFmtId="0" fontId="12" fillId="6" borderId="15" xfId="0" applyFont="1" applyFill="1" applyBorder="1" applyAlignment="1">
      <alignment horizontal="center" vertical="center"/>
    </xf>
    <xf numFmtId="0" fontId="12" fillId="6" borderId="19" xfId="0" applyFont="1" applyFill="1" applyBorder="1" applyAlignment="1">
      <alignment horizontal="center" vertical="center"/>
    </xf>
    <xf numFmtId="0" fontId="12" fillId="6" borderId="50" xfId="0" applyFont="1" applyFill="1" applyBorder="1" applyAlignment="1">
      <alignment horizontal="left" vertical="center"/>
    </xf>
    <xf numFmtId="0" fontId="12" fillId="6" borderId="47" xfId="0" applyFont="1" applyFill="1" applyBorder="1" applyAlignment="1">
      <alignment horizontal="left" vertical="center"/>
    </xf>
    <xf numFmtId="0" fontId="12" fillId="6" borderId="48" xfId="0" applyFont="1" applyFill="1" applyBorder="1" applyAlignment="1">
      <alignment horizontal="left" vertical="center"/>
    </xf>
    <xf numFmtId="0" fontId="13" fillId="8" borderId="0" xfId="0" applyFont="1" applyFill="1" applyAlignment="1">
      <alignment horizontal="center"/>
    </xf>
    <xf numFmtId="0" fontId="12" fillId="6" borderId="5" xfId="0" applyFont="1" applyFill="1" applyBorder="1" applyAlignment="1">
      <alignment horizontal="center" vertical="center" wrapText="1"/>
    </xf>
    <xf numFmtId="0" fontId="7" fillId="6" borderId="21" xfId="0" applyFont="1" applyFill="1" applyBorder="1" applyAlignment="1">
      <alignment horizontal="center" vertical="center" wrapText="1"/>
    </xf>
    <xf numFmtId="0" fontId="12" fillId="6" borderId="98" xfId="0" applyFont="1" applyFill="1" applyBorder="1" applyAlignment="1">
      <alignment horizontal="center" vertical="center"/>
    </xf>
    <xf numFmtId="0" fontId="12" fillId="31" borderId="5" xfId="0" applyFont="1" applyFill="1" applyBorder="1" applyAlignment="1">
      <alignment horizontal="center" vertical="center"/>
    </xf>
    <xf numFmtId="0" fontId="12" fillId="31" borderId="0" xfId="0" applyFont="1" applyFill="1" applyAlignment="1">
      <alignment horizontal="center" vertical="center"/>
    </xf>
    <xf numFmtId="0" fontId="7" fillId="6" borderId="148" xfId="0" applyFont="1" applyFill="1" applyBorder="1" applyAlignment="1">
      <alignment horizontal="center" vertical="center" wrapText="1"/>
    </xf>
    <xf numFmtId="0" fontId="12" fillId="6" borderId="94" xfId="0" applyFont="1" applyFill="1" applyBorder="1" applyAlignment="1">
      <alignment horizontal="center" vertical="center"/>
    </xf>
    <xf numFmtId="0" fontId="12" fillId="6" borderId="95" xfId="0" applyFont="1" applyFill="1" applyBorder="1" applyAlignment="1">
      <alignment horizontal="center" vertical="center"/>
    </xf>
    <xf numFmtId="0" fontId="12" fillId="6" borderId="99" xfId="0" applyFont="1" applyFill="1" applyBorder="1" applyAlignment="1">
      <alignment horizontal="center" vertical="center"/>
    </xf>
    <xf numFmtId="0" fontId="19" fillId="7" borderId="5" xfId="0" applyFont="1" applyFill="1" applyBorder="1" applyAlignment="1">
      <alignment horizontal="center" vertical="center" wrapText="1"/>
    </xf>
    <xf numFmtId="0" fontId="19" fillId="7" borderId="0" xfId="0" applyFont="1" applyFill="1" applyAlignment="1">
      <alignment horizontal="center" vertical="center" wrapText="1"/>
    </xf>
    <xf numFmtId="0" fontId="7" fillId="6" borderId="71" xfId="0" applyFont="1" applyFill="1" applyBorder="1" applyAlignment="1">
      <alignment horizontal="left" vertical="center"/>
    </xf>
    <xf numFmtId="0" fontId="7" fillId="6" borderId="71" xfId="0" applyFont="1" applyFill="1" applyBorder="1" applyAlignment="1">
      <alignment horizontal="center" vertical="center"/>
    </xf>
    <xf numFmtId="0" fontId="12" fillId="6" borderId="94" xfId="0" applyFont="1" applyFill="1" applyBorder="1" applyAlignment="1">
      <alignment horizontal="left" vertical="center"/>
    </xf>
    <xf numFmtId="0" fontId="12" fillId="6" borderId="95" xfId="0" applyFont="1" applyFill="1" applyBorder="1" applyAlignment="1">
      <alignment horizontal="left" vertical="center"/>
    </xf>
    <xf numFmtId="0" fontId="0" fillId="0" borderId="103" xfId="0" applyBorder="1" applyAlignment="1">
      <alignment horizontal="center"/>
    </xf>
    <xf numFmtId="0" fontId="0" fillId="0" borderId="104" xfId="0" applyBorder="1" applyAlignment="1">
      <alignment horizontal="center"/>
    </xf>
    <xf numFmtId="0" fontId="70" fillId="29" borderId="0" xfId="0" applyFont="1" applyFill="1" applyAlignment="1">
      <alignment horizontal="left" vertical="center" wrapText="1"/>
    </xf>
    <xf numFmtId="0" fontId="42" fillId="11" borderId="23" xfId="2" applyFont="1" applyFill="1" applyBorder="1" applyAlignment="1">
      <alignment horizontal="center" vertical="center" wrapText="1"/>
    </xf>
    <xf numFmtId="0" fontId="52" fillId="9" borderId="0" xfId="1" applyFont="1" applyFill="1" applyAlignment="1">
      <alignment horizontal="left"/>
    </xf>
    <xf numFmtId="0" fontId="19" fillId="11" borderId="23" xfId="2" applyFont="1" applyFill="1" applyBorder="1" applyAlignment="1">
      <alignment horizontal="center" vertical="center" wrapText="1"/>
    </xf>
    <xf numFmtId="0" fontId="19" fillId="11" borderId="24" xfId="2" applyFont="1" applyFill="1" applyBorder="1" applyAlignment="1">
      <alignment horizontal="center" vertical="center" wrapText="1"/>
    </xf>
    <xf numFmtId="0" fontId="19" fillId="11" borderId="25" xfId="2" applyFont="1" applyFill="1" applyBorder="1" applyAlignment="1">
      <alignment horizontal="center" vertical="center" wrapText="1"/>
    </xf>
    <xf numFmtId="0" fontId="19" fillId="11" borderId="26" xfId="2" applyFont="1" applyFill="1" applyBorder="1" applyAlignment="1">
      <alignment horizontal="center" vertical="center" wrapText="1"/>
    </xf>
    <xf numFmtId="0" fontId="19" fillId="9" borderId="24" xfId="2" applyFont="1" applyFill="1" applyBorder="1" applyAlignment="1">
      <alignment horizontal="center" vertical="center" wrapText="1"/>
    </xf>
    <xf numFmtId="0" fontId="19" fillId="9" borderId="26" xfId="2" applyFont="1" applyFill="1" applyBorder="1" applyAlignment="1">
      <alignment horizontal="center" vertical="center" wrapText="1"/>
    </xf>
    <xf numFmtId="9" fontId="24" fillId="13" borderId="0" xfId="1" applyNumberFormat="1" applyFont="1" applyFill="1" applyAlignment="1">
      <alignment horizontal="center"/>
    </xf>
    <xf numFmtId="0" fontId="70" fillId="29" borderId="0" xfId="0" applyFont="1" applyFill="1" applyAlignment="1">
      <alignment horizontal="left" vertical="top" wrapText="1"/>
    </xf>
    <xf numFmtId="0" fontId="75" fillId="11" borderId="79" xfId="2" applyFont="1" applyFill="1" applyBorder="1" applyAlignment="1">
      <alignment horizontal="center" vertical="center" wrapText="1"/>
    </xf>
    <xf numFmtId="0" fontId="75" fillId="11" borderId="80" xfId="2" applyFont="1" applyFill="1" applyBorder="1" applyAlignment="1">
      <alignment horizontal="center" vertical="center" wrapText="1"/>
    </xf>
    <xf numFmtId="0" fontId="75" fillId="11" borderId="81" xfId="2" applyFont="1" applyFill="1" applyBorder="1" applyAlignment="1">
      <alignment horizontal="center" vertical="center" wrapText="1"/>
    </xf>
    <xf numFmtId="0" fontId="42" fillId="10" borderId="76" xfId="2" applyFont="1" applyFill="1" applyBorder="1" applyAlignment="1">
      <alignment horizontal="center" vertical="center" wrapText="1"/>
    </xf>
    <xf numFmtId="0" fontId="42" fillId="10" borderId="77" xfId="2" applyFont="1" applyFill="1" applyBorder="1" applyAlignment="1">
      <alignment horizontal="center" vertical="center" wrapText="1"/>
    </xf>
    <xf numFmtId="0" fontId="42" fillId="10" borderId="78" xfId="2" applyFont="1" applyFill="1" applyBorder="1" applyAlignment="1">
      <alignment horizontal="center" vertical="center" wrapText="1"/>
    </xf>
    <xf numFmtId="0" fontId="76" fillId="29" borderId="0" xfId="1" applyFont="1" applyFill="1" applyAlignment="1">
      <alignment horizontal="left" vertical="top" wrapText="1"/>
    </xf>
    <xf numFmtId="0" fontId="72" fillId="28" borderId="0" xfId="1" applyFont="1" applyFill="1" applyAlignment="1">
      <alignment horizontal="left"/>
    </xf>
    <xf numFmtId="0" fontId="42" fillId="10" borderId="75" xfId="2" applyFont="1" applyFill="1" applyBorder="1" applyAlignment="1">
      <alignment horizontal="center" vertical="center" wrapText="1"/>
    </xf>
    <xf numFmtId="0" fontId="72" fillId="28" borderId="0" xfId="1" applyFont="1" applyFill="1" applyAlignment="1">
      <alignment horizontal="left" vertical="center"/>
    </xf>
    <xf numFmtId="0" fontId="72" fillId="28" borderId="0" xfId="1" applyFont="1" applyFill="1" applyAlignment="1">
      <alignment horizontal="center" vertical="center"/>
    </xf>
    <xf numFmtId="9" fontId="24" fillId="13" borderId="0" xfId="1" applyNumberFormat="1" applyFont="1" applyFill="1" applyAlignment="1">
      <alignment horizontal="center" vertical="center"/>
    </xf>
    <xf numFmtId="0" fontId="76" fillId="29" borderId="0" xfId="1" applyFont="1" applyFill="1" applyAlignment="1">
      <alignment horizontal="left" vertical="center" wrapText="1"/>
    </xf>
    <xf numFmtId="0" fontId="75" fillId="11" borderId="40" xfId="2" applyFont="1" applyFill="1" applyBorder="1" applyAlignment="1">
      <alignment horizontal="center" vertical="center" wrapText="1"/>
    </xf>
    <xf numFmtId="0" fontId="36" fillId="9" borderId="0" xfId="1" applyFont="1" applyFill="1" applyAlignment="1">
      <alignment horizontal="left"/>
    </xf>
  </cellXfs>
  <cellStyles count="8">
    <cellStyle name="Normal" xfId="0" builtinId="0"/>
    <cellStyle name="Normal 11" xfId="2" xr:uid="{45BFA088-3ABE-42EF-B51C-B3B1B621AD59}"/>
    <cellStyle name="Normal 2" xfId="1" xr:uid="{1CCBB801-4212-4F36-BA13-6E6A4154977C}"/>
    <cellStyle name="Normal 2 2 2" xfId="3" xr:uid="{4A7F107A-7E01-474F-B03C-2DBB1E15986C}"/>
    <cellStyle name="Normal 3" xfId="4" xr:uid="{0EFF2F0B-E8F9-46BD-9EBC-1B6C905323B0}"/>
    <cellStyle name="Normal 3 2" xfId="6" xr:uid="{DF2141B6-5DA5-4602-A3CA-265D75C3A292}"/>
    <cellStyle name="Porcentaje" xfId="5" builtinId="5"/>
    <cellStyle name="Porcentaje 2" xfId="7" xr:uid="{77983FF5-E1BE-486B-A5E5-663D55CCCFAF}"/>
  </cellStyles>
  <dxfs count="113">
    <dxf>
      <fill>
        <patternFill>
          <bgColor rgb="FFFF0000"/>
        </patternFill>
      </fill>
    </dxf>
    <dxf>
      <fill>
        <patternFill>
          <bgColor rgb="FF00B050"/>
        </patternFill>
      </fill>
    </dxf>
    <dxf>
      <fill>
        <patternFill>
          <bgColor rgb="FFFFFF00"/>
        </patternFill>
      </fill>
    </dxf>
    <dxf>
      <fill>
        <patternFill>
          <bgColor rgb="FFFF6600"/>
        </patternFill>
      </fill>
    </dxf>
    <dxf>
      <fill>
        <patternFill patternType="none">
          <bgColor auto="1"/>
        </patternFill>
      </fill>
    </dxf>
    <dxf>
      <fill>
        <patternFill>
          <bgColor rgb="FFFF0000"/>
        </patternFill>
      </fill>
    </dxf>
    <dxf>
      <fill>
        <patternFill>
          <bgColor rgb="FF00B050"/>
        </patternFill>
      </fill>
    </dxf>
    <dxf>
      <fill>
        <patternFill>
          <bgColor rgb="FFFFFF00"/>
        </patternFill>
      </fill>
    </dxf>
    <dxf>
      <fill>
        <patternFill>
          <bgColor rgb="FFFF6600"/>
        </patternFill>
      </fill>
    </dxf>
    <dxf>
      <fill>
        <patternFill patternType="none">
          <bgColor auto="1"/>
        </patternFill>
      </fill>
    </dxf>
    <dxf>
      <fill>
        <patternFill>
          <bgColor rgb="FFFF0000"/>
        </patternFill>
      </fill>
    </dxf>
    <dxf>
      <fill>
        <patternFill>
          <bgColor rgb="FF00B050"/>
        </patternFill>
      </fill>
    </dxf>
    <dxf>
      <fill>
        <patternFill>
          <bgColor rgb="FFFFFF00"/>
        </patternFill>
      </fill>
    </dxf>
    <dxf>
      <fill>
        <patternFill>
          <bgColor rgb="FFFF6600"/>
        </patternFill>
      </fill>
    </dxf>
    <dxf>
      <fill>
        <patternFill patternType="none">
          <bgColor auto="1"/>
        </patternFill>
      </fill>
    </dxf>
    <dxf>
      <fill>
        <patternFill>
          <bgColor rgb="FFFF0000"/>
        </patternFill>
      </fill>
    </dxf>
    <dxf>
      <fill>
        <patternFill>
          <bgColor rgb="FF00B050"/>
        </patternFill>
      </fill>
    </dxf>
    <dxf>
      <fill>
        <patternFill>
          <bgColor rgb="FFFFFF00"/>
        </patternFill>
      </fill>
    </dxf>
    <dxf>
      <fill>
        <patternFill>
          <bgColor rgb="FFFF6600"/>
        </patternFill>
      </fill>
    </dxf>
    <dxf>
      <fill>
        <patternFill patternType="none">
          <bgColor auto="1"/>
        </patternFill>
      </fill>
    </dxf>
    <dxf>
      <fill>
        <patternFill>
          <bgColor rgb="FFFF0000"/>
        </patternFill>
      </fill>
    </dxf>
    <dxf>
      <fill>
        <patternFill>
          <bgColor rgb="FF00B050"/>
        </patternFill>
      </fill>
    </dxf>
    <dxf>
      <fill>
        <patternFill>
          <bgColor rgb="FFFFFF00"/>
        </patternFill>
      </fill>
    </dxf>
    <dxf>
      <fill>
        <patternFill>
          <bgColor rgb="FFFF6600"/>
        </patternFill>
      </fill>
    </dxf>
    <dxf>
      <fill>
        <patternFill patternType="none">
          <bgColor auto="1"/>
        </patternFill>
      </fill>
    </dxf>
    <dxf>
      <fill>
        <patternFill>
          <bgColor rgb="FF00B050"/>
        </patternFill>
      </fill>
    </dxf>
    <dxf>
      <fill>
        <patternFill>
          <bgColor rgb="FFFFFF00"/>
        </patternFill>
      </fill>
    </dxf>
    <dxf>
      <fill>
        <patternFill>
          <bgColor rgb="FFFF6600"/>
        </patternFill>
      </fill>
    </dxf>
    <dxf>
      <fill>
        <patternFill>
          <bgColor rgb="FFFF0000"/>
        </patternFill>
      </fill>
    </dxf>
    <dxf>
      <fill>
        <patternFill patternType="none">
          <bgColor auto="1"/>
        </patternFill>
      </fill>
    </dxf>
    <dxf>
      <fill>
        <patternFill>
          <bgColor rgb="FF00B050"/>
        </patternFill>
      </fill>
    </dxf>
    <dxf>
      <fill>
        <patternFill>
          <bgColor rgb="FFFFFF00"/>
        </patternFill>
      </fill>
    </dxf>
    <dxf>
      <fill>
        <patternFill>
          <bgColor rgb="FFFF6600"/>
        </patternFill>
      </fill>
    </dxf>
    <dxf>
      <fill>
        <patternFill>
          <bgColor rgb="FFFF0000"/>
        </patternFill>
      </fill>
    </dxf>
    <dxf>
      <fill>
        <patternFill patternType="none">
          <bgColor auto="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1"/>
      </font>
      <fill>
        <patternFill>
          <bgColor rgb="FFFF0000"/>
        </patternFill>
      </fill>
    </dxf>
    <dxf>
      <font>
        <color theme="1"/>
      </font>
      <fill>
        <patternFill>
          <bgColor rgb="FF92D050"/>
        </patternFill>
      </fill>
    </dxf>
    <dxf>
      <font>
        <color theme="1"/>
      </font>
      <fill>
        <patternFill>
          <bgColor rgb="FF00B050"/>
        </patternFill>
      </fill>
    </dxf>
    <dxf>
      <font>
        <color theme="1"/>
      </font>
      <fill>
        <patternFill>
          <bgColor rgb="FFFFFF00"/>
        </patternFill>
      </fill>
    </dxf>
    <dxf>
      <font>
        <color theme="1"/>
      </font>
      <fill>
        <patternFill>
          <bgColor rgb="FFFFC000"/>
        </patternFill>
      </fill>
    </dxf>
    <dxf>
      <font>
        <color theme="1"/>
      </font>
      <fill>
        <patternFill>
          <bgColor rgb="FFFF0000"/>
        </patternFill>
      </fill>
    </dxf>
    <dxf>
      <font>
        <color theme="1"/>
      </font>
      <fill>
        <patternFill>
          <bgColor rgb="FF92D050"/>
        </patternFill>
      </fill>
    </dxf>
    <dxf>
      <font>
        <color theme="1"/>
      </font>
      <fill>
        <patternFill>
          <bgColor rgb="FF00B050"/>
        </patternFill>
      </fill>
    </dxf>
    <dxf>
      <font>
        <color theme="1"/>
      </font>
      <fill>
        <patternFill>
          <bgColor rgb="FFFFFF00"/>
        </patternFill>
      </fill>
    </dxf>
    <dxf>
      <font>
        <color theme="1"/>
      </font>
      <fill>
        <patternFill>
          <bgColor rgb="FFFFC000"/>
        </patternFill>
      </fill>
    </dxf>
    <dxf>
      <font>
        <color theme="1"/>
      </font>
      <fill>
        <patternFill>
          <bgColor rgb="FFFF0000"/>
        </patternFill>
      </fill>
    </dxf>
    <dxf>
      <font>
        <color theme="1"/>
      </font>
      <fill>
        <patternFill>
          <bgColor rgb="FF92D050"/>
        </patternFill>
      </fill>
    </dxf>
    <dxf>
      <font>
        <color theme="1"/>
      </font>
      <fill>
        <patternFill>
          <bgColor rgb="FF00B050"/>
        </patternFill>
      </fill>
    </dxf>
    <dxf>
      <font>
        <color theme="1"/>
      </font>
      <fill>
        <patternFill>
          <bgColor rgb="FFFFFF00"/>
        </patternFill>
      </fill>
    </dxf>
    <dxf>
      <font>
        <color theme="1"/>
      </font>
      <fill>
        <patternFill>
          <bgColor rgb="FFFFC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color indexed="54"/>
      </font>
      <numFmt numFmtId="1" formatCode="0"/>
      <fill>
        <patternFill patternType="solid">
          <fgColor indexed="64"/>
          <bgColor indexed="13"/>
        </patternFill>
      </fill>
      <alignment horizontal="center" vertical="bottom" textRotation="0" wrapText="0" indent="0" justifyLastLine="0" shrinkToFit="0" readingOrder="0"/>
      <border diagonalUp="0" diagonalDown="0">
        <left style="thin">
          <color indexed="49"/>
        </left>
        <right style="thin">
          <color indexed="49"/>
        </right>
        <top style="thin">
          <color indexed="49"/>
        </top>
        <bottom style="thin">
          <color indexed="49"/>
        </bottom>
        <vertical/>
        <horizontal/>
      </border>
    </dxf>
    <dxf>
      <font>
        <b/>
        <color indexed="54"/>
      </font>
      <numFmt numFmtId="1" formatCode="0"/>
      <fill>
        <patternFill patternType="solid">
          <fgColor indexed="64"/>
          <bgColor indexed="13"/>
        </patternFill>
      </fill>
      <alignment horizontal="center" vertical="bottom" textRotation="0" wrapText="0" indent="0" justifyLastLine="0" shrinkToFit="0" readingOrder="0"/>
      <border diagonalUp="0" diagonalDown="0">
        <left style="thin">
          <color indexed="49"/>
        </left>
        <right style="thin">
          <color indexed="49"/>
        </right>
        <top style="thin">
          <color indexed="49"/>
        </top>
        <bottom style="thin">
          <color indexed="49"/>
        </bottom>
        <vertical/>
        <horizontal/>
      </border>
    </dxf>
    <dxf>
      <font>
        <b/>
        <color indexed="54"/>
      </font>
      <numFmt numFmtId="1" formatCode="0"/>
      <fill>
        <patternFill patternType="solid">
          <fgColor indexed="64"/>
          <bgColor indexed="13"/>
        </patternFill>
      </fill>
      <alignment horizontal="center" vertical="bottom" textRotation="0" wrapText="0" indent="0" justifyLastLine="0" shrinkToFit="0" readingOrder="0"/>
      <border diagonalUp="0" diagonalDown="0">
        <left style="thin">
          <color indexed="49"/>
        </left>
        <right style="thin">
          <color indexed="49"/>
        </right>
        <top style="thin">
          <color indexed="49"/>
        </top>
        <bottom style="thin">
          <color indexed="49"/>
        </bottom>
        <vertical/>
        <horizontal/>
      </border>
    </dxf>
    <dxf>
      <font>
        <b/>
        <color indexed="54"/>
      </font>
      <numFmt numFmtId="1" formatCode="0"/>
      <fill>
        <patternFill patternType="solid">
          <fgColor indexed="64"/>
          <bgColor indexed="13"/>
        </patternFill>
      </fill>
      <alignment horizontal="center" vertical="bottom" textRotation="0" wrapText="0" indent="0" justifyLastLine="0" shrinkToFit="0" readingOrder="0"/>
      <border diagonalUp="0" diagonalDown="0">
        <left style="thin">
          <color indexed="49"/>
        </left>
        <right style="thin">
          <color indexed="49"/>
        </right>
        <top style="thin">
          <color indexed="49"/>
        </top>
        <bottom style="thin">
          <color indexed="49"/>
        </bottom>
        <vertical/>
        <horizontal/>
      </border>
    </dxf>
    <dxf>
      <font>
        <b/>
        <color indexed="54"/>
      </font>
      <numFmt numFmtId="1" formatCode="0"/>
      <fill>
        <patternFill patternType="solid">
          <fgColor indexed="64"/>
          <bgColor indexed="13"/>
        </patternFill>
      </fill>
      <alignment horizontal="center" vertical="bottom" textRotation="0" wrapText="0" indent="0" justifyLastLine="0" shrinkToFit="0" readingOrder="0"/>
      <border diagonalUp="0" diagonalDown="0">
        <left style="thin">
          <color indexed="49"/>
        </left>
        <right style="thin">
          <color indexed="49"/>
        </right>
        <top style="thin">
          <color indexed="49"/>
        </top>
        <bottom style="thin">
          <color indexed="49"/>
        </bottom>
        <vertical/>
        <horizontal/>
      </border>
    </dxf>
    <dxf>
      <font>
        <b/>
        <color indexed="54"/>
      </font>
      <numFmt numFmtId="1" formatCode="0"/>
      <fill>
        <patternFill patternType="solid">
          <fgColor indexed="64"/>
          <bgColor indexed="13"/>
        </patternFill>
      </fill>
      <alignment horizontal="center" vertical="bottom" textRotation="0" wrapText="0" indent="0" justifyLastLine="0" shrinkToFit="0" readingOrder="0"/>
      <border diagonalUp="0" diagonalDown="0">
        <left style="thin">
          <color indexed="49"/>
        </left>
        <right style="thin">
          <color indexed="49"/>
        </right>
        <top style="thin">
          <color indexed="49"/>
        </top>
        <bottom style="thin">
          <color indexed="49"/>
        </bottom>
        <vertical/>
        <horizontal/>
      </border>
    </dxf>
    <dxf>
      <font>
        <b/>
        <color indexed="54"/>
      </font>
      <numFmt numFmtId="1" formatCode="0"/>
      <fill>
        <patternFill patternType="solid">
          <fgColor indexed="64"/>
          <bgColor indexed="13"/>
        </patternFill>
      </fill>
      <alignment horizontal="center" vertical="bottom" textRotation="0" wrapText="0" indent="0" justifyLastLine="0" shrinkToFit="0" readingOrder="0"/>
      <border diagonalUp="0" diagonalDown="0">
        <left style="thin">
          <color indexed="49"/>
        </left>
        <right style="thin">
          <color indexed="49"/>
        </right>
        <top style="thin">
          <color indexed="49"/>
        </top>
        <bottom style="thin">
          <color indexed="49"/>
        </bottom>
        <vertical/>
        <horizontal/>
      </border>
    </dxf>
    <dxf>
      <font>
        <b/>
        <color indexed="54"/>
      </font>
      <numFmt numFmtId="1" formatCode="0"/>
      <fill>
        <patternFill patternType="solid">
          <fgColor indexed="64"/>
          <bgColor indexed="13"/>
        </patternFill>
      </fill>
      <alignment horizontal="center" vertical="bottom" textRotation="0" wrapText="0" indent="0" justifyLastLine="0" shrinkToFit="0" readingOrder="0"/>
      <border diagonalUp="0" diagonalDown="0">
        <left style="thin">
          <color indexed="49"/>
        </left>
        <right style="thin">
          <color indexed="49"/>
        </right>
        <top style="thin">
          <color indexed="49"/>
        </top>
        <bottom style="thin">
          <color indexed="49"/>
        </bottom>
        <vertical/>
        <horizontal/>
      </border>
    </dxf>
    <dxf>
      <font>
        <b/>
        <color indexed="54"/>
      </font>
      <numFmt numFmtId="1" formatCode="0"/>
      <fill>
        <patternFill patternType="solid">
          <fgColor indexed="64"/>
          <bgColor indexed="13"/>
        </patternFill>
      </fill>
      <alignment horizontal="center" vertical="bottom" textRotation="0" wrapText="0" indent="0" justifyLastLine="0" shrinkToFit="0" readingOrder="0"/>
      <border diagonalUp="0" diagonalDown="0">
        <left style="thin">
          <color indexed="49"/>
        </left>
        <right style="thin">
          <color indexed="49"/>
        </right>
        <top style="thin">
          <color indexed="49"/>
        </top>
        <bottom style="thin">
          <color indexed="49"/>
        </bottom>
        <vertical/>
        <horizontal/>
      </border>
    </dxf>
    <dxf>
      <font>
        <b/>
        <color indexed="54"/>
      </font>
      <numFmt numFmtId="1" formatCode="0"/>
      <fill>
        <patternFill patternType="solid">
          <fgColor indexed="64"/>
          <bgColor indexed="13"/>
        </patternFill>
      </fill>
      <alignment horizontal="center" vertical="bottom" textRotation="0" wrapText="0" indent="0" justifyLastLine="0" shrinkToFit="0" readingOrder="0"/>
      <border diagonalUp="0" diagonalDown="0" outline="0">
        <left style="thin">
          <color indexed="49"/>
        </left>
        <right style="thin">
          <color indexed="49"/>
        </right>
        <top style="thin">
          <color indexed="49"/>
        </top>
        <bottom style="thin">
          <color indexed="49"/>
        </bottom>
      </border>
    </dxf>
    <dxf>
      <font>
        <b/>
        <color indexed="54"/>
      </font>
      <numFmt numFmtId="19" formatCode="d/mm/yyyy"/>
      <fill>
        <patternFill patternType="solid">
          <fgColor indexed="64"/>
          <bgColor indexed="13"/>
        </patternFill>
      </fill>
      <alignment horizontal="left" vertical="bottom" textRotation="0" wrapText="0" indent="0" justifyLastLine="0" shrinkToFit="0" readingOrder="0"/>
      <border diagonalUp="0" diagonalDown="0" outline="0">
        <left style="thin">
          <color indexed="49"/>
        </left>
        <right style="thin">
          <color indexed="49"/>
        </right>
        <top style="thin">
          <color indexed="49"/>
        </top>
        <bottom style="thin">
          <color indexed="49"/>
        </bottom>
      </border>
    </dxf>
    <dxf>
      <font>
        <b/>
        <color indexed="54"/>
      </font>
      <fill>
        <patternFill patternType="solid">
          <fgColor indexed="64"/>
          <bgColor indexed="13"/>
        </patternFill>
      </fill>
      <alignment horizontal="center" vertical="bottom" textRotation="0" wrapText="0" indent="0" justifyLastLine="0" shrinkToFit="0" readingOrder="0"/>
    </dxf>
    <dxf>
      <font>
        <b/>
        <i val="0"/>
        <strike val="0"/>
        <condense val="0"/>
        <extend val="0"/>
        <outline val="0"/>
        <shadow val="0"/>
        <u val="none"/>
        <vertAlign val="baseline"/>
        <sz val="10"/>
        <color indexed="54"/>
        <name val="Arial"/>
        <scheme val="none"/>
      </font>
      <fill>
        <patternFill patternType="solid">
          <fgColor indexed="64"/>
          <bgColor indexed="13"/>
        </patternFill>
      </fill>
      <alignment horizontal="center" vertical="bottom" textRotation="0" wrapText="0" indent="0" justifyLastLine="0" shrinkToFit="0" readingOrder="0"/>
      <border diagonalUp="0" diagonalDown="0">
        <left style="thin">
          <color indexed="49"/>
        </left>
        <right style="thin">
          <color indexed="49"/>
        </right>
        <top style="thin">
          <color indexed="49"/>
        </top>
        <bottom style="thin">
          <color indexed="49"/>
        </bottom>
        <vertical/>
        <horizontal/>
      </border>
    </dxf>
    <dxf>
      <font>
        <b/>
        <i val="0"/>
        <strike val="0"/>
        <condense val="0"/>
        <extend val="0"/>
        <outline val="0"/>
        <shadow val="0"/>
        <u val="none"/>
        <vertAlign val="baseline"/>
        <sz val="10"/>
        <color indexed="54"/>
        <name val="Arial"/>
        <scheme val="none"/>
      </font>
      <fill>
        <patternFill patternType="solid">
          <fgColor indexed="64"/>
          <bgColor indexed="13"/>
        </patternFill>
      </fill>
      <alignment horizontal="center" vertical="bottom" textRotation="0" wrapText="0" indent="0" justifyLastLine="0" shrinkToFit="0" readingOrder="0"/>
      <border diagonalUp="0" diagonalDown="0">
        <left style="thin">
          <color indexed="49"/>
        </left>
        <right style="thin">
          <color indexed="49"/>
        </right>
        <top style="thin">
          <color indexed="49"/>
        </top>
        <bottom style="thin">
          <color indexed="49"/>
        </bottom>
        <vertical/>
        <horizontal/>
      </border>
    </dxf>
    <dxf>
      <font>
        <b/>
        <i val="0"/>
        <strike val="0"/>
        <condense val="0"/>
        <extend val="0"/>
        <outline val="0"/>
        <shadow val="0"/>
        <u val="none"/>
        <vertAlign val="baseline"/>
        <sz val="10"/>
        <color indexed="54"/>
        <name val="Arial"/>
        <scheme val="none"/>
      </font>
      <fill>
        <patternFill patternType="solid">
          <fgColor indexed="64"/>
          <bgColor indexed="13"/>
        </patternFill>
      </fill>
      <alignment horizontal="center" vertical="bottom" textRotation="0" wrapText="0" indent="0" justifyLastLine="0" shrinkToFit="0" readingOrder="0"/>
      <border diagonalUp="0" diagonalDown="0">
        <left style="thin">
          <color indexed="49"/>
        </left>
        <right style="thin">
          <color indexed="49"/>
        </right>
        <top style="thin">
          <color indexed="49"/>
        </top>
        <bottom style="thin">
          <color indexed="49"/>
        </bottom>
        <vertical/>
        <horizontal/>
      </border>
    </dxf>
    <dxf>
      <font>
        <b/>
        <i val="0"/>
        <strike val="0"/>
        <condense val="0"/>
        <extend val="0"/>
        <outline val="0"/>
        <shadow val="0"/>
        <u val="none"/>
        <vertAlign val="baseline"/>
        <sz val="10"/>
        <color indexed="54"/>
        <name val="Arial"/>
        <scheme val="none"/>
      </font>
      <fill>
        <patternFill patternType="solid">
          <fgColor indexed="64"/>
          <bgColor indexed="13"/>
        </patternFill>
      </fill>
      <alignment horizontal="center" vertical="bottom" textRotation="0" wrapText="0" indent="0" justifyLastLine="0" shrinkToFit="0" readingOrder="0"/>
      <border diagonalUp="0" diagonalDown="0">
        <left style="thin">
          <color indexed="49"/>
        </left>
        <right style="thin">
          <color indexed="49"/>
        </right>
        <top style="thin">
          <color indexed="49"/>
        </top>
        <bottom style="thin">
          <color indexed="49"/>
        </bottom>
        <vertical/>
        <horizontal/>
      </border>
    </dxf>
    <dxf>
      <font>
        <b/>
        <i val="0"/>
        <strike val="0"/>
        <condense val="0"/>
        <extend val="0"/>
        <outline val="0"/>
        <shadow val="0"/>
        <u val="none"/>
        <vertAlign val="baseline"/>
        <sz val="10"/>
        <color indexed="54"/>
        <name val="Arial"/>
        <scheme val="none"/>
      </font>
      <fill>
        <patternFill patternType="solid">
          <fgColor indexed="64"/>
          <bgColor indexed="13"/>
        </patternFill>
      </fill>
      <alignment horizontal="center" vertical="bottom" textRotation="0" wrapText="0" indent="0" justifyLastLine="0" shrinkToFit="0" readingOrder="0"/>
      <border diagonalUp="0" diagonalDown="0">
        <left style="thin">
          <color indexed="49"/>
        </left>
        <right style="thin">
          <color indexed="49"/>
        </right>
        <top style="thin">
          <color indexed="49"/>
        </top>
        <bottom style="thin">
          <color indexed="49"/>
        </bottom>
        <vertical/>
        <horizontal/>
      </border>
    </dxf>
    <dxf>
      <font>
        <b/>
        <i val="0"/>
        <strike val="0"/>
        <condense val="0"/>
        <extend val="0"/>
        <outline val="0"/>
        <shadow val="0"/>
        <u val="none"/>
        <vertAlign val="baseline"/>
        <sz val="10"/>
        <color indexed="54"/>
        <name val="Arial"/>
        <scheme val="none"/>
      </font>
      <fill>
        <patternFill patternType="solid">
          <fgColor indexed="64"/>
          <bgColor indexed="13"/>
        </patternFill>
      </fill>
      <alignment horizontal="center" vertical="bottom" textRotation="0" wrapText="0" indent="0" justifyLastLine="0" shrinkToFit="0" readingOrder="0"/>
      <border diagonalUp="0" diagonalDown="0">
        <left style="thin">
          <color indexed="49"/>
        </left>
        <right style="thin">
          <color indexed="49"/>
        </right>
        <top style="thin">
          <color indexed="49"/>
        </top>
        <bottom style="thin">
          <color indexed="49"/>
        </bottom>
        <vertical/>
        <horizontal/>
      </border>
    </dxf>
    <dxf>
      <font>
        <b/>
        <i val="0"/>
        <strike val="0"/>
        <condense val="0"/>
        <extend val="0"/>
        <outline val="0"/>
        <shadow val="0"/>
        <u val="none"/>
        <vertAlign val="baseline"/>
        <sz val="10"/>
        <color indexed="54"/>
        <name val="Arial"/>
        <scheme val="none"/>
      </font>
      <fill>
        <patternFill patternType="solid">
          <fgColor indexed="64"/>
          <bgColor indexed="13"/>
        </patternFill>
      </fill>
      <alignment horizontal="center" vertical="bottom" textRotation="0" wrapText="0" indent="0" justifyLastLine="0" shrinkToFit="0" readingOrder="0"/>
      <border diagonalUp="0" diagonalDown="0">
        <left style="thin">
          <color indexed="49"/>
        </left>
        <right style="thin">
          <color indexed="49"/>
        </right>
        <top style="thin">
          <color indexed="49"/>
        </top>
        <bottom style="thin">
          <color indexed="49"/>
        </bottom>
        <vertical/>
        <horizontal/>
      </border>
    </dxf>
    <dxf>
      <font>
        <b/>
        <i val="0"/>
        <strike val="0"/>
        <condense val="0"/>
        <extend val="0"/>
        <outline val="0"/>
        <shadow val="0"/>
        <u val="none"/>
        <vertAlign val="baseline"/>
        <sz val="10"/>
        <color indexed="54"/>
        <name val="Arial"/>
        <scheme val="none"/>
      </font>
      <fill>
        <patternFill patternType="solid">
          <fgColor indexed="64"/>
          <bgColor indexed="13"/>
        </patternFill>
      </fill>
      <alignment horizontal="center" vertical="bottom" textRotation="0" wrapText="0" indent="0" justifyLastLine="0" shrinkToFit="0" readingOrder="0"/>
      <border diagonalUp="0" diagonalDown="0">
        <left style="thin">
          <color indexed="49"/>
        </left>
        <right style="thin">
          <color indexed="49"/>
        </right>
        <top style="thin">
          <color indexed="49"/>
        </top>
        <bottom style="thin">
          <color indexed="49"/>
        </bottom>
        <vertical/>
        <horizontal/>
      </border>
    </dxf>
    <dxf>
      <font>
        <b/>
        <i val="0"/>
        <strike val="0"/>
        <condense val="0"/>
        <extend val="0"/>
        <outline val="0"/>
        <shadow val="0"/>
        <u val="none"/>
        <vertAlign val="baseline"/>
        <sz val="10"/>
        <color indexed="54"/>
        <name val="Arial"/>
        <scheme val="none"/>
      </font>
      <fill>
        <patternFill patternType="solid">
          <fgColor indexed="64"/>
          <bgColor indexed="13"/>
        </patternFill>
      </fill>
      <alignment horizontal="center" vertical="bottom" textRotation="0" wrapText="0" indent="0" justifyLastLine="0" shrinkToFit="0" readingOrder="0"/>
      <border diagonalUp="0" diagonalDown="0">
        <left style="thin">
          <color indexed="49"/>
        </left>
        <right style="thin">
          <color indexed="49"/>
        </right>
        <top style="thin">
          <color indexed="49"/>
        </top>
        <bottom style="thin">
          <color indexed="49"/>
        </bottom>
        <vertical/>
        <horizontal/>
      </border>
    </dxf>
    <dxf>
      <font>
        <b/>
        <i val="0"/>
        <strike val="0"/>
        <condense val="0"/>
        <extend val="0"/>
        <outline val="0"/>
        <shadow val="0"/>
        <u val="none"/>
        <vertAlign val="baseline"/>
        <sz val="10"/>
        <color indexed="54"/>
        <name val="Arial"/>
        <scheme val="none"/>
      </font>
      <fill>
        <patternFill patternType="solid">
          <fgColor indexed="64"/>
          <bgColor indexed="13"/>
        </patternFill>
      </fill>
      <alignment horizontal="center" vertical="bottom" textRotation="0" wrapText="0" indent="0" justifyLastLine="0" shrinkToFit="0" readingOrder="0"/>
      <border diagonalUp="0" diagonalDown="0" outline="0">
        <left style="thin">
          <color indexed="49"/>
        </left>
        <right style="thin">
          <color indexed="49"/>
        </right>
        <top style="thin">
          <color indexed="49"/>
        </top>
        <bottom style="thin">
          <color indexed="49"/>
        </bottom>
      </border>
    </dxf>
    <dxf>
      <font>
        <b/>
        <color indexed="54"/>
      </font>
      <numFmt numFmtId="19" formatCode="d/mm/yyyy"/>
      <fill>
        <patternFill patternType="solid">
          <fgColor indexed="64"/>
          <bgColor indexed="13"/>
        </patternFill>
      </fill>
      <alignment horizontal="left" vertical="bottom" textRotation="0" wrapText="0" indent="0" justifyLastLine="0" shrinkToFit="0" readingOrder="0"/>
      <border diagonalUp="0" diagonalDown="0" outline="0">
        <left style="thin">
          <color indexed="49"/>
        </left>
        <right style="thin">
          <color indexed="49"/>
        </right>
        <top style="thin">
          <color indexed="49"/>
        </top>
        <bottom style="thin">
          <color indexed="49"/>
        </bottom>
      </border>
    </dxf>
    <dxf>
      <font>
        <b/>
        <i val="0"/>
        <strike val="0"/>
        <condense val="0"/>
        <extend val="0"/>
        <outline val="0"/>
        <shadow val="0"/>
        <u val="none"/>
        <vertAlign val="baseline"/>
        <sz val="10"/>
        <color indexed="54"/>
        <name val="Arial"/>
        <scheme val="none"/>
      </font>
      <fill>
        <patternFill patternType="solid">
          <fgColor indexed="64"/>
          <bgColor indexed="13"/>
        </patternFill>
      </fill>
      <alignment horizontal="center" vertical="bottom" textRotation="0" wrapText="0" indent="0" justifyLastLine="0" shrinkToFit="0" readingOrder="0"/>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1F497D"/>
      <rgbColor rgb="00EEECE1"/>
      <rgbColor rgb="00FF00FF"/>
      <rgbColor rgb="0000FFFF"/>
      <rgbColor rgb="00800000"/>
      <rgbColor rgb="00008000"/>
      <rgbColor rgb="00000080"/>
      <rgbColor rgb="00808000"/>
      <rgbColor rgb="00800080"/>
      <rgbColor rgb="00008080"/>
      <rgbColor rgb="00DCE6F1"/>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8DB4E2"/>
      <rgbColor rgb="0099CC00"/>
      <rgbColor rgb="00FFCC00"/>
      <rgbColor rgb="00FF9900"/>
      <rgbColor rgb="00FF6600"/>
      <rgbColor rgb="0016365C"/>
      <rgbColor rgb="0095B3D7"/>
      <rgbColor rgb="00003366"/>
      <rgbColor rgb="00339966"/>
      <rgbColor rgb="00003300"/>
      <rgbColor rgb="00333300"/>
      <rgbColor rgb="00993300"/>
      <rgbColor rgb="00993366"/>
      <rgbColor rgb="00333399"/>
      <rgbColor rgb="00366092"/>
    </indexedColors>
    <mruColors>
      <color rgb="FFFF6600"/>
      <color rgb="FF666699"/>
      <color rgb="FF8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microsoft.com/office/2022/11/relationships/FeaturePropertyBag" Target="featurePropertyBag/featurePropertyBag.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harts/_rels/chart10.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11.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12.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13.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14.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5.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6.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7.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8.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9.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20.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21.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25.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6.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7.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8.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9.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30.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31.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32.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33.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34.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35.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36.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4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4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4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46.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5.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50.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54.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55.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56.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57.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58.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59.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6.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60.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62.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64.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65.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66.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67.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68.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69.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7.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70.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71.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72.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73.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8.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9.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s-CO" sz="1400"/>
              <a:t>Promedio Puntaje Global por Comunas 2016-2025</a:t>
            </a:r>
          </a:p>
        </c:rich>
      </c:tx>
      <c:overlay val="0"/>
    </c:title>
    <c:autoTitleDeleted val="0"/>
    <c:plotArea>
      <c:layout/>
      <c:radarChart>
        <c:radarStyle val="marker"/>
        <c:varyColors val="0"/>
        <c:ser>
          <c:idx val="0"/>
          <c:order val="0"/>
          <c:tx>
            <c:strRef>
              <c:f>PGLOBAL!$AE$177</c:f>
              <c:strCache>
                <c:ptCount val="1"/>
                <c:pt idx="0">
                  <c:v>2016</c:v>
                </c:pt>
              </c:strCache>
            </c:strRef>
          </c:tx>
          <c:spPr>
            <a:ln>
              <a:prstDash val="dashDot"/>
            </a:ln>
          </c:spPr>
          <c:cat>
            <c:strRef>
              <c:f>PGLOBAL!$AD$178:$AD$184</c:f>
              <c:strCache>
                <c:ptCount val="7"/>
                <c:pt idx="0">
                  <c:v>SOACHA GENERAL</c:v>
                </c:pt>
                <c:pt idx="1">
                  <c:v>COMUNA 1</c:v>
                </c:pt>
                <c:pt idx="2">
                  <c:v>COMUNA 2</c:v>
                </c:pt>
                <c:pt idx="3">
                  <c:v>COMUNA 3</c:v>
                </c:pt>
                <c:pt idx="4">
                  <c:v>COMUNA 4</c:v>
                </c:pt>
                <c:pt idx="5">
                  <c:v>COMUNA 5</c:v>
                </c:pt>
                <c:pt idx="6">
                  <c:v>COMUNA 6</c:v>
                </c:pt>
              </c:strCache>
            </c:strRef>
          </c:cat>
          <c:val>
            <c:numRef>
              <c:f>PGLOBAL!$AE$178:$AE$184</c:f>
              <c:numCache>
                <c:formatCode>0</c:formatCode>
                <c:ptCount val="7"/>
                <c:pt idx="0">
                  <c:v>266</c:v>
                </c:pt>
                <c:pt idx="1">
                  <c:v>260.94117647058823</c:v>
                </c:pt>
                <c:pt idx="2">
                  <c:v>268.45</c:v>
                </c:pt>
                <c:pt idx="3">
                  <c:v>269.4375</c:v>
                </c:pt>
                <c:pt idx="4">
                  <c:v>248.28571428571428</c:v>
                </c:pt>
                <c:pt idx="5">
                  <c:v>276.1764705882353</c:v>
                </c:pt>
                <c:pt idx="6">
                  <c:v>267.13333333333333</c:v>
                </c:pt>
              </c:numCache>
            </c:numRef>
          </c:val>
          <c:extLst>
            <c:ext xmlns:c16="http://schemas.microsoft.com/office/drawing/2014/chart" uri="{C3380CC4-5D6E-409C-BE32-E72D297353CC}">
              <c16:uniqueId val="{00000000-FE33-473D-824A-749E389BE177}"/>
            </c:ext>
          </c:extLst>
        </c:ser>
        <c:ser>
          <c:idx val="1"/>
          <c:order val="1"/>
          <c:tx>
            <c:strRef>
              <c:f>PGLOBAL!$AF$177</c:f>
              <c:strCache>
                <c:ptCount val="1"/>
                <c:pt idx="0">
                  <c:v>2017</c:v>
                </c:pt>
              </c:strCache>
            </c:strRef>
          </c:tx>
          <c:cat>
            <c:strRef>
              <c:f>PGLOBAL!$AD$178:$AD$184</c:f>
              <c:strCache>
                <c:ptCount val="7"/>
                <c:pt idx="0">
                  <c:v>SOACHA GENERAL</c:v>
                </c:pt>
                <c:pt idx="1">
                  <c:v>COMUNA 1</c:v>
                </c:pt>
                <c:pt idx="2">
                  <c:v>COMUNA 2</c:v>
                </c:pt>
                <c:pt idx="3">
                  <c:v>COMUNA 3</c:v>
                </c:pt>
                <c:pt idx="4">
                  <c:v>COMUNA 4</c:v>
                </c:pt>
                <c:pt idx="5">
                  <c:v>COMUNA 5</c:v>
                </c:pt>
                <c:pt idx="6">
                  <c:v>COMUNA 6</c:v>
                </c:pt>
              </c:strCache>
            </c:strRef>
          </c:cat>
          <c:val>
            <c:numRef>
              <c:f>PGLOBAL!$AF$178:$AF$184</c:f>
              <c:numCache>
                <c:formatCode>0</c:formatCode>
                <c:ptCount val="7"/>
                <c:pt idx="0">
                  <c:v>263</c:v>
                </c:pt>
                <c:pt idx="1">
                  <c:v>260.375</c:v>
                </c:pt>
                <c:pt idx="2">
                  <c:v>265.63157894736844</c:v>
                </c:pt>
                <c:pt idx="3">
                  <c:v>265.64705882352939</c:v>
                </c:pt>
                <c:pt idx="4">
                  <c:v>255.13333333333333</c:v>
                </c:pt>
                <c:pt idx="5">
                  <c:v>275.47058823529414</c:v>
                </c:pt>
                <c:pt idx="6">
                  <c:v>258.86666666666667</c:v>
                </c:pt>
              </c:numCache>
            </c:numRef>
          </c:val>
          <c:extLst>
            <c:ext xmlns:c16="http://schemas.microsoft.com/office/drawing/2014/chart" uri="{C3380CC4-5D6E-409C-BE32-E72D297353CC}">
              <c16:uniqueId val="{00000001-FE33-473D-824A-749E389BE177}"/>
            </c:ext>
          </c:extLst>
        </c:ser>
        <c:ser>
          <c:idx val="2"/>
          <c:order val="2"/>
          <c:tx>
            <c:strRef>
              <c:f>PGLOBAL!$AG$177</c:f>
              <c:strCache>
                <c:ptCount val="1"/>
                <c:pt idx="0">
                  <c:v>2018</c:v>
                </c:pt>
              </c:strCache>
            </c:strRef>
          </c:tx>
          <c:spPr>
            <a:ln>
              <a:prstDash val="sysDot"/>
            </a:ln>
          </c:spPr>
          <c:cat>
            <c:strRef>
              <c:f>PGLOBAL!$AD$178:$AD$184</c:f>
              <c:strCache>
                <c:ptCount val="7"/>
                <c:pt idx="0">
                  <c:v>SOACHA GENERAL</c:v>
                </c:pt>
                <c:pt idx="1">
                  <c:v>COMUNA 1</c:v>
                </c:pt>
                <c:pt idx="2">
                  <c:v>COMUNA 2</c:v>
                </c:pt>
                <c:pt idx="3">
                  <c:v>COMUNA 3</c:v>
                </c:pt>
                <c:pt idx="4">
                  <c:v>COMUNA 4</c:v>
                </c:pt>
                <c:pt idx="5">
                  <c:v>COMUNA 5</c:v>
                </c:pt>
                <c:pt idx="6">
                  <c:v>COMUNA 6</c:v>
                </c:pt>
              </c:strCache>
            </c:strRef>
          </c:cat>
          <c:val>
            <c:numRef>
              <c:f>PGLOBAL!$AG$178:$AG$184</c:f>
              <c:numCache>
                <c:formatCode>0</c:formatCode>
                <c:ptCount val="7"/>
                <c:pt idx="0">
                  <c:v>260</c:v>
                </c:pt>
                <c:pt idx="1">
                  <c:v>257.1764705882353</c:v>
                </c:pt>
                <c:pt idx="2">
                  <c:v>262.89473684210526</c:v>
                </c:pt>
                <c:pt idx="3">
                  <c:v>265.11764705882354</c:v>
                </c:pt>
                <c:pt idx="4">
                  <c:v>251.46666666666667</c:v>
                </c:pt>
                <c:pt idx="5">
                  <c:v>271.5</c:v>
                </c:pt>
                <c:pt idx="6">
                  <c:v>260.07142857142856</c:v>
                </c:pt>
              </c:numCache>
            </c:numRef>
          </c:val>
          <c:extLst>
            <c:ext xmlns:c16="http://schemas.microsoft.com/office/drawing/2014/chart" uri="{C3380CC4-5D6E-409C-BE32-E72D297353CC}">
              <c16:uniqueId val="{00000002-FE33-473D-824A-749E389BE177}"/>
            </c:ext>
          </c:extLst>
        </c:ser>
        <c:ser>
          <c:idx val="3"/>
          <c:order val="3"/>
          <c:tx>
            <c:strRef>
              <c:f>PGLOBAL!$AH$177</c:f>
              <c:strCache>
                <c:ptCount val="1"/>
                <c:pt idx="0">
                  <c:v>2019</c:v>
                </c:pt>
              </c:strCache>
            </c:strRef>
          </c:tx>
          <c:cat>
            <c:strRef>
              <c:f>PGLOBAL!$AD$178:$AD$184</c:f>
              <c:strCache>
                <c:ptCount val="7"/>
                <c:pt idx="0">
                  <c:v>SOACHA GENERAL</c:v>
                </c:pt>
                <c:pt idx="1">
                  <c:v>COMUNA 1</c:v>
                </c:pt>
                <c:pt idx="2">
                  <c:v>COMUNA 2</c:v>
                </c:pt>
                <c:pt idx="3">
                  <c:v>COMUNA 3</c:v>
                </c:pt>
                <c:pt idx="4">
                  <c:v>COMUNA 4</c:v>
                </c:pt>
                <c:pt idx="5">
                  <c:v>COMUNA 5</c:v>
                </c:pt>
                <c:pt idx="6">
                  <c:v>COMUNA 6</c:v>
                </c:pt>
              </c:strCache>
            </c:strRef>
          </c:cat>
          <c:val>
            <c:numRef>
              <c:f>PGLOBAL!$AH$178:$AH$184</c:f>
              <c:numCache>
                <c:formatCode>0</c:formatCode>
                <c:ptCount val="7"/>
                <c:pt idx="0">
                  <c:v>257</c:v>
                </c:pt>
                <c:pt idx="1">
                  <c:v>252.8235294117647</c:v>
                </c:pt>
                <c:pt idx="2">
                  <c:v>262.64999999999998</c:v>
                </c:pt>
                <c:pt idx="3">
                  <c:v>259.41176470588238</c:v>
                </c:pt>
                <c:pt idx="4">
                  <c:v>244.78571428571428</c:v>
                </c:pt>
                <c:pt idx="5">
                  <c:v>268.31578947368422</c:v>
                </c:pt>
                <c:pt idx="6">
                  <c:v>259</c:v>
                </c:pt>
              </c:numCache>
            </c:numRef>
          </c:val>
          <c:extLst>
            <c:ext xmlns:c16="http://schemas.microsoft.com/office/drawing/2014/chart" uri="{C3380CC4-5D6E-409C-BE32-E72D297353CC}">
              <c16:uniqueId val="{00000003-FE33-473D-824A-749E389BE177}"/>
            </c:ext>
          </c:extLst>
        </c:ser>
        <c:ser>
          <c:idx val="4"/>
          <c:order val="4"/>
          <c:tx>
            <c:strRef>
              <c:f>PGLOBAL!$AI$177</c:f>
              <c:strCache>
                <c:ptCount val="1"/>
                <c:pt idx="0">
                  <c:v>2020</c:v>
                </c:pt>
              </c:strCache>
            </c:strRef>
          </c:tx>
          <c:cat>
            <c:strRef>
              <c:f>PGLOBAL!$AD$178:$AD$184</c:f>
              <c:strCache>
                <c:ptCount val="7"/>
                <c:pt idx="0">
                  <c:v>SOACHA GENERAL</c:v>
                </c:pt>
                <c:pt idx="1">
                  <c:v>COMUNA 1</c:v>
                </c:pt>
                <c:pt idx="2">
                  <c:v>COMUNA 2</c:v>
                </c:pt>
                <c:pt idx="3">
                  <c:v>COMUNA 3</c:v>
                </c:pt>
                <c:pt idx="4">
                  <c:v>COMUNA 4</c:v>
                </c:pt>
                <c:pt idx="5">
                  <c:v>COMUNA 5</c:v>
                </c:pt>
                <c:pt idx="6">
                  <c:v>COMUNA 6</c:v>
                </c:pt>
              </c:strCache>
            </c:strRef>
          </c:cat>
          <c:val>
            <c:numRef>
              <c:f>PGLOBAL!$AI$178:$AI$184</c:f>
              <c:numCache>
                <c:formatCode>0</c:formatCode>
                <c:ptCount val="7"/>
                <c:pt idx="0" formatCode="General">
                  <c:v>258</c:v>
                </c:pt>
                <c:pt idx="1">
                  <c:v>257.29411764705884</c:v>
                </c:pt>
                <c:pt idx="2">
                  <c:v>259.125</c:v>
                </c:pt>
                <c:pt idx="3">
                  <c:v>262.78947368421052</c:v>
                </c:pt>
                <c:pt idx="4">
                  <c:v>241.84615384615384</c:v>
                </c:pt>
                <c:pt idx="5">
                  <c:v>272</c:v>
                </c:pt>
                <c:pt idx="6">
                  <c:v>252.94117647058823</c:v>
                </c:pt>
              </c:numCache>
            </c:numRef>
          </c:val>
          <c:extLst>
            <c:ext xmlns:c16="http://schemas.microsoft.com/office/drawing/2014/chart" uri="{C3380CC4-5D6E-409C-BE32-E72D297353CC}">
              <c16:uniqueId val="{00000001-851D-49E8-81AE-DA536DFCA90B}"/>
            </c:ext>
          </c:extLst>
        </c:ser>
        <c:ser>
          <c:idx val="5"/>
          <c:order val="5"/>
          <c:tx>
            <c:strRef>
              <c:f>PGLOBAL!$AJ$177</c:f>
              <c:strCache>
                <c:ptCount val="1"/>
                <c:pt idx="0">
                  <c:v>2017</c:v>
                </c:pt>
              </c:strCache>
            </c:strRef>
          </c:tx>
          <c:cat>
            <c:strRef>
              <c:f>PGLOBAL!$AD$178:$AD$184</c:f>
              <c:strCache>
                <c:ptCount val="7"/>
                <c:pt idx="0">
                  <c:v>SOACHA GENERAL</c:v>
                </c:pt>
                <c:pt idx="1">
                  <c:v>COMUNA 1</c:v>
                </c:pt>
                <c:pt idx="2">
                  <c:v>COMUNA 2</c:v>
                </c:pt>
                <c:pt idx="3">
                  <c:v>COMUNA 3</c:v>
                </c:pt>
                <c:pt idx="4">
                  <c:v>COMUNA 4</c:v>
                </c:pt>
                <c:pt idx="5">
                  <c:v>COMUNA 5</c:v>
                </c:pt>
                <c:pt idx="6">
                  <c:v>COMUNA 6</c:v>
                </c:pt>
              </c:strCache>
            </c:strRef>
          </c:cat>
          <c:val>
            <c:numRef>
              <c:f>PGLOBAL!$AJ$178:$AJ$184</c:f>
              <c:numCache>
                <c:formatCode>0</c:formatCode>
                <c:ptCount val="7"/>
                <c:pt idx="0">
                  <c:v>263</c:v>
                </c:pt>
                <c:pt idx="1">
                  <c:v>260.375</c:v>
                </c:pt>
                <c:pt idx="2">
                  <c:v>265.63157894736844</c:v>
                </c:pt>
                <c:pt idx="3">
                  <c:v>265.64705882352939</c:v>
                </c:pt>
                <c:pt idx="4">
                  <c:v>255.13333333333333</c:v>
                </c:pt>
                <c:pt idx="5">
                  <c:v>275.47058823529414</c:v>
                </c:pt>
                <c:pt idx="6">
                  <c:v>258.86666666666667</c:v>
                </c:pt>
              </c:numCache>
            </c:numRef>
          </c:val>
          <c:extLst>
            <c:ext xmlns:c16="http://schemas.microsoft.com/office/drawing/2014/chart" uri="{C3380CC4-5D6E-409C-BE32-E72D297353CC}">
              <c16:uniqueId val="{00000001-EB06-4A89-995C-D1A7722C1C2A}"/>
            </c:ext>
          </c:extLst>
        </c:ser>
        <c:ser>
          <c:idx val="6"/>
          <c:order val="6"/>
          <c:tx>
            <c:strRef>
              <c:f>PGLOBAL!$AK$177</c:f>
              <c:strCache>
                <c:ptCount val="1"/>
                <c:pt idx="0">
                  <c:v>2018</c:v>
                </c:pt>
              </c:strCache>
            </c:strRef>
          </c:tx>
          <c:cat>
            <c:strRef>
              <c:f>PGLOBAL!$AD$178:$AD$184</c:f>
              <c:strCache>
                <c:ptCount val="7"/>
                <c:pt idx="0">
                  <c:v>SOACHA GENERAL</c:v>
                </c:pt>
                <c:pt idx="1">
                  <c:v>COMUNA 1</c:v>
                </c:pt>
                <c:pt idx="2">
                  <c:v>COMUNA 2</c:v>
                </c:pt>
                <c:pt idx="3">
                  <c:v>COMUNA 3</c:v>
                </c:pt>
                <c:pt idx="4">
                  <c:v>COMUNA 4</c:v>
                </c:pt>
                <c:pt idx="5">
                  <c:v>COMUNA 5</c:v>
                </c:pt>
                <c:pt idx="6">
                  <c:v>COMUNA 6</c:v>
                </c:pt>
              </c:strCache>
            </c:strRef>
          </c:cat>
          <c:val>
            <c:numRef>
              <c:f>PGLOBAL!$AK$178:$AK$184</c:f>
              <c:numCache>
                <c:formatCode>0</c:formatCode>
                <c:ptCount val="7"/>
                <c:pt idx="0">
                  <c:v>260</c:v>
                </c:pt>
                <c:pt idx="1">
                  <c:v>257.1764705882353</c:v>
                </c:pt>
                <c:pt idx="2">
                  <c:v>262.89473684210526</c:v>
                </c:pt>
                <c:pt idx="3">
                  <c:v>265.11764705882354</c:v>
                </c:pt>
                <c:pt idx="4">
                  <c:v>251.46666666666667</c:v>
                </c:pt>
                <c:pt idx="5">
                  <c:v>271.5</c:v>
                </c:pt>
                <c:pt idx="6">
                  <c:v>260.07142857142856</c:v>
                </c:pt>
              </c:numCache>
            </c:numRef>
          </c:val>
          <c:extLst>
            <c:ext xmlns:c16="http://schemas.microsoft.com/office/drawing/2014/chart" uri="{C3380CC4-5D6E-409C-BE32-E72D297353CC}">
              <c16:uniqueId val="{00000000-D799-4AFB-B91F-EEA4CAF16724}"/>
            </c:ext>
          </c:extLst>
        </c:ser>
        <c:ser>
          <c:idx val="7"/>
          <c:order val="7"/>
          <c:tx>
            <c:strRef>
              <c:f>PGLOBAL!$AM$177</c:f>
              <c:strCache>
                <c:ptCount val="1"/>
                <c:pt idx="0">
                  <c:v>2019</c:v>
                </c:pt>
              </c:strCache>
            </c:strRef>
          </c:tx>
          <c:cat>
            <c:strRef>
              <c:f>PGLOBAL!$AD$178:$AD$184</c:f>
              <c:strCache>
                <c:ptCount val="7"/>
                <c:pt idx="0">
                  <c:v>SOACHA GENERAL</c:v>
                </c:pt>
                <c:pt idx="1">
                  <c:v>COMUNA 1</c:v>
                </c:pt>
                <c:pt idx="2">
                  <c:v>COMUNA 2</c:v>
                </c:pt>
                <c:pt idx="3">
                  <c:v>COMUNA 3</c:v>
                </c:pt>
                <c:pt idx="4">
                  <c:v>COMUNA 4</c:v>
                </c:pt>
                <c:pt idx="5">
                  <c:v>COMUNA 5</c:v>
                </c:pt>
                <c:pt idx="6">
                  <c:v>COMUNA 6</c:v>
                </c:pt>
              </c:strCache>
            </c:strRef>
          </c:cat>
          <c:val>
            <c:numRef>
              <c:f>PGLOBAL!$AM$178:$AM$184</c:f>
              <c:numCache>
                <c:formatCode>0</c:formatCode>
                <c:ptCount val="7"/>
                <c:pt idx="0">
                  <c:v>257</c:v>
                </c:pt>
                <c:pt idx="1">
                  <c:v>252.8235294117647</c:v>
                </c:pt>
                <c:pt idx="2">
                  <c:v>262.64999999999998</c:v>
                </c:pt>
                <c:pt idx="3">
                  <c:v>259.41176470588238</c:v>
                </c:pt>
                <c:pt idx="4">
                  <c:v>244.78571428571428</c:v>
                </c:pt>
                <c:pt idx="5">
                  <c:v>268.31578947368422</c:v>
                </c:pt>
                <c:pt idx="6">
                  <c:v>259</c:v>
                </c:pt>
              </c:numCache>
            </c:numRef>
          </c:val>
          <c:extLst>
            <c:ext xmlns:c16="http://schemas.microsoft.com/office/drawing/2014/chart" uri="{C3380CC4-5D6E-409C-BE32-E72D297353CC}">
              <c16:uniqueId val="{00000000-08DF-4324-8B4B-F72D2332CE4B}"/>
            </c:ext>
          </c:extLst>
        </c:ser>
        <c:ser>
          <c:idx val="8"/>
          <c:order val="8"/>
          <c:tx>
            <c:strRef>
              <c:f>PGLOBAL!$AN$177</c:f>
              <c:strCache>
                <c:ptCount val="1"/>
                <c:pt idx="0">
                  <c:v>2020</c:v>
                </c:pt>
              </c:strCache>
            </c:strRef>
          </c:tx>
          <c:cat>
            <c:strRef>
              <c:f>PGLOBAL!$AD$178:$AD$184</c:f>
              <c:strCache>
                <c:ptCount val="7"/>
                <c:pt idx="0">
                  <c:v>SOACHA GENERAL</c:v>
                </c:pt>
                <c:pt idx="1">
                  <c:v>COMUNA 1</c:v>
                </c:pt>
                <c:pt idx="2">
                  <c:v>COMUNA 2</c:v>
                </c:pt>
                <c:pt idx="3">
                  <c:v>COMUNA 3</c:v>
                </c:pt>
                <c:pt idx="4">
                  <c:v>COMUNA 4</c:v>
                </c:pt>
                <c:pt idx="5">
                  <c:v>COMUNA 5</c:v>
                </c:pt>
                <c:pt idx="6">
                  <c:v>COMUNA 6</c:v>
                </c:pt>
              </c:strCache>
            </c:strRef>
          </c:cat>
          <c:val>
            <c:numRef>
              <c:f>PGLOBAL!$AN$178:$AN$184</c:f>
              <c:numCache>
                <c:formatCode>0</c:formatCode>
                <c:ptCount val="7"/>
                <c:pt idx="0" formatCode="General">
                  <c:v>258</c:v>
                </c:pt>
                <c:pt idx="1">
                  <c:v>257.29411764705884</c:v>
                </c:pt>
                <c:pt idx="2">
                  <c:v>259.125</c:v>
                </c:pt>
                <c:pt idx="3">
                  <c:v>262.78947368421052</c:v>
                </c:pt>
                <c:pt idx="4">
                  <c:v>241.84615384615384</c:v>
                </c:pt>
                <c:pt idx="5">
                  <c:v>272</c:v>
                </c:pt>
                <c:pt idx="6">
                  <c:v>252.94117647058823</c:v>
                </c:pt>
              </c:numCache>
            </c:numRef>
          </c:val>
          <c:extLst>
            <c:ext xmlns:c16="http://schemas.microsoft.com/office/drawing/2014/chart" uri="{C3380CC4-5D6E-409C-BE32-E72D297353CC}">
              <c16:uniqueId val="{00000001-08DF-4324-8B4B-F72D2332CE4B}"/>
            </c:ext>
          </c:extLst>
        </c:ser>
        <c:ser>
          <c:idx val="9"/>
          <c:order val="9"/>
          <c:tx>
            <c:strRef>
              <c:f>PGLOBAL!$AO$177</c:f>
              <c:strCache>
                <c:ptCount val="1"/>
                <c:pt idx="0">
                  <c:v>2021</c:v>
                </c:pt>
              </c:strCache>
            </c:strRef>
          </c:tx>
          <c:cat>
            <c:strRef>
              <c:f>PGLOBAL!$AD$178:$AD$184</c:f>
              <c:strCache>
                <c:ptCount val="7"/>
                <c:pt idx="0">
                  <c:v>SOACHA GENERAL</c:v>
                </c:pt>
                <c:pt idx="1">
                  <c:v>COMUNA 1</c:v>
                </c:pt>
                <c:pt idx="2">
                  <c:v>COMUNA 2</c:v>
                </c:pt>
                <c:pt idx="3">
                  <c:v>COMUNA 3</c:v>
                </c:pt>
                <c:pt idx="4">
                  <c:v>COMUNA 4</c:v>
                </c:pt>
                <c:pt idx="5">
                  <c:v>COMUNA 5</c:v>
                </c:pt>
                <c:pt idx="6">
                  <c:v>COMUNA 6</c:v>
                </c:pt>
              </c:strCache>
            </c:strRef>
          </c:cat>
          <c:val>
            <c:numRef>
              <c:f>PGLOBAL!$AO$178:$AO$184</c:f>
              <c:numCache>
                <c:formatCode>0</c:formatCode>
                <c:ptCount val="7"/>
                <c:pt idx="0" formatCode="General">
                  <c:v>257</c:v>
                </c:pt>
                <c:pt idx="1">
                  <c:v>257.29411764705884</c:v>
                </c:pt>
                <c:pt idx="2">
                  <c:v>257.45454545454544</c:v>
                </c:pt>
                <c:pt idx="3">
                  <c:v>261.60000000000002</c:v>
                </c:pt>
                <c:pt idx="4">
                  <c:v>243.85714285714286</c:v>
                </c:pt>
                <c:pt idx="5">
                  <c:v>270.44444444444446</c:v>
                </c:pt>
                <c:pt idx="6">
                  <c:v>255.58823529411765</c:v>
                </c:pt>
              </c:numCache>
            </c:numRef>
          </c:val>
          <c:extLst>
            <c:ext xmlns:c16="http://schemas.microsoft.com/office/drawing/2014/chart" uri="{C3380CC4-5D6E-409C-BE32-E72D297353CC}">
              <c16:uniqueId val="{00000000-C620-45A2-B7B6-325A81353230}"/>
            </c:ext>
          </c:extLst>
        </c:ser>
        <c:ser>
          <c:idx val="10"/>
          <c:order val="10"/>
          <c:tx>
            <c:strRef>
              <c:f>PGLOBAL!$AP$177</c:f>
              <c:strCache>
                <c:ptCount val="1"/>
                <c:pt idx="0">
                  <c:v>2022</c:v>
                </c:pt>
              </c:strCache>
            </c:strRef>
          </c:tx>
          <c:cat>
            <c:strRef>
              <c:f>PGLOBAL!$AD$178:$AD$184</c:f>
              <c:strCache>
                <c:ptCount val="7"/>
                <c:pt idx="0">
                  <c:v>SOACHA GENERAL</c:v>
                </c:pt>
                <c:pt idx="1">
                  <c:v>COMUNA 1</c:v>
                </c:pt>
                <c:pt idx="2">
                  <c:v>COMUNA 2</c:v>
                </c:pt>
                <c:pt idx="3">
                  <c:v>COMUNA 3</c:v>
                </c:pt>
                <c:pt idx="4">
                  <c:v>COMUNA 4</c:v>
                </c:pt>
                <c:pt idx="5">
                  <c:v>COMUNA 5</c:v>
                </c:pt>
                <c:pt idx="6">
                  <c:v>COMUNA 6</c:v>
                </c:pt>
              </c:strCache>
            </c:strRef>
          </c:cat>
          <c:val>
            <c:numRef>
              <c:f>PGLOBAL!$AP$178:$AP$184</c:f>
              <c:numCache>
                <c:formatCode>0</c:formatCode>
                <c:ptCount val="7"/>
                <c:pt idx="0" formatCode="General">
                  <c:v>262</c:v>
                </c:pt>
                <c:pt idx="1">
                  <c:v>258.83333333333331</c:v>
                </c:pt>
                <c:pt idx="2">
                  <c:v>266.72000000000003</c:v>
                </c:pt>
                <c:pt idx="3">
                  <c:v>267.13636363636363</c:v>
                </c:pt>
                <c:pt idx="4">
                  <c:v>249.64285714285714</c:v>
                </c:pt>
                <c:pt idx="5">
                  <c:v>276.64705882352939</c:v>
                </c:pt>
                <c:pt idx="6">
                  <c:v>258.31578947368422</c:v>
                </c:pt>
              </c:numCache>
            </c:numRef>
          </c:val>
          <c:extLst>
            <c:ext xmlns:c16="http://schemas.microsoft.com/office/drawing/2014/chart" uri="{C3380CC4-5D6E-409C-BE32-E72D297353CC}">
              <c16:uniqueId val="{00000001-C620-45A2-B7B6-325A81353230}"/>
            </c:ext>
          </c:extLst>
        </c:ser>
        <c:ser>
          <c:idx val="11"/>
          <c:order val="11"/>
          <c:tx>
            <c:strRef>
              <c:f>PGLOBAL!$AQ$177</c:f>
              <c:strCache>
                <c:ptCount val="1"/>
                <c:pt idx="0">
                  <c:v>2023</c:v>
                </c:pt>
              </c:strCache>
            </c:strRef>
          </c:tx>
          <c:cat>
            <c:strRef>
              <c:f>PGLOBAL!$AD$178:$AD$184</c:f>
              <c:strCache>
                <c:ptCount val="7"/>
                <c:pt idx="0">
                  <c:v>SOACHA GENERAL</c:v>
                </c:pt>
                <c:pt idx="1">
                  <c:v>COMUNA 1</c:v>
                </c:pt>
                <c:pt idx="2">
                  <c:v>COMUNA 2</c:v>
                </c:pt>
                <c:pt idx="3">
                  <c:v>COMUNA 3</c:v>
                </c:pt>
                <c:pt idx="4">
                  <c:v>COMUNA 4</c:v>
                </c:pt>
                <c:pt idx="5">
                  <c:v>COMUNA 5</c:v>
                </c:pt>
                <c:pt idx="6">
                  <c:v>COMUNA 6</c:v>
                </c:pt>
              </c:strCache>
            </c:strRef>
          </c:cat>
          <c:val>
            <c:numRef>
              <c:f>PGLOBAL!$AQ$178:$AQ$184</c:f>
              <c:numCache>
                <c:formatCode>0</c:formatCode>
                <c:ptCount val="7"/>
                <c:pt idx="0" formatCode="General">
                  <c:v>262</c:v>
                </c:pt>
                <c:pt idx="1">
                  <c:v>262.29411764705884</c:v>
                </c:pt>
                <c:pt idx="2">
                  <c:v>265.03846153846155</c:v>
                </c:pt>
                <c:pt idx="3">
                  <c:v>267.09090909090907</c:v>
                </c:pt>
                <c:pt idx="4">
                  <c:v>245.2</c:v>
                </c:pt>
                <c:pt idx="5">
                  <c:v>278.11764705882354</c:v>
                </c:pt>
                <c:pt idx="6">
                  <c:v>264.3</c:v>
                </c:pt>
              </c:numCache>
            </c:numRef>
          </c:val>
          <c:extLst>
            <c:ext xmlns:c16="http://schemas.microsoft.com/office/drawing/2014/chart" uri="{C3380CC4-5D6E-409C-BE32-E72D297353CC}">
              <c16:uniqueId val="{00000002-C620-45A2-B7B6-325A81353230}"/>
            </c:ext>
          </c:extLst>
        </c:ser>
        <c:ser>
          <c:idx val="12"/>
          <c:order val="12"/>
          <c:tx>
            <c:strRef>
              <c:f>PGLOBAL!$AR$177</c:f>
              <c:strCache>
                <c:ptCount val="1"/>
                <c:pt idx="0">
                  <c:v>2024</c:v>
                </c:pt>
              </c:strCache>
            </c:strRef>
          </c:tx>
          <c:cat>
            <c:strRef>
              <c:f>PGLOBAL!$AD$178:$AD$184</c:f>
              <c:strCache>
                <c:ptCount val="7"/>
                <c:pt idx="0">
                  <c:v>SOACHA GENERAL</c:v>
                </c:pt>
                <c:pt idx="1">
                  <c:v>COMUNA 1</c:v>
                </c:pt>
                <c:pt idx="2">
                  <c:v>COMUNA 2</c:v>
                </c:pt>
                <c:pt idx="3">
                  <c:v>COMUNA 3</c:v>
                </c:pt>
                <c:pt idx="4">
                  <c:v>COMUNA 4</c:v>
                </c:pt>
                <c:pt idx="5">
                  <c:v>COMUNA 5</c:v>
                </c:pt>
                <c:pt idx="6">
                  <c:v>COMUNA 6</c:v>
                </c:pt>
              </c:strCache>
            </c:strRef>
          </c:cat>
          <c:val>
            <c:numRef>
              <c:f>PGLOBAL!$AR$178:$AR$184</c:f>
              <c:numCache>
                <c:formatCode>0</c:formatCode>
                <c:ptCount val="7"/>
                <c:pt idx="0" formatCode="General">
                  <c:v>265</c:v>
                </c:pt>
                <c:pt idx="1">
                  <c:v>263.22222222222223</c:v>
                </c:pt>
                <c:pt idx="2">
                  <c:v>270.91666666666669</c:v>
                </c:pt>
                <c:pt idx="3">
                  <c:v>269.31818181818181</c:v>
                </c:pt>
                <c:pt idx="4">
                  <c:v>254</c:v>
                </c:pt>
                <c:pt idx="5">
                  <c:v>273.66666666666669</c:v>
                </c:pt>
                <c:pt idx="6">
                  <c:v>264.83333333333331</c:v>
                </c:pt>
              </c:numCache>
            </c:numRef>
          </c:val>
          <c:extLst>
            <c:ext xmlns:c16="http://schemas.microsoft.com/office/drawing/2014/chart" uri="{C3380CC4-5D6E-409C-BE32-E72D297353CC}">
              <c16:uniqueId val="{00000003-C620-45A2-B7B6-325A81353230}"/>
            </c:ext>
          </c:extLst>
        </c:ser>
        <c:ser>
          <c:idx val="13"/>
          <c:order val="13"/>
          <c:tx>
            <c:strRef>
              <c:f>PGLOBAL!$AS$177</c:f>
              <c:strCache>
                <c:ptCount val="1"/>
                <c:pt idx="0">
                  <c:v>2025</c:v>
                </c:pt>
              </c:strCache>
            </c:strRef>
          </c:tx>
          <c:cat>
            <c:strRef>
              <c:f>PGLOBAL!$AD$178:$AD$184</c:f>
              <c:strCache>
                <c:ptCount val="7"/>
                <c:pt idx="0">
                  <c:v>SOACHA GENERAL</c:v>
                </c:pt>
                <c:pt idx="1">
                  <c:v>COMUNA 1</c:v>
                </c:pt>
                <c:pt idx="2">
                  <c:v>COMUNA 2</c:v>
                </c:pt>
                <c:pt idx="3">
                  <c:v>COMUNA 3</c:v>
                </c:pt>
                <c:pt idx="4">
                  <c:v>COMUNA 4</c:v>
                </c:pt>
                <c:pt idx="5">
                  <c:v>COMUNA 5</c:v>
                </c:pt>
                <c:pt idx="6">
                  <c:v>COMUNA 6</c:v>
                </c:pt>
              </c:strCache>
            </c:strRef>
          </c:cat>
          <c:val>
            <c:numRef>
              <c:f>PGLOBAL!$AS$178:$AS$184</c:f>
              <c:numCache>
                <c:formatCode>0</c:formatCode>
                <c:ptCount val="7"/>
                <c:pt idx="0" formatCode="General">
                  <c:v>0</c:v>
                </c:pt>
                <c:pt idx="1">
                  <c:v>265</c:v>
                </c:pt>
                <c:pt idx="2">
                  <c:v>267</c:v>
                </c:pt>
                <c:pt idx="3">
                  <c:v>272</c:v>
                </c:pt>
                <c:pt idx="4">
                  <c:v>260</c:v>
                </c:pt>
                <c:pt idx="5">
                  <c:v>278</c:v>
                </c:pt>
                <c:pt idx="6">
                  <c:v>270</c:v>
                </c:pt>
              </c:numCache>
            </c:numRef>
          </c:val>
          <c:extLst>
            <c:ext xmlns:c16="http://schemas.microsoft.com/office/drawing/2014/chart" uri="{C3380CC4-5D6E-409C-BE32-E72D297353CC}">
              <c16:uniqueId val="{00000004-C620-45A2-B7B6-325A81353230}"/>
            </c:ext>
          </c:extLst>
        </c:ser>
        <c:dLbls>
          <c:showLegendKey val="0"/>
          <c:showVal val="0"/>
          <c:showCatName val="0"/>
          <c:showSerName val="0"/>
          <c:showPercent val="0"/>
          <c:showBubbleSize val="0"/>
        </c:dLbls>
        <c:axId val="95953664"/>
        <c:axId val="95955200"/>
      </c:radarChart>
      <c:catAx>
        <c:axId val="95953664"/>
        <c:scaling>
          <c:orientation val="minMax"/>
        </c:scaling>
        <c:delete val="0"/>
        <c:axPos val="b"/>
        <c:majorGridlines/>
        <c:numFmt formatCode="General" sourceLinked="0"/>
        <c:majorTickMark val="none"/>
        <c:minorTickMark val="none"/>
        <c:tickLblPos val="nextTo"/>
        <c:spPr>
          <a:ln w="9525">
            <a:noFill/>
          </a:ln>
        </c:spPr>
        <c:crossAx val="95955200"/>
        <c:crosses val="autoZero"/>
        <c:auto val="1"/>
        <c:lblAlgn val="ctr"/>
        <c:lblOffset val="100"/>
        <c:noMultiLvlLbl val="0"/>
      </c:catAx>
      <c:valAx>
        <c:axId val="95955200"/>
        <c:scaling>
          <c:orientation val="minMax"/>
          <c:max val="280"/>
          <c:min val="240"/>
        </c:scaling>
        <c:delete val="0"/>
        <c:axPos val="l"/>
        <c:majorGridlines/>
        <c:numFmt formatCode="0" sourceLinked="1"/>
        <c:majorTickMark val="out"/>
        <c:minorTickMark val="none"/>
        <c:tickLblPos val="nextTo"/>
        <c:crossAx val="95953664"/>
        <c:crosses val="autoZero"/>
        <c:crossBetween val="between"/>
      </c:valAx>
    </c:plotArea>
    <c:legend>
      <c:legendPos val="r"/>
      <c:overlay val="0"/>
    </c:legend>
    <c:plotVisOnly val="1"/>
    <c:dispBlanksAs val="gap"/>
    <c:showDLblsOverMax val="0"/>
  </c:chart>
  <c:txPr>
    <a:bodyPr/>
    <a:lstStyle/>
    <a:p>
      <a:pPr>
        <a:defRPr>
          <a:latin typeface="+mn-lt"/>
          <a:cs typeface="Arial" panose="020B0604020202020204" pitchFamily="34" charset="0"/>
        </a:defRPr>
      </a:pPr>
      <a:endParaRPr lang="es-CO"/>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b="1"/>
              <a:t>ÍNDICE GLOBAL</a:t>
            </a:r>
          </a:p>
        </c:rich>
      </c:tx>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CO"/>
        </a:p>
      </c:txPr>
    </c:title>
    <c:autoTitleDeleted val="0"/>
    <c:plotArea>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12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'2 PuntajeGlobal'!$K$27:$K$36</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'2 PuntajeGlobal'!$L$27:$L$36</c:f>
              <c:numCache>
                <c:formatCode>0.0000</c:formatCode>
                <c:ptCount val="10"/>
                <c:pt idx="0">
                  <c:v>0.67659999999999998</c:v>
                </c:pt>
                <c:pt idx="1">
                  <c:v>0.69920000000000004</c:v>
                </c:pt>
                <c:pt idx="2">
                  <c:v>0.70020000000000004</c:v>
                </c:pt>
                <c:pt idx="3">
                  <c:v>0.69620000000000004</c:v>
                </c:pt>
                <c:pt idx="4">
                  <c:v>0.67889999999999995</c:v>
                </c:pt>
                <c:pt idx="5">
                  <c:v>0.67900000000000005</c:v>
                </c:pt>
                <c:pt idx="6">
                  <c:v>0.69840000000000002</c:v>
                </c:pt>
                <c:pt idx="7">
                  <c:v>0.72409999999999997</c:v>
                </c:pt>
                <c:pt idx="8">
                  <c:v>0.72599999999999998</c:v>
                </c:pt>
                <c:pt idx="9">
                  <c:v>0.73080000000000001</c:v>
                </c:pt>
              </c:numCache>
            </c:numRef>
          </c:val>
          <c:extLst>
            <c:ext xmlns:c16="http://schemas.microsoft.com/office/drawing/2014/chart" uri="{C3380CC4-5D6E-409C-BE32-E72D297353CC}">
              <c16:uniqueId val="{00000000-B40D-4746-88DD-E17EAEF8F182}"/>
            </c:ext>
          </c:extLst>
        </c:ser>
        <c:dLbls>
          <c:showLegendKey val="0"/>
          <c:showVal val="1"/>
          <c:showCatName val="0"/>
          <c:showSerName val="0"/>
          <c:showPercent val="0"/>
          <c:showBubbleSize val="0"/>
        </c:dLbls>
        <c:gapWidth val="150"/>
        <c:overlap val="-25"/>
        <c:axId val="-2045503552"/>
        <c:axId val="-2045505728"/>
      </c:barChart>
      <c:catAx>
        <c:axId val="-20455035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crossAx val="-2045505728"/>
        <c:crosses val="autoZero"/>
        <c:auto val="1"/>
        <c:lblAlgn val="ctr"/>
        <c:lblOffset val="100"/>
        <c:noMultiLvlLbl val="0"/>
      </c:catAx>
      <c:valAx>
        <c:axId val="-2045505728"/>
        <c:scaling>
          <c:orientation val="minMax"/>
        </c:scaling>
        <c:delete val="1"/>
        <c:axPos val="l"/>
        <c:numFmt formatCode="0.0000" sourceLinked="1"/>
        <c:majorTickMark val="none"/>
        <c:minorTickMark val="none"/>
        <c:tickLblPos val="nextTo"/>
        <c:crossAx val="-204550355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ysClr val="windowText" lastClr="000000"/>
                </a:solidFill>
                <a:latin typeface="+mn-lt"/>
                <a:ea typeface="+mn-ea"/>
                <a:cs typeface="+mn-cs"/>
              </a:defRPr>
            </a:pPr>
            <a:r>
              <a:rPr lang="en-US" sz="1800" b="1">
                <a:solidFill>
                  <a:sysClr val="windowText" lastClr="000000"/>
                </a:solidFill>
                <a:latin typeface="Arial" panose="020B0604020202020204" pitchFamily="34" charset="0"/>
                <a:cs typeface="Arial" panose="020B0604020202020204" pitchFamily="34" charset="0"/>
              </a:rPr>
              <a:t>PUNTAJE GLOBAL</a:t>
            </a:r>
            <a:endParaRPr lang="es-CO" sz="1800" b="1">
              <a:solidFill>
                <a:sysClr val="windowText" lastClr="000000"/>
              </a:solidFill>
              <a:latin typeface="Arial" panose="020B0604020202020204" pitchFamily="34" charset="0"/>
              <a:cs typeface="Arial" panose="020B0604020202020204" pitchFamily="34" charset="0"/>
            </a:endParaRPr>
          </a:p>
        </c:rich>
      </c:tx>
      <c:overlay val="0"/>
      <c:spPr>
        <a:noFill/>
        <a:ln>
          <a:noFill/>
        </a:ln>
        <a:effectLst/>
      </c:spPr>
      <c:txPr>
        <a:bodyPr rot="0" spcFirstLastPara="1" vertOverflow="ellipsis" vert="horz" wrap="square" anchor="ctr" anchorCtr="1"/>
        <a:lstStyle/>
        <a:p>
          <a:pPr>
            <a:defRPr sz="1800" b="1" i="0" u="none" strike="noStrike" kern="1200" spc="0" baseline="0">
              <a:solidFill>
                <a:sysClr val="windowText" lastClr="000000"/>
              </a:solidFill>
              <a:latin typeface="+mn-lt"/>
              <a:ea typeface="+mn-ea"/>
              <a:cs typeface="+mn-cs"/>
            </a:defRPr>
          </a:pPr>
          <a:endParaRPr lang="es-CO"/>
        </a:p>
      </c:txPr>
    </c:title>
    <c:autoTitleDeleted val="0"/>
    <c:plotArea>
      <c:layout/>
      <c:lineChart>
        <c:grouping val="standard"/>
        <c:varyColors val="0"/>
        <c:ser>
          <c:idx val="0"/>
          <c:order val="0"/>
          <c:tx>
            <c:strRef>
              <c:f>'2 PuntajeGlobal'!$C$14</c:f>
              <c:strCache>
                <c:ptCount val="1"/>
                <c:pt idx="0">
                  <c:v>LICEO SATELITE</c:v>
                </c:pt>
              </c:strCache>
            </c:strRef>
          </c:tx>
          <c:spPr>
            <a:ln w="28575" cap="rnd">
              <a:solidFill>
                <a:schemeClr val="accent1"/>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 PuntajeGlobal'!$B$15:$B$24</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'2 PuntajeGlobal'!$C$15:$C$24</c:f>
              <c:numCache>
                <c:formatCode>0</c:formatCode>
                <c:ptCount val="10"/>
                <c:pt idx="0">
                  <c:v>256</c:v>
                </c:pt>
                <c:pt idx="1">
                  <c:v>262</c:v>
                </c:pt>
                <c:pt idx="2">
                  <c:v>256</c:v>
                </c:pt>
                <c:pt idx="3">
                  <c:v>253</c:v>
                </c:pt>
                <c:pt idx="4">
                  <c:v>244</c:v>
                </c:pt>
                <c:pt idx="5">
                  <c:v>253</c:v>
                </c:pt>
                <c:pt idx="6">
                  <c:v>272</c:v>
                </c:pt>
                <c:pt idx="7">
                  <c:v>276</c:v>
                </c:pt>
                <c:pt idx="8">
                  <c:v>260</c:v>
                </c:pt>
                <c:pt idx="9">
                  <c:v>276</c:v>
                </c:pt>
              </c:numCache>
            </c:numRef>
          </c:val>
          <c:smooth val="0"/>
          <c:extLst>
            <c:ext xmlns:c16="http://schemas.microsoft.com/office/drawing/2014/chart" uri="{C3380CC4-5D6E-409C-BE32-E72D297353CC}">
              <c16:uniqueId val="{00000000-B73B-4880-B21F-EE4FD7B6C452}"/>
            </c:ext>
          </c:extLst>
        </c:ser>
        <c:ser>
          <c:idx val="1"/>
          <c:order val="1"/>
          <c:tx>
            <c:strRef>
              <c:f>'2 PuntajeGlobal'!$D$14</c:f>
              <c:strCache>
                <c:ptCount val="1"/>
                <c:pt idx="0">
                  <c:v>COLEGIO BOLIVAR DE SOACHA</c:v>
                </c:pt>
              </c:strCache>
            </c:strRef>
          </c:tx>
          <c:spPr>
            <a:ln w="28575" cap="rnd">
              <a:solidFill>
                <a:schemeClr val="accent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dLblPos val="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'2 PuntajeGlobal'!$B$15:$B$24</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'2 PuntajeGlobal'!$D$15:$D$24</c:f>
              <c:numCache>
                <c:formatCode>0</c:formatCode>
                <c:ptCount val="10"/>
                <c:pt idx="0">
                  <c:v>299</c:v>
                </c:pt>
                <c:pt idx="1">
                  <c:v>293</c:v>
                </c:pt>
                <c:pt idx="2">
                  <c:v>292</c:v>
                </c:pt>
                <c:pt idx="3">
                  <c:v>292</c:v>
                </c:pt>
                <c:pt idx="4">
                  <c:v>298</c:v>
                </c:pt>
                <c:pt idx="5">
                  <c:v>288</c:v>
                </c:pt>
                <c:pt idx="6">
                  <c:v>296</c:v>
                </c:pt>
                <c:pt idx="7">
                  <c:v>295</c:v>
                </c:pt>
                <c:pt idx="8">
                  <c:v>301</c:v>
                </c:pt>
                <c:pt idx="9">
                  <c:v>295</c:v>
                </c:pt>
              </c:numCache>
            </c:numRef>
          </c:val>
          <c:smooth val="0"/>
          <c:extLst>
            <c:ext xmlns:c16="http://schemas.microsoft.com/office/drawing/2014/chart" uri="{C3380CC4-5D6E-409C-BE32-E72D297353CC}">
              <c16:uniqueId val="{00000001-D076-43B3-B34B-5E925A812424}"/>
            </c:ext>
          </c:extLst>
        </c:ser>
        <c:ser>
          <c:idx val="2"/>
          <c:order val="2"/>
          <c:tx>
            <c:strRef>
              <c:f>'2 PuntajeGlobal'!$E$14</c:f>
              <c:strCache>
                <c:ptCount val="1"/>
                <c:pt idx="0">
                  <c:v>PRIVADOS DE SOACHA</c:v>
                </c:pt>
              </c:strCache>
            </c:strRef>
          </c:tx>
          <c:spPr>
            <a:ln w="28575" cap="rnd">
              <a:solidFill>
                <a:schemeClr val="accent3"/>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dLblPos val="l"/>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'2 PuntajeGlobal'!$B$15:$B$24</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'2 PuntajeGlobal'!$E$15:$E$24</c:f>
              <c:numCache>
                <c:formatCode>0</c:formatCode>
                <c:ptCount val="10"/>
                <c:pt idx="0">
                  <c:v>272</c:v>
                </c:pt>
                <c:pt idx="1">
                  <c:v>270</c:v>
                </c:pt>
                <c:pt idx="2">
                  <c:v>269</c:v>
                </c:pt>
                <c:pt idx="3">
                  <c:v>266</c:v>
                </c:pt>
                <c:pt idx="4">
                  <c:v>265</c:v>
                </c:pt>
                <c:pt idx="5">
                  <c:v>266</c:v>
                </c:pt>
                <c:pt idx="6">
                  <c:v>272</c:v>
                </c:pt>
                <c:pt idx="7">
                  <c:v>273</c:v>
                </c:pt>
                <c:pt idx="8">
                  <c:v>276</c:v>
                </c:pt>
                <c:pt idx="9">
                  <c:v>277</c:v>
                </c:pt>
              </c:numCache>
            </c:numRef>
          </c:val>
          <c:smooth val="0"/>
          <c:extLst>
            <c:ext xmlns:c16="http://schemas.microsoft.com/office/drawing/2014/chart" uri="{C3380CC4-5D6E-409C-BE32-E72D297353CC}">
              <c16:uniqueId val="{00000002-D076-43B3-B34B-5E925A812424}"/>
            </c:ext>
          </c:extLst>
        </c:ser>
        <c:dLbls>
          <c:showLegendKey val="0"/>
          <c:showVal val="0"/>
          <c:showCatName val="0"/>
          <c:showSerName val="0"/>
          <c:showPercent val="0"/>
          <c:showBubbleSize val="0"/>
        </c:dLbls>
        <c:smooth val="0"/>
        <c:axId val="248937647"/>
        <c:axId val="248929743"/>
      </c:lineChart>
      <c:catAx>
        <c:axId val="24893764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crossAx val="248929743"/>
        <c:crosses val="autoZero"/>
        <c:auto val="1"/>
        <c:lblAlgn val="ctr"/>
        <c:lblOffset val="100"/>
        <c:noMultiLvlLbl val="0"/>
      </c:catAx>
      <c:valAx>
        <c:axId val="248929743"/>
        <c:scaling>
          <c:orientation val="minMax"/>
          <c:max val="315"/>
          <c:min val="190"/>
        </c:scaling>
        <c:delete val="1"/>
        <c:axPos val="l"/>
        <c:majorGridlines>
          <c:spPr>
            <a:ln w="9525" cap="flat" cmpd="sng" algn="ctr">
              <a:solidFill>
                <a:schemeClr val="bg1"/>
              </a:solidFill>
              <a:round/>
            </a:ln>
            <a:effectLst>
              <a:glow rad="127000">
                <a:schemeClr val="bg1"/>
              </a:glow>
              <a:outerShdw blurRad="50800" dist="50800" dir="5400000" algn="ctr" rotWithShape="0">
                <a:schemeClr val="bg1"/>
              </a:outerShdw>
              <a:softEdge rad="12700"/>
            </a:effectLst>
          </c:spPr>
        </c:majorGridlines>
        <c:numFmt formatCode="0" sourceLinked="1"/>
        <c:majorTickMark val="out"/>
        <c:minorTickMark val="none"/>
        <c:tickLblPos val="nextTo"/>
        <c:crossAx val="248937647"/>
        <c:crosses val="autoZero"/>
        <c:crossBetween val="between"/>
        <c:majorUnit val="4"/>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s-CO" sz="1600" b="1"/>
              <a:t>PROMEDIO ÁREA</a:t>
            </a:r>
          </a:p>
          <a:p>
            <a:pPr>
              <a:defRPr sz="1600" b="1"/>
            </a:pPr>
            <a:r>
              <a:rPr lang="es-CO" sz="1600" b="1"/>
              <a:t>Lectura Crítica</a:t>
            </a:r>
          </a:p>
        </c:rich>
      </c:tx>
      <c:layout>
        <c:manualLayout>
          <c:xMode val="edge"/>
          <c:yMode val="edge"/>
          <c:x val="0.3993045713191683"/>
          <c:y val="3.1125301342388355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CO"/>
        </a:p>
      </c:txPr>
    </c:title>
    <c:autoTitleDeleted val="0"/>
    <c:plotArea>
      <c:layout>
        <c:manualLayout>
          <c:layoutTarget val="inner"/>
          <c:xMode val="edge"/>
          <c:yMode val="edge"/>
          <c:x val="0"/>
          <c:y val="0.23887507347289416"/>
          <c:w val="0.94843954896969507"/>
          <c:h val="0.57888579567107401"/>
        </c:manualLayout>
      </c:layout>
      <c:lineChart>
        <c:grouping val="standard"/>
        <c:varyColors val="0"/>
        <c:ser>
          <c:idx val="0"/>
          <c:order val="0"/>
          <c:tx>
            <c:strRef>
              <c:f>'3 Promediosyniveles'!$C$13</c:f>
              <c:strCache>
                <c:ptCount val="1"/>
                <c:pt idx="0">
                  <c:v>COLOMBIA</c:v>
                </c:pt>
              </c:strCache>
            </c:strRef>
          </c:tx>
          <c:spPr>
            <a:ln w="57150" cap="rnd">
              <a:solidFill>
                <a:schemeClr val="accent1"/>
              </a:solidFill>
              <a:round/>
            </a:ln>
            <a:effectLst/>
          </c:spPr>
          <c:marker>
            <c:symbol val="none"/>
          </c:marker>
          <c:dLbls>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dLblPos val="l"/>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 Promediosyniveles'!$B$14:$B$23</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'3 Promediosyniveles'!$C$14:$C$23</c:f>
              <c:numCache>
                <c:formatCode>0</c:formatCode>
                <c:ptCount val="10"/>
                <c:pt idx="0">
                  <c:v>54</c:v>
                </c:pt>
                <c:pt idx="1">
                  <c:v>54</c:v>
                </c:pt>
                <c:pt idx="2">
                  <c:v>54</c:v>
                </c:pt>
                <c:pt idx="3">
                  <c:v>53</c:v>
                </c:pt>
                <c:pt idx="4">
                  <c:v>53</c:v>
                </c:pt>
                <c:pt idx="5">
                  <c:v>53</c:v>
                </c:pt>
                <c:pt idx="6">
                  <c:v>54</c:v>
                </c:pt>
                <c:pt idx="7">
                  <c:v>54</c:v>
                </c:pt>
                <c:pt idx="8">
                  <c:v>54</c:v>
                </c:pt>
                <c:pt idx="9">
                  <c:v>55</c:v>
                </c:pt>
              </c:numCache>
            </c:numRef>
          </c:val>
          <c:smooth val="0"/>
          <c:extLst>
            <c:ext xmlns:c16="http://schemas.microsoft.com/office/drawing/2014/chart" uri="{C3380CC4-5D6E-409C-BE32-E72D297353CC}">
              <c16:uniqueId val="{00000000-1EB9-4DBB-8045-E59C47A66172}"/>
            </c:ext>
          </c:extLst>
        </c:ser>
        <c:ser>
          <c:idx val="1"/>
          <c:order val="1"/>
          <c:tx>
            <c:strRef>
              <c:f>'3 Promediosyniveles'!$D$13</c:f>
              <c:strCache>
                <c:ptCount val="1"/>
                <c:pt idx="0">
                  <c:v>SOACHA</c:v>
                </c:pt>
              </c:strCache>
            </c:strRef>
          </c:tx>
          <c:spPr>
            <a:ln w="57150" cap="rnd">
              <a:solidFill>
                <a:schemeClr val="accent2"/>
              </a:solidFill>
              <a:round/>
            </a:ln>
            <a:effectLst/>
          </c:spPr>
          <c:marker>
            <c:symbol val="none"/>
          </c:marker>
          <c:dLbls>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 Promediosyniveles'!$B$14:$B$23</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'3 Promediosyniveles'!$D$14:$D$23</c:f>
              <c:numCache>
                <c:formatCode>0</c:formatCode>
                <c:ptCount val="10"/>
                <c:pt idx="0">
                  <c:v>54</c:v>
                </c:pt>
                <c:pt idx="1">
                  <c:v>55</c:v>
                </c:pt>
                <c:pt idx="2">
                  <c:v>54</c:v>
                </c:pt>
                <c:pt idx="3">
                  <c:v>54</c:v>
                </c:pt>
                <c:pt idx="4">
                  <c:v>54</c:v>
                </c:pt>
                <c:pt idx="5">
                  <c:v>55</c:v>
                </c:pt>
                <c:pt idx="6">
                  <c:v>55</c:v>
                </c:pt>
                <c:pt idx="7">
                  <c:v>55</c:v>
                </c:pt>
                <c:pt idx="8">
                  <c:v>56</c:v>
                </c:pt>
                <c:pt idx="9">
                  <c:v>56</c:v>
                </c:pt>
              </c:numCache>
            </c:numRef>
          </c:val>
          <c:smooth val="0"/>
          <c:extLst>
            <c:ext xmlns:c16="http://schemas.microsoft.com/office/drawing/2014/chart" uri="{C3380CC4-5D6E-409C-BE32-E72D297353CC}">
              <c16:uniqueId val="{00000001-1EB9-4DBB-8045-E59C47A66172}"/>
            </c:ext>
          </c:extLst>
        </c:ser>
        <c:ser>
          <c:idx val="2"/>
          <c:order val="2"/>
          <c:tx>
            <c:strRef>
              <c:f>'3 Promediosyniveles'!$E$13</c:f>
              <c:strCache>
                <c:ptCount val="1"/>
              </c:strCache>
            </c:strRef>
          </c:tx>
          <c:spPr>
            <a:ln w="28575" cap="rnd">
              <a:solidFill>
                <a:schemeClr val="accent3"/>
              </a:solidFill>
              <a:round/>
            </a:ln>
            <a:effectLst/>
          </c:spPr>
          <c:marker>
            <c:symbol val="none"/>
          </c:marker>
          <c:dLbls>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 Promediosyniveles'!$B$14:$B$23</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'3 Promediosyniveles'!$E$14:$E$23</c:f>
              <c:numCache>
                <c:formatCode>0</c:formatCode>
                <c:ptCount val="10"/>
              </c:numCache>
            </c:numRef>
          </c:val>
          <c:smooth val="0"/>
          <c:extLst>
            <c:ext xmlns:c16="http://schemas.microsoft.com/office/drawing/2014/chart" uri="{C3380CC4-5D6E-409C-BE32-E72D297353CC}">
              <c16:uniqueId val="{00000002-1EB9-4DBB-8045-E59C47A66172}"/>
            </c:ext>
          </c:extLst>
        </c:ser>
        <c:ser>
          <c:idx val="3"/>
          <c:order val="3"/>
          <c:tx>
            <c:strRef>
              <c:f>'3 Promediosyniveles'!$F$13</c:f>
              <c:strCache>
                <c:ptCount val="1"/>
                <c:pt idx="0">
                  <c:v>LICEO TALENTOS</c:v>
                </c:pt>
              </c:strCache>
            </c:strRef>
          </c:tx>
          <c:spPr>
            <a:ln w="57150" cap="rnd">
              <a:solidFill>
                <a:schemeClr val="accent4"/>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 Promediosyniveles'!$B$14:$B$23</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'3 Promediosyniveles'!$F$14:$F$23</c:f>
              <c:numCache>
                <c:formatCode>0</c:formatCode>
                <c:ptCount val="10"/>
                <c:pt idx="0">
                  <c:v>0</c:v>
                </c:pt>
                <c:pt idx="1">
                  <c:v>0</c:v>
                </c:pt>
                <c:pt idx="2">
                  <c:v>0</c:v>
                </c:pt>
                <c:pt idx="3">
                  <c:v>0</c:v>
                </c:pt>
                <c:pt idx="4">
                  <c:v>0</c:v>
                </c:pt>
                <c:pt idx="5">
                  <c:v>0</c:v>
                </c:pt>
                <c:pt idx="6">
                  <c:v>0</c:v>
                </c:pt>
                <c:pt idx="7">
                  <c:v>0</c:v>
                </c:pt>
                <c:pt idx="8">
                  <c:v>58</c:v>
                </c:pt>
                <c:pt idx="9">
                  <c:v>54</c:v>
                </c:pt>
              </c:numCache>
            </c:numRef>
          </c:val>
          <c:smooth val="0"/>
          <c:extLst>
            <c:ext xmlns:c16="http://schemas.microsoft.com/office/drawing/2014/chart" uri="{C3380CC4-5D6E-409C-BE32-E72D297353CC}">
              <c16:uniqueId val="{00000007-7870-4C0F-BA48-2418B742C8D8}"/>
            </c:ext>
          </c:extLst>
        </c:ser>
        <c:dLbls>
          <c:showLegendKey val="0"/>
          <c:showVal val="1"/>
          <c:showCatName val="0"/>
          <c:showSerName val="0"/>
          <c:showPercent val="0"/>
          <c:showBubbleSize val="0"/>
        </c:dLbls>
        <c:smooth val="0"/>
        <c:axId val="-2045508992"/>
        <c:axId val="-2045508448"/>
      </c:lineChart>
      <c:catAx>
        <c:axId val="-20455089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crossAx val="-2045508448"/>
        <c:crosses val="autoZero"/>
        <c:auto val="1"/>
        <c:lblAlgn val="ctr"/>
        <c:lblOffset val="100"/>
        <c:noMultiLvlLbl val="0"/>
      </c:catAx>
      <c:valAx>
        <c:axId val="-2045508448"/>
        <c:scaling>
          <c:orientation val="minMax"/>
        </c:scaling>
        <c:delete val="1"/>
        <c:axPos val="l"/>
        <c:numFmt formatCode="0" sourceLinked="1"/>
        <c:majorTickMark val="none"/>
        <c:minorTickMark val="none"/>
        <c:tickLblPos val="nextTo"/>
        <c:crossAx val="-2045508992"/>
        <c:crosses val="autoZero"/>
        <c:crossBetween val="between"/>
      </c:valAx>
      <c:spPr>
        <a:noFill/>
        <a:ln>
          <a:noFill/>
        </a:ln>
        <a:effectLst/>
      </c:spPr>
    </c:plotArea>
    <c:legend>
      <c:legendPos val="b"/>
      <c:layout>
        <c:manualLayout>
          <c:xMode val="edge"/>
          <c:yMode val="edge"/>
          <c:x val="4.0123729018175007E-2"/>
          <c:y val="0.92367959759959806"/>
          <c:w val="0.61420824443123134"/>
          <c:h val="5.2334403400099469E-2"/>
        </c:manualLayout>
      </c:layout>
      <c:overlay val="0"/>
      <c:spPr>
        <a:noFill/>
        <a:ln w="76200">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s-CO" sz="1600" b="1"/>
              <a:t>PROMEDIO ÁREA</a:t>
            </a:r>
          </a:p>
          <a:p>
            <a:pPr>
              <a:defRPr sz="1600" b="1"/>
            </a:pPr>
            <a:r>
              <a:rPr lang="es-CO" sz="1600" b="1"/>
              <a:t>Matemáticas</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CO"/>
        </a:p>
      </c:txPr>
    </c:title>
    <c:autoTitleDeleted val="0"/>
    <c:plotArea>
      <c:layout>
        <c:manualLayout>
          <c:layoutTarget val="inner"/>
          <c:xMode val="edge"/>
          <c:yMode val="edge"/>
          <c:x val="0"/>
          <c:y val="2.4110715646857668E-3"/>
          <c:w val="0.96590270751296126"/>
          <c:h val="0.67046821775773191"/>
        </c:manualLayout>
      </c:layout>
      <c:lineChart>
        <c:grouping val="standard"/>
        <c:varyColors val="0"/>
        <c:ser>
          <c:idx val="0"/>
          <c:order val="0"/>
          <c:tx>
            <c:strRef>
              <c:f>'3 Promediosyniveles'!$C$75</c:f>
              <c:strCache>
                <c:ptCount val="1"/>
                <c:pt idx="0">
                  <c:v>COLOMBIA</c:v>
                </c:pt>
              </c:strCache>
            </c:strRef>
          </c:tx>
          <c:spPr>
            <a:ln w="57150" cap="rnd">
              <a:solidFill>
                <a:schemeClr val="accent1"/>
              </a:solidFill>
              <a:round/>
            </a:ln>
            <a:effectLst/>
          </c:spPr>
          <c:marker>
            <c:symbol val="none"/>
          </c:marker>
          <c:dLbls>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 Promediosyniveles'!$B$76:$B$85</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'3 Promediosyniveles'!$C$76:$C$85</c:f>
              <c:numCache>
                <c:formatCode>0</c:formatCode>
                <c:ptCount val="10"/>
                <c:pt idx="0">
                  <c:v>52</c:v>
                </c:pt>
                <c:pt idx="1">
                  <c:v>52</c:v>
                </c:pt>
                <c:pt idx="2">
                  <c:v>52</c:v>
                </c:pt>
                <c:pt idx="3">
                  <c:v>52</c:v>
                </c:pt>
                <c:pt idx="4">
                  <c:v>52</c:v>
                </c:pt>
                <c:pt idx="5">
                  <c:v>51</c:v>
                </c:pt>
                <c:pt idx="6">
                  <c:v>52</c:v>
                </c:pt>
                <c:pt idx="7">
                  <c:v>52</c:v>
                </c:pt>
                <c:pt idx="8">
                  <c:v>53</c:v>
                </c:pt>
                <c:pt idx="9">
                  <c:v>53</c:v>
                </c:pt>
              </c:numCache>
            </c:numRef>
          </c:val>
          <c:smooth val="0"/>
          <c:extLst>
            <c:ext xmlns:c16="http://schemas.microsoft.com/office/drawing/2014/chart" uri="{C3380CC4-5D6E-409C-BE32-E72D297353CC}">
              <c16:uniqueId val="{00000000-3E05-4733-A7DB-5B236E7F4F9D}"/>
            </c:ext>
          </c:extLst>
        </c:ser>
        <c:ser>
          <c:idx val="1"/>
          <c:order val="1"/>
          <c:tx>
            <c:strRef>
              <c:f>'3 Promediosyniveles'!$D$75</c:f>
              <c:strCache>
                <c:ptCount val="1"/>
                <c:pt idx="0">
                  <c:v>SOACHA</c:v>
                </c:pt>
              </c:strCache>
            </c:strRef>
          </c:tx>
          <c:spPr>
            <a:ln w="57150" cap="rnd">
              <a:solidFill>
                <a:schemeClr val="accent2"/>
              </a:solidFill>
              <a:round/>
            </a:ln>
            <a:effectLst/>
          </c:spPr>
          <c:marker>
            <c:symbol val="none"/>
          </c:marker>
          <c:dLbls>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 Promediosyniveles'!$B$76:$B$85</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'3 Promediosyniveles'!$D$76:$D$85</c:f>
              <c:numCache>
                <c:formatCode>0</c:formatCode>
                <c:ptCount val="10"/>
                <c:pt idx="0">
                  <c:v>52</c:v>
                </c:pt>
                <c:pt idx="1">
                  <c:v>52</c:v>
                </c:pt>
                <c:pt idx="2">
                  <c:v>52</c:v>
                </c:pt>
                <c:pt idx="3">
                  <c:v>53</c:v>
                </c:pt>
                <c:pt idx="4">
                  <c:v>53</c:v>
                </c:pt>
                <c:pt idx="5">
                  <c:v>52</c:v>
                </c:pt>
                <c:pt idx="6">
                  <c:v>53</c:v>
                </c:pt>
                <c:pt idx="7">
                  <c:v>53</c:v>
                </c:pt>
                <c:pt idx="8">
                  <c:v>54</c:v>
                </c:pt>
                <c:pt idx="9">
                  <c:v>54</c:v>
                </c:pt>
              </c:numCache>
            </c:numRef>
          </c:val>
          <c:smooth val="0"/>
          <c:extLst>
            <c:ext xmlns:c16="http://schemas.microsoft.com/office/drawing/2014/chart" uri="{C3380CC4-5D6E-409C-BE32-E72D297353CC}">
              <c16:uniqueId val="{00000001-3E05-4733-A7DB-5B236E7F4F9D}"/>
            </c:ext>
          </c:extLst>
        </c:ser>
        <c:ser>
          <c:idx val="2"/>
          <c:order val="2"/>
          <c:tx>
            <c:strRef>
              <c:f>'3 Promediosyniveles'!$E$75</c:f>
              <c:strCache>
                <c:ptCount val="1"/>
              </c:strCache>
            </c:strRef>
          </c:tx>
          <c:spPr>
            <a:ln w="57150" cap="rnd">
              <a:solidFill>
                <a:schemeClr val="accent3"/>
              </a:solidFill>
              <a:round/>
            </a:ln>
            <a:effectLst/>
          </c:spPr>
          <c:marker>
            <c:symbol val="none"/>
          </c:marker>
          <c:dLbls>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 Promediosyniveles'!$B$76:$B$85</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'3 Promediosyniveles'!$E$76:$E$85</c:f>
              <c:numCache>
                <c:formatCode>0</c:formatCode>
                <c:ptCount val="10"/>
              </c:numCache>
            </c:numRef>
          </c:val>
          <c:smooth val="0"/>
          <c:extLst>
            <c:ext xmlns:c16="http://schemas.microsoft.com/office/drawing/2014/chart" uri="{C3380CC4-5D6E-409C-BE32-E72D297353CC}">
              <c16:uniqueId val="{00000002-3E05-4733-A7DB-5B236E7F4F9D}"/>
            </c:ext>
          </c:extLst>
        </c:ser>
        <c:ser>
          <c:idx val="3"/>
          <c:order val="3"/>
          <c:tx>
            <c:strRef>
              <c:f>'3 Promediosyniveles'!$F$75</c:f>
              <c:strCache>
                <c:ptCount val="1"/>
                <c:pt idx="0">
                  <c:v>LICEO TALENTOS</c:v>
                </c:pt>
              </c:strCache>
            </c:strRef>
          </c:tx>
          <c:spPr>
            <a:ln w="57150" cap="rnd">
              <a:solidFill>
                <a:schemeClr val="accent4"/>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 Promediosyniveles'!$B$76:$B$85</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'3 Promediosyniveles'!$F$76:$F$85</c:f>
              <c:numCache>
                <c:formatCode>0</c:formatCode>
                <c:ptCount val="10"/>
                <c:pt idx="0">
                  <c:v>0</c:v>
                </c:pt>
                <c:pt idx="1">
                  <c:v>0</c:v>
                </c:pt>
                <c:pt idx="2">
                  <c:v>0</c:v>
                </c:pt>
                <c:pt idx="3">
                  <c:v>0</c:v>
                </c:pt>
                <c:pt idx="4">
                  <c:v>0</c:v>
                </c:pt>
                <c:pt idx="5">
                  <c:v>0</c:v>
                </c:pt>
                <c:pt idx="6">
                  <c:v>0</c:v>
                </c:pt>
                <c:pt idx="7">
                  <c:v>0</c:v>
                </c:pt>
                <c:pt idx="8">
                  <c:v>53</c:v>
                </c:pt>
                <c:pt idx="9">
                  <c:v>51</c:v>
                </c:pt>
              </c:numCache>
            </c:numRef>
          </c:val>
          <c:smooth val="0"/>
          <c:extLst>
            <c:ext xmlns:c16="http://schemas.microsoft.com/office/drawing/2014/chart" uri="{C3380CC4-5D6E-409C-BE32-E72D297353CC}">
              <c16:uniqueId val="{00000002-1532-4503-B722-94B2C790DE21}"/>
            </c:ext>
          </c:extLst>
        </c:ser>
        <c:dLbls>
          <c:showLegendKey val="0"/>
          <c:showVal val="1"/>
          <c:showCatName val="0"/>
          <c:showSerName val="0"/>
          <c:showPercent val="0"/>
          <c:showBubbleSize val="0"/>
        </c:dLbls>
        <c:smooth val="0"/>
        <c:axId val="-2045506816"/>
        <c:axId val="-2031623600"/>
      </c:lineChart>
      <c:catAx>
        <c:axId val="-20455068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crossAx val="-2031623600"/>
        <c:crosses val="autoZero"/>
        <c:auto val="1"/>
        <c:lblAlgn val="ctr"/>
        <c:lblOffset val="100"/>
        <c:noMultiLvlLbl val="0"/>
      </c:catAx>
      <c:valAx>
        <c:axId val="-2031623600"/>
        <c:scaling>
          <c:orientation val="minMax"/>
        </c:scaling>
        <c:delete val="1"/>
        <c:axPos val="l"/>
        <c:numFmt formatCode="0" sourceLinked="1"/>
        <c:majorTickMark val="none"/>
        <c:minorTickMark val="none"/>
        <c:tickLblPos val="nextTo"/>
        <c:crossAx val="-2045506816"/>
        <c:crosses val="autoZero"/>
        <c:crossBetween val="between"/>
      </c:valAx>
      <c:spPr>
        <a:noFill/>
        <a:ln>
          <a:noFill/>
        </a:ln>
        <a:effectLst/>
      </c:spPr>
    </c:plotArea>
    <c:legend>
      <c:legendPos val="b"/>
      <c:layout>
        <c:manualLayout>
          <c:xMode val="edge"/>
          <c:yMode val="edge"/>
          <c:x val="8.3327960707545515E-2"/>
          <c:y val="0.93916837429182387"/>
          <c:w val="0.61576122327514871"/>
          <c:h val="4.8069315459762396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s-CO" sz="1600" b="1"/>
              <a:t>PROMEDIO ÁREA</a:t>
            </a:r>
          </a:p>
          <a:p>
            <a:pPr>
              <a:defRPr sz="1600" b="1"/>
            </a:pPr>
            <a:r>
              <a:rPr lang="es-CO" sz="1600" b="1"/>
              <a:t>Sociales y Ciudadanas</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CO"/>
        </a:p>
      </c:txPr>
    </c:title>
    <c:autoTitleDeleted val="0"/>
    <c:plotArea>
      <c:layout>
        <c:manualLayout>
          <c:layoutTarget val="inner"/>
          <c:xMode val="edge"/>
          <c:yMode val="edge"/>
          <c:x val="1.6668358956510618E-2"/>
          <c:y val="0.1690448063879702"/>
          <c:w val="0.97423980888539274"/>
          <c:h val="0.60480105435066112"/>
        </c:manualLayout>
      </c:layout>
      <c:lineChart>
        <c:grouping val="standard"/>
        <c:varyColors val="0"/>
        <c:ser>
          <c:idx val="0"/>
          <c:order val="0"/>
          <c:tx>
            <c:strRef>
              <c:f>'3 Promediosyniveles'!$C$155</c:f>
              <c:strCache>
                <c:ptCount val="1"/>
                <c:pt idx="0">
                  <c:v>COLOMBIA</c:v>
                </c:pt>
              </c:strCache>
            </c:strRef>
          </c:tx>
          <c:spPr>
            <a:ln w="57150" cap="rnd">
              <a:solidFill>
                <a:schemeClr val="accent1"/>
              </a:solidFill>
              <a:round/>
            </a:ln>
            <a:effectLst/>
          </c:spPr>
          <c:marker>
            <c:symbol val="none"/>
          </c:marker>
          <c:dLbls>
            <c:spPr>
              <a:noFill/>
              <a:ln w="57150">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 Promediosyniveles'!$B$156:$B$165</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'3 Promediosyniveles'!$C$156:$C$165</c:f>
              <c:numCache>
                <c:formatCode>0</c:formatCode>
                <c:ptCount val="10"/>
                <c:pt idx="0">
                  <c:v>52</c:v>
                </c:pt>
                <c:pt idx="1">
                  <c:v>51</c:v>
                </c:pt>
                <c:pt idx="2">
                  <c:v>49</c:v>
                </c:pt>
                <c:pt idx="3">
                  <c:v>48</c:v>
                </c:pt>
                <c:pt idx="4">
                  <c:v>49</c:v>
                </c:pt>
                <c:pt idx="5">
                  <c:v>48</c:v>
                </c:pt>
                <c:pt idx="6">
                  <c:v>48</c:v>
                </c:pt>
                <c:pt idx="7">
                  <c:v>49</c:v>
                </c:pt>
                <c:pt idx="8">
                  <c:v>49</c:v>
                </c:pt>
                <c:pt idx="9">
                  <c:v>49</c:v>
                </c:pt>
              </c:numCache>
            </c:numRef>
          </c:val>
          <c:smooth val="0"/>
          <c:extLst>
            <c:ext xmlns:c16="http://schemas.microsoft.com/office/drawing/2014/chart" uri="{C3380CC4-5D6E-409C-BE32-E72D297353CC}">
              <c16:uniqueId val="{00000000-D9C2-4282-984C-811A90F945E5}"/>
            </c:ext>
          </c:extLst>
        </c:ser>
        <c:ser>
          <c:idx val="1"/>
          <c:order val="1"/>
          <c:tx>
            <c:strRef>
              <c:f>'3 Promediosyniveles'!$D$155</c:f>
              <c:strCache>
                <c:ptCount val="1"/>
                <c:pt idx="0">
                  <c:v>SOACHA</c:v>
                </c:pt>
              </c:strCache>
            </c:strRef>
          </c:tx>
          <c:spPr>
            <a:ln w="57150" cap="rnd">
              <a:solidFill>
                <a:schemeClr val="accent2"/>
              </a:solidFill>
              <a:round/>
            </a:ln>
            <a:effectLst/>
          </c:spPr>
          <c:marker>
            <c:symbol val="none"/>
          </c:marker>
          <c:dLbls>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 Promediosyniveles'!$B$156:$B$165</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'3 Promediosyniveles'!$D$156:$D$165</c:f>
              <c:numCache>
                <c:formatCode>0</c:formatCode>
                <c:ptCount val="10"/>
                <c:pt idx="0">
                  <c:v>52</c:v>
                </c:pt>
                <c:pt idx="1">
                  <c:v>52</c:v>
                </c:pt>
                <c:pt idx="2">
                  <c:v>50</c:v>
                </c:pt>
                <c:pt idx="3">
                  <c:v>48</c:v>
                </c:pt>
                <c:pt idx="4">
                  <c:v>50</c:v>
                </c:pt>
                <c:pt idx="5">
                  <c:v>49</c:v>
                </c:pt>
                <c:pt idx="6">
                  <c:v>50</c:v>
                </c:pt>
                <c:pt idx="7">
                  <c:v>50</c:v>
                </c:pt>
                <c:pt idx="8">
                  <c:v>50</c:v>
                </c:pt>
                <c:pt idx="9">
                  <c:v>50</c:v>
                </c:pt>
              </c:numCache>
            </c:numRef>
          </c:val>
          <c:smooth val="0"/>
          <c:extLst>
            <c:ext xmlns:c16="http://schemas.microsoft.com/office/drawing/2014/chart" uri="{C3380CC4-5D6E-409C-BE32-E72D297353CC}">
              <c16:uniqueId val="{00000001-D9C2-4282-984C-811A90F945E5}"/>
            </c:ext>
          </c:extLst>
        </c:ser>
        <c:ser>
          <c:idx val="2"/>
          <c:order val="2"/>
          <c:tx>
            <c:strRef>
              <c:f>'3 Promediosyniveles'!$E$155</c:f>
              <c:strCache>
                <c:ptCount val="1"/>
              </c:strCache>
            </c:strRef>
          </c:tx>
          <c:spPr>
            <a:ln w="57150" cap="rnd">
              <a:solidFill>
                <a:schemeClr val="accent3"/>
              </a:solidFill>
              <a:round/>
            </a:ln>
            <a:effectLst/>
          </c:spPr>
          <c:marker>
            <c:symbol val="none"/>
          </c:marker>
          <c:dLbls>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 Promediosyniveles'!$B$156:$B$165</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'3 Promediosyniveles'!$E$156:$E$165</c:f>
              <c:numCache>
                <c:formatCode>0</c:formatCode>
                <c:ptCount val="10"/>
              </c:numCache>
            </c:numRef>
          </c:val>
          <c:smooth val="0"/>
          <c:extLst>
            <c:ext xmlns:c16="http://schemas.microsoft.com/office/drawing/2014/chart" uri="{C3380CC4-5D6E-409C-BE32-E72D297353CC}">
              <c16:uniqueId val="{00000002-D9C2-4282-984C-811A90F945E5}"/>
            </c:ext>
          </c:extLst>
        </c:ser>
        <c:ser>
          <c:idx val="3"/>
          <c:order val="3"/>
          <c:tx>
            <c:strRef>
              <c:f>'3 Promediosyniveles'!$F$155</c:f>
              <c:strCache>
                <c:ptCount val="1"/>
                <c:pt idx="0">
                  <c:v>LICEO TALENTOS</c:v>
                </c:pt>
              </c:strCache>
            </c:strRef>
          </c:tx>
          <c:spPr>
            <a:ln w="57150" cap="rnd">
              <a:solidFill>
                <a:schemeClr val="accent4"/>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 Promediosyniveles'!$B$156:$B$165</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'3 Promediosyniveles'!$F$156:$F$165</c:f>
              <c:numCache>
                <c:formatCode>0</c:formatCode>
                <c:ptCount val="10"/>
                <c:pt idx="0">
                  <c:v>0</c:v>
                </c:pt>
                <c:pt idx="1">
                  <c:v>0</c:v>
                </c:pt>
                <c:pt idx="2">
                  <c:v>0</c:v>
                </c:pt>
                <c:pt idx="3">
                  <c:v>0</c:v>
                </c:pt>
                <c:pt idx="4">
                  <c:v>0</c:v>
                </c:pt>
                <c:pt idx="5">
                  <c:v>0</c:v>
                </c:pt>
                <c:pt idx="6">
                  <c:v>0</c:v>
                </c:pt>
                <c:pt idx="7">
                  <c:v>0</c:v>
                </c:pt>
                <c:pt idx="8">
                  <c:v>55</c:v>
                </c:pt>
                <c:pt idx="9">
                  <c:v>48</c:v>
                </c:pt>
              </c:numCache>
            </c:numRef>
          </c:val>
          <c:smooth val="0"/>
          <c:extLst>
            <c:ext xmlns:c16="http://schemas.microsoft.com/office/drawing/2014/chart" uri="{C3380CC4-5D6E-409C-BE32-E72D297353CC}">
              <c16:uniqueId val="{00000000-B412-4646-997A-A822D1D47CE6}"/>
            </c:ext>
          </c:extLst>
        </c:ser>
        <c:dLbls>
          <c:showLegendKey val="0"/>
          <c:showVal val="1"/>
          <c:showCatName val="0"/>
          <c:showSerName val="0"/>
          <c:showPercent val="0"/>
          <c:showBubbleSize val="0"/>
        </c:dLbls>
        <c:smooth val="0"/>
        <c:axId val="-2031619792"/>
        <c:axId val="-2031620880"/>
      </c:lineChart>
      <c:catAx>
        <c:axId val="-20316197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crossAx val="-2031620880"/>
        <c:crosses val="autoZero"/>
        <c:auto val="1"/>
        <c:lblAlgn val="ctr"/>
        <c:lblOffset val="100"/>
        <c:noMultiLvlLbl val="0"/>
      </c:catAx>
      <c:valAx>
        <c:axId val="-2031620880"/>
        <c:scaling>
          <c:orientation val="minMax"/>
        </c:scaling>
        <c:delete val="1"/>
        <c:axPos val="l"/>
        <c:numFmt formatCode="0" sourceLinked="1"/>
        <c:majorTickMark val="none"/>
        <c:minorTickMark val="none"/>
        <c:tickLblPos val="nextTo"/>
        <c:crossAx val="-2031619792"/>
        <c:crosses val="autoZero"/>
        <c:crossBetween val="between"/>
      </c:valAx>
      <c:spPr>
        <a:noFill/>
        <a:ln>
          <a:noFill/>
        </a:ln>
        <a:effectLst/>
      </c:spPr>
    </c:plotArea>
    <c:legend>
      <c:legendPos val="b"/>
      <c:layout>
        <c:manualLayout>
          <c:xMode val="edge"/>
          <c:yMode val="edge"/>
          <c:x val="3.7882633992069585E-2"/>
          <c:y val="0.89167128124742956"/>
          <c:w val="0.6170532082383825"/>
          <c:h val="4.5969616239409927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s-CO" sz="1400" b="1"/>
              <a:t>PROMEDIO ÁREA </a:t>
            </a:r>
          </a:p>
          <a:p>
            <a:pPr>
              <a:defRPr b="1"/>
            </a:pPr>
            <a:r>
              <a:rPr lang="es-CO" sz="1400" b="1"/>
              <a:t>Ciencias Naturales</a:t>
            </a:r>
          </a:p>
        </c:rich>
      </c:tx>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CO"/>
        </a:p>
      </c:txPr>
    </c:title>
    <c:autoTitleDeleted val="0"/>
    <c:plotArea>
      <c:layout/>
      <c:lineChart>
        <c:grouping val="standard"/>
        <c:varyColors val="0"/>
        <c:ser>
          <c:idx val="0"/>
          <c:order val="0"/>
          <c:tx>
            <c:strRef>
              <c:f>'3 Promediosyniveles'!$C$221</c:f>
              <c:strCache>
                <c:ptCount val="1"/>
                <c:pt idx="0">
                  <c:v>COLOMBIA</c:v>
                </c:pt>
              </c:strCache>
            </c:strRef>
          </c:tx>
          <c:spPr>
            <a:ln w="57150" cap="rnd">
              <a:solidFill>
                <a:schemeClr val="accent1"/>
              </a:solidFill>
              <a:round/>
            </a:ln>
            <a:effectLst/>
          </c:spPr>
          <c:marker>
            <c:symbol val="none"/>
          </c:marker>
          <c:dLbls>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 Promediosyniveles'!$B$222:$B$231</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'3 Promediosyniveles'!$C$222:$C$231</c:f>
              <c:numCache>
                <c:formatCode>0</c:formatCode>
                <c:ptCount val="10"/>
                <c:pt idx="0">
                  <c:v>54</c:v>
                </c:pt>
                <c:pt idx="1">
                  <c:v>52</c:v>
                </c:pt>
                <c:pt idx="2">
                  <c:v>51</c:v>
                </c:pt>
                <c:pt idx="3">
                  <c:v>50</c:v>
                </c:pt>
                <c:pt idx="4">
                  <c:v>49</c:v>
                </c:pt>
                <c:pt idx="5">
                  <c:v>49</c:v>
                </c:pt>
                <c:pt idx="6">
                  <c:v>50</c:v>
                </c:pt>
                <c:pt idx="7">
                  <c:v>50</c:v>
                </c:pt>
                <c:pt idx="8">
                  <c:v>51</c:v>
                </c:pt>
                <c:pt idx="9">
                  <c:v>51</c:v>
                </c:pt>
              </c:numCache>
            </c:numRef>
          </c:val>
          <c:smooth val="0"/>
          <c:extLst>
            <c:ext xmlns:c16="http://schemas.microsoft.com/office/drawing/2014/chart" uri="{C3380CC4-5D6E-409C-BE32-E72D297353CC}">
              <c16:uniqueId val="{00000000-8417-40E4-A9E7-5964F3F51244}"/>
            </c:ext>
          </c:extLst>
        </c:ser>
        <c:ser>
          <c:idx val="1"/>
          <c:order val="1"/>
          <c:tx>
            <c:strRef>
              <c:f>'3 Promediosyniveles'!$D$221</c:f>
              <c:strCache>
                <c:ptCount val="1"/>
                <c:pt idx="0">
                  <c:v>SOACHA</c:v>
                </c:pt>
              </c:strCache>
            </c:strRef>
          </c:tx>
          <c:spPr>
            <a:ln w="57150" cap="rnd">
              <a:solidFill>
                <a:schemeClr val="accent2"/>
              </a:solidFill>
              <a:round/>
            </a:ln>
            <a:effectLst/>
          </c:spPr>
          <c:marker>
            <c:symbol val="none"/>
          </c:marker>
          <c:dLbls>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 Promediosyniveles'!$B$222:$B$231</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'3 Promediosyniveles'!$D$222:$D$231</c:f>
              <c:numCache>
                <c:formatCode>0</c:formatCode>
                <c:ptCount val="10"/>
                <c:pt idx="0">
                  <c:v>54</c:v>
                </c:pt>
                <c:pt idx="1">
                  <c:v>53</c:v>
                </c:pt>
                <c:pt idx="2">
                  <c:v>51</c:v>
                </c:pt>
                <c:pt idx="3">
                  <c:v>50</c:v>
                </c:pt>
                <c:pt idx="4">
                  <c:v>50</c:v>
                </c:pt>
                <c:pt idx="5">
                  <c:v>50</c:v>
                </c:pt>
                <c:pt idx="6">
                  <c:v>51</c:v>
                </c:pt>
                <c:pt idx="7">
                  <c:v>51</c:v>
                </c:pt>
                <c:pt idx="8">
                  <c:v>52</c:v>
                </c:pt>
                <c:pt idx="9">
                  <c:v>53</c:v>
                </c:pt>
              </c:numCache>
            </c:numRef>
          </c:val>
          <c:smooth val="0"/>
          <c:extLst>
            <c:ext xmlns:c16="http://schemas.microsoft.com/office/drawing/2014/chart" uri="{C3380CC4-5D6E-409C-BE32-E72D297353CC}">
              <c16:uniqueId val="{00000001-8417-40E4-A9E7-5964F3F51244}"/>
            </c:ext>
          </c:extLst>
        </c:ser>
        <c:ser>
          <c:idx val="2"/>
          <c:order val="2"/>
          <c:tx>
            <c:strRef>
              <c:f>'3 Promediosyniveles'!$E$221</c:f>
              <c:strCache>
                <c:ptCount val="1"/>
              </c:strCache>
            </c:strRef>
          </c:tx>
          <c:spPr>
            <a:ln w="28575" cap="rnd">
              <a:solidFill>
                <a:schemeClr val="accent3"/>
              </a:solidFill>
              <a:round/>
            </a:ln>
            <a:effectLst/>
          </c:spPr>
          <c:marker>
            <c:symbol val="none"/>
          </c:marker>
          <c:dLbls>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 Promediosyniveles'!$B$222:$B$231</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'3 Promediosyniveles'!$E$222:$E$231</c:f>
              <c:numCache>
                <c:formatCode>0</c:formatCode>
                <c:ptCount val="10"/>
              </c:numCache>
            </c:numRef>
          </c:val>
          <c:smooth val="0"/>
          <c:extLst>
            <c:ext xmlns:c16="http://schemas.microsoft.com/office/drawing/2014/chart" uri="{C3380CC4-5D6E-409C-BE32-E72D297353CC}">
              <c16:uniqueId val="{00000002-8417-40E4-A9E7-5964F3F51244}"/>
            </c:ext>
          </c:extLst>
        </c:ser>
        <c:ser>
          <c:idx val="3"/>
          <c:order val="3"/>
          <c:tx>
            <c:strRef>
              <c:f>'3 Promediosyniveles'!$F$221</c:f>
              <c:strCache>
                <c:ptCount val="1"/>
                <c:pt idx="0">
                  <c:v>LICEO TALENTOS</c:v>
                </c:pt>
              </c:strCache>
            </c:strRef>
          </c:tx>
          <c:spPr>
            <a:ln w="57150" cap="rnd">
              <a:solidFill>
                <a:schemeClr val="accent4"/>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 Promediosyniveles'!$B$222:$B$231</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'3 Promediosyniveles'!$F$222:$F$231</c:f>
              <c:numCache>
                <c:formatCode>0</c:formatCode>
                <c:ptCount val="10"/>
                <c:pt idx="0">
                  <c:v>0</c:v>
                </c:pt>
                <c:pt idx="1">
                  <c:v>0</c:v>
                </c:pt>
                <c:pt idx="2">
                  <c:v>0</c:v>
                </c:pt>
                <c:pt idx="3">
                  <c:v>0</c:v>
                </c:pt>
                <c:pt idx="4">
                  <c:v>0</c:v>
                </c:pt>
                <c:pt idx="5">
                  <c:v>0</c:v>
                </c:pt>
                <c:pt idx="6">
                  <c:v>0</c:v>
                </c:pt>
                <c:pt idx="7">
                  <c:v>0</c:v>
                </c:pt>
                <c:pt idx="8">
                  <c:v>52</c:v>
                </c:pt>
                <c:pt idx="9">
                  <c:v>51</c:v>
                </c:pt>
              </c:numCache>
            </c:numRef>
          </c:val>
          <c:smooth val="0"/>
          <c:extLst>
            <c:ext xmlns:c16="http://schemas.microsoft.com/office/drawing/2014/chart" uri="{C3380CC4-5D6E-409C-BE32-E72D297353CC}">
              <c16:uniqueId val="{00000000-6306-4289-B55A-9C60AC3095EC}"/>
            </c:ext>
          </c:extLst>
        </c:ser>
        <c:dLbls>
          <c:showLegendKey val="0"/>
          <c:showVal val="1"/>
          <c:showCatName val="0"/>
          <c:showSerName val="0"/>
          <c:showPercent val="0"/>
          <c:showBubbleSize val="0"/>
        </c:dLbls>
        <c:smooth val="0"/>
        <c:axId val="-2031617072"/>
        <c:axId val="-2031612176"/>
      </c:lineChart>
      <c:catAx>
        <c:axId val="-20316170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crossAx val="-2031612176"/>
        <c:crosses val="autoZero"/>
        <c:auto val="1"/>
        <c:lblAlgn val="ctr"/>
        <c:lblOffset val="100"/>
        <c:noMultiLvlLbl val="0"/>
      </c:catAx>
      <c:valAx>
        <c:axId val="-2031612176"/>
        <c:scaling>
          <c:orientation val="minMax"/>
        </c:scaling>
        <c:delete val="1"/>
        <c:axPos val="l"/>
        <c:numFmt formatCode="0" sourceLinked="1"/>
        <c:majorTickMark val="none"/>
        <c:minorTickMark val="none"/>
        <c:tickLblPos val="nextTo"/>
        <c:crossAx val="-2031617072"/>
        <c:crosses val="autoZero"/>
        <c:crossBetween val="between"/>
      </c:valAx>
      <c:spPr>
        <a:noFill/>
        <a:ln>
          <a:noFill/>
        </a:ln>
        <a:effectLst/>
      </c:spPr>
    </c:plotArea>
    <c:legend>
      <c:legendPos val="b"/>
      <c:layout>
        <c:manualLayout>
          <c:xMode val="edge"/>
          <c:yMode val="edge"/>
          <c:x val="4.454397540291162E-2"/>
          <c:y val="0.93718189792682427"/>
          <c:w val="0.62372397704308302"/>
          <c:h val="4.8118188508495079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s-CO" b="1"/>
              <a:t>PROMEDIO ÁREA </a:t>
            </a:r>
          </a:p>
          <a:p>
            <a:pPr>
              <a:defRPr b="1"/>
            </a:pPr>
            <a:r>
              <a:rPr lang="es-CO" b="1"/>
              <a:t>Inglés</a:t>
            </a:r>
          </a:p>
        </c:rich>
      </c:tx>
      <c:layout>
        <c:manualLayout>
          <c:xMode val="edge"/>
          <c:yMode val="edge"/>
          <c:x val="0.3708097814047549"/>
          <c:y val="5.05314639775893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CO"/>
        </a:p>
      </c:txPr>
    </c:title>
    <c:autoTitleDeleted val="0"/>
    <c:plotArea>
      <c:layout>
        <c:manualLayout>
          <c:layoutTarget val="inner"/>
          <c:xMode val="edge"/>
          <c:yMode val="edge"/>
          <c:x val="4.6547878978438005E-2"/>
          <c:y val="0.26295274014942516"/>
          <c:w val="0.93879373253622156"/>
          <c:h val="0.54126396948242828"/>
        </c:manualLayout>
      </c:layout>
      <c:lineChart>
        <c:grouping val="standard"/>
        <c:varyColors val="0"/>
        <c:ser>
          <c:idx val="0"/>
          <c:order val="0"/>
          <c:tx>
            <c:strRef>
              <c:f>'3 Promediosyniveles'!$C$283</c:f>
              <c:strCache>
                <c:ptCount val="1"/>
                <c:pt idx="0">
                  <c:v>COLOMBIA</c:v>
                </c:pt>
              </c:strCache>
            </c:strRef>
          </c:tx>
          <c:spPr>
            <a:ln w="57150" cap="rnd">
              <a:solidFill>
                <a:schemeClr val="accent1"/>
              </a:solidFill>
              <a:round/>
            </a:ln>
            <a:effectLst/>
          </c:spPr>
          <c:marker>
            <c:symbol val="none"/>
          </c:marker>
          <c:dLbls>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 Promediosyniveles'!$B$284:$B$293</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'3 Promediosyniveles'!$C$284:$C$293</c:f>
              <c:numCache>
                <c:formatCode>0</c:formatCode>
                <c:ptCount val="10"/>
                <c:pt idx="0">
                  <c:v>53</c:v>
                </c:pt>
                <c:pt idx="1">
                  <c:v>51</c:v>
                </c:pt>
                <c:pt idx="2">
                  <c:v>52</c:v>
                </c:pt>
                <c:pt idx="3">
                  <c:v>50</c:v>
                </c:pt>
                <c:pt idx="4">
                  <c:v>48</c:v>
                </c:pt>
                <c:pt idx="5">
                  <c:v>50</c:v>
                </c:pt>
                <c:pt idx="6">
                  <c:v>51</c:v>
                </c:pt>
                <c:pt idx="7">
                  <c:v>52</c:v>
                </c:pt>
                <c:pt idx="8">
                  <c:v>52</c:v>
                </c:pt>
                <c:pt idx="9">
                  <c:v>53</c:v>
                </c:pt>
              </c:numCache>
            </c:numRef>
          </c:val>
          <c:smooth val="0"/>
          <c:extLst>
            <c:ext xmlns:c16="http://schemas.microsoft.com/office/drawing/2014/chart" uri="{C3380CC4-5D6E-409C-BE32-E72D297353CC}">
              <c16:uniqueId val="{00000000-DE34-47D1-84F6-70922D336F07}"/>
            </c:ext>
          </c:extLst>
        </c:ser>
        <c:ser>
          <c:idx val="1"/>
          <c:order val="1"/>
          <c:tx>
            <c:strRef>
              <c:f>'3 Promediosyniveles'!$D$283</c:f>
              <c:strCache>
                <c:ptCount val="1"/>
                <c:pt idx="0">
                  <c:v>SOACHA</c:v>
                </c:pt>
              </c:strCache>
            </c:strRef>
          </c:tx>
          <c:spPr>
            <a:ln w="57150" cap="rnd">
              <a:solidFill>
                <a:schemeClr val="accent2"/>
              </a:solidFill>
              <a:round/>
            </a:ln>
            <a:effectLst/>
          </c:spPr>
          <c:marker>
            <c:symbol val="none"/>
          </c:marker>
          <c:dLbls>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 Promediosyniveles'!$B$284:$B$293</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'3 Promediosyniveles'!$D$284:$D$293</c:f>
              <c:numCache>
                <c:formatCode>0</c:formatCode>
                <c:ptCount val="10"/>
                <c:pt idx="0">
                  <c:v>54</c:v>
                </c:pt>
                <c:pt idx="1">
                  <c:v>51</c:v>
                </c:pt>
                <c:pt idx="2">
                  <c:v>52</c:v>
                </c:pt>
                <c:pt idx="3">
                  <c:v>51</c:v>
                </c:pt>
                <c:pt idx="4">
                  <c:v>48</c:v>
                </c:pt>
                <c:pt idx="5">
                  <c:v>52</c:v>
                </c:pt>
                <c:pt idx="6">
                  <c:v>53</c:v>
                </c:pt>
                <c:pt idx="7">
                  <c:v>53</c:v>
                </c:pt>
                <c:pt idx="8">
                  <c:v>54</c:v>
                </c:pt>
                <c:pt idx="9">
                  <c:v>55</c:v>
                </c:pt>
              </c:numCache>
            </c:numRef>
          </c:val>
          <c:smooth val="0"/>
          <c:extLst xmlns:c15="http://schemas.microsoft.com/office/drawing/2012/chart">
            <c:ext xmlns:c16="http://schemas.microsoft.com/office/drawing/2014/chart" uri="{C3380CC4-5D6E-409C-BE32-E72D297353CC}">
              <c16:uniqueId val="{00000001-DE34-47D1-84F6-70922D336F07}"/>
            </c:ext>
          </c:extLst>
        </c:ser>
        <c:ser>
          <c:idx val="2"/>
          <c:order val="2"/>
          <c:tx>
            <c:strRef>
              <c:f>'3 Promediosyniveles'!$E$283</c:f>
              <c:strCache>
                <c:ptCount val="1"/>
              </c:strCache>
            </c:strRef>
          </c:tx>
          <c:spPr>
            <a:ln w="28575" cap="rnd">
              <a:solidFill>
                <a:schemeClr val="accent3"/>
              </a:solidFill>
              <a:round/>
            </a:ln>
            <a:effectLst/>
          </c:spPr>
          <c:marker>
            <c:symbol val="none"/>
          </c:marker>
          <c:dLbls>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 Promediosyniveles'!$B$284:$B$293</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'3 Promediosyniveles'!$E$284:$E$293</c:f>
              <c:numCache>
                <c:formatCode>0</c:formatCode>
                <c:ptCount val="10"/>
              </c:numCache>
            </c:numRef>
          </c:val>
          <c:smooth val="0"/>
          <c:extLst xmlns:c15="http://schemas.microsoft.com/office/drawing/2012/chart">
            <c:ext xmlns:c16="http://schemas.microsoft.com/office/drawing/2014/chart" uri="{C3380CC4-5D6E-409C-BE32-E72D297353CC}">
              <c16:uniqueId val="{00000002-DE34-47D1-84F6-70922D336F07}"/>
            </c:ext>
          </c:extLst>
        </c:ser>
        <c:ser>
          <c:idx val="3"/>
          <c:order val="3"/>
          <c:tx>
            <c:strRef>
              <c:f>'3 Promediosyniveles'!$F$283</c:f>
              <c:strCache>
                <c:ptCount val="1"/>
                <c:pt idx="0">
                  <c:v>LICEO TALENTOS</c:v>
                </c:pt>
              </c:strCache>
            </c:strRef>
          </c:tx>
          <c:spPr>
            <a:ln w="57150" cap="rnd">
              <a:solidFill>
                <a:schemeClr val="accent4"/>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 Promediosyniveles'!$B$284:$B$293</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'3 Promediosyniveles'!$F$284:$F$293</c:f>
              <c:numCache>
                <c:formatCode>0</c:formatCode>
                <c:ptCount val="10"/>
                <c:pt idx="0">
                  <c:v>0</c:v>
                </c:pt>
                <c:pt idx="1">
                  <c:v>0</c:v>
                </c:pt>
                <c:pt idx="2">
                  <c:v>0</c:v>
                </c:pt>
                <c:pt idx="3">
                  <c:v>0</c:v>
                </c:pt>
                <c:pt idx="4">
                  <c:v>0</c:v>
                </c:pt>
                <c:pt idx="5">
                  <c:v>0</c:v>
                </c:pt>
                <c:pt idx="6">
                  <c:v>0</c:v>
                </c:pt>
                <c:pt idx="7">
                  <c:v>0</c:v>
                </c:pt>
                <c:pt idx="8">
                  <c:v>56</c:v>
                </c:pt>
                <c:pt idx="9">
                  <c:v>51</c:v>
                </c:pt>
              </c:numCache>
            </c:numRef>
          </c:val>
          <c:smooth val="0"/>
          <c:extLst>
            <c:ext xmlns:c16="http://schemas.microsoft.com/office/drawing/2014/chart" uri="{C3380CC4-5D6E-409C-BE32-E72D297353CC}">
              <c16:uniqueId val="{00000000-8686-4A40-81C2-9C0C481ACCF1}"/>
            </c:ext>
          </c:extLst>
        </c:ser>
        <c:dLbls>
          <c:showLegendKey val="0"/>
          <c:showVal val="1"/>
          <c:showCatName val="0"/>
          <c:showSerName val="0"/>
          <c:showPercent val="0"/>
          <c:showBubbleSize val="0"/>
        </c:dLbls>
        <c:smooth val="0"/>
        <c:axId val="-2031621968"/>
        <c:axId val="-2031618704"/>
      </c:lineChart>
      <c:catAx>
        <c:axId val="-20316219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crossAx val="-2031618704"/>
        <c:crosses val="autoZero"/>
        <c:auto val="0"/>
        <c:lblAlgn val="ctr"/>
        <c:lblOffset val="100"/>
        <c:noMultiLvlLbl val="0"/>
      </c:catAx>
      <c:valAx>
        <c:axId val="-2031618704"/>
        <c:scaling>
          <c:orientation val="minMax"/>
          <c:min val="40"/>
        </c:scaling>
        <c:delete val="1"/>
        <c:axPos val="l"/>
        <c:numFmt formatCode="0" sourceLinked="1"/>
        <c:majorTickMark val="out"/>
        <c:minorTickMark val="none"/>
        <c:tickLblPos val="nextTo"/>
        <c:crossAx val="-203162196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b="1"/>
          </a:p>
          <a:p>
            <a:pPr>
              <a:defRPr b="1"/>
            </a:pPr>
            <a:endParaRPr lang="es-CO" b="1"/>
          </a:p>
          <a:p>
            <a:pPr>
              <a:defRPr b="1"/>
            </a:pPr>
            <a:endParaRPr lang="es-CO" b="1"/>
          </a:p>
          <a:p>
            <a:pPr>
              <a:defRPr b="1"/>
            </a:pPr>
            <a:endParaRPr lang="es-CO" b="1"/>
          </a:p>
          <a:p>
            <a:pPr>
              <a:defRPr b="1"/>
            </a:pPr>
            <a:endParaRPr lang="es-CO" b="1"/>
          </a:p>
          <a:p>
            <a:pPr>
              <a:defRPr b="1"/>
            </a:pPr>
            <a:endParaRPr lang="es-CO" b="1"/>
          </a:p>
          <a:p>
            <a:pPr>
              <a:defRPr b="1"/>
            </a:pPr>
            <a:endParaRPr lang="es-CO" b="1"/>
          </a:p>
          <a:p>
            <a:pPr>
              <a:defRPr b="1"/>
            </a:pPr>
            <a:endParaRPr lang="es-CO" b="1"/>
          </a:p>
          <a:p>
            <a:pPr>
              <a:defRPr b="1"/>
            </a:pPr>
            <a:endParaRPr lang="es-CO" b="1"/>
          </a:p>
          <a:p>
            <a:pPr>
              <a:defRPr b="1"/>
            </a:pPr>
            <a:endParaRPr lang="es-CO" b="1"/>
          </a:p>
          <a:p>
            <a:pPr>
              <a:defRPr b="1"/>
            </a:pPr>
            <a:endParaRPr lang="es-CO"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title>
    <c:autoTitleDeleted val="0"/>
    <c:plotArea>
      <c:layout/>
      <c:barChart>
        <c:barDir val="col"/>
        <c:grouping val="stacked"/>
        <c:varyColors val="0"/>
        <c:ser>
          <c:idx val="0"/>
          <c:order val="0"/>
          <c:tx>
            <c:strRef>
              <c:f>'3 Promediosyniveles'!$K$14</c:f>
              <c:strCache>
                <c:ptCount val="1"/>
                <c:pt idx="0">
                  <c:v>1</c:v>
                </c:pt>
              </c:strCache>
            </c:strRef>
          </c:tx>
          <c:spPr>
            <a:solidFill>
              <a:srgbClr val="FF0000"/>
            </a:solidFill>
            <a:ln>
              <a:noFill/>
            </a:ln>
            <a:effectLst/>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'3 Promediosyniveles'!$I$15:$J$44</c:f>
              <c:multiLvlStrCache>
                <c:ptCount val="30"/>
                <c:lvl>
                  <c:pt idx="0">
                    <c:v>COLOMBIA</c:v>
                  </c:pt>
                  <c:pt idx="1">
                    <c:v>SOACHA</c:v>
                  </c:pt>
                  <c:pt idx="2">
                    <c:v>LICEO TALENTOS</c:v>
                  </c:pt>
                  <c:pt idx="3">
                    <c:v>COLOMBIA</c:v>
                  </c:pt>
                  <c:pt idx="4">
                    <c:v>SOACHA</c:v>
                  </c:pt>
                  <c:pt idx="5">
                    <c:v>LICEO TALENTOS</c:v>
                  </c:pt>
                  <c:pt idx="6">
                    <c:v>COLOMBIA</c:v>
                  </c:pt>
                  <c:pt idx="7">
                    <c:v>SOACHA</c:v>
                  </c:pt>
                  <c:pt idx="8">
                    <c:v>LICEO TALENTOS</c:v>
                  </c:pt>
                  <c:pt idx="9">
                    <c:v>COLOMBIA</c:v>
                  </c:pt>
                  <c:pt idx="10">
                    <c:v>SOACHA</c:v>
                  </c:pt>
                  <c:pt idx="11">
                    <c:v>LICEO TALENTOS</c:v>
                  </c:pt>
                  <c:pt idx="12">
                    <c:v>COLOMBIA</c:v>
                  </c:pt>
                  <c:pt idx="13">
                    <c:v>SOACHA</c:v>
                  </c:pt>
                  <c:pt idx="14">
                    <c:v>LICEO TALENTOS</c:v>
                  </c:pt>
                  <c:pt idx="15">
                    <c:v>COLOMBIA</c:v>
                  </c:pt>
                  <c:pt idx="16">
                    <c:v>SOACHA</c:v>
                  </c:pt>
                  <c:pt idx="17">
                    <c:v>LICEO TALENTOS</c:v>
                  </c:pt>
                  <c:pt idx="18">
                    <c:v>COLOMBIA</c:v>
                  </c:pt>
                  <c:pt idx="19">
                    <c:v>SOACHA</c:v>
                  </c:pt>
                  <c:pt idx="20">
                    <c:v>LICEO TALENTOS</c:v>
                  </c:pt>
                  <c:pt idx="21">
                    <c:v>COLOMBIA</c:v>
                  </c:pt>
                  <c:pt idx="22">
                    <c:v>SOACHA</c:v>
                  </c:pt>
                  <c:pt idx="23">
                    <c:v>LICEO TALENTOS</c:v>
                  </c:pt>
                  <c:pt idx="24">
                    <c:v>COLOMBIA</c:v>
                  </c:pt>
                  <c:pt idx="25">
                    <c:v>SOACHA</c:v>
                  </c:pt>
                  <c:pt idx="26">
                    <c:v>LICEO TALENTOS</c:v>
                  </c:pt>
                  <c:pt idx="27">
                    <c:v>COLOMBIA</c:v>
                  </c:pt>
                  <c:pt idx="28">
                    <c:v>SOACHA</c:v>
                  </c:pt>
                  <c:pt idx="29">
                    <c:v>LICEO TALENTOS</c:v>
                  </c:pt>
                </c:lvl>
                <c:lvl>
                  <c:pt idx="0">
                    <c:v>2016</c:v>
                  </c:pt>
                  <c:pt idx="3">
                    <c:v>2017</c:v>
                  </c:pt>
                  <c:pt idx="6">
                    <c:v>2018</c:v>
                  </c:pt>
                  <c:pt idx="9">
                    <c:v>2019</c:v>
                  </c:pt>
                  <c:pt idx="12">
                    <c:v>2020</c:v>
                  </c:pt>
                  <c:pt idx="15">
                    <c:v>2021</c:v>
                  </c:pt>
                  <c:pt idx="18">
                    <c:v>2022</c:v>
                  </c:pt>
                  <c:pt idx="21">
                    <c:v>2023</c:v>
                  </c:pt>
                  <c:pt idx="24">
                    <c:v>2024</c:v>
                  </c:pt>
                  <c:pt idx="27">
                    <c:v>2025</c:v>
                  </c:pt>
                </c:lvl>
              </c:multiLvlStrCache>
            </c:multiLvlStrRef>
          </c:cat>
          <c:val>
            <c:numRef>
              <c:f>'3 Promediosyniveles'!$K$15:$K$44</c:f>
              <c:numCache>
                <c:formatCode>0%</c:formatCode>
                <c:ptCount val="30"/>
                <c:pt idx="0">
                  <c:v>0.02</c:v>
                </c:pt>
                <c:pt idx="1">
                  <c:v>0.01</c:v>
                </c:pt>
                <c:pt idx="2">
                  <c:v>0</c:v>
                </c:pt>
                <c:pt idx="3">
                  <c:v>0.02</c:v>
                </c:pt>
                <c:pt idx="4">
                  <c:v>0.01</c:v>
                </c:pt>
                <c:pt idx="5">
                  <c:v>0</c:v>
                </c:pt>
                <c:pt idx="6">
                  <c:v>0.03</c:v>
                </c:pt>
                <c:pt idx="8">
                  <c:v>0</c:v>
                </c:pt>
                <c:pt idx="9">
                  <c:v>0.04</c:v>
                </c:pt>
                <c:pt idx="10">
                  <c:v>0.02</c:v>
                </c:pt>
                <c:pt idx="11">
                  <c:v>0</c:v>
                </c:pt>
                <c:pt idx="12">
                  <c:v>0.04</c:v>
                </c:pt>
                <c:pt idx="13">
                  <c:v>0.02</c:v>
                </c:pt>
                <c:pt idx="14">
                  <c:v>0</c:v>
                </c:pt>
                <c:pt idx="15">
                  <c:v>0.04</c:v>
                </c:pt>
                <c:pt idx="16">
                  <c:v>0.02</c:v>
                </c:pt>
                <c:pt idx="17">
                  <c:v>0</c:v>
                </c:pt>
                <c:pt idx="18">
                  <c:v>0.05</c:v>
                </c:pt>
                <c:pt idx="19">
                  <c:v>0.02</c:v>
                </c:pt>
                <c:pt idx="20">
                  <c:v>0</c:v>
                </c:pt>
                <c:pt idx="21">
                  <c:v>0.04</c:v>
                </c:pt>
                <c:pt idx="22">
                  <c:v>0.02</c:v>
                </c:pt>
                <c:pt idx="23">
                  <c:v>0</c:v>
                </c:pt>
                <c:pt idx="24">
                  <c:v>0.04</c:v>
                </c:pt>
                <c:pt idx="25">
                  <c:v>0.02</c:v>
                </c:pt>
                <c:pt idx="26">
                  <c:v>0</c:v>
                </c:pt>
                <c:pt idx="27">
                  <c:v>0.03</c:v>
                </c:pt>
                <c:pt idx="28">
                  <c:v>0.01</c:v>
                </c:pt>
                <c:pt idx="29">
                  <c:v>0.06</c:v>
                </c:pt>
              </c:numCache>
            </c:numRef>
          </c:val>
          <c:extLst>
            <c:ext xmlns:c16="http://schemas.microsoft.com/office/drawing/2014/chart" uri="{C3380CC4-5D6E-409C-BE32-E72D297353CC}">
              <c16:uniqueId val="{00000000-CCA5-48CC-AD49-8F46E0412EAF}"/>
            </c:ext>
          </c:extLst>
        </c:ser>
        <c:ser>
          <c:idx val="1"/>
          <c:order val="1"/>
          <c:tx>
            <c:strRef>
              <c:f>'3 Promediosyniveles'!$L$14</c:f>
              <c:strCache>
                <c:ptCount val="1"/>
                <c:pt idx="0">
                  <c:v>2</c:v>
                </c:pt>
              </c:strCache>
            </c:strRef>
          </c:tx>
          <c:spPr>
            <a:solidFill>
              <a:srgbClr val="FF6600"/>
            </a:solidFill>
            <a:ln>
              <a:noFill/>
            </a:ln>
            <a:effectLst/>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'3 Promediosyniveles'!$I$15:$J$44</c:f>
              <c:multiLvlStrCache>
                <c:ptCount val="30"/>
                <c:lvl>
                  <c:pt idx="0">
                    <c:v>COLOMBIA</c:v>
                  </c:pt>
                  <c:pt idx="1">
                    <c:v>SOACHA</c:v>
                  </c:pt>
                  <c:pt idx="2">
                    <c:v>LICEO TALENTOS</c:v>
                  </c:pt>
                  <c:pt idx="3">
                    <c:v>COLOMBIA</c:v>
                  </c:pt>
                  <c:pt idx="4">
                    <c:v>SOACHA</c:v>
                  </c:pt>
                  <c:pt idx="5">
                    <c:v>LICEO TALENTOS</c:v>
                  </c:pt>
                  <c:pt idx="6">
                    <c:v>COLOMBIA</c:v>
                  </c:pt>
                  <c:pt idx="7">
                    <c:v>SOACHA</c:v>
                  </c:pt>
                  <c:pt idx="8">
                    <c:v>LICEO TALENTOS</c:v>
                  </c:pt>
                  <c:pt idx="9">
                    <c:v>COLOMBIA</c:v>
                  </c:pt>
                  <c:pt idx="10">
                    <c:v>SOACHA</c:v>
                  </c:pt>
                  <c:pt idx="11">
                    <c:v>LICEO TALENTOS</c:v>
                  </c:pt>
                  <c:pt idx="12">
                    <c:v>COLOMBIA</c:v>
                  </c:pt>
                  <c:pt idx="13">
                    <c:v>SOACHA</c:v>
                  </c:pt>
                  <c:pt idx="14">
                    <c:v>LICEO TALENTOS</c:v>
                  </c:pt>
                  <c:pt idx="15">
                    <c:v>COLOMBIA</c:v>
                  </c:pt>
                  <c:pt idx="16">
                    <c:v>SOACHA</c:v>
                  </c:pt>
                  <c:pt idx="17">
                    <c:v>LICEO TALENTOS</c:v>
                  </c:pt>
                  <c:pt idx="18">
                    <c:v>COLOMBIA</c:v>
                  </c:pt>
                  <c:pt idx="19">
                    <c:v>SOACHA</c:v>
                  </c:pt>
                  <c:pt idx="20">
                    <c:v>LICEO TALENTOS</c:v>
                  </c:pt>
                  <c:pt idx="21">
                    <c:v>COLOMBIA</c:v>
                  </c:pt>
                  <c:pt idx="22">
                    <c:v>SOACHA</c:v>
                  </c:pt>
                  <c:pt idx="23">
                    <c:v>LICEO TALENTOS</c:v>
                  </c:pt>
                  <c:pt idx="24">
                    <c:v>COLOMBIA</c:v>
                  </c:pt>
                  <c:pt idx="25">
                    <c:v>SOACHA</c:v>
                  </c:pt>
                  <c:pt idx="26">
                    <c:v>LICEO TALENTOS</c:v>
                  </c:pt>
                  <c:pt idx="27">
                    <c:v>COLOMBIA</c:v>
                  </c:pt>
                  <c:pt idx="28">
                    <c:v>SOACHA</c:v>
                  </c:pt>
                  <c:pt idx="29">
                    <c:v>LICEO TALENTOS</c:v>
                  </c:pt>
                </c:lvl>
                <c:lvl>
                  <c:pt idx="0">
                    <c:v>2016</c:v>
                  </c:pt>
                  <c:pt idx="3">
                    <c:v>2017</c:v>
                  </c:pt>
                  <c:pt idx="6">
                    <c:v>2018</c:v>
                  </c:pt>
                  <c:pt idx="9">
                    <c:v>2019</c:v>
                  </c:pt>
                  <c:pt idx="12">
                    <c:v>2020</c:v>
                  </c:pt>
                  <c:pt idx="15">
                    <c:v>2021</c:v>
                  </c:pt>
                  <c:pt idx="18">
                    <c:v>2022</c:v>
                  </c:pt>
                  <c:pt idx="21">
                    <c:v>2023</c:v>
                  </c:pt>
                  <c:pt idx="24">
                    <c:v>2024</c:v>
                  </c:pt>
                  <c:pt idx="27">
                    <c:v>2025</c:v>
                  </c:pt>
                </c:lvl>
              </c:multiLvlStrCache>
            </c:multiLvlStrRef>
          </c:cat>
          <c:val>
            <c:numRef>
              <c:f>'3 Promediosyniveles'!$L$15:$L$44</c:f>
              <c:numCache>
                <c:formatCode>0%</c:formatCode>
                <c:ptCount val="30"/>
                <c:pt idx="0">
                  <c:v>0.37</c:v>
                </c:pt>
                <c:pt idx="1">
                  <c:v>0.34</c:v>
                </c:pt>
                <c:pt idx="2">
                  <c:v>0</c:v>
                </c:pt>
                <c:pt idx="3">
                  <c:v>0.33</c:v>
                </c:pt>
                <c:pt idx="4">
                  <c:v>0.28999999999999998</c:v>
                </c:pt>
                <c:pt idx="5">
                  <c:v>0</c:v>
                </c:pt>
                <c:pt idx="6">
                  <c:v>0.35</c:v>
                </c:pt>
                <c:pt idx="8">
                  <c:v>0</c:v>
                </c:pt>
                <c:pt idx="9">
                  <c:v>0.34</c:v>
                </c:pt>
                <c:pt idx="10">
                  <c:v>0.3</c:v>
                </c:pt>
                <c:pt idx="11">
                  <c:v>0</c:v>
                </c:pt>
                <c:pt idx="12">
                  <c:v>0.36</c:v>
                </c:pt>
                <c:pt idx="13">
                  <c:v>0.31</c:v>
                </c:pt>
                <c:pt idx="14">
                  <c:v>0</c:v>
                </c:pt>
                <c:pt idx="15">
                  <c:v>0.37</c:v>
                </c:pt>
                <c:pt idx="16">
                  <c:v>0.32</c:v>
                </c:pt>
                <c:pt idx="17">
                  <c:v>0</c:v>
                </c:pt>
                <c:pt idx="18">
                  <c:v>0.34</c:v>
                </c:pt>
                <c:pt idx="19">
                  <c:v>0.27</c:v>
                </c:pt>
                <c:pt idx="20">
                  <c:v>0</c:v>
                </c:pt>
                <c:pt idx="21">
                  <c:v>0.35</c:v>
                </c:pt>
                <c:pt idx="22">
                  <c:v>0.28999999999999998</c:v>
                </c:pt>
                <c:pt idx="23">
                  <c:v>0</c:v>
                </c:pt>
                <c:pt idx="24">
                  <c:v>0.31</c:v>
                </c:pt>
                <c:pt idx="25">
                  <c:v>0.25</c:v>
                </c:pt>
                <c:pt idx="26">
                  <c:v>0.19</c:v>
                </c:pt>
                <c:pt idx="27">
                  <c:v>0.32</c:v>
                </c:pt>
                <c:pt idx="28">
                  <c:v>0.26</c:v>
                </c:pt>
                <c:pt idx="29">
                  <c:v>0.31</c:v>
                </c:pt>
              </c:numCache>
            </c:numRef>
          </c:val>
          <c:extLst>
            <c:ext xmlns:c16="http://schemas.microsoft.com/office/drawing/2014/chart" uri="{C3380CC4-5D6E-409C-BE32-E72D297353CC}">
              <c16:uniqueId val="{00000001-CCA5-48CC-AD49-8F46E0412EAF}"/>
            </c:ext>
          </c:extLst>
        </c:ser>
        <c:ser>
          <c:idx val="2"/>
          <c:order val="2"/>
          <c:tx>
            <c:strRef>
              <c:f>'3 Promediosyniveles'!$M$14</c:f>
              <c:strCache>
                <c:ptCount val="1"/>
                <c:pt idx="0">
                  <c:v>3</c:v>
                </c:pt>
              </c:strCache>
            </c:strRef>
          </c:tx>
          <c:spPr>
            <a:solidFill>
              <a:srgbClr val="FFFF00"/>
            </a:solidFill>
            <a:ln>
              <a:noFill/>
            </a:ln>
            <a:effectLst/>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'3 Promediosyniveles'!$I$15:$J$44</c:f>
              <c:multiLvlStrCache>
                <c:ptCount val="30"/>
                <c:lvl>
                  <c:pt idx="0">
                    <c:v>COLOMBIA</c:v>
                  </c:pt>
                  <c:pt idx="1">
                    <c:v>SOACHA</c:v>
                  </c:pt>
                  <c:pt idx="2">
                    <c:v>LICEO TALENTOS</c:v>
                  </c:pt>
                  <c:pt idx="3">
                    <c:v>COLOMBIA</c:v>
                  </c:pt>
                  <c:pt idx="4">
                    <c:v>SOACHA</c:v>
                  </c:pt>
                  <c:pt idx="5">
                    <c:v>LICEO TALENTOS</c:v>
                  </c:pt>
                  <c:pt idx="6">
                    <c:v>COLOMBIA</c:v>
                  </c:pt>
                  <c:pt idx="7">
                    <c:v>SOACHA</c:v>
                  </c:pt>
                  <c:pt idx="8">
                    <c:v>LICEO TALENTOS</c:v>
                  </c:pt>
                  <c:pt idx="9">
                    <c:v>COLOMBIA</c:v>
                  </c:pt>
                  <c:pt idx="10">
                    <c:v>SOACHA</c:v>
                  </c:pt>
                  <c:pt idx="11">
                    <c:v>LICEO TALENTOS</c:v>
                  </c:pt>
                  <c:pt idx="12">
                    <c:v>COLOMBIA</c:v>
                  </c:pt>
                  <c:pt idx="13">
                    <c:v>SOACHA</c:v>
                  </c:pt>
                  <c:pt idx="14">
                    <c:v>LICEO TALENTOS</c:v>
                  </c:pt>
                  <c:pt idx="15">
                    <c:v>COLOMBIA</c:v>
                  </c:pt>
                  <c:pt idx="16">
                    <c:v>SOACHA</c:v>
                  </c:pt>
                  <c:pt idx="17">
                    <c:v>LICEO TALENTOS</c:v>
                  </c:pt>
                  <c:pt idx="18">
                    <c:v>COLOMBIA</c:v>
                  </c:pt>
                  <c:pt idx="19">
                    <c:v>SOACHA</c:v>
                  </c:pt>
                  <c:pt idx="20">
                    <c:v>LICEO TALENTOS</c:v>
                  </c:pt>
                  <c:pt idx="21">
                    <c:v>COLOMBIA</c:v>
                  </c:pt>
                  <c:pt idx="22">
                    <c:v>SOACHA</c:v>
                  </c:pt>
                  <c:pt idx="23">
                    <c:v>LICEO TALENTOS</c:v>
                  </c:pt>
                  <c:pt idx="24">
                    <c:v>COLOMBIA</c:v>
                  </c:pt>
                  <c:pt idx="25">
                    <c:v>SOACHA</c:v>
                  </c:pt>
                  <c:pt idx="26">
                    <c:v>LICEO TALENTOS</c:v>
                  </c:pt>
                  <c:pt idx="27">
                    <c:v>COLOMBIA</c:v>
                  </c:pt>
                  <c:pt idx="28">
                    <c:v>SOACHA</c:v>
                  </c:pt>
                  <c:pt idx="29">
                    <c:v>LICEO TALENTOS</c:v>
                  </c:pt>
                </c:lvl>
                <c:lvl>
                  <c:pt idx="0">
                    <c:v>2016</c:v>
                  </c:pt>
                  <c:pt idx="3">
                    <c:v>2017</c:v>
                  </c:pt>
                  <c:pt idx="6">
                    <c:v>2018</c:v>
                  </c:pt>
                  <c:pt idx="9">
                    <c:v>2019</c:v>
                  </c:pt>
                  <c:pt idx="12">
                    <c:v>2020</c:v>
                  </c:pt>
                  <c:pt idx="15">
                    <c:v>2021</c:v>
                  </c:pt>
                  <c:pt idx="18">
                    <c:v>2022</c:v>
                  </c:pt>
                  <c:pt idx="21">
                    <c:v>2023</c:v>
                  </c:pt>
                  <c:pt idx="24">
                    <c:v>2024</c:v>
                  </c:pt>
                  <c:pt idx="27">
                    <c:v>2025</c:v>
                  </c:pt>
                </c:lvl>
              </c:multiLvlStrCache>
            </c:multiLvlStrRef>
          </c:cat>
          <c:val>
            <c:numRef>
              <c:f>'3 Promediosyniveles'!$M$15:$M$44</c:f>
              <c:numCache>
                <c:formatCode>0%</c:formatCode>
                <c:ptCount val="30"/>
                <c:pt idx="0">
                  <c:v>0.5</c:v>
                </c:pt>
                <c:pt idx="1">
                  <c:v>0.57999999999999996</c:v>
                </c:pt>
                <c:pt idx="2">
                  <c:v>0</c:v>
                </c:pt>
                <c:pt idx="3">
                  <c:v>0.52</c:v>
                </c:pt>
                <c:pt idx="4">
                  <c:v>0.6</c:v>
                </c:pt>
                <c:pt idx="5">
                  <c:v>0</c:v>
                </c:pt>
                <c:pt idx="6">
                  <c:v>0.49</c:v>
                </c:pt>
                <c:pt idx="8">
                  <c:v>0</c:v>
                </c:pt>
                <c:pt idx="9">
                  <c:v>0.49</c:v>
                </c:pt>
                <c:pt idx="10">
                  <c:v>0.56999999999999995</c:v>
                </c:pt>
                <c:pt idx="11">
                  <c:v>0</c:v>
                </c:pt>
                <c:pt idx="12">
                  <c:v>0.49</c:v>
                </c:pt>
                <c:pt idx="13">
                  <c:v>0.59</c:v>
                </c:pt>
                <c:pt idx="14">
                  <c:v>0</c:v>
                </c:pt>
                <c:pt idx="15">
                  <c:v>0.45</c:v>
                </c:pt>
                <c:pt idx="16">
                  <c:v>0.54</c:v>
                </c:pt>
                <c:pt idx="17">
                  <c:v>0</c:v>
                </c:pt>
                <c:pt idx="18">
                  <c:v>0.47</c:v>
                </c:pt>
                <c:pt idx="19">
                  <c:v>0.57999999999999996</c:v>
                </c:pt>
                <c:pt idx="20">
                  <c:v>0</c:v>
                </c:pt>
                <c:pt idx="21">
                  <c:v>0.48</c:v>
                </c:pt>
                <c:pt idx="22">
                  <c:v>0.56999999999999995</c:v>
                </c:pt>
                <c:pt idx="23">
                  <c:v>0</c:v>
                </c:pt>
                <c:pt idx="24">
                  <c:v>0.5</c:v>
                </c:pt>
                <c:pt idx="25">
                  <c:v>0.59</c:v>
                </c:pt>
                <c:pt idx="26">
                  <c:v>0.67</c:v>
                </c:pt>
                <c:pt idx="27">
                  <c:v>0.48</c:v>
                </c:pt>
                <c:pt idx="28">
                  <c:v>0.56999999999999995</c:v>
                </c:pt>
                <c:pt idx="29">
                  <c:v>0.47</c:v>
                </c:pt>
              </c:numCache>
            </c:numRef>
          </c:val>
          <c:extLst>
            <c:ext xmlns:c16="http://schemas.microsoft.com/office/drawing/2014/chart" uri="{C3380CC4-5D6E-409C-BE32-E72D297353CC}">
              <c16:uniqueId val="{00000002-CCA5-48CC-AD49-8F46E0412EAF}"/>
            </c:ext>
          </c:extLst>
        </c:ser>
        <c:ser>
          <c:idx val="3"/>
          <c:order val="3"/>
          <c:tx>
            <c:strRef>
              <c:f>'3 Promediosyniveles'!$N$14</c:f>
              <c:strCache>
                <c:ptCount val="1"/>
                <c:pt idx="0">
                  <c:v>4</c:v>
                </c:pt>
              </c:strCache>
            </c:strRef>
          </c:tx>
          <c:spPr>
            <a:solidFill>
              <a:srgbClr val="00B050"/>
            </a:solidFill>
            <a:ln>
              <a:noFill/>
            </a:ln>
            <a:effectLst/>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'3 Promediosyniveles'!$I$15:$J$44</c:f>
              <c:multiLvlStrCache>
                <c:ptCount val="30"/>
                <c:lvl>
                  <c:pt idx="0">
                    <c:v>COLOMBIA</c:v>
                  </c:pt>
                  <c:pt idx="1">
                    <c:v>SOACHA</c:v>
                  </c:pt>
                  <c:pt idx="2">
                    <c:v>LICEO TALENTOS</c:v>
                  </c:pt>
                  <c:pt idx="3">
                    <c:v>COLOMBIA</c:v>
                  </c:pt>
                  <c:pt idx="4">
                    <c:v>SOACHA</c:v>
                  </c:pt>
                  <c:pt idx="5">
                    <c:v>LICEO TALENTOS</c:v>
                  </c:pt>
                  <c:pt idx="6">
                    <c:v>COLOMBIA</c:v>
                  </c:pt>
                  <c:pt idx="7">
                    <c:v>SOACHA</c:v>
                  </c:pt>
                  <c:pt idx="8">
                    <c:v>LICEO TALENTOS</c:v>
                  </c:pt>
                  <c:pt idx="9">
                    <c:v>COLOMBIA</c:v>
                  </c:pt>
                  <c:pt idx="10">
                    <c:v>SOACHA</c:v>
                  </c:pt>
                  <c:pt idx="11">
                    <c:v>LICEO TALENTOS</c:v>
                  </c:pt>
                  <c:pt idx="12">
                    <c:v>COLOMBIA</c:v>
                  </c:pt>
                  <c:pt idx="13">
                    <c:v>SOACHA</c:v>
                  </c:pt>
                  <c:pt idx="14">
                    <c:v>LICEO TALENTOS</c:v>
                  </c:pt>
                  <c:pt idx="15">
                    <c:v>COLOMBIA</c:v>
                  </c:pt>
                  <c:pt idx="16">
                    <c:v>SOACHA</c:v>
                  </c:pt>
                  <c:pt idx="17">
                    <c:v>LICEO TALENTOS</c:v>
                  </c:pt>
                  <c:pt idx="18">
                    <c:v>COLOMBIA</c:v>
                  </c:pt>
                  <c:pt idx="19">
                    <c:v>SOACHA</c:v>
                  </c:pt>
                  <c:pt idx="20">
                    <c:v>LICEO TALENTOS</c:v>
                  </c:pt>
                  <c:pt idx="21">
                    <c:v>COLOMBIA</c:v>
                  </c:pt>
                  <c:pt idx="22">
                    <c:v>SOACHA</c:v>
                  </c:pt>
                  <c:pt idx="23">
                    <c:v>LICEO TALENTOS</c:v>
                  </c:pt>
                  <c:pt idx="24">
                    <c:v>COLOMBIA</c:v>
                  </c:pt>
                  <c:pt idx="25">
                    <c:v>SOACHA</c:v>
                  </c:pt>
                  <c:pt idx="26">
                    <c:v>LICEO TALENTOS</c:v>
                  </c:pt>
                  <c:pt idx="27">
                    <c:v>COLOMBIA</c:v>
                  </c:pt>
                  <c:pt idx="28">
                    <c:v>SOACHA</c:v>
                  </c:pt>
                  <c:pt idx="29">
                    <c:v>LICEO TALENTOS</c:v>
                  </c:pt>
                </c:lvl>
                <c:lvl>
                  <c:pt idx="0">
                    <c:v>2016</c:v>
                  </c:pt>
                  <c:pt idx="3">
                    <c:v>2017</c:v>
                  </c:pt>
                  <c:pt idx="6">
                    <c:v>2018</c:v>
                  </c:pt>
                  <c:pt idx="9">
                    <c:v>2019</c:v>
                  </c:pt>
                  <c:pt idx="12">
                    <c:v>2020</c:v>
                  </c:pt>
                  <c:pt idx="15">
                    <c:v>2021</c:v>
                  </c:pt>
                  <c:pt idx="18">
                    <c:v>2022</c:v>
                  </c:pt>
                  <c:pt idx="21">
                    <c:v>2023</c:v>
                  </c:pt>
                  <c:pt idx="24">
                    <c:v>2024</c:v>
                  </c:pt>
                  <c:pt idx="27">
                    <c:v>2025</c:v>
                  </c:pt>
                </c:lvl>
              </c:multiLvlStrCache>
            </c:multiLvlStrRef>
          </c:cat>
          <c:val>
            <c:numRef>
              <c:f>'3 Promediosyniveles'!$N$15:$N$44</c:f>
              <c:numCache>
                <c:formatCode>0%</c:formatCode>
                <c:ptCount val="30"/>
                <c:pt idx="0">
                  <c:v>0.1</c:v>
                </c:pt>
                <c:pt idx="1">
                  <c:v>7.0000000000000007E-2</c:v>
                </c:pt>
                <c:pt idx="2">
                  <c:v>0</c:v>
                </c:pt>
                <c:pt idx="3">
                  <c:v>0.13</c:v>
                </c:pt>
                <c:pt idx="4">
                  <c:v>0.09</c:v>
                </c:pt>
                <c:pt idx="5">
                  <c:v>0</c:v>
                </c:pt>
                <c:pt idx="6">
                  <c:v>0.13</c:v>
                </c:pt>
                <c:pt idx="8">
                  <c:v>0</c:v>
                </c:pt>
                <c:pt idx="9">
                  <c:v>0.12</c:v>
                </c:pt>
                <c:pt idx="10">
                  <c:v>0.11</c:v>
                </c:pt>
                <c:pt idx="11">
                  <c:v>0</c:v>
                </c:pt>
                <c:pt idx="12">
                  <c:v>0.1</c:v>
                </c:pt>
                <c:pt idx="13">
                  <c:v>0.09</c:v>
                </c:pt>
                <c:pt idx="14">
                  <c:v>0</c:v>
                </c:pt>
                <c:pt idx="15">
                  <c:v>0.13</c:v>
                </c:pt>
                <c:pt idx="16">
                  <c:v>0.12</c:v>
                </c:pt>
                <c:pt idx="17">
                  <c:v>0</c:v>
                </c:pt>
                <c:pt idx="18">
                  <c:v>0.14000000000000001</c:v>
                </c:pt>
                <c:pt idx="19">
                  <c:v>0.13</c:v>
                </c:pt>
                <c:pt idx="20">
                  <c:v>0</c:v>
                </c:pt>
                <c:pt idx="21">
                  <c:v>0.13</c:v>
                </c:pt>
                <c:pt idx="22">
                  <c:v>0.12</c:v>
                </c:pt>
                <c:pt idx="23">
                  <c:v>0</c:v>
                </c:pt>
                <c:pt idx="24">
                  <c:v>0.15</c:v>
                </c:pt>
                <c:pt idx="25">
                  <c:v>0.14000000000000001</c:v>
                </c:pt>
                <c:pt idx="26">
                  <c:v>0.14000000000000001</c:v>
                </c:pt>
                <c:pt idx="27">
                  <c:v>0.16</c:v>
                </c:pt>
                <c:pt idx="28">
                  <c:v>0.16</c:v>
                </c:pt>
                <c:pt idx="29">
                  <c:v>0.16</c:v>
                </c:pt>
              </c:numCache>
            </c:numRef>
          </c:val>
          <c:extLst>
            <c:ext xmlns:c16="http://schemas.microsoft.com/office/drawing/2014/chart" uri="{C3380CC4-5D6E-409C-BE32-E72D297353CC}">
              <c16:uniqueId val="{00000003-CCA5-48CC-AD49-8F46E0412EAF}"/>
            </c:ext>
          </c:extLst>
        </c:ser>
        <c:dLbls>
          <c:showLegendKey val="0"/>
          <c:showVal val="0"/>
          <c:showCatName val="0"/>
          <c:showSerName val="0"/>
          <c:showPercent val="0"/>
          <c:showBubbleSize val="0"/>
        </c:dLbls>
        <c:gapWidth val="150"/>
        <c:overlap val="100"/>
        <c:axId val="419681552"/>
        <c:axId val="419681968"/>
      </c:barChart>
      <c:catAx>
        <c:axId val="4196815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crossAx val="419681968"/>
        <c:crosses val="autoZero"/>
        <c:auto val="1"/>
        <c:lblAlgn val="ctr"/>
        <c:lblOffset val="100"/>
        <c:noMultiLvlLbl val="0"/>
      </c:catAx>
      <c:valAx>
        <c:axId val="419681968"/>
        <c:scaling>
          <c:orientation val="minMax"/>
          <c:max val="1"/>
        </c:scaling>
        <c:delete val="0"/>
        <c:axPos val="l"/>
        <c:majorGridlines>
          <c:spPr>
            <a:ln w="9525" cap="flat" cmpd="sng" algn="ctr">
              <a:solidFill>
                <a:schemeClr val="bg1"/>
              </a:solidFill>
              <a:round/>
            </a:ln>
            <a:effectLst/>
          </c:spPr>
        </c:maj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crossAx val="41968155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s-CO" b="1"/>
              <a:t>Porcentaje de estudiantes por niveles de desempeño</a:t>
            </a:r>
          </a:p>
          <a:p>
            <a:pPr>
              <a:defRPr b="1"/>
            </a:pPr>
            <a:r>
              <a:rPr lang="es-CO" b="1"/>
              <a:t>Matemáticas</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title>
    <c:autoTitleDeleted val="0"/>
    <c:plotArea>
      <c:layout>
        <c:manualLayout>
          <c:layoutTarget val="inner"/>
          <c:xMode val="edge"/>
          <c:yMode val="edge"/>
          <c:x val="5.6349913519790802E-2"/>
          <c:y val="0.11601590038758022"/>
          <c:w val="0.92597295827438564"/>
          <c:h val="0.50639522678848303"/>
        </c:manualLayout>
      </c:layout>
      <c:barChart>
        <c:barDir val="col"/>
        <c:grouping val="stacked"/>
        <c:varyColors val="0"/>
        <c:ser>
          <c:idx val="0"/>
          <c:order val="0"/>
          <c:tx>
            <c:strRef>
              <c:f>'3 Promediosyniveles'!$K$77</c:f>
              <c:strCache>
                <c:ptCount val="1"/>
                <c:pt idx="0">
                  <c:v>1</c:v>
                </c:pt>
              </c:strCache>
            </c:strRef>
          </c:tx>
          <c:spPr>
            <a:solidFill>
              <a:srgbClr val="FF0000"/>
            </a:solidFill>
            <a:ln>
              <a:noFill/>
            </a:ln>
            <a:effectLst/>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'3 Promediosyniveles'!$I$78:$J$107</c:f>
              <c:multiLvlStrCache>
                <c:ptCount val="30"/>
                <c:lvl>
                  <c:pt idx="0">
                    <c:v>COLOMBIA</c:v>
                  </c:pt>
                  <c:pt idx="1">
                    <c:v>SOACHA</c:v>
                  </c:pt>
                  <c:pt idx="2">
                    <c:v>LICEO TALENTOS</c:v>
                  </c:pt>
                  <c:pt idx="3">
                    <c:v>COLOMBIA</c:v>
                  </c:pt>
                  <c:pt idx="4">
                    <c:v>SOACHA</c:v>
                  </c:pt>
                  <c:pt idx="5">
                    <c:v>LICEO TALENTOS</c:v>
                  </c:pt>
                  <c:pt idx="6">
                    <c:v>COLOMBIA</c:v>
                  </c:pt>
                  <c:pt idx="7">
                    <c:v>SOACHA</c:v>
                  </c:pt>
                  <c:pt idx="8">
                    <c:v>LICEO TALENTOS</c:v>
                  </c:pt>
                  <c:pt idx="9">
                    <c:v>COLOMBIA</c:v>
                  </c:pt>
                  <c:pt idx="10">
                    <c:v>SOACHA</c:v>
                  </c:pt>
                  <c:pt idx="11">
                    <c:v>LICEO TALENTOS</c:v>
                  </c:pt>
                  <c:pt idx="12">
                    <c:v>COLOMBIA</c:v>
                  </c:pt>
                  <c:pt idx="13">
                    <c:v>SOACHA</c:v>
                  </c:pt>
                  <c:pt idx="14">
                    <c:v>LICEO TALENTOS</c:v>
                  </c:pt>
                  <c:pt idx="15">
                    <c:v>COLOMBIA</c:v>
                  </c:pt>
                  <c:pt idx="16">
                    <c:v>SOACHA</c:v>
                  </c:pt>
                  <c:pt idx="17">
                    <c:v>LICEO TALENTOS</c:v>
                  </c:pt>
                  <c:pt idx="18">
                    <c:v>COLOMBIA</c:v>
                  </c:pt>
                  <c:pt idx="19">
                    <c:v>SOACHA</c:v>
                  </c:pt>
                  <c:pt idx="20">
                    <c:v>LICEO TALENTOS</c:v>
                  </c:pt>
                  <c:pt idx="21">
                    <c:v>COLOMBIA</c:v>
                  </c:pt>
                  <c:pt idx="22">
                    <c:v>SOACHA</c:v>
                  </c:pt>
                  <c:pt idx="23">
                    <c:v>LICEO TALENTOS</c:v>
                  </c:pt>
                  <c:pt idx="24">
                    <c:v>COLOMBIA</c:v>
                  </c:pt>
                  <c:pt idx="25">
                    <c:v>SOACHA</c:v>
                  </c:pt>
                  <c:pt idx="26">
                    <c:v>LICEO TALENTOS</c:v>
                  </c:pt>
                  <c:pt idx="27">
                    <c:v>COLOMBIA</c:v>
                  </c:pt>
                  <c:pt idx="28">
                    <c:v>SOACHA</c:v>
                  </c:pt>
                  <c:pt idx="29">
                    <c:v>LICEO TALENTOS</c:v>
                  </c:pt>
                </c:lvl>
                <c:lvl>
                  <c:pt idx="0">
                    <c:v>2016</c:v>
                  </c:pt>
                  <c:pt idx="3">
                    <c:v>2017</c:v>
                  </c:pt>
                  <c:pt idx="6">
                    <c:v>2018</c:v>
                  </c:pt>
                  <c:pt idx="9">
                    <c:v>2019</c:v>
                  </c:pt>
                  <c:pt idx="12">
                    <c:v>2020</c:v>
                  </c:pt>
                  <c:pt idx="15">
                    <c:v>2021</c:v>
                  </c:pt>
                  <c:pt idx="18">
                    <c:v>2022</c:v>
                  </c:pt>
                  <c:pt idx="21">
                    <c:v>2023</c:v>
                  </c:pt>
                  <c:pt idx="24">
                    <c:v>2024</c:v>
                  </c:pt>
                  <c:pt idx="27">
                    <c:v>2025</c:v>
                  </c:pt>
                </c:lvl>
              </c:multiLvlStrCache>
            </c:multiLvlStrRef>
          </c:cat>
          <c:val>
            <c:numRef>
              <c:f>'3 Promediosyniveles'!$K$78:$K$107</c:f>
              <c:numCache>
                <c:formatCode>0%</c:formatCode>
                <c:ptCount val="30"/>
                <c:pt idx="0">
                  <c:v>0.08</c:v>
                </c:pt>
                <c:pt idx="1">
                  <c:v>0.04</c:v>
                </c:pt>
                <c:pt idx="2">
                  <c:v>0</c:v>
                </c:pt>
                <c:pt idx="3">
                  <c:v>0.09</c:v>
                </c:pt>
                <c:pt idx="4">
                  <c:v>0.05</c:v>
                </c:pt>
                <c:pt idx="5">
                  <c:v>0</c:v>
                </c:pt>
                <c:pt idx="6">
                  <c:v>0.08</c:v>
                </c:pt>
                <c:pt idx="7">
                  <c:v>0.04</c:v>
                </c:pt>
                <c:pt idx="8">
                  <c:v>0</c:v>
                </c:pt>
                <c:pt idx="9">
                  <c:v>0.08</c:v>
                </c:pt>
                <c:pt idx="10">
                  <c:v>0.04</c:v>
                </c:pt>
                <c:pt idx="11">
                  <c:v>0</c:v>
                </c:pt>
                <c:pt idx="12">
                  <c:v>7.0000000000000007E-2</c:v>
                </c:pt>
                <c:pt idx="13">
                  <c:v>0.04</c:v>
                </c:pt>
                <c:pt idx="14">
                  <c:v>0</c:v>
                </c:pt>
                <c:pt idx="15">
                  <c:v>0.1</c:v>
                </c:pt>
                <c:pt idx="16">
                  <c:v>0.05</c:v>
                </c:pt>
                <c:pt idx="17">
                  <c:v>0</c:v>
                </c:pt>
                <c:pt idx="18">
                  <c:v>0.1</c:v>
                </c:pt>
                <c:pt idx="19">
                  <c:v>0.05</c:v>
                </c:pt>
                <c:pt idx="20">
                  <c:v>0</c:v>
                </c:pt>
                <c:pt idx="21">
                  <c:v>0.09</c:v>
                </c:pt>
                <c:pt idx="22">
                  <c:v>0.05</c:v>
                </c:pt>
                <c:pt idx="23">
                  <c:v>0</c:v>
                </c:pt>
                <c:pt idx="24">
                  <c:v>0.09</c:v>
                </c:pt>
                <c:pt idx="25">
                  <c:v>0.05</c:v>
                </c:pt>
                <c:pt idx="26">
                  <c:v>0</c:v>
                </c:pt>
                <c:pt idx="27">
                  <c:v>0.1</c:v>
                </c:pt>
                <c:pt idx="28">
                  <c:v>0.05</c:v>
                </c:pt>
                <c:pt idx="29">
                  <c:v>0.09</c:v>
                </c:pt>
              </c:numCache>
            </c:numRef>
          </c:val>
          <c:extLst>
            <c:ext xmlns:c16="http://schemas.microsoft.com/office/drawing/2014/chart" uri="{C3380CC4-5D6E-409C-BE32-E72D297353CC}">
              <c16:uniqueId val="{00000000-EA10-4777-A858-C2626BB091A8}"/>
            </c:ext>
          </c:extLst>
        </c:ser>
        <c:ser>
          <c:idx val="1"/>
          <c:order val="1"/>
          <c:tx>
            <c:strRef>
              <c:f>'3 Promediosyniveles'!$L$77</c:f>
              <c:strCache>
                <c:ptCount val="1"/>
                <c:pt idx="0">
                  <c:v>2</c:v>
                </c:pt>
              </c:strCache>
            </c:strRef>
          </c:tx>
          <c:spPr>
            <a:solidFill>
              <a:srgbClr val="FF6600"/>
            </a:solidFill>
            <a:ln>
              <a:noFill/>
            </a:ln>
            <a:effectLst/>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'3 Promediosyniveles'!$I$78:$J$107</c:f>
              <c:multiLvlStrCache>
                <c:ptCount val="30"/>
                <c:lvl>
                  <c:pt idx="0">
                    <c:v>COLOMBIA</c:v>
                  </c:pt>
                  <c:pt idx="1">
                    <c:v>SOACHA</c:v>
                  </c:pt>
                  <c:pt idx="2">
                    <c:v>LICEO TALENTOS</c:v>
                  </c:pt>
                  <c:pt idx="3">
                    <c:v>COLOMBIA</c:v>
                  </c:pt>
                  <c:pt idx="4">
                    <c:v>SOACHA</c:v>
                  </c:pt>
                  <c:pt idx="5">
                    <c:v>LICEO TALENTOS</c:v>
                  </c:pt>
                  <c:pt idx="6">
                    <c:v>COLOMBIA</c:v>
                  </c:pt>
                  <c:pt idx="7">
                    <c:v>SOACHA</c:v>
                  </c:pt>
                  <c:pt idx="8">
                    <c:v>LICEO TALENTOS</c:v>
                  </c:pt>
                  <c:pt idx="9">
                    <c:v>COLOMBIA</c:v>
                  </c:pt>
                  <c:pt idx="10">
                    <c:v>SOACHA</c:v>
                  </c:pt>
                  <c:pt idx="11">
                    <c:v>LICEO TALENTOS</c:v>
                  </c:pt>
                  <c:pt idx="12">
                    <c:v>COLOMBIA</c:v>
                  </c:pt>
                  <c:pt idx="13">
                    <c:v>SOACHA</c:v>
                  </c:pt>
                  <c:pt idx="14">
                    <c:v>LICEO TALENTOS</c:v>
                  </c:pt>
                  <c:pt idx="15">
                    <c:v>COLOMBIA</c:v>
                  </c:pt>
                  <c:pt idx="16">
                    <c:v>SOACHA</c:v>
                  </c:pt>
                  <c:pt idx="17">
                    <c:v>LICEO TALENTOS</c:v>
                  </c:pt>
                  <c:pt idx="18">
                    <c:v>COLOMBIA</c:v>
                  </c:pt>
                  <c:pt idx="19">
                    <c:v>SOACHA</c:v>
                  </c:pt>
                  <c:pt idx="20">
                    <c:v>LICEO TALENTOS</c:v>
                  </c:pt>
                  <c:pt idx="21">
                    <c:v>COLOMBIA</c:v>
                  </c:pt>
                  <c:pt idx="22">
                    <c:v>SOACHA</c:v>
                  </c:pt>
                  <c:pt idx="23">
                    <c:v>LICEO TALENTOS</c:v>
                  </c:pt>
                  <c:pt idx="24">
                    <c:v>COLOMBIA</c:v>
                  </c:pt>
                  <c:pt idx="25">
                    <c:v>SOACHA</c:v>
                  </c:pt>
                  <c:pt idx="26">
                    <c:v>LICEO TALENTOS</c:v>
                  </c:pt>
                  <c:pt idx="27">
                    <c:v>COLOMBIA</c:v>
                  </c:pt>
                  <c:pt idx="28">
                    <c:v>SOACHA</c:v>
                  </c:pt>
                  <c:pt idx="29">
                    <c:v>LICEO TALENTOS</c:v>
                  </c:pt>
                </c:lvl>
                <c:lvl>
                  <c:pt idx="0">
                    <c:v>2016</c:v>
                  </c:pt>
                  <c:pt idx="3">
                    <c:v>2017</c:v>
                  </c:pt>
                  <c:pt idx="6">
                    <c:v>2018</c:v>
                  </c:pt>
                  <c:pt idx="9">
                    <c:v>2019</c:v>
                  </c:pt>
                  <c:pt idx="12">
                    <c:v>2020</c:v>
                  </c:pt>
                  <c:pt idx="15">
                    <c:v>2021</c:v>
                  </c:pt>
                  <c:pt idx="18">
                    <c:v>2022</c:v>
                  </c:pt>
                  <c:pt idx="21">
                    <c:v>2023</c:v>
                  </c:pt>
                  <c:pt idx="24">
                    <c:v>2024</c:v>
                  </c:pt>
                  <c:pt idx="27">
                    <c:v>2025</c:v>
                  </c:pt>
                </c:lvl>
              </c:multiLvlStrCache>
            </c:multiLvlStrRef>
          </c:cat>
          <c:val>
            <c:numRef>
              <c:f>'3 Promediosyniveles'!$L$78:$L$107</c:f>
              <c:numCache>
                <c:formatCode>0%</c:formatCode>
                <c:ptCount val="30"/>
                <c:pt idx="0">
                  <c:v>0.37</c:v>
                </c:pt>
                <c:pt idx="1">
                  <c:v>0.39</c:v>
                </c:pt>
                <c:pt idx="2">
                  <c:v>0</c:v>
                </c:pt>
                <c:pt idx="3">
                  <c:v>0.38</c:v>
                </c:pt>
                <c:pt idx="4">
                  <c:v>0.38</c:v>
                </c:pt>
                <c:pt idx="5">
                  <c:v>0</c:v>
                </c:pt>
                <c:pt idx="6">
                  <c:v>0.38</c:v>
                </c:pt>
                <c:pt idx="7">
                  <c:v>0.38</c:v>
                </c:pt>
                <c:pt idx="8">
                  <c:v>0</c:v>
                </c:pt>
                <c:pt idx="9">
                  <c:v>0.36</c:v>
                </c:pt>
                <c:pt idx="10">
                  <c:v>0.36</c:v>
                </c:pt>
                <c:pt idx="11">
                  <c:v>0</c:v>
                </c:pt>
                <c:pt idx="12">
                  <c:v>0.37</c:v>
                </c:pt>
                <c:pt idx="13">
                  <c:v>0.34</c:v>
                </c:pt>
                <c:pt idx="14">
                  <c:v>0</c:v>
                </c:pt>
                <c:pt idx="15">
                  <c:v>0.4</c:v>
                </c:pt>
                <c:pt idx="16">
                  <c:v>0.39</c:v>
                </c:pt>
                <c:pt idx="17">
                  <c:v>0</c:v>
                </c:pt>
                <c:pt idx="18">
                  <c:v>0.35</c:v>
                </c:pt>
                <c:pt idx="19">
                  <c:v>0.33</c:v>
                </c:pt>
                <c:pt idx="20">
                  <c:v>0</c:v>
                </c:pt>
                <c:pt idx="21">
                  <c:v>0.35</c:v>
                </c:pt>
                <c:pt idx="22">
                  <c:v>0.34</c:v>
                </c:pt>
                <c:pt idx="23">
                  <c:v>0</c:v>
                </c:pt>
                <c:pt idx="24">
                  <c:v>0.33</c:v>
                </c:pt>
                <c:pt idx="25">
                  <c:v>0.31</c:v>
                </c:pt>
                <c:pt idx="26">
                  <c:v>0.43</c:v>
                </c:pt>
                <c:pt idx="27">
                  <c:v>0.32</c:v>
                </c:pt>
                <c:pt idx="28">
                  <c:v>0.31</c:v>
                </c:pt>
                <c:pt idx="29">
                  <c:v>0.44</c:v>
                </c:pt>
              </c:numCache>
            </c:numRef>
          </c:val>
          <c:extLst>
            <c:ext xmlns:c16="http://schemas.microsoft.com/office/drawing/2014/chart" uri="{C3380CC4-5D6E-409C-BE32-E72D297353CC}">
              <c16:uniqueId val="{00000001-EA10-4777-A858-C2626BB091A8}"/>
            </c:ext>
          </c:extLst>
        </c:ser>
        <c:ser>
          <c:idx val="2"/>
          <c:order val="2"/>
          <c:tx>
            <c:strRef>
              <c:f>'3 Promediosyniveles'!$M$77</c:f>
              <c:strCache>
                <c:ptCount val="1"/>
                <c:pt idx="0">
                  <c:v>3</c:v>
                </c:pt>
              </c:strCache>
            </c:strRef>
          </c:tx>
          <c:spPr>
            <a:solidFill>
              <a:srgbClr val="FFFF00"/>
            </a:solidFill>
            <a:ln>
              <a:noFill/>
            </a:ln>
            <a:effectLst/>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'3 Promediosyniveles'!$I$78:$J$107</c:f>
              <c:multiLvlStrCache>
                <c:ptCount val="30"/>
                <c:lvl>
                  <c:pt idx="0">
                    <c:v>COLOMBIA</c:v>
                  </c:pt>
                  <c:pt idx="1">
                    <c:v>SOACHA</c:v>
                  </c:pt>
                  <c:pt idx="2">
                    <c:v>LICEO TALENTOS</c:v>
                  </c:pt>
                  <c:pt idx="3">
                    <c:v>COLOMBIA</c:v>
                  </c:pt>
                  <c:pt idx="4">
                    <c:v>SOACHA</c:v>
                  </c:pt>
                  <c:pt idx="5">
                    <c:v>LICEO TALENTOS</c:v>
                  </c:pt>
                  <c:pt idx="6">
                    <c:v>COLOMBIA</c:v>
                  </c:pt>
                  <c:pt idx="7">
                    <c:v>SOACHA</c:v>
                  </c:pt>
                  <c:pt idx="8">
                    <c:v>LICEO TALENTOS</c:v>
                  </c:pt>
                  <c:pt idx="9">
                    <c:v>COLOMBIA</c:v>
                  </c:pt>
                  <c:pt idx="10">
                    <c:v>SOACHA</c:v>
                  </c:pt>
                  <c:pt idx="11">
                    <c:v>LICEO TALENTOS</c:v>
                  </c:pt>
                  <c:pt idx="12">
                    <c:v>COLOMBIA</c:v>
                  </c:pt>
                  <c:pt idx="13">
                    <c:v>SOACHA</c:v>
                  </c:pt>
                  <c:pt idx="14">
                    <c:v>LICEO TALENTOS</c:v>
                  </c:pt>
                  <c:pt idx="15">
                    <c:v>COLOMBIA</c:v>
                  </c:pt>
                  <c:pt idx="16">
                    <c:v>SOACHA</c:v>
                  </c:pt>
                  <c:pt idx="17">
                    <c:v>LICEO TALENTOS</c:v>
                  </c:pt>
                  <c:pt idx="18">
                    <c:v>COLOMBIA</c:v>
                  </c:pt>
                  <c:pt idx="19">
                    <c:v>SOACHA</c:v>
                  </c:pt>
                  <c:pt idx="20">
                    <c:v>LICEO TALENTOS</c:v>
                  </c:pt>
                  <c:pt idx="21">
                    <c:v>COLOMBIA</c:v>
                  </c:pt>
                  <c:pt idx="22">
                    <c:v>SOACHA</c:v>
                  </c:pt>
                  <c:pt idx="23">
                    <c:v>LICEO TALENTOS</c:v>
                  </c:pt>
                  <c:pt idx="24">
                    <c:v>COLOMBIA</c:v>
                  </c:pt>
                  <c:pt idx="25">
                    <c:v>SOACHA</c:v>
                  </c:pt>
                  <c:pt idx="26">
                    <c:v>LICEO TALENTOS</c:v>
                  </c:pt>
                  <c:pt idx="27">
                    <c:v>COLOMBIA</c:v>
                  </c:pt>
                  <c:pt idx="28">
                    <c:v>SOACHA</c:v>
                  </c:pt>
                  <c:pt idx="29">
                    <c:v>LICEO TALENTOS</c:v>
                  </c:pt>
                </c:lvl>
                <c:lvl>
                  <c:pt idx="0">
                    <c:v>2016</c:v>
                  </c:pt>
                  <c:pt idx="3">
                    <c:v>2017</c:v>
                  </c:pt>
                  <c:pt idx="6">
                    <c:v>2018</c:v>
                  </c:pt>
                  <c:pt idx="9">
                    <c:v>2019</c:v>
                  </c:pt>
                  <c:pt idx="12">
                    <c:v>2020</c:v>
                  </c:pt>
                  <c:pt idx="15">
                    <c:v>2021</c:v>
                  </c:pt>
                  <c:pt idx="18">
                    <c:v>2022</c:v>
                  </c:pt>
                  <c:pt idx="21">
                    <c:v>2023</c:v>
                  </c:pt>
                  <c:pt idx="24">
                    <c:v>2024</c:v>
                  </c:pt>
                  <c:pt idx="27">
                    <c:v>2025</c:v>
                  </c:pt>
                </c:lvl>
              </c:multiLvlStrCache>
            </c:multiLvlStrRef>
          </c:cat>
          <c:val>
            <c:numRef>
              <c:f>'3 Promediosyniveles'!$M$78:$M$107</c:f>
              <c:numCache>
                <c:formatCode>0%</c:formatCode>
                <c:ptCount val="30"/>
                <c:pt idx="0">
                  <c:v>0.5</c:v>
                </c:pt>
                <c:pt idx="1">
                  <c:v>0.55000000000000004</c:v>
                </c:pt>
                <c:pt idx="2">
                  <c:v>0</c:v>
                </c:pt>
                <c:pt idx="3">
                  <c:v>0.48</c:v>
                </c:pt>
                <c:pt idx="4">
                  <c:v>0.54</c:v>
                </c:pt>
                <c:pt idx="5">
                  <c:v>0</c:v>
                </c:pt>
                <c:pt idx="6">
                  <c:v>0.49</c:v>
                </c:pt>
                <c:pt idx="7">
                  <c:v>0.55000000000000004</c:v>
                </c:pt>
                <c:pt idx="8">
                  <c:v>0</c:v>
                </c:pt>
                <c:pt idx="9">
                  <c:v>0.51</c:v>
                </c:pt>
                <c:pt idx="10">
                  <c:v>0.56999999999999995</c:v>
                </c:pt>
                <c:pt idx="11">
                  <c:v>0</c:v>
                </c:pt>
                <c:pt idx="12">
                  <c:v>0.5</c:v>
                </c:pt>
                <c:pt idx="13">
                  <c:v>0.59</c:v>
                </c:pt>
                <c:pt idx="14">
                  <c:v>0</c:v>
                </c:pt>
                <c:pt idx="15">
                  <c:v>0.46</c:v>
                </c:pt>
                <c:pt idx="16">
                  <c:v>0.54</c:v>
                </c:pt>
                <c:pt idx="17">
                  <c:v>0</c:v>
                </c:pt>
                <c:pt idx="18">
                  <c:v>0.49</c:v>
                </c:pt>
                <c:pt idx="19">
                  <c:v>0.57999999999999996</c:v>
                </c:pt>
                <c:pt idx="20">
                  <c:v>0</c:v>
                </c:pt>
                <c:pt idx="21">
                  <c:v>0.49</c:v>
                </c:pt>
                <c:pt idx="22">
                  <c:v>0.56000000000000005</c:v>
                </c:pt>
                <c:pt idx="23">
                  <c:v>0</c:v>
                </c:pt>
                <c:pt idx="24">
                  <c:v>0.5</c:v>
                </c:pt>
                <c:pt idx="25">
                  <c:v>0.57999999999999996</c:v>
                </c:pt>
                <c:pt idx="26">
                  <c:v>0.56999999999999995</c:v>
                </c:pt>
                <c:pt idx="27">
                  <c:v>0.5</c:v>
                </c:pt>
                <c:pt idx="28">
                  <c:v>0.57999999999999996</c:v>
                </c:pt>
                <c:pt idx="29">
                  <c:v>0.44</c:v>
                </c:pt>
              </c:numCache>
            </c:numRef>
          </c:val>
          <c:extLst>
            <c:ext xmlns:c16="http://schemas.microsoft.com/office/drawing/2014/chart" uri="{C3380CC4-5D6E-409C-BE32-E72D297353CC}">
              <c16:uniqueId val="{00000002-EA10-4777-A858-C2626BB091A8}"/>
            </c:ext>
          </c:extLst>
        </c:ser>
        <c:ser>
          <c:idx val="3"/>
          <c:order val="3"/>
          <c:tx>
            <c:strRef>
              <c:f>'3 Promediosyniveles'!$N$77</c:f>
              <c:strCache>
                <c:ptCount val="1"/>
                <c:pt idx="0">
                  <c:v>4</c:v>
                </c:pt>
              </c:strCache>
            </c:strRef>
          </c:tx>
          <c:spPr>
            <a:solidFill>
              <a:srgbClr val="00B050"/>
            </a:solidFill>
            <a:ln>
              <a:noFill/>
            </a:ln>
            <a:effectLst/>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'3 Promediosyniveles'!$I$78:$J$107</c:f>
              <c:multiLvlStrCache>
                <c:ptCount val="30"/>
                <c:lvl>
                  <c:pt idx="0">
                    <c:v>COLOMBIA</c:v>
                  </c:pt>
                  <c:pt idx="1">
                    <c:v>SOACHA</c:v>
                  </c:pt>
                  <c:pt idx="2">
                    <c:v>LICEO TALENTOS</c:v>
                  </c:pt>
                  <c:pt idx="3">
                    <c:v>COLOMBIA</c:v>
                  </c:pt>
                  <c:pt idx="4">
                    <c:v>SOACHA</c:v>
                  </c:pt>
                  <c:pt idx="5">
                    <c:v>LICEO TALENTOS</c:v>
                  </c:pt>
                  <c:pt idx="6">
                    <c:v>COLOMBIA</c:v>
                  </c:pt>
                  <c:pt idx="7">
                    <c:v>SOACHA</c:v>
                  </c:pt>
                  <c:pt idx="8">
                    <c:v>LICEO TALENTOS</c:v>
                  </c:pt>
                  <c:pt idx="9">
                    <c:v>COLOMBIA</c:v>
                  </c:pt>
                  <c:pt idx="10">
                    <c:v>SOACHA</c:v>
                  </c:pt>
                  <c:pt idx="11">
                    <c:v>LICEO TALENTOS</c:v>
                  </c:pt>
                  <c:pt idx="12">
                    <c:v>COLOMBIA</c:v>
                  </c:pt>
                  <c:pt idx="13">
                    <c:v>SOACHA</c:v>
                  </c:pt>
                  <c:pt idx="14">
                    <c:v>LICEO TALENTOS</c:v>
                  </c:pt>
                  <c:pt idx="15">
                    <c:v>COLOMBIA</c:v>
                  </c:pt>
                  <c:pt idx="16">
                    <c:v>SOACHA</c:v>
                  </c:pt>
                  <c:pt idx="17">
                    <c:v>LICEO TALENTOS</c:v>
                  </c:pt>
                  <c:pt idx="18">
                    <c:v>COLOMBIA</c:v>
                  </c:pt>
                  <c:pt idx="19">
                    <c:v>SOACHA</c:v>
                  </c:pt>
                  <c:pt idx="20">
                    <c:v>LICEO TALENTOS</c:v>
                  </c:pt>
                  <c:pt idx="21">
                    <c:v>COLOMBIA</c:v>
                  </c:pt>
                  <c:pt idx="22">
                    <c:v>SOACHA</c:v>
                  </c:pt>
                  <c:pt idx="23">
                    <c:v>LICEO TALENTOS</c:v>
                  </c:pt>
                  <c:pt idx="24">
                    <c:v>COLOMBIA</c:v>
                  </c:pt>
                  <c:pt idx="25">
                    <c:v>SOACHA</c:v>
                  </c:pt>
                  <c:pt idx="26">
                    <c:v>LICEO TALENTOS</c:v>
                  </c:pt>
                  <c:pt idx="27">
                    <c:v>COLOMBIA</c:v>
                  </c:pt>
                  <c:pt idx="28">
                    <c:v>SOACHA</c:v>
                  </c:pt>
                  <c:pt idx="29">
                    <c:v>LICEO TALENTOS</c:v>
                  </c:pt>
                </c:lvl>
                <c:lvl>
                  <c:pt idx="0">
                    <c:v>2016</c:v>
                  </c:pt>
                  <c:pt idx="3">
                    <c:v>2017</c:v>
                  </c:pt>
                  <c:pt idx="6">
                    <c:v>2018</c:v>
                  </c:pt>
                  <c:pt idx="9">
                    <c:v>2019</c:v>
                  </c:pt>
                  <c:pt idx="12">
                    <c:v>2020</c:v>
                  </c:pt>
                  <c:pt idx="15">
                    <c:v>2021</c:v>
                  </c:pt>
                  <c:pt idx="18">
                    <c:v>2022</c:v>
                  </c:pt>
                  <c:pt idx="21">
                    <c:v>2023</c:v>
                  </c:pt>
                  <c:pt idx="24">
                    <c:v>2024</c:v>
                  </c:pt>
                  <c:pt idx="27">
                    <c:v>2025</c:v>
                  </c:pt>
                </c:lvl>
              </c:multiLvlStrCache>
            </c:multiLvlStrRef>
          </c:cat>
          <c:val>
            <c:numRef>
              <c:f>'3 Promediosyniveles'!$N$78:$N$107</c:f>
              <c:numCache>
                <c:formatCode>0%</c:formatCode>
                <c:ptCount val="30"/>
                <c:pt idx="0">
                  <c:v>0.05</c:v>
                </c:pt>
                <c:pt idx="1">
                  <c:v>0.02</c:v>
                </c:pt>
                <c:pt idx="2">
                  <c:v>0</c:v>
                </c:pt>
                <c:pt idx="3">
                  <c:v>0.05</c:v>
                </c:pt>
                <c:pt idx="4">
                  <c:v>0.03</c:v>
                </c:pt>
                <c:pt idx="5">
                  <c:v>0</c:v>
                </c:pt>
                <c:pt idx="6">
                  <c:v>0.05</c:v>
                </c:pt>
                <c:pt idx="7">
                  <c:v>0.02</c:v>
                </c:pt>
                <c:pt idx="8">
                  <c:v>0</c:v>
                </c:pt>
                <c:pt idx="9">
                  <c:v>0.06</c:v>
                </c:pt>
                <c:pt idx="10">
                  <c:v>0.03</c:v>
                </c:pt>
                <c:pt idx="11">
                  <c:v>0</c:v>
                </c:pt>
                <c:pt idx="12">
                  <c:v>0.05</c:v>
                </c:pt>
                <c:pt idx="13">
                  <c:v>0.03</c:v>
                </c:pt>
                <c:pt idx="14">
                  <c:v>0</c:v>
                </c:pt>
                <c:pt idx="15">
                  <c:v>0.04</c:v>
                </c:pt>
                <c:pt idx="16">
                  <c:v>0.03</c:v>
                </c:pt>
                <c:pt idx="17">
                  <c:v>0</c:v>
                </c:pt>
                <c:pt idx="18">
                  <c:v>0.05</c:v>
                </c:pt>
                <c:pt idx="19">
                  <c:v>0.03</c:v>
                </c:pt>
                <c:pt idx="20">
                  <c:v>0</c:v>
                </c:pt>
                <c:pt idx="21">
                  <c:v>7.0000000000000007E-2</c:v>
                </c:pt>
                <c:pt idx="22">
                  <c:v>0.04</c:v>
                </c:pt>
                <c:pt idx="23">
                  <c:v>0</c:v>
                </c:pt>
                <c:pt idx="24">
                  <c:v>0.08</c:v>
                </c:pt>
                <c:pt idx="25">
                  <c:v>0.06</c:v>
                </c:pt>
                <c:pt idx="26">
                  <c:v>0</c:v>
                </c:pt>
                <c:pt idx="27">
                  <c:v>0.09</c:v>
                </c:pt>
                <c:pt idx="28">
                  <c:v>0.06</c:v>
                </c:pt>
                <c:pt idx="29">
                  <c:v>0.03</c:v>
                </c:pt>
              </c:numCache>
            </c:numRef>
          </c:val>
          <c:extLst>
            <c:ext xmlns:c16="http://schemas.microsoft.com/office/drawing/2014/chart" uri="{C3380CC4-5D6E-409C-BE32-E72D297353CC}">
              <c16:uniqueId val="{00000003-EA10-4777-A858-C2626BB091A8}"/>
            </c:ext>
          </c:extLst>
        </c:ser>
        <c:dLbls>
          <c:showLegendKey val="0"/>
          <c:showVal val="0"/>
          <c:showCatName val="0"/>
          <c:showSerName val="0"/>
          <c:showPercent val="0"/>
          <c:showBubbleSize val="0"/>
        </c:dLbls>
        <c:gapWidth val="150"/>
        <c:overlap val="100"/>
        <c:axId val="419681552"/>
        <c:axId val="419681968"/>
      </c:barChart>
      <c:catAx>
        <c:axId val="4196815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crossAx val="419681968"/>
        <c:crosses val="autoZero"/>
        <c:auto val="1"/>
        <c:lblAlgn val="ctr"/>
        <c:lblOffset val="100"/>
        <c:noMultiLvlLbl val="0"/>
      </c:catAx>
      <c:valAx>
        <c:axId val="419681968"/>
        <c:scaling>
          <c:orientation val="minMax"/>
          <c:max val="1"/>
        </c:scaling>
        <c:delete val="0"/>
        <c:axPos val="l"/>
        <c:majorGridlines>
          <c:spPr>
            <a:ln w="9525" cap="flat" cmpd="sng" algn="ctr">
              <a:solidFill>
                <a:schemeClr val="bg1"/>
              </a:solidFill>
              <a:round/>
            </a:ln>
            <a:effectLst/>
          </c:spPr>
        </c:maj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crossAx val="41968155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s-CO" b="1"/>
              <a:t>Porcentaje de estudiantes por niveles de desempeño</a:t>
            </a:r>
          </a:p>
          <a:p>
            <a:pPr>
              <a:defRPr b="1"/>
            </a:pPr>
            <a:r>
              <a:rPr lang="es-CO" b="1"/>
              <a:t>Sociales y Ciudadanas</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title>
    <c:autoTitleDeleted val="0"/>
    <c:plotArea>
      <c:layout>
        <c:manualLayout>
          <c:layoutTarget val="inner"/>
          <c:xMode val="edge"/>
          <c:yMode val="edge"/>
          <c:x val="5.6349913519790802E-2"/>
          <c:y val="0.11601590038758022"/>
          <c:w val="0.91042416682974181"/>
          <c:h val="0.51189431804926688"/>
        </c:manualLayout>
      </c:layout>
      <c:barChart>
        <c:barDir val="col"/>
        <c:grouping val="stacked"/>
        <c:varyColors val="0"/>
        <c:ser>
          <c:idx val="0"/>
          <c:order val="0"/>
          <c:tx>
            <c:strRef>
              <c:f>'3 Promediosyniveles'!$K$157</c:f>
              <c:strCache>
                <c:ptCount val="1"/>
                <c:pt idx="0">
                  <c:v>1</c:v>
                </c:pt>
              </c:strCache>
            </c:strRef>
          </c:tx>
          <c:spPr>
            <a:solidFill>
              <a:srgbClr val="FF0000"/>
            </a:solidFill>
            <a:ln>
              <a:noFill/>
            </a:ln>
            <a:effectLst/>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'3 Promediosyniveles'!$I$158:$J$187</c:f>
              <c:multiLvlStrCache>
                <c:ptCount val="30"/>
                <c:lvl>
                  <c:pt idx="0">
                    <c:v>COLOMBIA</c:v>
                  </c:pt>
                  <c:pt idx="1">
                    <c:v>SOACHA</c:v>
                  </c:pt>
                  <c:pt idx="2">
                    <c:v>LICEO TALENTOS</c:v>
                  </c:pt>
                  <c:pt idx="3">
                    <c:v>COLOMBIA</c:v>
                  </c:pt>
                  <c:pt idx="4">
                    <c:v>SOACHA</c:v>
                  </c:pt>
                  <c:pt idx="5">
                    <c:v>LICEO TALENTOS</c:v>
                  </c:pt>
                  <c:pt idx="6">
                    <c:v>COLOMBIA</c:v>
                  </c:pt>
                  <c:pt idx="7">
                    <c:v>SOACHA</c:v>
                  </c:pt>
                  <c:pt idx="8">
                    <c:v>LICEO TALENTOS</c:v>
                  </c:pt>
                  <c:pt idx="9">
                    <c:v>COLOMBIA</c:v>
                  </c:pt>
                  <c:pt idx="10">
                    <c:v>SOACHA</c:v>
                  </c:pt>
                  <c:pt idx="11">
                    <c:v>LICEO TALENTOS</c:v>
                  </c:pt>
                  <c:pt idx="12">
                    <c:v>COLOMBIA</c:v>
                  </c:pt>
                  <c:pt idx="13">
                    <c:v>SOACHA</c:v>
                  </c:pt>
                  <c:pt idx="14">
                    <c:v>LICEO TALENTOS</c:v>
                  </c:pt>
                  <c:pt idx="15">
                    <c:v>COLOMBIA</c:v>
                  </c:pt>
                  <c:pt idx="16">
                    <c:v>SOACHA</c:v>
                  </c:pt>
                  <c:pt idx="17">
                    <c:v>LICEO TALENTOS</c:v>
                  </c:pt>
                  <c:pt idx="18">
                    <c:v>COLOMBIA</c:v>
                  </c:pt>
                  <c:pt idx="19">
                    <c:v>SOACHA</c:v>
                  </c:pt>
                  <c:pt idx="20">
                    <c:v>LICEO TALENTOS</c:v>
                  </c:pt>
                  <c:pt idx="21">
                    <c:v>COLOMBIA</c:v>
                  </c:pt>
                  <c:pt idx="22">
                    <c:v>SOACHA</c:v>
                  </c:pt>
                  <c:pt idx="23">
                    <c:v>LICEO TALENTOS</c:v>
                  </c:pt>
                  <c:pt idx="24">
                    <c:v>COLOMBIA</c:v>
                  </c:pt>
                  <c:pt idx="25">
                    <c:v>SOACHA</c:v>
                  </c:pt>
                  <c:pt idx="26">
                    <c:v>LICEO TALENTOS</c:v>
                  </c:pt>
                  <c:pt idx="27">
                    <c:v>COLOMBIA</c:v>
                  </c:pt>
                  <c:pt idx="28">
                    <c:v>SOACHA</c:v>
                  </c:pt>
                  <c:pt idx="29">
                    <c:v>LICEO TALENTOS</c:v>
                  </c:pt>
                </c:lvl>
                <c:lvl>
                  <c:pt idx="0">
                    <c:v>2016</c:v>
                  </c:pt>
                  <c:pt idx="3">
                    <c:v>2017</c:v>
                  </c:pt>
                  <c:pt idx="6">
                    <c:v>2018</c:v>
                  </c:pt>
                  <c:pt idx="9">
                    <c:v>2019</c:v>
                  </c:pt>
                  <c:pt idx="12">
                    <c:v>2020</c:v>
                  </c:pt>
                  <c:pt idx="15">
                    <c:v>2021</c:v>
                  </c:pt>
                  <c:pt idx="18">
                    <c:v>2022</c:v>
                  </c:pt>
                  <c:pt idx="21">
                    <c:v>2023</c:v>
                  </c:pt>
                  <c:pt idx="24">
                    <c:v>2024</c:v>
                  </c:pt>
                  <c:pt idx="27">
                    <c:v>2025</c:v>
                  </c:pt>
                </c:lvl>
              </c:multiLvlStrCache>
            </c:multiLvlStrRef>
          </c:cat>
          <c:val>
            <c:numRef>
              <c:f>'3 Promediosyniveles'!$K$158:$K$187</c:f>
              <c:numCache>
                <c:formatCode>0%</c:formatCode>
                <c:ptCount val="30"/>
                <c:pt idx="0">
                  <c:v>0.17</c:v>
                </c:pt>
                <c:pt idx="1">
                  <c:v>0.13</c:v>
                </c:pt>
                <c:pt idx="2">
                  <c:v>0</c:v>
                </c:pt>
                <c:pt idx="3">
                  <c:v>0.17</c:v>
                </c:pt>
                <c:pt idx="4">
                  <c:v>0.13</c:v>
                </c:pt>
                <c:pt idx="5">
                  <c:v>0</c:v>
                </c:pt>
                <c:pt idx="6">
                  <c:v>0.25</c:v>
                </c:pt>
                <c:pt idx="7">
                  <c:v>0.21</c:v>
                </c:pt>
                <c:pt idx="8">
                  <c:v>0</c:v>
                </c:pt>
                <c:pt idx="9">
                  <c:v>0.32</c:v>
                </c:pt>
                <c:pt idx="10">
                  <c:v>0.26</c:v>
                </c:pt>
                <c:pt idx="11">
                  <c:v>0</c:v>
                </c:pt>
                <c:pt idx="12">
                  <c:v>0.27</c:v>
                </c:pt>
                <c:pt idx="13">
                  <c:v>0.19</c:v>
                </c:pt>
                <c:pt idx="14">
                  <c:v>0</c:v>
                </c:pt>
                <c:pt idx="15">
                  <c:v>0.31</c:v>
                </c:pt>
                <c:pt idx="16">
                  <c:v>0.23</c:v>
                </c:pt>
                <c:pt idx="17">
                  <c:v>0</c:v>
                </c:pt>
                <c:pt idx="18">
                  <c:v>0.28999999999999998</c:v>
                </c:pt>
                <c:pt idx="19">
                  <c:v>0.21</c:v>
                </c:pt>
                <c:pt idx="20">
                  <c:v>0</c:v>
                </c:pt>
                <c:pt idx="21">
                  <c:v>0.27</c:v>
                </c:pt>
                <c:pt idx="22">
                  <c:v>0.2</c:v>
                </c:pt>
                <c:pt idx="23">
                  <c:v>0</c:v>
                </c:pt>
                <c:pt idx="24">
                  <c:v>0.27</c:v>
                </c:pt>
                <c:pt idx="25">
                  <c:v>0.2</c:v>
                </c:pt>
                <c:pt idx="26">
                  <c:v>0.14000000000000001</c:v>
                </c:pt>
                <c:pt idx="27">
                  <c:v>0.3</c:v>
                </c:pt>
                <c:pt idx="28">
                  <c:v>0.21</c:v>
                </c:pt>
                <c:pt idx="29">
                  <c:v>0.44</c:v>
                </c:pt>
              </c:numCache>
            </c:numRef>
          </c:val>
          <c:extLst>
            <c:ext xmlns:c16="http://schemas.microsoft.com/office/drawing/2014/chart" uri="{C3380CC4-5D6E-409C-BE32-E72D297353CC}">
              <c16:uniqueId val="{00000000-65C9-4603-AEA2-99BA8F0A933A}"/>
            </c:ext>
          </c:extLst>
        </c:ser>
        <c:ser>
          <c:idx val="1"/>
          <c:order val="1"/>
          <c:tx>
            <c:strRef>
              <c:f>'3 Promediosyniveles'!$L$157</c:f>
              <c:strCache>
                <c:ptCount val="1"/>
                <c:pt idx="0">
                  <c:v>2</c:v>
                </c:pt>
              </c:strCache>
            </c:strRef>
          </c:tx>
          <c:spPr>
            <a:solidFill>
              <a:srgbClr val="FF6600"/>
            </a:solidFill>
            <a:ln>
              <a:noFill/>
            </a:ln>
            <a:effectLst/>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'3 Promediosyniveles'!$I$158:$J$187</c:f>
              <c:multiLvlStrCache>
                <c:ptCount val="30"/>
                <c:lvl>
                  <c:pt idx="0">
                    <c:v>COLOMBIA</c:v>
                  </c:pt>
                  <c:pt idx="1">
                    <c:v>SOACHA</c:v>
                  </c:pt>
                  <c:pt idx="2">
                    <c:v>LICEO TALENTOS</c:v>
                  </c:pt>
                  <c:pt idx="3">
                    <c:v>COLOMBIA</c:v>
                  </c:pt>
                  <c:pt idx="4">
                    <c:v>SOACHA</c:v>
                  </c:pt>
                  <c:pt idx="5">
                    <c:v>LICEO TALENTOS</c:v>
                  </c:pt>
                  <c:pt idx="6">
                    <c:v>COLOMBIA</c:v>
                  </c:pt>
                  <c:pt idx="7">
                    <c:v>SOACHA</c:v>
                  </c:pt>
                  <c:pt idx="8">
                    <c:v>LICEO TALENTOS</c:v>
                  </c:pt>
                  <c:pt idx="9">
                    <c:v>COLOMBIA</c:v>
                  </c:pt>
                  <c:pt idx="10">
                    <c:v>SOACHA</c:v>
                  </c:pt>
                  <c:pt idx="11">
                    <c:v>LICEO TALENTOS</c:v>
                  </c:pt>
                  <c:pt idx="12">
                    <c:v>COLOMBIA</c:v>
                  </c:pt>
                  <c:pt idx="13">
                    <c:v>SOACHA</c:v>
                  </c:pt>
                  <c:pt idx="14">
                    <c:v>LICEO TALENTOS</c:v>
                  </c:pt>
                  <c:pt idx="15">
                    <c:v>COLOMBIA</c:v>
                  </c:pt>
                  <c:pt idx="16">
                    <c:v>SOACHA</c:v>
                  </c:pt>
                  <c:pt idx="17">
                    <c:v>LICEO TALENTOS</c:v>
                  </c:pt>
                  <c:pt idx="18">
                    <c:v>COLOMBIA</c:v>
                  </c:pt>
                  <c:pt idx="19">
                    <c:v>SOACHA</c:v>
                  </c:pt>
                  <c:pt idx="20">
                    <c:v>LICEO TALENTOS</c:v>
                  </c:pt>
                  <c:pt idx="21">
                    <c:v>COLOMBIA</c:v>
                  </c:pt>
                  <c:pt idx="22">
                    <c:v>SOACHA</c:v>
                  </c:pt>
                  <c:pt idx="23">
                    <c:v>LICEO TALENTOS</c:v>
                  </c:pt>
                  <c:pt idx="24">
                    <c:v>COLOMBIA</c:v>
                  </c:pt>
                  <c:pt idx="25">
                    <c:v>SOACHA</c:v>
                  </c:pt>
                  <c:pt idx="26">
                    <c:v>LICEO TALENTOS</c:v>
                  </c:pt>
                  <c:pt idx="27">
                    <c:v>COLOMBIA</c:v>
                  </c:pt>
                  <c:pt idx="28">
                    <c:v>SOACHA</c:v>
                  </c:pt>
                  <c:pt idx="29">
                    <c:v>LICEO TALENTOS</c:v>
                  </c:pt>
                </c:lvl>
                <c:lvl>
                  <c:pt idx="0">
                    <c:v>2016</c:v>
                  </c:pt>
                  <c:pt idx="3">
                    <c:v>2017</c:v>
                  </c:pt>
                  <c:pt idx="6">
                    <c:v>2018</c:v>
                  </c:pt>
                  <c:pt idx="9">
                    <c:v>2019</c:v>
                  </c:pt>
                  <c:pt idx="12">
                    <c:v>2020</c:v>
                  </c:pt>
                  <c:pt idx="15">
                    <c:v>2021</c:v>
                  </c:pt>
                  <c:pt idx="18">
                    <c:v>2022</c:v>
                  </c:pt>
                  <c:pt idx="21">
                    <c:v>2023</c:v>
                  </c:pt>
                  <c:pt idx="24">
                    <c:v>2024</c:v>
                  </c:pt>
                  <c:pt idx="27">
                    <c:v>2025</c:v>
                  </c:pt>
                </c:lvl>
              </c:multiLvlStrCache>
            </c:multiLvlStrRef>
          </c:cat>
          <c:val>
            <c:numRef>
              <c:f>'3 Promediosyniveles'!$L$158:$L$187</c:f>
              <c:numCache>
                <c:formatCode>0%</c:formatCode>
                <c:ptCount val="30"/>
                <c:pt idx="0">
                  <c:v>0.47</c:v>
                </c:pt>
                <c:pt idx="1">
                  <c:v>0.52</c:v>
                </c:pt>
                <c:pt idx="2">
                  <c:v>0</c:v>
                </c:pt>
                <c:pt idx="3">
                  <c:v>0.47</c:v>
                </c:pt>
                <c:pt idx="4">
                  <c:v>0.51</c:v>
                </c:pt>
                <c:pt idx="5">
                  <c:v>0</c:v>
                </c:pt>
                <c:pt idx="6">
                  <c:v>0.43</c:v>
                </c:pt>
                <c:pt idx="7">
                  <c:v>0.49</c:v>
                </c:pt>
                <c:pt idx="8">
                  <c:v>0</c:v>
                </c:pt>
                <c:pt idx="9">
                  <c:v>0.41</c:v>
                </c:pt>
                <c:pt idx="10">
                  <c:v>0.47</c:v>
                </c:pt>
                <c:pt idx="11">
                  <c:v>0</c:v>
                </c:pt>
                <c:pt idx="12">
                  <c:v>0.42</c:v>
                </c:pt>
                <c:pt idx="13">
                  <c:v>0.47</c:v>
                </c:pt>
                <c:pt idx="14">
                  <c:v>0</c:v>
                </c:pt>
                <c:pt idx="15">
                  <c:v>0.42</c:v>
                </c:pt>
                <c:pt idx="16">
                  <c:v>0.48</c:v>
                </c:pt>
                <c:pt idx="17">
                  <c:v>0</c:v>
                </c:pt>
                <c:pt idx="18">
                  <c:v>0.41</c:v>
                </c:pt>
                <c:pt idx="19">
                  <c:v>0.46</c:v>
                </c:pt>
                <c:pt idx="20">
                  <c:v>0</c:v>
                </c:pt>
                <c:pt idx="21">
                  <c:v>0.42</c:v>
                </c:pt>
                <c:pt idx="22">
                  <c:v>0.48</c:v>
                </c:pt>
                <c:pt idx="23">
                  <c:v>0</c:v>
                </c:pt>
                <c:pt idx="24">
                  <c:v>0.41</c:v>
                </c:pt>
                <c:pt idx="25">
                  <c:v>0.46</c:v>
                </c:pt>
                <c:pt idx="26">
                  <c:v>0.33</c:v>
                </c:pt>
                <c:pt idx="27">
                  <c:v>0.39</c:v>
                </c:pt>
                <c:pt idx="28">
                  <c:v>0.45</c:v>
                </c:pt>
                <c:pt idx="29">
                  <c:v>0.25</c:v>
                </c:pt>
              </c:numCache>
            </c:numRef>
          </c:val>
          <c:extLst>
            <c:ext xmlns:c16="http://schemas.microsoft.com/office/drawing/2014/chart" uri="{C3380CC4-5D6E-409C-BE32-E72D297353CC}">
              <c16:uniqueId val="{00000001-65C9-4603-AEA2-99BA8F0A933A}"/>
            </c:ext>
          </c:extLst>
        </c:ser>
        <c:ser>
          <c:idx val="2"/>
          <c:order val="2"/>
          <c:tx>
            <c:strRef>
              <c:f>'3 Promediosyniveles'!$M$157</c:f>
              <c:strCache>
                <c:ptCount val="1"/>
                <c:pt idx="0">
                  <c:v>3</c:v>
                </c:pt>
              </c:strCache>
            </c:strRef>
          </c:tx>
          <c:spPr>
            <a:solidFill>
              <a:srgbClr val="FFFF00"/>
            </a:solidFill>
            <a:ln>
              <a:noFill/>
            </a:ln>
            <a:effectLst/>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'3 Promediosyniveles'!$I$158:$J$187</c:f>
              <c:multiLvlStrCache>
                <c:ptCount val="30"/>
                <c:lvl>
                  <c:pt idx="0">
                    <c:v>COLOMBIA</c:v>
                  </c:pt>
                  <c:pt idx="1">
                    <c:v>SOACHA</c:v>
                  </c:pt>
                  <c:pt idx="2">
                    <c:v>LICEO TALENTOS</c:v>
                  </c:pt>
                  <c:pt idx="3">
                    <c:v>COLOMBIA</c:v>
                  </c:pt>
                  <c:pt idx="4">
                    <c:v>SOACHA</c:v>
                  </c:pt>
                  <c:pt idx="5">
                    <c:v>LICEO TALENTOS</c:v>
                  </c:pt>
                  <c:pt idx="6">
                    <c:v>COLOMBIA</c:v>
                  </c:pt>
                  <c:pt idx="7">
                    <c:v>SOACHA</c:v>
                  </c:pt>
                  <c:pt idx="8">
                    <c:v>LICEO TALENTOS</c:v>
                  </c:pt>
                  <c:pt idx="9">
                    <c:v>COLOMBIA</c:v>
                  </c:pt>
                  <c:pt idx="10">
                    <c:v>SOACHA</c:v>
                  </c:pt>
                  <c:pt idx="11">
                    <c:v>LICEO TALENTOS</c:v>
                  </c:pt>
                  <c:pt idx="12">
                    <c:v>COLOMBIA</c:v>
                  </c:pt>
                  <c:pt idx="13">
                    <c:v>SOACHA</c:v>
                  </c:pt>
                  <c:pt idx="14">
                    <c:v>LICEO TALENTOS</c:v>
                  </c:pt>
                  <c:pt idx="15">
                    <c:v>COLOMBIA</c:v>
                  </c:pt>
                  <c:pt idx="16">
                    <c:v>SOACHA</c:v>
                  </c:pt>
                  <c:pt idx="17">
                    <c:v>LICEO TALENTOS</c:v>
                  </c:pt>
                  <c:pt idx="18">
                    <c:v>COLOMBIA</c:v>
                  </c:pt>
                  <c:pt idx="19">
                    <c:v>SOACHA</c:v>
                  </c:pt>
                  <c:pt idx="20">
                    <c:v>LICEO TALENTOS</c:v>
                  </c:pt>
                  <c:pt idx="21">
                    <c:v>COLOMBIA</c:v>
                  </c:pt>
                  <c:pt idx="22">
                    <c:v>SOACHA</c:v>
                  </c:pt>
                  <c:pt idx="23">
                    <c:v>LICEO TALENTOS</c:v>
                  </c:pt>
                  <c:pt idx="24">
                    <c:v>COLOMBIA</c:v>
                  </c:pt>
                  <c:pt idx="25">
                    <c:v>SOACHA</c:v>
                  </c:pt>
                  <c:pt idx="26">
                    <c:v>LICEO TALENTOS</c:v>
                  </c:pt>
                  <c:pt idx="27">
                    <c:v>COLOMBIA</c:v>
                  </c:pt>
                  <c:pt idx="28">
                    <c:v>SOACHA</c:v>
                  </c:pt>
                  <c:pt idx="29">
                    <c:v>LICEO TALENTOS</c:v>
                  </c:pt>
                </c:lvl>
                <c:lvl>
                  <c:pt idx="0">
                    <c:v>2016</c:v>
                  </c:pt>
                  <c:pt idx="3">
                    <c:v>2017</c:v>
                  </c:pt>
                  <c:pt idx="6">
                    <c:v>2018</c:v>
                  </c:pt>
                  <c:pt idx="9">
                    <c:v>2019</c:v>
                  </c:pt>
                  <c:pt idx="12">
                    <c:v>2020</c:v>
                  </c:pt>
                  <c:pt idx="15">
                    <c:v>2021</c:v>
                  </c:pt>
                  <c:pt idx="18">
                    <c:v>2022</c:v>
                  </c:pt>
                  <c:pt idx="21">
                    <c:v>2023</c:v>
                  </c:pt>
                  <c:pt idx="24">
                    <c:v>2024</c:v>
                  </c:pt>
                  <c:pt idx="27">
                    <c:v>2025</c:v>
                  </c:pt>
                </c:lvl>
              </c:multiLvlStrCache>
            </c:multiLvlStrRef>
          </c:cat>
          <c:val>
            <c:numRef>
              <c:f>'3 Promediosyniveles'!$M$158:$M$187</c:f>
              <c:numCache>
                <c:formatCode>0%</c:formatCode>
                <c:ptCount val="30"/>
                <c:pt idx="0">
                  <c:v>0.32</c:v>
                </c:pt>
                <c:pt idx="1">
                  <c:v>0.33</c:v>
                </c:pt>
                <c:pt idx="2">
                  <c:v>0</c:v>
                </c:pt>
                <c:pt idx="3">
                  <c:v>0.32</c:v>
                </c:pt>
                <c:pt idx="4">
                  <c:v>0.33</c:v>
                </c:pt>
                <c:pt idx="5">
                  <c:v>0</c:v>
                </c:pt>
                <c:pt idx="6">
                  <c:v>0.28000000000000003</c:v>
                </c:pt>
                <c:pt idx="7">
                  <c:v>0.28999999999999998</c:v>
                </c:pt>
                <c:pt idx="8">
                  <c:v>0</c:v>
                </c:pt>
                <c:pt idx="9">
                  <c:v>0.24</c:v>
                </c:pt>
                <c:pt idx="10">
                  <c:v>0.25</c:v>
                </c:pt>
                <c:pt idx="11">
                  <c:v>0</c:v>
                </c:pt>
                <c:pt idx="12">
                  <c:v>0.27</c:v>
                </c:pt>
                <c:pt idx="13">
                  <c:v>0.31</c:v>
                </c:pt>
                <c:pt idx="14">
                  <c:v>0</c:v>
                </c:pt>
                <c:pt idx="15">
                  <c:v>0.24</c:v>
                </c:pt>
                <c:pt idx="16">
                  <c:v>0.27</c:v>
                </c:pt>
                <c:pt idx="17">
                  <c:v>0</c:v>
                </c:pt>
                <c:pt idx="18">
                  <c:v>0.27</c:v>
                </c:pt>
                <c:pt idx="19">
                  <c:v>0.31</c:v>
                </c:pt>
                <c:pt idx="20">
                  <c:v>0</c:v>
                </c:pt>
                <c:pt idx="21">
                  <c:v>0.27</c:v>
                </c:pt>
                <c:pt idx="22">
                  <c:v>0.31</c:v>
                </c:pt>
                <c:pt idx="23">
                  <c:v>0</c:v>
                </c:pt>
                <c:pt idx="24">
                  <c:v>0.28000000000000003</c:v>
                </c:pt>
                <c:pt idx="25">
                  <c:v>0.31</c:v>
                </c:pt>
                <c:pt idx="26">
                  <c:v>0.52</c:v>
                </c:pt>
                <c:pt idx="27">
                  <c:v>0.27</c:v>
                </c:pt>
                <c:pt idx="28">
                  <c:v>0.31</c:v>
                </c:pt>
                <c:pt idx="29">
                  <c:v>0.28000000000000003</c:v>
                </c:pt>
              </c:numCache>
            </c:numRef>
          </c:val>
          <c:extLst>
            <c:ext xmlns:c16="http://schemas.microsoft.com/office/drawing/2014/chart" uri="{C3380CC4-5D6E-409C-BE32-E72D297353CC}">
              <c16:uniqueId val="{00000002-65C9-4603-AEA2-99BA8F0A933A}"/>
            </c:ext>
          </c:extLst>
        </c:ser>
        <c:ser>
          <c:idx val="3"/>
          <c:order val="3"/>
          <c:tx>
            <c:strRef>
              <c:f>'3 Promediosyniveles'!$N$157</c:f>
              <c:strCache>
                <c:ptCount val="1"/>
                <c:pt idx="0">
                  <c:v>4</c:v>
                </c:pt>
              </c:strCache>
            </c:strRef>
          </c:tx>
          <c:spPr>
            <a:solidFill>
              <a:srgbClr val="00B050"/>
            </a:solidFill>
            <a:ln>
              <a:noFill/>
            </a:ln>
            <a:effectLst/>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'3 Promediosyniveles'!$I$158:$J$187</c:f>
              <c:multiLvlStrCache>
                <c:ptCount val="30"/>
                <c:lvl>
                  <c:pt idx="0">
                    <c:v>COLOMBIA</c:v>
                  </c:pt>
                  <c:pt idx="1">
                    <c:v>SOACHA</c:v>
                  </c:pt>
                  <c:pt idx="2">
                    <c:v>LICEO TALENTOS</c:v>
                  </c:pt>
                  <c:pt idx="3">
                    <c:v>COLOMBIA</c:v>
                  </c:pt>
                  <c:pt idx="4">
                    <c:v>SOACHA</c:v>
                  </c:pt>
                  <c:pt idx="5">
                    <c:v>LICEO TALENTOS</c:v>
                  </c:pt>
                  <c:pt idx="6">
                    <c:v>COLOMBIA</c:v>
                  </c:pt>
                  <c:pt idx="7">
                    <c:v>SOACHA</c:v>
                  </c:pt>
                  <c:pt idx="8">
                    <c:v>LICEO TALENTOS</c:v>
                  </c:pt>
                  <c:pt idx="9">
                    <c:v>COLOMBIA</c:v>
                  </c:pt>
                  <c:pt idx="10">
                    <c:v>SOACHA</c:v>
                  </c:pt>
                  <c:pt idx="11">
                    <c:v>LICEO TALENTOS</c:v>
                  </c:pt>
                  <c:pt idx="12">
                    <c:v>COLOMBIA</c:v>
                  </c:pt>
                  <c:pt idx="13">
                    <c:v>SOACHA</c:v>
                  </c:pt>
                  <c:pt idx="14">
                    <c:v>LICEO TALENTOS</c:v>
                  </c:pt>
                  <c:pt idx="15">
                    <c:v>COLOMBIA</c:v>
                  </c:pt>
                  <c:pt idx="16">
                    <c:v>SOACHA</c:v>
                  </c:pt>
                  <c:pt idx="17">
                    <c:v>LICEO TALENTOS</c:v>
                  </c:pt>
                  <c:pt idx="18">
                    <c:v>COLOMBIA</c:v>
                  </c:pt>
                  <c:pt idx="19">
                    <c:v>SOACHA</c:v>
                  </c:pt>
                  <c:pt idx="20">
                    <c:v>LICEO TALENTOS</c:v>
                  </c:pt>
                  <c:pt idx="21">
                    <c:v>COLOMBIA</c:v>
                  </c:pt>
                  <c:pt idx="22">
                    <c:v>SOACHA</c:v>
                  </c:pt>
                  <c:pt idx="23">
                    <c:v>LICEO TALENTOS</c:v>
                  </c:pt>
                  <c:pt idx="24">
                    <c:v>COLOMBIA</c:v>
                  </c:pt>
                  <c:pt idx="25">
                    <c:v>SOACHA</c:v>
                  </c:pt>
                  <c:pt idx="26">
                    <c:v>LICEO TALENTOS</c:v>
                  </c:pt>
                  <c:pt idx="27">
                    <c:v>COLOMBIA</c:v>
                  </c:pt>
                  <c:pt idx="28">
                    <c:v>SOACHA</c:v>
                  </c:pt>
                  <c:pt idx="29">
                    <c:v>LICEO TALENTOS</c:v>
                  </c:pt>
                </c:lvl>
                <c:lvl>
                  <c:pt idx="0">
                    <c:v>2016</c:v>
                  </c:pt>
                  <c:pt idx="3">
                    <c:v>2017</c:v>
                  </c:pt>
                  <c:pt idx="6">
                    <c:v>2018</c:v>
                  </c:pt>
                  <c:pt idx="9">
                    <c:v>2019</c:v>
                  </c:pt>
                  <c:pt idx="12">
                    <c:v>2020</c:v>
                  </c:pt>
                  <c:pt idx="15">
                    <c:v>2021</c:v>
                  </c:pt>
                  <c:pt idx="18">
                    <c:v>2022</c:v>
                  </c:pt>
                  <c:pt idx="21">
                    <c:v>2023</c:v>
                  </c:pt>
                  <c:pt idx="24">
                    <c:v>2024</c:v>
                  </c:pt>
                  <c:pt idx="27">
                    <c:v>2025</c:v>
                  </c:pt>
                </c:lvl>
              </c:multiLvlStrCache>
            </c:multiLvlStrRef>
          </c:cat>
          <c:val>
            <c:numRef>
              <c:f>'3 Promediosyniveles'!$N$158:$N$187</c:f>
              <c:numCache>
                <c:formatCode>0%</c:formatCode>
                <c:ptCount val="30"/>
                <c:pt idx="0">
                  <c:v>0.03</c:v>
                </c:pt>
                <c:pt idx="1">
                  <c:v>0.01</c:v>
                </c:pt>
                <c:pt idx="2">
                  <c:v>0</c:v>
                </c:pt>
                <c:pt idx="3">
                  <c:v>0.04</c:v>
                </c:pt>
                <c:pt idx="4">
                  <c:v>0.02</c:v>
                </c:pt>
                <c:pt idx="5">
                  <c:v>0</c:v>
                </c:pt>
                <c:pt idx="6">
                  <c:v>0.04</c:v>
                </c:pt>
                <c:pt idx="7">
                  <c:v>0.02</c:v>
                </c:pt>
                <c:pt idx="8">
                  <c:v>0</c:v>
                </c:pt>
                <c:pt idx="9">
                  <c:v>0.03</c:v>
                </c:pt>
                <c:pt idx="10">
                  <c:v>0.01</c:v>
                </c:pt>
                <c:pt idx="11">
                  <c:v>0</c:v>
                </c:pt>
                <c:pt idx="12">
                  <c:v>0.04</c:v>
                </c:pt>
                <c:pt idx="13">
                  <c:v>0.02</c:v>
                </c:pt>
                <c:pt idx="14">
                  <c:v>0</c:v>
                </c:pt>
                <c:pt idx="15">
                  <c:v>0.03</c:v>
                </c:pt>
                <c:pt idx="16">
                  <c:v>0.02</c:v>
                </c:pt>
                <c:pt idx="17">
                  <c:v>0</c:v>
                </c:pt>
                <c:pt idx="18">
                  <c:v>0.03</c:v>
                </c:pt>
                <c:pt idx="19">
                  <c:v>0.02</c:v>
                </c:pt>
                <c:pt idx="20">
                  <c:v>0</c:v>
                </c:pt>
                <c:pt idx="21">
                  <c:v>0.04</c:v>
                </c:pt>
                <c:pt idx="22">
                  <c:v>0.02</c:v>
                </c:pt>
                <c:pt idx="23">
                  <c:v>0</c:v>
                </c:pt>
                <c:pt idx="24">
                  <c:v>0.04</c:v>
                </c:pt>
                <c:pt idx="25">
                  <c:v>0.03</c:v>
                </c:pt>
                <c:pt idx="26">
                  <c:v>0</c:v>
                </c:pt>
                <c:pt idx="27">
                  <c:v>0.04</c:v>
                </c:pt>
                <c:pt idx="28">
                  <c:v>0.03</c:v>
                </c:pt>
                <c:pt idx="29">
                  <c:v>0.03</c:v>
                </c:pt>
              </c:numCache>
            </c:numRef>
          </c:val>
          <c:extLst>
            <c:ext xmlns:c16="http://schemas.microsoft.com/office/drawing/2014/chart" uri="{C3380CC4-5D6E-409C-BE32-E72D297353CC}">
              <c16:uniqueId val="{00000003-65C9-4603-AEA2-99BA8F0A933A}"/>
            </c:ext>
          </c:extLst>
        </c:ser>
        <c:dLbls>
          <c:showLegendKey val="0"/>
          <c:showVal val="0"/>
          <c:showCatName val="0"/>
          <c:showSerName val="0"/>
          <c:showPercent val="0"/>
          <c:showBubbleSize val="0"/>
        </c:dLbls>
        <c:gapWidth val="150"/>
        <c:overlap val="100"/>
        <c:axId val="419681552"/>
        <c:axId val="419681968"/>
      </c:barChart>
      <c:catAx>
        <c:axId val="4196815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crossAx val="419681968"/>
        <c:crosses val="autoZero"/>
        <c:auto val="1"/>
        <c:lblAlgn val="ctr"/>
        <c:lblOffset val="100"/>
        <c:noMultiLvlLbl val="0"/>
      </c:catAx>
      <c:valAx>
        <c:axId val="419681968"/>
        <c:scaling>
          <c:orientation val="minMax"/>
          <c:max val="1"/>
        </c:scaling>
        <c:delete val="0"/>
        <c:axPos val="l"/>
        <c:majorGridlines>
          <c:spPr>
            <a:ln w="9525" cap="flat" cmpd="sng" algn="ctr">
              <a:solidFill>
                <a:schemeClr val="bg1"/>
              </a:solidFill>
              <a:round/>
            </a:ln>
            <a:effectLst/>
          </c:spPr>
        </c:maj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crossAx val="41968155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s-CO" sz="1400"/>
              <a:t>Promedio Puntaje Global Instituciones Oficiales por Comunas 2016-2024</a:t>
            </a:r>
          </a:p>
        </c:rich>
      </c:tx>
      <c:overlay val="0"/>
    </c:title>
    <c:autoTitleDeleted val="0"/>
    <c:plotArea>
      <c:layout/>
      <c:radarChart>
        <c:radarStyle val="marker"/>
        <c:varyColors val="0"/>
        <c:ser>
          <c:idx val="0"/>
          <c:order val="0"/>
          <c:tx>
            <c:strRef>
              <c:f>PGLOBAL!$I$234</c:f>
              <c:strCache>
                <c:ptCount val="1"/>
                <c:pt idx="0">
                  <c:v>2016</c:v>
                </c:pt>
              </c:strCache>
            </c:strRef>
          </c:tx>
          <c:spPr>
            <a:ln>
              <a:prstDash val="dashDot"/>
            </a:ln>
          </c:spPr>
          <c:val>
            <c:numRef>
              <c:f>PGLOBAL!$I$236:$I$241</c:f>
              <c:numCache>
                <c:formatCode>0</c:formatCode>
                <c:ptCount val="6"/>
                <c:pt idx="0">
                  <c:v>262.5</c:v>
                </c:pt>
                <c:pt idx="1">
                  <c:v>264.5</c:v>
                </c:pt>
                <c:pt idx="2">
                  <c:v>259</c:v>
                </c:pt>
                <c:pt idx="3">
                  <c:v>243.83333333333334</c:v>
                </c:pt>
                <c:pt idx="4">
                  <c:v>264.5</c:v>
                </c:pt>
                <c:pt idx="5">
                  <c:v>259.33333333333331</c:v>
                </c:pt>
              </c:numCache>
            </c:numRef>
          </c:val>
          <c:extLst>
            <c:ext xmlns:c15="http://schemas.microsoft.com/office/drawing/2012/chart" uri="{02D57815-91ED-43cb-92C2-25804820EDAC}">
              <c15:filteredCategoryTitle>
                <c15:cat>
                  <c:strRef>
                    <c:extLst>
                      <c:ext uri="{02D57815-91ED-43cb-92C2-25804820EDAC}">
                        <c15:formulaRef>
                          <c15:sqref>PGLOBAL!$H$236:$H$241</c15:sqref>
                        </c15:formulaRef>
                      </c:ext>
                    </c:extLst>
                    <c:strCache>
                      <c:ptCount val="6"/>
                      <c:pt idx="0">
                        <c:v>COMUNA 1</c:v>
                      </c:pt>
                      <c:pt idx="1">
                        <c:v>COMUNA 2</c:v>
                      </c:pt>
                      <c:pt idx="2">
                        <c:v>COMUNA 3</c:v>
                      </c:pt>
                      <c:pt idx="3">
                        <c:v>COMUNA 4</c:v>
                      </c:pt>
                      <c:pt idx="4">
                        <c:v>COMUNA 5</c:v>
                      </c:pt>
                      <c:pt idx="5">
                        <c:v>COMUNA 6</c:v>
                      </c:pt>
                    </c:strCache>
                  </c:strRef>
                </c15:cat>
              </c15:filteredCategoryTitle>
            </c:ext>
            <c:ext xmlns:c16="http://schemas.microsoft.com/office/drawing/2014/chart" uri="{C3380CC4-5D6E-409C-BE32-E72D297353CC}">
              <c16:uniqueId val="{00000000-A093-4265-9E01-CFF1436F20BA}"/>
            </c:ext>
          </c:extLst>
        </c:ser>
        <c:ser>
          <c:idx val="1"/>
          <c:order val="1"/>
          <c:tx>
            <c:strRef>
              <c:f>PGLOBAL!$J$234</c:f>
              <c:strCache>
                <c:ptCount val="1"/>
                <c:pt idx="0">
                  <c:v>2017</c:v>
                </c:pt>
              </c:strCache>
            </c:strRef>
          </c:tx>
          <c:val>
            <c:numRef>
              <c:f>PGLOBAL!$J$236:$J$241</c:f>
              <c:numCache>
                <c:formatCode>0</c:formatCode>
                <c:ptCount val="6"/>
                <c:pt idx="0">
                  <c:v>263</c:v>
                </c:pt>
                <c:pt idx="1">
                  <c:v>261.5</c:v>
                </c:pt>
                <c:pt idx="2">
                  <c:v>256.66666666666669</c:v>
                </c:pt>
                <c:pt idx="3">
                  <c:v>244.33333333333334</c:v>
                </c:pt>
                <c:pt idx="4">
                  <c:v>257.5</c:v>
                </c:pt>
                <c:pt idx="5">
                  <c:v>257</c:v>
                </c:pt>
              </c:numCache>
            </c:numRef>
          </c:val>
          <c:extLst>
            <c:ext xmlns:c15="http://schemas.microsoft.com/office/drawing/2012/chart" uri="{02D57815-91ED-43cb-92C2-25804820EDAC}">
              <c15:filteredCategoryTitle>
                <c15:cat>
                  <c:strRef>
                    <c:extLst>
                      <c:ext uri="{02D57815-91ED-43cb-92C2-25804820EDAC}">
                        <c15:formulaRef>
                          <c15:sqref>PGLOBAL!$H$236:$H$241</c15:sqref>
                        </c15:formulaRef>
                      </c:ext>
                    </c:extLst>
                    <c:strCache>
                      <c:ptCount val="6"/>
                      <c:pt idx="0">
                        <c:v>COMUNA 1</c:v>
                      </c:pt>
                      <c:pt idx="1">
                        <c:v>COMUNA 2</c:v>
                      </c:pt>
                      <c:pt idx="2">
                        <c:v>COMUNA 3</c:v>
                      </c:pt>
                      <c:pt idx="3">
                        <c:v>COMUNA 4</c:v>
                      </c:pt>
                      <c:pt idx="4">
                        <c:v>COMUNA 5</c:v>
                      </c:pt>
                      <c:pt idx="5">
                        <c:v>COMUNA 6</c:v>
                      </c:pt>
                    </c:strCache>
                  </c:strRef>
                </c15:cat>
              </c15:filteredCategoryTitle>
            </c:ext>
            <c:ext xmlns:c16="http://schemas.microsoft.com/office/drawing/2014/chart" uri="{C3380CC4-5D6E-409C-BE32-E72D297353CC}">
              <c16:uniqueId val="{00000001-A093-4265-9E01-CFF1436F20BA}"/>
            </c:ext>
          </c:extLst>
        </c:ser>
        <c:ser>
          <c:idx val="2"/>
          <c:order val="2"/>
          <c:tx>
            <c:strRef>
              <c:f>PGLOBAL!$K$234</c:f>
              <c:strCache>
                <c:ptCount val="1"/>
                <c:pt idx="0">
                  <c:v>2018</c:v>
                </c:pt>
              </c:strCache>
            </c:strRef>
          </c:tx>
          <c:spPr>
            <a:ln>
              <a:prstDash val="sysDot"/>
            </a:ln>
          </c:spPr>
          <c:val>
            <c:numRef>
              <c:f>PGLOBAL!$K$236:$K$241</c:f>
              <c:numCache>
                <c:formatCode>0</c:formatCode>
                <c:ptCount val="6"/>
                <c:pt idx="0">
                  <c:v>255.75</c:v>
                </c:pt>
                <c:pt idx="1">
                  <c:v>257.5</c:v>
                </c:pt>
                <c:pt idx="2">
                  <c:v>257</c:v>
                </c:pt>
                <c:pt idx="3">
                  <c:v>237</c:v>
                </c:pt>
                <c:pt idx="4">
                  <c:v>251</c:v>
                </c:pt>
                <c:pt idx="5">
                  <c:v>252.33333333333334</c:v>
                </c:pt>
              </c:numCache>
            </c:numRef>
          </c:val>
          <c:extLst>
            <c:ext xmlns:c15="http://schemas.microsoft.com/office/drawing/2012/chart" uri="{02D57815-91ED-43cb-92C2-25804820EDAC}">
              <c15:filteredCategoryTitle>
                <c15:cat>
                  <c:strRef>
                    <c:extLst>
                      <c:ext uri="{02D57815-91ED-43cb-92C2-25804820EDAC}">
                        <c15:formulaRef>
                          <c15:sqref>PGLOBAL!$H$236:$H$241</c15:sqref>
                        </c15:formulaRef>
                      </c:ext>
                    </c:extLst>
                    <c:strCache>
                      <c:ptCount val="6"/>
                      <c:pt idx="0">
                        <c:v>COMUNA 1</c:v>
                      </c:pt>
                      <c:pt idx="1">
                        <c:v>COMUNA 2</c:v>
                      </c:pt>
                      <c:pt idx="2">
                        <c:v>COMUNA 3</c:v>
                      </c:pt>
                      <c:pt idx="3">
                        <c:v>COMUNA 4</c:v>
                      </c:pt>
                      <c:pt idx="4">
                        <c:v>COMUNA 5</c:v>
                      </c:pt>
                      <c:pt idx="5">
                        <c:v>COMUNA 6</c:v>
                      </c:pt>
                    </c:strCache>
                  </c:strRef>
                </c15:cat>
              </c15:filteredCategoryTitle>
            </c:ext>
            <c:ext xmlns:c16="http://schemas.microsoft.com/office/drawing/2014/chart" uri="{C3380CC4-5D6E-409C-BE32-E72D297353CC}">
              <c16:uniqueId val="{00000002-A093-4265-9E01-CFF1436F20BA}"/>
            </c:ext>
          </c:extLst>
        </c:ser>
        <c:ser>
          <c:idx val="3"/>
          <c:order val="3"/>
          <c:tx>
            <c:strRef>
              <c:f>PGLOBAL!$L$234</c:f>
              <c:strCache>
                <c:ptCount val="1"/>
                <c:pt idx="0">
                  <c:v>2019</c:v>
                </c:pt>
              </c:strCache>
            </c:strRef>
          </c:tx>
          <c:val>
            <c:numRef>
              <c:f>PGLOBAL!$L$236:$L$241</c:f>
              <c:numCache>
                <c:formatCode>0</c:formatCode>
                <c:ptCount val="6"/>
                <c:pt idx="0">
                  <c:v>253.75</c:v>
                </c:pt>
                <c:pt idx="1">
                  <c:v>253.5</c:v>
                </c:pt>
                <c:pt idx="2">
                  <c:v>250</c:v>
                </c:pt>
                <c:pt idx="3">
                  <c:v>232.5</c:v>
                </c:pt>
                <c:pt idx="4">
                  <c:v>252.5</c:v>
                </c:pt>
                <c:pt idx="5">
                  <c:v>250</c:v>
                </c:pt>
              </c:numCache>
            </c:numRef>
          </c:val>
          <c:extLst>
            <c:ext xmlns:c15="http://schemas.microsoft.com/office/drawing/2012/chart" uri="{02D57815-91ED-43cb-92C2-25804820EDAC}">
              <c15:filteredCategoryTitle>
                <c15:cat>
                  <c:strRef>
                    <c:extLst>
                      <c:ext uri="{02D57815-91ED-43cb-92C2-25804820EDAC}">
                        <c15:formulaRef>
                          <c15:sqref>PGLOBAL!$H$236:$H$241</c15:sqref>
                        </c15:formulaRef>
                      </c:ext>
                    </c:extLst>
                    <c:strCache>
                      <c:ptCount val="6"/>
                      <c:pt idx="0">
                        <c:v>COMUNA 1</c:v>
                      </c:pt>
                      <c:pt idx="1">
                        <c:v>COMUNA 2</c:v>
                      </c:pt>
                      <c:pt idx="2">
                        <c:v>COMUNA 3</c:v>
                      </c:pt>
                      <c:pt idx="3">
                        <c:v>COMUNA 4</c:v>
                      </c:pt>
                      <c:pt idx="4">
                        <c:v>COMUNA 5</c:v>
                      </c:pt>
                      <c:pt idx="5">
                        <c:v>COMUNA 6</c:v>
                      </c:pt>
                    </c:strCache>
                  </c:strRef>
                </c15:cat>
              </c15:filteredCategoryTitle>
            </c:ext>
            <c:ext xmlns:c16="http://schemas.microsoft.com/office/drawing/2014/chart" uri="{C3380CC4-5D6E-409C-BE32-E72D297353CC}">
              <c16:uniqueId val="{00000003-A093-4265-9E01-CFF1436F20BA}"/>
            </c:ext>
          </c:extLst>
        </c:ser>
        <c:ser>
          <c:idx val="4"/>
          <c:order val="4"/>
          <c:tx>
            <c:strRef>
              <c:f>PGLOBAL!$M$234</c:f>
              <c:strCache>
                <c:ptCount val="1"/>
                <c:pt idx="0">
                  <c:v>2020</c:v>
                </c:pt>
              </c:strCache>
            </c:strRef>
          </c:tx>
          <c:val>
            <c:numRef>
              <c:f>PGLOBAL!$M$236:$M$241</c:f>
              <c:numCache>
                <c:formatCode>0</c:formatCode>
                <c:ptCount val="6"/>
                <c:pt idx="0">
                  <c:v>255.5</c:v>
                </c:pt>
                <c:pt idx="1">
                  <c:v>255.5</c:v>
                </c:pt>
                <c:pt idx="2">
                  <c:v>252.75</c:v>
                </c:pt>
                <c:pt idx="3">
                  <c:v>234.5</c:v>
                </c:pt>
                <c:pt idx="4">
                  <c:v>252.5</c:v>
                </c:pt>
                <c:pt idx="5">
                  <c:v>251.33333333333334</c:v>
                </c:pt>
              </c:numCache>
            </c:numRef>
          </c:val>
          <c:extLst>
            <c:ext xmlns:c15="http://schemas.microsoft.com/office/drawing/2012/chart" uri="{02D57815-91ED-43cb-92C2-25804820EDAC}">
              <c15:filteredCategoryTitle>
                <c15:cat>
                  <c:strRef>
                    <c:extLst>
                      <c:ext uri="{02D57815-91ED-43cb-92C2-25804820EDAC}">
                        <c15:formulaRef>
                          <c15:sqref>PGLOBAL!$H$236:$H$241</c15:sqref>
                        </c15:formulaRef>
                      </c:ext>
                    </c:extLst>
                    <c:strCache>
                      <c:ptCount val="6"/>
                      <c:pt idx="0">
                        <c:v>COMUNA 1</c:v>
                      </c:pt>
                      <c:pt idx="1">
                        <c:v>COMUNA 2</c:v>
                      </c:pt>
                      <c:pt idx="2">
                        <c:v>COMUNA 3</c:v>
                      </c:pt>
                      <c:pt idx="3">
                        <c:v>COMUNA 4</c:v>
                      </c:pt>
                      <c:pt idx="4">
                        <c:v>COMUNA 5</c:v>
                      </c:pt>
                      <c:pt idx="5">
                        <c:v>COMUNA 6</c:v>
                      </c:pt>
                    </c:strCache>
                  </c:strRef>
                </c15:cat>
              </c15:filteredCategoryTitle>
            </c:ext>
            <c:ext xmlns:c16="http://schemas.microsoft.com/office/drawing/2014/chart" uri="{C3380CC4-5D6E-409C-BE32-E72D297353CC}">
              <c16:uniqueId val="{00000002-CA36-43E4-8330-B78367BCEA89}"/>
            </c:ext>
          </c:extLst>
        </c:ser>
        <c:ser>
          <c:idx val="5"/>
          <c:order val="5"/>
          <c:tx>
            <c:strRef>
              <c:f>PGLOBAL!$N$234</c:f>
              <c:strCache>
                <c:ptCount val="1"/>
                <c:pt idx="0">
                  <c:v>2021</c:v>
                </c:pt>
              </c:strCache>
            </c:strRef>
          </c:tx>
          <c:val>
            <c:numRef>
              <c:f>PGLOBAL!$N$236:$N$241</c:f>
              <c:numCache>
                <c:formatCode>0</c:formatCode>
                <c:ptCount val="6"/>
                <c:pt idx="0">
                  <c:v>251.5</c:v>
                </c:pt>
                <c:pt idx="1">
                  <c:v>250.5</c:v>
                </c:pt>
                <c:pt idx="2">
                  <c:v>250.4</c:v>
                </c:pt>
                <c:pt idx="3">
                  <c:v>233.66666666666666</c:v>
                </c:pt>
                <c:pt idx="4">
                  <c:v>251</c:v>
                </c:pt>
                <c:pt idx="5">
                  <c:v>246.33333333333334</c:v>
                </c:pt>
              </c:numCache>
            </c:numRef>
          </c:val>
          <c:extLst>
            <c:ext xmlns:c15="http://schemas.microsoft.com/office/drawing/2012/chart" uri="{02D57815-91ED-43cb-92C2-25804820EDAC}">
              <c15:filteredCategoryTitle>
                <c15:cat>
                  <c:strRef>
                    <c:extLst>
                      <c:ext uri="{02D57815-91ED-43cb-92C2-25804820EDAC}">
                        <c15:formulaRef>
                          <c15:sqref>PGLOBAL!$H$236:$H$241</c15:sqref>
                        </c15:formulaRef>
                      </c:ext>
                    </c:extLst>
                    <c:strCache>
                      <c:ptCount val="6"/>
                      <c:pt idx="0">
                        <c:v>COMUNA 1</c:v>
                      </c:pt>
                      <c:pt idx="1">
                        <c:v>COMUNA 2</c:v>
                      </c:pt>
                      <c:pt idx="2">
                        <c:v>COMUNA 3</c:v>
                      </c:pt>
                      <c:pt idx="3">
                        <c:v>COMUNA 4</c:v>
                      </c:pt>
                      <c:pt idx="4">
                        <c:v>COMUNA 5</c:v>
                      </c:pt>
                      <c:pt idx="5">
                        <c:v>COMUNA 6</c:v>
                      </c:pt>
                    </c:strCache>
                  </c:strRef>
                </c15:cat>
              </c15:filteredCategoryTitle>
            </c:ext>
            <c:ext xmlns:c16="http://schemas.microsoft.com/office/drawing/2014/chart" uri="{C3380CC4-5D6E-409C-BE32-E72D297353CC}">
              <c16:uniqueId val="{00000001-CA54-4446-90A4-8D5787BFC3EC}"/>
            </c:ext>
          </c:extLst>
        </c:ser>
        <c:ser>
          <c:idx val="6"/>
          <c:order val="6"/>
          <c:tx>
            <c:strRef>
              <c:f>PGLOBAL!$O$234</c:f>
              <c:strCache>
                <c:ptCount val="1"/>
                <c:pt idx="0">
                  <c:v>2022</c:v>
                </c:pt>
              </c:strCache>
            </c:strRef>
          </c:tx>
          <c:val>
            <c:numRef>
              <c:f>PGLOBAL!$O$236:$O$241</c:f>
              <c:numCache>
                <c:formatCode>0</c:formatCode>
                <c:ptCount val="6"/>
                <c:pt idx="0">
                  <c:v>252.8</c:v>
                </c:pt>
                <c:pt idx="1">
                  <c:v>253.25</c:v>
                </c:pt>
                <c:pt idx="2">
                  <c:v>257</c:v>
                </c:pt>
                <c:pt idx="3">
                  <c:v>238.33333333333334</c:v>
                </c:pt>
                <c:pt idx="4">
                  <c:v>259.5</c:v>
                </c:pt>
                <c:pt idx="5">
                  <c:v>251</c:v>
                </c:pt>
              </c:numCache>
            </c:numRef>
          </c:val>
          <c:extLst>
            <c:ext xmlns:c15="http://schemas.microsoft.com/office/drawing/2012/chart" uri="{02D57815-91ED-43cb-92C2-25804820EDAC}">
              <c15:filteredCategoryTitle>
                <c15:cat>
                  <c:strRef>
                    <c:extLst>
                      <c:ext uri="{02D57815-91ED-43cb-92C2-25804820EDAC}">
                        <c15:formulaRef>
                          <c15:sqref>PGLOBAL!$H$236:$H$241</c15:sqref>
                        </c15:formulaRef>
                      </c:ext>
                    </c:extLst>
                    <c:strCache>
                      <c:ptCount val="6"/>
                      <c:pt idx="0">
                        <c:v>COMUNA 1</c:v>
                      </c:pt>
                      <c:pt idx="1">
                        <c:v>COMUNA 2</c:v>
                      </c:pt>
                      <c:pt idx="2">
                        <c:v>COMUNA 3</c:v>
                      </c:pt>
                      <c:pt idx="3">
                        <c:v>COMUNA 4</c:v>
                      </c:pt>
                      <c:pt idx="4">
                        <c:v>COMUNA 5</c:v>
                      </c:pt>
                      <c:pt idx="5">
                        <c:v>COMUNA 6</c:v>
                      </c:pt>
                    </c:strCache>
                  </c:strRef>
                </c15:cat>
              </c15:filteredCategoryTitle>
            </c:ext>
            <c:ext xmlns:c16="http://schemas.microsoft.com/office/drawing/2014/chart" uri="{C3380CC4-5D6E-409C-BE32-E72D297353CC}">
              <c16:uniqueId val="{00000000-F3DD-46A2-A84A-1C6AEA5C9F17}"/>
            </c:ext>
          </c:extLst>
        </c:ser>
        <c:ser>
          <c:idx val="7"/>
          <c:order val="7"/>
          <c:tx>
            <c:strRef>
              <c:f>PGLOBAL!$P$234</c:f>
              <c:strCache>
                <c:ptCount val="1"/>
                <c:pt idx="0">
                  <c:v>2023</c:v>
                </c:pt>
              </c:strCache>
            </c:strRef>
          </c:tx>
          <c:val>
            <c:numRef>
              <c:f>PGLOBAL!$P$236:$P$241</c:f>
              <c:numCache>
                <c:formatCode>0</c:formatCode>
                <c:ptCount val="6"/>
                <c:pt idx="0">
                  <c:v>253.6</c:v>
                </c:pt>
                <c:pt idx="1">
                  <c:v>255.5</c:v>
                </c:pt>
                <c:pt idx="2">
                  <c:v>257</c:v>
                </c:pt>
                <c:pt idx="3">
                  <c:v>237.66666666666666</c:v>
                </c:pt>
                <c:pt idx="4">
                  <c:v>256.5</c:v>
                </c:pt>
                <c:pt idx="5">
                  <c:v>249.33333333333334</c:v>
                </c:pt>
              </c:numCache>
            </c:numRef>
          </c:val>
          <c:extLst>
            <c:ext xmlns:c15="http://schemas.microsoft.com/office/drawing/2012/chart" uri="{02D57815-91ED-43cb-92C2-25804820EDAC}">
              <c15:filteredCategoryTitle>
                <c15:cat>
                  <c:strRef>
                    <c:extLst>
                      <c:ext uri="{02D57815-91ED-43cb-92C2-25804820EDAC}">
                        <c15:formulaRef>
                          <c15:sqref>PGLOBAL!$H$236:$H$241</c15:sqref>
                        </c15:formulaRef>
                      </c:ext>
                    </c:extLst>
                    <c:strCache>
                      <c:ptCount val="6"/>
                      <c:pt idx="0">
                        <c:v>COMUNA 1</c:v>
                      </c:pt>
                      <c:pt idx="1">
                        <c:v>COMUNA 2</c:v>
                      </c:pt>
                      <c:pt idx="2">
                        <c:v>COMUNA 3</c:v>
                      </c:pt>
                      <c:pt idx="3">
                        <c:v>COMUNA 4</c:v>
                      </c:pt>
                      <c:pt idx="4">
                        <c:v>COMUNA 5</c:v>
                      </c:pt>
                      <c:pt idx="5">
                        <c:v>COMUNA 6</c:v>
                      </c:pt>
                    </c:strCache>
                  </c:strRef>
                </c15:cat>
              </c15:filteredCategoryTitle>
            </c:ext>
            <c:ext xmlns:c16="http://schemas.microsoft.com/office/drawing/2014/chart" uri="{C3380CC4-5D6E-409C-BE32-E72D297353CC}">
              <c16:uniqueId val="{00000001-F3DD-46A2-A84A-1C6AEA5C9F17}"/>
            </c:ext>
          </c:extLst>
        </c:ser>
        <c:ser>
          <c:idx val="8"/>
          <c:order val="8"/>
          <c:tx>
            <c:strRef>
              <c:f>PGLOBAL!$Q$234</c:f>
              <c:strCache>
                <c:ptCount val="1"/>
                <c:pt idx="0">
                  <c:v>2024</c:v>
                </c:pt>
              </c:strCache>
            </c:strRef>
          </c:tx>
          <c:val>
            <c:numRef>
              <c:f>PGLOBAL!$Q$236:$Q$241</c:f>
              <c:numCache>
                <c:formatCode>0</c:formatCode>
                <c:ptCount val="6"/>
                <c:pt idx="0">
                  <c:v>255.4</c:v>
                </c:pt>
                <c:pt idx="1">
                  <c:v>262</c:v>
                </c:pt>
                <c:pt idx="2">
                  <c:v>259</c:v>
                </c:pt>
                <c:pt idx="3">
                  <c:v>238.16666666666666</c:v>
                </c:pt>
                <c:pt idx="4">
                  <c:v>270.66666666666669</c:v>
                </c:pt>
                <c:pt idx="5">
                  <c:v>253.5</c:v>
                </c:pt>
              </c:numCache>
            </c:numRef>
          </c:val>
          <c:extLst>
            <c:ext xmlns:c15="http://schemas.microsoft.com/office/drawing/2012/chart" uri="{02D57815-91ED-43cb-92C2-25804820EDAC}">
              <c15:filteredCategoryTitle>
                <c15:cat>
                  <c:strRef>
                    <c:extLst>
                      <c:ext uri="{02D57815-91ED-43cb-92C2-25804820EDAC}">
                        <c15:formulaRef>
                          <c15:sqref>PGLOBAL!$H$236:$H$241</c15:sqref>
                        </c15:formulaRef>
                      </c:ext>
                    </c:extLst>
                    <c:strCache>
                      <c:ptCount val="6"/>
                      <c:pt idx="0">
                        <c:v>COMUNA 1</c:v>
                      </c:pt>
                      <c:pt idx="1">
                        <c:v>COMUNA 2</c:v>
                      </c:pt>
                      <c:pt idx="2">
                        <c:v>COMUNA 3</c:v>
                      </c:pt>
                      <c:pt idx="3">
                        <c:v>COMUNA 4</c:v>
                      </c:pt>
                      <c:pt idx="4">
                        <c:v>COMUNA 5</c:v>
                      </c:pt>
                      <c:pt idx="5">
                        <c:v>COMUNA 6</c:v>
                      </c:pt>
                    </c:strCache>
                  </c:strRef>
                </c15:cat>
              </c15:filteredCategoryTitle>
            </c:ext>
            <c:ext xmlns:c16="http://schemas.microsoft.com/office/drawing/2014/chart" uri="{C3380CC4-5D6E-409C-BE32-E72D297353CC}">
              <c16:uniqueId val="{00000000-38B7-4AF7-AFF6-E0A28C324A9B}"/>
            </c:ext>
          </c:extLst>
        </c:ser>
        <c:ser>
          <c:idx val="9"/>
          <c:order val="9"/>
          <c:tx>
            <c:strRef>
              <c:f>PGLOBAL!$R$234</c:f>
              <c:strCache>
                <c:ptCount val="1"/>
                <c:pt idx="0">
                  <c:v>2025</c:v>
                </c:pt>
              </c:strCache>
            </c:strRef>
          </c:tx>
          <c:val>
            <c:numRef>
              <c:f>PGLOBAL!$R$236:$R$241</c:f>
              <c:numCache>
                <c:formatCode>0</c:formatCode>
                <c:ptCount val="6"/>
                <c:pt idx="0">
                  <c:v>265</c:v>
                </c:pt>
                <c:pt idx="1">
                  <c:v>267</c:v>
                </c:pt>
                <c:pt idx="2">
                  <c:v>272</c:v>
                </c:pt>
                <c:pt idx="3">
                  <c:v>260</c:v>
                </c:pt>
                <c:pt idx="4">
                  <c:v>278</c:v>
                </c:pt>
                <c:pt idx="5">
                  <c:v>270</c:v>
                </c:pt>
              </c:numCache>
            </c:numRef>
          </c:val>
          <c:extLst>
            <c:ext xmlns:c15="http://schemas.microsoft.com/office/drawing/2012/chart" uri="{02D57815-91ED-43cb-92C2-25804820EDAC}">
              <c15:filteredCategoryTitle>
                <c15:cat>
                  <c:strRef>
                    <c:extLst>
                      <c:ext uri="{02D57815-91ED-43cb-92C2-25804820EDAC}">
                        <c15:formulaRef>
                          <c15:sqref>PGLOBAL!$H$236:$H$241</c15:sqref>
                        </c15:formulaRef>
                      </c:ext>
                    </c:extLst>
                    <c:strCache>
                      <c:ptCount val="6"/>
                      <c:pt idx="0">
                        <c:v>COMUNA 1</c:v>
                      </c:pt>
                      <c:pt idx="1">
                        <c:v>COMUNA 2</c:v>
                      </c:pt>
                      <c:pt idx="2">
                        <c:v>COMUNA 3</c:v>
                      </c:pt>
                      <c:pt idx="3">
                        <c:v>COMUNA 4</c:v>
                      </c:pt>
                      <c:pt idx="4">
                        <c:v>COMUNA 5</c:v>
                      </c:pt>
                      <c:pt idx="5">
                        <c:v>COMUNA 6</c:v>
                      </c:pt>
                    </c:strCache>
                  </c:strRef>
                </c15:cat>
              </c15:filteredCategoryTitle>
            </c:ext>
            <c:ext xmlns:c16="http://schemas.microsoft.com/office/drawing/2014/chart" uri="{C3380CC4-5D6E-409C-BE32-E72D297353CC}">
              <c16:uniqueId val="{00000000-7B63-4B51-861B-F14C122A0175}"/>
            </c:ext>
          </c:extLst>
        </c:ser>
        <c:dLbls>
          <c:showLegendKey val="0"/>
          <c:showVal val="0"/>
          <c:showCatName val="0"/>
          <c:showSerName val="0"/>
          <c:showPercent val="0"/>
          <c:showBubbleSize val="0"/>
        </c:dLbls>
        <c:axId val="95994624"/>
        <c:axId val="95996160"/>
      </c:radarChart>
      <c:catAx>
        <c:axId val="95994624"/>
        <c:scaling>
          <c:orientation val="minMax"/>
        </c:scaling>
        <c:delete val="0"/>
        <c:axPos val="b"/>
        <c:majorGridlines/>
        <c:numFmt formatCode="General" sourceLinked="0"/>
        <c:majorTickMark val="none"/>
        <c:minorTickMark val="none"/>
        <c:tickLblPos val="nextTo"/>
        <c:spPr>
          <a:ln w="9525">
            <a:noFill/>
          </a:ln>
        </c:spPr>
        <c:crossAx val="95996160"/>
        <c:crosses val="autoZero"/>
        <c:auto val="1"/>
        <c:lblAlgn val="ctr"/>
        <c:lblOffset val="100"/>
        <c:noMultiLvlLbl val="0"/>
      </c:catAx>
      <c:valAx>
        <c:axId val="95996160"/>
        <c:scaling>
          <c:orientation val="minMax"/>
          <c:max val="270"/>
          <c:min val="233"/>
        </c:scaling>
        <c:delete val="0"/>
        <c:axPos val="l"/>
        <c:majorGridlines/>
        <c:numFmt formatCode="0" sourceLinked="1"/>
        <c:majorTickMark val="none"/>
        <c:minorTickMark val="none"/>
        <c:tickLblPos val="nextTo"/>
        <c:crossAx val="95994624"/>
        <c:crosses val="autoZero"/>
        <c:crossBetween val="between"/>
      </c:valAx>
    </c:plotArea>
    <c:legend>
      <c:legendPos val="r"/>
      <c:overlay val="0"/>
    </c:legend>
    <c:plotVisOnly val="1"/>
    <c:dispBlanksAs val="gap"/>
    <c:showDLblsOverMax val="0"/>
  </c:chart>
  <c:txPr>
    <a:bodyPr/>
    <a:lstStyle/>
    <a:p>
      <a:pPr>
        <a:defRPr>
          <a:latin typeface="+mn-lt"/>
          <a:cs typeface="Arial" panose="020B0604020202020204" pitchFamily="34" charset="0"/>
        </a:defRPr>
      </a:pPr>
      <a:endParaRPr lang="es-CO"/>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s-CO" b="1"/>
              <a:t>Porcentaje de estudiantes por niveles de desempeño</a:t>
            </a:r>
          </a:p>
          <a:p>
            <a:pPr>
              <a:defRPr b="1"/>
            </a:pPr>
            <a:r>
              <a:rPr lang="es-CO" b="1"/>
              <a:t>Ciencias</a:t>
            </a:r>
            <a:r>
              <a:rPr lang="es-CO" b="1" baseline="0"/>
              <a:t> Naturales</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title>
    <c:autoTitleDeleted val="0"/>
    <c:plotArea>
      <c:layout>
        <c:manualLayout>
          <c:layoutTarget val="inner"/>
          <c:xMode val="edge"/>
          <c:yMode val="edge"/>
          <c:x val="5.8824970037937116E-2"/>
          <c:y val="7.8342270887734031E-2"/>
          <c:w val="0.87882379682560963"/>
          <c:h val="0.5411602842510862"/>
        </c:manualLayout>
      </c:layout>
      <c:barChart>
        <c:barDir val="col"/>
        <c:grouping val="stacked"/>
        <c:varyColors val="0"/>
        <c:ser>
          <c:idx val="0"/>
          <c:order val="0"/>
          <c:tx>
            <c:strRef>
              <c:f>'3 Promediosyniveles'!$K$222</c:f>
              <c:strCache>
                <c:ptCount val="1"/>
                <c:pt idx="0">
                  <c:v>1</c:v>
                </c:pt>
              </c:strCache>
            </c:strRef>
          </c:tx>
          <c:spPr>
            <a:solidFill>
              <a:srgbClr val="FF0000"/>
            </a:solidFill>
            <a:ln>
              <a:noFill/>
            </a:ln>
            <a:effectLst/>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'3 Promediosyniveles'!$I$223:$J$252</c:f>
              <c:multiLvlStrCache>
                <c:ptCount val="30"/>
                <c:lvl>
                  <c:pt idx="0">
                    <c:v>COLOMBIA</c:v>
                  </c:pt>
                  <c:pt idx="1">
                    <c:v>SOACHA</c:v>
                  </c:pt>
                  <c:pt idx="2">
                    <c:v>LICEO TALENTOS</c:v>
                  </c:pt>
                  <c:pt idx="3">
                    <c:v>COLOMBIA</c:v>
                  </c:pt>
                  <c:pt idx="4">
                    <c:v>SOACHA</c:v>
                  </c:pt>
                  <c:pt idx="5">
                    <c:v>LICEO TALENTOS</c:v>
                  </c:pt>
                  <c:pt idx="6">
                    <c:v>COLOMBIA</c:v>
                  </c:pt>
                  <c:pt idx="7">
                    <c:v>SOACHA</c:v>
                  </c:pt>
                  <c:pt idx="8">
                    <c:v>LICEO TALENTOS</c:v>
                  </c:pt>
                  <c:pt idx="9">
                    <c:v>COLOMBIA</c:v>
                  </c:pt>
                  <c:pt idx="10">
                    <c:v>SOACHA</c:v>
                  </c:pt>
                  <c:pt idx="11">
                    <c:v>LICEO TALENTOS</c:v>
                  </c:pt>
                  <c:pt idx="12">
                    <c:v>COLOMBIA</c:v>
                  </c:pt>
                  <c:pt idx="13">
                    <c:v>SOACHA</c:v>
                  </c:pt>
                  <c:pt idx="14">
                    <c:v>LICEO TALENTOS</c:v>
                  </c:pt>
                  <c:pt idx="15">
                    <c:v>COLOMBIA</c:v>
                  </c:pt>
                  <c:pt idx="16">
                    <c:v>SOACHA</c:v>
                  </c:pt>
                  <c:pt idx="17">
                    <c:v>LICEO TALENTOS</c:v>
                  </c:pt>
                  <c:pt idx="18">
                    <c:v>COLOMBIA</c:v>
                  </c:pt>
                  <c:pt idx="19">
                    <c:v>SOACHA</c:v>
                  </c:pt>
                  <c:pt idx="20">
                    <c:v>LICEO TALENTOS</c:v>
                  </c:pt>
                  <c:pt idx="21">
                    <c:v>COLOMBIA</c:v>
                  </c:pt>
                  <c:pt idx="22">
                    <c:v>SOACHA</c:v>
                  </c:pt>
                  <c:pt idx="23">
                    <c:v>LICEO TALENTOS</c:v>
                  </c:pt>
                  <c:pt idx="24">
                    <c:v>COLOMBIA</c:v>
                  </c:pt>
                  <c:pt idx="25">
                    <c:v>SOACHA</c:v>
                  </c:pt>
                  <c:pt idx="26">
                    <c:v>LICEO TALENTOS</c:v>
                  </c:pt>
                  <c:pt idx="27">
                    <c:v>COLOMBIA</c:v>
                  </c:pt>
                  <c:pt idx="28">
                    <c:v>SOACHA</c:v>
                  </c:pt>
                  <c:pt idx="29">
                    <c:v>LICEO TALENTOS</c:v>
                  </c:pt>
                </c:lvl>
                <c:lvl>
                  <c:pt idx="0">
                    <c:v>2016</c:v>
                  </c:pt>
                  <c:pt idx="3">
                    <c:v>2017</c:v>
                  </c:pt>
                  <c:pt idx="6">
                    <c:v>2018</c:v>
                  </c:pt>
                  <c:pt idx="9">
                    <c:v>2019</c:v>
                  </c:pt>
                  <c:pt idx="12">
                    <c:v>2020</c:v>
                  </c:pt>
                  <c:pt idx="15">
                    <c:v>2021</c:v>
                  </c:pt>
                  <c:pt idx="18">
                    <c:v>2022</c:v>
                  </c:pt>
                  <c:pt idx="21">
                    <c:v>2023</c:v>
                  </c:pt>
                  <c:pt idx="24">
                    <c:v>2024</c:v>
                  </c:pt>
                  <c:pt idx="27">
                    <c:v>2025</c:v>
                  </c:pt>
                </c:lvl>
              </c:multiLvlStrCache>
            </c:multiLvlStrRef>
          </c:cat>
          <c:val>
            <c:numRef>
              <c:f>'3 Promediosyniveles'!$K$223:$K$252</c:f>
              <c:numCache>
                <c:formatCode>0%</c:formatCode>
                <c:ptCount val="30"/>
                <c:pt idx="0">
                  <c:v>0.09</c:v>
                </c:pt>
                <c:pt idx="1">
                  <c:v>0.05</c:v>
                </c:pt>
                <c:pt idx="2">
                  <c:v>0</c:v>
                </c:pt>
                <c:pt idx="3">
                  <c:v>0.12</c:v>
                </c:pt>
                <c:pt idx="4">
                  <c:v>0.08</c:v>
                </c:pt>
                <c:pt idx="5">
                  <c:v>0</c:v>
                </c:pt>
                <c:pt idx="6">
                  <c:v>0.17</c:v>
                </c:pt>
                <c:pt idx="7">
                  <c:v>0.11</c:v>
                </c:pt>
                <c:pt idx="8">
                  <c:v>0</c:v>
                </c:pt>
                <c:pt idx="9">
                  <c:v>0.21</c:v>
                </c:pt>
                <c:pt idx="10">
                  <c:v>0.14000000000000001</c:v>
                </c:pt>
                <c:pt idx="11">
                  <c:v>0</c:v>
                </c:pt>
                <c:pt idx="12">
                  <c:v>0.23</c:v>
                </c:pt>
                <c:pt idx="13">
                  <c:v>0.16</c:v>
                </c:pt>
                <c:pt idx="14">
                  <c:v>0</c:v>
                </c:pt>
                <c:pt idx="15">
                  <c:v>0.22</c:v>
                </c:pt>
                <c:pt idx="16">
                  <c:v>0.14000000000000001</c:v>
                </c:pt>
                <c:pt idx="17">
                  <c:v>0</c:v>
                </c:pt>
                <c:pt idx="18">
                  <c:v>0.21</c:v>
                </c:pt>
                <c:pt idx="19">
                  <c:v>0.14000000000000001</c:v>
                </c:pt>
                <c:pt idx="20">
                  <c:v>0</c:v>
                </c:pt>
                <c:pt idx="21">
                  <c:v>0.19</c:v>
                </c:pt>
                <c:pt idx="22">
                  <c:v>0.13</c:v>
                </c:pt>
                <c:pt idx="23">
                  <c:v>0</c:v>
                </c:pt>
                <c:pt idx="24">
                  <c:v>0.18</c:v>
                </c:pt>
                <c:pt idx="25">
                  <c:v>0.12</c:v>
                </c:pt>
                <c:pt idx="26">
                  <c:v>0.05</c:v>
                </c:pt>
                <c:pt idx="27">
                  <c:v>0.18</c:v>
                </c:pt>
                <c:pt idx="28">
                  <c:v>0.11</c:v>
                </c:pt>
                <c:pt idx="29">
                  <c:v>0.16</c:v>
                </c:pt>
              </c:numCache>
            </c:numRef>
          </c:val>
          <c:extLst>
            <c:ext xmlns:c16="http://schemas.microsoft.com/office/drawing/2014/chart" uri="{C3380CC4-5D6E-409C-BE32-E72D297353CC}">
              <c16:uniqueId val="{00000000-570D-4E79-9623-C9A2F43421E2}"/>
            </c:ext>
          </c:extLst>
        </c:ser>
        <c:ser>
          <c:idx val="1"/>
          <c:order val="1"/>
          <c:tx>
            <c:strRef>
              <c:f>'3 Promediosyniveles'!$L$222</c:f>
              <c:strCache>
                <c:ptCount val="1"/>
                <c:pt idx="0">
                  <c:v>2</c:v>
                </c:pt>
              </c:strCache>
            </c:strRef>
          </c:tx>
          <c:spPr>
            <a:solidFill>
              <a:srgbClr val="FF6600"/>
            </a:solidFill>
            <a:ln>
              <a:noFill/>
            </a:ln>
            <a:effectLst/>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'3 Promediosyniveles'!$I$223:$J$252</c:f>
              <c:multiLvlStrCache>
                <c:ptCount val="30"/>
                <c:lvl>
                  <c:pt idx="0">
                    <c:v>COLOMBIA</c:v>
                  </c:pt>
                  <c:pt idx="1">
                    <c:v>SOACHA</c:v>
                  </c:pt>
                  <c:pt idx="2">
                    <c:v>LICEO TALENTOS</c:v>
                  </c:pt>
                  <c:pt idx="3">
                    <c:v>COLOMBIA</c:v>
                  </c:pt>
                  <c:pt idx="4">
                    <c:v>SOACHA</c:v>
                  </c:pt>
                  <c:pt idx="5">
                    <c:v>LICEO TALENTOS</c:v>
                  </c:pt>
                  <c:pt idx="6">
                    <c:v>COLOMBIA</c:v>
                  </c:pt>
                  <c:pt idx="7">
                    <c:v>SOACHA</c:v>
                  </c:pt>
                  <c:pt idx="8">
                    <c:v>LICEO TALENTOS</c:v>
                  </c:pt>
                  <c:pt idx="9">
                    <c:v>COLOMBIA</c:v>
                  </c:pt>
                  <c:pt idx="10">
                    <c:v>SOACHA</c:v>
                  </c:pt>
                  <c:pt idx="11">
                    <c:v>LICEO TALENTOS</c:v>
                  </c:pt>
                  <c:pt idx="12">
                    <c:v>COLOMBIA</c:v>
                  </c:pt>
                  <c:pt idx="13">
                    <c:v>SOACHA</c:v>
                  </c:pt>
                  <c:pt idx="14">
                    <c:v>LICEO TALENTOS</c:v>
                  </c:pt>
                  <c:pt idx="15">
                    <c:v>COLOMBIA</c:v>
                  </c:pt>
                  <c:pt idx="16">
                    <c:v>SOACHA</c:v>
                  </c:pt>
                  <c:pt idx="17">
                    <c:v>LICEO TALENTOS</c:v>
                  </c:pt>
                  <c:pt idx="18">
                    <c:v>COLOMBIA</c:v>
                  </c:pt>
                  <c:pt idx="19">
                    <c:v>SOACHA</c:v>
                  </c:pt>
                  <c:pt idx="20">
                    <c:v>LICEO TALENTOS</c:v>
                  </c:pt>
                  <c:pt idx="21">
                    <c:v>COLOMBIA</c:v>
                  </c:pt>
                  <c:pt idx="22">
                    <c:v>SOACHA</c:v>
                  </c:pt>
                  <c:pt idx="23">
                    <c:v>LICEO TALENTOS</c:v>
                  </c:pt>
                  <c:pt idx="24">
                    <c:v>COLOMBIA</c:v>
                  </c:pt>
                  <c:pt idx="25">
                    <c:v>SOACHA</c:v>
                  </c:pt>
                  <c:pt idx="26">
                    <c:v>LICEO TALENTOS</c:v>
                  </c:pt>
                  <c:pt idx="27">
                    <c:v>COLOMBIA</c:v>
                  </c:pt>
                  <c:pt idx="28">
                    <c:v>SOACHA</c:v>
                  </c:pt>
                  <c:pt idx="29">
                    <c:v>LICEO TALENTOS</c:v>
                  </c:pt>
                </c:lvl>
                <c:lvl>
                  <c:pt idx="0">
                    <c:v>2016</c:v>
                  </c:pt>
                  <c:pt idx="3">
                    <c:v>2017</c:v>
                  </c:pt>
                  <c:pt idx="6">
                    <c:v>2018</c:v>
                  </c:pt>
                  <c:pt idx="9">
                    <c:v>2019</c:v>
                  </c:pt>
                  <c:pt idx="12">
                    <c:v>2020</c:v>
                  </c:pt>
                  <c:pt idx="15">
                    <c:v>2021</c:v>
                  </c:pt>
                  <c:pt idx="18">
                    <c:v>2022</c:v>
                  </c:pt>
                  <c:pt idx="21">
                    <c:v>2023</c:v>
                  </c:pt>
                  <c:pt idx="24">
                    <c:v>2024</c:v>
                  </c:pt>
                  <c:pt idx="27">
                    <c:v>2025</c:v>
                  </c:pt>
                </c:lvl>
              </c:multiLvlStrCache>
            </c:multiLvlStrRef>
          </c:cat>
          <c:val>
            <c:numRef>
              <c:f>'3 Promediosyniveles'!$L$223:$L$252</c:f>
              <c:numCache>
                <c:formatCode>0%</c:formatCode>
                <c:ptCount val="30"/>
                <c:pt idx="0">
                  <c:v>0.5</c:v>
                </c:pt>
                <c:pt idx="1">
                  <c:v>0.54</c:v>
                </c:pt>
                <c:pt idx="2">
                  <c:v>0</c:v>
                </c:pt>
                <c:pt idx="3">
                  <c:v>0.49</c:v>
                </c:pt>
                <c:pt idx="4">
                  <c:v>0.53</c:v>
                </c:pt>
                <c:pt idx="5">
                  <c:v>0</c:v>
                </c:pt>
                <c:pt idx="6">
                  <c:v>0.5</c:v>
                </c:pt>
                <c:pt idx="7">
                  <c:v>0.56999999999999995</c:v>
                </c:pt>
                <c:pt idx="8">
                  <c:v>0</c:v>
                </c:pt>
                <c:pt idx="9">
                  <c:v>0.5</c:v>
                </c:pt>
                <c:pt idx="10">
                  <c:v>0.6</c:v>
                </c:pt>
                <c:pt idx="11">
                  <c:v>0</c:v>
                </c:pt>
                <c:pt idx="12">
                  <c:v>0.5</c:v>
                </c:pt>
                <c:pt idx="13">
                  <c:v>0.56000000000000005</c:v>
                </c:pt>
                <c:pt idx="14">
                  <c:v>0</c:v>
                </c:pt>
                <c:pt idx="15">
                  <c:v>0.53</c:v>
                </c:pt>
                <c:pt idx="16">
                  <c:v>0.6</c:v>
                </c:pt>
                <c:pt idx="17">
                  <c:v>0</c:v>
                </c:pt>
                <c:pt idx="18">
                  <c:v>0.5</c:v>
                </c:pt>
                <c:pt idx="19">
                  <c:v>0.55000000000000004</c:v>
                </c:pt>
                <c:pt idx="20">
                  <c:v>0</c:v>
                </c:pt>
                <c:pt idx="21">
                  <c:v>0.49</c:v>
                </c:pt>
                <c:pt idx="22">
                  <c:v>0.54</c:v>
                </c:pt>
                <c:pt idx="23">
                  <c:v>0</c:v>
                </c:pt>
                <c:pt idx="24">
                  <c:v>0.47</c:v>
                </c:pt>
                <c:pt idx="25">
                  <c:v>0.52</c:v>
                </c:pt>
                <c:pt idx="26">
                  <c:v>0.62</c:v>
                </c:pt>
                <c:pt idx="27">
                  <c:v>0.46</c:v>
                </c:pt>
                <c:pt idx="28">
                  <c:v>0.5</c:v>
                </c:pt>
                <c:pt idx="29">
                  <c:v>0.56000000000000005</c:v>
                </c:pt>
              </c:numCache>
            </c:numRef>
          </c:val>
          <c:extLst>
            <c:ext xmlns:c16="http://schemas.microsoft.com/office/drawing/2014/chart" uri="{C3380CC4-5D6E-409C-BE32-E72D297353CC}">
              <c16:uniqueId val="{00000001-570D-4E79-9623-C9A2F43421E2}"/>
            </c:ext>
          </c:extLst>
        </c:ser>
        <c:ser>
          <c:idx val="2"/>
          <c:order val="2"/>
          <c:tx>
            <c:strRef>
              <c:f>'3 Promediosyniveles'!$M$222</c:f>
              <c:strCache>
                <c:ptCount val="1"/>
                <c:pt idx="0">
                  <c:v>3</c:v>
                </c:pt>
              </c:strCache>
            </c:strRef>
          </c:tx>
          <c:spPr>
            <a:solidFill>
              <a:srgbClr val="FFFF00"/>
            </a:solidFill>
            <a:ln>
              <a:noFill/>
            </a:ln>
            <a:effectLst/>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'3 Promediosyniveles'!$I$223:$J$252</c:f>
              <c:multiLvlStrCache>
                <c:ptCount val="30"/>
                <c:lvl>
                  <c:pt idx="0">
                    <c:v>COLOMBIA</c:v>
                  </c:pt>
                  <c:pt idx="1">
                    <c:v>SOACHA</c:v>
                  </c:pt>
                  <c:pt idx="2">
                    <c:v>LICEO TALENTOS</c:v>
                  </c:pt>
                  <c:pt idx="3">
                    <c:v>COLOMBIA</c:v>
                  </c:pt>
                  <c:pt idx="4">
                    <c:v>SOACHA</c:v>
                  </c:pt>
                  <c:pt idx="5">
                    <c:v>LICEO TALENTOS</c:v>
                  </c:pt>
                  <c:pt idx="6">
                    <c:v>COLOMBIA</c:v>
                  </c:pt>
                  <c:pt idx="7">
                    <c:v>SOACHA</c:v>
                  </c:pt>
                  <c:pt idx="8">
                    <c:v>LICEO TALENTOS</c:v>
                  </c:pt>
                  <c:pt idx="9">
                    <c:v>COLOMBIA</c:v>
                  </c:pt>
                  <c:pt idx="10">
                    <c:v>SOACHA</c:v>
                  </c:pt>
                  <c:pt idx="11">
                    <c:v>LICEO TALENTOS</c:v>
                  </c:pt>
                  <c:pt idx="12">
                    <c:v>COLOMBIA</c:v>
                  </c:pt>
                  <c:pt idx="13">
                    <c:v>SOACHA</c:v>
                  </c:pt>
                  <c:pt idx="14">
                    <c:v>LICEO TALENTOS</c:v>
                  </c:pt>
                  <c:pt idx="15">
                    <c:v>COLOMBIA</c:v>
                  </c:pt>
                  <c:pt idx="16">
                    <c:v>SOACHA</c:v>
                  </c:pt>
                  <c:pt idx="17">
                    <c:v>LICEO TALENTOS</c:v>
                  </c:pt>
                  <c:pt idx="18">
                    <c:v>COLOMBIA</c:v>
                  </c:pt>
                  <c:pt idx="19">
                    <c:v>SOACHA</c:v>
                  </c:pt>
                  <c:pt idx="20">
                    <c:v>LICEO TALENTOS</c:v>
                  </c:pt>
                  <c:pt idx="21">
                    <c:v>COLOMBIA</c:v>
                  </c:pt>
                  <c:pt idx="22">
                    <c:v>SOACHA</c:v>
                  </c:pt>
                  <c:pt idx="23">
                    <c:v>LICEO TALENTOS</c:v>
                  </c:pt>
                  <c:pt idx="24">
                    <c:v>COLOMBIA</c:v>
                  </c:pt>
                  <c:pt idx="25">
                    <c:v>SOACHA</c:v>
                  </c:pt>
                  <c:pt idx="26">
                    <c:v>LICEO TALENTOS</c:v>
                  </c:pt>
                  <c:pt idx="27">
                    <c:v>COLOMBIA</c:v>
                  </c:pt>
                  <c:pt idx="28">
                    <c:v>SOACHA</c:v>
                  </c:pt>
                  <c:pt idx="29">
                    <c:v>LICEO TALENTOS</c:v>
                  </c:pt>
                </c:lvl>
                <c:lvl>
                  <c:pt idx="0">
                    <c:v>2016</c:v>
                  </c:pt>
                  <c:pt idx="3">
                    <c:v>2017</c:v>
                  </c:pt>
                  <c:pt idx="6">
                    <c:v>2018</c:v>
                  </c:pt>
                  <c:pt idx="9">
                    <c:v>2019</c:v>
                  </c:pt>
                  <c:pt idx="12">
                    <c:v>2020</c:v>
                  </c:pt>
                  <c:pt idx="15">
                    <c:v>2021</c:v>
                  </c:pt>
                  <c:pt idx="18">
                    <c:v>2022</c:v>
                  </c:pt>
                  <c:pt idx="21">
                    <c:v>2023</c:v>
                  </c:pt>
                  <c:pt idx="24">
                    <c:v>2024</c:v>
                  </c:pt>
                  <c:pt idx="27">
                    <c:v>2025</c:v>
                  </c:pt>
                </c:lvl>
              </c:multiLvlStrCache>
            </c:multiLvlStrRef>
          </c:cat>
          <c:val>
            <c:numRef>
              <c:f>'3 Promediosyniveles'!$M$223:$M$252</c:f>
              <c:numCache>
                <c:formatCode>0%</c:formatCode>
                <c:ptCount val="30"/>
                <c:pt idx="0">
                  <c:v>0.38</c:v>
                </c:pt>
                <c:pt idx="1">
                  <c:v>0.4</c:v>
                </c:pt>
                <c:pt idx="2">
                  <c:v>0</c:v>
                </c:pt>
                <c:pt idx="3">
                  <c:v>0.36</c:v>
                </c:pt>
                <c:pt idx="4">
                  <c:v>0.38</c:v>
                </c:pt>
                <c:pt idx="5">
                  <c:v>0</c:v>
                </c:pt>
                <c:pt idx="6">
                  <c:v>0.31</c:v>
                </c:pt>
                <c:pt idx="7">
                  <c:v>0.31</c:v>
                </c:pt>
                <c:pt idx="8">
                  <c:v>0</c:v>
                </c:pt>
                <c:pt idx="9">
                  <c:v>0.27</c:v>
                </c:pt>
                <c:pt idx="10">
                  <c:v>0.25</c:v>
                </c:pt>
                <c:pt idx="11">
                  <c:v>0</c:v>
                </c:pt>
                <c:pt idx="12">
                  <c:v>0.25</c:v>
                </c:pt>
                <c:pt idx="13">
                  <c:v>0.27</c:v>
                </c:pt>
                <c:pt idx="14">
                  <c:v>0</c:v>
                </c:pt>
                <c:pt idx="15">
                  <c:v>0.23</c:v>
                </c:pt>
                <c:pt idx="16">
                  <c:v>0.25</c:v>
                </c:pt>
                <c:pt idx="17">
                  <c:v>0</c:v>
                </c:pt>
                <c:pt idx="18">
                  <c:v>0.27</c:v>
                </c:pt>
                <c:pt idx="19">
                  <c:v>0.28999999999999998</c:v>
                </c:pt>
                <c:pt idx="20">
                  <c:v>0</c:v>
                </c:pt>
                <c:pt idx="21">
                  <c:v>0.28999999999999998</c:v>
                </c:pt>
                <c:pt idx="22">
                  <c:v>0.32</c:v>
                </c:pt>
                <c:pt idx="23">
                  <c:v>0</c:v>
                </c:pt>
                <c:pt idx="24">
                  <c:v>0.31</c:v>
                </c:pt>
                <c:pt idx="25">
                  <c:v>0.34</c:v>
                </c:pt>
                <c:pt idx="26">
                  <c:v>0.33</c:v>
                </c:pt>
                <c:pt idx="27">
                  <c:v>0.31</c:v>
                </c:pt>
                <c:pt idx="28">
                  <c:v>0.36</c:v>
                </c:pt>
                <c:pt idx="29">
                  <c:v>0.25</c:v>
                </c:pt>
              </c:numCache>
            </c:numRef>
          </c:val>
          <c:extLst>
            <c:ext xmlns:c16="http://schemas.microsoft.com/office/drawing/2014/chart" uri="{C3380CC4-5D6E-409C-BE32-E72D297353CC}">
              <c16:uniqueId val="{00000002-570D-4E79-9623-C9A2F43421E2}"/>
            </c:ext>
          </c:extLst>
        </c:ser>
        <c:ser>
          <c:idx val="3"/>
          <c:order val="3"/>
          <c:tx>
            <c:strRef>
              <c:f>'3 Promediosyniveles'!$N$222</c:f>
              <c:strCache>
                <c:ptCount val="1"/>
                <c:pt idx="0">
                  <c:v>4</c:v>
                </c:pt>
              </c:strCache>
            </c:strRef>
          </c:tx>
          <c:spPr>
            <a:solidFill>
              <a:srgbClr val="00B050"/>
            </a:solidFill>
            <a:ln>
              <a:noFill/>
            </a:ln>
            <a:effectLst/>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'3 Promediosyniveles'!$I$223:$J$252</c:f>
              <c:multiLvlStrCache>
                <c:ptCount val="30"/>
                <c:lvl>
                  <c:pt idx="0">
                    <c:v>COLOMBIA</c:v>
                  </c:pt>
                  <c:pt idx="1">
                    <c:v>SOACHA</c:v>
                  </c:pt>
                  <c:pt idx="2">
                    <c:v>LICEO TALENTOS</c:v>
                  </c:pt>
                  <c:pt idx="3">
                    <c:v>COLOMBIA</c:v>
                  </c:pt>
                  <c:pt idx="4">
                    <c:v>SOACHA</c:v>
                  </c:pt>
                  <c:pt idx="5">
                    <c:v>LICEO TALENTOS</c:v>
                  </c:pt>
                  <c:pt idx="6">
                    <c:v>COLOMBIA</c:v>
                  </c:pt>
                  <c:pt idx="7">
                    <c:v>SOACHA</c:v>
                  </c:pt>
                  <c:pt idx="8">
                    <c:v>LICEO TALENTOS</c:v>
                  </c:pt>
                  <c:pt idx="9">
                    <c:v>COLOMBIA</c:v>
                  </c:pt>
                  <c:pt idx="10">
                    <c:v>SOACHA</c:v>
                  </c:pt>
                  <c:pt idx="11">
                    <c:v>LICEO TALENTOS</c:v>
                  </c:pt>
                  <c:pt idx="12">
                    <c:v>COLOMBIA</c:v>
                  </c:pt>
                  <c:pt idx="13">
                    <c:v>SOACHA</c:v>
                  </c:pt>
                  <c:pt idx="14">
                    <c:v>LICEO TALENTOS</c:v>
                  </c:pt>
                  <c:pt idx="15">
                    <c:v>COLOMBIA</c:v>
                  </c:pt>
                  <c:pt idx="16">
                    <c:v>SOACHA</c:v>
                  </c:pt>
                  <c:pt idx="17">
                    <c:v>LICEO TALENTOS</c:v>
                  </c:pt>
                  <c:pt idx="18">
                    <c:v>COLOMBIA</c:v>
                  </c:pt>
                  <c:pt idx="19">
                    <c:v>SOACHA</c:v>
                  </c:pt>
                  <c:pt idx="20">
                    <c:v>LICEO TALENTOS</c:v>
                  </c:pt>
                  <c:pt idx="21">
                    <c:v>COLOMBIA</c:v>
                  </c:pt>
                  <c:pt idx="22">
                    <c:v>SOACHA</c:v>
                  </c:pt>
                  <c:pt idx="23">
                    <c:v>LICEO TALENTOS</c:v>
                  </c:pt>
                  <c:pt idx="24">
                    <c:v>COLOMBIA</c:v>
                  </c:pt>
                  <c:pt idx="25">
                    <c:v>SOACHA</c:v>
                  </c:pt>
                  <c:pt idx="26">
                    <c:v>LICEO TALENTOS</c:v>
                  </c:pt>
                  <c:pt idx="27">
                    <c:v>COLOMBIA</c:v>
                  </c:pt>
                  <c:pt idx="28">
                    <c:v>SOACHA</c:v>
                  </c:pt>
                  <c:pt idx="29">
                    <c:v>LICEO TALENTOS</c:v>
                  </c:pt>
                </c:lvl>
                <c:lvl>
                  <c:pt idx="0">
                    <c:v>2016</c:v>
                  </c:pt>
                  <c:pt idx="3">
                    <c:v>2017</c:v>
                  </c:pt>
                  <c:pt idx="6">
                    <c:v>2018</c:v>
                  </c:pt>
                  <c:pt idx="9">
                    <c:v>2019</c:v>
                  </c:pt>
                  <c:pt idx="12">
                    <c:v>2020</c:v>
                  </c:pt>
                  <c:pt idx="15">
                    <c:v>2021</c:v>
                  </c:pt>
                  <c:pt idx="18">
                    <c:v>2022</c:v>
                  </c:pt>
                  <c:pt idx="21">
                    <c:v>2023</c:v>
                  </c:pt>
                  <c:pt idx="24">
                    <c:v>2024</c:v>
                  </c:pt>
                  <c:pt idx="27">
                    <c:v>2025</c:v>
                  </c:pt>
                </c:lvl>
              </c:multiLvlStrCache>
            </c:multiLvlStrRef>
          </c:cat>
          <c:val>
            <c:numRef>
              <c:f>'3 Promediosyniveles'!$N$223:$N$252</c:f>
              <c:numCache>
                <c:formatCode>0%</c:formatCode>
                <c:ptCount val="30"/>
                <c:pt idx="0">
                  <c:v>0.03</c:v>
                </c:pt>
                <c:pt idx="1">
                  <c:v>0.01</c:v>
                </c:pt>
                <c:pt idx="2">
                  <c:v>0</c:v>
                </c:pt>
                <c:pt idx="3">
                  <c:v>0.03</c:v>
                </c:pt>
                <c:pt idx="4">
                  <c:v>0.01</c:v>
                </c:pt>
                <c:pt idx="5">
                  <c:v>0</c:v>
                </c:pt>
                <c:pt idx="6">
                  <c:v>0.03</c:v>
                </c:pt>
                <c:pt idx="7">
                  <c:v>0.01</c:v>
                </c:pt>
                <c:pt idx="8">
                  <c:v>0</c:v>
                </c:pt>
                <c:pt idx="9">
                  <c:v>0.03</c:v>
                </c:pt>
                <c:pt idx="10">
                  <c:v>0.01</c:v>
                </c:pt>
                <c:pt idx="11">
                  <c:v>0</c:v>
                </c:pt>
                <c:pt idx="12">
                  <c:v>0.02</c:v>
                </c:pt>
                <c:pt idx="13">
                  <c:v>0.01</c:v>
                </c:pt>
                <c:pt idx="14">
                  <c:v>0</c:v>
                </c:pt>
                <c:pt idx="15">
                  <c:v>0.02</c:v>
                </c:pt>
                <c:pt idx="16">
                  <c:v>0.01</c:v>
                </c:pt>
                <c:pt idx="17">
                  <c:v>0</c:v>
                </c:pt>
                <c:pt idx="18">
                  <c:v>0.03</c:v>
                </c:pt>
                <c:pt idx="19">
                  <c:v>0.01</c:v>
                </c:pt>
                <c:pt idx="20">
                  <c:v>0</c:v>
                </c:pt>
                <c:pt idx="21">
                  <c:v>0.03</c:v>
                </c:pt>
                <c:pt idx="22">
                  <c:v>0.02</c:v>
                </c:pt>
                <c:pt idx="23">
                  <c:v>0</c:v>
                </c:pt>
                <c:pt idx="24">
                  <c:v>0.04</c:v>
                </c:pt>
                <c:pt idx="25">
                  <c:v>0.02</c:v>
                </c:pt>
                <c:pt idx="26">
                  <c:v>0</c:v>
                </c:pt>
                <c:pt idx="27">
                  <c:v>0.04</c:v>
                </c:pt>
                <c:pt idx="28">
                  <c:v>0.03</c:v>
                </c:pt>
                <c:pt idx="29">
                  <c:v>0.03</c:v>
                </c:pt>
              </c:numCache>
            </c:numRef>
          </c:val>
          <c:extLst>
            <c:ext xmlns:c16="http://schemas.microsoft.com/office/drawing/2014/chart" uri="{C3380CC4-5D6E-409C-BE32-E72D297353CC}">
              <c16:uniqueId val="{00000003-570D-4E79-9623-C9A2F43421E2}"/>
            </c:ext>
          </c:extLst>
        </c:ser>
        <c:dLbls>
          <c:showLegendKey val="0"/>
          <c:showVal val="0"/>
          <c:showCatName val="0"/>
          <c:showSerName val="0"/>
          <c:showPercent val="0"/>
          <c:showBubbleSize val="0"/>
        </c:dLbls>
        <c:gapWidth val="150"/>
        <c:overlap val="100"/>
        <c:axId val="419681552"/>
        <c:axId val="419681968"/>
      </c:barChart>
      <c:catAx>
        <c:axId val="4196815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crossAx val="419681968"/>
        <c:crosses val="autoZero"/>
        <c:auto val="1"/>
        <c:lblAlgn val="ctr"/>
        <c:lblOffset val="100"/>
        <c:noMultiLvlLbl val="0"/>
      </c:catAx>
      <c:valAx>
        <c:axId val="419681968"/>
        <c:scaling>
          <c:orientation val="minMax"/>
          <c:max val="1"/>
        </c:scaling>
        <c:delete val="0"/>
        <c:axPos val="l"/>
        <c:majorGridlines>
          <c:spPr>
            <a:ln w="9525" cap="flat" cmpd="sng" algn="ctr">
              <a:solidFill>
                <a:schemeClr val="bg1"/>
              </a:solidFill>
              <a:round/>
            </a:ln>
            <a:effectLst/>
          </c:spPr>
        </c:maj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crossAx val="41968155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s-CO" b="1"/>
              <a:t>Porcentaje de estudiantes por niveles de desempeño</a:t>
            </a:r>
          </a:p>
          <a:p>
            <a:pPr>
              <a:defRPr b="1"/>
            </a:pPr>
            <a:r>
              <a:rPr lang="es-CO" b="1" baseline="0"/>
              <a:t>Inglés</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title>
    <c:autoTitleDeleted val="0"/>
    <c:plotArea>
      <c:layout>
        <c:manualLayout>
          <c:layoutTarget val="inner"/>
          <c:xMode val="edge"/>
          <c:yMode val="edge"/>
          <c:x val="6.1185934424348463E-2"/>
          <c:y val="9.1641937668466497E-2"/>
          <c:w val="0.91425089504809598"/>
          <c:h val="0.52445331967102826"/>
        </c:manualLayout>
      </c:layout>
      <c:barChart>
        <c:barDir val="col"/>
        <c:grouping val="stacked"/>
        <c:varyColors val="0"/>
        <c:ser>
          <c:idx val="0"/>
          <c:order val="0"/>
          <c:tx>
            <c:strRef>
              <c:f>'3 Promediosyniveles'!$K$284</c:f>
              <c:strCache>
                <c:ptCount val="1"/>
                <c:pt idx="0">
                  <c:v>A-</c:v>
                </c:pt>
              </c:strCache>
            </c:strRef>
          </c:tx>
          <c:spPr>
            <a:solidFill>
              <a:srgbClr val="800000"/>
            </a:solidFill>
            <a:ln>
              <a:noFill/>
            </a:ln>
            <a:effectLst/>
          </c:spPr>
          <c:invertIfNegative val="0"/>
          <c:dLbls>
            <c:spPr>
              <a:noFill/>
              <a:ln>
                <a:noFill/>
              </a:ln>
              <a:effectLst/>
            </c:spPr>
            <c:txPr>
              <a:bodyPr rot="0" spcFirstLastPara="1" vertOverflow="ellipsis" vert="horz" wrap="square" anchor="ctr" anchorCtr="1"/>
              <a:lstStyle/>
              <a:p>
                <a:pPr>
                  <a:defRPr sz="1000" b="1" i="0" u="none" strike="noStrike" kern="1200" baseline="0">
                    <a:solidFill>
                      <a:schemeClr val="bg1"/>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'3 Promediosyniveles'!$I$285:$J$314</c:f>
              <c:multiLvlStrCache>
                <c:ptCount val="30"/>
                <c:lvl>
                  <c:pt idx="0">
                    <c:v>COLOMBIA</c:v>
                  </c:pt>
                  <c:pt idx="1">
                    <c:v>SOACHA</c:v>
                  </c:pt>
                  <c:pt idx="2">
                    <c:v>LICEO TALENTOS</c:v>
                  </c:pt>
                  <c:pt idx="3">
                    <c:v>COLOMBIA</c:v>
                  </c:pt>
                  <c:pt idx="4">
                    <c:v>SOACHA</c:v>
                  </c:pt>
                  <c:pt idx="5">
                    <c:v>LICEO TALENTOS</c:v>
                  </c:pt>
                  <c:pt idx="6">
                    <c:v>COLOMBIA</c:v>
                  </c:pt>
                  <c:pt idx="7">
                    <c:v>SOACHA</c:v>
                  </c:pt>
                  <c:pt idx="8">
                    <c:v>LICEO TALENTOS</c:v>
                  </c:pt>
                  <c:pt idx="9">
                    <c:v>COLOMBIA</c:v>
                  </c:pt>
                  <c:pt idx="10">
                    <c:v>SOACHA</c:v>
                  </c:pt>
                  <c:pt idx="11">
                    <c:v>LICEO TALENTOS</c:v>
                  </c:pt>
                  <c:pt idx="12">
                    <c:v>COLOMBIA</c:v>
                  </c:pt>
                  <c:pt idx="13">
                    <c:v>SOACHA</c:v>
                  </c:pt>
                  <c:pt idx="14">
                    <c:v>LICEO TALENTOS</c:v>
                  </c:pt>
                  <c:pt idx="15">
                    <c:v>COLOMBIA</c:v>
                  </c:pt>
                  <c:pt idx="16">
                    <c:v>SOACHA</c:v>
                  </c:pt>
                  <c:pt idx="17">
                    <c:v>LICEO TALENTOS</c:v>
                  </c:pt>
                  <c:pt idx="18">
                    <c:v>COLOMBIA</c:v>
                  </c:pt>
                  <c:pt idx="19">
                    <c:v>SOACHA</c:v>
                  </c:pt>
                  <c:pt idx="20">
                    <c:v>LICEO TALENTOS</c:v>
                  </c:pt>
                  <c:pt idx="21">
                    <c:v>COLOMBIA</c:v>
                  </c:pt>
                  <c:pt idx="22">
                    <c:v>SOACHA</c:v>
                  </c:pt>
                  <c:pt idx="23">
                    <c:v>LICEO TALENTOS</c:v>
                  </c:pt>
                  <c:pt idx="24">
                    <c:v>COLOMBIA</c:v>
                  </c:pt>
                  <c:pt idx="25">
                    <c:v>SOACHA</c:v>
                  </c:pt>
                  <c:pt idx="26">
                    <c:v>LICEO TALENTOS</c:v>
                  </c:pt>
                  <c:pt idx="27">
                    <c:v>COLOMBIA</c:v>
                  </c:pt>
                  <c:pt idx="28">
                    <c:v>SOACHA</c:v>
                  </c:pt>
                  <c:pt idx="29">
                    <c:v>LICEO TALENTOS</c:v>
                  </c:pt>
                </c:lvl>
                <c:lvl>
                  <c:pt idx="0">
                    <c:v>2016</c:v>
                  </c:pt>
                  <c:pt idx="3">
                    <c:v>2017</c:v>
                  </c:pt>
                  <c:pt idx="6">
                    <c:v>2018</c:v>
                  </c:pt>
                  <c:pt idx="9">
                    <c:v>2019</c:v>
                  </c:pt>
                  <c:pt idx="12">
                    <c:v>2020</c:v>
                  </c:pt>
                  <c:pt idx="15">
                    <c:v>2021</c:v>
                  </c:pt>
                  <c:pt idx="18">
                    <c:v>2022</c:v>
                  </c:pt>
                  <c:pt idx="21">
                    <c:v>2023</c:v>
                  </c:pt>
                  <c:pt idx="24">
                    <c:v>2024</c:v>
                  </c:pt>
                  <c:pt idx="27">
                    <c:v>2025</c:v>
                  </c:pt>
                </c:lvl>
              </c:multiLvlStrCache>
            </c:multiLvlStrRef>
          </c:cat>
          <c:val>
            <c:numRef>
              <c:f>'3 Promediosyniveles'!$K$285:$K$314</c:f>
              <c:numCache>
                <c:formatCode>0%</c:formatCode>
                <c:ptCount val="30"/>
                <c:pt idx="0">
                  <c:v>0.36</c:v>
                </c:pt>
                <c:pt idx="1">
                  <c:v>0.28999999999999998</c:v>
                </c:pt>
                <c:pt idx="2">
                  <c:v>0</c:v>
                </c:pt>
                <c:pt idx="3">
                  <c:v>0.44</c:v>
                </c:pt>
                <c:pt idx="4">
                  <c:v>0.38</c:v>
                </c:pt>
                <c:pt idx="5">
                  <c:v>0</c:v>
                </c:pt>
                <c:pt idx="6">
                  <c:v>0.37</c:v>
                </c:pt>
                <c:pt idx="7">
                  <c:v>0.31</c:v>
                </c:pt>
                <c:pt idx="8">
                  <c:v>0</c:v>
                </c:pt>
                <c:pt idx="9">
                  <c:v>0.44</c:v>
                </c:pt>
                <c:pt idx="10">
                  <c:v>0.35</c:v>
                </c:pt>
                <c:pt idx="11">
                  <c:v>0</c:v>
                </c:pt>
                <c:pt idx="12">
                  <c:v>0.56999999999999995</c:v>
                </c:pt>
                <c:pt idx="13">
                  <c:v>0.51</c:v>
                </c:pt>
                <c:pt idx="14">
                  <c:v>0</c:v>
                </c:pt>
                <c:pt idx="15">
                  <c:v>0.47</c:v>
                </c:pt>
                <c:pt idx="16">
                  <c:v>0.35</c:v>
                </c:pt>
                <c:pt idx="17">
                  <c:v>0</c:v>
                </c:pt>
                <c:pt idx="18">
                  <c:v>0.44</c:v>
                </c:pt>
                <c:pt idx="19">
                  <c:v>0.3</c:v>
                </c:pt>
                <c:pt idx="20">
                  <c:v>0</c:v>
                </c:pt>
                <c:pt idx="21">
                  <c:v>0.42</c:v>
                </c:pt>
                <c:pt idx="22">
                  <c:v>0.31</c:v>
                </c:pt>
                <c:pt idx="23">
                  <c:v>0</c:v>
                </c:pt>
                <c:pt idx="24">
                  <c:v>0.39</c:v>
                </c:pt>
                <c:pt idx="25">
                  <c:v>0.28999999999999998</c:v>
                </c:pt>
                <c:pt idx="26">
                  <c:v>0.19</c:v>
                </c:pt>
                <c:pt idx="27">
                  <c:v>0.37</c:v>
                </c:pt>
                <c:pt idx="28">
                  <c:v>0.27</c:v>
                </c:pt>
                <c:pt idx="29">
                  <c:v>0.47</c:v>
                </c:pt>
              </c:numCache>
            </c:numRef>
          </c:val>
          <c:extLst>
            <c:ext xmlns:c16="http://schemas.microsoft.com/office/drawing/2014/chart" uri="{C3380CC4-5D6E-409C-BE32-E72D297353CC}">
              <c16:uniqueId val="{00000000-1D1C-401A-ACCB-988B1CBF31F3}"/>
            </c:ext>
          </c:extLst>
        </c:ser>
        <c:ser>
          <c:idx val="1"/>
          <c:order val="1"/>
          <c:tx>
            <c:strRef>
              <c:f>'3 Promediosyniveles'!$L$284</c:f>
              <c:strCache>
                <c:ptCount val="1"/>
                <c:pt idx="0">
                  <c:v>A1</c:v>
                </c:pt>
              </c:strCache>
            </c:strRef>
          </c:tx>
          <c:spPr>
            <a:solidFill>
              <a:srgbClr val="FF0000"/>
            </a:solidFill>
            <a:ln>
              <a:noFill/>
            </a:ln>
            <a:effectLst/>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'3 Promediosyniveles'!$I$285:$J$314</c:f>
              <c:multiLvlStrCache>
                <c:ptCount val="30"/>
                <c:lvl>
                  <c:pt idx="0">
                    <c:v>COLOMBIA</c:v>
                  </c:pt>
                  <c:pt idx="1">
                    <c:v>SOACHA</c:v>
                  </c:pt>
                  <c:pt idx="2">
                    <c:v>LICEO TALENTOS</c:v>
                  </c:pt>
                  <c:pt idx="3">
                    <c:v>COLOMBIA</c:v>
                  </c:pt>
                  <c:pt idx="4">
                    <c:v>SOACHA</c:v>
                  </c:pt>
                  <c:pt idx="5">
                    <c:v>LICEO TALENTOS</c:v>
                  </c:pt>
                  <c:pt idx="6">
                    <c:v>COLOMBIA</c:v>
                  </c:pt>
                  <c:pt idx="7">
                    <c:v>SOACHA</c:v>
                  </c:pt>
                  <c:pt idx="8">
                    <c:v>LICEO TALENTOS</c:v>
                  </c:pt>
                  <c:pt idx="9">
                    <c:v>COLOMBIA</c:v>
                  </c:pt>
                  <c:pt idx="10">
                    <c:v>SOACHA</c:v>
                  </c:pt>
                  <c:pt idx="11">
                    <c:v>LICEO TALENTOS</c:v>
                  </c:pt>
                  <c:pt idx="12">
                    <c:v>COLOMBIA</c:v>
                  </c:pt>
                  <c:pt idx="13">
                    <c:v>SOACHA</c:v>
                  </c:pt>
                  <c:pt idx="14">
                    <c:v>LICEO TALENTOS</c:v>
                  </c:pt>
                  <c:pt idx="15">
                    <c:v>COLOMBIA</c:v>
                  </c:pt>
                  <c:pt idx="16">
                    <c:v>SOACHA</c:v>
                  </c:pt>
                  <c:pt idx="17">
                    <c:v>LICEO TALENTOS</c:v>
                  </c:pt>
                  <c:pt idx="18">
                    <c:v>COLOMBIA</c:v>
                  </c:pt>
                  <c:pt idx="19">
                    <c:v>SOACHA</c:v>
                  </c:pt>
                  <c:pt idx="20">
                    <c:v>LICEO TALENTOS</c:v>
                  </c:pt>
                  <c:pt idx="21">
                    <c:v>COLOMBIA</c:v>
                  </c:pt>
                  <c:pt idx="22">
                    <c:v>SOACHA</c:v>
                  </c:pt>
                  <c:pt idx="23">
                    <c:v>LICEO TALENTOS</c:v>
                  </c:pt>
                  <c:pt idx="24">
                    <c:v>COLOMBIA</c:v>
                  </c:pt>
                  <c:pt idx="25">
                    <c:v>SOACHA</c:v>
                  </c:pt>
                  <c:pt idx="26">
                    <c:v>LICEO TALENTOS</c:v>
                  </c:pt>
                  <c:pt idx="27">
                    <c:v>COLOMBIA</c:v>
                  </c:pt>
                  <c:pt idx="28">
                    <c:v>SOACHA</c:v>
                  </c:pt>
                  <c:pt idx="29">
                    <c:v>LICEO TALENTOS</c:v>
                  </c:pt>
                </c:lvl>
                <c:lvl>
                  <c:pt idx="0">
                    <c:v>2016</c:v>
                  </c:pt>
                  <c:pt idx="3">
                    <c:v>2017</c:v>
                  </c:pt>
                  <c:pt idx="6">
                    <c:v>2018</c:v>
                  </c:pt>
                  <c:pt idx="9">
                    <c:v>2019</c:v>
                  </c:pt>
                  <c:pt idx="12">
                    <c:v>2020</c:v>
                  </c:pt>
                  <c:pt idx="15">
                    <c:v>2021</c:v>
                  </c:pt>
                  <c:pt idx="18">
                    <c:v>2022</c:v>
                  </c:pt>
                  <c:pt idx="21">
                    <c:v>2023</c:v>
                  </c:pt>
                  <c:pt idx="24">
                    <c:v>2024</c:v>
                  </c:pt>
                  <c:pt idx="27">
                    <c:v>2025</c:v>
                  </c:pt>
                </c:lvl>
              </c:multiLvlStrCache>
            </c:multiLvlStrRef>
          </c:cat>
          <c:val>
            <c:numRef>
              <c:f>'3 Promediosyniveles'!$L$285:$L$314</c:f>
              <c:numCache>
                <c:formatCode>0%</c:formatCode>
                <c:ptCount val="30"/>
                <c:pt idx="0">
                  <c:v>0.33</c:v>
                </c:pt>
                <c:pt idx="1">
                  <c:v>0.4</c:v>
                </c:pt>
                <c:pt idx="2">
                  <c:v>0</c:v>
                </c:pt>
                <c:pt idx="3">
                  <c:v>0.3</c:v>
                </c:pt>
                <c:pt idx="4">
                  <c:v>0.36</c:v>
                </c:pt>
                <c:pt idx="5">
                  <c:v>0</c:v>
                </c:pt>
                <c:pt idx="6">
                  <c:v>0.34</c:v>
                </c:pt>
                <c:pt idx="7">
                  <c:v>0.42</c:v>
                </c:pt>
                <c:pt idx="8">
                  <c:v>0</c:v>
                </c:pt>
                <c:pt idx="9">
                  <c:v>0.3</c:v>
                </c:pt>
                <c:pt idx="10">
                  <c:v>0.39</c:v>
                </c:pt>
                <c:pt idx="11">
                  <c:v>0</c:v>
                </c:pt>
                <c:pt idx="12">
                  <c:v>0.27</c:v>
                </c:pt>
                <c:pt idx="13">
                  <c:v>0.34</c:v>
                </c:pt>
                <c:pt idx="14">
                  <c:v>0</c:v>
                </c:pt>
                <c:pt idx="15">
                  <c:v>0.28000000000000003</c:v>
                </c:pt>
                <c:pt idx="16">
                  <c:v>0.37</c:v>
                </c:pt>
                <c:pt idx="17">
                  <c:v>0</c:v>
                </c:pt>
                <c:pt idx="18">
                  <c:v>0.28000000000000003</c:v>
                </c:pt>
                <c:pt idx="19">
                  <c:v>0.36</c:v>
                </c:pt>
                <c:pt idx="20">
                  <c:v>0</c:v>
                </c:pt>
                <c:pt idx="21">
                  <c:v>0.31</c:v>
                </c:pt>
                <c:pt idx="22">
                  <c:v>0.37</c:v>
                </c:pt>
                <c:pt idx="23">
                  <c:v>0</c:v>
                </c:pt>
                <c:pt idx="24">
                  <c:v>0.3</c:v>
                </c:pt>
                <c:pt idx="25">
                  <c:v>0.36</c:v>
                </c:pt>
                <c:pt idx="26">
                  <c:v>0.43</c:v>
                </c:pt>
                <c:pt idx="27">
                  <c:v>0.28999999999999998</c:v>
                </c:pt>
                <c:pt idx="28">
                  <c:v>0.34</c:v>
                </c:pt>
                <c:pt idx="29">
                  <c:v>0.25</c:v>
                </c:pt>
              </c:numCache>
            </c:numRef>
          </c:val>
          <c:extLst>
            <c:ext xmlns:c16="http://schemas.microsoft.com/office/drawing/2014/chart" uri="{C3380CC4-5D6E-409C-BE32-E72D297353CC}">
              <c16:uniqueId val="{00000001-1D1C-401A-ACCB-988B1CBF31F3}"/>
            </c:ext>
          </c:extLst>
        </c:ser>
        <c:ser>
          <c:idx val="2"/>
          <c:order val="2"/>
          <c:tx>
            <c:strRef>
              <c:f>'3 Promediosyniveles'!$M$284</c:f>
              <c:strCache>
                <c:ptCount val="1"/>
                <c:pt idx="0">
                  <c:v>A2</c:v>
                </c:pt>
              </c:strCache>
            </c:strRef>
          </c:tx>
          <c:spPr>
            <a:solidFill>
              <a:srgbClr val="FF6600"/>
            </a:solidFill>
            <a:ln>
              <a:noFill/>
            </a:ln>
            <a:effectLst/>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'3 Promediosyniveles'!$I$285:$J$314</c:f>
              <c:multiLvlStrCache>
                <c:ptCount val="30"/>
                <c:lvl>
                  <c:pt idx="0">
                    <c:v>COLOMBIA</c:v>
                  </c:pt>
                  <c:pt idx="1">
                    <c:v>SOACHA</c:v>
                  </c:pt>
                  <c:pt idx="2">
                    <c:v>LICEO TALENTOS</c:v>
                  </c:pt>
                  <c:pt idx="3">
                    <c:v>COLOMBIA</c:v>
                  </c:pt>
                  <c:pt idx="4">
                    <c:v>SOACHA</c:v>
                  </c:pt>
                  <c:pt idx="5">
                    <c:v>LICEO TALENTOS</c:v>
                  </c:pt>
                  <c:pt idx="6">
                    <c:v>COLOMBIA</c:v>
                  </c:pt>
                  <c:pt idx="7">
                    <c:v>SOACHA</c:v>
                  </c:pt>
                  <c:pt idx="8">
                    <c:v>LICEO TALENTOS</c:v>
                  </c:pt>
                  <c:pt idx="9">
                    <c:v>COLOMBIA</c:v>
                  </c:pt>
                  <c:pt idx="10">
                    <c:v>SOACHA</c:v>
                  </c:pt>
                  <c:pt idx="11">
                    <c:v>LICEO TALENTOS</c:v>
                  </c:pt>
                  <c:pt idx="12">
                    <c:v>COLOMBIA</c:v>
                  </c:pt>
                  <c:pt idx="13">
                    <c:v>SOACHA</c:v>
                  </c:pt>
                  <c:pt idx="14">
                    <c:v>LICEO TALENTOS</c:v>
                  </c:pt>
                  <c:pt idx="15">
                    <c:v>COLOMBIA</c:v>
                  </c:pt>
                  <c:pt idx="16">
                    <c:v>SOACHA</c:v>
                  </c:pt>
                  <c:pt idx="17">
                    <c:v>LICEO TALENTOS</c:v>
                  </c:pt>
                  <c:pt idx="18">
                    <c:v>COLOMBIA</c:v>
                  </c:pt>
                  <c:pt idx="19">
                    <c:v>SOACHA</c:v>
                  </c:pt>
                  <c:pt idx="20">
                    <c:v>LICEO TALENTOS</c:v>
                  </c:pt>
                  <c:pt idx="21">
                    <c:v>COLOMBIA</c:v>
                  </c:pt>
                  <c:pt idx="22">
                    <c:v>SOACHA</c:v>
                  </c:pt>
                  <c:pt idx="23">
                    <c:v>LICEO TALENTOS</c:v>
                  </c:pt>
                  <c:pt idx="24">
                    <c:v>COLOMBIA</c:v>
                  </c:pt>
                  <c:pt idx="25">
                    <c:v>SOACHA</c:v>
                  </c:pt>
                  <c:pt idx="26">
                    <c:v>LICEO TALENTOS</c:v>
                  </c:pt>
                  <c:pt idx="27">
                    <c:v>COLOMBIA</c:v>
                  </c:pt>
                  <c:pt idx="28">
                    <c:v>SOACHA</c:v>
                  </c:pt>
                  <c:pt idx="29">
                    <c:v>LICEO TALENTOS</c:v>
                  </c:pt>
                </c:lvl>
                <c:lvl>
                  <c:pt idx="0">
                    <c:v>2016</c:v>
                  </c:pt>
                  <c:pt idx="3">
                    <c:v>2017</c:v>
                  </c:pt>
                  <c:pt idx="6">
                    <c:v>2018</c:v>
                  </c:pt>
                  <c:pt idx="9">
                    <c:v>2019</c:v>
                  </c:pt>
                  <c:pt idx="12">
                    <c:v>2020</c:v>
                  </c:pt>
                  <c:pt idx="15">
                    <c:v>2021</c:v>
                  </c:pt>
                  <c:pt idx="18">
                    <c:v>2022</c:v>
                  </c:pt>
                  <c:pt idx="21">
                    <c:v>2023</c:v>
                  </c:pt>
                  <c:pt idx="24">
                    <c:v>2024</c:v>
                  </c:pt>
                  <c:pt idx="27">
                    <c:v>2025</c:v>
                  </c:pt>
                </c:lvl>
              </c:multiLvlStrCache>
            </c:multiLvlStrRef>
          </c:cat>
          <c:val>
            <c:numRef>
              <c:f>'3 Promediosyniveles'!$M$285:$M$314</c:f>
              <c:numCache>
                <c:formatCode>0%</c:formatCode>
                <c:ptCount val="30"/>
                <c:pt idx="0">
                  <c:v>0.19</c:v>
                </c:pt>
                <c:pt idx="1">
                  <c:v>0.24</c:v>
                </c:pt>
                <c:pt idx="2">
                  <c:v>0</c:v>
                </c:pt>
                <c:pt idx="3">
                  <c:v>0.16</c:v>
                </c:pt>
                <c:pt idx="4">
                  <c:v>0.2</c:v>
                </c:pt>
                <c:pt idx="5">
                  <c:v>0</c:v>
                </c:pt>
                <c:pt idx="6">
                  <c:v>0.19</c:v>
                </c:pt>
                <c:pt idx="7">
                  <c:v>0.21</c:v>
                </c:pt>
                <c:pt idx="8">
                  <c:v>0</c:v>
                </c:pt>
                <c:pt idx="9">
                  <c:v>0.17</c:v>
                </c:pt>
                <c:pt idx="10">
                  <c:v>0.2</c:v>
                </c:pt>
                <c:pt idx="11">
                  <c:v>0</c:v>
                </c:pt>
                <c:pt idx="12">
                  <c:v>0.09</c:v>
                </c:pt>
                <c:pt idx="13">
                  <c:v>0.1</c:v>
                </c:pt>
                <c:pt idx="14">
                  <c:v>0</c:v>
                </c:pt>
                <c:pt idx="15">
                  <c:v>0.15</c:v>
                </c:pt>
                <c:pt idx="16">
                  <c:v>0.2</c:v>
                </c:pt>
                <c:pt idx="17">
                  <c:v>0</c:v>
                </c:pt>
                <c:pt idx="18">
                  <c:v>0.17</c:v>
                </c:pt>
                <c:pt idx="19">
                  <c:v>0.24</c:v>
                </c:pt>
                <c:pt idx="20">
                  <c:v>0</c:v>
                </c:pt>
                <c:pt idx="21">
                  <c:v>0.16</c:v>
                </c:pt>
                <c:pt idx="22">
                  <c:v>0.22</c:v>
                </c:pt>
                <c:pt idx="23">
                  <c:v>0</c:v>
                </c:pt>
                <c:pt idx="24">
                  <c:v>0.17</c:v>
                </c:pt>
                <c:pt idx="25">
                  <c:v>0.23</c:v>
                </c:pt>
                <c:pt idx="26">
                  <c:v>0.28999999999999998</c:v>
                </c:pt>
                <c:pt idx="27">
                  <c:v>0.19</c:v>
                </c:pt>
                <c:pt idx="28">
                  <c:v>0.26</c:v>
                </c:pt>
                <c:pt idx="29">
                  <c:v>0.22</c:v>
                </c:pt>
              </c:numCache>
            </c:numRef>
          </c:val>
          <c:extLst>
            <c:ext xmlns:c16="http://schemas.microsoft.com/office/drawing/2014/chart" uri="{C3380CC4-5D6E-409C-BE32-E72D297353CC}">
              <c16:uniqueId val="{00000002-1D1C-401A-ACCB-988B1CBF31F3}"/>
            </c:ext>
          </c:extLst>
        </c:ser>
        <c:ser>
          <c:idx val="3"/>
          <c:order val="3"/>
          <c:tx>
            <c:strRef>
              <c:f>'3 Promediosyniveles'!$N$284</c:f>
              <c:strCache>
                <c:ptCount val="1"/>
                <c:pt idx="0">
                  <c:v>B1</c:v>
                </c:pt>
              </c:strCache>
            </c:strRef>
          </c:tx>
          <c:spPr>
            <a:solidFill>
              <a:srgbClr val="FFFF00"/>
            </a:solidFill>
            <a:ln>
              <a:noFill/>
            </a:ln>
            <a:effectLst/>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'3 Promediosyniveles'!$I$285:$J$314</c:f>
              <c:multiLvlStrCache>
                <c:ptCount val="30"/>
                <c:lvl>
                  <c:pt idx="0">
                    <c:v>COLOMBIA</c:v>
                  </c:pt>
                  <c:pt idx="1">
                    <c:v>SOACHA</c:v>
                  </c:pt>
                  <c:pt idx="2">
                    <c:v>LICEO TALENTOS</c:v>
                  </c:pt>
                  <c:pt idx="3">
                    <c:v>COLOMBIA</c:v>
                  </c:pt>
                  <c:pt idx="4">
                    <c:v>SOACHA</c:v>
                  </c:pt>
                  <c:pt idx="5">
                    <c:v>LICEO TALENTOS</c:v>
                  </c:pt>
                  <c:pt idx="6">
                    <c:v>COLOMBIA</c:v>
                  </c:pt>
                  <c:pt idx="7">
                    <c:v>SOACHA</c:v>
                  </c:pt>
                  <c:pt idx="8">
                    <c:v>LICEO TALENTOS</c:v>
                  </c:pt>
                  <c:pt idx="9">
                    <c:v>COLOMBIA</c:v>
                  </c:pt>
                  <c:pt idx="10">
                    <c:v>SOACHA</c:v>
                  </c:pt>
                  <c:pt idx="11">
                    <c:v>LICEO TALENTOS</c:v>
                  </c:pt>
                  <c:pt idx="12">
                    <c:v>COLOMBIA</c:v>
                  </c:pt>
                  <c:pt idx="13">
                    <c:v>SOACHA</c:v>
                  </c:pt>
                  <c:pt idx="14">
                    <c:v>LICEO TALENTOS</c:v>
                  </c:pt>
                  <c:pt idx="15">
                    <c:v>COLOMBIA</c:v>
                  </c:pt>
                  <c:pt idx="16">
                    <c:v>SOACHA</c:v>
                  </c:pt>
                  <c:pt idx="17">
                    <c:v>LICEO TALENTOS</c:v>
                  </c:pt>
                  <c:pt idx="18">
                    <c:v>COLOMBIA</c:v>
                  </c:pt>
                  <c:pt idx="19">
                    <c:v>SOACHA</c:v>
                  </c:pt>
                  <c:pt idx="20">
                    <c:v>LICEO TALENTOS</c:v>
                  </c:pt>
                  <c:pt idx="21">
                    <c:v>COLOMBIA</c:v>
                  </c:pt>
                  <c:pt idx="22">
                    <c:v>SOACHA</c:v>
                  </c:pt>
                  <c:pt idx="23">
                    <c:v>LICEO TALENTOS</c:v>
                  </c:pt>
                  <c:pt idx="24">
                    <c:v>COLOMBIA</c:v>
                  </c:pt>
                  <c:pt idx="25">
                    <c:v>SOACHA</c:v>
                  </c:pt>
                  <c:pt idx="26">
                    <c:v>LICEO TALENTOS</c:v>
                  </c:pt>
                  <c:pt idx="27">
                    <c:v>COLOMBIA</c:v>
                  </c:pt>
                  <c:pt idx="28">
                    <c:v>SOACHA</c:v>
                  </c:pt>
                  <c:pt idx="29">
                    <c:v>LICEO TALENTOS</c:v>
                  </c:pt>
                </c:lvl>
                <c:lvl>
                  <c:pt idx="0">
                    <c:v>2016</c:v>
                  </c:pt>
                  <c:pt idx="3">
                    <c:v>2017</c:v>
                  </c:pt>
                  <c:pt idx="6">
                    <c:v>2018</c:v>
                  </c:pt>
                  <c:pt idx="9">
                    <c:v>2019</c:v>
                  </c:pt>
                  <c:pt idx="12">
                    <c:v>2020</c:v>
                  </c:pt>
                  <c:pt idx="15">
                    <c:v>2021</c:v>
                  </c:pt>
                  <c:pt idx="18">
                    <c:v>2022</c:v>
                  </c:pt>
                  <c:pt idx="21">
                    <c:v>2023</c:v>
                  </c:pt>
                  <c:pt idx="24">
                    <c:v>2024</c:v>
                  </c:pt>
                  <c:pt idx="27">
                    <c:v>2025</c:v>
                  </c:pt>
                </c:lvl>
              </c:multiLvlStrCache>
            </c:multiLvlStrRef>
          </c:cat>
          <c:val>
            <c:numRef>
              <c:f>'3 Promediosyniveles'!$N$285:$N$314</c:f>
              <c:numCache>
                <c:formatCode>0%</c:formatCode>
                <c:ptCount val="30"/>
                <c:pt idx="0">
                  <c:v>0.1</c:v>
                </c:pt>
                <c:pt idx="1">
                  <c:v>0.08</c:v>
                </c:pt>
                <c:pt idx="2">
                  <c:v>0</c:v>
                </c:pt>
                <c:pt idx="3">
                  <c:v>0.08</c:v>
                </c:pt>
                <c:pt idx="4">
                  <c:v>0.05</c:v>
                </c:pt>
                <c:pt idx="5">
                  <c:v>0</c:v>
                </c:pt>
                <c:pt idx="6">
                  <c:v>0.08</c:v>
                </c:pt>
                <c:pt idx="7">
                  <c:v>0.06</c:v>
                </c:pt>
                <c:pt idx="8">
                  <c:v>0</c:v>
                </c:pt>
                <c:pt idx="9">
                  <c:v>7.0000000000000007E-2</c:v>
                </c:pt>
                <c:pt idx="10">
                  <c:v>0.06</c:v>
                </c:pt>
                <c:pt idx="11">
                  <c:v>0</c:v>
                </c:pt>
                <c:pt idx="12">
                  <c:v>0.06</c:v>
                </c:pt>
                <c:pt idx="13">
                  <c:v>0.04</c:v>
                </c:pt>
                <c:pt idx="14">
                  <c:v>0</c:v>
                </c:pt>
                <c:pt idx="15">
                  <c:v>0.08</c:v>
                </c:pt>
                <c:pt idx="16">
                  <c:v>7.0000000000000007E-2</c:v>
                </c:pt>
                <c:pt idx="17">
                  <c:v>0</c:v>
                </c:pt>
                <c:pt idx="18">
                  <c:v>0.09</c:v>
                </c:pt>
                <c:pt idx="19">
                  <c:v>0.09</c:v>
                </c:pt>
                <c:pt idx="20">
                  <c:v>0</c:v>
                </c:pt>
                <c:pt idx="21">
                  <c:v>0.09</c:v>
                </c:pt>
                <c:pt idx="22">
                  <c:v>0.09</c:v>
                </c:pt>
                <c:pt idx="23">
                  <c:v>0</c:v>
                </c:pt>
                <c:pt idx="24">
                  <c:v>0.1</c:v>
                </c:pt>
                <c:pt idx="25">
                  <c:v>0.1</c:v>
                </c:pt>
                <c:pt idx="26">
                  <c:v>0.05</c:v>
                </c:pt>
                <c:pt idx="27">
                  <c:v>0.11</c:v>
                </c:pt>
                <c:pt idx="28">
                  <c:v>0.11</c:v>
                </c:pt>
                <c:pt idx="29">
                  <c:v>0.06</c:v>
                </c:pt>
              </c:numCache>
            </c:numRef>
          </c:val>
          <c:extLst>
            <c:ext xmlns:c16="http://schemas.microsoft.com/office/drawing/2014/chart" uri="{C3380CC4-5D6E-409C-BE32-E72D297353CC}">
              <c16:uniqueId val="{00000003-1D1C-401A-ACCB-988B1CBF31F3}"/>
            </c:ext>
          </c:extLst>
        </c:ser>
        <c:ser>
          <c:idx val="4"/>
          <c:order val="4"/>
          <c:tx>
            <c:strRef>
              <c:f>'3 Promediosyniveles'!$O$284</c:f>
              <c:strCache>
                <c:ptCount val="1"/>
                <c:pt idx="0">
                  <c:v>B+</c:v>
                </c:pt>
              </c:strCache>
            </c:strRef>
          </c:tx>
          <c:spPr>
            <a:solidFill>
              <a:srgbClr val="00B05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'3 Promediosyniveles'!$I$285:$J$314</c:f>
              <c:multiLvlStrCache>
                <c:ptCount val="30"/>
                <c:lvl>
                  <c:pt idx="0">
                    <c:v>COLOMBIA</c:v>
                  </c:pt>
                  <c:pt idx="1">
                    <c:v>SOACHA</c:v>
                  </c:pt>
                  <c:pt idx="2">
                    <c:v>LICEO TALENTOS</c:v>
                  </c:pt>
                  <c:pt idx="3">
                    <c:v>COLOMBIA</c:v>
                  </c:pt>
                  <c:pt idx="4">
                    <c:v>SOACHA</c:v>
                  </c:pt>
                  <c:pt idx="5">
                    <c:v>LICEO TALENTOS</c:v>
                  </c:pt>
                  <c:pt idx="6">
                    <c:v>COLOMBIA</c:v>
                  </c:pt>
                  <c:pt idx="7">
                    <c:v>SOACHA</c:v>
                  </c:pt>
                  <c:pt idx="8">
                    <c:v>LICEO TALENTOS</c:v>
                  </c:pt>
                  <c:pt idx="9">
                    <c:v>COLOMBIA</c:v>
                  </c:pt>
                  <c:pt idx="10">
                    <c:v>SOACHA</c:v>
                  </c:pt>
                  <c:pt idx="11">
                    <c:v>LICEO TALENTOS</c:v>
                  </c:pt>
                  <c:pt idx="12">
                    <c:v>COLOMBIA</c:v>
                  </c:pt>
                  <c:pt idx="13">
                    <c:v>SOACHA</c:v>
                  </c:pt>
                  <c:pt idx="14">
                    <c:v>LICEO TALENTOS</c:v>
                  </c:pt>
                  <c:pt idx="15">
                    <c:v>COLOMBIA</c:v>
                  </c:pt>
                  <c:pt idx="16">
                    <c:v>SOACHA</c:v>
                  </c:pt>
                  <c:pt idx="17">
                    <c:v>LICEO TALENTOS</c:v>
                  </c:pt>
                  <c:pt idx="18">
                    <c:v>COLOMBIA</c:v>
                  </c:pt>
                  <c:pt idx="19">
                    <c:v>SOACHA</c:v>
                  </c:pt>
                  <c:pt idx="20">
                    <c:v>LICEO TALENTOS</c:v>
                  </c:pt>
                  <c:pt idx="21">
                    <c:v>COLOMBIA</c:v>
                  </c:pt>
                  <c:pt idx="22">
                    <c:v>SOACHA</c:v>
                  </c:pt>
                  <c:pt idx="23">
                    <c:v>LICEO TALENTOS</c:v>
                  </c:pt>
                  <c:pt idx="24">
                    <c:v>COLOMBIA</c:v>
                  </c:pt>
                  <c:pt idx="25">
                    <c:v>SOACHA</c:v>
                  </c:pt>
                  <c:pt idx="26">
                    <c:v>LICEO TALENTOS</c:v>
                  </c:pt>
                  <c:pt idx="27">
                    <c:v>COLOMBIA</c:v>
                  </c:pt>
                  <c:pt idx="28">
                    <c:v>SOACHA</c:v>
                  </c:pt>
                  <c:pt idx="29">
                    <c:v>LICEO TALENTOS</c:v>
                  </c:pt>
                </c:lvl>
                <c:lvl>
                  <c:pt idx="0">
                    <c:v>2016</c:v>
                  </c:pt>
                  <c:pt idx="3">
                    <c:v>2017</c:v>
                  </c:pt>
                  <c:pt idx="6">
                    <c:v>2018</c:v>
                  </c:pt>
                  <c:pt idx="9">
                    <c:v>2019</c:v>
                  </c:pt>
                  <c:pt idx="12">
                    <c:v>2020</c:v>
                  </c:pt>
                  <c:pt idx="15">
                    <c:v>2021</c:v>
                  </c:pt>
                  <c:pt idx="18">
                    <c:v>2022</c:v>
                  </c:pt>
                  <c:pt idx="21">
                    <c:v>2023</c:v>
                  </c:pt>
                  <c:pt idx="24">
                    <c:v>2024</c:v>
                  </c:pt>
                  <c:pt idx="27">
                    <c:v>2025</c:v>
                  </c:pt>
                </c:lvl>
              </c:multiLvlStrCache>
            </c:multiLvlStrRef>
          </c:cat>
          <c:val>
            <c:numRef>
              <c:f>'3 Promediosyniveles'!$O$285:$O$314</c:f>
              <c:numCache>
                <c:formatCode>0%</c:formatCode>
                <c:ptCount val="30"/>
                <c:pt idx="0">
                  <c:v>0.02</c:v>
                </c:pt>
                <c:pt idx="1">
                  <c:v>0</c:v>
                </c:pt>
                <c:pt idx="2">
                  <c:v>0</c:v>
                </c:pt>
                <c:pt idx="3">
                  <c:v>0.02</c:v>
                </c:pt>
                <c:pt idx="4">
                  <c:v>0</c:v>
                </c:pt>
                <c:pt idx="5">
                  <c:v>0</c:v>
                </c:pt>
                <c:pt idx="6">
                  <c:v>0.02</c:v>
                </c:pt>
                <c:pt idx="7">
                  <c:v>0.01</c:v>
                </c:pt>
                <c:pt idx="8">
                  <c:v>0</c:v>
                </c:pt>
                <c:pt idx="9">
                  <c:v>0.02</c:v>
                </c:pt>
                <c:pt idx="10">
                  <c:v>0</c:v>
                </c:pt>
                <c:pt idx="11">
                  <c:v>0</c:v>
                </c:pt>
                <c:pt idx="12">
                  <c:v>0.01</c:v>
                </c:pt>
                <c:pt idx="13">
                  <c:v>0</c:v>
                </c:pt>
                <c:pt idx="14">
                  <c:v>0</c:v>
                </c:pt>
                <c:pt idx="15">
                  <c:v>0.02</c:v>
                </c:pt>
                <c:pt idx="16">
                  <c:v>0.01</c:v>
                </c:pt>
                <c:pt idx="17">
                  <c:v>0</c:v>
                </c:pt>
                <c:pt idx="18">
                  <c:v>0.02</c:v>
                </c:pt>
                <c:pt idx="19">
                  <c:v>0.01</c:v>
                </c:pt>
                <c:pt idx="20">
                  <c:v>0</c:v>
                </c:pt>
                <c:pt idx="21">
                  <c:v>0.03</c:v>
                </c:pt>
                <c:pt idx="22">
                  <c:v>0.01</c:v>
                </c:pt>
                <c:pt idx="23">
                  <c:v>0</c:v>
                </c:pt>
                <c:pt idx="24">
                  <c:v>0.03</c:v>
                </c:pt>
                <c:pt idx="25">
                  <c:v>0.02</c:v>
                </c:pt>
                <c:pt idx="26">
                  <c:v>0.05</c:v>
                </c:pt>
                <c:pt idx="27">
                  <c:v>0.03</c:v>
                </c:pt>
                <c:pt idx="28">
                  <c:v>0.02</c:v>
                </c:pt>
                <c:pt idx="29">
                  <c:v>0</c:v>
                </c:pt>
              </c:numCache>
            </c:numRef>
          </c:val>
          <c:extLst>
            <c:ext xmlns:c16="http://schemas.microsoft.com/office/drawing/2014/chart" uri="{C3380CC4-5D6E-409C-BE32-E72D297353CC}">
              <c16:uniqueId val="{00000004-1D1C-401A-ACCB-988B1CBF31F3}"/>
            </c:ext>
          </c:extLst>
        </c:ser>
        <c:dLbls>
          <c:showLegendKey val="0"/>
          <c:showVal val="0"/>
          <c:showCatName val="0"/>
          <c:showSerName val="0"/>
          <c:showPercent val="0"/>
          <c:showBubbleSize val="0"/>
        </c:dLbls>
        <c:gapWidth val="150"/>
        <c:overlap val="100"/>
        <c:axId val="419681552"/>
        <c:axId val="419681968"/>
      </c:barChart>
      <c:catAx>
        <c:axId val="4196815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crossAx val="419681968"/>
        <c:crosses val="autoZero"/>
        <c:auto val="1"/>
        <c:lblAlgn val="ctr"/>
        <c:lblOffset val="100"/>
        <c:noMultiLvlLbl val="0"/>
      </c:catAx>
      <c:valAx>
        <c:axId val="419681968"/>
        <c:scaling>
          <c:orientation val="minMax"/>
          <c:max val="1"/>
        </c:scaling>
        <c:delete val="0"/>
        <c:axPos val="l"/>
        <c:majorGridlines>
          <c:spPr>
            <a:ln w="9525" cap="flat" cmpd="sng" algn="ctr">
              <a:solidFill>
                <a:schemeClr val="bg1"/>
              </a:solidFill>
              <a:round/>
            </a:ln>
            <a:effectLst/>
          </c:spPr>
        </c:maj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crossAx val="41968155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s-CO" sz="1400"/>
              <a:t>Lectura</a:t>
            </a:r>
            <a:r>
              <a:rPr lang="es-CO" sz="1400" baseline="0"/>
              <a:t> Crítica por Comunas 2016-2024</a:t>
            </a:r>
            <a:endParaRPr lang="es-CO" sz="1400"/>
          </a:p>
        </c:rich>
      </c:tx>
      <c:overlay val="0"/>
    </c:title>
    <c:autoTitleDeleted val="0"/>
    <c:plotArea>
      <c:layout/>
      <c:radarChart>
        <c:radarStyle val="marker"/>
        <c:varyColors val="0"/>
        <c:ser>
          <c:idx val="0"/>
          <c:order val="0"/>
          <c:tx>
            <c:strRef>
              <c:f>LC!$AD$180</c:f>
              <c:strCache>
                <c:ptCount val="1"/>
                <c:pt idx="0">
                  <c:v>2016</c:v>
                </c:pt>
              </c:strCache>
            </c:strRef>
          </c:tx>
          <c:spPr>
            <a:ln>
              <a:prstDash val="lgDashDot"/>
            </a:ln>
          </c:spPr>
          <c:cat>
            <c:strRef>
              <c:f>LC!$AC$181:$AC$186</c:f>
              <c:strCache>
                <c:ptCount val="6"/>
                <c:pt idx="0">
                  <c:v>COMUNA 1</c:v>
                </c:pt>
                <c:pt idx="1">
                  <c:v>COMUNA 2</c:v>
                </c:pt>
                <c:pt idx="2">
                  <c:v>COMUNA 3</c:v>
                </c:pt>
                <c:pt idx="3">
                  <c:v>COMUNA 4</c:v>
                </c:pt>
                <c:pt idx="4">
                  <c:v>COMUNA 5</c:v>
                </c:pt>
                <c:pt idx="5">
                  <c:v>COMUNA 6</c:v>
                </c:pt>
              </c:strCache>
            </c:strRef>
          </c:cat>
          <c:val>
            <c:numRef>
              <c:f>LC!$AD$181:$AD$186</c:f>
              <c:numCache>
                <c:formatCode>0</c:formatCode>
                <c:ptCount val="6"/>
                <c:pt idx="0">
                  <c:v>53.117647058823529</c:v>
                </c:pt>
                <c:pt idx="1">
                  <c:v>54.75</c:v>
                </c:pt>
                <c:pt idx="2">
                  <c:v>54.8125</c:v>
                </c:pt>
                <c:pt idx="3">
                  <c:v>50.714285714285715</c:v>
                </c:pt>
                <c:pt idx="4">
                  <c:v>55.529411764705884</c:v>
                </c:pt>
                <c:pt idx="5">
                  <c:v>54.2</c:v>
                </c:pt>
              </c:numCache>
            </c:numRef>
          </c:val>
          <c:extLst>
            <c:ext xmlns:c16="http://schemas.microsoft.com/office/drawing/2014/chart" uri="{C3380CC4-5D6E-409C-BE32-E72D297353CC}">
              <c16:uniqueId val="{00000000-6005-469A-BA8A-B68F42B4C59F}"/>
            </c:ext>
          </c:extLst>
        </c:ser>
        <c:ser>
          <c:idx val="1"/>
          <c:order val="1"/>
          <c:tx>
            <c:strRef>
              <c:f>LC!$AE$180</c:f>
              <c:strCache>
                <c:ptCount val="1"/>
                <c:pt idx="0">
                  <c:v>2017</c:v>
                </c:pt>
              </c:strCache>
            </c:strRef>
          </c:tx>
          <c:cat>
            <c:strRef>
              <c:f>LC!$AC$181:$AC$186</c:f>
              <c:strCache>
                <c:ptCount val="6"/>
                <c:pt idx="0">
                  <c:v>COMUNA 1</c:v>
                </c:pt>
                <c:pt idx="1">
                  <c:v>COMUNA 2</c:v>
                </c:pt>
                <c:pt idx="2">
                  <c:v>COMUNA 3</c:v>
                </c:pt>
                <c:pt idx="3">
                  <c:v>COMUNA 4</c:v>
                </c:pt>
                <c:pt idx="4">
                  <c:v>COMUNA 5</c:v>
                </c:pt>
                <c:pt idx="5">
                  <c:v>COMUNA 6</c:v>
                </c:pt>
              </c:strCache>
            </c:strRef>
          </c:cat>
          <c:val>
            <c:numRef>
              <c:f>LC!$AE$181:$AE$186</c:f>
              <c:numCache>
                <c:formatCode>0</c:formatCode>
                <c:ptCount val="6"/>
                <c:pt idx="0">
                  <c:v>53.75</c:v>
                </c:pt>
                <c:pt idx="1">
                  <c:v>55.578947368421055</c:v>
                </c:pt>
                <c:pt idx="2">
                  <c:v>55.411764705882355</c:v>
                </c:pt>
                <c:pt idx="3">
                  <c:v>53.6</c:v>
                </c:pt>
                <c:pt idx="4">
                  <c:v>56.941176470588232</c:v>
                </c:pt>
                <c:pt idx="5">
                  <c:v>53.733333333333334</c:v>
                </c:pt>
              </c:numCache>
            </c:numRef>
          </c:val>
          <c:extLst>
            <c:ext xmlns:c16="http://schemas.microsoft.com/office/drawing/2014/chart" uri="{C3380CC4-5D6E-409C-BE32-E72D297353CC}">
              <c16:uniqueId val="{00000001-6005-469A-BA8A-B68F42B4C59F}"/>
            </c:ext>
          </c:extLst>
        </c:ser>
        <c:ser>
          <c:idx val="2"/>
          <c:order val="2"/>
          <c:tx>
            <c:strRef>
              <c:f>LC!$AF$180</c:f>
              <c:strCache>
                <c:ptCount val="1"/>
                <c:pt idx="0">
                  <c:v>2018</c:v>
                </c:pt>
              </c:strCache>
            </c:strRef>
          </c:tx>
          <c:spPr>
            <a:ln>
              <a:prstDash val="sysDash"/>
            </a:ln>
          </c:spPr>
          <c:cat>
            <c:strRef>
              <c:f>LC!$AC$181:$AC$186</c:f>
              <c:strCache>
                <c:ptCount val="6"/>
                <c:pt idx="0">
                  <c:v>COMUNA 1</c:v>
                </c:pt>
                <c:pt idx="1">
                  <c:v>COMUNA 2</c:v>
                </c:pt>
                <c:pt idx="2">
                  <c:v>COMUNA 3</c:v>
                </c:pt>
                <c:pt idx="3">
                  <c:v>COMUNA 4</c:v>
                </c:pt>
                <c:pt idx="4">
                  <c:v>COMUNA 5</c:v>
                </c:pt>
                <c:pt idx="5">
                  <c:v>COMUNA 6</c:v>
                </c:pt>
              </c:strCache>
            </c:strRef>
          </c:cat>
          <c:val>
            <c:numRef>
              <c:f>LC!$AF$181:$AF$186</c:f>
              <c:numCache>
                <c:formatCode>0</c:formatCode>
                <c:ptCount val="6"/>
                <c:pt idx="0">
                  <c:v>53.823529411764703</c:v>
                </c:pt>
                <c:pt idx="1">
                  <c:v>54.684210526315788</c:v>
                </c:pt>
                <c:pt idx="2">
                  <c:v>55.823529411764703</c:v>
                </c:pt>
                <c:pt idx="3">
                  <c:v>52.93333333333333</c:v>
                </c:pt>
                <c:pt idx="4">
                  <c:v>55.888888888888886</c:v>
                </c:pt>
                <c:pt idx="5">
                  <c:v>54.357142857142854</c:v>
                </c:pt>
              </c:numCache>
            </c:numRef>
          </c:val>
          <c:extLst>
            <c:ext xmlns:c16="http://schemas.microsoft.com/office/drawing/2014/chart" uri="{C3380CC4-5D6E-409C-BE32-E72D297353CC}">
              <c16:uniqueId val="{00000002-6005-469A-BA8A-B68F42B4C59F}"/>
            </c:ext>
          </c:extLst>
        </c:ser>
        <c:ser>
          <c:idx val="3"/>
          <c:order val="3"/>
          <c:tx>
            <c:strRef>
              <c:f>LC!$AG$180</c:f>
              <c:strCache>
                <c:ptCount val="1"/>
                <c:pt idx="0">
                  <c:v>2019</c:v>
                </c:pt>
              </c:strCache>
            </c:strRef>
          </c:tx>
          <c:cat>
            <c:strRef>
              <c:f>LC!$AC$181:$AC$186</c:f>
              <c:strCache>
                <c:ptCount val="6"/>
                <c:pt idx="0">
                  <c:v>COMUNA 1</c:v>
                </c:pt>
                <c:pt idx="1">
                  <c:v>COMUNA 2</c:v>
                </c:pt>
                <c:pt idx="2">
                  <c:v>COMUNA 3</c:v>
                </c:pt>
                <c:pt idx="3">
                  <c:v>COMUNA 4</c:v>
                </c:pt>
                <c:pt idx="4">
                  <c:v>COMUNA 5</c:v>
                </c:pt>
                <c:pt idx="5">
                  <c:v>COMUNA 6</c:v>
                </c:pt>
              </c:strCache>
            </c:strRef>
          </c:cat>
          <c:val>
            <c:numRef>
              <c:f>LC!$AG$181:$AG$186</c:f>
              <c:numCache>
                <c:formatCode>0</c:formatCode>
                <c:ptCount val="6"/>
                <c:pt idx="0">
                  <c:v>53.705882352941174</c:v>
                </c:pt>
                <c:pt idx="1">
                  <c:v>55.3</c:v>
                </c:pt>
                <c:pt idx="2">
                  <c:v>55.352941176470587</c:v>
                </c:pt>
                <c:pt idx="3">
                  <c:v>52.5</c:v>
                </c:pt>
                <c:pt idx="4">
                  <c:v>56.368421052631582</c:v>
                </c:pt>
                <c:pt idx="5">
                  <c:v>54.6</c:v>
                </c:pt>
              </c:numCache>
            </c:numRef>
          </c:val>
          <c:extLst>
            <c:ext xmlns:c16="http://schemas.microsoft.com/office/drawing/2014/chart" uri="{C3380CC4-5D6E-409C-BE32-E72D297353CC}">
              <c16:uniqueId val="{00000003-6005-469A-BA8A-B68F42B4C59F}"/>
            </c:ext>
          </c:extLst>
        </c:ser>
        <c:ser>
          <c:idx val="4"/>
          <c:order val="4"/>
          <c:tx>
            <c:strRef>
              <c:f>LC!$AH$180</c:f>
              <c:strCache>
                <c:ptCount val="1"/>
                <c:pt idx="0">
                  <c:v>2020</c:v>
                </c:pt>
              </c:strCache>
            </c:strRef>
          </c:tx>
          <c:cat>
            <c:strRef>
              <c:f>LC!$AC$181:$AC$186</c:f>
              <c:strCache>
                <c:ptCount val="6"/>
                <c:pt idx="0">
                  <c:v>COMUNA 1</c:v>
                </c:pt>
                <c:pt idx="1">
                  <c:v>COMUNA 2</c:v>
                </c:pt>
                <c:pt idx="2">
                  <c:v>COMUNA 3</c:v>
                </c:pt>
                <c:pt idx="3">
                  <c:v>COMUNA 4</c:v>
                </c:pt>
                <c:pt idx="4">
                  <c:v>COMUNA 5</c:v>
                </c:pt>
                <c:pt idx="5">
                  <c:v>COMUNA 6</c:v>
                </c:pt>
              </c:strCache>
            </c:strRef>
          </c:cat>
          <c:val>
            <c:numRef>
              <c:f>LC!$AH$181:$AH$186</c:f>
              <c:numCache>
                <c:formatCode>0</c:formatCode>
                <c:ptCount val="6"/>
                <c:pt idx="0">
                  <c:v>53.823529411764703</c:v>
                </c:pt>
                <c:pt idx="1">
                  <c:v>54.791666666666664</c:v>
                </c:pt>
                <c:pt idx="2">
                  <c:v>54.89473684210526</c:v>
                </c:pt>
                <c:pt idx="3">
                  <c:v>51.153846153846153</c:v>
                </c:pt>
                <c:pt idx="4">
                  <c:v>56.5</c:v>
                </c:pt>
                <c:pt idx="5">
                  <c:v>52.588235294117645</c:v>
                </c:pt>
              </c:numCache>
            </c:numRef>
          </c:val>
          <c:extLst>
            <c:ext xmlns:c16="http://schemas.microsoft.com/office/drawing/2014/chart" uri="{C3380CC4-5D6E-409C-BE32-E72D297353CC}">
              <c16:uniqueId val="{00000001-0070-490A-99FF-7CA7DEBAC34F}"/>
            </c:ext>
          </c:extLst>
        </c:ser>
        <c:ser>
          <c:idx val="5"/>
          <c:order val="5"/>
          <c:tx>
            <c:strRef>
              <c:f>LC!$AI$180</c:f>
              <c:strCache>
                <c:ptCount val="1"/>
                <c:pt idx="0">
                  <c:v>2021</c:v>
                </c:pt>
              </c:strCache>
            </c:strRef>
          </c:tx>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LC!$AC$181:$AC$186</c:f>
              <c:strCache>
                <c:ptCount val="6"/>
                <c:pt idx="0">
                  <c:v>COMUNA 1</c:v>
                </c:pt>
                <c:pt idx="1">
                  <c:v>COMUNA 2</c:v>
                </c:pt>
                <c:pt idx="2">
                  <c:v>COMUNA 3</c:v>
                </c:pt>
                <c:pt idx="3">
                  <c:v>COMUNA 4</c:v>
                </c:pt>
                <c:pt idx="4">
                  <c:v>COMUNA 5</c:v>
                </c:pt>
                <c:pt idx="5">
                  <c:v>COMUNA 6</c:v>
                </c:pt>
              </c:strCache>
            </c:strRef>
          </c:cat>
          <c:val>
            <c:numRef>
              <c:f>LC!$AI$181:$AI$186</c:f>
              <c:numCache>
                <c:formatCode>0</c:formatCode>
                <c:ptCount val="6"/>
                <c:pt idx="0">
                  <c:v>54.588235294117645</c:v>
                </c:pt>
                <c:pt idx="1">
                  <c:v>54.545454545454547</c:v>
                </c:pt>
                <c:pt idx="2">
                  <c:v>55.6</c:v>
                </c:pt>
                <c:pt idx="3">
                  <c:v>52.357142857142854</c:v>
                </c:pt>
                <c:pt idx="4">
                  <c:v>56.944444444444443</c:v>
                </c:pt>
                <c:pt idx="5">
                  <c:v>54.1875</c:v>
                </c:pt>
              </c:numCache>
            </c:numRef>
          </c:val>
          <c:extLst>
            <c:ext xmlns:c16="http://schemas.microsoft.com/office/drawing/2014/chart" uri="{C3380CC4-5D6E-409C-BE32-E72D297353CC}">
              <c16:uniqueId val="{00000000-F0C3-4ED1-8924-C6D55A236138}"/>
            </c:ext>
          </c:extLst>
        </c:ser>
        <c:ser>
          <c:idx val="6"/>
          <c:order val="6"/>
          <c:tx>
            <c:strRef>
              <c:f>LC!$AJ$180</c:f>
              <c:strCache>
                <c:ptCount val="1"/>
                <c:pt idx="0">
                  <c:v>2022</c:v>
                </c:pt>
              </c:strCache>
            </c:strRef>
          </c:tx>
          <c:cat>
            <c:strRef>
              <c:f>LC!$AC$181:$AC$186</c:f>
              <c:strCache>
                <c:ptCount val="6"/>
                <c:pt idx="0">
                  <c:v>COMUNA 1</c:v>
                </c:pt>
                <c:pt idx="1">
                  <c:v>COMUNA 2</c:v>
                </c:pt>
                <c:pt idx="2">
                  <c:v>COMUNA 3</c:v>
                </c:pt>
                <c:pt idx="3">
                  <c:v>COMUNA 4</c:v>
                </c:pt>
                <c:pt idx="4">
                  <c:v>COMUNA 5</c:v>
                </c:pt>
                <c:pt idx="5">
                  <c:v>COMUNA 6</c:v>
                </c:pt>
              </c:strCache>
            </c:strRef>
          </c:cat>
          <c:val>
            <c:numRef>
              <c:f>LC!$AJ$181:$AJ$186</c:f>
              <c:numCache>
                <c:formatCode>0</c:formatCode>
                <c:ptCount val="6"/>
                <c:pt idx="0">
                  <c:v>54.722222222222221</c:v>
                </c:pt>
                <c:pt idx="1">
                  <c:v>56.44</c:v>
                </c:pt>
                <c:pt idx="2">
                  <c:v>56.272727272727273</c:v>
                </c:pt>
                <c:pt idx="3">
                  <c:v>53.285714285714285</c:v>
                </c:pt>
                <c:pt idx="4">
                  <c:v>57.882352941176471</c:v>
                </c:pt>
                <c:pt idx="5">
                  <c:v>54.526315789473685</c:v>
                </c:pt>
              </c:numCache>
            </c:numRef>
          </c:val>
          <c:extLst>
            <c:ext xmlns:c16="http://schemas.microsoft.com/office/drawing/2014/chart" uri="{C3380CC4-5D6E-409C-BE32-E72D297353CC}">
              <c16:uniqueId val="{00000000-CEFE-4B2F-B937-C73FFBF48852}"/>
            </c:ext>
          </c:extLst>
        </c:ser>
        <c:ser>
          <c:idx val="7"/>
          <c:order val="7"/>
          <c:tx>
            <c:strRef>
              <c:f>LC!$AK$180</c:f>
              <c:strCache>
                <c:ptCount val="1"/>
                <c:pt idx="0">
                  <c:v>2023</c:v>
                </c:pt>
              </c:strCache>
            </c:strRef>
          </c:tx>
          <c:cat>
            <c:strRef>
              <c:f>LC!$AC$181:$AC$186</c:f>
              <c:strCache>
                <c:ptCount val="6"/>
                <c:pt idx="0">
                  <c:v>COMUNA 1</c:v>
                </c:pt>
                <c:pt idx="1">
                  <c:v>COMUNA 2</c:v>
                </c:pt>
                <c:pt idx="2">
                  <c:v>COMUNA 3</c:v>
                </c:pt>
                <c:pt idx="3">
                  <c:v>COMUNA 4</c:v>
                </c:pt>
                <c:pt idx="4">
                  <c:v>COMUNA 5</c:v>
                </c:pt>
                <c:pt idx="5">
                  <c:v>COMUNA 6</c:v>
                </c:pt>
              </c:strCache>
            </c:strRef>
          </c:cat>
          <c:val>
            <c:numRef>
              <c:f>LC!$AK$181:$AK$186</c:f>
              <c:numCache>
                <c:formatCode>0</c:formatCode>
                <c:ptCount val="6"/>
                <c:pt idx="0">
                  <c:v>54.529411764705884</c:v>
                </c:pt>
                <c:pt idx="1">
                  <c:v>55.96153846153846</c:v>
                </c:pt>
                <c:pt idx="2">
                  <c:v>55.909090909090907</c:v>
                </c:pt>
                <c:pt idx="3">
                  <c:v>51.466666666666669</c:v>
                </c:pt>
                <c:pt idx="4">
                  <c:v>57.823529411764703</c:v>
                </c:pt>
                <c:pt idx="5">
                  <c:v>55.6</c:v>
                </c:pt>
              </c:numCache>
            </c:numRef>
          </c:val>
          <c:extLst>
            <c:ext xmlns:c16="http://schemas.microsoft.com/office/drawing/2014/chart" uri="{C3380CC4-5D6E-409C-BE32-E72D297353CC}">
              <c16:uniqueId val="{00000001-CEFE-4B2F-B937-C73FFBF48852}"/>
            </c:ext>
          </c:extLst>
        </c:ser>
        <c:ser>
          <c:idx val="8"/>
          <c:order val="8"/>
          <c:tx>
            <c:strRef>
              <c:f>LC!$AL$180</c:f>
              <c:strCache>
                <c:ptCount val="1"/>
                <c:pt idx="0">
                  <c:v>2024</c:v>
                </c:pt>
              </c:strCache>
            </c:strRef>
          </c:tx>
          <c:cat>
            <c:strRef>
              <c:f>LC!$AC$181:$AC$186</c:f>
              <c:strCache>
                <c:ptCount val="6"/>
                <c:pt idx="0">
                  <c:v>COMUNA 1</c:v>
                </c:pt>
                <c:pt idx="1">
                  <c:v>COMUNA 2</c:v>
                </c:pt>
                <c:pt idx="2">
                  <c:v>COMUNA 3</c:v>
                </c:pt>
                <c:pt idx="3">
                  <c:v>COMUNA 4</c:v>
                </c:pt>
                <c:pt idx="4">
                  <c:v>COMUNA 5</c:v>
                </c:pt>
                <c:pt idx="5">
                  <c:v>COMUNA 6</c:v>
                </c:pt>
              </c:strCache>
            </c:strRef>
          </c:cat>
          <c:val>
            <c:numRef>
              <c:f>LC!$AL$181:$AL$186</c:f>
              <c:numCache>
                <c:formatCode>0</c:formatCode>
                <c:ptCount val="6"/>
                <c:pt idx="0">
                  <c:v>55.333333333333336</c:v>
                </c:pt>
                <c:pt idx="1">
                  <c:v>57.208333333333336</c:v>
                </c:pt>
                <c:pt idx="2">
                  <c:v>56.5</c:v>
                </c:pt>
                <c:pt idx="3">
                  <c:v>53.384615384615387</c:v>
                </c:pt>
                <c:pt idx="4">
                  <c:v>57.5</c:v>
                </c:pt>
                <c:pt idx="5">
                  <c:v>56</c:v>
                </c:pt>
              </c:numCache>
            </c:numRef>
          </c:val>
          <c:extLst>
            <c:ext xmlns:c16="http://schemas.microsoft.com/office/drawing/2014/chart" uri="{C3380CC4-5D6E-409C-BE32-E72D297353CC}">
              <c16:uniqueId val="{00000002-CEFE-4B2F-B937-C73FFBF48852}"/>
            </c:ext>
          </c:extLst>
        </c:ser>
        <c:dLbls>
          <c:showLegendKey val="0"/>
          <c:showVal val="0"/>
          <c:showCatName val="0"/>
          <c:showSerName val="0"/>
          <c:showPercent val="0"/>
          <c:showBubbleSize val="0"/>
        </c:dLbls>
        <c:axId val="39209600"/>
        <c:axId val="39223680"/>
      </c:radarChart>
      <c:catAx>
        <c:axId val="39209600"/>
        <c:scaling>
          <c:orientation val="minMax"/>
        </c:scaling>
        <c:delete val="0"/>
        <c:axPos val="b"/>
        <c:majorGridlines/>
        <c:numFmt formatCode="General" sourceLinked="0"/>
        <c:majorTickMark val="none"/>
        <c:minorTickMark val="none"/>
        <c:tickLblPos val="nextTo"/>
        <c:spPr>
          <a:ln w="9525">
            <a:noFill/>
          </a:ln>
        </c:spPr>
        <c:crossAx val="39223680"/>
        <c:crosses val="autoZero"/>
        <c:auto val="1"/>
        <c:lblAlgn val="ctr"/>
        <c:lblOffset val="100"/>
        <c:noMultiLvlLbl val="0"/>
      </c:catAx>
      <c:valAx>
        <c:axId val="39223680"/>
        <c:scaling>
          <c:orientation val="minMax"/>
          <c:max val="58"/>
          <c:min val="48"/>
        </c:scaling>
        <c:delete val="0"/>
        <c:axPos val="l"/>
        <c:majorGridlines/>
        <c:numFmt formatCode="0" sourceLinked="1"/>
        <c:majorTickMark val="none"/>
        <c:minorTickMark val="none"/>
        <c:tickLblPos val="nextTo"/>
        <c:crossAx val="39209600"/>
        <c:crosses val="autoZero"/>
        <c:crossBetween val="between"/>
        <c:majorUnit val="2"/>
      </c:valAx>
    </c:plotArea>
    <c:legend>
      <c:legendPos val="r"/>
      <c:overlay val="0"/>
    </c:legend>
    <c:plotVisOnly val="1"/>
    <c:dispBlanksAs val="gap"/>
    <c:showDLblsOverMax val="0"/>
  </c:chart>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s-CO" sz="1400"/>
              <a:t>Lectura</a:t>
            </a:r>
            <a:r>
              <a:rPr lang="es-CO" sz="1400" baseline="0"/>
              <a:t> Crítica Instituciónes Oficiales por Comunas 2016-2024</a:t>
            </a:r>
            <a:endParaRPr lang="es-CO" sz="1400"/>
          </a:p>
        </c:rich>
      </c:tx>
      <c:overlay val="0"/>
    </c:title>
    <c:autoTitleDeleted val="0"/>
    <c:plotArea>
      <c:layout/>
      <c:radarChart>
        <c:radarStyle val="marker"/>
        <c:varyColors val="0"/>
        <c:ser>
          <c:idx val="0"/>
          <c:order val="0"/>
          <c:tx>
            <c:strRef>
              <c:f>LC!$D$203</c:f>
              <c:strCache>
                <c:ptCount val="1"/>
                <c:pt idx="0">
                  <c:v>2016</c:v>
                </c:pt>
              </c:strCache>
            </c:strRef>
          </c:tx>
          <c:spPr>
            <a:ln>
              <a:prstDash val="lgDashDot"/>
            </a:ln>
          </c:spPr>
          <c:cat>
            <c:strRef>
              <c:f>LC!$C$204:$C$209</c:f>
              <c:strCache>
                <c:ptCount val="6"/>
                <c:pt idx="0">
                  <c:v>COMUNA 1</c:v>
                </c:pt>
                <c:pt idx="1">
                  <c:v>COMUNA 2</c:v>
                </c:pt>
                <c:pt idx="2">
                  <c:v>COMUNA 3</c:v>
                </c:pt>
                <c:pt idx="3">
                  <c:v>COMUNA 4</c:v>
                </c:pt>
                <c:pt idx="4">
                  <c:v>COMUNA 5</c:v>
                </c:pt>
                <c:pt idx="5">
                  <c:v>COMUNA 6</c:v>
                </c:pt>
              </c:strCache>
            </c:strRef>
          </c:cat>
          <c:val>
            <c:numRef>
              <c:f>LC!$D$204:$D$209</c:f>
              <c:numCache>
                <c:formatCode>0</c:formatCode>
                <c:ptCount val="6"/>
                <c:pt idx="0">
                  <c:v>53</c:v>
                </c:pt>
                <c:pt idx="1">
                  <c:v>53.5</c:v>
                </c:pt>
                <c:pt idx="2">
                  <c:v>53.333333333333336</c:v>
                </c:pt>
                <c:pt idx="3">
                  <c:v>49.666666666666664</c:v>
                </c:pt>
                <c:pt idx="4">
                  <c:v>53.5</c:v>
                </c:pt>
                <c:pt idx="5">
                  <c:v>52.666666666666664</c:v>
                </c:pt>
              </c:numCache>
            </c:numRef>
          </c:val>
          <c:extLst>
            <c:ext xmlns:c16="http://schemas.microsoft.com/office/drawing/2014/chart" uri="{C3380CC4-5D6E-409C-BE32-E72D297353CC}">
              <c16:uniqueId val="{00000000-B841-447B-9845-623613E75B3A}"/>
            </c:ext>
          </c:extLst>
        </c:ser>
        <c:ser>
          <c:idx val="1"/>
          <c:order val="1"/>
          <c:tx>
            <c:strRef>
              <c:f>LC!$E$203</c:f>
              <c:strCache>
                <c:ptCount val="1"/>
                <c:pt idx="0">
                  <c:v>2017</c:v>
                </c:pt>
              </c:strCache>
            </c:strRef>
          </c:tx>
          <c:cat>
            <c:strRef>
              <c:f>LC!$C$204:$C$209</c:f>
              <c:strCache>
                <c:ptCount val="6"/>
                <c:pt idx="0">
                  <c:v>COMUNA 1</c:v>
                </c:pt>
                <c:pt idx="1">
                  <c:v>COMUNA 2</c:v>
                </c:pt>
                <c:pt idx="2">
                  <c:v>COMUNA 3</c:v>
                </c:pt>
                <c:pt idx="3">
                  <c:v>COMUNA 4</c:v>
                </c:pt>
                <c:pt idx="4">
                  <c:v>COMUNA 5</c:v>
                </c:pt>
                <c:pt idx="5">
                  <c:v>COMUNA 6</c:v>
                </c:pt>
              </c:strCache>
            </c:strRef>
          </c:cat>
          <c:val>
            <c:numRef>
              <c:f>LC!$E$204:$E$209</c:f>
              <c:numCache>
                <c:formatCode>0</c:formatCode>
                <c:ptCount val="6"/>
                <c:pt idx="0">
                  <c:v>55</c:v>
                </c:pt>
                <c:pt idx="1">
                  <c:v>54.5</c:v>
                </c:pt>
                <c:pt idx="2">
                  <c:v>54</c:v>
                </c:pt>
                <c:pt idx="3">
                  <c:v>51.333333333333336</c:v>
                </c:pt>
                <c:pt idx="4">
                  <c:v>54</c:v>
                </c:pt>
                <c:pt idx="5">
                  <c:v>52.666666666666664</c:v>
                </c:pt>
              </c:numCache>
            </c:numRef>
          </c:val>
          <c:extLst>
            <c:ext xmlns:c16="http://schemas.microsoft.com/office/drawing/2014/chart" uri="{C3380CC4-5D6E-409C-BE32-E72D297353CC}">
              <c16:uniqueId val="{00000001-B841-447B-9845-623613E75B3A}"/>
            </c:ext>
          </c:extLst>
        </c:ser>
        <c:ser>
          <c:idx val="2"/>
          <c:order val="2"/>
          <c:tx>
            <c:strRef>
              <c:f>LC!$F$203</c:f>
              <c:strCache>
                <c:ptCount val="1"/>
                <c:pt idx="0">
                  <c:v>2018</c:v>
                </c:pt>
              </c:strCache>
            </c:strRef>
          </c:tx>
          <c:spPr>
            <a:ln>
              <a:prstDash val="sysDash"/>
            </a:ln>
          </c:spPr>
          <c:cat>
            <c:strRef>
              <c:f>LC!$C$204:$C$209</c:f>
              <c:strCache>
                <c:ptCount val="6"/>
                <c:pt idx="0">
                  <c:v>COMUNA 1</c:v>
                </c:pt>
                <c:pt idx="1">
                  <c:v>COMUNA 2</c:v>
                </c:pt>
                <c:pt idx="2">
                  <c:v>COMUNA 3</c:v>
                </c:pt>
                <c:pt idx="3">
                  <c:v>COMUNA 4</c:v>
                </c:pt>
                <c:pt idx="4">
                  <c:v>COMUNA 5</c:v>
                </c:pt>
                <c:pt idx="5">
                  <c:v>COMUNA 6</c:v>
                </c:pt>
              </c:strCache>
            </c:strRef>
          </c:cat>
          <c:val>
            <c:numRef>
              <c:f>LC!$F$204:$F$209</c:f>
              <c:numCache>
                <c:formatCode>0</c:formatCode>
                <c:ptCount val="6"/>
                <c:pt idx="0">
                  <c:v>53.75</c:v>
                </c:pt>
                <c:pt idx="1">
                  <c:v>53.5</c:v>
                </c:pt>
                <c:pt idx="2">
                  <c:v>54</c:v>
                </c:pt>
                <c:pt idx="3">
                  <c:v>50.333333333333336</c:v>
                </c:pt>
                <c:pt idx="4">
                  <c:v>52.5</c:v>
                </c:pt>
                <c:pt idx="5">
                  <c:v>52.666666666666664</c:v>
                </c:pt>
              </c:numCache>
            </c:numRef>
          </c:val>
          <c:extLst>
            <c:ext xmlns:c16="http://schemas.microsoft.com/office/drawing/2014/chart" uri="{C3380CC4-5D6E-409C-BE32-E72D297353CC}">
              <c16:uniqueId val="{00000002-B841-447B-9845-623613E75B3A}"/>
            </c:ext>
          </c:extLst>
        </c:ser>
        <c:ser>
          <c:idx val="3"/>
          <c:order val="3"/>
          <c:tx>
            <c:strRef>
              <c:f>LC!$G$203</c:f>
              <c:strCache>
                <c:ptCount val="1"/>
                <c:pt idx="0">
                  <c:v>2019</c:v>
                </c:pt>
              </c:strCache>
            </c:strRef>
          </c:tx>
          <c:cat>
            <c:strRef>
              <c:f>LC!$C$204:$C$209</c:f>
              <c:strCache>
                <c:ptCount val="6"/>
                <c:pt idx="0">
                  <c:v>COMUNA 1</c:v>
                </c:pt>
                <c:pt idx="1">
                  <c:v>COMUNA 2</c:v>
                </c:pt>
                <c:pt idx="2">
                  <c:v>COMUNA 3</c:v>
                </c:pt>
                <c:pt idx="3">
                  <c:v>COMUNA 4</c:v>
                </c:pt>
                <c:pt idx="4">
                  <c:v>COMUNA 5</c:v>
                </c:pt>
                <c:pt idx="5">
                  <c:v>COMUNA 6</c:v>
                </c:pt>
              </c:strCache>
            </c:strRef>
          </c:cat>
          <c:val>
            <c:numRef>
              <c:f>LC!$G$204:$G$209</c:f>
              <c:numCache>
                <c:formatCode>0</c:formatCode>
                <c:ptCount val="6"/>
                <c:pt idx="0">
                  <c:v>54.25</c:v>
                </c:pt>
                <c:pt idx="1">
                  <c:v>54</c:v>
                </c:pt>
                <c:pt idx="2">
                  <c:v>53.333333333333336</c:v>
                </c:pt>
                <c:pt idx="3">
                  <c:v>50</c:v>
                </c:pt>
                <c:pt idx="4">
                  <c:v>53.5</c:v>
                </c:pt>
                <c:pt idx="5">
                  <c:v>52.666666666666664</c:v>
                </c:pt>
              </c:numCache>
            </c:numRef>
          </c:val>
          <c:extLst>
            <c:ext xmlns:c16="http://schemas.microsoft.com/office/drawing/2014/chart" uri="{C3380CC4-5D6E-409C-BE32-E72D297353CC}">
              <c16:uniqueId val="{00000003-B841-447B-9845-623613E75B3A}"/>
            </c:ext>
          </c:extLst>
        </c:ser>
        <c:ser>
          <c:idx val="4"/>
          <c:order val="4"/>
          <c:tx>
            <c:strRef>
              <c:f>LC!$H$203</c:f>
              <c:strCache>
                <c:ptCount val="1"/>
                <c:pt idx="0">
                  <c:v>2020</c:v>
                </c:pt>
              </c:strCache>
            </c:strRef>
          </c:tx>
          <c:cat>
            <c:strRef>
              <c:f>LC!$C$204:$C$209</c:f>
              <c:strCache>
                <c:ptCount val="6"/>
                <c:pt idx="0">
                  <c:v>COMUNA 1</c:v>
                </c:pt>
                <c:pt idx="1">
                  <c:v>COMUNA 2</c:v>
                </c:pt>
                <c:pt idx="2">
                  <c:v>COMUNA 3</c:v>
                </c:pt>
                <c:pt idx="3">
                  <c:v>COMUNA 4</c:v>
                </c:pt>
                <c:pt idx="4">
                  <c:v>COMUNA 5</c:v>
                </c:pt>
                <c:pt idx="5">
                  <c:v>COMUNA 6</c:v>
                </c:pt>
              </c:strCache>
            </c:strRef>
          </c:cat>
          <c:val>
            <c:numRef>
              <c:f>LC!$H$204:$H$209</c:f>
              <c:numCache>
                <c:formatCode>0</c:formatCode>
                <c:ptCount val="6"/>
                <c:pt idx="0">
                  <c:v>54.25</c:v>
                </c:pt>
                <c:pt idx="1">
                  <c:v>54</c:v>
                </c:pt>
                <c:pt idx="2">
                  <c:v>53.25</c:v>
                </c:pt>
                <c:pt idx="3">
                  <c:v>50</c:v>
                </c:pt>
                <c:pt idx="4">
                  <c:v>53.5</c:v>
                </c:pt>
                <c:pt idx="5">
                  <c:v>53</c:v>
                </c:pt>
              </c:numCache>
            </c:numRef>
          </c:val>
          <c:extLst>
            <c:ext xmlns:c16="http://schemas.microsoft.com/office/drawing/2014/chart" uri="{C3380CC4-5D6E-409C-BE32-E72D297353CC}">
              <c16:uniqueId val="{00000001-D0E5-46CE-88D7-2D691323A903}"/>
            </c:ext>
          </c:extLst>
        </c:ser>
        <c:ser>
          <c:idx val="5"/>
          <c:order val="5"/>
          <c:tx>
            <c:strRef>
              <c:f>LC!$I$203</c:f>
              <c:strCache>
                <c:ptCount val="1"/>
                <c:pt idx="0">
                  <c:v>2021</c:v>
                </c:pt>
              </c:strCache>
            </c:strRef>
          </c:tx>
          <c:cat>
            <c:strRef>
              <c:f>LC!$C$204:$C$209</c:f>
              <c:strCache>
                <c:ptCount val="6"/>
                <c:pt idx="0">
                  <c:v>COMUNA 1</c:v>
                </c:pt>
                <c:pt idx="1">
                  <c:v>COMUNA 2</c:v>
                </c:pt>
                <c:pt idx="2">
                  <c:v>COMUNA 3</c:v>
                </c:pt>
                <c:pt idx="3">
                  <c:v>COMUNA 4</c:v>
                </c:pt>
                <c:pt idx="4">
                  <c:v>COMUNA 5</c:v>
                </c:pt>
                <c:pt idx="5">
                  <c:v>COMUNA 6</c:v>
                </c:pt>
              </c:strCache>
            </c:strRef>
          </c:cat>
          <c:val>
            <c:numRef>
              <c:f>LC!$I$204:$I$209</c:f>
              <c:numCache>
                <c:formatCode>0</c:formatCode>
                <c:ptCount val="6"/>
                <c:pt idx="0">
                  <c:v>53.75</c:v>
                </c:pt>
                <c:pt idx="1">
                  <c:v>53.5</c:v>
                </c:pt>
                <c:pt idx="2">
                  <c:v>53.8</c:v>
                </c:pt>
                <c:pt idx="3">
                  <c:v>50.333333333333336</c:v>
                </c:pt>
                <c:pt idx="4">
                  <c:v>54</c:v>
                </c:pt>
                <c:pt idx="5">
                  <c:v>52.333333333333336</c:v>
                </c:pt>
              </c:numCache>
            </c:numRef>
          </c:val>
          <c:extLst>
            <c:ext xmlns:c16="http://schemas.microsoft.com/office/drawing/2014/chart" uri="{C3380CC4-5D6E-409C-BE32-E72D297353CC}">
              <c16:uniqueId val="{00000001-2AD0-4CCB-93FE-5D77D6F0D6C4}"/>
            </c:ext>
          </c:extLst>
        </c:ser>
        <c:ser>
          <c:idx val="6"/>
          <c:order val="6"/>
          <c:tx>
            <c:strRef>
              <c:f>LC!$J$203</c:f>
              <c:strCache>
                <c:ptCount val="1"/>
                <c:pt idx="0">
                  <c:v>2022</c:v>
                </c:pt>
              </c:strCache>
            </c:strRef>
          </c:tx>
          <c:cat>
            <c:strRef>
              <c:f>LC!$C$204:$C$209</c:f>
              <c:strCache>
                <c:ptCount val="6"/>
                <c:pt idx="0">
                  <c:v>COMUNA 1</c:v>
                </c:pt>
                <c:pt idx="1">
                  <c:v>COMUNA 2</c:v>
                </c:pt>
                <c:pt idx="2">
                  <c:v>COMUNA 3</c:v>
                </c:pt>
                <c:pt idx="3">
                  <c:v>COMUNA 4</c:v>
                </c:pt>
                <c:pt idx="4">
                  <c:v>COMUNA 5</c:v>
                </c:pt>
                <c:pt idx="5">
                  <c:v>COMUNA 6</c:v>
                </c:pt>
              </c:strCache>
            </c:strRef>
          </c:cat>
          <c:val>
            <c:numRef>
              <c:f>LC!$J$204:$J$209</c:f>
              <c:numCache>
                <c:formatCode>0</c:formatCode>
                <c:ptCount val="6"/>
                <c:pt idx="0">
                  <c:v>54</c:v>
                </c:pt>
                <c:pt idx="1">
                  <c:v>53.75</c:v>
                </c:pt>
                <c:pt idx="2">
                  <c:v>54.333333333333336</c:v>
                </c:pt>
                <c:pt idx="3">
                  <c:v>51</c:v>
                </c:pt>
                <c:pt idx="4">
                  <c:v>55</c:v>
                </c:pt>
                <c:pt idx="5">
                  <c:v>53</c:v>
                </c:pt>
              </c:numCache>
            </c:numRef>
          </c:val>
          <c:extLst>
            <c:ext xmlns:c16="http://schemas.microsoft.com/office/drawing/2014/chart" uri="{C3380CC4-5D6E-409C-BE32-E72D297353CC}">
              <c16:uniqueId val="{00000000-2DE8-4991-9559-0F866ABE42A1}"/>
            </c:ext>
          </c:extLst>
        </c:ser>
        <c:ser>
          <c:idx val="7"/>
          <c:order val="7"/>
          <c:tx>
            <c:strRef>
              <c:f>LC!$K$203</c:f>
              <c:strCache>
                <c:ptCount val="1"/>
                <c:pt idx="0">
                  <c:v>2023</c:v>
                </c:pt>
              </c:strCache>
            </c:strRef>
          </c:tx>
          <c:cat>
            <c:strRef>
              <c:f>LC!$C$204:$C$209</c:f>
              <c:strCache>
                <c:ptCount val="6"/>
                <c:pt idx="0">
                  <c:v>COMUNA 1</c:v>
                </c:pt>
                <c:pt idx="1">
                  <c:v>COMUNA 2</c:v>
                </c:pt>
                <c:pt idx="2">
                  <c:v>COMUNA 3</c:v>
                </c:pt>
                <c:pt idx="3">
                  <c:v>COMUNA 4</c:v>
                </c:pt>
                <c:pt idx="4">
                  <c:v>COMUNA 5</c:v>
                </c:pt>
                <c:pt idx="5">
                  <c:v>COMUNA 6</c:v>
                </c:pt>
              </c:strCache>
            </c:strRef>
          </c:cat>
          <c:val>
            <c:numRef>
              <c:f>LC!$K$204:$K$209</c:f>
              <c:numCache>
                <c:formatCode>0</c:formatCode>
                <c:ptCount val="6"/>
                <c:pt idx="0">
                  <c:v>52.8</c:v>
                </c:pt>
                <c:pt idx="1">
                  <c:v>54.25</c:v>
                </c:pt>
                <c:pt idx="2">
                  <c:v>54</c:v>
                </c:pt>
                <c:pt idx="3">
                  <c:v>49.833333333333336</c:v>
                </c:pt>
                <c:pt idx="4">
                  <c:v>53.5</c:v>
                </c:pt>
                <c:pt idx="5">
                  <c:v>52.333333333333336</c:v>
                </c:pt>
              </c:numCache>
            </c:numRef>
          </c:val>
          <c:extLst>
            <c:ext xmlns:c16="http://schemas.microsoft.com/office/drawing/2014/chart" uri="{C3380CC4-5D6E-409C-BE32-E72D297353CC}">
              <c16:uniqueId val="{00000001-2DE8-4991-9559-0F866ABE42A1}"/>
            </c:ext>
          </c:extLst>
        </c:ser>
        <c:ser>
          <c:idx val="8"/>
          <c:order val="8"/>
          <c:tx>
            <c:strRef>
              <c:f>LC!$L$203</c:f>
              <c:strCache>
                <c:ptCount val="1"/>
                <c:pt idx="0">
                  <c:v>2024</c:v>
                </c:pt>
              </c:strCache>
            </c:strRef>
          </c:tx>
          <c:cat>
            <c:strRef>
              <c:f>LC!$C$204:$C$209</c:f>
              <c:strCache>
                <c:ptCount val="6"/>
                <c:pt idx="0">
                  <c:v>COMUNA 1</c:v>
                </c:pt>
                <c:pt idx="1">
                  <c:v>COMUNA 2</c:v>
                </c:pt>
                <c:pt idx="2">
                  <c:v>COMUNA 3</c:v>
                </c:pt>
                <c:pt idx="3">
                  <c:v>COMUNA 4</c:v>
                </c:pt>
                <c:pt idx="4">
                  <c:v>COMUNA 5</c:v>
                </c:pt>
                <c:pt idx="5">
                  <c:v>COMUNA 6</c:v>
                </c:pt>
              </c:strCache>
            </c:strRef>
          </c:cat>
          <c:val>
            <c:numRef>
              <c:f>LC!$L$204:$L$209</c:f>
              <c:numCache>
                <c:formatCode>0</c:formatCode>
                <c:ptCount val="6"/>
                <c:pt idx="0">
                  <c:v>54</c:v>
                </c:pt>
                <c:pt idx="1">
                  <c:v>54.75</c:v>
                </c:pt>
                <c:pt idx="2">
                  <c:v>54.5</c:v>
                </c:pt>
                <c:pt idx="3">
                  <c:v>50.666666666666664</c:v>
                </c:pt>
                <c:pt idx="4">
                  <c:v>56.333333333333336</c:v>
                </c:pt>
                <c:pt idx="5">
                  <c:v>54</c:v>
                </c:pt>
              </c:numCache>
            </c:numRef>
          </c:val>
          <c:extLst>
            <c:ext xmlns:c16="http://schemas.microsoft.com/office/drawing/2014/chart" uri="{C3380CC4-5D6E-409C-BE32-E72D297353CC}">
              <c16:uniqueId val="{00000000-FA1B-4F28-AD56-AF80B9FCC69E}"/>
            </c:ext>
          </c:extLst>
        </c:ser>
        <c:dLbls>
          <c:showLegendKey val="0"/>
          <c:showVal val="0"/>
          <c:showCatName val="0"/>
          <c:showSerName val="0"/>
          <c:showPercent val="0"/>
          <c:showBubbleSize val="0"/>
        </c:dLbls>
        <c:axId val="39250560"/>
        <c:axId val="38543744"/>
      </c:radarChart>
      <c:catAx>
        <c:axId val="39250560"/>
        <c:scaling>
          <c:orientation val="minMax"/>
        </c:scaling>
        <c:delete val="0"/>
        <c:axPos val="b"/>
        <c:majorGridlines/>
        <c:numFmt formatCode="General" sourceLinked="0"/>
        <c:majorTickMark val="none"/>
        <c:minorTickMark val="none"/>
        <c:tickLblPos val="nextTo"/>
        <c:spPr>
          <a:ln w="9525">
            <a:noFill/>
          </a:ln>
        </c:spPr>
        <c:crossAx val="38543744"/>
        <c:crosses val="autoZero"/>
        <c:auto val="1"/>
        <c:lblAlgn val="ctr"/>
        <c:lblOffset val="100"/>
        <c:noMultiLvlLbl val="0"/>
      </c:catAx>
      <c:valAx>
        <c:axId val="38543744"/>
        <c:scaling>
          <c:orientation val="minMax"/>
          <c:max val="58"/>
          <c:min val="48"/>
        </c:scaling>
        <c:delete val="0"/>
        <c:axPos val="l"/>
        <c:majorGridlines/>
        <c:numFmt formatCode="0" sourceLinked="1"/>
        <c:majorTickMark val="none"/>
        <c:minorTickMark val="none"/>
        <c:tickLblPos val="nextTo"/>
        <c:crossAx val="39250560"/>
        <c:crosses val="autoZero"/>
        <c:crossBetween val="between"/>
        <c:majorUnit val="2"/>
      </c:valAx>
    </c:plotArea>
    <c:legend>
      <c:legendPos val="r"/>
      <c:overlay val="0"/>
    </c:legend>
    <c:plotVisOnly val="1"/>
    <c:dispBlanksAs val="gap"/>
    <c:showDLblsOverMax val="0"/>
  </c:chart>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a:defRPr/>
            </a:pPr>
            <a:r>
              <a:rPr lang="es-CO" sz="1400" b="1" i="0" baseline="0">
                <a:effectLst/>
              </a:rPr>
              <a:t>Lectura Crítica Instituciones No Oficiales por Comunas 2016-2024</a:t>
            </a:r>
            <a:endParaRPr lang="es-CO" sz="1400">
              <a:effectLst/>
            </a:endParaRPr>
          </a:p>
        </c:rich>
      </c:tx>
      <c:overlay val="0"/>
    </c:title>
    <c:autoTitleDeleted val="0"/>
    <c:plotArea>
      <c:layout>
        <c:manualLayout>
          <c:layoutTarget val="inner"/>
          <c:xMode val="edge"/>
          <c:yMode val="edge"/>
          <c:x val="0.1086654825862963"/>
          <c:y val="0.14645895667926781"/>
          <c:w val="0.5823671311056442"/>
          <c:h val="0.68293020545108274"/>
        </c:manualLayout>
      </c:layout>
      <c:radarChart>
        <c:radarStyle val="marker"/>
        <c:varyColors val="0"/>
        <c:ser>
          <c:idx val="0"/>
          <c:order val="0"/>
          <c:tx>
            <c:strRef>
              <c:f>LC!$O$203</c:f>
              <c:strCache>
                <c:ptCount val="1"/>
                <c:pt idx="0">
                  <c:v>2016</c:v>
                </c:pt>
              </c:strCache>
            </c:strRef>
          </c:tx>
          <c:spPr>
            <a:ln>
              <a:prstDash val="lgDashDot"/>
            </a:ln>
          </c:spPr>
          <c:cat>
            <c:strRef>
              <c:f>LC!$N$204:$N$209</c:f>
              <c:strCache>
                <c:ptCount val="6"/>
                <c:pt idx="0">
                  <c:v>COMUNA 1</c:v>
                </c:pt>
                <c:pt idx="1">
                  <c:v>COMUNA 2</c:v>
                </c:pt>
                <c:pt idx="2">
                  <c:v>COMUNA 3</c:v>
                </c:pt>
                <c:pt idx="3">
                  <c:v>COMUNA 4</c:v>
                </c:pt>
                <c:pt idx="4">
                  <c:v>COMUNA 5</c:v>
                </c:pt>
                <c:pt idx="5">
                  <c:v>COMUNA 6</c:v>
                </c:pt>
              </c:strCache>
            </c:strRef>
          </c:cat>
          <c:val>
            <c:numRef>
              <c:f>LC!$O$204:$O$209</c:f>
              <c:numCache>
                <c:formatCode>0</c:formatCode>
                <c:ptCount val="6"/>
                <c:pt idx="0">
                  <c:v>53.153846153846153</c:v>
                </c:pt>
                <c:pt idx="1">
                  <c:v>54.888888888888886</c:v>
                </c:pt>
                <c:pt idx="2">
                  <c:v>55.153846153846153</c:v>
                </c:pt>
                <c:pt idx="3">
                  <c:v>51.5</c:v>
                </c:pt>
                <c:pt idx="4">
                  <c:v>55.8</c:v>
                </c:pt>
                <c:pt idx="5">
                  <c:v>54.583333333333336</c:v>
                </c:pt>
              </c:numCache>
            </c:numRef>
          </c:val>
          <c:extLst>
            <c:ext xmlns:c16="http://schemas.microsoft.com/office/drawing/2014/chart" uri="{C3380CC4-5D6E-409C-BE32-E72D297353CC}">
              <c16:uniqueId val="{00000000-9F3F-44C5-B9F6-FD9F632224D2}"/>
            </c:ext>
          </c:extLst>
        </c:ser>
        <c:ser>
          <c:idx val="1"/>
          <c:order val="1"/>
          <c:tx>
            <c:strRef>
              <c:f>LC!$P$203</c:f>
              <c:strCache>
                <c:ptCount val="1"/>
                <c:pt idx="0">
                  <c:v>2017</c:v>
                </c:pt>
              </c:strCache>
            </c:strRef>
          </c:tx>
          <c:cat>
            <c:strRef>
              <c:f>LC!$N$204:$N$209</c:f>
              <c:strCache>
                <c:ptCount val="6"/>
                <c:pt idx="0">
                  <c:v>COMUNA 1</c:v>
                </c:pt>
                <c:pt idx="1">
                  <c:v>COMUNA 2</c:v>
                </c:pt>
                <c:pt idx="2">
                  <c:v>COMUNA 3</c:v>
                </c:pt>
                <c:pt idx="3">
                  <c:v>COMUNA 4</c:v>
                </c:pt>
                <c:pt idx="4">
                  <c:v>COMUNA 5</c:v>
                </c:pt>
                <c:pt idx="5">
                  <c:v>COMUNA 6</c:v>
                </c:pt>
              </c:strCache>
            </c:strRef>
          </c:cat>
          <c:val>
            <c:numRef>
              <c:f>LC!$P$204:$P$209</c:f>
              <c:numCache>
                <c:formatCode>0</c:formatCode>
                <c:ptCount val="6"/>
                <c:pt idx="0">
                  <c:v>53.333333333333336</c:v>
                </c:pt>
                <c:pt idx="1">
                  <c:v>55.705882352941174</c:v>
                </c:pt>
                <c:pt idx="2">
                  <c:v>55.714285714285715</c:v>
                </c:pt>
                <c:pt idx="3">
                  <c:v>55.111111111111114</c:v>
                </c:pt>
                <c:pt idx="4">
                  <c:v>57.333333333333336</c:v>
                </c:pt>
                <c:pt idx="5">
                  <c:v>54</c:v>
                </c:pt>
              </c:numCache>
            </c:numRef>
          </c:val>
          <c:extLst>
            <c:ext xmlns:c16="http://schemas.microsoft.com/office/drawing/2014/chart" uri="{C3380CC4-5D6E-409C-BE32-E72D297353CC}">
              <c16:uniqueId val="{00000001-9F3F-44C5-B9F6-FD9F632224D2}"/>
            </c:ext>
          </c:extLst>
        </c:ser>
        <c:ser>
          <c:idx val="2"/>
          <c:order val="2"/>
          <c:tx>
            <c:strRef>
              <c:f>LC!$Q$203</c:f>
              <c:strCache>
                <c:ptCount val="1"/>
                <c:pt idx="0">
                  <c:v>2018</c:v>
                </c:pt>
              </c:strCache>
            </c:strRef>
          </c:tx>
          <c:spPr>
            <a:ln>
              <a:prstDash val="sysDash"/>
            </a:ln>
          </c:spPr>
          <c:cat>
            <c:strRef>
              <c:f>LC!$N$204:$N$209</c:f>
              <c:strCache>
                <c:ptCount val="6"/>
                <c:pt idx="0">
                  <c:v>COMUNA 1</c:v>
                </c:pt>
                <c:pt idx="1">
                  <c:v>COMUNA 2</c:v>
                </c:pt>
                <c:pt idx="2">
                  <c:v>COMUNA 3</c:v>
                </c:pt>
                <c:pt idx="3">
                  <c:v>COMUNA 4</c:v>
                </c:pt>
                <c:pt idx="4">
                  <c:v>COMUNA 5</c:v>
                </c:pt>
                <c:pt idx="5">
                  <c:v>COMUNA 6</c:v>
                </c:pt>
              </c:strCache>
            </c:strRef>
          </c:cat>
          <c:val>
            <c:numRef>
              <c:f>LC!$Q$204:$Q$209</c:f>
              <c:numCache>
                <c:formatCode>0</c:formatCode>
                <c:ptCount val="6"/>
                <c:pt idx="0">
                  <c:v>53.846153846153847</c:v>
                </c:pt>
                <c:pt idx="1">
                  <c:v>54.823529411764703</c:v>
                </c:pt>
                <c:pt idx="2">
                  <c:v>56.214285714285715</c:v>
                </c:pt>
                <c:pt idx="3">
                  <c:v>54.666666666666664</c:v>
                </c:pt>
                <c:pt idx="4">
                  <c:v>56.3125</c:v>
                </c:pt>
                <c:pt idx="5">
                  <c:v>54.81818181818182</c:v>
                </c:pt>
              </c:numCache>
            </c:numRef>
          </c:val>
          <c:extLst>
            <c:ext xmlns:c16="http://schemas.microsoft.com/office/drawing/2014/chart" uri="{C3380CC4-5D6E-409C-BE32-E72D297353CC}">
              <c16:uniqueId val="{00000002-9F3F-44C5-B9F6-FD9F632224D2}"/>
            </c:ext>
          </c:extLst>
        </c:ser>
        <c:ser>
          <c:idx val="3"/>
          <c:order val="3"/>
          <c:tx>
            <c:strRef>
              <c:f>LC!$R$203</c:f>
              <c:strCache>
                <c:ptCount val="1"/>
                <c:pt idx="0">
                  <c:v>2019</c:v>
                </c:pt>
              </c:strCache>
            </c:strRef>
          </c:tx>
          <c:cat>
            <c:strRef>
              <c:f>LC!$N$204:$N$209</c:f>
              <c:strCache>
                <c:ptCount val="6"/>
                <c:pt idx="0">
                  <c:v>COMUNA 1</c:v>
                </c:pt>
                <c:pt idx="1">
                  <c:v>COMUNA 2</c:v>
                </c:pt>
                <c:pt idx="2">
                  <c:v>COMUNA 3</c:v>
                </c:pt>
                <c:pt idx="3">
                  <c:v>COMUNA 4</c:v>
                </c:pt>
                <c:pt idx="4">
                  <c:v>COMUNA 5</c:v>
                </c:pt>
                <c:pt idx="5">
                  <c:v>COMUNA 6</c:v>
                </c:pt>
              </c:strCache>
            </c:strRef>
          </c:cat>
          <c:val>
            <c:numRef>
              <c:f>LC!$R$204:$R$209</c:f>
              <c:numCache>
                <c:formatCode>0</c:formatCode>
                <c:ptCount val="6"/>
                <c:pt idx="0">
                  <c:v>53.53846153846154</c:v>
                </c:pt>
                <c:pt idx="1">
                  <c:v>55.444444444444443</c:v>
                </c:pt>
                <c:pt idx="2">
                  <c:v>55.785714285714285</c:v>
                </c:pt>
                <c:pt idx="3">
                  <c:v>54.375</c:v>
                </c:pt>
                <c:pt idx="4">
                  <c:v>56.705882352941174</c:v>
                </c:pt>
                <c:pt idx="5">
                  <c:v>55.083333333333336</c:v>
                </c:pt>
              </c:numCache>
            </c:numRef>
          </c:val>
          <c:extLst>
            <c:ext xmlns:c16="http://schemas.microsoft.com/office/drawing/2014/chart" uri="{C3380CC4-5D6E-409C-BE32-E72D297353CC}">
              <c16:uniqueId val="{00000003-9F3F-44C5-B9F6-FD9F632224D2}"/>
            </c:ext>
          </c:extLst>
        </c:ser>
        <c:ser>
          <c:idx val="4"/>
          <c:order val="4"/>
          <c:tx>
            <c:strRef>
              <c:f>LC!$S$203</c:f>
              <c:strCache>
                <c:ptCount val="1"/>
                <c:pt idx="0">
                  <c:v>2020</c:v>
                </c:pt>
              </c:strCache>
            </c:strRef>
          </c:tx>
          <c:cat>
            <c:strRef>
              <c:f>LC!$N$204:$N$209</c:f>
              <c:strCache>
                <c:ptCount val="6"/>
                <c:pt idx="0">
                  <c:v>COMUNA 1</c:v>
                </c:pt>
                <c:pt idx="1">
                  <c:v>COMUNA 2</c:v>
                </c:pt>
                <c:pt idx="2">
                  <c:v>COMUNA 3</c:v>
                </c:pt>
                <c:pt idx="3">
                  <c:v>COMUNA 4</c:v>
                </c:pt>
                <c:pt idx="4">
                  <c:v>COMUNA 5</c:v>
                </c:pt>
                <c:pt idx="5">
                  <c:v>COMUNA 6</c:v>
                </c:pt>
              </c:strCache>
            </c:strRef>
          </c:cat>
          <c:val>
            <c:numRef>
              <c:f>LC!$S$204:$S$209</c:f>
              <c:numCache>
                <c:formatCode>0</c:formatCode>
                <c:ptCount val="6"/>
                <c:pt idx="0">
                  <c:v>53.692307692307693</c:v>
                </c:pt>
                <c:pt idx="1">
                  <c:v>54.863636363636367</c:v>
                </c:pt>
                <c:pt idx="2">
                  <c:v>55.333333333333336</c:v>
                </c:pt>
                <c:pt idx="3">
                  <c:v>52.142857142857146</c:v>
                </c:pt>
                <c:pt idx="4">
                  <c:v>56.875</c:v>
                </c:pt>
                <c:pt idx="5">
                  <c:v>52.5</c:v>
                </c:pt>
              </c:numCache>
            </c:numRef>
          </c:val>
          <c:extLst>
            <c:ext xmlns:c16="http://schemas.microsoft.com/office/drawing/2014/chart" uri="{C3380CC4-5D6E-409C-BE32-E72D297353CC}">
              <c16:uniqueId val="{00000001-906E-44E8-8304-C95F0B7FE9A4}"/>
            </c:ext>
          </c:extLst>
        </c:ser>
        <c:ser>
          <c:idx val="5"/>
          <c:order val="5"/>
          <c:tx>
            <c:strRef>
              <c:f>LC!$T$203</c:f>
              <c:strCache>
                <c:ptCount val="1"/>
                <c:pt idx="0">
                  <c:v>2021</c:v>
                </c:pt>
              </c:strCache>
            </c:strRef>
          </c:tx>
          <c:cat>
            <c:strRef>
              <c:f>LC!$N$204:$N$209</c:f>
              <c:strCache>
                <c:ptCount val="6"/>
                <c:pt idx="0">
                  <c:v>COMUNA 1</c:v>
                </c:pt>
                <c:pt idx="1">
                  <c:v>COMUNA 2</c:v>
                </c:pt>
                <c:pt idx="2">
                  <c:v>COMUNA 3</c:v>
                </c:pt>
                <c:pt idx="3">
                  <c:v>COMUNA 4</c:v>
                </c:pt>
                <c:pt idx="4">
                  <c:v>COMUNA 5</c:v>
                </c:pt>
                <c:pt idx="5">
                  <c:v>COMUNA 6</c:v>
                </c:pt>
              </c:strCache>
            </c:strRef>
          </c:cat>
          <c:val>
            <c:numRef>
              <c:f>LC!$T$204:$T$209</c:f>
              <c:numCache>
                <c:formatCode>0</c:formatCode>
                <c:ptCount val="6"/>
                <c:pt idx="0">
                  <c:v>54.846153846153847</c:v>
                </c:pt>
                <c:pt idx="1">
                  <c:v>54.65</c:v>
                </c:pt>
                <c:pt idx="2">
                  <c:v>56.2</c:v>
                </c:pt>
                <c:pt idx="3">
                  <c:v>53.875</c:v>
                </c:pt>
                <c:pt idx="4">
                  <c:v>57.3125</c:v>
                </c:pt>
                <c:pt idx="5">
                  <c:v>54.615384615384613</c:v>
                </c:pt>
              </c:numCache>
            </c:numRef>
          </c:val>
          <c:extLst>
            <c:ext xmlns:c16="http://schemas.microsoft.com/office/drawing/2014/chart" uri="{C3380CC4-5D6E-409C-BE32-E72D297353CC}">
              <c16:uniqueId val="{00000001-331C-4B0C-8208-7421C4D80051}"/>
            </c:ext>
          </c:extLst>
        </c:ser>
        <c:ser>
          <c:idx val="6"/>
          <c:order val="6"/>
          <c:tx>
            <c:strRef>
              <c:f>LC!$U$203</c:f>
              <c:strCache>
                <c:ptCount val="1"/>
                <c:pt idx="0">
                  <c:v>2022</c:v>
                </c:pt>
              </c:strCache>
            </c:strRef>
          </c:tx>
          <c:cat>
            <c:strRef>
              <c:f>LC!$N$204:$N$209</c:f>
              <c:strCache>
                <c:ptCount val="6"/>
                <c:pt idx="0">
                  <c:v>COMUNA 1</c:v>
                </c:pt>
                <c:pt idx="1">
                  <c:v>COMUNA 2</c:v>
                </c:pt>
                <c:pt idx="2">
                  <c:v>COMUNA 3</c:v>
                </c:pt>
                <c:pt idx="3">
                  <c:v>COMUNA 4</c:v>
                </c:pt>
                <c:pt idx="4">
                  <c:v>COMUNA 5</c:v>
                </c:pt>
                <c:pt idx="5">
                  <c:v>COMUNA 6</c:v>
                </c:pt>
              </c:strCache>
            </c:strRef>
          </c:cat>
          <c:val>
            <c:numRef>
              <c:f>LC!$U$204:$U$209</c:f>
              <c:numCache>
                <c:formatCode>0</c:formatCode>
                <c:ptCount val="6"/>
                <c:pt idx="0">
                  <c:v>55</c:v>
                </c:pt>
                <c:pt idx="1">
                  <c:v>56.952380952380949</c:v>
                </c:pt>
                <c:pt idx="2">
                  <c:v>57</c:v>
                </c:pt>
                <c:pt idx="3">
                  <c:v>55</c:v>
                </c:pt>
                <c:pt idx="4">
                  <c:v>58.266666666666666</c:v>
                </c:pt>
                <c:pt idx="5">
                  <c:v>54.8125</c:v>
                </c:pt>
              </c:numCache>
            </c:numRef>
          </c:val>
          <c:extLst>
            <c:ext xmlns:c16="http://schemas.microsoft.com/office/drawing/2014/chart" uri="{C3380CC4-5D6E-409C-BE32-E72D297353CC}">
              <c16:uniqueId val="{00000000-A4B0-4EE5-A932-E2E40679DC01}"/>
            </c:ext>
          </c:extLst>
        </c:ser>
        <c:ser>
          <c:idx val="7"/>
          <c:order val="7"/>
          <c:tx>
            <c:strRef>
              <c:f>LC!$V$203</c:f>
              <c:strCache>
                <c:ptCount val="1"/>
                <c:pt idx="0">
                  <c:v>2023</c:v>
                </c:pt>
              </c:strCache>
            </c:strRef>
          </c:tx>
          <c:cat>
            <c:strRef>
              <c:f>LC!$N$204:$N$209</c:f>
              <c:strCache>
                <c:ptCount val="6"/>
                <c:pt idx="0">
                  <c:v>COMUNA 1</c:v>
                </c:pt>
                <c:pt idx="1">
                  <c:v>COMUNA 2</c:v>
                </c:pt>
                <c:pt idx="2">
                  <c:v>COMUNA 3</c:v>
                </c:pt>
                <c:pt idx="3">
                  <c:v>COMUNA 4</c:v>
                </c:pt>
                <c:pt idx="4">
                  <c:v>COMUNA 5</c:v>
                </c:pt>
                <c:pt idx="5">
                  <c:v>COMUNA 6</c:v>
                </c:pt>
              </c:strCache>
            </c:strRef>
          </c:cat>
          <c:val>
            <c:numRef>
              <c:f>LC!$V$204:$V$209</c:f>
              <c:numCache>
                <c:formatCode>0</c:formatCode>
                <c:ptCount val="6"/>
                <c:pt idx="0">
                  <c:v>55.25</c:v>
                </c:pt>
                <c:pt idx="1">
                  <c:v>56.272727272727273</c:v>
                </c:pt>
                <c:pt idx="2">
                  <c:v>56.625</c:v>
                </c:pt>
                <c:pt idx="3">
                  <c:v>52.555555555555557</c:v>
                </c:pt>
                <c:pt idx="4">
                  <c:v>58.4</c:v>
                </c:pt>
                <c:pt idx="5">
                  <c:v>56.176470588235297</c:v>
                </c:pt>
              </c:numCache>
            </c:numRef>
          </c:val>
          <c:extLst>
            <c:ext xmlns:c16="http://schemas.microsoft.com/office/drawing/2014/chart" uri="{C3380CC4-5D6E-409C-BE32-E72D297353CC}">
              <c16:uniqueId val="{00000001-A4B0-4EE5-A932-E2E40679DC01}"/>
            </c:ext>
          </c:extLst>
        </c:ser>
        <c:ser>
          <c:idx val="8"/>
          <c:order val="8"/>
          <c:tx>
            <c:strRef>
              <c:f>LC!$W$203</c:f>
              <c:strCache>
                <c:ptCount val="1"/>
                <c:pt idx="0">
                  <c:v>2024</c:v>
                </c:pt>
              </c:strCache>
            </c:strRef>
          </c:tx>
          <c:cat>
            <c:strRef>
              <c:f>LC!$N$204:$N$209</c:f>
              <c:strCache>
                <c:ptCount val="6"/>
                <c:pt idx="0">
                  <c:v>COMUNA 1</c:v>
                </c:pt>
                <c:pt idx="1">
                  <c:v>COMUNA 2</c:v>
                </c:pt>
                <c:pt idx="2">
                  <c:v>COMUNA 3</c:v>
                </c:pt>
                <c:pt idx="3">
                  <c:v>COMUNA 4</c:v>
                </c:pt>
                <c:pt idx="4">
                  <c:v>COMUNA 5</c:v>
                </c:pt>
                <c:pt idx="5">
                  <c:v>COMUNA 6</c:v>
                </c:pt>
              </c:strCache>
            </c:strRef>
          </c:cat>
          <c:val>
            <c:numRef>
              <c:f>LC!$W$204:$W$209</c:f>
              <c:numCache>
                <c:formatCode>0</c:formatCode>
                <c:ptCount val="6"/>
                <c:pt idx="0">
                  <c:v>55.636363636363633</c:v>
                </c:pt>
                <c:pt idx="1">
                  <c:v>58.421052631578945</c:v>
                </c:pt>
                <c:pt idx="2">
                  <c:v>57.25</c:v>
                </c:pt>
                <c:pt idx="3">
                  <c:v>55.714285714285715</c:v>
                </c:pt>
                <c:pt idx="4">
                  <c:v>58.466666666666669</c:v>
                </c:pt>
                <c:pt idx="5">
                  <c:v>56.533333333333331</c:v>
                </c:pt>
              </c:numCache>
            </c:numRef>
          </c:val>
          <c:extLst>
            <c:ext xmlns:c16="http://schemas.microsoft.com/office/drawing/2014/chart" uri="{C3380CC4-5D6E-409C-BE32-E72D297353CC}">
              <c16:uniqueId val="{00000000-E92F-40F4-AF88-C7C16306D905}"/>
            </c:ext>
          </c:extLst>
        </c:ser>
        <c:dLbls>
          <c:showLegendKey val="0"/>
          <c:showVal val="0"/>
          <c:showCatName val="0"/>
          <c:showSerName val="0"/>
          <c:showPercent val="0"/>
          <c:showBubbleSize val="0"/>
        </c:dLbls>
        <c:axId val="38569088"/>
        <c:axId val="38570624"/>
      </c:radarChart>
      <c:catAx>
        <c:axId val="38569088"/>
        <c:scaling>
          <c:orientation val="minMax"/>
        </c:scaling>
        <c:delete val="0"/>
        <c:axPos val="b"/>
        <c:majorGridlines/>
        <c:numFmt formatCode="General" sourceLinked="0"/>
        <c:majorTickMark val="none"/>
        <c:minorTickMark val="none"/>
        <c:tickLblPos val="nextTo"/>
        <c:spPr>
          <a:ln w="9525">
            <a:noFill/>
          </a:ln>
        </c:spPr>
        <c:crossAx val="38570624"/>
        <c:crosses val="autoZero"/>
        <c:auto val="1"/>
        <c:lblAlgn val="ctr"/>
        <c:lblOffset val="100"/>
        <c:noMultiLvlLbl val="0"/>
      </c:catAx>
      <c:valAx>
        <c:axId val="38570624"/>
        <c:scaling>
          <c:orientation val="minMax"/>
          <c:min val="48"/>
        </c:scaling>
        <c:delete val="0"/>
        <c:axPos val="l"/>
        <c:majorGridlines/>
        <c:numFmt formatCode="0" sourceLinked="1"/>
        <c:majorTickMark val="none"/>
        <c:minorTickMark val="none"/>
        <c:tickLblPos val="nextTo"/>
        <c:crossAx val="38569088"/>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Niveles</a:t>
            </a:r>
            <a:r>
              <a:rPr lang="es-CO" baseline="0"/>
              <a:t> de Desempeño Lectura Crítica Saber 11 2016 - 2024</a:t>
            </a:r>
            <a:endParaRPr lang="es-CO"/>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stacked"/>
        <c:varyColors val="0"/>
        <c:ser>
          <c:idx val="0"/>
          <c:order val="0"/>
          <c:spPr>
            <a:solidFill>
              <a:srgbClr val="FF0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LC!$AR$191:$BI$192</c:f>
              <c:multiLvlStrCache>
                <c:ptCount val="18"/>
                <c:lvl>
                  <c:pt idx="0">
                    <c:v>OFICIAL</c:v>
                  </c:pt>
                  <c:pt idx="1">
                    <c:v>NO OFICIAL</c:v>
                  </c:pt>
                  <c:pt idx="2">
                    <c:v>OFICIAL</c:v>
                  </c:pt>
                  <c:pt idx="3">
                    <c:v>NO OFICIAL</c:v>
                  </c:pt>
                  <c:pt idx="4">
                    <c:v>OFICIAL</c:v>
                  </c:pt>
                  <c:pt idx="5">
                    <c:v>NO OFICIAL</c:v>
                  </c:pt>
                  <c:pt idx="6">
                    <c:v>OFICIAL</c:v>
                  </c:pt>
                  <c:pt idx="7">
                    <c:v>NO OFICIAL</c:v>
                  </c:pt>
                  <c:pt idx="8">
                    <c:v>OFICIAL</c:v>
                  </c:pt>
                  <c:pt idx="9">
                    <c:v>NO OFICIAL</c:v>
                  </c:pt>
                  <c:pt idx="10">
                    <c:v>OFICIAL</c:v>
                  </c:pt>
                  <c:pt idx="11">
                    <c:v>NO OFICIAL</c:v>
                  </c:pt>
                  <c:pt idx="12">
                    <c:v>OFICIAL</c:v>
                  </c:pt>
                  <c:pt idx="13">
                    <c:v>NO OFICIAL</c:v>
                  </c:pt>
                  <c:pt idx="14">
                    <c:v>OFICIAL</c:v>
                  </c:pt>
                  <c:pt idx="15">
                    <c:v>NO OFICIAL</c:v>
                  </c:pt>
                  <c:pt idx="16">
                    <c:v>OFICIAL</c:v>
                  </c:pt>
                  <c:pt idx="17">
                    <c:v>NO OFICIAL</c:v>
                  </c:pt>
                </c:lvl>
                <c:lvl>
                  <c:pt idx="0">
                    <c:v>2016</c:v>
                  </c:pt>
                  <c:pt idx="2">
                    <c:v>2017</c:v>
                  </c:pt>
                  <c:pt idx="4">
                    <c:v>2018</c:v>
                  </c:pt>
                  <c:pt idx="6">
                    <c:v>2019</c:v>
                  </c:pt>
                  <c:pt idx="8">
                    <c:v>2020</c:v>
                  </c:pt>
                  <c:pt idx="10">
                    <c:v>2021</c:v>
                  </c:pt>
                  <c:pt idx="12">
                    <c:v>2022</c:v>
                  </c:pt>
                  <c:pt idx="14">
                    <c:v>2023</c:v>
                  </c:pt>
                  <c:pt idx="16">
                    <c:v>2024</c:v>
                  </c:pt>
                </c:lvl>
              </c:multiLvlStrCache>
            </c:multiLvlStrRef>
          </c:cat>
          <c:val>
            <c:numRef>
              <c:f>LC!$AR$193:$BI$193</c:f>
              <c:numCache>
                <c:formatCode>0%</c:formatCode>
                <c:ptCount val="18"/>
                <c:pt idx="0">
                  <c:v>0.01</c:v>
                </c:pt>
                <c:pt idx="1">
                  <c:v>0.01</c:v>
                </c:pt>
                <c:pt idx="2">
                  <c:v>0.01</c:v>
                </c:pt>
                <c:pt idx="3">
                  <c:v>0.01</c:v>
                </c:pt>
                <c:pt idx="4">
                  <c:v>0.02</c:v>
                </c:pt>
                <c:pt idx="5">
                  <c:v>0.01</c:v>
                </c:pt>
                <c:pt idx="6">
                  <c:v>0.02</c:v>
                </c:pt>
                <c:pt idx="7">
                  <c:v>0.01</c:v>
                </c:pt>
                <c:pt idx="8">
                  <c:v>0.02</c:v>
                </c:pt>
                <c:pt idx="9">
                  <c:v>0.01</c:v>
                </c:pt>
                <c:pt idx="10">
                  <c:v>0.02</c:v>
                </c:pt>
                <c:pt idx="11">
                  <c:v>0.01</c:v>
                </c:pt>
                <c:pt idx="12">
                  <c:v>0.02</c:v>
                </c:pt>
                <c:pt idx="13">
                  <c:v>0.01</c:v>
                </c:pt>
                <c:pt idx="14">
                  <c:v>0.02</c:v>
                </c:pt>
                <c:pt idx="15">
                  <c:v>0.01</c:v>
                </c:pt>
                <c:pt idx="16">
                  <c:v>0.03</c:v>
                </c:pt>
                <c:pt idx="17">
                  <c:v>0.01</c:v>
                </c:pt>
              </c:numCache>
            </c:numRef>
          </c:val>
          <c:extLst>
            <c:ext xmlns:c16="http://schemas.microsoft.com/office/drawing/2014/chart" uri="{C3380CC4-5D6E-409C-BE32-E72D297353CC}">
              <c16:uniqueId val="{00000000-876A-48F9-BBD8-D92BA2422A21}"/>
            </c:ext>
          </c:extLst>
        </c:ser>
        <c:ser>
          <c:idx val="1"/>
          <c:order val="1"/>
          <c:spPr>
            <a:solidFill>
              <a:srgbClr val="FFFF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LC!$AR$191:$BI$192</c:f>
              <c:multiLvlStrCache>
                <c:ptCount val="18"/>
                <c:lvl>
                  <c:pt idx="0">
                    <c:v>OFICIAL</c:v>
                  </c:pt>
                  <c:pt idx="1">
                    <c:v>NO OFICIAL</c:v>
                  </c:pt>
                  <c:pt idx="2">
                    <c:v>OFICIAL</c:v>
                  </c:pt>
                  <c:pt idx="3">
                    <c:v>NO OFICIAL</c:v>
                  </c:pt>
                  <c:pt idx="4">
                    <c:v>OFICIAL</c:v>
                  </c:pt>
                  <c:pt idx="5">
                    <c:v>NO OFICIAL</c:v>
                  </c:pt>
                  <c:pt idx="6">
                    <c:v>OFICIAL</c:v>
                  </c:pt>
                  <c:pt idx="7">
                    <c:v>NO OFICIAL</c:v>
                  </c:pt>
                  <c:pt idx="8">
                    <c:v>OFICIAL</c:v>
                  </c:pt>
                  <c:pt idx="9">
                    <c:v>NO OFICIAL</c:v>
                  </c:pt>
                  <c:pt idx="10">
                    <c:v>OFICIAL</c:v>
                  </c:pt>
                  <c:pt idx="11">
                    <c:v>NO OFICIAL</c:v>
                  </c:pt>
                  <c:pt idx="12">
                    <c:v>OFICIAL</c:v>
                  </c:pt>
                  <c:pt idx="13">
                    <c:v>NO OFICIAL</c:v>
                  </c:pt>
                  <c:pt idx="14">
                    <c:v>OFICIAL</c:v>
                  </c:pt>
                  <c:pt idx="15">
                    <c:v>NO OFICIAL</c:v>
                  </c:pt>
                  <c:pt idx="16">
                    <c:v>OFICIAL</c:v>
                  </c:pt>
                  <c:pt idx="17">
                    <c:v>NO OFICIAL</c:v>
                  </c:pt>
                </c:lvl>
                <c:lvl>
                  <c:pt idx="0">
                    <c:v>2016</c:v>
                  </c:pt>
                  <c:pt idx="2">
                    <c:v>2017</c:v>
                  </c:pt>
                  <c:pt idx="4">
                    <c:v>2018</c:v>
                  </c:pt>
                  <c:pt idx="6">
                    <c:v>2019</c:v>
                  </c:pt>
                  <c:pt idx="8">
                    <c:v>2020</c:v>
                  </c:pt>
                  <c:pt idx="10">
                    <c:v>2021</c:v>
                  </c:pt>
                  <c:pt idx="12">
                    <c:v>2022</c:v>
                  </c:pt>
                  <c:pt idx="14">
                    <c:v>2023</c:v>
                  </c:pt>
                  <c:pt idx="16">
                    <c:v>2024</c:v>
                  </c:pt>
                </c:lvl>
              </c:multiLvlStrCache>
            </c:multiLvlStrRef>
          </c:cat>
          <c:val>
            <c:numRef>
              <c:f>LC!$AR$194:$BI$194</c:f>
              <c:numCache>
                <c:formatCode>0%</c:formatCode>
                <c:ptCount val="18"/>
                <c:pt idx="0">
                  <c:v>0.39</c:v>
                </c:pt>
                <c:pt idx="1">
                  <c:v>0.28999999999999998</c:v>
                </c:pt>
                <c:pt idx="2">
                  <c:v>0.34</c:v>
                </c:pt>
                <c:pt idx="3">
                  <c:v>0.23</c:v>
                </c:pt>
                <c:pt idx="4">
                  <c:v>0.37</c:v>
                </c:pt>
                <c:pt idx="5">
                  <c:v>0.26</c:v>
                </c:pt>
                <c:pt idx="6">
                  <c:v>0.35</c:v>
                </c:pt>
                <c:pt idx="7">
                  <c:v>0.25</c:v>
                </c:pt>
                <c:pt idx="8">
                  <c:v>0.35</c:v>
                </c:pt>
                <c:pt idx="9">
                  <c:v>0.26</c:v>
                </c:pt>
                <c:pt idx="10">
                  <c:v>0.37</c:v>
                </c:pt>
                <c:pt idx="11">
                  <c:v>0.26</c:v>
                </c:pt>
                <c:pt idx="12">
                  <c:v>0.34</c:v>
                </c:pt>
                <c:pt idx="13">
                  <c:v>0.21</c:v>
                </c:pt>
                <c:pt idx="14">
                  <c:v>0.35</c:v>
                </c:pt>
                <c:pt idx="15">
                  <c:v>0.22</c:v>
                </c:pt>
                <c:pt idx="16">
                  <c:v>0.31</c:v>
                </c:pt>
                <c:pt idx="17">
                  <c:v>0.18</c:v>
                </c:pt>
              </c:numCache>
            </c:numRef>
          </c:val>
          <c:extLst>
            <c:ext xmlns:c16="http://schemas.microsoft.com/office/drawing/2014/chart" uri="{C3380CC4-5D6E-409C-BE32-E72D297353CC}">
              <c16:uniqueId val="{00000001-876A-48F9-BBD8-D92BA2422A21}"/>
            </c:ext>
          </c:extLst>
        </c:ser>
        <c:ser>
          <c:idx val="2"/>
          <c:order val="2"/>
          <c:spPr>
            <a:solidFill>
              <a:srgbClr val="FFC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LC!$AR$191:$BI$192</c:f>
              <c:multiLvlStrCache>
                <c:ptCount val="18"/>
                <c:lvl>
                  <c:pt idx="0">
                    <c:v>OFICIAL</c:v>
                  </c:pt>
                  <c:pt idx="1">
                    <c:v>NO OFICIAL</c:v>
                  </c:pt>
                  <c:pt idx="2">
                    <c:v>OFICIAL</c:v>
                  </c:pt>
                  <c:pt idx="3">
                    <c:v>NO OFICIAL</c:v>
                  </c:pt>
                  <c:pt idx="4">
                    <c:v>OFICIAL</c:v>
                  </c:pt>
                  <c:pt idx="5">
                    <c:v>NO OFICIAL</c:v>
                  </c:pt>
                  <c:pt idx="6">
                    <c:v>OFICIAL</c:v>
                  </c:pt>
                  <c:pt idx="7">
                    <c:v>NO OFICIAL</c:v>
                  </c:pt>
                  <c:pt idx="8">
                    <c:v>OFICIAL</c:v>
                  </c:pt>
                  <c:pt idx="9">
                    <c:v>NO OFICIAL</c:v>
                  </c:pt>
                  <c:pt idx="10">
                    <c:v>OFICIAL</c:v>
                  </c:pt>
                  <c:pt idx="11">
                    <c:v>NO OFICIAL</c:v>
                  </c:pt>
                  <c:pt idx="12">
                    <c:v>OFICIAL</c:v>
                  </c:pt>
                  <c:pt idx="13">
                    <c:v>NO OFICIAL</c:v>
                  </c:pt>
                  <c:pt idx="14">
                    <c:v>OFICIAL</c:v>
                  </c:pt>
                  <c:pt idx="15">
                    <c:v>NO OFICIAL</c:v>
                  </c:pt>
                  <c:pt idx="16">
                    <c:v>OFICIAL</c:v>
                  </c:pt>
                  <c:pt idx="17">
                    <c:v>NO OFICIAL</c:v>
                  </c:pt>
                </c:lvl>
                <c:lvl>
                  <c:pt idx="0">
                    <c:v>2016</c:v>
                  </c:pt>
                  <c:pt idx="2">
                    <c:v>2017</c:v>
                  </c:pt>
                  <c:pt idx="4">
                    <c:v>2018</c:v>
                  </c:pt>
                  <c:pt idx="6">
                    <c:v>2019</c:v>
                  </c:pt>
                  <c:pt idx="8">
                    <c:v>2020</c:v>
                  </c:pt>
                  <c:pt idx="10">
                    <c:v>2021</c:v>
                  </c:pt>
                  <c:pt idx="12">
                    <c:v>2022</c:v>
                  </c:pt>
                  <c:pt idx="14">
                    <c:v>2023</c:v>
                  </c:pt>
                  <c:pt idx="16">
                    <c:v>2024</c:v>
                  </c:pt>
                </c:lvl>
              </c:multiLvlStrCache>
            </c:multiLvlStrRef>
          </c:cat>
          <c:val>
            <c:numRef>
              <c:f>LC!$AR$195:$BI$195</c:f>
              <c:numCache>
                <c:formatCode>0%</c:formatCode>
                <c:ptCount val="18"/>
                <c:pt idx="0">
                  <c:v>0.54</c:v>
                </c:pt>
                <c:pt idx="1">
                  <c:v>0.62</c:v>
                </c:pt>
                <c:pt idx="2">
                  <c:v>0.56999999999999995</c:v>
                </c:pt>
                <c:pt idx="3">
                  <c:v>0.64</c:v>
                </c:pt>
                <c:pt idx="4">
                  <c:v>0.53</c:v>
                </c:pt>
                <c:pt idx="5">
                  <c:v>0.59</c:v>
                </c:pt>
                <c:pt idx="6">
                  <c:v>0.55000000000000004</c:v>
                </c:pt>
                <c:pt idx="7">
                  <c:v>0.6</c:v>
                </c:pt>
                <c:pt idx="8">
                  <c:v>0.56000000000000005</c:v>
                </c:pt>
                <c:pt idx="9">
                  <c:v>0.61</c:v>
                </c:pt>
                <c:pt idx="10">
                  <c:v>0.52</c:v>
                </c:pt>
                <c:pt idx="11">
                  <c:v>0.56999999999999995</c:v>
                </c:pt>
                <c:pt idx="12">
                  <c:v>0.56000000000000005</c:v>
                </c:pt>
                <c:pt idx="13">
                  <c:v>0.61</c:v>
                </c:pt>
                <c:pt idx="14">
                  <c:v>0.55000000000000004</c:v>
                </c:pt>
                <c:pt idx="15">
                  <c:v>0.6</c:v>
                </c:pt>
                <c:pt idx="16">
                  <c:v>0.56000000000000005</c:v>
                </c:pt>
                <c:pt idx="17">
                  <c:v>0.63</c:v>
                </c:pt>
              </c:numCache>
            </c:numRef>
          </c:val>
          <c:extLst>
            <c:ext xmlns:c16="http://schemas.microsoft.com/office/drawing/2014/chart" uri="{C3380CC4-5D6E-409C-BE32-E72D297353CC}">
              <c16:uniqueId val="{00000002-876A-48F9-BBD8-D92BA2422A21}"/>
            </c:ext>
          </c:extLst>
        </c:ser>
        <c:ser>
          <c:idx val="3"/>
          <c:order val="3"/>
          <c:spPr>
            <a:solidFill>
              <a:srgbClr val="00B05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LC!$AR$191:$BI$192</c:f>
              <c:multiLvlStrCache>
                <c:ptCount val="18"/>
                <c:lvl>
                  <c:pt idx="0">
                    <c:v>OFICIAL</c:v>
                  </c:pt>
                  <c:pt idx="1">
                    <c:v>NO OFICIAL</c:v>
                  </c:pt>
                  <c:pt idx="2">
                    <c:v>OFICIAL</c:v>
                  </c:pt>
                  <c:pt idx="3">
                    <c:v>NO OFICIAL</c:v>
                  </c:pt>
                  <c:pt idx="4">
                    <c:v>OFICIAL</c:v>
                  </c:pt>
                  <c:pt idx="5">
                    <c:v>NO OFICIAL</c:v>
                  </c:pt>
                  <c:pt idx="6">
                    <c:v>OFICIAL</c:v>
                  </c:pt>
                  <c:pt idx="7">
                    <c:v>NO OFICIAL</c:v>
                  </c:pt>
                  <c:pt idx="8">
                    <c:v>OFICIAL</c:v>
                  </c:pt>
                  <c:pt idx="9">
                    <c:v>NO OFICIAL</c:v>
                  </c:pt>
                  <c:pt idx="10">
                    <c:v>OFICIAL</c:v>
                  </c:pt>
                  <c:pt idx="11">
                    <c:v>NO OFICIAL</c:v>
                  </c:pt>
                  <c:pt idx="12">
                    <c:v>OFICIAL</c:v>
                  </c:pt>
                  <c:pt idx="13">
                    <c:v>NO OFICIAL</c:v>
                  </c:pt>
                  <c:pt idx="14">
                    <c:v>OFICIAL</c:v>
                  </c:pt>
                  <c:pt idx="15">
                    <c:v>NO OFICIAL</c:v>
                  </c:pt>
                  <c:pt idx="16">
                    <c:v>OFICIAL</c:v>
                  </c:pt>
                  <c:pt idx="17">
                    <c:v>NO OFICIAL</c:v>
                  </c:pt>
                </c:lvl>
                <c:lvl>
                  <c:pt idx="0">
                    <c:v>2016</c:v>
                  </c:pt>
                  <c:pt idx="2">
                    <c:v>2017</c:v>
                  </c:pt>
                  <c:pt idx="4">
                    <c:v>2018</c:v>
                  </c:pt>
                  <c:pt idx="6">
                    <c:v>2019</c:v>
                  </c:pt>
                  <c:pt idx="8">
                    <c:v>2020</c:v>
                  </c:pt>
                  <c:pt idx="10">
                    <c:v>2021</c:v>
                  </c:pt>
                  <c:pt idx="12">
                    <c:v>2022</c:v>
                  </c:pt>
                  <c:pt idx="14">
                    <c:v>2023</c:v>
                  </c:pt>
                  <c:pt idx="16">
                    <c:v>2024</c:v>
                  </c:pt>
                </c:lvl>
              </c:multiLvlStrCache>
            </c:multiLvlStrRef>
          </c:cat>
          <c:val>
            <c:numRef>
              <c:f>LC!$AR$196:$BI$196</c:f>
              <c:numCache>
                <c:formatCode>0%</c:formatCode>
                <c:ptCount val="18"/>
                <c:pt idx="0">
                  <c:v>0.05</c:v>
                </c:pt>
                <c:pt idx="1">
                  <c:v>0.08</c:v>
                </c:pt>
                <c:pt idx="2">
                  <c:v>7.0000000000000007E-2</c:v>
                </c:pt>
                <c:pt idx="3">
                  <c:v>0.12</c:v>
                </c:pt>
                <c:pt idx="4">
                  <c:v>0.08</c:v>
                </c:pt>
                <c:pt idx="5">
                  <c:v>0.14000000000000001</c:v>
                </c:pt>
                <c:pt idx="6">
                  <c:v>0.08</c:v>
                </c:pt>
                <c:pt idx="7">
                  <c:v>0.14000000000000001</c:v>
                </c:pt>
                <c:pt idx="8">
                  <c:v>7.0000000000000007E-2</c:v>
                </c:pt>
                <c:pt idx="9">
                  <c:v>0.11</c:v>
                </c:pt>
                <c:pt idx="10">
                  <c:v>0.09</c:v>
                </c:pt>
                <c:pt idx="11">
                  <c:v>0.16</c:v>
                </c:pt>
                <c:pt idx="12">
                  <c:v>0.09</c:v>
                </c:pt>
                <c:pt idx="13">
                  <c:v>0.16</c:v>
                </c:pt>
                <c:pt idx="14">
                  <c:v>0.08</c:v>
                </c:pt>
                <c:pt idx="15">
                  <c:v>0.17</c:v>
                </c:pt>
                <c:pt idx="16">
                  <c:v>0.1</c:v>
                </c:pt>
                <c:pt idx="17">
                  <c:v>0.18</c:v>
                </c:pt>
              </c:numCache>
            </c:numRef>
          </c:val>
          <c:extLst>
            <c:ext xmlns:c16="http://schemas.microsoft.com/office/drawing/2014/chart" uri="{C3380CC4-5D6E-409C-BE32-E72D297353CC}">
              <c16:uniqueId val="{00000003-876A-48F9-BBD8-D92BA2422A21}"/>
            </c:ext>
          </c:extLst>
        </c:ser>
        <c:dLbls>
          <c:showLegendKey val="0"/>
          <c:showVal val="0"/>
          <c:showCatName val="0"/>
          <c:showSerName val="0"/>
          <c:showPercent val="0"/>
          <c:showBubbleSize val="0"/>
        </c:dLbls>
        <c:gapWidth val="150"/>
        <c:overlap val="100"/>
        <c:axId val="744346207"/>
        <c:axId val="634479663"/>
      </c:barChart>
      <c:catAx>
        <c:axId val="74434620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634479663"/>
        <c:crosses val="autoZero"/>
        <c:auto val="1"/>
        <c:lblAlgn val="ctr"/>
        <c:lblOffset val="100"/>
        <c:noMultiLvlLbl val="0"/>
      </c:catAx>
      <c:valAx>
        <c:axId val="634479663"/>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74434620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Niveles</a:t>
            </a:r>
            <a:r>
              <a:rPr lang="es-CO" baseline="0"/>
              <a:t> de Desempeño Lectura Crítica Saber 11 2016 - 2024 </a:t>
            </a:r>
            <a:endParaRPr lang="es-CO"/>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stacked"/>
        <c:varyColors val="0"/>
        <c:ser>
          <c:idx val="0"/>
          <c:order val="0"/>
          <c:tx>
            <c:strRef>
              <c:f>LC!$AQ$182</c:f>
              <c:strCache>
                <c:ptCount val="1"/>
                <c:pt idx="0">
                  <c:v>1</c:v>
                </c:pt>
              </c:strCache>
            </c:strRef>
          </c:tx>
          <c:spPr>
            <a:solidFill>
              <a:srgbClr val="FF0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LC!$AR$180:$BI$181</c:f>
              <c:multiLvlStrCache>
                <c:ptCount val="18"/>
                <c:lvl>
                  <c:pt idx="0">
                    <c:v>SOACHA</c:v>
                  </c:pt>
                  <c:pt idx="1">
                    <c:v>COLOMBIA</c:v>
                  </c:pt>
                  <c:pt idx="2">
                    <c:v>SOACHA</c:v>
                  </c:pt>
                  <c:pt idx="3">
                    <c:v>COLOMBIA</c:v>
                  </c:pt>
                  <c:pt idx="4">
                    <c:v>SOACHA</c:v>
                  </c:pt>
                  <c:pt idx="5">
                    <c:v>COLOMBIA</c:v>
                  </c:pt>
                  <c:pt idx="6">
                    <c:v>SOACHA</c:v>
                  </c:pt>
                  <c:pt idx="7">
                    <c:v>COLOMBIA</c:v>
                  </c:pt>
                  <c:pt idx="8">
                    <c:v>SOACHA</c:v>
                  </c:pt>
                  <c:pt idx="9">
                    <c:v>COLOMBIA</c:v>
                  </c:pt>
                  <c:pt idx="10">
                    <c:v>SOACHA</c:v>
                  </c:pt>
                  <c:pt idx="11">
                    <c:v>COLOMBIA</c:v>
                  </c:pt>
                  <c:pt idx="12">
                    <c:v>SOACHA</c:v>
                  </c:pt>
                  <c:pt idx="13">
                    <c:v>COLOMBIA</c:v>
                  </c:pt>
                  <c:pt idx="14">
                    <c:v>SOACHA</c:v>
                  </c:pt>
                  <c:pt idx="15">
                    <c:v>COLOMBIA</c:v>
                  </c:pt>
                  <c:pt idx="16">
                    <c:v>SOACHA</c:v>
                  </c:pt>
                  <c:pt idx="17">
                    <c:v>COLOMBIA</c:v>
                  </c:pt>
                </c:lvl>
                <c:lvl>
                  <c:pt idx="0">
                    <c:v>2016</c:v>
                  </c:pt>
                  <c:pt idx="2">
                    <c:v>2017</c:v>
                  </c:pt>
                  <c:pt idx="4">
                    <c:v>2018</c:v>
                  </c:pt>
                  <c:pt idx="6">
                    <c:v>2019</c:v>
                  </c:pt>
                  <c:pt idx="8">
                    <c:v>2020</c:v>
                  </c:pt>
                  <c:pt idx="10">
                    <c:v>2021</c:v>
                  </c:pt>
                  <c:pt idx="12">
                    <c:v>2022</c:v>
                  </c:pt>
                  <c:pt idx="14">
                    <c:v>2023</c:v>
                  </c:pt>
                  <c:pt idx="16">
                    <c:v>2024</c:v>
                  </c:pt>
                </c:lvl>
              </c:multiLvlStrCache>
            </c:multiLvlStrRef>
          </c:cat>
          <c:val>
            <c:numRef>
              <c:f>LC!$AR$182:$BI$182</c:f>
              <c:numCache>
                <c:formatCode>0%</c:formatCode>
                <c:ptCount val="18"/>
                <c:pt idx="0">
                  <c:v>0.01</c:v>
                </c:pt>
                <c:pt idx="1">
                  <c:v>0.02</c:v>
                </c:pt>
                <c:pt idx="2">
                  <c:v>0.01</c:v>
                </c:pt>
                <c:pt idx="3">
                  <c:v>0.02</c:v>
                </c:pt>
                <c:pt idx="4">
                  <c:v>0.01</c:v>
                </c:pt>
                <c:pt idx="5">
                  <c:v>0.03</c:v>
                </c:pt>
                <c:pt idx="6">
                  <c:v>0.02</c:v>
                </c:pt>
                <c:pt idx="7">
                  <c:v>0.04</c:v>
                </c:pt>
                <c:pt idx="8">
                  <c:v>0.02</c:v>
                </c:pt>
                <c:pt idx="9">
                  <c:v>0.04</c:v>
                </c:pt>
                <c:pt idx="10">
                  <c:v>0.02</c:v>
                </c:pt>
                <c:pt idx="11">
                  <c:v>0.04</c:v>
                </c:pt>
                <c:pt idx="12">
                  <c:v>0.05</c:v>
                </c:pt>
                <c:pt idx="13">
                  <c:v>0.02</c:v>
                </c:pt>
                <c:pt idx="14">
                  <c:v>0.04</c:v>
                </c:pt>
                <c:pt idx="15">
                  <c:v>0.02</c:v>
                </c:pt>
                <c:pt idx="16">
                  <c:v>0.02</c:v>
                </c:pt>
                <c:pt idx="17">
                  <c:v>0.04</c:v>
                </c:pt>
              </c:numCache>
            </c:numRef>
          </c:val>
          <c:extLst>
            <c:ext xmlns:c16="http://schemas.microsoft.com/office/drawing/2014/chart" uri="{C3380CC4-5D6E-409C-BE32-E72D297353CC}">
              <c16:uniqueId val="{00000000-F0B0-425D-80D1-B609A541822D}"/>
            </c:ext>
          </c:extLst>
        </c:ser>
        <c:ser>
          <c:idx val="1"/>
          <c:order val="1"/>
          <c:tx>
            <c:strRef>
              <c:f>LC!$AQ$183</c:f>
              <c:strCache>
                <c:ptCount val="1"/>
                <c:pt idx="0">
                  <c:v>2</c:v>
                </c:pt>
              </c:strCache>
            </c:strRef>
          </c:tx>
          <c:spPr>
            <a:solidFill>
              <a:srgbClr val="FFFF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LC!$AR$180:$BI$181</c:f>
              <c:multiLvlStrCache>
                <c:ptCount val="18"/>
                <c:lvl>
                  <c:pt idx="0">
                    <c:v>SOACHA</c:v>
                  </c:pt>
                  <c:pt idx="1">
                    <c:v>COLOMBIA</c:v>
                  </c:pt>
                  <c:pt idx="2">
                    <c:v>SOACHA</c:v>
                  </c:pt>
                  <c:pt idx="3">
                    <c:v>COLOMBIA</c:v>
                  </c:pt>
                  <c:pt idx="4">
                    <c:v>SOACHA</c:v>
                  </c:pt>
                  <c:pt idx="5">
                    <c:v>COLOMBIA</c:v>
                  </c:pt>
                  <c:pt idx="6">
                    <c:v>SOACHA</c:v>
                  </c:pt>
                  <c:pt idx="7">
                    <c:v>COLOMBIA</c:v>
                  </c:pt>
                  <c:pt idx="8">
                    <c:v>SOACHA</c:v>
                  </c:pt>
                  <c:pt idx="9">
                    <c:v>COLOMBIA</c:v>
                  </c:pt>
                  <c:pt idx="10">
                    <c:v>SOACHA</c:v>
                  </c:pt>
                  <c:pt idx="11">
                    <c:v>COLOMBIA</c:v>
                  </c:pt>
                  <c:pt idx="12">
                    <c:v>SOACHA</c:v>
                  </c:pt>
                  <c:pt idx="13">
                    <c:v>COLOMBIA</c:v>
                  </c:pt>
                  <c:pt idx="14">
                    <c:v>SOACHA</c:v>
                  </c:pt>
                  <c:pt idx="15">
                    <c:v>COLOMBIA</c:v>
                  </c:pt>
                  <c:pt idx="16">
                    <c:v>SOACHA</c:v>
                  </c:pt>
                  <c:pt idx="17">
                    <c:v>COLOMBIA</c:v>
                  </c:pt>
                </c:lvl>
                <c:lvl>
                  <c:pt idx="0">
                    <c:v>2016</c:v>
                  </c:pt>
                  <c:pt idx="2">
                    <c:v>2017</c:v>
                  </c:pt>
                  <c:pt idx="4">
                    <c:v>2018</c:v>
                  </c:pt>
                  <c:pt idx="6">
                    <c:v>2019</c:v>
                  </c:pt>
                  <c:pt idx="8">
                    <c:v>2020</c:v>
                  </c:pt>
                  <c:pt idx="10">
                    <c:v>2021</c:v>
                  </c:pt>
                  <c:pt idx="12">
                    <c:v>2022</c:v>
                  </c:pt>
                  <c:pt idx="14">
                    <c:v>2023</c:v>
                  </c:pt>
                  <c:pt idx="16">
                    <c:v>2024</c:v>
                  </c:pt>
                </c:lvl>
              </c:multiLvlStrCache>
            </c:multiLvlStrRef>
          </c:cat>
          <c:val>
            <c:numRef>
              <c:f>LC!$AR$183:$BI$183</c:f>
              <c:numCache>
                <c:formatCode>0%</c:formatCode>
                <c:ptCount val="18"/>
                <c:pt idx="0">
                  <c:v>0.34</c:v>
                </c:pt>
                <c:pt idx="1">
                  <c:v>0.37</c:v>
                </c:pt>
                <c:pt idx="2">
                  <c:v>0.28999999999999998</c:v>
                </c:pt>
                <c:pt idx="3">
                  <c:v>0.33</c:v>
                </c:pt>
                <c:pt idx="4">
                  <c:v>0.32</c:v>
                </c:pt>
                <c:pt idx="5">
                  <c:v>0.35</c:v>
                </c:pt>
                <c:pt idx="6">
                  <c:v>0.3</c:v>
                </c:pt>
                <c:pt idx="7">
                  <c:v>0.34</c:v>
                </c:pt>
                <c:pt idx="8">
                  <c:v>0.31</c:v>
                </c:pt>
                <c:pt idx="9">
                  <c:v>0.36</c:v>
                </c:pt>
                <c:pt idx="10">
                  <c:v>0.32</c:v>
                </c:pt>
                <c:pt idx="11">
                  <c:v>0.37</c:v>
                </c:pt>
                <c:pt idx="12">
                  <c:v>0.34</c:v>
                </c:pt>
                <c:pt idx="13">
                  <c:v>0.27</c:v>
                </c:pt>
                <c:pt idx="14">
                  <c:v>0.35</c:v>
                </c:pt>
                <c:pt idx="15">
                  <c:v>0.28999999999999998</c:v>
                </c:pt>
                <c:pt idx="16">
                  <c:v>0.25</c:v>
                </c:pt>
                <c:pt idx="17">
                  <c:v>0.31</c:v>
                </c:pt>
              </c:numCache>
            </c:numRef>
          </c:val>
          <c:extLst>
            <c:ext xmlns:c16="http://schemas.microsoft.com/office/drawing/2014/chart" uri="{C3380CC4-5D6E-409C-BE32-E72D297353CC}">
              <c16:uniqueId val="{00000001-F0B0-425D-80D1-B609A541822D}"/>
            </c:ext>
          </c:extLst>
        </c:ser>
        <c:ser>
          <c:idx val="2"/>
          <c:order val="2"/>
          <c:tx>
            <c:strRef>
              <c:f>LC!$AQ$184</c:f>
              <c:strCache>
                <c:ptCount val="1"/>
                <c:pt idx="0">
                  <c:v>3</c:v>
                </c:pt>
              </c:strCache>
            </c:strRef>
          </c:tx>
          <c:spPr>
            <a:solidFill>
              <a:srgbClr val="FFC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LC!$AR$180:$BI$181</c:f>
              <c:multiLvlStrCache>
                <c:ptCount val="18"/>
                <c:lvl>
                  <c:pt idx="0">
                    <c:v>SOACHA</c:v>
                  </c:pt>
                  <c:pt idx="1">
                    <c:v>COLOMBIA</c:v>
                  </c:pt>
                  <c:pt idx="2">
                    <c:v>SOACHA</c:v>
                  </c:pt>
                  <c:pt idx="3">
                    <c:v>COLOMBIA</c:v>
                  </c:pt>
                  <c:pt idx="4">
                    <c:v>SOACHA</c:v>
                  </c:pt>
                  <c:pt idx="5">
                    <c:v>COLOMBIA</c:v>
                  </c:pt>
                  <c:pt idx="6">
                    <c:v>SOACHA</c:v>
                  </c:pt>
                  <c:pt idx="7">
                    <c:v>COLOMBIA</c:v>
                  </c:pt>
                  <c:pt idx="8">
                    <c:v>SOACHA</c:v>
                  </c:pt>
                  <c:pt idx="9">
                    <c:v>COLOMBIA</c:v>
                  </c:pt>
                  <c:pt idx="10">
                    <c:v>SOACHA</c:v>
                  </c:pt>
                  <c:pt idx="11">
                    <c:v>COLOMBIA</c:v>
                  </c:pt>
                  <c:pt idx="12">
                    <c:v>SOACHA</c:v>
                  </c:pt>
                  <c:pt idx="13">
                    <c:v>COLOMBIA</c:v>
                  </c:pt>
                  <c:pt idx="14">
                    <c:v>SOACHA</c:v>
                  </c:pt>
                  <c:pt idx="15">
                    <c:v>COLOMBIA</c:v>
                  </c:pt>
                  <c:pt idx="16">
                    <c:v>SOACHA</c:v>
                  </c:pt>
                  <c:pt idx="17">
                    <c:v>COLOMBIA</c:v>
                  </c:pt>
                </c:lvl>
                <c:lvl>
                  <c:pt idx="0">
                    <c:v>2016</c:v>
                  </c:pt>
                  <c:pt idx="2">
                    <c:v>2017</c:v>
                  </c:pt>
                  <c:pt idx="4">
                    <c:v>2018</c:v>
                  </c:pt>
                  <c:pt idx="6">
                    <c:v>2019</c:v>
                  </c:pt>
                  <c:pt idx="8">
                    <c:v>2020</c:v>
                  </c:pt>
                  <c:pt idx="10">
                    <c:v>2021</c:v>
                  </c:pt>
                  <c:pt idx="12">
                    <c:v>2022</c:v>
                  </c:pt>
                  <c:pt idx="14">
                    <c:v>2023</c:v>
                  </c:pt>
                  <c:pt idx="16">
                    <c:v>2024</c:v>
                  </c:pt>
                </c:lvl>
              </c:multiLvlStrCache>
            </c:multiLvlStrRef>
          </c:cat>
          <c:val>
            <c:numRef>
              <c:f>LC!$AR$184:$BI$184</c:f>
              <c:numCache>
                <c:formatCode>0%</c:formatCode>
                <c:ptCount val="18"/>
                <c:pt idx="0">
                  <c:v>0.57999999999999996</c:v>
                </c:pt>
                <c:pt idx="1">
                  <c:v>0.5</c:v>
                </c:pt>
                <c:pt idx="2">
                  <c:v>0.6</c:v>
                </c:pt>
                <c:pt idx="3">
                  <c:v>0.52</c:v>
                </c:pt>
                <c:pt idx="4">
                  <c:v>0.56000000000000005</c:v>
                </c:pt>
                <c:pt idx="5">
                  <c:v>0.49</c:v>
                </c:pt>
                <c:pt idx="6">
                  <c:v>0.56999999999999995</c:v>
                </c:pt>
                <c:pt idx="7">
                  <c:v>0.49</c:v>
                </c:pt>
                <c:pt idx="8">
                  <c:v>0.59</c:v>
                </c:pt>
                <c:pt idx="9">
                  <c:v>0.49</c:v>
                </c:pt>
                <c:pt idx="10">
                  <c:v>0.54</c:v>
                </c:pt>
                <c:pt idx="11">
                  <c:v>0.45</c:v>
                </c:pt>
                <c:pt idx="12">
                  <c:v>0.47</c:v>
                </c:pt>
                <c:pt idx="13">
                  <c:v>0.57999999999999996</c:v>
                </c:pt>
                <c:pt idx="14">
                  <c:v>0.48</c:v>
                </c:pt>
                <c:pt idx="15">
                  <c:v>0.56999999999999995</c:v>
                </c:pt>
                <c:pt idx="16">
                  <c:v>0.59</c:v>
                </c:pt>
                <c:pt idx="17">
                  <c:v>0.5</c:v>
                </c:pt>
              </c:numCache>
            </c:numRef>
          </c:val>
          <c:extLst>
            <c:ext xmlns:c16="http://schemas.microsoft.com/office/drawing/2014/chart" uri="{C3380CC4-5D6E-409C-BE32-E72D297353CC}">
              <c16:uniqueId val="{00000002-F0B0-425D-80D1-B609A541822D}"/>
            </c:ext>
          </c:extLst>
        </c:ser>
        <c:ser>
          <c:idx val="3"/>
          <c:order val="3"/>
          <c:tx>
            <c:strRef>
              <c:f>LC!$AQ$185</c:f>
              <c:strCache>
                <c:ptCount val="1"/>
                <c:pt idx="0">
                  <c:v>4</c:v>
                </c:pt>
              </c:strCache>
            </c:strRef>
          </c:tx>
          <c:spPr>
            <a:solidFill>
              <a:srgbClr val="00B05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LC!$AR$180:$BI$181</c:f>
              <c:multiLvlStrCache>
                <c:ptCount val="18"/>
                <c:lvl>
                  <c:pt idx="0">
                    <c:v>SOACHA</c:v>
                  </c:pt>
                  <c:pt idx="1">
                    <c:v>COLOMBIA</c:v>
                  </c:pt>
                  <c:pt idx="2">
                    <c:v>SOACHA</c:v>
                  </c:pt>
                  <c:pt idx="3">
                    <c:v>COLOMBIA</c:v>
                  </c:pt>
                  <c:pt idx="4">
                    <c:v>SOACHA</c:v>
                  </c:pt>
                  <c:pt idx="5">
                    <c:v>COLOMBIA</c:v>
                  </c:pt>
                  <c:pt idx="6">
                    <c:v>SOACHA</c:v>
                  </c:pt>
                  <c:pt idx="7">
                    <c:v>COLOMBIA</c:v>
                  </c:pt>
                  <c:pt idx="8">
                    <c:v>SOACHA</c:v>
                  </c:pt>
                  <c:pt idx="9">
                    <c:v>COLOMBIA</c:v>
                  </c:pt>
                  <c:pt idx="10">
                    <c:v>SOACHA</c:v>
                  </c:pt>
                  <c:pt idx="11">
                    <c:v>COLOMBIA</c:v>
                  </c:pt>
                  <c:pt idx="12">
                    <c:v>SOACHA</c:v>
                  </c:pt>
                  <c:pt idx="13">
                    <c:v>COLOMBIA</c:v>
                  </c:pt>
                  <c:pt idx="14">
                    <c:v>SOACHA</c:v>
                  </c:pt>
                  <c:pt idx="15">
                    <c:v>COLOMBIA</c:v>
                  </c:pt>
                  <c:pt idx="16">
                    <c:v>SOACHA</c:v>
                  </c:pt>
                  <c:pt idx="17">
                    <c:v>COLOMBIA</c:v>
                  </c:pt>
                </c:lvl>
                <c:lvl>
                  <c:pt idx="0">
                    <c:v>2016</c:v>
                  </c:pt>
                  <c:pt idx="2">
                    <c:v>2017</c:v>
                  </c:pt>
                  <c:pt idx="4">
                    <c:v>2018</c:v>
                  </c:pt>
                  <c:pt idx="6">
                    <c:v>2019</c:v>
                  </c:pt>
                  <c:pt idx="8">
                    <c:v>2020</c:v>
                  </c:pt>
                  <c:pt idx="10">
                    <c:v>2021</c:v>
                  </c:pt>
                  <c:pt idx="12">
                    <c:v>2022</c:v>
                  </c:pt>
                  <c:pt idx="14">
                    <c:v>2023</c:v>
                  </c:pt>
                  <c:pt idx="16">
                    <c:v>2024</c:v>
                  </c:pt>
                </c:lvl>
              </c:multiLvlStrCache>
            </c:multiLvlStrRef>
          </c:cat>
          <c:val>
            <c:numRef>
              <c:f>LC!$AR$185:$BI$185</c:f>
              <c:numCache>
                <c:formatCode>0%</c:formatCode>
                <c:ptCount val="18"/>
                <c:pt idx="0">
                  <c:v>7.0000000000000007E-2</c:v>
                </c:pt>
                <c:pt idx="1">
                  <c:v>0.1</c:v>
                </c:pt>
                <c:pt idx="2">
                  <c:v>0.09</c:v>
                </c:pt>
                <c:pt idx="3">
                  <c:v>0.13</c:v>
                </c:pt>
                <c:pt idx="4">
                  <c:v>0.11</c:v>
                </c:pt>
                <c:pt idx="5">
                  <c:v>0.13</c:v>
                </c:pt>
                <c:pt idx="6">
                  <c:v>0.11</c:v>
                </c:pt>
                <c:pt idx="7">
                  <c:v>0.12</c:v>
                </c:pt>
                <c:pt idx="8">
                  <c:v>0.09</c:v>
                </c:pt>
                <c:pt idx="9">
                  <c:v>0.1</c:v>
                </c:pt>
                <c:pt idx="10">
                  <c:v>0.12</c:v>
                </c:pt>
                <c:pt idx="11">
                  <c:v>0.13</c:v>
                </c:pt>
                <c:pt idx="12">
                  <c:v>0.14000000000000001</c:v>
                </c:pt>
                <c:pt idx="13">
                  <c:v>0.13</c:v>
                </c:pt>
                <c:pt idx="14">
                  <c:v>0.13</c:v>
                </c:pt>
                <c:pt idx="15">
                  <c:v>0.12</c:v>
                </c:pt>
                <c:pt idx="16">
                  <c:v>0.14000000000000001</c:v>
                </c:pt>
                <c:pt idx="17">
                  <c:v>0.15</c:v>
                </c:pt>
              </c:numCache>
            </c:numRef>
          </c:val>
          <c:extLst>
            <c:ext xmlns:c16="http://schemas.microsoft.com/office/drawing/2014/chart" uri="{C3380CC4-5D6E-409C-BE32-E72D297353CC}">
              <c16:uniqueId val="{00000003-F0B0-425D-80D1-B609A541822D}"/>
            </c:ext>
          </c:extLst>
        </c:ser>
        <c:dLbls>
          <c:showLegendKey val="0"/>
          <c:showVal val="0"/>
          <c:showCatName val="0"/>
          <c:showSerName val="0"/>
          <c:showPercent val="0"/>
          <c:showBubbleSize val="0"/>
        </c:dLbls>
        <c:gapWidth val="150"/>
        <c:overlap val="100"/>
        <c:axId val="744346207"/>
        <c:axId val="634479663"/>
      </c:barChart>
      <c:catAx>
        <c:axId val="74434620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634479663"/>
        <c:crosses val="autoZero"/>
        <c:auto val="1"/>
        <c:lblAlgn val="ctr"/>
        <c:lblOffset val="100"/>
        <c:noMultiLvlLbl val="0"/>
      </c:catAx>
      <c:valAx>
        <c:axId val="634479663"/>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74434620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Niveles</a:t>
            </a:r>
            <a:r>
              <a:rPr lang="es-CO" baseline="0"/>
              <a:t> de Desempeño Lectura Crítica Saber 11 2016 - 2024 </a:t>
            </a:r>
            <a:endParaRPr lang="es-CO"/>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stacked"/>
        <c:varyColors val="0"/>
        <c:ser>
          <c:idx val="0"/>
          <c:order val="0"/>
          <c:tx>
            <c:strRef>
              <c:f>LC!$AN$206</c:f>
              <c:strCache>
                <c:ptCount val="1"/>
                <c:pt idx="0">
                  <c:v>1</c:v>
                </c:pt>
              </c:strCache>
            </c:strRef>
          </c:tx>
          <c:spPr>
            <a:solidFill>
              <a:srgbClr val="FF0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LC!$AO$204:$BX$205</c:f>
              <c:multiLvlStrCache>
                <c:ptCount val="36"/>
                <c:lvl>
                  <c:pt idx="0">
                    <c:v>COLOMBIA</c:v>
                  </c:pt>
                  <c:pt idx="1">
                    <c:v>SOACHA</c:v>
                  </c:pt>
                  <c:pt idx="2">
                    <c:v>SOACHA OFICIAL</c:v>
                  </c:pt>
                  <c:pt idx="3">
                    <c:v>SOACHA NO OFICIAL</c:v>
                  </c:pt>
                  <c:pt idx="4">
                    <c:v>COLOMBIA</c:v>
                  </c:pt>
                  <c:pt idx="5">
                    <c:v>SOACHA</c:v>
                  </c:pt>
                  <c:pt idx="6">
                    <c:v>SOACHA OFICIAL</c:v>
                  </c:pt>
                  <c:pt idx="7">
                    <c:v>SOACHA NO OFICIAL</c:v>
                  </c:pt>
                  <c:pt idx="8">
                    <c:v>COLOMBIA</c:v>
                  </c:pt>
                  <c:pt idx="9">
                    <c:v>SOACHA</c:v>
                  </c:pt>
                  <c:pt idx="10">
                    <c:v>SOACHA OFICIAL</c:v>
                  </c:pt>
                  <c:pt idx="11">
                    <c:v>SOACHA NO OFICIAL</c:v>
                  </c:pt>
                  <c:pt idx="12">
                    <c:v>COLOMBIA</c:v>
                  </c:pt>
                  <c:pt idx="13">
                    <c:v>SOACHA</c:v>
                  </c:pt>
                  <c:pt idx="14">
                    <c:v>SOACHA OFICIAL</c:v>
                  </c:pt>
                  <c:pt idx="15">
                    <c:v>SOACHA NO OFICIAL</c:v>
                  </c:pt>
                  <c:pt idx="16">
                    <c:v>COLOMBIA</c:v>
                  </c:pt>
                  <c:pt idx="17">
                    <c:v>SOACHA</c:v>
                  </c:pt>
                  <c:pt idx="18">
                    <c:v>SOACHA OFICIAL</c:v>
                  </c:pt>
                  <c:pt idx="19">
                    <c:v>SOACHA NO OFICIAL</c:v>
                  </c:pt>
                  <c:pt idx="20">
                    <c:v>COLOMBIA</c:v>
                  </c:pt>
                  <c:pt idx="21">
                    <c:v>SOACHA</c:v>
                  </c:pt>
                  <c:pt idx="22">
                    <c:v>SOACHA OFICIAL</c:v>
                  </c:pt>
                  <c:pt idx="23">
                    <c:v>SOACHA NO OFICIAL</c:v>
                  </c:pt>
                  <c:pt idx="24">
                    <c:v>COLOMBIA</c:v>
                  </c:pt>
                  <c:pt idx="25">
                    <c:v>SOACHA</c:v>
                  </c:pt>
                  <c:pt idx="26">
                    <c:v>SOACHA OFICIAL</c:v>
                  </c:pt>
                  <c:pt idx="27">
                    <c:v>SOACHA NO OFICIAL</c:v>
                  </c:pt>
                  <c:pt idx="28">
                    <c:v>COLOMBIA</c:v>
                  </c:pt>
                  <c:pt idx="29">
                    <c:v>SOACHA</c:v>
                  </c:pt>
                  <c:pt idx="30">
                    <c:v>SOACHA OFICIAL</c:v>
                  </c:pt>
                  <c:pt idx="31">
                    <c:v>SOACHA NO OFICIAL</c:v>
                  </c:pt>
                  <c:pt idx="32">
                    <c:v>COLOMBIA</c:v>
                  </c:pt>
                  <c:pt idx="33">
                    <c:v>SOACHA</c:v>
                  </c:pt>
                  <c:pt idx="34">
                    <c:v>SOACHA OFICIAL</c:v>
                  </c:pt>
                  <c:pt idx="35">
                    <c:v>SOACHA NO OFICIAL</c:v>
                  </c:pt>
                </c:lvl>
                <c:lvl>
                  <c:pt idx="0">
                    <c:v>2016</c:v>
                  </c:pt>
                  <c:pt idx="4">
                    <c:v>2017</c:v>
                  </c:pt>
                  <c:pt idx="8">
                    <c:v>2018</c:v>
                  </c:pt>
                  <c:pt idx="12">
                    <c:v>2019</c:v>
                  </c:pt>
                  <c:pt idx="16">
                    <c:v>2020</c:v>
                  </c:pt>
                  <c:pt idx="20">
                    <c:v>2021</c:v>
                  </c:pt>
                  <c:pt idx="24">
                    <c:v>2022</c:v>
                  </c:pt>
                  <c:pt idx="28">
                    <c:v>2023</c:v>
                  </c:pt>
                  <c:pt idx="32">
                    <c:v>2024</c:v>
                  </c:pt>
                </c:lvl>
              </c:multiLvlStrCache>
            </c:multiLvlStrRef>
          </c:cat>
          <c:val>
            <c:numRef>
              <c:f>LC!$AO$206:$BX$206</c:f>
              <c:numCache>
                <c:formatCode>0%</c:formatCode>
                <c:ptCount val="36"/>
                <c:pt idx="0">
                  <c:v>0.02</c:v>
                </c:pt>
                <c:pt idx="1">
                  <c:v>0.01</c:v>
                </c:pt>
                <c:pt idx="2">
                  <c:v>0.01</c:v>
                </c:pt>
                <c:pt idx="3">
                  <c:v>0.01</c:v>
                </c:pt>
                <c:pt idx="4">
                  <c:v>0.02</c:v>
                </c:pt>
                <c:pt idx="5">
                  <c:v>0.01</c:v>
                </c:pt>
                <c:pt idx="6">
                  <c:v>0.01</c:v>
                </c:pt>
                <c:pt idx="7">
                  <c:v>0.01</c:v>
                </c:pt>
                <c:pt idx="8">
                  <c:v>0.03</c:v>
                </c:pt>
                <c:pt idx="9">
                  <c:v>0.01</c:v>
                </c:pt>
                <c:pt idx="10">
                  <c:v>0.02</c:v>
                </c:pt>
                <c:pt idx="11">
                  <c:v>0.01</c:v>
                </c:pt>
                <c:pt idx="12">
                  <c:v>0.04</c:v>
                </c:pt>
                <c:pt idx="13">
                  <c:v>0.02</c:v>
                </c:pt>
                <c:pt idx="14">
                  <c:v>0.02</c:v>
                </c:pt>
                <c:pt idx="15">
                  <c:v>0.01</c:v>
                </c:pt>
                <c:pt idx="16">
                  <c:v>0.04</c:v>
                </c:pt>
                <c:pt idx="17">
                  <c:v>0.02</c:v>
                </c:pt>
                <c:pt idx="18">
                  <c:v>0.02</c:v>
                </c:pt>
                <c:pt idx="19">
                  <c:v>0.01</c:v>
                </c:pt>
                <c:pt idx="20">
                  <c:v>0.04</c:v>
                </c:pt>
                <c:pt idx="21">
                  <c:v>0.02</c:v>
                </c:pt>
                <c:pt idx="22">
                  <c:v>0.02</c:v>
                </c:pt>
                <c:pt idx="23">
                  <c:v>0.01</c:v>
                </c:pt>
                <c:pt idx="24">
                  <c:v>0.05</c:v>
                </c:pt>
                <c:pt idx="25">
                  <c:v>0.02</c:v>
                </c:pt>
                <c:pt idx="26">
                  <c:v>0.02</c:v>
                </c:pt>
                <c:pt idx="27">
                  <c:v>0.01</c:v>
                </c:pt>
                <c:pt idx="28">
                  <c:v>0.04</c:v>
                </c:pt>
                <c:pt idx="29">
                  <c:v>0.02</c:v>
                </c:pt>
                <c:pt idx="30">
                  <c:v>0.02</c:v>
                </c:pt>
                <c:pt idx="31">
                  <c:v>0.01</c:v>
                </c:pt>
                <c:pt idx="32">
                  <c:v>0.04</c:v>
                </c:pt>
                <c:pt idx="33">
                  <c:v>0.02</c:v>
                </c:pt>
                <c:pt idx="34">
                  <c:v>0.03</c:v>
                </c:pt>
                <c:pt idx="35">
                  <c:v>0.01</c:v>
                </c:pt>
              </c:numCache>
            </c:numRef>
          </c:val>
          <c:extLst>
            <c:ext xmlns:c16="http://schemas.microsoft.com/office/drawing/2014/chart" uri="{C3380CC4-5D6E-409C-BE32-E72D297353CC}">
              <c16:uniqueId val="{00000000-A301-45B6-980B-F581AB7602A7}"/>
            </c:ext>
          </c:extLst>
        </c:ser>
        <c:ser>
          <c:idx val="1"/>
          <c:order val="1"/>
          <c:tx>
            <c:strRef>
              <c:f>LC!$AN$207</c:f>
              <c:strCache>
                <c:ptCount val="1"/>
                <c:pt idx="0">
                  <c:v>2</c:v>
                </c:pt>
              </c:strCache>
            </c:strRef>
          </c:tx>
          <c:spPr>
            <a:solidFill>
              <a:srgbClr val="FFFF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LC!$AO$204:$BX$205</c:f>
              <c:multiLvlStrCache>
                <c:ptCount val="36"/>
                <c:lvl>
                  <c:pt idx="0">
                    <c:v>COLOMBIA</c:v>
                  </c:pt>
                  <c:pt idx="1">
                    <c:v>SOACHA</c:v>
                  </c:pt>
                  <c:pt idx="2">
                    <c:v>SOACHA OFICIAL</c:v>
                  </c:pt>
                  <c:pt idx="3">
                    <c:v>SOACHA NO OFICIAL</c:v>
                  </c:pt>
                  <c:pt idx="4">
                    <c:v>COLOMBIA</c:v>
                  </c:pt>
                  <c:pt idx="5">
                    <c:v>SOACHA</c:v>
                  </c:pt>
                  <c:pt idx="6">
                    <c:v>SOACHA OFICIAL</c:v>
                  </c:pt>
                  <c:pt idx="7">
                    <c:v>SOACHA NO OFICIAL</c:v>
                  </c:pt>
                  <c:pt idx="8">
                    <c:v>COLOMBIA</c:v>
                  </c:pt>
                  <c:pt idx="9">
                    <c:v>SOACHA</c:v>
                  </c:pt>
                  <c:pt idx="10">
                    <c:v>SOACHA OFICIAL</c:v>
                  </c:pt>
                  <c:pt idx="11">
                    <c:v>SOACHA NO OFICIAL</c:v>
                  </c:pt>
                  <c:pt idx="12">
                    <c:v>COLOMBIA</c:v>
                  </c:pt>
                  <c:pt idx="13">
                    <c:v>SOACHA</c:v>
                  </c:pt>
                  <c:pt idx="14">
                    <c:v>SOACHA OFICIAL</c:v>
                  </c:pt>
                  <c:pt idx="15">
                    <c:v>SOACHA NO OFICIAL</c:v>
                  </c:pt>
                  <c:pt idx="16">
                    <c:v>COLOMBIA</c:v>
                  </c:pt>
                  <c:pt idx="17">
                    <c:v>SOACHA</c:v>
                  </c:pt>
                  <c:pt idx="18">
                    <c:v>SOACHA OFICIAL</c:v>
                  </c:pt>
                  <c:pt idx="19">
                    <c:v>SOACHA NO OFICIAL</c:v>
                  </c:pt>
                  <c:pt idx="20">
                    <c:v>COLOMBIA</c:v>
                  </c:pt>
                  <c:pt idx="21">
                    <c:v>SOACHA</c:v>
                  </c:pt>
                  <c:pt idx="22">
                    <c:v>SOACHA OFICIAL</c:v>
                  </c:pt>
                  <c:pt idx="23">
                    <c:v>SOACHA NO OFICIAL</c:v>
                  </c:pt>
                  <c:pt idx="24">
                    <c:v>COLOMBIA</c:v>
                  </c:pt>
                  <c:pt idx="25">
                    <c:v>SOACHA</c:v>
                  </c:pt>
                  <c:pt idx="26">
                    <c:v>SOACHA OFICIAL</c:v>
                  </c:pt>
                  <c:pt idx="27">
                    <c:v>SOACHA NO OFICIAL</c:v>
                  </c:pt>
                  <c:pt idx="28">
                    <c:v>COLOMBIA</c:v>
                  </c:pt>
                  <c:pt idx="29">
                    <c:v>SOACHA</c:v>
                  </c:pt>
                  <c:pt idx="30">
                    <c:v>SOACHA OFICIAL</c:v>
                  </c:pt>
                  <c:pt idx="31">
                    <c:v>SOACHA NO OFICIAL</c:v>
                  </c:pt>
                  <c:pt idx="32">
                    <c:v>COLOMBIA</c:v>
                  </c:pt>
                  <c:pt idx="33">
                    <c:v>SOACHA</c:v>
                  </c:pt>
                  <c:pt idx="34">
                    <c:v>SOACHA OFICIAL</c:v>
                  </c:pt>
                  <c:pt idx="35">
                    <c:v>SOACHA NO OFICIAL</c:v>
                  </c:pt>
                </c:lvl>
                <c:lvl>
                  <c:pt idx="0">
                    <c:v>2016</c:v>
                  </c:pt>
                  <c:pt idx="4">
                    <c:v>2017</c:v>
                  </c:pt>
                  <c:pt idx="8">
                    <c:v>2018</c:v>
                  </c:pt>
                  <c:pt idx="12">
                    <c:v>2019</c:v>
                  </c:pt>
                  <c:pt idx="16">
                    <c:v>2020</c:v>
                  </c:pt>
                  <c:pt idx="20">
                    <c:v>2021</c:v>
                  </c:pt>
                  <c:pt idx="24">
                    <c:v>2022</c:v>
                  </c:pt>
                  <c:pt idx="28">
                    <c:v>2023</c:v>
                  </c:pt>
                  <c:pt idx="32">
                    <c:v>2024</c:v>
                  </c:pt>
                </c:lvl>
              </c:multiLvlStrCache>
            </c:multiLvlStrRef>
          </c:cat>
          <c:val>
            <c:numRef>
              <c:f>LC!$AO$207:$BX$207</c:f>
              <c:numCache>
                <c:formatCode>0%</c:formatCode>
                <c:ptCount val="36"/>
                <c:pt idx="0">
                  <c:v>0.37</c:v>
                </c:pt>
                <c:pt idx="1">
                  <c:v>0.34</c:v>
                </c:pt>
                <c:pt idx="2">
                  <c:v>0.39</c:v>
                </c:pt>
                <c:pt idx="3">
                  <c:v>0.28999999999999998</c:v>
                </c:pt>
                <c:pt idx="4">
                  <c:v>0.33</c:v>
                </c:pt>
                <c:pt idx="5">
                  <c:v>0.28999999999999998</c:v>
                </c:pt>
                <c:pt idx="6">
                  <c:v>0.34</c:v>
                </c:pt>
                <c:pt idx="7">
                  <c:v>0.23</c:v>
                </c:pt>
                <c:pt idx="8">
                  <c:v>0.35</c:v>
                </c:pt>
                <c:pt idx="9">
                  <c:v>0.32</c:v>
                </c:pt>
                <c:pt idx="10">
                  <c:v>0.37</c:v>
                </c:pt>
                <c:pt idx="11">
                  <c:v>0.26</c:v>
                </c:pt>
                <c:pt idx="12">
                  <c:v>0.34</c:v>
                </c:pt>
                <c:pt idx="13">
                  <c:v>0.3</c:v>
                </c:pt>
                <c:pt idx="14">
                  <c:v>0.35</c:v>
                </c:pt>
                <c:pt idx="15">
                  <c:v>0.25</c:v>
                </c:pt>
                <c:pt idx="16">
                  <c:v>0.36</c:v>
                </c:pt>
                <c:pt idx="17">
                  <c:v>0.31</c:v>
                </c:pt>
                <c:pt idx="18">
                  <c:v>0.35</c:v>
                </c:pt>
                <c:pt idx="19">
                  <c:v>0.26</c:v>
                </c:pt>
                <c:pt idx="20">
                  <c:v>0.37</c:v>
                </c:pt>
                <c:pt idx="21">
                  <c:v>0.32</c:v>
                </c:pt>
                <c:pt idx="22">
                  <c:v>0.37</c:v>
                </c:pt>
                <c:pt idx="23">
                  <c:v>0.26</c:v>
                </c:pt>
                <c:pt idx="24">
                  <c:v>0.34</c:v>
                </c:pt>
                <c:pt idx="25">
                  <c:v>0.27</c:v>
                </c:pt>
                <c:pt idx="26">
                  <c:v>0.34</c:v>
                </c:pt>
                <c:pt idx="27">
                  <c:v>0.21</c:v>
                </c:pt>
                <c:pt idx="28">
                  <c:v>0.35</c:v>
                </c:pt>
                <c:pt idx="29">
                  <c:v>0.28999999999999998</c:v>
                </c:pt>
                <c:pt idx="30">
                  <c:v>0.35</c:v>
                </c:pt>
                <c:pt idx="31">
                  <c:v>0.22</c:v>
                </c:pt>
                <c:pt idx="32">
                  <c:v>0.31</c:v>
                </c:pt>
                <c:pt idx="33">
                  <c:v>0.25</c:v>
                </c:pt>
                <c:pt idx="34">
                  <c:v>0.31</c:v>
                </c:pt>
                <c:pt idx="35">
                  <c:v>0.18</c:v>
                </c:pt>
              </c:numCache>
            </c:numRef>
          </c:val>
          <c:extLst>
            <c:ext xmlns:c16="http://schemas.microsoft.com/office/drawing/2014/chart" uri="{C3380CC4-5D6E-409C-BE32-E72D297353CC}">
              <c16:uniqueId val="{00000001-A301-45B6-980B-F581AB7602A7}"/>
            </c:ext>
          </c:extLst>
        </c:ser>
        <c:ser>
          <c:idx val="2"/>
          <c:order val="2"/>
          <c:tx>
            <c:strRef>
              <c:f>LC!$AN$208</c:f>
              <c:strCache>
                <c:ptCount val="1"/>
                <c:pt idx="0">
                  <c:v>3</c:v>
                </c:pt>
              </c:strCache>
            </c:strRef>
          </c:tx>
          <c:spPr>
            <a:solidFill>
              <a:srgbClr val="FFC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LC!$AO$204:$BX$205</c:f>
              <c:multiLvlStrCache>
                <c:ptCount val="36"/>
                <c:lvl>
                  <c:pt idx="0">
                    <c:v>COLOMBIA</c:v>
                  </c:pt>
                  <c:pt idx="1">
                    <c:v>SOACHA</c:v>
                  </c:pt>
                  <c:pt idx="2">
                    <c:v>SOACHA OFICIAL</c:v>
                  </c:pt>
                  <c:pt idx="3">
                    <c:v>SOACHA NO OFICIAL</c:v>
                  </c:pt>
                  <c:pt idx="4">
                    <c:v>COLOMBIA</c:v>
                  </c:pt>
                  <c:pt idx="5">
                    <c:v>SOACHA</c:v>
                  </c:pt>
                  <c:pt idx="6">
                    <c:v>SOACHA OFICIAL</c:v>
                  </c:pt>
                  <c:pt idx="7">
                    <c:v>SOACHA NO OFICIAL</c:v>
                  </c:pt>
                  <c:pt idx="8">
                    <c:v>COLOMBIA</c:v>
                  </c:pt>
                  <c:pt idx="9">
                    <c:v>SOACHA</c:v>
                  </c:pt>
                  <c:pt idx="10">
                    <c:v>SOACHA OFICIAL</c:v>
                  </c:pt>
                  <c:pt idx="11">
                    <c:v>SOACHA NO OFICIAL</c:v>
                  </c:pt>
                  <c:pt idx="12">
                    <c:v>COLOMBIA</c:v>
                  </c:pt>
                  <c:pt idx="13">
                    <c:v>SOACHA</c:v>
                  </c:pt>
                  <c:pt idx="14">
                    <c:v>SOACHA OFICIAL</c:v>
                  </c:pt>
                  <c:pt idx="15">
                    <c:v>SOACHA NO OFICIAL</c:v>
                  </c:pt>
                  <c:pt idx="16">
                    <c:v>COLOMBIA</c:v>
                  </c:pt>
                  <c:pt idx="17">
                    <c:v>SOACHA</c:v>
                  </c:pt>
                  <c:pt idx="18">
                    <c:v>SOACHA OFICIAL</c:v>
                  </c:pt>
                  <c:pt idx="19">
                    <c:v>SOACHA NO OFICIAL</c:v>
                  </c:pt>
                  <c:pt idx="20">
                    <c:v>COLOMBIA</c:v>
                  </c:pt>
                  <c:pt idx="21">
                    <c:v>SOACHA</c:v>
                  </c:pt>
                  <c:pt idx="22">
                    <c:v>SOACHA OFICIAL</c:v>
                  </c:pt>
                  <c:pt idx="23">
                    <c:v>SOACHA NO OFICIAL</c:v>
                  </c:pt>
                  <c:pt idx="24">
                    <c:v>COLOMBIA</c:v>
                  </c:pt>
                  <c:pt idx="25">
                    <c:v>SOACHA</c:v>
                  </c:pt>
                  <c:pt idx="26">
                    <c:v>SOACHA OFICIAL</c:v>
                  </c:pt>
                  <c:pt idx="27">
                    <c:v>SOACHA NO OFICIAL</c:v>
                  </c:pt>
                  <c:pt idx="28">
                    <c:v>COLOMBIA</c:v>
                  </c:pt>
                  <c:pt idx="29">
                    <c:v>SOACHA</c:v>
                  </c:pt>
                  <c:pt idx="30">
                    <c:v>SOACHA OFICIAL</c:v>
                  </c:pt>
                  <c:pt idx="31">
                    <c:v>SOACHA NO OFICIAL</c:v>
                  </c:pt>
                  <c:pt idx="32">
                    <c:v>COLOMBIA</c:v>
                  </c:pt>
                  <c:pt idx="33">
                    <c:v>SOACHA</c:v>
                  </c:pt>
                  <c:pt idx="34">
                    <c:v>SOACHA OFICIAL</c:v>
                  </c:pt>
                  <c:pt idx="35">
                    <c:v>SOACHA NO OFICIAL</c:v>
                  </c:pt>
                </c:lvl>
                <c:lvl>
                  <c:pt idx="0">
                    <c:v>2016</c:v>
                  </c:pt>
                  <c:pt idx="4">
                    <c:v>2017</c:v>
                  </c:pt>
                  <c:pt idx="8">
                    <c:v>2018</c:v>
                  </c:pt>
                  <c:pt idx="12">
                    <c:v>2019</c:v>
                  </c:pt>
                  <c:pt idx="16">
                    <c:v>2020</c:v>
                  </c:pt>
                  <c:pt idx="20">
                    <c:v>2021</c:v>
                  </c:pt>
                  <c:pt idx="24">
                    <c:v>2022</c:v>
                  </c:pt>
                  <c:pt idx="28">
                    <c:v>2023</c:v>
                  </c:pt>
                  <c:pt idx="32">
                    <c:v>2024</c:v>
                  </c:pt>
                </c:lvl>
              </c:multiLvlStrCache>
            </c:multiLvlStrRef>
          </c:cat>
          <c:val>
            <c:numRef>
              <c:f>LC!$AO$208:$BX$208</c:f>
              <c:numCache>
                <c:formatCode>0%</c:formatCode>
                <c:ptCount val="36"/>
                <c:pt idx="0">
                  <c:v>0.5</c:v>
                </c:pt>
                <c:pt idx="1">
                  <c:v>0.57999999999999996</c:v>
                </c:pt>
                <c:pt idx="2">
                  <c:v>0.54</c:v>
                </c:pt>
                <c:pt idx="3">
                  <c:v>0.62</c:v>
                </c:pt>
                <c:pt idx="4">
                  <c:v>0.52</c:v>
                </c:pt>
                <c:pt idx="5">
                  <c:v>0.6</c:v>
                </c:pt>
                <c:pt idx="6">
                  <c:v>0.56999999999999995</c:v>
                </c:pt>
                <c:pt idx="7">
                  <c:v>0.64</c:v>
                </c:pt>
                <c:pt idx="8">
                  <c:v>0.49</c:v>
                </c:pt>
                <c:pt idx="9">
                  <c:v>0.56000000000000005</c:v>
                </c:pt>
                <c:pt idx="10">
                  <c:v>0.53</c:v>
                </c:pt>
                <c:pt idx="11">
                  <c:v>0.59</c:v>
                </c:pt>
                <c:pt idx="12">
                  <c:v>0.49</c:v>
                </c:pt>
                <c:pt idx="13">
                  <c:v>0.56999999999999995</c:v>
                </c:pt>
                <c:pt idx="14">
                  <c:v>0.55000000000000004</c:v>
                </c:pt>
                <c:pt idx="15">
                  <c:v>0.6</c:v>
                </c:pt>
                <c:pt idx="16">
                  <c:v>0.49</c:v>
                </c:pt>
                <c:pt idx="17">
                  <c:v>0.59</c:v>
                </c:pt>
                <c:pt idx="18">
                  <c:v>0.56000000000000005</c:v>
                </c:pt>
                <c:pt idx="19">
                  <c:v>0.61</c:v>
                </c:pt>
                <c:pt idx="20">
                  <c:v>0.45</c:v>
                </c:pt>
                <c:pt idx="21">
                  <c:v>0.54</c:v>
                </c:pt>
                <c:pt idx="22">
                  <c:v>0.52</c:v>
                </c:pt>
                <c:pt idx="23">
                  <c:v>0.56999999999999995</c:v>
                </c:pt>
                <c:pt idx="24">
                  <c:v>0.47</c:v>
                </c:pt>
                <c:pt idx="25">
                  <c:v>0.57999999999999996</c:v>
                </c:pt>
                <c:pt idx="26">
                  <c:v>0.56000000000000005</c:v>
                </c:pt>
                <c:pt idx="27">
                  <c:v>0.61</c:v>
                </c:pt>
                <c:pt idx="28">
                  <c:v>0.48</c:v>
                </c:pt>
                <c:pt idx="29">
                  <c:v>0.56999999999999995</c:v>
                </c:pt>
                <c:pt idx="30">
                  <c:v>0.55000000000000004</c:v>
                </c:pt>
                <c:pt idx="31">
                  <c:v>0.6</c:v>
                </c:pt>
                <c:pt idx="32">
                  <c:v>0.5</c:v>
                </c:pt>
                <c:pt idx="33">
                  <c:v>0.59</c:v>
                </c:pt>
                <c:pt idx="34">
                  <c:v>0.56000000000000005</c:v>
                </c:pt>
                <c:pt idx="35">
                  <c:v>0.63</c:v>
                </c:pt>
              </c:numCache>
            </c:numRef>
          </c:val>
          <c:extLst>
            <c:ext xmlns:c16="http://schemas.microsoft.com/office/drawing/2014/chart" uri="{C3380CC4-5D6E-409C-BE32-E72D297353CC}">
              <c16:uniqueId val="{00000002-A301-45B6-980B-F581AB7602A7}"/>
            </c:ext>
          </c:extLst>
        </c:ser>
        <c:ser>
          <c:idx val="3"/>
          <c:order val="3"/>
          <c:tx>
            <c:strRef>
              <c:f>LC!$AN$209</c:f>
              <c:strCache>
                <c:ptCount val="1"/>
                <c:pt idx="0">
                  <c:v>4</c:v>
                </c:pt>
              </c:strCache>
            </c:strRef>
          </c:tx>
          <c:spPr>
            <a:solidFill>
              <a:srgbClr val="00B05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LC!$AO$204:$BX$205</c:f>
              <c:multiLvlStrCache>
                <c:ptCount val="36"/>
                <c:lvl>
                  <c:pt idx="0">
                    <c:v>COLOMBIA</c:v>
                  </c:pt>
                  <c:pt idx="1">
                    <c:v>SOACHA</c:v>
                  </c:pt>
                  <c:pt idx="2">
                    <c:v>SOACHA OFICIAL</c:v>
                  </c:pt>
                  <c:pt idx="3">
                    <c:v>SOACHA NO OFICIAL</c:v>
                  </c:pt>
                  <c:pt idx="4">
                    <c:v>COLOMBIA</c:v>
                  </c:pt>
                  <c:pt idx="5">
                    <c:v>SOACHA</c:v>
                  </c:pt>
                  <c:pt idx="6">
                    <c:v>SOACHA OFICIAL</c:v>
                  </c:pt>
                  <c:pt idx="7">
                    <c:v>SOACHA NO OFICIAL</c:v>
                  </c:pt>
                  <c:pt idx="8">
                    <c:v>COLOMBIA</c:v>
                  </c:pt>
                  <c:pt idx="9">
                    <c:v>SOACHA</c:v>
                  </c:pt>
                  <c:pt idx="10">
                    <c:v>SOACHA OFICIAL</c:v>
                  </c:pt>
                  <c:pt idx="11">
                    <c:v>SOACHA NO OFICIAL</c:v>
                  </c:pt>
                  <c:pt idx="12">
                    <c:v>COLOMBIA</c:v>
                  </c:pt>
                  <c:pt idx="13">
                    <c:v>SOACHA</c:v>
                  </c:pt>
                  <c:pt idx="14">
                    <c:v>SOACHA OFICIAL</c:v>
                  </c:pt>
                  <c:pt idx="15">
                    <c:v>SOACHA NO OFICIAL</c:v>
                  </c:pt>
                  <c:pt idx="16">
                    <c:v>COLOMBIA</c:v>
                  </c:pt>
                  <c:pt idx="17">
                    <c:v>SOACHA</c:v>
                  </c:pt>
                  <c:pt idx="18">
                    <c:v>SOACHA OFICIAL</c:v>
                  </c:pt>
                  <c:pt idx="19">
                    <c:v>SOACHA NO OFICIAL</c:v>
                  </c:pt>
                  <c:pt idx="20">
                    <c:v>COLOMBIA</c:v>
                  </c:pt>
                  <c:pt idx="21">
                    <c:v>SOACHA</c:v>
                  </c:pt>
                  <c:pt idx="22">
                    <c:v>SOACHA OFICIAL</c:v>
                  </c:pt>
                  <c:pt idx="23">
                    <c:v>SOACHA NO OFICIAL</c:v>
                  </c:pt>
                  <c:pt idx="24">
                    <c:v>COLOMBIA</c:v>
                  </c:pt>
                  <c:pt idx="25">
                    <c:v>SOACHA</c:v>
                  </c:pt>
                  <c:pt idx="26">
                    <c:v>SOACHA OFICIAL</c:v>
                  </c:pt>
                  <c:pt idx="27">
                    <c:v>SOACHA NO OFICIAL</c:v>
                  </c:pt>
                  <c:pt idx="28">
                    <c:v>COLOMBIA</c:v>
                  </c:pt>
                  <c:pt idx="29">
                    <c:v>SOACHA</c:v>
                  </c:pt>
                  <c:pt idx="30">
                    <c:v>SOACHA OFICIAL</c:v>
                  </c:pt>
                  <c:pt idx="31">
                    <c:v>SOACHA NO OFICIAL</c:v>
                  </c:pt>
                  <c:pt idx="32">
                    <c:v>COLOMBIA</c:v>
                  </c:pt>
                  <c:pt idx="33">
                    <c:v>SOACHA</c:v>
                  </c:pt>
                  <c:pt idx="34">
                    <c:v>SOACHA OFICIAL</c:v>
                  </c:pt>
                  <c:pt idx="35">
                    <c:v>SOACHA NO OFICIAL</c:v>
                  </c:pt>
                </c:lvl>
                <c:lvl>
                  <c:pt idx="0">
                    <c:v>2016</c:v>
                  </c:pt>
                  <c:pt idx="4">
                    <c:v>2017</c:v>
                  </c:pt>
                  <c:pt idx="8">
                    <c:v>2018</c:v>
                  </c:pt>
                  <c:pt idx="12">
                    <c:v>2019</c:v>
                  </c:pt>
                  <c:pt idx="16">
                    <c:v>2020</c:v>
                  </c:pt>
                  <c:pt idx="20">
                    <c:v>2021</c:v>
                  </c:pt>
                  <c:pt idx="24">
                    <c:v>2022</c:v>
                  </c:pt>
                  <c:pt idx="28">
                    <c:v>2023</c:v>
                  </c:pt>
                  <c:pt idx="32">
                    <c:v>2024</c:v>
                  </c:pt>
                </c:lvl>
              </c:multiLvlStrCache>
            </c:multiLvlStrRef>
          </c:cat>
          <c:val>
            <c:numRef>
              <c:f>LC!$AO$209:$BX$209</c:f>
              <c:numCache>
                <c:formatCode>0%</c:formatCode>
                <c:ptCount val="36"/>
                <c:pt idx="0">
                  <c:v>0.1</c:v>
                </c:pt>
                <c:pt idx="1">
                  <c:v>7.0000000000000007E-2</c:v>
                </c:pt>
                <c:pt idx="2">
                  <c:v>0.05</c:v>
                </c:pt>
                <c:pt idx="3">
                  <c:v>0.08</c:v>
                </c:pt>
                <c:pt idx="4">
                  <c:v>0.13</c:v>
                </c:pt>
                <c:pt idx="5">
                  <c:v>0.09</c:v>
                </c:pt>
                <c:pt idx="6">
                  <c:v>7.0000000000000007E-2</c:v>
                </c:pt>
                <c:pt idx="7">
                  <c:v>0.12</c:v>
                </c:pt>
                <c:pt idx="8">
                  <c:v>0.13</c:v>
                </c:pt>
                <c:pt idx="9">
                  <c:v>0.11</c:v>
                </c:pt>
                <c:pt idx="10">
                  <c:v>0.08</c:v>
                </c:pt>
                <c:pt idx="11">
                  <c:v>0.14000000000000001</c:v>
                </c:pt>
                <c:pt idx="12">
                  <c:v>0.12</c:v>
                </c:pt>
                <c:pt idx="13">
                  <c:v>0.11</c:v>
                </c:pt>
                <c:pt idx="14">
                  <c:v>0.08</c:v>
                </c:pt>
                <c:pt idx="15">
                  <c:v>0.14000000000000001</c:v>
                </c:pt>
                <c:pt idx="16">
                  <c:v>0.1</c:v>
                </c:pt>
                <c:pt idx="17">
                  <c:v>0.09</c:v>
                </c:pt>
                <c:pt idx="18">
                  <c:v>7.0000000000000007E-2</c:v>
                </c:pt>
                <c:pt idx="19">
                  <c:v>0.11</c:v>
                </c:pt>
                <c:pt idx="20">
                  <c:v>0.13</c:v>
                </c:pt>
                <c:pt idx="21">
                  <c:v>0.12</c:v>
                </c:pt>
                <c:pt idx="22">
                  <c:v>0.09</c:v>
                </c:pt>
                <c:pt idx="23">
                  <c:v>0.16</c:v>
                </c:pt>
                <c:pt idx="24">
                  <c:v>0.14000000000000001</c:v>
                </c:pt>
                <c:pt idx="25">
                  <c:v>0.13</c:v>
                </c:pt>
                <c:pt idx="26">
                  <c:v>0.09</c:v>
                </c:pt>
                <c:pt idx="27">
                  <c:v>0.16</c:v>
                </c:pt>
                <c:pt idx="28">
                  <c:v>0.13</c:v>
                </c:pt>
                <c:pt idx="29">
                  <c:v>0.12</c:v>
                </c:pt>
                <c:pt idx="30">
                  <c:v>0.08</c:v>
                </c:pt>
                <c:pt idx="31">
                  <c:v>0.17</c:v>
                </c:pt>
                <c:pt idx="32">
                  <c:v>0.15</c:v>
                </c:pt>
                <c:pt idx="33">
                  <c:v>0.14000000000000001</c:v>
                </c:pt>
                <c:pt idx="34">
                  <c:v>0.1</c:v>
                </c:pt>
                <c:pt idx="35">
                  <c:v>0.18</c:v>
                </c:pt>
              </c:numCache>
            </c:numRef>
          </c:val>
          <c:extLst>
            <c:ext xmlns:c16="http://schemas.microsoft.com/office/drawing/2014/chart" uri="{C3380CC4-5D6E-409C-BE32-E72D297353CC}">
              <c16:uniqueId val="{00000003-A301-45B6-980B-F581AB7602A7}"/>
            </c:ext>
          </c:extLst>
        </c:ser>
        <c:dLbls>
          <c:showLegendKey val="0"/>
          <c:showVal val="0"/>
          <c:showCatName val="0"/>
          <c:showSerName val="0"/>
          <c:showPercent val="0"/>
          <c:showBubbleSize val="0"/>
        </c:dLbls>
        <c:gapWidth val="150"/>
        <c:overlap val="100"/>
        <c:axId val="744346207"/>
        <c:axId val="634479663"/>
      </c:barChart>
      <c:catAx>
        <c:axId val="74434620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634479663"/>
        <c:crosses val="autoZero"/>
        <c:auto val="1"/>
        <c:lblAlgn val="ctr"/>
        <c:lblOffset val="100"/>
        <c:noMultiLvlLbl val="0"/>
      </c:catAx>
      <c:valAx>
        <c:axId val="634479663"/>
        <c:scaling>
          <c:orientation val="minMax"/>
          <c:max val="1"/>
        </c:scaling>
        <c:delete val="1"/>
        <c:axPos val="l"/>
        <c:numFmt formatCode="0%" sourceLinked="1"/>
        <c:majorTickMark val="none"/>
        <c:minorTickMark val="none"/>
        <c:tickLblPos val="nextTo"/>
        <c:crossAx val="74434620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s-CO" sz="1400"/>
              <a:t>Porcentaje de Respuestas Incorrectas </a:t>
            </a:r>
          </a:p>
          <a:p>
            <a:pPr marL="0" marR="0" lvl="0" indent="0" algn="ctr" defTabSz="914400" rtl="0" eaLnBrk="1" fontAlgn="auto" latinLnBrk="0" hangingPunct="1">
              <a:lnSpc>
                <a:spcPct val="100000"/>
              </a:lnSpc>
              <a:spcBef>
                <a:spcPts val="0"/>
              </a:spcBef>
              <a:spcAft>
                <a:spcPts val="0"/>
              </a:spcAft>
              <a:buClrTx/>
              <a:buSzTx/>
              <a:buFontTx/>
              <a:buNone/>
              <a:tabLst/>
              <a:defRPr>
                <a:solidFill>
                  <a:sysClr val="windowText" lastClr="000000">
                    <a:lumMod val="65000"/>
                    <a:lumOff val="35000"/>
                  </a:sysClr>
                </a:solidFill>
              </a:defRPr>
            </a:pPr>
            <a:r>
              <a:rPr lang="es-CO" sz="1400"/>
              <a:t>Instituciones</a:t>
            </a:r>
            <a:r>
              <a:rPr lang="es-CO" sz="1400" baseline="0"/>
              <a:t> Educativas Oficiales</a:t>
            </a:r>
          </a:p>
          <a:p>
            <a:pPr marL="0" marR="0" lvl="0" indent="0" algn="ctr" defTabSz="914400" rtl="0" eaLnBrk="1" fontAlgn="auto" latinLnBrk="0" hangingPunct="1">
              <a:lnSpc>
                <a:spcPct val="100000"/>
              </a:lnSpc>
              <a:spcBef>
                <a:spcPts val="0"/>
              </a:spcBef>
              <a:spcAft>
                <a:spcPts val="0"/>
              </a:spcAft>
              <a:buClrTx/>
              <a:buSzTx/>
              <a:buFontTx/>
              <a:buNone/>
              <a:tabLst/>
              <a:defRPr>
                <a:solidFill>
                  <a:sysClr val="windowText" lastClr="000000">
                    <a:lumMod val="65000"/>
                    <a:lumOff val="35000"/>
                  </a:sysClr>
                </a:solidFill>
              </a:defRPr>
            </a:pPr>
            <a:r>
              <a:rPr lang="es-CO" sz="1400" b="0" i="0" baseline="0">
                <a:effectLst/>
              </a:rPr>
              <a:t>Aprendizaje: Comprende </a:t>
            </a:r>
            <a:endParaRPr lang="es-CO" sz="1400">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es-CO"/>
        </a:p>
      </c:txPr>
    </c:title>
    <c:autoTitleDeleted val="0"/>
    <c:plotArea>
      <c:layout/>
      <c:barChart>
        <c:barDir val="col"/>
        <c:grouping val="clustered"/>
        <c:varyColors val="0"/>
        <c:ser>
          <c:idx val="0"/>
          <c:order val="0"/>
          <c:tx>
            <c:strRef>
              <c:f>LC!$E$319</c:f>
              <c:strCache>
                <c:ptCount val="1"/>
                <c:pt idx="0">
                  <c:v>COMUNA 1</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LC!$F$317:$N$317</c:f>
              <c:numCache>
                <c:formatCode>General</c:formatCode>
                <c:ptCount val="9"/>
                <c:pt idx="0">
                  <c:v>2016</c:v>
                </c:pt>
                <c:pt idx="1">
                  <c:v>2017</c:v>
                </c:pt>
                <c:pt idx="2">
                  <c:v>2018</c:v>
                </c:pt>
                <c:pt idx="3">
                  <c:v>2019</c:v>
                </c:pt>
                <c:pt idx="4">
                  <c:v>2020</c:v>
                </c:pt>
                <c:pt idx="5">
                  <c:v>2021</c:v>
                </c:pt>
                <c:pt idx="6">
                  <c:v>2022</c:v>
                </c:pt>
                <c:pt idx="7">
                  <c:v>2023</c:v>
                </c:pt>
                <c:pt idx="8">
                  <c:v>2024</c:v>
                </c:pt>
              </c:numCache>
            </c:numRef>
          </c:cat>
          <c:val>
            <c:numRef>
              <c:f>LC!$F$319:$N$319</c:f>
              <c:numCache>
                <c:formatCode>0%</c:formatCode>
                <c:ptCount val="9"/>
                <c:pt idx="0">
                  <c:v>0.48749999999999999</c:v>
                </c:pt>
                <c:pt idx="1">
                  <c:v>0.45500000000000002</c:v>
                </c:pt>
                <c:pt idx="2">
                  <c:v>0.4325</c:v>
                </c:pt>
                <c:pt idx="3">
                  <c:v>0.42249999999999999</c:v>
                </c:pt>
                <c:pt idx="4">
                  <c:v>0.46249999999999997</c:v>
                </c:pt>
                <c:pt idx="5">
                  <c:v>0.44749999999999995</c:v>
                </c:pt>
                <c:pt idx="6">
                  <c:v>0.47199999999999998</c:v>
                </c:pt>
                <c:pt idx="7">
                  <c:v>0.374</c:v>
                </c:pt>
                <c:pt idx="8">
                  <c:v>0.45400000000000001</c:v>
                </c:pt>
              </c:numCache>
            </c:numRef>
          </c:val>
          <c:extLst>
            <c:ext xmlns:c16="http://schemas.microsoft.com/office/drawing/2014/chart" uri="{C3380CC4-5D6E-409C-BE32-E72D297353CC}">
              <c16:uniqueId val="{00000000-860A-432D-8C66-5CD8CD3DE9B4}"/>
            </c:ext>
          </c:extLst>
        </c:ser>
        <c:ser>
          <c:idx val="1"/>
          <c:order val="1"/>
          <c:tx>
            <c:strRef>
              <c:f>LC!$E$320</c:f>
              <c:strCache>
                <c:ptCount val="1"/>
                <c:pt idx="0">
                  <c:v>COMUNA 2</c:v>
                </c:pt>
              </c:strCache>
            </c:strRef>
          </c:tx>
          <c:spPr>
            <a:solidFill>
              <a:schemeClr val="accent2"/>
            </a:solidFill>
            <a:ln>
              <a:noFill/>
            </a:ln>
            <a:effectLst/>
          </c:spPr>
          <c:invertIfNegative val="0"/>
          <c:cat>
            <c:numRef>
              <c:f>LC!$F$317:$N$317</c:f>
              <c:numCache>
                <c:formatCode>General</c:formatCode>
                <c:ptCount val="9"/>
                <c:pt idx="0">
                  <c:v>2016</c:v>
                </c:pt>
                <c:pt idx="1">
                  <c:v>2017</c:v>
                </c:pt>
                <c:pt idx="2">
                  <c:v>2018</c:v>
                </c:pt>
                <c:pt idx="3">
                  <c:v>2019</c:v>
                </c:pt>
                <c:pt idx="4">
                  <c:v>2020</c:v>
                </c:pt>
                <c:pt idx="5">
                  <c:v>2021</c:v>
                </c:pt>
                <c:pt idx="6">
                  <c:v>2022</c:v>
                </c:pt>
                <c:pt idx="7">
                  <c:v>2023</c:v>
                </c:pt>
                <c:pt idx="8">
                  <c:v>2024</c:v>
                </c:pt>
              </c:numCache>
            </c:numRef>
          </c:cat>
          <c:val>
            <c:numRef>
              <c:f>LC!$F$320:$N$320</c:f>
              <c:numCache>
                <c:formatCode>0%</c:formatCode>
                <c:ptCount val="9"/>
                <c:pt idx="0">
                  <c:v>0.49</c:v>
                </c:pt>
                <c:pt idx="1">
                  <c:v>0.46499999999999997</c:v>
                </c:pt>
                <c:pt idx="2">
                  <c:v>0.42499999999999999</c:v>
                </c:pt>
                <c:pt idx="3">
                  <c:v>0.41000000000000003</c:v>
                </c:pt>
                <c:pt idx="4">
                  <c:v>0.47499999999999998</c:v>
                </c:pt>
                <c:pt idx="5">
                  <c:v>0.45500000000000002</c:v>
                </c:pt>
                <c:pt idx="6">
                  <c:v>0.46749999999999997</c:v>
                </c:pt>
                <c:pt idx="7">
                  <c:v>0.37</c:v>
                </c:pt>
                <c:pt idx="8">
                  <c:v>0.44999999999999996</c:v>
                </c:pt>
              </c:numCache>
            </c:numRef>
          </c:val>
          <c:extLst>
            <c:ext xmlns:c16="http://schemas.microsoft.com/office/drawing/2014/chart" uri="{C3380CC4-5D6E-409C-BE32-E72D297353CC}">
              <c16:uniqueId val="{00000001-860A-432D-8C66-5CD8CD3DE9B4}"/>
            </c:ext>
          </c:extLst>
        </c:ser>
        <c:ser>
          <c:idx val="2"/>
          <c:order val="2"/>
          <c:tx>
            <c:strRef>
              <c:f>LC!$E$321</c:f>
              <c:strCache>
                <c:ptCount val="1"/>
                <c:pt idx="0">
                  <c:v>COMUNA 3</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LC!$F$317:$N$317</c:f>
              <c:numCache>
                <c:formatCode>General</c:formatCode>
                <c:ptCount val="9"/>
                <c:pt idx="0">
                  <c:v>2016</c:v>
                </c:pt>
                <c:pt idx="1">
                  <c:v>2017</c:v>
                </c:pt>
                <c:pt idx="2">
                  <c:v>2018</c:v>
                </c:pt>
                <c:pt idx="3">
                  <c:v>2019</c:v>
                </c:pt>
                <c:pt idx="4">
                  <c:v>2020</c:v>
                </c:pt>
                <c:pt idx="5">
                  <c:v>2021</c:v>
                </c:pt>
                <c:pt idx="6">
                  <c:v>2022</c:v>
                </c:pt>
                <c:pt idx="7">
                  <c:v>2023</c:v>
                </c:pt>
                <c:pt idx="8">
                  <c:v>2024</c:v>
                </c:pt>
              </c:numCache>
            </c:numRef>
          </c:cat>
          <c:val>
            <c:numRef>
              <c:f>LC!$F$321:$N$321</c:f>
              <c:numCache>
                <c:formatCode>0%</c:formatCode>
                <c:ptCount val="9"/>
                <c:pt idx="0">
                  <c:v>0.48399999999999999</c:v>
                </c:pt>
                <c:pt idx="1">
                  <c:v>0.48399999999999999</c:v>
                </c:pt>
                <c:pt idx="2">
                  <c:v>0.42400000000000004</c:v>
                </c:pt>
                <c:pt idx="3">
                  <c:v>0.42000000000000004</c:v>
                </c:pt>
                <c:pt idx="4">
                  <c:v>0.47599999999999998</c:v>
                </c:pt>
                <c:pt idx="5">
                  <c:v>0.44800000000000006</c:v>
                </c:pt>
                <c:pt idx="6">
                  <c:v>0.47666666666666674</c:v>
                </c:pt>
                <c:pt idx="7">
                  <c:v>0.3666666666666667</c:v>
                </c:pt>
                <c:pt idx="8">
                  <c:v>0.45500000000000002</c:v>
                </c:pt>
              </c:numCache>
            </c:numRef>
          </c:val>
          <c:extLst>
            <c:ext xmlns:c16="http://schemas.microsoft.com/office/drawing/2014/chart" uri="{C3380CC4-5D6E-409C-BE32-E72D297353CC}">
              <c16:uniqueId val="{00000002-860A-432D-8C66-5CD8CD3DE9B4}"/>
            </c:ext>
          </c:extLst>
        </c:ser>
        <c:ser>
          <c:idx val="3"/>
          <c:order val="3"/>
          <c:tx>
            <c:strRef>
              <c:f>LC!$E$322</c:f>
              <c:strCache>
                <c:ptCount val="1"/>
                <c:pt idx="0">
                  <c:v>COMUNA 4</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LC!$F$317:$N$317</c:f>
              <c:numCache>
                <c:formatCode>General</c:formatCode>
                <c:ptCount val="9"/>
                <c:pt idx="0">
                  <c:v>2016</c:v>
                </c:pt>
                <c:pt idx="1">
                  <c:v>2017</c:v>
                </c:pt>
                <c:pt idx="2">
                  <c:v>2018</c:v>
                </c:pt>
                <c:pt idx="3">
                  <c:v>2019</c:v>
                </c:pt>
                <c:pt idx="4">
                  <c:v>2020</c:v>
                </c:pt>
                <c:pt idx="5">
                  <c:v>2021</c:v>
                </c:pt>
                <c:pt idx="6">
                  <c:v>2022</c:v>
                </c:pt>
                <c:pt idx="7">
                  <c:v>2023</c:v>
                </c:pt>
                <c:pt idx="8">
                  <c:v>2024</c:v>
                </c:pt>
              </c:numCache>
            </c:numRef>
          </c:cat>
          <c:val>
            <c:numRef>
              <c:f>LC!$F$322:$N$322</c:f>
              <c:numCache>
                <c:formatCode>0%</c:formatCode>
                <c:ptCount val="9"/>
                <c:pt idx="0">
                  <c:v>0.52666666666666673</c:v>
                </c:pt>
                <c:pt idx="1">
                  <c:v>0.51666666666666672</c:v>
                </c:pt>
                <c:pt idx="2">
                  <c:v>0.505</c:v>
                </c:pt>
                <c:pt idx="3">
                  <c:v>0.48833333333333345</c:v>
                </c:pt>
                <c:pt idx="4">
                  <c:v>0.52833333333333343</c:v>
                </c:pt>
                <c:pt idx="5">
                  <c:v>0.4916666666666667</c:v>
                </c:pt>
                <c:pt idx="6">
                  <c:v>0.52166666666666672</c:v>
                </c:pt>
                <c:pt idx="7">
                  <c:v>0.43166666666666664</c:v>
                </c:pt>
                <c:pt idx="8">
                  <c:v>0.50333333333333341</c:v>
                </c:pt>
              </c:numCache>
            </c:numRef>
          </c:val>
          <c:extLst>
            <c:ext xmlns:c16="http://schemas.microsoft.com/office/drawing/2014/chart" uri="{C3380CC4-5D6E-409C-BE32-E72D297353CC}">
              <c16:uniqueId val="{00000003-860A-432D-8C66-5CD8CD3DE9B4}"/>
            </c:ext>
          </c:extLst>
        </c:ser>
        <c:ser>
          <c:idx val="4"/>
          <c:order val="4"/>
          <c:tx>
            <c:strRef>
              <c:f>LC!$E$323</c:f>
              <c:strCache>
                <c:ptCount val="1"/>
                <c:pt idx="0">
                  <c:v>COMUNA 5</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LC!$F$317:$N$317</c:f>
              <c:numCache>
                <c:formatCode>General</c:formatCode>
                <c:ptCount val="9"/>
                <c:pt idx="0">
                  <c:v>2016</c:v>
                </c:pt>
                <c:pt idx="1">
                  <c:v>2017</c:v>
                </c:pt>
                <c:pt idx="2">
                  <c:v>2018</c:v>
                </c:pt>
                <c:pt idx="3">
                  <c:v>2019</c:v>
                </c:pt>
                <c:pt idx="4">
                  <c:v>2020</c:v>
                </c:pt>
                <c:pt idx="5">
                  <c:v>2021</c:v>
                </c:pt>
                <c:pt idx="6">
                  <c:v>2022</c:v>
                </c:pt>
                <c:pt idx="7">
                  <c:v>2023</c:v>
                </c:pt>
                <c:pt idx="8">
                  <c:v>2024</c:v>
                </c:pt>
              </c:numCache>
            </c:numRef>
          </c:cat>
          <c:val>
            <c:numRef>
              <c:f>LC!$F$323:$N$323</c:f>
              <c:numCache>
                <c:formatCode>0%</c:formatCode>
                <c:ptCount val="9"/>
                <c:pt idx="0">
                  <c:v>0.46499999999999997</c:v>
                </c:pt>
                <c:pt idx="1">
                  <c:v>0.46499999999999997</c:v>
                </c:pt>
                <c:pt idx="2">
                  <c:v>0.45499999999999996</c:v>
                </c:pt>
                <c:pt idx="3">
                  <c:v>0.42499999999999999</c:v>
                </c:pt>
                <c:pt idx="4">
                  <c:v>0.47</c:v>
                </c:pt>
                <c:pt idx="5">
                  <c:v>0.44</c:v>
                </c:pt>
                <c:pt idx="6">
                  <c:v>0.46</c:v>
                </c:pt>
                <c:pt idx="7">
                  <c:v>0.38</c:v>
                </c:pt>
                <c:pt idx="8">
                  <c:v>0.41333333333333333</c:v>
                </c:pt>
              </c:numCache>
            </c:numRef>
          </c:val>
          <c:extLst>
            <c:ext xmlns:c16="http://schemas.microsoft.com/office/drawing/2014/chart" uri="{C3380CC4-5D6E-409C-BE32-E72D297353CC}">
              <c16:uniqueId val="{00000004-860A-432D-8C66-5CD8CD3DE9B4}"/>
            </c:ext>
          </c:extLst>
        </c:ser>
        <c:ser>
          <c:idx val="5"/>
          <c:order val="5"/>
          <c:tx>
            <c:strRef>
              <c:f>LC!$E$324</c:f>
              <c:strCache>
                <c:ptCount val="1"/>
                <c:pt idx="0">
                  <c:v>COMUNA 6</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LC!$F$317:$N$317</c:f>
              <c:numCache>
                <c:formatCode>General</c:formatCode>
                <c:ptCount val="9"/>
                <c:pt idx="0">
                  <c:v>2016</c:v>
                </c:pt>
                <c:pt idx="1">
                  <c:v>2017</c:v>
                </c:pt>
                <c:pt idx="2">
                  <c:v>2018</c:v>
                </c:pt>
                <c:pt idx="3">
                  <c:v>2019</c:v>
                </c:pt>
                <c:pt idx="4">
                  <c:v>2020</c:v>
                </c:pt>
                <c:pt idx="5">
                  <c:v>2021</c:v>
                </c:pt>
                <c:pt idx="6">
                  <c:v>2022</c:v>
                </c:pt>
                <c:pt idx="7">
                  <c:v>2023</c:v>
                </c:pt>
                <c:pt idx="8">
                  <c:v>2024</c:v>
                </c:pt>
              </c:numCache>
            </c:numRef>
          </c:cat>
          <c:val>
            <c:numRef>
              <c:f>LC!$F$324:$N$324</c:f>
              <c:numCache>
                <c:formatCode>0%</c:formatCode>
                <c:ptCount val="9"/>
                <c:pt idx="0">
                  <c:v>0.5033333333333333</c:v>
                </c:pt>
                <c:pt idx="1">
                  <c:v>0.49666666666666665</c:v>
                </c:pt>
                <c:pt idx="2">
                  <c:v>0.45999999999999996</c:v>
                </c:pt>
                <c:pt idx="3">
                  <c:v>0.44</c:v>
                </c:pt>
                <c:pt idx="4">
                  <c:v>0.46666666666666662</c:v>
                </c:pt>
                <c:pt idx="5">
                  <c:v>0.47666666666666663</c:v>
                </c:pt>
                <c:pt idx="6">
                  <c:v>0.49333333333333335</c:v>
                </c:pt>
                <c:pt idx="7">
                  <c:v>0.38666666666666671</c:v>
                </c:pt>
                <c:pt idx="8">
                  <c:v>0.46249999999999997</c:v>
                </c:pt>
              </c:numCache>
            </c:numRef>
          </c:val>
          <c:extLst>
            <c:ext xmlns:c16="http://schemas.microsoft.com/office/drawing/2014/chart" uri="{C3380CC4-5D6E-409C-BE32-E72D297353CC}">
              <c16:uniqueId val="{00000005-860A-432D-8C66-5CD8CD3DE9B4}"/>
            </c:ext>
          </c:extLst>
        </c:ser>
        <c:dLbls>
          <c:showLegendKey val="0"/>
          <c:showVal val="0"/>
          <c:showCatName val="0"/>
          <c:showSerName val="0"/>
          <c:showPercent val="0"/>
          <c:showBubbleSize val="0"/>
        </c:dLbls>
        <c:gapWidth val="150"/>
        <c:axId val="922625440"/>
        <c:axId val="922145264"/>
      </c:barChart>
      <c:catAx>
        <c:axId val="9226254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922145264"/>
        <c:crossesAt val="0"/>
        <c:auto val="1"/>
        <c:lblAlgn val="ctr"/>
        <c:lblOffset val="100"/>
        <c:noMultiLvlLbl val="0"/>
      </c:catAx>
      <c:valAx>
        <c:axId val="9221452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92262544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s-CO" sz="1400"/>
              <a:t>Porcentaje de Respuestas Incorrectas </a:t>
            </a:r>
          </a:p>
          <a:p>
            <a:pPr marL="0" marR="0" lvl="0" indent="0" algn="ctr" defTabSz="914400" rtl="0" eaLnBrk="1" fontAlgn="auto" latinLnBrk="0" hangingPunct="1">
              <a:lnSpc>
                <a:spcPct val="100000"/>
              </a:lnSpc>
              <a:spcBef>
                <a:spcPts val="0"/>
              </a:spcBef>
              <a:spcAft>
                <a:spcPts val="0"/>
              </a:spcAft>
              <a:buClrTx/>
              <a:buSzTx/>
              <a:buFontTx/>
              <a:buNone/>
              <a:tabLst/>
              <a:defRPr>
                <a:solidFill>
                  <a:sysClr val="windowText" lastClr="000000">
                    <a:lumMod val="65000"/>
                    <a:lumOff val="35000"/>
                  </a:sysClr>
                </a:solidFill>
              </a:defRPr>
            </a:pPr>
            <a:r>
              <a:rPr lang="es-CO" sz="1400"/>
              <a:t>Instituciones</a:t>
            </a:r>
            <a:r>
              <a:rPr lang="es-CO" sz="1400" baseline="0"/>
              <a:t> Educativas Oficiales</a:t>
            </a:r>
          </a:p>
          <a:p>
            <a:pPr marL="0" marR="0" lvl="0" indent="0" algn="ctr" defTabSz="914400" rtl="0" eaLnBrk="1" fontAlgn="auto" latinLnBrk="0" hangingPunct="1">
              <a:lnSpc>
                <a:spcPct val="100000"/>
              </a:lnSpc>
              <a:spcBef>
                <a:spcPts val="0"/>
              </a:spcBef>
              <a:spcAft>
                <a:spcPts val="0"/>
              </a:spcAft>
              <a:buClrTx/>
              <a:buSzTx/>
              <a:buFontTx/>
              <a:buNone/>
              <a:tabLst/>
              <a:defRPr>
                <a:solidFill>
                  <a:sysClr val="windowText" lastClr="000000">
                    <a:lumMod val="65000"/>
                    <a:lumOff val="35000"/>
                  </a:sysClr>
                </a:solidFill>
              </a:defRPr>
            </a:pPr>
            <a:r>
              <a:rPr lang="es-CO" sz="1400" b="0" i="0" baseline="0">
                <a:effectLst/>
              </a:rPr>
              <a:t>Aprendizaje: Identifica </a:t>
            </a:r>
            <a:endParaRPr lang="es-CO" sz="1400">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es-CO"/>
        </a:p>
      </c:txPr>
    </c:title>
    <c:autoTitleDeleted val="0"/>
    <c:plotArea>
      <c:layout/>
      <c:barChart>
        <c:barDir val="col"/>
        <c:grouping val="clustered"/>
        <c:varyColors val="0"/>
        <c:ser>
          <c:idx val="0"/>
          <c:order val="0"/>
          <c:tx>
            <c:strRef>
              <c:f>LC!$E$329</c:f>
              <c:strCache>
                <c:ptCount val="1"/>
                <c:pt idx="0">
                  <c:v>COMUNA 1</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LC!$F$327:$N$327</c:f>
              <c:numCache>
                <c:formatCode>General</c:formatCode>
                <c:ptCount val="9"/>
                <c:pt idx="0">
                  <c:v>2016</c:v>
                </c:pt>
                <c:pt idx="1">
                  <c:v>2017</c:v>
                </c:pt>
                <c:pt idx="2">
                  <c:v>2018</c:v>
                </c:pt>
                <c:pt idx="3">
                  <c:v>2019</c:v>
                </c:pt>
                <c:pt idx="4">
                  <c:v>2020</c:v>
                </c:pt>
                <c:pt idx="5">
                  <c:v>2021</c:v>
                </c:pt>
                <c:pt idx="6">
                  <c:v>2022</c:v>
                </c:pt>
                <c:pt idx="7">
                  <c:v>2023</c:v>
                </c:pt>
                <c:pt idx="8">
                  <c:v>2024</c:v>
                </c:pt>
              </c:numCache>
            </c:numRef>
          </c:cat>
          <c:val>
            <c:numRef>
              <c:f>LC!$F$329:$N$329</c:f>
              <c:numCache>
                <c:formatCode>0%</c:formatCode>
                <c:ptCount val="9"/>
                <c:pt idx="0">
                  <c:v>0.43499999999999994</c:v>
                </c:pt>
                <c:pt idx="1">
                  <c:v>0.42000000000000004</c:v>
                </c:pt>
                <c:pt idx="2">
                  <c:v>0.48499999999999999</c:v>
                </c:pt>
                <c:pt idx="3">
                  <c:v>0.36250000000000004</c:v>
                </c:pt>
                <c:pt idx="4">
                  <c:v>0.41749999999999998</c:v>
                </c:pt>
                <c:pt idx="5">
                  <c:v>0.34</c:v>
                </c:pt>
                <c:pt idx="6">
                  <c:v>0.35199999999999998</c:v>
                </c:pt>
                <c:pt idx="7">
                  <c:v>0.49800000000000005</c:v>
                </c:pt>
                <c:pt idx="8">
                  <c:v>0.45400000000000001</c:v>
                </c:pt>
              </c:numCache>
            </c:numRef>
          </c:val>
          <c:extLst>
            <c:ext xmlns:c16="http://schemas.microsoft.com/office/drawing/2014/chart" uri="{C3380CC4-5D6E-409C-BE32-E72D297353CC}">
              <c16:uniqueId val="{00000000-3C7C-493C-B18D-50707562D583}"/>
            </c:ext>
          </c:extLst>
        </c:ser>
        <c:ser>
          <c:idx val="1"/>
          <c:order val="1"/>
          <c:tx>
            <c:strRef>
              <c:f>LC!$E$330</c:f>
              <c:strCache>
                <c:ptCount val="1"/>
                <c:pt idx="0">
                  <c:v>COMUNA 2</c:v>
                </c:pt>
              </c:strCache>
            </c:strRef>
          </c:tx>
          <c:spPr>
            <a:solidFill>
              <a:schemeClr val="accent2"/>
            </a:solidFill>
            <a:ln>
              <a:noFill/>
            </a:ln>
            <a:effectLst/>
          </c:spPr>
          <c:invertIfNegative val="0"/>
          <c:cat>
            <c:numRef>
              <c:f>LC!$F$327:$N$327</c:f>
              <c:numCache>
                <c:formatCode>General</c:formatCode>
                <c:ptCount val="9"/>
                <c:pt idx="0">
                  <c:v>2016</c:v>
                </c:pt>
                <c:pt idx="1">
                  <c:v>2017</c:v>
                </c:pt>
                <c:pt idx="2">
                  <c:v>2018</c:v>
                </c:pt>
                <c:pt idx="3">
                  <c:v>2019</c:v>
                </c:pt>
                <c:pt idx="4">
                  <c:v>2020</c:v>
                </c:pt>
                <c:pt idx="5">
                  <c:v>2021</c:v>
                </c:pt>
                <c:pt idx="6">
                  <c:v>2022</c:v>
                </c:pt>
                <c:pt idx="7">
                  <c:v>2023</c:v>
                </c:pt>
                <c:pt idx="8">
                  <c:v>2024</c:v>
                </c:pt>
              </c:numCache>
            </c:numRef>
          </c:cat>
          <c:val>
            <c:numRef>
              <c:f>LC!$F$330:$N$330</c:f>
              <c:numCache>
                <c:formatCode>0%</c:formatCode>
                <c:ptCount val="9"/>
                <c:pt idx="0">
                  <c:v>0.43</c:v>
                </c:pt>
                <c:pt idx="1">
                  <c:v>0.43</c:v>
                </c:pt>
                <c:pt idx="2">
                  <c:v>0.495</c:v>
                </c:pt>
                <c:pt idx="3">
                  <c:v>0.36</c:v>
                </c:pt>
                <c:pt idx="4">
                  <c:v>0.42499999999999999</c:v>
                </c:pt>
                <c:pt idx="5">
                  <c:v>0.36</c:v>
                </c:pt>
                <c:pt idx="6">
                  <c:v>0.36</c:v>
                </c:pt>
                <c:pt idx="7">
                  <c:v>0.47249999999999998</c:v>
                </c:pt>
                <c:pt idx="8">
                  <c:v>0.44750000000000001</c:v>
                </c:pt>
              </c:numCache>
            </c:numRef>
          </c:val>
          <c:extLst>
            <c:ext xmlns:c16="http://schemas.microsoft.com/office/drawing/2014/chart" uri="{C3380CC4-5D6E-409C-BE32-E72D297353CC}">
              <c16:uniqueId val="{00000001-3C7C-493C-B18D-50707562D583}"/>
            </c:ext>
          </c:extLst>
        </c:ser>
        <c:ser>
          <c:idx val="2"/>
          <c:order val="2"/>
          <c:tx>
            <c:strRef>
              <c:f>LC!$E$331</c:f>
              <c:strCache>
                <c:ptCount val="1"/>
                <c:pt idx="0">
                  <c:v>COMUNA 3</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LC!$F$327:$N$327</c:f>
              <c:numCache>
                <c:formatCode>General</c:formatCode>
                <c:ptCount val="9"/>
                <c:pt idx="0">
                  <c:v>2016</c:v>
                </c:pt>
                <c:pt idx="1">
                  <c:v>2017</c:v>
                </c:pt>
                <c:pt idx="2">
                  <c:v>2018</c:v>
                </c:pt>
                <c:pt idx="3">
                  <c:v>2019</c:v>
                </c:pt>
                <c:pt idx="4">
                  <c:v>2020</c:v>
                </c:pt>
                <c:pt idx="5">
                  <c:v>2021</c:v>
                </c:pt>
                <c:pt idx="6">
                  <c:v>2022</c:v>
                </c:pt>
                <c:pt idx="7">
                  <c:v>2023</c:v>
                </c:pt>
                <c:pt idx="8">
                  <c:v>2024</c:v>
                </c:pt>
              </c:numCache>
            </c:numRef>
          </c:cat>
          <c:val>
            <c:numRef>
              <c:f>LC!$F$331:$N$331</c:f>
              <c:numCache>
                <c:formatCode>0%</c:formatCode>
                <c:ptCount val="9"/>
                <c:pt idx="0">
                  <c:v>0.47400000000000003</c:v>
                </c:pt>
                <c:pt idx="1">
                  <c:v>0.42599999999999999</c:v>
                </c:pt>
                <c:pt idx="2">
                  <c:v>0.47599999999999998</c:v>
                </c:pt>
                <c:pt idx="3">
                  <c:v>0.38600000000000001</c:v>
                </c:pt>
                <c:pt idx="4">
                  <c:v>0.43600000000000005</c:v>
                </c:pt>
                <c:pt idx="5">
                  <c:v>0.34799999999999998</c:v>
                </c:pt>
                <c:pt idx="6">
                  <c:v>0.34666666666666668</c:v>
                </c:pt>
                <c:pt idx="7">
                  <c:v>0.46833333333333327</c:v>
                </c:pt>
                <c:pt idx="8">
                  <c:v>0.44</c:v>
                </c:pt>
              </c:numCache>
            </c:numRef>
          </c:val>
          <c:extLst>
            <c:ext xmlns:c16="http://schemas.microsoft.com/office/drawing/2014/chart" uri="{C3380CC4-5D6E-409C-BE32-E72D297353CC}">
              <c16:uniqueId val="{00000002-3C7C-493C-B18D-50707562D583}"/>
            </c:ext>
          </c:extLst>
        </c:ser>
        <c:ser>
          <c:idx val="3"/>
          <c:order val="3"/>
          <c:tx>
            <c:strRef>
              <c:f>LC!$E$332</c:f>
              <c:strCache>
                <c:ptCount val="1"/>
                <c:pt idx="0">
                  <c:v>COMUNA 4</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LC!$F$327:$N$327</c:f>
              <c:numCache>
                <c:formatCode>General</c:formatCode>
                <c:ptCount val="9"/>
                <c:pt idx="0">
                  <c:v>2016</c:v>
                </c:pt>
                <c:pt idx="1">
                  <c:v>2017</c:v>
                </c:pt>
                <c:pt idx="2">
                  <c:v>2018</c:v>
                </c:pt>
                <c:pt idx="3">
                  <c:v>2019</c:v>
                </c:pt>
                <c:pt idx="4">
                  <c:v>2020</c:v>
                </c:pt>
                <c:pt idx="5">
                  <c:v>2021</c:v>
                </c:pt>
                <c:pt idx="6">
                  <c:v>2022</c:v>
                </c:pt>
                <c:pt idx="7">
                  <c:v>2023</c:v>
                </c:pt>
                <c:pt idx="8">
                  <c:v>2024</c:v>
                </c:pt>
              </c:numCache>
            </c:numRef>
          </c:cat>
          <c:val>
            <c:numRef>
              <c:f>LC!$F$332:$N$332</c:f>
              <c:numCache>
                <c:formatCode>0%</c:formatCode>
                <c:ptCount val="9"/>
                <c:pt idx="0">
                  <c:v>0.48833333333333345</c:v>
                </c:pt>
                <c:pt idx="1">
                  <c:v>0.47833333333333333</c:v>
                </c:pt>
                <c:pt idx="2">
                  <c:v>0.53833333333333333</c:v>
                </c:pt>
                <c:pt idx="3">
                  <c:v>0.435</c:v>
                </c:pt>
                <c:pt idx="4">
                  <c:v>0.48833333333333334</c:v>
                </c:pt>
                <c:pt idx="5">
                  <c:v>0.42</c:v>
                </c:pt>
                <c:pt idx="6">
                  <c:v>0.40333333333333338</c:v>
                </c:pt>
                <c:pt idx="7">
                  <c:v>0.54500000000000004</c:v>
                </c:pt>
                <c:pt idx="8">
                  <c:v>0.505</c:v>
                </c:pt>
              </c:numCache>
            </c:numRef>
          </c:val>
          <c:extLst>
            <c:ext xmlns:c16="http://schemas.microsoft.com/office/drawing/2014/chart" uri="{C3380CC4-5D6E-409C-BE32-E72D297353CC}">
              <c16:uniqueId val="{00000003-3C7C-493C-B18D-50707562D583}"/>
            </c:ext>
          </c:extLst>
        </c:ser>
        <c:ser>
          <c:idx val="4"/>
          <c:order val="4"/>
          <c:tx>
            <c:strRef>
              <c:f>LC!$E$333</c:f>
              <c:strCache>
                <c:ptCount val="1"/>
                <c:pt idx="0">
                  <c:v>COMUNA 5</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LC!$F$327:$N$327</c:f>
              <c:numCache>
                <c:formatCode>General</c:formatCode>
                <c:ptCount val="9"/>
                <c:pt idx="0">
                  <c:v>2016</c:v>
                </c:pt>
                <c:pt idx="1">
                  <c:v>2017</c:v>
                </c:pt>
                <c:pt idx="2">
                  <c:v>2018</c:v>
                </c:pt>
                <c:pt idx="3">
                  <c:v>2019</c:v>
                </c:pt>
                <c:pt idx="4">
                  <c:v>2020</c:v>
                </c:pt>
                <c:pt idx="5">
                  <c:v>2021</c:v>
                </c:pt>
                <c:pt idx="6">
                  <c:v>2022</c:v>
                </c:pt>
                <c:pt idx="7">
                  <c:v>2023</c:v>
                </c:pt>
                <c:pt idx="8">
                  <c:v>2024</c:v>
                </c:pt>
              </c:numCache>
            </c:numRef>
          </c:cat>
          <c:val>
            <c:numRef>
              <c:f>LC!$F$333:$N$333</c:f>
              <c:numCache>
                <c:formatCode>0%</c:formatCode>
                <c:ptCount val="9"/>
                <c:pt idx="0">
                  <c:v>0.43</c:v>
                </c:pt>
                <c:pt idx="1">
                  <c:v>0.435</c:v>
                </c:pt>
                <c:pt idx="2">
                  <c:v>0.495</c:v>
                </c:pt>
                <c:pt idx="3">
                  <c:v>0.36499999999999999</c:v>
                </c:pt>
                <c:pt idx="4">
                  <c:v>0.44500000000000001</c:v>
                </c:pt>
                <c:pt idx="5">
                  <c:v>0.33999999999999997</c:v>
                </c:pt>
                <c:pt idx="6">
                  <c:v>0.34499999999999997</c:v>
                </c:pt>
                <c:pt idx="7">
                  <c:v>0.48499999999999999</c:v>
                </c:pt>
                <c:pt idx="8">
                  <c:v>0.41333333333333333</c:v>
                </c:pt>
              </c:numCache>
            </c:numRef>
          </c:val>
          <c:extLst>
            <c:ext xmlns:c16="http://schemas.microsoft.com/office/drawing/2014/chart" uri="{C3380CC4-5D6E-409C-BE32-E72D297353CC}">
              <c16:uniqueId val="{00000004-3C7C-493C-B18D-50707562D583}"/>
            </c:ext>
          </c:extLst>
        </c:ser>
        <c:ser>
          <c:idx val="5"/>
          <c:order val="5"/>
          <c:tx>
            <c:strRef>
              <c:f>LC!$E$334</c:f>
              <c:strCache>
                <c:ptCount val="1"/>
                <c:pt idx="0">
                  <c:v>COMUNA 6</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LC!$F$327:$N$327</c:f>
              <c:numCache>
                <c:formatCode>General</c:formatCode>
                <c:ptCount val="9"/>
                <c:pt idx="0">
                  <c:v>2016</c:v>
                </c:pt>
                <c:pt idx="1">
                  <c:v>2017</c:v>
                </c:pt>
                <c:pt idx="2">
                  <c:v>2018</c:v>
                </c:pt>
                <c:pt idx="3">
                  <c:v>2019</c:v>
                </c:pt>
                <c:pt idx="4">
                  <c:v>2020</c:v>
                </c:pt>
                <c:pt idx="5">
                  <c:v>2021</c:v>
                </c:pt>
                <c:pt idx="6">
                  <c:v>2022</c:v>
                </c:pt>
                <c:pt idx="7">
                  <c:v>2023</c:v>
                </c:pt>
                <c:pt idx="8">
                  <c:v>2024</c:v>
                </c:pt>
              </c:numCache>
            </c:numRef>
          </c:cat>
          <c:val>
            <c:numRef>
              <c:f>LC!$F$334:$N$334</c:f>
              <c:numCache>
                <c:formatCode>0%</c:formatCode>
                <c:ptCount val="9"/>
                <c:pt idx="0">
                  <c:v>0.46666666666666662</c:v>
                </c:pt>
                <c:pt idx="1">
                  <c:v>0.4466666666666666</c:v>
                </c:pt>
                <c:pt idx="2">
                  <c:v>0.49666666666666665</c:v>
                </c:pt>
                <c:pt idx="3">
                  <c:v>0.3833333333333333</c:v>
                </c:pt>
                <c:pt idx="4">
                  <c:v>0.45</c:v>
                </c:pt>
                <c:pt idx="5">
                  <c:v>0.36999999999999994</c:v>
                </c:pt>
                <c:pt idx="6">
                  <c:v>0.3666666666666667</c:v>
                </c:pt>
                <c:pt idx="7">
                  <c:v>0.51</c:v>
                </c:pt>
                <c:pt idx="8">
                  <c:v>0.45249999999999996</c:v>
                </c:pt>
              </c:numCache>
            </c:numRef>
          </c:val>
          <c:extLst>
            <c:ext xmlns:c16="http://schemas.microsoft.com/office/drawing/2014/chart" uri="{C3380CC4-5D6E-409C-BE32-E72D297353CC}">
              <c16:uniqueId val="{00000005-3C7C-493C-B18D-50707562D583}"/>
            </c:ext>
          </c:extLst>
        </c:ser>
        <c:dLbls>
          <c:showLegendKey val="0"/>
          <c:showVal val="0"/>
          <c:showCatName val="0"/>
          <c:showSerName val="0"/>
          <c:showPercent val="0"/>
          <c:showBubbleSize val="0"/>
        </c:dLbls>
        <c:gapWidth val="150"/>
        <c:axId val="922625440"/>
        <c:axId val="922145264"/>
      </c:barChart>
      <c:catAx>
        <c:axId val="9226254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922145264"/>
        <c:crossesAt val="0"/>
        <c:auto val="1"/>
        <c:lblAlgn val="ctr"/>
        <c:lblOffset val="100"/>
        <c:noMultiLvlLbl val="0"/>
      </c:catAx>
      <c:valAx>
        <c:axId val="9221452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92262544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a:defRPr sz="1400"/>
            </a:pPr>
            <a:r>
              <a:rPr lang="es-CO" sz="1400"/>
              <a:t>Promedio Puntaje Global Instituciones No Oficiales por Comunas 2016-2024</a:t>
            </a:r>
          </a:p>
        </c:rich>
      </c:tx>
      <c:overlay val="0"/>
    </c:title>
    <c:autoTitleDeleted val="0"/>
    <c:plotArea>
      <c:layout/>
      <c:radarChart>
        <c:radarStyle val="marker"/>
        <c:varyColors val="0"/>
        <c:ser>
          <c:idx val="0"/>
          <c:order val="0"/>
          <c:tx>
            <c:strRef>
              <c:f>PGLOBAL!$W$234</c:f>
              <c:strCache>
                <c:ptCount val="1"/>
                <c:pt idx="0">
                  <c:v>2016</c:v>
                </c:pt>
              </c:strCache>
            </c:strRef>
          </c:tx>
          <c:spPr>
            <a:ln>
              <a:prstDash val="dashDot"/>
            </a:ln>
          </c:spPr>
          <c:val>
            <c:numRef>
              <c:f>PGLOBAL!$W$236:$W$241</c:f>
              <c:numCache>
                <c:formatCode>0</c:formatCode>
                <c:ptCount val="6"/>
                <c:pt idx="0">
                  <c:v>260.46153846153845</c:v>
                </c:pt>
                <c:pt idx="1">
                  <c:v>268.88888888888891</c:v>
                </c:pt>
                <c:pt idx="2">
                  <c:v>271.61538461538464</c:v>
                </c:pt>
                <c:pt idx="3">
                  <c:v>251.625</c:v>
                </c:pt>
                <c:pt idx="4">
                  <c:v>277.73333333333335</c:v>
                </c:pt>
                <c:pt idx="5">
                  <c:v>269.08333333333331</c:v>
                </c:pt>
              </c:numCache>
            </c:numRef>
          </c:val>
          <c:extLst>
            <c:ext xmlns:c15="http://schemas.microsoft.com/office/drawing/2012/chart" uri="{02D57815-91ED-43cb-92C2-25804820EDAC}">
              <c15:filteredCategoryTitle>
                <c15:cat>
                  <c:strRef>
                    <c:extLst>
                      <c:ext uri="{02D57815-91ED-43cb-92C2-25804820EDAC}">
                        <c15:formulaRef>
                          <c15:sqref>PGLOBAL!$V$236:$V$241</c15:sqref>
                        </c15:formulaRef>
                      </c:ext>
                    </c:extLst>
                    <c:strCache>
                      <c:ptCount val="6"/>
                      <c:pt idx="0">
                        <c:v>COMUNA 1</c:v>
                      </c:pt>
                      <c:pt idx="1">
                        <c:v>COMUNA 2</c:v>
                      </c:pt>
                      <c:pt idx="2">
                        <c:v>COMUNA 3</c:v>
                      </c:pt>
                      <c:pt idx="3">
                        <c:v>COMUNA 4</c:v>
                      </c:pt>
                      <c:pt idx="4">
                        <c:v>COMUNA 5</c:v>
                      </c:pt>
                      <c:pt idx="5">
                        <c:v>COMUNA 6</c:v>
                      </c:pt>
                    </c:strCache>
                  </c:strRef>
                </c15:cat>
              </c15:filteredCategoryTitle>
            </c:ext>
            <c:ext xmlns:c16="http://schemas.microsoft.com/office/drawing/2014/chart" uri="{C3380CC4-5D6E-409C-BE32-E72D297353CC}">
              <c16:uniqueId val="{00000000-7315-4922-B741-14218619375B}"/>
            </c:ext>
          </c:extLst>
        </c:ser>
        <c:ser>
          <c:idx val="1"/>
          <c:order val="1"/>
          <c:tx>
            <c:strRef>
              <c:f>PGLOBAL!$X$234</c:f>
              <c:strCache>
                <c:ptCount val="1"/>
                <c:pt idx="0">
                  <c:v>2017</c:v>
                </c:pt>
              </c:strCache>
            </c:strRef>
          </c:tx>
          <c:val>
            <c:numRef>
              <c:f>PGLOBAL!$X$236:$X$241</c:f>
              <c:numCache>
                <c:formatCode>0</c:formatCode>
                <c:ptCount val="6"/>
                <c:pt idx="0">
                  <c:v>259.5</c:v>
                </c:pt>
                <c:pt idx="1">
                  <c:v>266.11764705882354</c:v>
                </c:pt>
                <c:pt idx="2">
                  <c:v>267.57142857142856</c:v>
                </c:pt>
                <c:pt idx="3">
                  <c:v>262.33333333333331</c:v>
                </c:pt>
                <c:pt idx="4">
                  <c:v>277.86666666666667</c:v>
                </c:pt>
                <c:pt idx="5">
                  <c:v>259.33333333333331</c:v>
                </c:pt>
              </c:numCache>
            </c:numRef>
          </c:val>
          <c:extLst>
            <c:ext xmlns:c15="http://schemas.microsoft.com/office/drawing/2012/chart" uri="{02D57815-91ED-43cb-92C2-25804820EDAC}">
              <c15:filteredCategoryTitle>
                <c15:cat>
                  <c:strRef>
                    <c:extLst>
                      <c:ext uri="{02D57815-91ED-43cb-92C2-25804820EDAC}">
                        <c15:formulaRef>
                          <c15:sqref>PGLOBAL!$V$236:$V$241</c15:sqref>
                        </c15:formulaRef>
                      </c:ext>
                    </c:extLst>
                    <c:strCache>
                      <c:ptCount val="6"/>
                      <c:pt idx="0">
                        <c:v>COMUNA 1</c:v>
                      </c:pt>
                      <c:pt idx="1">
                        <c:v>COMUNA 2</c:v>
                      </c:pt>
                      <c:pt idx="2">
                        <c:v>COMUNA 3</c:v>
                      </c:pt>
                      <c:pt idx="3">
                        <c:v>COMUNA 4</c:v>
                      </c:pt>
                      <c:pt idx="4">
                        <c:v>COMUNA 5</c:v>
                      </c:pt>
                      <c:pt idx="5">
                        <c:v>COMUNA 6</c:v>
                      </c:pt>
                    </c:strCache>
                  </c:strRef>
                </c15:cat>
              </c15:filteredCategoryTitle>
            </c:ext>
            <c:ext xmlns:c16="http://schemas.microsoft.com/office/drawing/2014/chart" uri="{C3380CC4-5D6E-409C-BE32-E72D297353CC}">
              <c16:uniqueId val="{00000001-7315-4922-B741-14218619375B}"/>
            </c:ext>
          </c:extLst>
        </c:ser>
        <c:ser>
          <c:idx val="2"/>
          <c:order val="2"/>
          <c:tx>
            <c:strRef>
              <c:f>PGLOBAL!$Y$234</c:f>
              <c:strCache>
                <c:ptCount val="1"/>
                <c:pt idx="0">
                  <c:v>2018</c:v>
                </c:pt>
              </c:strCache>
            </c:strRef>
          </c:tx>
          <c:spPr>
            <a:ln>
              <a:prstDash val="sysDot"/>
            </a:ln>
          </c:spPr>
          <c:val>
            <c:numRef>
              <c:f>PGLOBAL!$Y$236:$Y$241</c:f>
              <c:numCache>
                <c:formatCode>0</c:formatCode>
                <c:ptCount val="6"/>
                <c:pt idx="0">
                  <c:v>257.61538461538464</c:v>
                </c:pt>
                <c:pt idx="1">
                  <c:v>263.52941176470586</c:v>
                </c:pt>
                <c:pt idx="2">
                  <c:v>267.07142857142856</c:v>
                </c:pt>
                <c:pt idx="3">
                  <c:v>261.11111111111109</c:v>
                </c:pt>
                <c:pt idx="4">
                  <c:v>274.0625</c:v>
                </c:pt>
                <c:pt idx="5">
                  <c:v>262.18181818181819</c:v>
                </c:pt>
              </c:numCache>
            </c:numRef>
          </c:val>
          <c:extLst>
            <c:ext xmlns:c15="http://schemas.microsoft.com/office/drawing/2012/chart" uri="{02D57815-91ED-43cb-92C2-25804820EDAC}">
              <c15:filteredCategoryTitle>
                <c15:cat>
                  <c:strRef>
                    <c:extLst>
                      <c:ext uri="{02D57815-91ED-43cb-92C2-25804820EDAC}">
                        <c15:formulaRef>
                          <c15:sqref>PGLOBAL!$V$236:$V$241</c15:sqref>
                        </c15:formulaRef>
                      </c:ext>
                    </c:extLst>
                    <c:strCache>
                      <c:ptCount val="6"/>
                      <c:pt idx="0">
                        <c:v>COMUNA 1</c:v>
                      </c:pt>
                      <c:pt idx="1">
                        <c:v>COMUNA 2</c:v>
                      </c:pt>
                      <c:pt idx="2">
                        <c:v>COMUNA 3</c:v>
                      </c:pt>
                      <c:pt idx="3">
                        <c:v>COMUNA 4</c:v>
                      </c:pt>
                      <c:pt idx="4">
                        <c:v>COMUNA 5</c:v>
                      </c:pt>
                      <c:pt idx="5">
                        <c:v>COMUNA 6</c:v>
                      </c:pt>
                    </c:strCache>
                  </c:strRef>
                </c15:cat>
              </c15:filteredCategoryTitle>
            </c:ext>
            <c:ext xmlns:c16="http://schemas.microsoft.com/office/drawing/2014/chart" uri="{C3380CC4-5D6E-409C-BE32-E72D297353CC}">
              <c16:uniqueId val="{00000002-7315-4922-B741-14218619375B}"/>
            </c:ext>
          </c:extLst>
        </c:ser>
        <c:ser>
          <c:idx val="3"/>
          <c:order val="3"/>
          <c:tx>
            <c:strRef>
              <c:f>PGLOBAL!$Z$234</c:f>
              <c:strCache>
                <c:ptCount val="1"/>
                <c:pt idx="0">
                  <c:v>2019</c:v>
                </c:pt>
              </c:strCache>
            </c:strRef>
          </c:tx>
          <c:val>
            <c:numRef>
              <c:f>PGLOBAL!$Z$236:$Z$241</c:f>
              <c:numCache>
                <c:formatCode>0</c:formatCode>
                <c:ptCount val="6"/>
                <c:pt idx="0">
                  <c:v>252.53846153846155</c:v>
                </c:pt>
                <c:pt idx="1">
                  <c:v>263.66666666666669</c:v>
                </c:pt>
                <c:pt idx="2">
                  <c:v>261.71428571428572</c:v>
                </c:pt>
                <c:pt idx="3">
                  <c:v>254</c:v>
                </c:pt>
                <c:pt idx="4">
                  <c:v>270.1764705882353</c:v>
                </c:pt>
                <c:pt idx="5">
                  <c:v>261.25</c:v>
                </c:pt>
              </c:numCache>
            </c:numRef>
          </c:val>
          <c:extLst>
            <c:ext xmlns:c15="http://schemas.microsoft.com/office/drawing/2012/chart" uri="{02D57815-91ED-43cb-92C2-25804820EDAC}">
              <c15:filteredCategoryTitle>
                <c15:cat>
                  <c:strRef>
                    <c:extLst>
                      <c:ext uri="{02D57815-91ED-43cb-92C2-25804820EDAC}">
                        <c15:formulaRef>
                          <c15:sqref>PGLOBAL!$V$236:$V$241</c15:sqref>
                        </c15:formulaRef>
                      </c:ext>
                    </c:extLst>
                    <c:strCache>
                      <c:ptCount val="6"/>
                      <c:pt idx="0">
                        <c:v>COMUNA 1</c:v>
                      </c:pt>
                      <c:pt idx="1">
                        <c:v>COMUNA 2</c:v>
                      </c:pt>
                      <c:pt idx="2">
                        <c:v>COMUNA 3</c:v>
                      </c:pt>
                      <c:pt idx="3">
                        <c:v>COMUNA 4</c:v>
                      </c:pt>
                      <c:pt idx="4">
                        <c:v>COMUNA 5</c:v>
                      </c:pt>
                      <c:pt idx="5">
                        <c:v>COMUNA 6</c:v>
                      </c:pt>
                    </c:strCache>
                  </c:strRef>
                </c15:cat>
              </c15:filteredCategoryTitle>
            </c:ext>
            <c:ext xmlns:c16="http://schemas.microsoft.com/office/drawing/2014/chart" uri="{C3380CC4-5D6E-409C-BE32-E72D297353CC}">
              <c16:uniqueId val="{00000003-7315-4922-B741-14218619375B}"/>
            </c:ext>
          </c:extLst>
        </c:ser>
        <c:ser>
          <c:idx val="4"/>
          <c:order val="4"/>
          <c:tx>
            <c:strRef>
              <c:f>PGLOBAL!$AA$234</c:f>
              <c:strCache>
                <c:ptCount val="1"/>
                <c:pt idx="0">
                  <c:v>2020</c:v>
                </c:pt>
              </c:strCache>
            </c:strRef>
          </c:tx>
          <c:val>
            <c:numRef>
              <c:f>PGLOBAL!$AA$236:$AA$241</c:f>
              <c:numCache>
                <c:formatCode>0</c:formatCode>
                <c:ptCount val="6"/>
                <c:pt idx="0">
                  <c:v>257.84615384615387</c:v>
                </c:pt>
                <c:pt idx="1">
                  <c:v>259.45454545454544</c:v>
                </c:pt>
                <c:pt idx="2">
                  <c:v>265.46666666666664</c:v>
                </c:pt>
                <c:pt idx="3">
                  <c:v>248.14285714285714</c:v>
                </c:pt>
                <c:pt idx="4">
                  <c:v>274.4375</c:v>
                </c:pt>
                <c:pt idx="5">
                  <c:v>253.28571428571428</c:v>
                </c:pt>
              </c:numCache>
            </c:numRef>
          </c:val>
          <c:extLst>
            <c:ext xmlns:c15="http://schemas.microsoft.com/office/drawing/2012/chart" uri="{02D57815-91ED-43cb-92C2-25804820EDAC}">
              <c15:filteredCategoryTitle>
                <c15:cat>
                  <c:strRef>
                    <c:extLst>
                      <c:ext uri="{02D57815-91ED-43cb-92C2-25804820EDAC}">
                        <c15:formulaRef>
                          <c15:sqref>PGLOBAL!$V$236:$V$241</c15:sqref>
                        </c15:formulaRef>
                      </c:ext>
                    </c:extLst>
                    <c:strCache>
                      <c:ptCount val="6"/>
                      <c:pt idx="0">
                        <c:v>COMUNA 1</c:v>
                      </c:pt>
                      <c:pt idx="1">
                        <c:v>COMUNA 2</c:v>
                      </c:pt>
                      <c:pt idx="2">
                        <c:v>COMUNA 3</c:v>
                      </c:pt>
                      <c:pt idx="3">
                        <c:v>COMUNA 4</c:v>
                      </c:pt>
                      <c:pt idx="4">
                        <c:v>COMUNA 5</c:v>
                      </c:pt>
                      <c:pt idx="5">
                        <c:v>COMUNA 6</c:v>
                      </c:pt>
                    </c:strCache>
                  </c:strRef>
                </c15:cat>
              </c15:filteredCategoryTitle>
            </c:ext>
            <c:ext xmlns:c16="http://schemas.microsoft.com/office/drawing/2014/chart" uri="{C3380CC4-5D6E-409C-BE32-E72D297353CC}">
              <c16:uniqueId val="{00000001-CDE1-4D8A-AC40-BB45AF577C9D}"/>
            </c:ext>
          </c:extLst>
        </c:ser>
        <c:ser>
          <c:idx val="5"/>
          <c:order val="5"/>
          <c:tx>
            <c:strRef>
              <c:f>PGLOBAL!$AB$234</c:f>
              <c:strCache>
                <c:ptCount val="1"/>
                <c:pt idx="0">
                  <c:v>2021</c:v>
                </c:pt>
              </c:strCache>
            </c:strRef>
          </c:tx>
          <c:val>
            <c:numRef>
              <c:f>PGLOBAL!$AB$236:$AB$241</c:f>
              <c:numCache>
                <c:formatCode>0</c:formatCode>
                <c:ptCount val="6"/>
                <c:pt idx="0">
                  <c:v>259.07692307692309</c:v>
                </c:pt>
                <c:pt idx="1">
                  <c:v>258.14999999999998</c:v>
                </c:pt>
                <c:pt idx="2">
                  <c:v>265.33333333333331</c:v>
                </c:pt>
                <c:pt idx="3">
                  <c:v>251.5</c:v>
                </c:pt>
                <c:pt idx="4">
                  <c:v>272.875</c:v>
                </c:pt>
                <c:pt idx="5">
                  <c:v>257.57142857142856</c:v>
                </c:pt>
              </c:numCache>
            </c:numRef>
          </c:val>
          <c:extLst>
            <c:ext xmlns:c15="http://schemas.microsoft.com/office/drawing/2012/chart" uri="{02D57815-91ED-43cb-92C2-25804820EDAC}">
              <c15:filteredCategoryTitle>
                <c15:cat>
                  <c:strRef>
                    <c:extLst>
                      <c:ext uri="{02D57815-91ED-43cb-92C2-25804820EDAC}">
                        <c15:formulaRef>
                          <c15:sqref>PGLOBAL!$V$236:$V$241</c15:sqref>
                        </c15:formulaRef>
                      </c:ext>
                    </c:extLst>
                    <c:strCache>
                      <c:ptCount val="6"/>
                      <c:pt idx="0">
                        <c:v>COMUNA 1</c:v>
                      </c:pt>
                      <c:pt idx="1">
                        <c:v>COMUNA 2</c:v>
                      </c:pt>
                      <c:pt idx="2">
                        <c:v>COMUNA 3</c:v>
                      </c:pt>
                      <c:pt idx="3">
                        <c:v>COMUNA 4</c:v>
                      </c:pt>
                      <c:pt idx="4">
                        <c:v>COMUNA 5</c:v>
                      </c:pt>
                      <c:pt idx="5">
                        <c:v>COMUNA 6</c:v>
                      </c:pt>
                    </c:strCache>
                  </c:strRef>
                </c15:cat>
              </c15:filteredCategoryTitle>
            </c:ext>
            <c:ext xmlns:c16="http://schemas.microsoft.com/office/drawing/2014/chart" uri="{C3380CC4-5D6E-409C-BE32-E72D297353CC}">
              <c16:uniqueId val="{00000001-AD2A-4798-87E0-3AF512D1B880}"/>
            </c:ext>
          </c:extLst>
        </c:ser>
        <c:ser>
          <c:idx val="6"/>
          <c:order val="6"/>
          <c:tx>
            <c:strRef>
              <c:f>PGLOBAL!$AC$234</c:f>
              <c:strCache>
                <c:ptCount val="1"/>
                <c:pt idx="0">
                  <c:v>2022</c:v>
                </c:pt>
              </c:strCache>
            </c:strRef>
          </c:tx>
          <c:val>
            <c:numRef>
              <c:f>PGLOBAL!$AC$236:$AC$241</c:f>
              <c:numCache>
                <c:formatCode>0</c:formatCode>
                <c:ptCount val="6"/>
                <c:pt idx="0">
                  <c:v>261.15384615384613</c:v>
                </c:pt>
                <c:pt idx="1">
                  <c:v>269.28571428571428</c:v>
                </c:pt>
                <c:pt idx="2">
                  <c:v>270.9375</c:v>
                </c:pt>
                <c:pt idx="3">
                  <c:v>258.125</c:v>
                </c:pt>
                <c:pt idx="4">
                  <c:v>278.93333333333334</c:v>
                </c:pt>
                <c:pt idx="5">
                  <c:v>259.6875</c:v>
                </c:pt>
              </c:numCache>
            </c:numRef>
          </c:val>
          <c:extLst>
            <c:ext xmlns:c15="http://schemas.microsoft.com/office/drawing/2012/chart" uri="{02D57815-91ED-43cb-92C2-25804820EDAC}">
              <c15:filteredCategoryTitle>
                <c15:cat>
                  <c:strRef>
                    <c:extLst>
                      <c:ext uri="{02D57815-91ED-43cb-92C2-25804820EDAC}">
                        <c15:formulaRef>
                          <c15:sqref>PGLOBAL!$V$236:$V$241</c15:sqref>
                        </c15:formulaRef>
                      </c:ext>
                    </c:extLst>
                    <c:strCache>
                      <c:ptCount val="6"/>
                      <c:pt idx="0">
                        <c:v>COMUNA 1</c:v>
                      </c:pt>
                      <c:pt idx="1">
                        <c:v>COMUNA 2</c:v>
                      </c:pt>
                      <c:pt idx="2">
                        <c:v>COMUNA 3</c:v>
                      </c:pt>
                      <c:pt idx="3">
                        <c:v>COMUNA 4</c:v>
                      </c:pt>
                      <c:pt idx="4">
                        <c:v>COMUNA 5</c:v>
                      </c:pt>
                      <c:pt idx="5">
                        <c:v>COMUNA 6</c:v>
                      </c:pt>
                    </c:strCache>
                  </c:strRef>
                </c15:cat>
              </c15:filteredCategoryTitle>
            </c:ext>
            <c:ext xmlns:c16="http://schemas.microsoft.com/office/drawing/2014/chart" uri="{C3380CC4-5D6E-409C-BE32-E72D297353CC}">
              <c16:uniqueId val="{00000000-208F-4E90-ACB7-0786FAC81CE8}"/>
            </c:ext>
          </c:extLst>
        </c:ser>
        <c:ser>
          <c:idx val="7"/>
          <c:order val="7"/>
          <c:tx>
            <c:strRef>
              <c:f>PGLOBAL!$AD$234</c:f>
              <c:strCache>
                <c:ptCount val="1"/>
                <c:pt idx="0">
                  <c:v>2023</c:v>
                </c:pt>
              </c:strCache>
            </c:strRef>
          </c:tx>
          <c:val>
            <c:numRef>
              <c:f>PGLOBAL!$AD$236:$AD$241</c:f>
              <c:numCache>
                <c:formatCode>0</c:formatCode>
                <c:ptCount val="6"/>
                <c:pt idx="0">
                  <c:v>252.53846153846155</c:v>
                </c:pt>
                <c:pt idx="1">
                  <c:v>263.66666666666669</c:v>
                </c:pt>
                <c:pt idx="2">
                  <c:v>261.71428571428572</c:v>
                </c:pt>
                <c:pt idx="3">
                  <c:v>254</c:v>
                </c:pt>
                <c:pt idx="4">
                  <c:v>270.1764705882353</c:v>
                </c:pt>
                <c:pt idx="5">
                  <c:v>261.25</c:v>
                </c:pt>
              </c:numCache>
            </c:numRef>
          </c:val>
          <c:extLst>
            <c:ext xmlns:c15="http://schemas.microsoft.com/office/drawing/2012/chart" uri="{02D57815-91ED-43cb-92C2-25804820EDAC}">
              <c15:filteredCategoryTitle>
                <c15:cat>
                  <c:strRef>
                    <c:extLst>
                      <c:ext uri="{02D57815-91ED-43cb-92C2-25804820EDAC}">
                        <c15:formulaRef>
                          <c15:sqref>PGLOBAL!$V$236:$V$241</c15:sqref>
                        </c15:formulaRef>
                      </c:ext>
                    </c:extLst>
                    <c:strCache>
                      <c:ptCount val="6"/>
                      <c:pt idx="0">
                        <c:v>COMUNA 1</c:v>
                      </c:pt>
                      <c:pt idx="1">
                        <c:v>COMUNA 2</c:v>
                      </c:pt>
                      <c:pt idx="2">
                        <c:v>COMUNA 3</c:v>
                      </c:pt>
                      <c:pt idx="3">
                        <c:v>COMUNA 4</c:v>
                      </c:pt>
                      <c:pt idx="4">
                        <c:v>COMUNA 5</c:v>
                      </c:pt>
                      <c:pt idx="5">
                        <c:v>COMUNA 6</c:v>
                      </c:pt>
                    </c:strCache>
                  </c:strRef>
                </c15:cat>
              </c15:filteredCategoryTitle>
            </c:ext>
            <c:ext xmlns:c16="http://schemas.microsoft.com/office/drawing/2014/chart" uri="{C3380CC4-5D6E-409C-BE32-E72D297353CC}">
              <c16:uniqueId val="{00000001-208F-4E90-ACB7-0786FAC81CE8}"/>
            </c:ext>
          </c:extLst>
        </c:ser>
        <c:ser>
          <c:idx val="8"/>
          <c:order val="8"/>
          <c:tx>
            <c:strRef>
              <c:f>PGLOBAL!$AE$234</c:f>
              <c:strCache>
                <c:ptCount val="1"/>
                <c:pt idx="0">
                  <c:v>2024</c:v>
                </c:pt>
              </c:strCache>
            </c:strRef>
          </c:tx>
          <c:val>
            <c:numRef>
              <c:f>PGLOBAL!$AE$236:$AE$241</c:f>
              <c:numCache>
                <c:formatCode>0</c:formatCode>
                <c:ptCount val="6"/>
                <c:pt idx="0">
                  <c:v>266.23076923076923</c:v>
                </c:pt>
                <c:pt idx="1">
                  <c:v>272.7</c:v>
                </c:pt>
                <c:pt idx="2">
                  <c:v>274.13333333333333</c:v>
                </c:pt>
                <c:pt idx="3">
                  <c:v>267.57142857142856</c:v>
                </c:pt>
                <c:pt idx="4">
                  <c:v>274.26666666666665</c:v>
                </c:pt>
                <c:pt idx="5">
                  <c:v>268.07142857142856</c:v>
                </c:pt>
              </c:numCache>
            </c:numRef>
          </c:val>
          <c:extLst>
            <c:ext xmlns:c15="http://schemas.microsoft.com/office/drawing/2012/chart" uri="{02D57815-91ED-43cb-92C2-25804820EDAC}">
              <c15:filteredCategoryTitle>
                <c15:cat>
                  <c:strRef>
                    <c:extLst>
                      <c:ext uri="{02D57815-91ED-43cb-92C2-25804820EDAC}">
                        <c15:formulaRef>
                          <c15:sqref>PGLOBAL!$V$236:$V$241</c15:sqref>
                        </c15:formulaRef>
                      </c:ext>
                    </c:extLst>
                    <c:strCache>
                      <c:ptCount val="6"/>
                      <c:pt idx="0">
                        <c:v>COMUNA 1</c:v>
                      </c:pt>
                      <c:pt idx="1">
                        <c:v>COMUNA 2</c:v>
                      </c:pt>
                      <c:pt idx="2">
                        <c:v>COMUNA 3</c:v>
                      </c:pt>
                      <c:pt idx="3">
                        <c:v>COMUNA 4</c:v>
                      </c:pt>
                      <c:pt idx="4">
                        <c:v>COMUNA 5</c:v>
                      </c:pt>
                      <c:pt idx="5">
                        <c:v>COMUNA 6</c:v>
                      </c:pt>
                    </c:strCache>
                  </c:strRef>
                </c15:cat>
              </c15:filteredCategoryTitle>
            </c:ext>
            <c:ext xmlns:c16="http://schemas.microsoft.com/office/drawing/2014/chart" uri="{C3380CC4-5D6E-409C-BE32-E72D297353CC}">
              <c16:uniqueId val="{00000000-FC14-4111-8195-2CBE5B17675C}"/>
            </c:ext>
          </c:extLst>
        </c:ser>
        <c:ser>
          <c:idx val="9"/>
          <c:order val="9"/>
          <c:tx>
            <c:strRef>
              <c:f>PGLOBAL!$AF$234</c:f>
              <c:strCache>
                <c:ptCount val="1"/>
                <c:pt idx="0">
                  <c:v>2025</c:v>
                </c:pt>
              </c:strCache>
            </c:strRef>
          </c:tx>
          <c:val>
            <c:numRef>
              <c:f>PGLOBAL!$AF$236:$AF$241</c:f>
              <c:numCache>
                <c:formatCode>0</c:formatCode>
                <c:ptCount val="6"/>
                <c:pt idx="0" formatCode="General">
                  <c:v>269</c:v>
                </c:pt>
                <c:pt idx="1">
                  <c:v>268</c:v>
                </c:pt>
                <c:pt idx="2">
                  <c:v>278</c:v>
                </c:pt>
                <c:pt idx="3">
                  <c:v>273</c:v>
                </c:pt>
                <c:pt idx="4">
                  <c:v>280</c:v>
                </c:pt>
                <c:pt idx="5">
                  <c:v>273</c:v>
                </c:pt>
              </c:numCache>
            </c:numRef>
          </c:val>
          <c:extLst>
            <c:ext xmlns:c15="http://schemas.microsoft.com/office/drawing/2012/chart" uri="{02D57815-91ED-43cb-92C2-25804820EDAC}">
              <c15:filteredCategoryTitle>
                <c15:cat>
                  <c:strRef>
                    <c:extLst>
                      <c:ext uri="{02D57815-91ED-43cb-92C2-25804820EDAC}">
                        <c15:formulaRef>
                          <c15:sqref>PGLOBAL!$V$236:$V$241</c15:sqref>
                        </c15:formulaRef>
                      </c:ext>
                    </c:extLst>
                    <c:strCache>
                      <c:ptCount val="6"/>
                      <c:pt idx="0">
                        <c:v>COMUNA 1</c:v>
                      </c:pt>
                      <c:pt idx="1">
                        <c:v>COMUNA 2</c:v>
                      </c:pt>
                      <c:pt idx="2">
                        <c:v>COMUNA 3</c:v>
                      </c:pt>
                      <c:pt idx="3">
                        <c:v>COMUNA 4</c:v>
                      </c:pt>
                      <c:pt idx="4">
                        <c:v>COMUNA 5</c:v>
                      </c:pt>
                      <c:pt idx="5">
                        <c:v>COMUNA 6</c:v>
                      </c:pt>
                    </c:strCache>
                  </c:strRef>
                </c15:cat>
              </c15:filteredCategoryTitle>
            </c:ext>
            <c:ext xmlns:c16="http://schemas.microsoft.com/office/drawing/2014/chart" uri="{C3380CC4-5D6E-409C-BE32-E72D297353CC}">
              <c16:uniqueId val="{00000000-C9ED-4697-A383-6C0A80E7855C}"/>
            </c:ext>
          </c:extLst>
        </c:ser>
        <c:dLbls>
          <c:showLegendKey val="0"/>
          <c:showVal val="0"/>
          <c:showCatName val="0"/>
          <c:showSerName val="0"/>
          <c:showPercent val="0"/>
          <c:showBubbleSize val="0"/>
        </c:dLbls>
        <c:axId val="100987648"/>
        <c:axId val="100989184"/>
      </c:radarChart>
      <c:catAx>
        <c:axId val="100987648"/>
        <c:scaling>
          <c:orientation val="minMax"/>
        </c:scaling>
        <c:delete val="0"/>
        <c:axPos val="b"/>
        <c:majorGridlines/>
        <c:numFmt formatCode="General" sourceLinked="0"/>
        <c:majorTickMark val="none"/>
        <c:minorTickMark val="none"/>
        <c:tickLblPos val="nextTo"/>
        <c:spPr>
          <a:ln w="9525">
            <a:noFill/>
          </a:ln>
        </c:spPr>
        <c:crossAx val="100989184"/>
        <c:crosses val="autoZero"/>
        <c:auto val="1"/>
        <c:lblAlgn val="ctr"/>
        <c:lblOffset val="100"/>
        <c:noMultiLvlLbl val="0"/>
      </c:catAx>
      <c:valAx>
        <c:axId val="100989184"/>
        <c:scaling>
          <c:orientation val="minMax"/>
          <c:max val="280"/>
          <c:min val="240"/>
        </c:scaling>
        <c:delete val="0"/>
        <c:axPos val="l"/>
        <c:majorGridlines/>
        <c:numFmt formatCode="0" sourceLinked="1"/>
        <c:majorTickMark val="none"/>
        <c:minorTickMark val="none"/>
        <c:tickLblPos val="nextTo"/>
        <c:crossAx val="100987648"/>
        <c:crosses val="autoZero"/>
        <c:crossBetween val="between"/>
      </c:valAx>
    </c:plotArea>
    <c:legend>
      <c:legendPos val="r"/>
      <c:overlay val="0"/>
    </c:legend>
    <c:plotVisOnly val="1"/>
    <c:dispBlanksAs val="gap"/>
    <c:showDLblsOverMax val="0"/>
  </c:chart>
  <c:txPr>
    <a:bodyPr/>
    <a:lstStyle/>
    <a:p>
      <a:pPr>
        <a:defRPr>
          <a:latin typeface="+mn-lt"/>
          <a:cs typeface="Arial" panose="020B0604020202020204" pitchFamily="34" charset="0"/>
        </a:defRPr>
      </a:pPr>
      <a:endParaRPr lang="es-CO"/>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s-CO" sz="1400"/>
              <a:t>Porcentaje de Respuestas Incorrectas </a:t>
            </a:r>
          </a:p>
          <a:p>
            <a:pPr marL="0" marR="0" lvl="0" indent="0" algn="ctr" defTabSz="914400" rtl="0" eaLnBrk="1" fontAlgn="auto" latinLnBrk="0" hangingPunct="1">
              <a:lnSpc>
                <a:spcPct val="100000"/>
              </a:lnSpc>
              <a:spcBef>
                <a:spcPts val="0"/>
              </a:spcBef>
              <a:spcAft>
                <a:spcPts val="0"/>
              </a:spcAft>
              <a:buClrTx/>
              <a:buSzTx/>
              <a:buFontTx/>
              <a:buNone/>
              <a:tabLst/>
              <a:defRPr>
                <a:solidFill>
                  <a:sysClr val="windowText" lastClr="000000">
                    <a:lumMod val="65000"/>
                    <a:lumOff val="35000"/>
                  </a:sysClr>
                </a:solidFill>
              </a:defRPr>
            </a:pPr>
            <a:r>
              <a:rPr lang="es-CO" sz="1400"/>
              <a:t>Instituciones</a:t>
            </a:r>
            <a:r>
              <a:rPr lang="es-CO" sz="1400" baseline="0"/>
              <a:t> Educativas Oficiales</a:t>
            </a:r>
          </a:p>
          <a:p>
            <a:pPr marL="0" marR="0" lvl="0" indent="0" algn="ctr" defTabSz="914400" rtl="0" eaLnBrk="1" fontAlgn="auto" latinLnBrk="0" hangingPunct="1">
              <a:lnSpc>
                <a:spcPct val="100000"/>
              </a:lnSpc>
              <a:spcBef>
                <a:spcPts val="0"/>
              </a:spcBef>
              <a:spcAft>
                <a:spcPts val="0"/>
              </a:spcAft>
              <a:buClrTx/>
              <a:buSzTx/>
              <a:buFontTx/>
              <a:buNone/>
              <a:tabLst/>
              <a:defRPr>
                <a:solidFill>
                  <a:sysClr val="windowText" lastClr="000000">
                    <a:lumMod val="65000"/>
                    <a:lumOff val="35000"/>
                  </a:sysClr>
                </a:solidFill>
              </a:defRPr>
            </a:pPr>
            <a:r>
              <a:rPr lang="es-CO" sz="1400" b="0" i="0" baseline="0">
                <a:effectLst/>
              </a:rPr>
              <a:t>Aprendizaje: Reflexiona</a:t>
            </a:r>
            <a:endParaRPr lang="es-CO" sz="1400">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es-CO"/>
        </a:p>
      </c:txPr>
    </c:title>
    <c:autoTitleDeleted val="0"/>
    <c:plotArea>
      <c:layout/>
      <c:barChart>
        <c:barDir val="col"/>
        <c:grouping val="clustered"/>
        <c:varyColors val="0"/>
        <c:ser>
          <c:idx val="0"/>
          <c:order val="0"/>
          <c:tx>
            <c:strRef>
              <c:f>LC!$E$339</c:f>
              <c:strCache>
                <c:ptCount val="1"/>
                <c:pt idx="0">
                  <c:v>COMUNA 1</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LC!$F$337:$N$337</c:f>
              <c:numCache>
                <c:formatCode>General</c:formatCode>
                <c:ptCount val="9"/>
                <c:pt idx="0">
                  <c:v>2016</c:v>
                </c:pt>
                <c:pt idx="1">
                  <c:v>2017</c:v>
                </c:pt>
                <c:pt idx="2">
                  <c:v>2018</c:v>
                </c:pt>
                <c:pt idx="3">
                  <c:v>2019</c:v>
                </c:pt>
                <c:pt idx="4">
                  <c:v>2020</c:v>
                </c:pt>
                <c:pt idx="5">
                  <c:v>2021</c:v>
                </c:pt>
                <c:pt idx="6">
                  <c:v>2022</c:v>
                </c:pt>
                <c:pt idx="7">
                  <c:v>2023</c:v>
                </c:pt>
                <c:pt idx="8">
                  <c:v>2024</c:v>
                </c:pt>
              </c:numCache>
            </c:numRef>
          </c:cat>
          <c:val>
            <c:numRef>
              <c:f>LC!$F$339:$N$339</c:f>
              <c:numCache>
                <c:formatCode>0%</c:formatCode>
                <c:ptCount val="9"/>
                <c:pt idx="0">
                  <c:v>0.55000000000000004</c:v>
                </c:pt>
                <c:pt idx="1">
                  <c:v>0.45249999999999996</c:v>
                </c:pt>
                <c:pt idx="2">
                  <c:v>0.505</c:v>
                </c:pt>
                <c:pt idx="3">
                  <c:v>0.41500000000000004</c:v>
                </c:pt>
                <c:pt idx="4">
                  <c:v>0.35499999999999998</c:v>
                </c:pt>
                <c:pt idx="5">
                  <c:v>0.54749999999999999</c:v>
                </c:pt>
                <c:pt idx="6">
                  <c:v>0.45599999999999996</c:v>
                </c:pt>
                <c:pt idx="7">
                  <c:v>0.51400000000000001</c:v>
                </c:pt>
                <c:pt idx="8">
                  <c:v>0.36199999999999999</c:v>
                </c:pt>
              </c:numCache>
            </c:numRef>
          </c:val>
          <c:extLst>
            <c:ext xmlns:c16="http://schemas.microsoft.com/office/drawing/2014/chart" uri="{C3380CC4-5D6E-409C-BE32-E72D297353CC}">
              <c16:uniqueId val="{00000000-832F-40FF-9F7E-4F3C513D7585}"/>
            </c:ext>
          </c:extLst>
        </c:ser>
        <c:ser>
          <c:idx val="1"/>
          <c:order val="1"/>
          <c:tx>
            <c:strRef>
              <c:f>LC!$E$340</c:f>
              <c:strCache>
                <c:ptCount val="1"/>
                <c:pt idx="0">
                  <c:v>COMUNA 2</c:v>
                </c:pt>
              </c:strCache>
            </c:strRef>
          </c:tx>
          <c:spPr>
            <a:solidFill>
              <a:schemeClr val="accent2"/>
            </a:solidFill>
            <a:ln>
              <a:noFill/>
            </a:ln>
            <a:effectLst/>
          </c:spPr>
          <c:invertIfNegative val="0"/>
          <c:cat>
            <c:numRef>
              <c:f>LC!$F$337:$N$337</c:f>
              <c:numCache>
                <c:formatCode>General</c:formatCode>
                <c:ptCount val="9"/>
                <c:pt idx="0">
                  <c:v>2016</c:v>
                </c:pt>
                <c:pt idx="1">
                  <c:v>2017</c:v>
                </c:pt>
                <c:pt idx="2">
                  <c:v>2018</c:v>
                </c:pt>
                <c:pt idx="3">
                  <c:v>2019</c:v>
                </c:pt>
                <c:pt idx="4">
                  <c:v>2020</c:v>
                </c:pt>
                <c:pt idx="5">
                  <c:v>2021</c:v>
                </c:pt>
                <c:pt idx="6">
                  <c:v>2022</c:v>
                </c:pt>
                <c:pt idx="7">
                  <c:v>2023</c:v>
                </c:pt>
                <c:pt idx="8">
                  <c:v>2024</c:v>
                </c:pt>
              </c:numCache>
            </c:numRef>
          </c:cat>
          <c:val>
            <c:numRef>
              <c:f>LC!$F$340:$N$340</c:f>
              <c:numCache>
                <c:formatCode>0%</c:formatCode>
                <c:ptCount val="9"/>
                <c:pt idx="0">
                  <c:v>0.54499999999999993</c:v>
                </c:pt>
                <c:pt idx="1">
                  <c:v>0.47499999999999998</c:v>
                </c:pt>
                <c:pt idx="2">
                  <c:v>0.505</c:v>
                </c:pt>
                <c:pt idx="3">
                  <c:v>0.42</c:v>
                </c:pt>
                <c:pt idx="4">
                  <c:v>0.36</c:v>
                </c:pt>
                <c:pt idx="5">
                  <c:v>0.55000000000000004</c:v>
                </c:pt>
                <c:pt idx="6">
                  <c:v>0.45499999999999996</c:v>
                </c:pt>
                <c:pt idx="7">
                  <c:v>0.4975</c:v>
                </c:pt>
                <c:pt idx="8">
                  <c:v>0.33499999999999996</c:v>
                </c:pt>
              </c:numCache>
            </c:numRef>
          </c:val>
          <c:extLst>
            <c:ext xmlns:c16="http://schemas.microsoft.com/office/drawing/2014/chart" uri="{C3380CC4-5D6E-409C-BE32-E72D297353CC}">
              <c16:uniqueId val="{00000001-832F-40FF-9F7E-4F3C513D7585}"/>
            </c:ext>
          </c:extLst>
        </c:ser>
        <c:ser>
          <c:idx val="2"/>
          <c:order val="2"/>
          <c:tx>
            <c:strRef>
              <c:f>LC!$E$341</c:f>
              <c:strCache>
                <c:ptCount val="1"/>
                <c:pt idx="0">
                  <c:v>COMUNA 3</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LC!$F$337:$N$337</c:f>
              <c:numCache>
                <c:formatCode>General</c:formatCode>
                <c:ptCount val="9"/>
                <c:pt idx="0">
                  <c:v>2016</c:v>
                </c:pt>
                <c:pt idx="1">
                  <c:v>2017</c:v>
                </c:pt>
                <c:pt idx="2">
                  <c:v>2018</c:v>
                </c:pt>
                <c:pt idx="3">
                  <c:v>2019</c:v>
                </c:pt>
                <c:pt idx="4">
                  <c:v>2020</c:v>
                </c:pt>
                <c:pt idx="5">
                  <c:v>2021</c:v>
                </c:pt>
                <c:pt idx="6">
                  <c:v>2022</c:v>
                </c:pt>
                <c:pt idx="7">
                  <c:v>2023</c:v>
                </c:pt>
                <c:pt idx="8">
                  <c:v>2024</c:v>
                </c:pt>
              </c:numCache>
            </c:numRef>
          </c:cat>
          <c:val>
            <c:numRef>
              <c:f>LC!$F$341:$N$341</c:f>
              <c:numCache>
                <c:formatCode>0%</c:formatCode>
                <c:ptCount val="9"/>
                <c:pt idx="0">
                  <c:v>0.53800000000000003</c:v>
                </c:pt>
                <c:pt idx="1">
                  <c:v>0.46600000000000003</c:v>
                </c:pt>
                <c:pt idx="2">
                  <c:v>0.504</c:v>
                </c:pt>
                <c:pt idx="3">
                  <c:v>0.42599999999999999</c:v>
                </c:pt>
                <c:pt idx="4">
                  <c:v>0.37799999999999995</c:v>
                </c:pt>
                <c:pt idx="5">
                  <c:v>0.54600000000000004</c:v>
                </c:pt>
                <c:pt idx="6">
                  <c:v>0.44</c:v>
                </c:pt>
                <c:pt idx="7">
                  <c:v>0.4916666666666667</c:v>
                </c:pt>
                <c:pt idx="8">
                  <c:v>0.34333333333333332</c:v>
                </c:pt>
              </c:numCache>
            </c:numRef>
          </c:val>
          <c:extLst>
            <c:ext xmlns:c16="http://schemas.microsoft.com/office/drawing/2014/chart" uri="{C3380CC4-5D6E-409C-BE32-E72D297353CC}">
              <c16:uniqueId val="{00000002-832F-40FF-9F7E-4F3C513D7585}"/>
            </c:ext>
          </c:extLst>
        </c:ser>
        <c:ser>
          <c:idx val="3"/>
          <c:order val="3"/>
          <c:tx>
            <c:strRef>
              <c:f>LC!$E$342</c:f>
              <c:strCache>
                <c:ptCount val="1"/>
                <c:pt idx="0">
                  <c:v>COMUNA 4</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LC!$F$337:$N$337</c:f>
              <c:numCache>
                <c:formatCode>General</c:formatCode>
                <c:ptCount val="9"/>
                <c:pt idx="0">
                  <c:v>2016</c:v>
                </c:pt>
                <c:pt idx="1">
                  <c:v>2017</c:v>
                </c:pt>
                <c:pt idx="2">
                  <c:v>2018</c:v>
                </c:pt>
                <c:pt idx="3">
                  <c:v>2019</c:v>
                </c:pt>
                <c:pt idx="4">
                  <c:v>2020</c:v>
                </c:pt>
                <c:pt idx="5">
                  <c:v>2021</c:v>
                </c:pt>
                <c:pt idx="6">
                  <c:v>2022</c:v>
                </c:pt>
                <c:pt idx="7">
                  <c:v>2023</c:v>
                </c:pt>
                <c:pt idx="8">
                  <c:v>2024</c:v>
                </c:pt>
              </c:numCache>
            </c:numRef>
          </c:cat>
          <c:val>
            <c:numRef>
              <c:f>LC!$F$342:$N$342</c:f>
              <c:numCache>
                <c:formatCode>0%</c:formatCode>
                <c:ptCount val="9"/>
                <c:pt idx="0">
                  <c:v>0.61833333333333329</c:v>
                </c:pt>
                <c:pt idx="1">
                  <c:v>0.52166666666666661</c:v>
                </c:pt>
                <c:pt idx="2">
                  <c:v>0.55333333333333334</c:v>
                </c:pt>
                <c:pt idx="3">
                  <c:v>0.47499999999999992</c:v>
                </c:pt>
                <c:pt idx="4">
                  <c:v>0.4316666666666667</c:v>
                </c:pt>
                <c:pt idx="5">
                  <c:v>0.59499999999999997</c:v>
                </c:pt>
                <c:pt idx="6">
                  <c:v>0.52</c:v>
                </c:pt>
                <c:pt idx="7">
                  <c:v>0.57666666666666666</c:v>
                </c:pt>
                <c:pt idx="8">
                  <c:v>0.435</c:v>
                </c:pt>
              </c:numCache>
            </c:numRef>
          </c:val>
          <c:extLst>
            <c:ext xmlns:c16="http://schemas.microsoft.com/office/drawing/2014/chart" uri="{C3380CC4-5D6E-409C-BE32-E72D297353CC}">
              <c16:uniqueId val="{00000003-832F-40FF-9F7E-4F3C513D7585}"/>
            </c:ext>
          </c:extLst>
        </c:ser>
        <c:ser>
          <c:idx val="4"/>
          <c:order val="4"/>
          <c:tx>
            <c:strRef>
              <c:f>LC!$E$343</c:f>
              <c:strCache>
                <c:ptCount val="1"/>
                <c:pt idx="0">
                  <c:v>COMUNA 5</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LC!$F$337:$N$337</c:f>
              <c:numCache>
                <c:formatCode>General</c:formatCode>
                <c:ptCount val="9"/>
                <c:pt idx="0">
                  <c:v>2016</c:v>
                </c:pt>
                <c:pt idx="1">
                  <c:v>2017</c:v>
                </c:pt>
                <c:pt idx="2">
                  <c:v>2018</c:v>
                </c:pt>
                <c:pt idx="3">
                  <c:v>2019</c:v>
                </c:pt>
                <c:pt idx="4">
                  <c:v>2020</c:v>
                </c:pt>
                <c:pt idx="5">
                  <c:v>2021</c:v>
                </c:pt>
                <c:pt idx="6">
                  <c:v>2022</c:v>
                </c:pt>
                <c:pt idx="7">
                  <c:v>2023</c:v>
                </c:pt>
                <c:pt idx="8">
                  <c:v>2024</c:v>
                </c:pt>
              </c:numCache>
            </c:numRef>
          </c:cat>
          <c:val>
            <c:numRef>
              <c:f>LC!$F$343:$N$343</c:f>
              <c:numCache>
                <c:formatCode>0%</c:formatCode>
                <c:ptCount val="9"/>
                <c:pt idx="0">
                  <c:v>0.53500000000000003</c:v>
                </c:pt>
                <c:pt idx="1">
                  <c:v>0.48499999999999999</c:v>
                </c:pt>
                <c:pt idx="2">
                  <c:v>0.52500000000000002</c:v>
                </c:pt>
                <c:pt idx="3">
                  <c:v>0.43</c:v>
                </c:pt>
                <c:pt idx="4">
                  <c:v>0.36499999999999999</c:v>
                </c:pt>
                <c:pt idx="5">
                  <c:v>0.54500000000000004</c:v>
                </c:pt>
                <c:pt idx="6">
                  <c:v>0.44</c:v>
                </c:pt>
                <c:pt idx="7">
                  <c:v>0.5</c:v>
                </c:pt>
                <c:pt idx="8">
                  <c:v>0.30666666666666664</c:v>
                </c:pt>
              </c:numCache>
            </c:numRef>
          </c:val>
          <c:extLst>
            <c:ext xmlns:c16="http://schemas.microsoft.com/office/drawing/2014/chart" uri="{C3380CC4-5D6E-409C-BE32-E72D297353CC}">
              <c16:uniqueId val="{00000004-832F-40FF-9F7E-4F3C513D7585}"/>
            </c:ext>
          </c:extLst>
        </c:ser>
        <c:ser>
          <c:idx val="5"/>
          <c:order val="5"/>
          <c:tx>
            <c:strRef>
              <c:f>LC!$E$344</c:f>
              <c:strCache>
                <c:ptCount val="1"/>
                <c:pt idx="0">
                  <c:v>COMUNA 6</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LC!$F$337:$N$337</c:f>
              <c:numCache>
                <c:formatCode>General</c:formatCode>
                <c:ptCount val="9"/>
                <c:pt idx="0">
                  <c:v>2016</c:v>
                </c:pt>
                <c:pt idx="1">
                  <c:v>2017</c:v>
                </c:pt>
                <c:pt idx="2">
                  <c:v>2018</c:v>
                </c:pt>
                <c:pt idx="3">
                  <c:v>2019</c:v>
                </c:pt>
                <c:pt idx="4">
                  <c:v>2020</c:v>
                </c:pt>
                <c:pt idx="5">
                  <c:v>2021</c:v>
                </c:pt>
                <c:pt idx="6">
                  <c:v>2022</c:v>
                </c:pt>
                <c:pt idx="7">
                  <c:v>2023</c:v>
                </c:pt>
                <c:pt idx="8">
                  <c:v>2024</c:v>
                </c:pt>
              </c:numCache>
            </c:numRef>
          </c:cat>
          <c:val>
            <c:numRef>
              <c:f>LC!$F$344:$N$344</c:f>
              <c:numCache>
                <c:formatCode>0%</c:formatCode>
                <c:ptCount val="9"/>
                <c:pt idx="0">
                  <c:v>0.54666666666666652</c:v>
                </c:pt>
                <c:pt idx="1">
                  <c:v>0.49666666666666665</c:v>
                </c:pt>
                <c:pt idx="2">
                  <c:v>0.51333333333333331</c:v>
                </c:pt>
                <c:pt idx="3">
                  <c:v>0.43</c:v>
                </c:pt>
                <c:pt idx="4">
                  <c:v>0.38000000000000006</c:v>
                </c:pt>
                <c:pt idx="5">
                  <c:v>0.56666666666666676</c:v>
                </c:pt>
                <c:pt idx="6">
                  <c:v>0.46666666666666662</c:v>
                </c:pt>
                <c:pt idx="7">
                  <c:v>0.52333333333333332</c:v>
                </c:pt>
                <c:pt idx="8">
                  <c:v>0.36500000000000005</c:v>
                </c:pt>
              </c:numCache>
            </c:numRef>
          </c:val>
          <c:extLst>
            <c:ext xmlns:c16="http://schemas.microsoft.com/office/drawing/2014/chart" uri="{C3380CC4-5D6E-409C-BE32-E72D297353CC}">
              <c16:uniqueId val="{00000005-832F-40FF-9F7E-4F3C513D7585}"/>
            </c:ext>
          </c:extLst>
        </c:ser>
        <c:dLbls>
          <c:showLegendKey val="0"/>
          <c:showVal val="0"/>
          <c:showCatName val="0"/>
          <c:showSerName val="0"/>
          <c:showPercent val="0"/>
          <c:showBubbleSize val="0"/>
        </c:dLbls>
        <c:gapWidth val="150"/>
        <c:axId val="922625440"/>
        <c:axId val="922145264"/>
      </c:barChart>
      <c:catAx>
        <c:axId val="9226254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922145264"/>
        <c:crossesAt val="0"/>
        <c:auto val="1"/>
        <c:lblAlgn val="ctr"/>
        <c:lblOffset val="100"/>
        <c:noMultiLvlLbl val="0"/>
      </c:catAx>
      <c:valAx>
        <c:axId val="9221452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92262544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s-CO" sz="1400"/>
              <a:t>Porcentaje de Respuestas Incorrectas </a:t>
            </a:r>
          </a:p>
          <a:p>
            <a:pPr marL="0" marR="0" lvl="0" indent="0" algn="ctr" defTabSz="914400" rtl="0" eaLnBrk="1" fontAlgn="auto" latinLnBrk="0" hangingPunct="1">
              <a:lnSpc>
                <a:spcPct val="100000"/>
              </a:lnSpc>
              <a:spcBef>
                <a:spcPts val="0"/>
              </a:spcBef>
              <a:spcAft>
                <a:spcPts val="0"/>
              </a:spcAft>
              <a:buClrTx/>
              <a:buSzTx/>
              <a:buFontTx/>
              <a:buNone/>
              <a:tabLst/>
              <a:defRPr>
                <a:solidFill>
                  <a:sysClr val="windowText" lastClr="000000">
                    <a:lumMod val="65000"/>
                    <a:lumOff val="35000"/>
                  </a:sysClr>
                </a:solidFill>
              </a:defRPr>
            </a:pPr>
            <a:r>
              <a:rPr lang="es-CO" sz="1400"/>
              <a:t>Instituciones</a:t>
            </a:r>
            <a:r>
              <a:rPr lang="es-CO" sz="1400" baseline="0"/>
              <a:t> Educativas Privadas</a:t>
            </a:r>
          </a:p>
          <a:p>
            <a:pPr marL="0" marR="0" lvl="0" indent="0" algn="ctr" defTabSz="914400" rtl="0" eaLnBrk="1" fontAlgn="auto" latinLnBrk="0" hangingPunct="1">
              <a:lnSpc>
                <a:spcPct val="100000"/>
              </a:lnSpc>
              <a:spcBef>
                <a:spcPts val="0"/>
              </a:spcBef>
              <a:spcAft>
                <a:spcPts val="0"/>
              </a:spcAft>
              <a:buClrTx/>
              <a:buSzTx/>
              <a:buFontTx/>
              <a:buNone/>
              <a:tabLst/>
              <a:defRPr>
                <a:solidFill>
                  <a:sysClr val="windowText" lastClr="000000">
                    <a:lumMod val="65000"/>
                    <a:lumOff val="35000"/>
                  </a:sysClr>
                </a:solidFill>
              </a:defRPr>
            </a:pPr>
            <a:r>
              <a:rPr lang="es-CO" sz="1400" b="0" i="0" baseline="0">
                <a:effectLst/>
              </a:rPr>
              <a:t>Aprendizaje: Comprende </a:t>
            </a:r>
            <a:endParaRPr lang="es-CO" sz="1400">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es-CO"/>
        </a:p>
      </c:txPr>
    </c:title>
    <c:autoTitleDeleted val="0"/>
    <c:plotArea>
      <c:layout/>
      <c:barChart>
        <c:barDir val="col"/>
        <c:grouping val="clustered"/>
        <c:varyColors val="0"/>
        <c:ser>
          <c:idx val="0"/>
          <c:order val="0"/>
          <c:tx>
            <c:strRef>
              <c:f>LC!$E$351</c:f>
              <c:strCache>
                <c:ptCount val="1"/>
                <c:pt idx="0">
                  <c:v>COMUNA 1</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LC!$F$349:$N$349</c:f>
              <c:numCache>
                <c:formatCode>General</c:formatCode>
                <c:ptCount val="9"/>
                <c:pt idx="0">
                  <c:v>2016</c:v>
                </c:pt>
                <c:pt idx="1">
                  <c:v>2017</c:v>
                </c:pt>
                <c:pt idx="2">
                  <c:v>2018</c:v>
                </c:pt>
                <c:pt idx="3">
                  <c:v>2019</c:v>
                </c:pt>
                <c:pt idx="4">
                  <c:v>2020</c:v>
                </c:pt>
                <c:pt idx="5">
                  <c:v>2021</c:v>
                </c:pt>
                <c:pt idx="6">
                  <c:v>2022</c:v>
                </c:pt>
                <c:pt idx="7">
                  <c:v>2023</c:v>
                </c:pt>
                <c:pt idx="8">
                  <c:v>2024</c:v>
                </c:pt>
              </c:numCache>
            </c:numRef>
          </c:cat>
          <c:val>
            <c:numRef>
              <c:f>LC!$F$351:$N$351</c:f>
              <c:numCache>
                <c:formatCode>0%</c:formatCode>
                <c:ptCount val="9"/>
                <c:pt idx="0">
                  <c:v>0.47999999999999987</c:v>
                </c:pt>
                <c:pt idx="1">
                  <c:v>0.48833333333333334</c:v>
                </c:pt>
                <c:pt idx="2">
                  <c:v>0.44307692307692303</c:v>
                </c:pt>
                <c:pt idx="3">
                  <c:v>0.42</c:v>
                </c:pt>
                <c:pt idx="4">
                  <c:v>0.4646153846153846</c:v>
                </c:pt>
                <c:pt idx="5">
                  <c:v>0.42692307692307696</c:v>
                </c:pt>
                <c:pt idx="6">
                  <c:v>0.45461538461538453</c:v>
                </c:pt>
                <c:pt idx="7">
                  <c:v>0.34666666666666668</c:v>
                </c:pt>
                <c:pt idx="8">
                  <c:v>0.43000000000000005</c:v>
                </c:pt>
              </c:numCache>
            </c:numRef>
          </c:val>
          <c:extLst>
            <c:ext xmlns:c16="http://schemas.microsoft.com/office/drawing/2014/chart" uri="{C3380CC4-5D6E-409C-BE32-E72D297353CC}">
              <c16:uniqueId val="{00000000-91D3-498B-8D6C-D88AC112D61E}"/>
            </c:ext>
          </c:extLst>
        </c:ser>
        <c:ser>
          <c:idx val="1"/>
          <c:order val="1"/>
          <c:tx>
            <c:strRef>
              <c:f>LC!$E$352</c:f>
              <c:strCache>
                <c:ptCount val="1"/>
                <c:pt idx="0">
                  <c:v>COMUNA 2</c:v>
                </c:pt>
              </c:strCache>
            </c:strRef>
          </c:tx>
          <c:spPr>
            <a:solidFill>
              <a:schemeClr val="accent2"/>
            </a:solidFill>
            <a:ln>
              <a:noFill/>
            </a:ln>
            <a:effectLst/>
          </c:spPr>
          <c:invertIfNegative val="0"/>
          <c:cat>
            <c:numRef>
              <c:f>LC!$F$349:$N$349</c:f>
              <c:numCache>
                <c:formatCode>General</c:formatCode>
                <c:ptCount val="9"/>
                <c:pt idx="0">
                  <c:v>2016</c:v>
                </c:pt>
                <c:pt idx="1">
                  <c:v>2017</c:v>
                </c:pt>
                <c:pt idx="2">
                  <c:v>2018</c:v>
                </c:pt>
                <c:pt idx="3">
                  <c:v>2019</c:v>
                </c:pt>
                <c:pt idx="4">
                  <c:v>2020</c:v>
                </c:pt>
                <c:pt idx="5">
                  <c:v>2021</c:v>
                </c:pt>
                <c:pt idx="6">
                  <c:v>2022</c:v>
                </c:pt>
                <c:pt idx="7">
                  <c:v>2023</c:v>
                </c:pt>
                <c:pt idx="8">
                  <c:v>2024</c:v>
                </c:pt>
              </c:numCache>
            </c:numRef>
          </c:cat>
          <c:val>
            <c:numRef>
              <c:f>LC!$F$352:$N$352</c:f>
              <c:numCache>
                <c:formatCode>0%</c:formatCode>
                <c:ptCount val="9"/>
                <c:pt idx="0">
                  <c:v>0.45222222222222225</c:v>
                </c:pt>
                <c:pt idx="1">
                  <c:v>0.44588235294117651</c:v>
                </c:pt>
                <c:pt idx="2">
                  <c:v>0.41411764705882348</c:v>
                </c:pt>
                <c:pt idx="3">
                  <c:v>0.38777777777777783</c:v>
                </c:pt>
                <c:pt idx="4">
                  <c:v>0.43090909090909091</c:v>
                </c:pt>
                <c:pt idx="5">
                  <c:v>0.4335</c:v>
                </c:pt>
                <c:pt idx="6">
                  <c:v>0.42904761904761912</c:v>
                </c:pt>
                <c:pt idx="7">
                  <c:v>0.33681818181818185</c:v>
                </c:pt>
                <c:pt idx="8">
                  <c:v>0.37736842105263158</c:v>
                </c:pt>
              </c:numCache>
            </c:numRef>
          </c:val>
          <c:extLst>
            <c:ext xmlns:c16="http://schemas.microsoft.com/office/drawing/2014/chart" uri="{C3380CC4-5D6E-409C-BE32-E72D297353CC}">
              <c16:uniqueId val="{00000001-91D3-498B-8D6C-D88AC112D61E}"/>
            </c:ext>
          </c:extLst>
        </c:ser>
        <c:ser>
          <c:idx val="2"/>
          <c:order val="2"/>
          <c:tx>
            <c:strRef>
              <c:f>LC!$E$353</c:f>
              <c:strCache>
                <c:ptCount val="1"/>
                <c:pt idx="0">
                  <c:v>COMUNA 3</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LC!$F$349:$N$349</c:f>
              <c:numCache>
                <c:formatCode>General</c:formatCode>
                <c:ptCount val="9"/>
                <c:pt idx="0">
                  <c:v>2016</c:v>
                </c:pt>
                <c:pt idx="1">
                  <c:v>2017</c:v>
                </c:pt>
                <c:pt idx="2">
                  <c:v>2018</c:v>
                </c:pt>
                <c:pt idx="3">
                  <c:v>2019</c:v>
                </c:pt>
                <c:pt idx="4">
                  <c:v>2020</c:v>
                </c:pt>
                <c:pt idx="5">
                  <c:v>2021</c:v>
                </c:pt>
                <c:pt idx="6">
                  <c:v>2022</c:v>
                </c:pt>
                <c:pt idx="7">
                  <c:v>2023</c:v>
                </c:pt>
                <c:pt idx="8">
                  <c:v>2024</c:v>
                </c:pt>
              </c:numCache>
            </c:numRef>
          </c:cat>
          <c:val>
            <c:numRef>
              <c:f>LC!$F$353:$N$353</c:f>
              <c:numCache>
                <c:formatCode>0%</c:formatCode>
                <c:ptCount val="9"/>
                <c:pt idx="0">
                  <c:v>0.46384615384615385</c:v>
                </c:pt>
                <c:pt idx="1">
                  <c:v>0.44857142857142851</c:v>
                </c:pt>
                <c:pt idx="2">
                  <c:v>0.39785714285714296</c:v>
                </c:pt>
                <c:pt idx="3">
                  <c:v>0.39357142857142863</c:v>
                </c:pt>
                <c:pt idx="4">
                  <c:v>0.4386666666666667</c:v>
                </c:pt>
                <c:pt idx="5">
                  <c:v>0.4</c:v>
                </c:pt>
                <c:pt idx="6">
                  <c:v>0.42000000000000004</c:v>
                </c:pt>
                <c:pt idx="7">
                  <c:v>0.33187499999999998</c:v>
                </c:pt>
                <c:pt idx="8">
                  <c:v>0.40500000000000008</c:v>
                </c:pt>
              </c:numCache>
            </c:numRef>
          </c:val>
          <c:extLst>
            <c:ext xmlns:c16="http://schemas.microsoft.com/office/drawing/2014/chart" uri="{C3380CC4-5D6E-409C-BE32-E72D297353CC}">
              <c16:uniqueId val="{00000002-91D3-498B-8D6C-D88AC112D61E}"/>
            </c:ext>
          </c:extLst>
        </c:ser>
        <c:ser>
          <c:idx val="3"/>
          <c:order val="3"/>
          <c:tx>
            <c:strRef>
              <c:f>LC!$E$354</c:f>
              <c:strCache>
                <c:ptCount val="1"/>
                <c:pt idx="0">
                  <c:v>COMUNA 4</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LC!$F$349:$N$349</c:f>
              <c:numCache>
                <c:formatCode>General</c:formatCode>
                <c:ptCount val="9"/>
                <c:pt idx="0">
                  <c:v>2016</c:v>
                </c:pt>
                <c:pt idx="1">
                  <c:v>2017</c:v>
                </c:pt>
                <c:pt idx="2">
                  <c:v>2018</c:v>
                </c:pt>
                <c:pt idx="3">
                  <c:v>2019</c:v>
                </c:pt>
                <c:pt idx="4">
                  <c:v>2020</c:v>
                </c:pt>
                <c:pt idx="5">
                  <c:v>2021</c:v>
                </c:pt>
                <c:pt idx="6">
                  <c:v>2022</c:v>
                </c:pt>
                <c:pt idx="7">
                  <c:v>2023</c:v>
                </c:pt>
                <c:pt idx="8">
                  <c:v>2024</c:v>
                </c:pt>
              </c:numCache>
            </c:numRef>
          </c:cat>
          <c:val>
            <c:numRef>
              <c:f>LC!$F$354:$N$354</c:f>
              <c:numCache>
                <c:formatCode>0%</c:formatCode>
                <c:ptCount val="9"/>
                <c:pt idx="0">
                  <c:v>0.52124999999999999</c:v>
                </c:pt>
                <c:pt idx="1">
                  <c:v>0.44375000000000003</c:v>
                </c:pt>
                <c:pt idx="2">
                  <c:v>0.4022222222222222</c:v>
                </c:pt>
                <c:pt idx="3">
                  <c:v>0.39999999999999997</c:v>
                </c:pt>
                <c:pt idx="4">
                  <c:v>0.48857142857142855</c:v>
                </c:pt>
                <c:pt idx="5">
                  <c:v>0.43875000000000003</c:v>
                </c:pt>
                <c:pt idx="6">
                  <c:v>0.44624999999999998</c:v>
                </c:pt>
                <c:pt idx="7">
                  <c:v>0.4022222222222222</c:v>
                </c:pt>
                <c:pt idx="8">
                  <c:v>0.42285714285714288</c:v>
                </c:pt>
              </c:numCache>
            </c:numRef>
          </c:val>
          <c:extLst>
            <c:ext xmlns:c16="http://schemas.microsoft.com/office/drawing/2014/chart" uri="{C3380CC4-5D6E-409C-BE32-E72D297353CC}">
              <c16:uniqueId val="{00000003-91D3-498B-8D6C-D88AC112D61E}"/>
            </c:ext>
          </c:extLst>
        </c:ser>
        <c:ser>
          <c:idx val="4"/>
          <c:order val="4"/>
          <c:tx>
            <c:strRef>
              <c:f>LC!$E$355</c:f>
              <c:strCache>
                <c:ptCount val="1"/>
                <c:pt idx="0">
                  <c:v>COMUNA 5</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LC!$F$349:$N$349</c:f>
              <c:numCache>
                <c:formatCode>General</c:formatCode>
                <c:ptCount val="9"/>
                <c:pt idx="0">
                  <c:v>2016</c:v>
                </c:pt>
                <c:pt idx="1">
                  <c:v>2017</c:v>
                </c:pt>
                <c:pt idx="2">
                  <c:v>2018</c:v>
                </c:pt>
                <c:pt idx="3">
                  <c:v>2019</c:v>
                </c:pt>
                <c:pt idx="4">
                  <c:v>2020</c:v>
                </c:pt>
                <c:pt idx="5">
                  <c:v>2021</c:v>
                </c:pt>
                <c:pt idx="6">
                  <c:v>2022</c:v>
                </c:pt>
                <c:pt idx="7">
                  <c:v>2023</c:v>
                </c:pt>
                <c:pt idx="8">
                  <c:v>2024</c:v>
                </c:pt>
              </c:numCache>
            </c:numRef>
          </c:cat>
          <c:val>
            <c:numRef>
              <c:f>LC!$F$355:$N$355</c:f>
              <c:numCache>
                <c:formatCode>0%</c:formatCode>
                <c:ptCount val="9"/>
                <c:pt idx="0">
                  <c:v>0.43200000000000005</c:v>
                </c:pt>
                <c:pt idx="1">
                  <c:v>0.426875</c:v>
                </c:pt>
                <c:pt idx="2">
                  <c:v>0.38750000000000001</c:v>
                </c:pt>
                <c:pt idx="3">
                  <c:v>0.36941176470588233</c:v>
                </c:pt>
                <c:pt idx="4">
                  <c:v>0.42250000000000004</c:v>
                </c:pt>
                <c:pt idx="5">
                  <c:v>0.38500000000000001</c:v>
                </c:pt>
                <c:pt idx="6">
                  <c:v>0.40599999999999992</c:v>
                </c:pt>
                <c:pt idx="7">
                  <c:v>0.30000000000000004</c:v>
                </c:pt>
                <c:pt idx="8">
                  <c:v>0.40266666666666673</c:v>
                </c:pt>
              </c:numCache>
            </c:numRef>
          </c:val>
          <c:extLst>
            <c:ext xmlns:c16="http://schemas.microsoft.com/office/drawing/2014/chart" uri="{C3380CC4-5D6E-409C-BE32-E72D297353CC}">
              <c16:uniqueId val="{00000004-91D3-498B-8D6C-D88AC112D61E}"/>
            </c:ext>
          </c:extLst>
        </c:ser>
        <c:ser>
          <c:idx val="5"/>
          <c:order val="5"/>
          <c:tx>
            <c:strRef>
              <c:f>LC!$E$356</c:f>
              <c:strCache>
                <c:ptCount val="1"/>
                <c:pt idx="0">
                  <c:v>COMUNA 6</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LC!$F$349:$N$349</c:f>
              <c:numCache>
                <c:formatCode>General</c:formatCode>
                <c:ptCount val="9"/>
                <c:pt idx="0">
                  <c:v>2016</c:v>
                </c:pt>
                <c:pt idx="1">
                  <c:v>2017</c:v>
                </c:pt>
                <c:pt idx="2">
                  <c:v>2018</c:v>
                </c:pt>
                <c:pt idx="3">
                  <c:v>2019</c:v>
                </c:pt>
                <c:pt idx="4">
                  <c:v>2020</c:v>
                </c:pt>
                <c:pt idx="5">
                  <c:v>2021</c:v>
                </c:pt>
                <c:pt idx="6">
                  <c:v>2022</c:v>
                </c:pt>
                <c:pt idx="7">
                  <c:v>2023</c:v>
                </c:pt>
                <c:pt idx="8">
                  <c:v>2024</c:v>
                </c:pt>
              </c:numCache>
            </c:numRef>
          </c:cat>
          <c:val>
            <c:numRef>
              <c:f>LC!$F$356:$N$356</c:f>
              <c:numCache>
                <c:formatCode>0%</c:formatCode>
                <c:ptCount val="9"/>
                <c:pt idx="0">
                  <c:v>0.47250000000000009</c:v>
                </c:pt>
                <c:pt idx="1">
                  <c:v>0.47333333333333338</c:v>
                </c:pt>
                <c:pt idx="2">
                  <c:v>0.41727272727272724</c:v>
                </c:pt>
                <c:pt idx="3">
                  <c:v>0.40749999999999997</c:v>
                </c:pt>
                <c:pt idx="4">
                  <c:v>0.48928571428571427</c:v>
                </c:pt>
                <c:pt idx="5">
                  <c:v>0.44923076923076916</c:v>
                </c:pt>
                <c:pt idx="6">
                  <c:v>0.46250000000000002</c:v>
                </c:pt>
                <c:pt idx="7">
                  <c:v>0.3394117647058823</c:v>
                </c:pt>
                <c:pt idx="8">
                  <c:v>0.43142857142857144</c:v>
                </c:pt>
              </c:numCache>
            </c:numRef>
          </c:val>
          <c:extLst>
            <c:ext xmlns:c16="http://schemas.microsoft.com/office/drawing/2014/chart" uri="{C3380CC4-5D6E-409C-BE32-E72D297353CC}">
              <c16:uniqueId val="{00000005-91D3-498B-8D6C-D88AC112D61E}"/>
            </c:ext>
          </c:extLst>
        </c:ser>
        <c:dLbls>
          <c:showLegendKey val="0"/>
          <c:showVal val="0"/>
          <c:showCatName val="0"/>
          <c:showSerName val="0"/>
          <c:showPercent val="0"/>
          <c:showBubbleSize val="0"/>
        </c:dLbls>
        <c:gapWidth val="150"/>
        <c:axId val="922625440"/>
        <c:axId val="922145264"/>
      </c:barChart>
      <c:catAx>
        <c:axId val="9226254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922145264"/>
        <c:crossesAt val="0"/>
        <c:auto val="1"/>
        <c:lblAlgn val="ctr"/>
        <c:lblOffset val="100"/>
        <c:noMultiLvlLbl val="0"/>
      </c:catAx>
      <c:valAx>
        <c:axId val="9221452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92262544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s-CO" sz="1400"/>
              <a:t>Porcentaje de Respuestas Incorrectas </a:t>
            </a:r>
          </a:p>
          <a:p>
            <a:pPr marL="0" marR="0" lvl="0" indent="0" algn="ctr" defTabSz="914400" rtl="0" eaLnBrk="1" fontAlgn="auto" latinLnBrk="0" hangingPunct="1">
              <a:lnSpc>
                <a:spcPct val="100000"/>
              </a:lnSpc>
              <a:spcBef>
                <a:spcPts val="0"/>
              </a:spcBef>
              <a:spcAft>
                <a:spcPts val="0"/>
              </a:spcAft>
              <a:buClrTx/>
              <a:buSzTx/>
              <a:buFontTx/>
              <a:buNone/>
              <a:tabLst/>
              <a:defRPr>
                <a:solidFill>
                  <a:sysClr val="windowText" lastClr="000000">
                    <a:lumMod val="65000"/>
                    <a:lumOff val="35000"/>
                  </a:sysClr>
                </a:solidFill>
              </a:defRPr>
            </a:pPr>
            <a:r>
              <a:rPr lang="es-CO" sz="1400"/>
              <a:t>Instituciones</a:t>
            </a:r>
            <a:r>
              <a:rPr lang="es-CO" sz="1400" baseline="0"/>
              <a:t> Educativas Privadas</a:t>
            </a:r>
          </a:p>
          <a:p>
            <a:pPr marL="0" marR="0" lvl="0" indent="0" algn="ctr" defTabSz="914400" rtl="0" eaLnBrk="1" fontAlgn="auto" latinLnBrk="0" hangingPunct="1">
              <a:lnSpc>
                <a:spcPct val="100000"/>
              </a:lnSpc>
              <a:spcBef>
                <a:spcPts val="0"/>
              </a:spcBef>
              <a:spcAft>
                <a:spcPts val="0"/>
              </a:spcAft>
              <a:buClrTx/>
              <a:buSzTx/>
              <a:buFontTx/>
              <a:buNone/>
              <a:tabLst/>
              <a:defRPr>
                <a:solidFill>
                  <a:sysClr val="windowText" lastClr="000000">
                    <a:lumMod val="65000"/>
                    <a:lumOff val="35000"/>
                  </a:sysClr>
                </a:solidFill>
              </a:defRPr>
            </a:pPr>
            <a:r>
              <a:rPr lang="es-CO" sz="1400" b="0" i="0" baseline="0">
                <a:effectLst/>
              </a:rPr>
              <a:t>Aprendizaje: Identifica</a:t>
            </a:r>
            <a:endParaRPr lang="es-CO" sz="1400">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es-CO"/>
        </a:p>
      </c:txPr>
    </c:title>
    <c:autoTitleDeleted val="0"/>
    <c:plotArea>
      <c:layout/>
      <c:barChart>
        <c:barDir val="col"/>
        <c:grouping val="clustered"/>
        <c:varyColors val="0"/>
        <c:ser>
          <c:idx val="0"/>
          <c:order val="0"/>
          <c:tx>
            <c:strRef>
              <c:f>LC!$E$361</c:f>
              <c:strCache>
                <c:ptCount val="1"/>
                <c:pt idx="0">
                  <c:v>COMUNA 1</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LC!$F$359:$N$359</c:f>
              <c:numCache>
                <c:formatCode>General</c:formatCode>
                <c:ptCount val="9"/>
                <c:pt idx="0">
                  <c:v>2016</c:v>
                </c:pt>
                <c:pt idx="1">
                  <c:v>2017</c:v>
                </c:pt>
                <c:pt idx="2">
                  <c:v>2018</c:v>
                </c:pt>
                <c:pt idx="3">
                  <c:v>2019</c:v>
                </c:pt>
                <c:pt idx="4">
                  <c:v>2020</c:v>
                </c:pt>
                <c:pt idx="5">
                  <c:v>2021</c:v>
                </c:pt>
                <c:pt idx="6">
                  <c:v>2022</c:v>
                </c:pt>
                <c:pt idx="7">
                  <c:v>2023</c:v>
                </c:pt>
                <c:pt idx="8">
                  <c:v>2024</c:v>
                </c:pt>
              </c:numCache>
            </c:numRef>
          </c:cat>
          <c:val>
            <c:numRef>
              <c:f>LC!$F$361:$N$361</c:f>
              <c:numCache>
                <c:formatCode>0%</c:formatCode>
                <c:ptCount val="9"/>
                <c:pt idx="0">
                  <c:v>0.43461538461538463</c:v>
                </c:pt>
                <c:pt idx="1">
                  <c:v>0.45500000000000007</c:v>
                </c:pt>
                <c:pt idx="2">
                  <c:v>0.47000000000000003</c:v>
                </c:pt>
                <c:pt idx="3">
                  <c:v>0.36692307692307691</c:v>
                </c:pt>
                <c:pt idx="4">
                  <c:v>0.44153846153846155</c:v>
                </c:pt>
                <c:pt idx="5">
                  <c:v>0.31538461538461537</c:v>
                </c:pt>
                <c:pt idx="6">
                  <c:v>0.33076923076923076</c:v>
                </c:pt>
                <c:pt idx="7">
                  <c:v>0.45083333333333336</c:v>
                </c:pt>
                <c:pt idx="8">
                  <c:v>0.43454545454545462</c:v>
                </c:pt>
              </c:numCache>
            </c:numRef>
          </c:val>
          <c:extLst>
            <c:ext xmlns:c16="http://schemas.microsoft.com/office/drawing/2014/chart" uri="{C3380CC4-5D6E-409C-BE32-E72D297353CC}">
              <c16:uniqueId val="{00000000-D3CA-43BA-A806-5A32B765971A}"/>
            </c:ext>
          </c:extLst>
        </c:ser>
        <c:ser>
          <c:idx val="1"/>
          <c:order val="1"/>
          <c:tx>
            <c:strRef>
              <c:f>LC!$E$362</c:f>
              <c:strCache>
                <c:ptCount val="1"/>
                <c:pt idx="0">
                  <c:v>COMUNA 2</c:v>
                </c:pt>
              </c:strCache>
            </c:strRef>
          </c:tx>
          <c:spPr>
            <a:solidFill>
              <a:schemeClr val="accent2"/>
            </a:solidFill>
            <a:ln>
              <a:noFill/>
            </a:ln>
            <a:effectLst/>
          </c:spPr>
          <c:invertIfNegative val="0"/>
          <c:cat>
            <c:numRef>
              <c:f>LC!$F$359:$N$359</c:f>
              <c:numCache>
                <c:formatCode>General</c:formatCode>
                <c:ptCount val="9"/>
                <c:pt idx="0">
                  <c:v>2016</c:v>
                </c:pt>
                <c:pt idx="1">
                  <c:v>2017</c:v>
                </c:pt>
                <c:pt idx="2">
                  <c:v>2018</c:v>
                </c:pt>
                <c:pt idx="3">
                  <c:v>2019</c:v>
                </c:pt>
                <c:pt idx="4">
                  <c:v>2020</c:v>
                </c:pt>
                <c:pt idx="5">
                  <c:v>2021</c:v>
                </c:pt>
                <c:pt idx="6">
                  <c:v>2022</c:v>
                </c:pt>
                <c:pt idx="7">
                  <c:v>2023</c:v>
                </c:pt>
                <c:pt idx="8">
                  <c:v>2024</c:v>
                </c:pt>
              </c:numCache>
            </c:numRef>
          </c:cat>
          <c:val>
            <c:numRef>
              <c:f>LC!$F$362:$N$362</c:f>
              <c:numCache>
                <c:formatCode>0%</c:formatCode>
                <c:ptCount val="9"/>
                <c:pt idx="0">
                  <c:v>0.41055555555555551</c:v>
                </c:pt>
                <c:pt idx="1">
                  <c:v>0.40588235294117647</c:v>
                </c:pt>
                <c:pt idx="2">
                  <c:v>0.4629411764705883</c:v>
                </c:pt>
                <c:pt idx="3">
                  <c:v>0.33777777777777779</c:v>
                </c:pt>
                <c:pt idx="4">
                  <c:v>0.41636363636363638</c:v>
                </c:pt>
                <c:pt idx="5">
                  <c:v>0.33399999999999996</c:v>
                </c:pt>
                <c:pt idx="6">
                  <c:v>0.30285714285714282</c:v>
                </c:pt>
                <c:pt idx="7">
                  <c:v>0.43909090909090903</c:v>
                </c:pt>
                <c:pt idx="8">
                  <c:v>0.39105263157894743</c:v>
                </c:pt>
              </c:numCache>
            </c:numRef>
          </c:val>
          <c:extLst>
            <c:ext xmlns:c16="http://schemas.microsoft.com/office/drawing/2014/chart" uri="{C3380CC4-5D6E-409C-BE32-E72D297353CC}">
              <c16:uniqueId val="{00000001-D3CA-43BA-A806-5A32B765971A}"/>
            </c:ext>
          </c:extLst>
        </c:ser>
        <c:ser>
          <c:idx val="2"/>
          <c:order val="2"/>
          <c:tx>
            <c:strRef>
              <c:f>LC!$E$363</c:f>
              <c:strCache>
                <c:ptCount val="1"/>
                <c:pt idx="0">
                  <c:v>COMUNA 3</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LC!$F$359:$N$359</c:f>
              <c:numCache>
                <c:formatCode>General</c:formatCode>
                <c:ptCount val="9"/>
                <c:pt idx="0">
                  <c:v>2016</c:v>
                </c:pt>
                <c:pt idx="1">
                  <c:v>2017</c:v>
                </c:pt>
                <c:pt idx="2">
                  <c:v>2018</c:v>
                </c:pt>
                <c:pt idx="3">
                  <c:v>2019</c:v>
                </c:pt>
                <c:pt idx="4">
                  <c:v>2020</c:v>
                </c:pt>
                <c:pt idx="5">
                  <c:v>2021</c:v>
                </c:pt>
                <c:pt idx="6">
                  <c:v>2022</c:v>
                </c:pt>
                <c:pt idx="7">
                  <c:v>2023</c:v>
                </c:pt>
                <c:pt idx="8">
                  <c:v>2024</c:v>
                </c:pt>
              </c:numCache>
            </c:numRef>
          </c:cat>
          <c:val>
            <c:numRef>
              <c:f>LC!$F$363:$N$363</c:f>
              <c:numCache>
                <c:formatCode>0%</c:formatCode>
                <c:ptCount val="9"/>
                <c:pt idx="0">
                  <c:v>0.37769230769230772</c:v>
                </c:pt>
                <c:pt idx="1">
                  <c:v>0.41785714285714282</c:v>
                </c:pt>
                <c:pt idx="2">
                  <c:v>0.44928571428571429</c:v>
                </c:pt>
                <c:pt idx="3">
                  <c:v>0.33571428571428574</c:v>
                </c:pt>
                <c:pt idx="4">
                  <c:v>0.39466666666666667</c:v>
                </c:pt>
                <c:pt idx="5">
                  <c:v>0.31133333333333335</c:v>
                </c:pt>
                <c:pt idx="6">
                  <c:v>0.30874999999999997</c:v>
                </c:pt>
                <c:pt idx="7">
                  <c:v>0.43124999999999997</c:v>
                </c:pt>
                <c:pt idx="8">
                  <c:v>0.39812499999999995</c:v>
                </c:pt>
              </c:numCache>
            </c:numRef>
          </c:val>
          <c:extLst>
            <c:ext xmlns:c16="http://schemas.microsoft.com/office/drawing/2014/chart" uri="{C3380CC4-5D6E-409C-BE32-E72D297353CC}">
              <c16:uniqueId val="{00000002-D3CA-43BA-A806-5A32B765971A}"/>
            </c:ext>
          </c:extLst>
        </c:ser>
        <c:ser>
          <c:idx val="3"/>
          <c:order val="3"/>
          <c:tx>
            <c:strRef>
              <c:f>LC!$E$364</c:f>
              <c:strCache>
                <c:ptCount val="1"/>
                <c:pt idx="0">
                  <c:v>COMUNA 4</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LC!$F$359:$N$359</c:f>
              <c:numCache>
                <c:formatCode>General</c:formatCode>
                <c:ptCount val="9"/>
                <c:pt idx="0">
                  <c:v>2016</c:v>
                </c:pt>
                <c:pt idx="1">
                  <c:v>2017</c:v>
                </c:pt>
                <c:pt idx="2">
                  <c:v>2018</c:v>
                </c:pt>
                <c:pt idx="3">
                  <c:v>2019</c:v>
                </c:pt>
                <c:pt idx="4">
                  <c:v>2020</c:v>
                </c:pt>
                <c:pt idx="5">
                  <c:v>2021</c:v>
                </c:pt>
                <c:pt idx="6">
                  <c:v>2022</c:v>
                </c:pt>
                <c:pt idx="7">
                  <c:v>2023</c:v>
                </c:pt>
                <c:pt idx="8">
                  <c:v>2024</c:v>
                </c:pt>
              </c:numCache>
            </c:numRef>
          </c:cat>
          <c:val>
            <c:numRef>
              <c:f>LC!$F$364:$N$364</c:f>
              <c:numCache>
                <c:formatCode>0%</c:formatCode>
                <c:ptCount val="9"/>
                <c:pt idx="0">
                  <c:v>0.47125</c:v>
                </c:pt>
                <c:pt idx="1">
                  <c:v>0.40374999999999994</c:v>
                </c:pt>
                <c:pt idx="2">
                  <c:v>0.46888888888888886</c:v>
                </c:pt>
                <c:pt idx="3">
                  <c:v>0.37124999999999997</c:v>
                </c:pt>
                <c:pt idx="4">
                  <c:v>0.43857142857142856</c:v>
                </c:pt>
                <c:pt idx="5">
                  <c:v>0.35375000000000001</c:v>
                </c:pt>
                <c:pt idx="6">
                  <c:v>0.31874999999999998</c:v>
                </c:pt>
                <c:pt idx="7">
                  <c:v>0.49555555555555564</c:v>
                </c:pt>
                <c:pt idx="8">
                  <c:v>0.42571428571428566</c:v>
                </c:pt>
              </c:numCache>
            </c:numRef>
          </c:val>
          <c:extLst>
            <c:ext xmlns:c16="http://schemas.microsoft.com/office/drawing/2014/chart" uri="{C3380CC4-5D6E-409C-BE32-E72D297353CC}">
              <c16:uniqueId val="{00000003-D3CA-43BA-A806-5A32B765971A}"/>
            </c:ext>
          </c:extLst>
        </c:ser>
        <c:ser>
          <c:idx val="4"/>
          <c:order val="4"/>
          <c:tx>
            <c:strRef>
              <c:f>LC!$E$365</c:f>
              <c:strCache>
                <c:ptCount val="1"/>
                <c:pt idx="0">
                  <c:v>COMUNA 5</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LC!$F$359:$N$359</c:f>
              <c:numCache>
                <c:formatCode>General</c:formatCode>
                <c:ptCount val="9"/>
                <c:pt idx="0">
                  <c:v>2016</c:v>
                </c:pt>
                <c:pt idx="1">
                  <c:v>2017</c:v>
                </c:pt>
                <c:pt idx="2">
                  <c:v>2018</c:v>
                </c:pt>
                <c:pt idx="3">
                  <c:v>2019</c:v>
                </c:pt>
                <c:pt idx="4">
                  <c:v>2020</c:v>
                </c:pt>
                <c:pt idx="5">
                  <c:v>2021</c:v>
                </c:pt>
                <c:pt idx="6">
                  <c:v>2022</c:v>
                </c:pt>
                <c:pt idx="7">
                  <c:v>2023</c:v>
                </c:pt>
                <c:pt idx="8">
                  <c:v>2024</c:v>
                </c:pt>
              </c:numCache>
            </c:numRef>
          </c:cat>
          <c:val>
            <c:numRef>
              <c:f>LC!$F$365:$N$365</c:f>
              <c:numCache>
                <c:formatCode>0%</c:formatCode>
                <c:ptCount val="9"/>
                <c:pt idx="0">
                  <c:v>0.40666666666666668</c:v>
                </c:pt>
                <c:pt idx="1">
                  <c:v>0.36624999999999996</c:v>
                </c:pt>
                <c:pt idx="2">
                  <c:v>0.44874999999999998</c:v>
                </c:pt>
                <c:pt idx="3">
                  <c:v>0.32058823529411767</c:v>
                </c:pt>
                <c:pt idx="4">
                  <c:v>0.38500000000000001</c:v>
                </c:pt>
                <c:pt idx="5">
                  <c:v>0.29624999999999996</c:v>
                </c:pt>
                <c:pt idx="6">
                  <c:v>0.27333333333333332</c:v>
                </c:pt>
                <c:pt idx="7">
                  <c:v>0.40333333333333332</c:v>
                </c:pt>
                <c:pt idx="8">
                  <c:v>0.40866666666666668</c:v>
                </c:pt>
              </c:numCache>
            </c:numRef>
          </c:val>
          <c:extLst>
            <c:ext xmlns:c16="http://schemas.microsoft.com/office/drawing/2014/chart" uri="{C3380CC4-5D6E-409C-BE32-E72D297353CC}">
              <c16:uniqueId val="{00000004-D3CA-43BA-A806-5A32B765971A}"/>
            </c:ext>
          </c:extLst>
        </c:ser>
        <c:ser>
          <c:idx val="5"/>
          <c:order val="5"/>
          <c:tx>
            <c:strRef>
              <c:f>LC!$E$366</c:f>
              <c:strCache>
                <c:ptCount val="1"/>
                <c:pt idx="0">
                  <c:v>COMUNA 6</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LC!$F$359:$N$359</c:f>
              <c:numCache>
                <c:formatCode>General</c:formatCode>
                <c:ptCount val="9"/>
                <c:pt idx="0">
                  <c:v>2016</c:v>
                </c:pt>
                <c:pt idx="1">
                  <c:v>2017</c:v>
                </c:pt>
                <c:pt idx="2">
                  <c:v>2018</c:v>
                </c:pt>
                <c:pt idx="3">
                  <c:v>2019</c:v>
                </c:pt>
                <c:pt idx="4">
                  <c:v>2020</c:v>
                </c:pt>
                <c:pt idx="5">
                  <c:v>2021</c:v>
                </c:pt>
                <c:pt idx="6">
                  <c:v>2022</c:v>
                </c:pt>
                <c:pt idx="7">
                  <c:v>2023</c:v>
                </c:pt>
                <c:pt idx="8">
                  <c:v>2024</c:v>
                </c:pt>
              </c:numCache>
            </c:numRef>
          </c:cat>
          <c:val>
            <c:numRef>
              <c:f>LC!$F$366:$N$366</c:f>
              <c:numCache>
                <c:formatCode>0%</c:formatCode>
                <c:ptCount val="9"/>
                <c:pt idx="0">
                  <c:v>0.41749999999999998</c:v>
                </c:pt>
                <c:pt idx="1">
                  <c:v>0.44083333333333335</c:v>
                </c:pt>
                <c:pt idx="2">
                  <c:v>0.45818181818181808</c:v>
                </c:pt>
                <c:pt idx="3">
                  <c:v>0.35833333333333334</c:v>
                </c:pt>
                <c:pt idx="4">
                  <c:v>0.45357142857142863</c:v>
                </c:pt>
                <c:pt idx="5">
                  <c:v>0.32615384615384618</c:v>
                </c:pt>
                <c:pt idx="6">
                  <c:v>0.33937499999999998</c:v>
                </c:pt>
                <c:pt idx="7">
                  <c:v>0.43294117647058827</c:v>
                </c:pt>
                <c:pt idx="8">
                  <c:v>0.4107142857142857</c:v>
                </c:pt>
              </c:numCache>
            </c:numRef>
          </c:val>
          <c:extLst>
            <c:ext xmlns:c16="http://schemas.microsoft.com/office/drawing/2014/chart" uri="{C3380CC4-5D6E-409C-BE32-E72D297353CC}">
              <c16:uniqueId val="{00000005-D3CA-43BA-A806-5A32B765971A}"/>
            </c:ext>
          </c:extLst>
        </c:ser>
        <c:dLbls>
          <c:showLegendKey val="0"/>
          <c:showVal val="0"/>
          <c:showCatName val="0"/>
          <c:showSerName val="0"/>
          <c:showPercent val="0"/>
          <c:showBubbleSize val="0"/>
        </c:dLbls>
        <c:gapWidth val="150"/>
        <c:axId val="922625440"/>
        <c:axId val="922145264"/>
      </c:barChart>
      <c:catAx>
        <c:axId val="9226254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922145264"/>
        <c:crossesAt val="0"/>
        <c:auto val="1"/>
        <c:lblAlgn val="ctr"/>
        <c:lblOffset val="100"/>
        <c:noMultiLvlLbl val="0"/>
      </c:catAx>
      <c:valAx>
        <c:axId val="9221452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92262544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s-CO" sz="1400"/>
              <a:t>Porcentaje de Respuestas Incorrectas </a:t>
            </a:r>
          </a:p>
          <a:p>
            <a:pPr marL="0" marR="0" lvl="0" indent="0" algn="ctr" defTabSz="914400" rtl="0" eaLnBrk="1" fontAlgn="auto" latinLnBrk="0" hangingPunct="1">
              <a:lnSpc>
                <a:spcPct val="100000"/>
              </a:lnSpc>
              <a:spcBef>
                <a:spcPts val="0"/>
              </a:spcBef>
              <a:spcAft>
                <a:spcPts val="0"/>
              </a:spcAft>
              <a:buClrTx/>
              <a:buSzTx/>
              <a:buFontTx/>
              <a:buNone/>
              <a:tabLst/>
              <a:defRPr>
                <a:solidFill>
                  <a:sysClr val="windowText" lastClr="000000">
                    <a:lumMod val="65000"/>
                    <a:lumOff val="35000"/>
                  </a:sysClr>
                </a:solidFill>
              </a:defRPr>
            </a:pPr>
            <a:r>
              <a:rPr lang="es-CO" sz="1400"/>
              <a:t>Instituciones</a:t>
            </a:r>
            <a:r>
              <a:rPr lang="es-CO" sz="1400" baseline="0"/>
              <a:t> Educativas Privadas</a:t>
            </a:r>
          </a:p>
          <a:p>
            <a:pPr marL="0" marR="0" lvl="0" indent="0" algn="ctr" defTabSz="914400" rtl="0" eaLnBrk="1" fontAlgn="auto" latinLnBrk="0" hangingPunct="1">
              <a:lnSpc>
                <a:spcPct val="100000"/>
              </a:lnSpc>
              <a:spcBef>
                <a:spcPts val="0"/>
              </a:spcBef>
              <a:spcAft>
                <a:spcPts val="0"/>
              </a:spcAft>
              <a:buClrTx/>
              <a:buSzTx/>
              <a:buFontTx/>
              <a:buNone/>
              <a:tabLst/>
              <a:defRPr>
                <a:solidFill>
                  <a:sysClr val="windowText" lastClr="000000">
                    <a:lumMod val="65000"/>
                    <a:lumOff val="35000"/>
                  </a:sysClr>
                </a:solidFill>
              </a:defRPr>
            </a:pPr>
            <a:r>
              <a:rPr lang="es-CO" sz="1400" b="0" i="0" baseline="0">
                <a:effectLst/>
              </a:rPr>
              <a:t>Aprendizaje: Reflexiona</a:t>
            </a:r>
            <a:endParaRPr lang="es-CO" sz="1400">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es-CO"/>
        </a:p>
      </c:txPr>
    </c:title>
    <c:autoTitleDeleted val="0"/>
    <c:plotArea>
      <c:layout/>
      <c:barChart>
        <c:barDir val="col"/>
        <c:grouping val="clustered"/>
        <c:varyColors val="0"/>
        <c:ser>
          <c:idx val="0"/>
          <c:order val="0"/>
          <c:tx>
            <c:strRef>
              <c:f>LC!$E$371</c:f>
              <c:strCache>
                <c:ptCount val="1"/>
                <c:pt idx="0">
                  <c:v>COMUNA 1</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LC!$F$369:$N$369</c:f>
              <c:numCache>
                <c:formatCode>General</c:formatCode>
                <c:ptCount val="9"/>
                <c:pt idx="0">
                  <c:v>2016</c:v>
                </c:pt>
                <c:pt idx="1">
                  <c:v>2017</c:v>
                </c:pt>
                <c:pt idx="2">
                  <c:v>2018</c:v>
                </c:pt>
                <c:pt idx="3">
                  <c:v>2019</c:v>
                </c:pt>
                <c:pt idx="4">
                  <c:v>2020</c:v>
                </c:pt>
                <c:pt idx="5">
                  <c:v>2021</c:v>
                </c:pt>
                <c:pt idx="6">
                  <c:v>2022</c:v>
                </c:pt>
                <c:pt idx="7">
                  <c:v>2023</c:v>
                </c:pt>
                <c:pt idx="8">
                  <c:v>2024</c:v>
                </c:pt>
              </c:numCache>
            </c:numRef>
          </c:cat>
          <c:val>
            <c:numRef>
              <c:f>LC!$F$371:$N$371</c:f>
              <c:numCache>
                <c:formatCode>0%</c:formatCode>
                <c:ptCount val="9"/>
                <c:pt idx="0">
                  <c:v>0.56230769230769218</c:v>
                </c:pt>
                <c:pt idx="1">
                  <c:v>0.46999999999999992</c:v>
                </c:pt>
                <c:pt idx="2">
                  <c:v>0.49769230769230766</c:v>
                </c:pt>
                <c:pt idx="3">
                  <c:v>0.4284615384615385</c:v>
                </c:pt>
                <c:pt idx="4">
                  <c:v>0.36230769230769233</c:v>
                </c:pt>
                <c:pt idx="5">
                  <c:v>0.53307692307692311</c:v>
                </c:pt>
                <c:pt idx="6">
                  <c:v>0.4407692307692308</c:v>
                </c:pt>
                <c:pt idx="7">
                  <c:v>0.47916666666666669</c:v>
                </c:pt>
                <c:pt idx="8">
                  <c:v>0.31454545454545457</c:v>
                </c:pt>
              </c:numCache>
            </c:numRef>
          </c:val>
          <c:extLst>
            <c:ext xmlns:c16="http://schemas.microsoft.com/office/drawing/2014/chart" uri="{C3380CC4-5D6E-409C-BE32-E72D297353CC}">
              <c16:uniqueId val="{00000000-EBBE-4BFB-B2BE-22C68CDF1BFF}"/>
            </c:ext>
          </c:extLst>
        </c:ser>
        <c:ser>
          <c:idx val="1"/>
          <c:order val="1"/>
          <c:tx>
            <c:strRef>
              <c:f>LC!$E$372</c:f>
              <c:strCache>
                <c:ptCount val="1"/>
                <c:pt idx="0">
                  <c:v>COMUNA 2</c:v>
                </c:pt>
              </c:strCache>
            </c:strRef>
          </c:tx>
          <c:spPr>
            <a:solidFill>
              <a:schemeClr val="accent2"/>
            </a:solidFill>
            <a:ln>
              <a:noFill/>
            </a:ln>
            <a:effectLst/>
          </c:spPr>
          <c:invertIfNegative val="0"/>
          <c:cat>
            <c:numRef>
              <c:f>LC!$F$369:$N$369</c:f>
              <c:numCache>
                <c:formatCode>General</c:formatCode>
                <c:ptCount val="9"/>
                <c:pt idx="0">
                  <c:v>2016</c:v>
                </c:pt>
                <c:pt idx="1">
                  <c:v>2017</c:v>
                </c:pt>
                <c:pt idx="2">
                  <c:v>2018</c:v>
                </c:pt>
                <c:pt idx="3">
                  <c:v>2019</c:v>
                </c:pt>
                <c:pt idx="4">
                  <c:v>2020</c:v>
                </c:pt>
                <c:pt idx="5">
                  <c:v>2021</c:v>
                </c:pt>
                <c:pt idx="6">
                  <c:v>2022</c:v>
                </c:pt>
                <c:pt idx="7">
                  <c:v>2023</c:v>
                </c:pt>
                <c:pt idx="8">
                  <c:v>2024</c:v>
                </c:pt>
              </c:numCache>
            </c:numRef>
          </c:cat>
          <c:val>
            <c:numRef>
              <c:f>LC!$F$372:$N$372</c:f>
              <c:numCache>
                <c:formatCode>0%</c:formatCode>
                <c:ptCount val="9"/>
                <c:pt idx="0">
                  <c:v>0.50944444444444448</c:v>
                </c:pt>
                <c:pt idx="1">
                  <c:v>0.43882352941176472</c:v>
                </c:pt>
                <c:pt idx="2">
                  <c:v>0.47764705882352948</c:v>
                </c:pt>
                <c:pt idx="3">
                  <c:v>0.4284615384615385</c:v>
                </c:pt>
                <c:pt idx="4">
                  <c:v>0.36181818181818176</c:v>
                </c:pt>
                <c:pt idx="5">
                  <c:v>0.52500000000000013</c:v>
                </c:pt>
                <c:pt idx="6">
                  <c:v>0.38666666666666671</c:v>
                </c:pt>
                <c:pt idx="7">
                  <c:v>0.4413636363636364</c:v>
                </c:pt>
                <c:pt idx="8">
                  <c:v>0.28105263157894739</c:v>
                </c:pt>
              </c:numCache>
            </c:numRef>
          </c:val>
          <c:extLst>
            <c:ext xmlns:c16="http://schemas.microsoft.com/office/drawing/2014/chart" uri="{C3380CC4-5D6E-409C-BE32-E72D297353CC}">
              <c16:uniqueId val="{00000001-EBBE-4BFB-B2BE-22C68CDF1BFF}"/>
            </c:ext>
          </c:extLst>
        </c:ser>
        <c:ser>
          <c:idx val="2"/>
          <c:order val="2"/>
          <c:tx>
            <c:strRef>
              <c:f>LC!$E$373</c:f>
              <c:strCache>
                <c:ptCount val="1"/>
                <c:pt idx="0">
                  <c:v>COMUNA 3</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LC!$F$369:$N$369</c:f>
              <c:numCache>
                <c:formatCode>General</c:formatCode>
                <c:ptCount val="9"/>
                <c:pt idx="0">
                  <c:v>2016</c:v>
                </c:pt>
                <c:pt idx="1">
                  <c:v>2017</c:v>
                </c:pt>
                <c:pt idx="2">
                  <c:v>2018</c:v>
                </c:pt>
                <c:pt idx="3">
                  <c:v>2019</c:v>
                </c:pt>
                <c:pt idx="4">
                  <c:v>2020</c:v>
                </c:pt>
                <c:pt idx="5">
                  <c:v>2021</c:v>
                </c:pt>
                <c:pt idx="6">
                  <c:v>2022</c:v>
                </c:pt>
                <c:pt idx="7">
                  <c:v>2023</c:v>
                </c:pt>
                <c:pt idx="8">
                  <c:v>2024</c:v>
                </c:pt>
              </c:numCache>
            </c:numRef>
          </c:cat>
          <c:val>
            <c:numRef>
              <c:f>LC!$F$373:$N$373</c:f>
              <c:numCache>
                <c:formatCode>0%</c:formatCode>
                <c:ptCount val="9"/>
                <c:pt idx="0">
                  <c:v>0.51153846153846161</c:v>
                </c:pt>
                <c:pt idx="1">
                  <c:v>0.43928571428571433</c:v>
                </c:pt>
                <c:pt idx="2">
                  <c:v>0.46928571428571431</c:v>
                </c:pt>
                <c:pt idx="3">
                  <c:v>0.4284615384615385</c:v>
                </c:pt>
                <c:pt idx="4">
                  <c:v>0.33466666666666672</c:v>
                </c:pt>
                <c:pt idx="5">
                  <c:v>0.49933333333333341</c:v>
                </c:pt>
                <c:pt idx="6">
                  <c:v>0.385625</c:v>
                </c:pt>
                <c:pt idx="7">
                  <c:v>0.44</c:v>
                </c:pt>
                <c:pt idx="8">
                  <c:v>0.29625000000000001</c:v>
                </c:pt>
              </c:numCache>
            </c:numRef>
          </c:val>
          <c:extLst>
            <c:ext xmlns:c16="http://schemas.microsoft.com/office/drawing/2014/chart" uri="{C3380CC4-5D6E-409C-BE32-E72D297353CC}">
              <c16:uniqueId val="{00000002-EBBE-4BFB-B2BE-22C68CDF1BFF}"/>
            </c:ext>
          </c:extLst>
        </c:ser>
        <c:ser>
          <c:idx val="3"/>
          <c:order val="3"/>
          <c:tx>
            <c:strRef>
              <c:f>LC!$E$374</c:f>
              <c:strCache>
                <c:ptCount val="1"/>
                <c:pt idx="0">
                  <c:v>COMUNA 4</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LC!$F$369:$N$369</c:f>
              <c:numCache>
                <c:formatCode>General</c:formatCode>
                <c:ptCount val="9"/>
                <c:pt idx="0">
                  <c:v>2016</c:v>
                </c:pt>
                <c:pt idx="1">
                  <c:v>2017</c:v>
                </c:pt>
                <c:pt idx="2">
                  <c:v>2018</c:v>
                </c:pt>
                <c:pt idx="3">
                  <c:v>2019</c:v>
                </c:pt>
                <c:pt idx="4">
                  <c:v>2020</c:v>
                </c:pt>
                <c:pt idx="5">
                  <c:v>2021</c:v>
                </c:pt>
                <c:pt idx="6">
                  <c:v>2022</c:v>
                </c:pt>
                <c:pt idx="7">
                  <c:v>2023</c:v>
                </c:pt>
                <c:pt idx="8">
                  <c:v>2024</c:v>
                </c:pt>
              </c:numCache>
            </c:numRef>
          </c:cat>
          <c:val>
            <c:numRef>
              <c:f>LC!$F$374:$N$374</c:f>
              <c:numCache>
                <c:formatCode>0%</c:formatCode>
                <c:ptCount val="9"/>
                <c:pt idx="0">
                  <c:v>0.57250000000000001</c:v>
                </c:pt>
                <c:pt idx="1">
                  <c:v>0.46750000000000003</c:v>
                </c:pt>
                <c:pt idx="2">
                  <c:v>0.4933333333333334</c:v>
                </c:pt>
                <c:pt idx="3">
                  <c:v>0.4284615384615385</c:v>
                </c:pt>
                <c:pt idx="4">
                  <c:v>0.40857142857142853</c:v>
                </c:pt>
                <c:pt idx="5">
                  <c:v>0.54874999999999996</c:v>
                </c:pt>
                <c:pt idx="6">
                  <c:v>0.44125000000000003</c:v>
                </c:pt>
                <c:pt idx="7">
                  <c:v>0.52555555555555555</c:v>
                </c:pt>
                <c:pt idx="8">
                  <c:v>0.32714285714285712</c:v>
                </c:pt>
              </c:numCache>
            </c:numRef>
          </c:val>
          <c:extLst>
            <c:ext xmlns:c16="http://schemas.microsoft.com/office/drawing/2014/chart" uri="{C3380CC4-5D6E-409C-BE32-E72D297353CC}">
              <c16:uniqueId val="{00000003-EBBE-4BFB-B2BE-22C68CDF1BFF}"/>
            </c:ext>
          </c:extLst>
        </c:ser>
        <c:ser>
          <c:idx val="4"/>
          <c:order val="4"/>
          <c:tx>
            <c:strRef>
              <c:f>LC!$E$375</c:f>
              <c:strCache>
                <c:ptCount val="1"/>
                <c:pt idx="0">
                  <c:v>COMUNA 5</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LC!$F$369:$N$369</c:f>
              <c:numCache>
                <c:formatCode>General</c:formatCode>
                <c:ptCount val="9"/>
                <c:pt idx="0">
                  <c:v>2016</c:v>
                </c:pt>
                <c:pt idx="1">
                  <c:v>2017</c:v>
                </c:pt>
                <c:pt idx="2">
                  <c:v>2018</c:v>
                </c:pt>
                <c:pt idx="3">
                  <c:v>2019</c:v>
                </c:pt>
                <c:pt idx="4">
                  <c:v>2020</c:v>
                </c:pt>
                <c:pt idx="5">
                  <c:v>2021</c:v>
                </c:pt>
                <c:pt idx="6">
                  <c:v>2022</c:v>
                </c:pt>
                <c:pt idx="7">
                  <c:v>2023</c:v>
                </c:pt>
                <c:pt idx="8">
                  <c:v>2024</c:v>
                </c:pt>
              </c:numCache>
            </c:numRef>
          </c:cat>
          <c:val>
            <c:numRef>
              <c:f>LC!$F$375:$N$375</c:f>
              <c:numCache>
                <c:formatCode>0%</c:formatCode>
                <c:ptCount val="9"/>
                <c:pt idx="0">
                  <c:v>0.53066666666666673</c:v>
                </c:pt>
                <c:pt idx="1">
                  <c:v>0.42875000000000002</c:v>
                </c:pt>
                <c:pt idx="2">
                  <c:v>0.45687500000000003</c:v>
                </c:pt>
                <c:pt idx="3">
                  <c:v>0.4284615384615385</c:v>
                </c:pt>
                <c:pt idx="4">
                  <c:v>0.29687499999999994</c:v>
                </c:pt>
                <c:pt idx="5">
                  <c:v>0.47687499999999999</c:v>
                </c:pt>
                <c:pt idx="6">
                  <c:v>0.36999999999999994</c:v>
                </c:pt>
                <c:pt idx="7">
                  <c:v>0.41</c:v>
                </c:pt>
                <c:pt idx="8">
                  <c:v>0.27200000000000008</c:v>
                </c:pt>
              </c:numCache>
            </c:numRef>
          </c:val>
          <c:extLst>
            <c:ext xmlns:c16="http://schemas.microsoft.com/office/drawing/2014/chart" uri="{C3380CC4-5D6E-409C-BE32-E72D297353CC}">
              <c16:uniqueId val="{00000004-EBBE-4BFB-B2BE-22C68CDF1BFF}"/>
            </c:ext>
          </c:extLst>
        </c:ser>
        <c:ser>
          <c:idx val="5"/>
          <c:order val="5"/>
          <c:tx>
            <c:strRef>
              <c:f>LC!$E$376</c:f>
              <c:strCache>
                <c:ptCount val="1"/>
                <c:pt idx="0">
                  <c:v>COMUNA 6</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LC!$F$369:$N$369</c:f>
              <c:numCache>
                <c:formatCode>General</c:formatCode>
                <c:ptCount val="9"/>
                <c:pt idx="0">
                  <c:v>2016</c:v>
                </c:pt>
                <c:pt idx="1">
                  <c:v>2017</c:v>
                </c:pt>
                <c:pt idx="2">
                  <c:v>2018</c:v>
                </c:pt>
                <c:pt idx="3">
                  <c:v>2019</c:v>
                </c:pt>
                <c:pt idx="4">
                  <c:v>2020</c:v>
                </c:pt>
                <c:pt idx="5">
                  <c:v>2021</c:v>
                </c:pt>
                <c:pt idx="6">
                  <c:v>2022</c:v>
                </c:pt>
                <c:pt idx="7">
                  <c:v>2023</c:v>
                </c:pt>
                <c:pt idx="8">
                  <c:v>2024</c:v>
                </c:pt>
              </c:numCache>
            </c:numRef>
          </c:cat>
          <c:val>
            <c:numRef>
              <c:f>LC!$F$376:$N$376</c:f>
              <c:numCache>
                <c:formatCode>0%</c:formatCode>
                <c:ptCount val="9"/>
                <c:pt idx="0">
                  <c:v>0.53333333333333333</c:v>
                </c:pt>
                <c:pt idx="1">
                  <c:v>0.47166666666666668</c:v>
                </c:pt>
                <c:pt idx="2">
                  <c:v>0.50090909090909086</c:v>
                </c:pt>
                <c:pt idx="3">
                  <c:v>0.4284615384615385</c:v>
                </c:pt>
                <c:pt idx="4">
                  <c:v>0.37857142857142861</c:v>
                </c:pt>
                <c:pt idx="5">
                  <c:v>0.52692307692307683</c:v>
                </c:pt>
                <c:pt idx="6">
                  <c:v>0.4375</c:v>
                </c:pt>
                <c:pt idx="7">
                  <c:v>0.45058823529411773</c:v>
                </c:pt>
                <c:pt idx="8">
                  <c:v>0.29785714285714288</c:v>
                </c:pt>
              </c:numCache>
            </c:numRef>
          </c:val>
          <c:extLst>
            <c:ext xmlns:c16="http://schemas.microsoft.com/office/drawing/2014/chart" uri="{C3380CC4-5D6E-409C-BE32-E72D297353CC}">
              <c16:uniqueId val="{00000005-EBBE-4BFB-B2BE-22C68CDF1BFF}"/>
            </c:ext>
          </c:extLst>
        </c:ser>
        <c:dLbls>
          <c:showLegendKey val="0"/>
          <c:showVal val="0"/>
          <c:showCatName val="0"/>
          <c:showSerName val="0"/>
          <c:showPercent val="0"/>
          <c:showBubbleSize val="0"/>
        </c:dLbls>
        <c:gapWidth val="150"/>
        <c:axId val="922625440"/>
        <c:axId val="922145264"/>
      </c:barChart>
      <c:catAx>
        <c:axId val="9226254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922145264"/>
        <c:crossesAt val="0"/>
        <c:auto val="1"/>
        <c:lblAlgn val="ctr"/>
        <c:lblOffset val="100"/>
        <c:noMultiLvlLbl val="0"/>
      </c:catAx>
      <c:valAx>
        <c:axId val="9221452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92262544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s-CO" sz="1400"/>
              <a:t>Porcentaje de Respuestas Incorrectas </a:t>
            </a:r>
          </a:p>
          <a:p>
            <a:pPr marL="0" marR="0" lvl="0" indent="0" algn="ctr" defTabSz="914400" rtl="0" eaLnBrk="1" fontAlgn="auto" latinLnBrk="0" hangingPunct="1">
              <a:lnSpc>
                <a:spcPct val="100000"/>
              </a:lnSpc>
              <a:spcBef>
                <a:spcPts val="0"/>
              </a:spcBef>
              <a:spcAft>
                <a:spcPts val="0"/>
              </a:spcAft>
              <a:buClrTx/>
              <a:buSzTx/>
              <a:buFontTx/>
              <a:buNone/>
              <a:tabLst/>
              <a:defRPr>
                <a:solidFill>
                  <a:sysClr val="windowText" lastClr="000000">
                    <a:lumMod val="65000"/>
                    <a:lumOff val="35000"/>
                  </a:sysClr>
                </a:solidFill>
              </a:defRPr>
            </a:pPr>
            <a:r>
              <a:rPr lang="es-CO" sz="1400"/>
              <a:t>Comunas</a:t>
            </a:r>
            <a:endParaRPr lang="es-CO" sz="1400" baseline="0"/>
          </a:p>
          <a:p>
            <a:pPr marL="0" marR="0" lvl="0" indent="0" algn="ctr" defTabSz="914400" rtl="0" eaLnBrk="1" fontAlgn="auto" latinLnBrk="0" hangingPunct="1">
              <a:lnSpc>
                <a:spcPct val="100000"/>
              </a:lnSpc>
              <a:spcBef>
                <a:spcPts val="0"/>
              </a:spcBef>
              <a:spcAft>
                <a:spcPts val="0"/>
              </a:spcAft>
              <a:buClrTx/>
              <a:buSzTx/>
              <a:buFontTx/>
              <a:buNone/>
              <a:tabLst/>
              <a:defRPr>
                <a:solidFill>
                  <a:sysClr val="windowText" lastClr="000000">
                    <a:lumMod val="65000"/>
                    <a:lumOff val="35000"/>
                  </a:sysClr>
                </a:solidFill>
              </a:defRPr>
            </a:pPr>
            <a:r>
              <a:rPr lang="es-CO" sz="1400" b="0" i="0" baseline="0">
                <a:effectLst/>
              </a:rPr>
              <a:t>Aprendizaje: Comprende </a:t>
            </a:r>
            <a:endParaRPr lang="es-CO" sz="1400">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es-CO"/>
        </a:p>
      </c:txPr>
    </c:title>
    <c:autoTitleDeleted val="0"/>
    <c:plotArea>
      <c:layout/>
      <c:barChart>
        <c:barDir val="col"/>
        <c:grouping val="clustered"/>
        <c:varyColors val="0"/>
        <c:ser>
          <c:idx val="0"/>
          <c:order val="0"/>
          <c:tx>
            <c:strRef>
              <c:f>LC!$E$289</c:f>
              <c:strCache>
                <c:ptCount val="1"/>
                <c:pt idx="0">
                  <c:v>COMUNA 1</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LC!$F$287:$N$287</c:f>
              <c:numCache>
                <c:formatCode>General</c:formatCode>
                <c:ptCount val="9"/>
                <c:pt idx="0">
                  <c:v>2016</c:v>
                </c:pt>
                <c:pt idx="1">
                  <c:v>2017</c:v>
                </c:pt>
                <c:pt idx="2">
                  <c:v>2018</c:v>
                </c:pt>
                <c:pt idx="3">
                  <c:v>2019</c:v>
                </c:pt>
                <c:pt idx="4">
                  <c:v>2020</c:v>
                </c:pt>
                <c:pt idx="5">
                  <c:v>2021</c:v>
                </c:pt>
                <c:pt idx="6">
                  <c:v>2022</c:v>
                </c:pt>
                <c:pt idx="7">
                  <c:v>2023</c:v>
                </c:pt>
                <c:pt idx="8">
                  <c:v>2024</c:v>
                </c:pt>
              </c:numCache>
            </c:numRef>
          </c:cat>
          <c:val>
            <c:numRef>
              <c:f>LC!$F$289:$N$289</c:f>
              <c:numCache>
                <c:formatCode>0%</c:formatCode>
                <c:ptCount val="9"/>
                <c:pt idx="0">
                  <c:v>0.48176470588235293</c:v>
                </c:pt>
                <c:pt idx="1">
                  <c:v>0.48000000000000004</c:v>
                </c:pt>
                <c:pt idx="2">
                  <c:v>0.44058823529411767</c:v>
                </c:pt>
                <c:pt idx="3">
                  <c:v>0.4205882352941176</c:v>
                </c:pt>
                <c:pt idx="4">
                  <c:v>0.46411764705882358</c:v>
                </c:pt>
                <c:pt idx="5">
                  <c:v>0.43176470588235294</c:v>
                </c:pt>
                <c:pt idx="6">
                  <c:v>0.45944444444444443</c:v>
                </c:pt>
                <c:pt idx="7">
                  <c:v>0.35470588235294126</c:v>
                </c:pt>
                <c:pt idx="8">
                  <c:v>0.4375</c:v>
                </c:pt>
              </c:numCache>
            </c:numRef>
          </c:val>
          <c:extLst>
            <c:ext xmlns:c16="http://schemas.microsoft.com/office/drawing/2014/chart" uri="{C3380CC4-5D6E-409C-BE32-E72D297353CC}">
              <c16:uniqueId val="{00000000-91B3-4925-801C-6879DA96589D}"/>
            </c:ext>
          </c:extLst>
        </c:ser>
        <c:ser>
          <c:idx val="1"/>
          <c:order val="1"/>
          <c:tx>
            <c:strRef>
              <c:f>LC!$E$290</c:f>
              <c:strCache>
                <c:ptCount val="1"/>
                <c:pt idx="0">
                  <c:v>COMUNA 2</c:v>
                </c:pt>
              </c:strCache>
            </c:strRef>
          </c:tx>
          <c:spPr>
            <a:solidFill>
              <a:schemeClr val="accent2"/>
            </a:solidFill>
            <a:ln>
              <a:noFill/>
            </a:ln>
            <a:effectLst/>
          </c:spPr>
          <c:invertIfNegative val="0"/>
          <c:cat>
            <c:numRef>
              <c:f>LC!$F$287:$N$287</c:f>
              <c:numCache>
                <c:formatCode>General</c:formatCode>
                <c:ptCount val="9"/>
                <c:pt idx="0">
                  <c:v>2016</c:v>
                </c:pt>
                <c:pt idx="1">
                  <c:v>2017</c:v>
                </c:pt>
                <c:pt idx="2">
                  <c:v>2018</c:v>
                </c:pt>
                <c:pt idx="3">
                  <c:v>2019</c:v>
                </c:pt>
                <c:pt idx="4">
                  <c:v>2020</c:v>
                </c:pt>
                <c:pt idx="5">
                  <c:v>2021</c:v>
                </c:pt>
                <c:pt idx="6">
                  <c:v>2022</c:v>
                </c:pt>
                <c:pt idx="7">
                  <c:v>2023</c:v>
                </c:pt>
                <c:pt idx="8">
                  <c:v>2024</c:v>
                </c:pt>
              </c:numCache>
            </c:numRef>
          </c:cat>
          <c:val>
            <c:numRef>
              <c:f>LC!$F$290:$N$290</c:f>
              <c:numCache>
                <c:formatCode>0%</c:formatCode>
                <c:ptCount val="9"/>
                <c:pt idx="0">
                  <c:v>0.45600000000000013</c:v>
                </c:pt>
                <c:pt idx="1">
                  <c:v>0.44789473684210523</c:v>
                </c:pt>
                <c:pt idx="2">
                  <c:v>0.41526315789473683</c:v>
                </c:pt>
                <c:pt idx="3">
                  <c:v>0.39000000000000007</c:v>
                </c:pt>
                <c:pt idx="4">
                  <c:v>0.43458333333333332</c:v>
                </c:pt>
                <c:pt idx="5">
                  <c:v>0.43545454545454554</c:v>
                </c:pt>
                <c:pt idx="6">
                  <c:v>0.43520000000000003</c:v>
                </c:pt>
                <c:pt idx="7">
                  <c:v>0.341923076923077</c:v>
                </c:pt>
                <c:pt idx="8">
                  <c:v>0.39</c:v>
                </c:pt>
              </c:numCache>
            </c:numRef>
          </c:val>
          <c:extLst>
            <c:ext xmlns:c16="http://schemas.microsoft.com/office/drawing/2014/chart" uri="{C3380CC4-5D6E-409C-BE32-E72D297353CC}">
              <c16:uniqueId val="{00000001-91B3-4925-801C-6879DA96589D}"/>
            </c:ext>
          </c:extLst>
        </c:ser>
        <c:ser>
          <c:idx val="2"/>
          <c:order val="2"/>
          <c:tx>
            <c:strRef>
              <c:f>LC!$E$291</c:f>
              <c:strCache>
                <c:ptCount val="1"/>
                <c:pt idx="0">
                  <c:v>COMUNA 3</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LC!$F$287:$N$287</c:f>
              <c:numCache>
                <c:formatCode>General</c:formatCode>
                <c:ptCount val="9"/>
                <c:pt idx="0">
                  <c:v>2016</c:v>
                </c:pt>
                <c:pt idx="1">
                  <c:v>2017</c:v>
                </c:pt>
                <c:pt idx="2">
                  <c:v>2018</c:v>
                </c:pt>
                <c:pt idx="3">
                  <c:v>2019</c:v>
                </c:pt>
                <c:pt idx="4">
                  <c:v>2020</c:v>
                </c:pt>
                <c:pt idx="5">
                  <c:v>2021</c:v>
                </c:pt>
                <c:pt idx="6">
                  <c:v>2022</c:v>
                </c:pt>
                <c:pt idx="7">
                  <c:v>2023</c:v>
                </c:pt>
                <c:pt idx="8">
                  <c:v>2024</c:v>
                </c:pt>
              </c:numCache>
            </c:numRef>
          </c:cat>
          <c:val>
            <c:numRef>
              <c:f>LC!$F$291:$N$291</c:f>
              <c:numCache>
                <c:formatCode>0%</c:formatCode>
                <c:ptCount val="9"/>
                <c:pt idx="0">
                  <c:v>0.4694444444444445</c:v>
                </c:pt>
                <c:pt idx="1">
                  <c:v>0.45789473684210524</c:v>
                </c:pt>
                <c:pt idx="2">
                  <c:v>0.40473684210526323</c:v>
                </c:pt>
                <c:pt idx="3">
                  <c:v>0.40052631578947373</c:v>
                </c:pt>
                <c:pt idx="4">
                  <c:v>0.44800000000000006</c:v>
                </c:pt>
                <c:pt idx="5">
                  <c:v>0.41200000000000003</c:v>
                </c:pt>
                <c:pt idx="6">
                  <c:v>0.43545454545454548</c:v>
                </c:pt>
                <c:pt idx="7">
                  <c:v>0.34136363636363637</c:v>
                </c:pt>
                <c:pt idx="8">
                  <c:v>0.4186363636363637</c:v>
                </c:pt>
              </c:numCache>
            </c:numRef>
          </c:val>
          <c:extLst>
            <c:ext xmlns:c16="http://schemas.microsoft.com/office/drawing/2014/chart" uri="{C3380CC4-5D6E-409C-BE32-E72D297353CC}">
              <c16:uniqueId val="{00000002-91B3-4925-801C-6879DA96589D}"/>
            </c:ext>
          </c:extLst>
        </c:ser>
        <c:ser>
          <c:idx val="3"/>
          <c:order val="3"/>
          <c:tx>
            <c:strRef>
              <c:f>LC!$E$292</c:f>
              <c:strCache>
                <c:ptCount val="1"/>
                <c:pt idx="0">
                  <c:v>COMUNA 4</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LC!$F$287:$N$287</c:f>
              <c:numCache>
                <c:formatCode>General</c:formatCode>
                <c:ptCount val="9"/>
                <c:pt idx="0">
                  <c:v>2016</c:v>
                </c:pt>
                <c:pt idx="1">
                  <c:v>2017</c:v>
                </c:pt>
                <c:pt idx="2">
                  <c:v>2018</c:v>
                </c:pt>
                <c:pt idx="3">
                  <c:v>2019</c:v>
                </c:pt>
                <c:pt idx="4">
                  <c:v>2020</c:v>
                </c:pt>
                <c:pt idx="5">
                  <c:v>2021</c:v>
                </c:pt>
                <c:pt idx="6">
                  <c:v>2022</c:v>
                </c:pt>
                <c:pt idx="7">
                  <c:v>2023</c:v>
                </c:pt>
                <c:pt idx="8">
                  <c:v>2024</c:v>
                </c:pt>
              </c:numCache>
            </c:numRef>
          </c:cat>
          <c:val>
            <c:numRef>
              <c:f>LC!$F$292:$N$292</c:f>
              <c:numCache>
                <c:formatCode>0%</c:formatCode>
                <c:ptCount val="9"/>
                <c:pt idx="0">
                  <c:v>0.52357142857142858</c:v>
                </c:pt>
                <c:pt idx="1">
                  <c:v>0.47500000000000003</c:v>
                </c:pt>
                <c:pt idx="2">
                  <c:v>0.44333333333333325</c:v>
                </c:pt>
                <c:pt idx="3">
                  <c:v>0.43785714285714289</c:v>
                </c:pt>
                <c:pt idx="4">
                  <c:v>0.50692307692307703</c:v>
                </c:pt>
                <c:pt idx="5">
                  <c:v>0.46142857142857147</c:v>
                </c:pt>
                <c:pt idx="6">
                  <c:v>0.47857142857142859</c:v>
                </c:pt>
                <c:pt idx="7">
                  <c:v>0.41399999999999992</c:v>
                </c:pt>
                <c:pt idx="8">
                  <c:v>0.45999999999999996</c:v>
                </c:pt>
              </c:numCache>
            </c:numRef>
          </c:val>
          <c:extLst>
            <c:ext xmlns:c16="http://schemas.microsoft.com/office/drawing/2014/chart" uri="{C3380CC4-5D6E-409C-BE32-E72D297353CC}">
              <c16:uniqueId val="{00000003-91B3-4925-801C-6879DA96589D}"/>
            </c:ext>
          </c:extLst>
        </c:ser>
        <c:ser>
          <c:idx val="4"/>
          <c:order val="4"/>
          <c:tx>
            <c:strRef>
              <c:f>LC!$E$293</c:f>
              <c:strCache>
                <c:ptCount val="1"/>
                <c:pt idx="0">
                  <c:v>COMUNA 5</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LC!$F$287:$N$287</c:f>
              <c:numCache>
                <c:formatCode>General</c:formatCode>
                <c:ptCount val="9"/>
                <c:pt idx="0">
                  <c:v>2016</c:v>
                </c:pt>
                <c:pt idx="1">
                  <c:v>2017</c:v>
                </c:pt>
                <c:pt idx="2">
                  <c:v>2018</c:v>
                </c:pt>
                <c:pt idx="3">
                  <c:v>2019</c:v>
                </c:pt>
                <c:pt idx="4">
                  <c:v>2020</c:v>
                </c:pt>
                <c:pt idx="5">
                  <c:v>2021</c:v>
                </c:pt>
                <c:pt idx="6">
                  <c:v>2022</c:v>
                </c:pt>
                <c:pt idx="7">
                  <c:v>2023</c:v>
                </c:pt>
                <c:pt idx="8">
                  <c:v>2024</c:v>
                </c:pt>
              </c:numCache>
            </c:numRef>
          </c:cat>
          <c:val>
            <c:numRef>
              <c:f>LC!$F$293:$N$293</c:f>
              <c:numCache>
                <c:formatCode>0%</c:formatCode>
                <c:ptCount val="9"/>
                <c:pt idx="0">
                  <c:v>0.43588235294117644</c:v>
                </c:pt>
                <c:pt idx="1">
                  <c:v>0.43111111111111111</c:v>
                </c:pt>
                <c:pt idx="2">
                  <c:v>0.39500000000000002</c:v>
                </c:pt>
                <c:pt idx="3">
                  <c:v>0.37526315789473674</c:v>
                </c:pt>
                <c:pt idx="4">
                  <c:v>0.42777777777777781</c:v>
                </c:pt>
                <c:pt idx="5">
                  <c:v>0.39111111111111119</c:v>
                </c:pt>
                <c:pt idx="6">
                  <c:v>0.41235294117647059</c:v>
                </c:pt>
                <c:pt idx="7">
                  <c:v>0.30941176470588239</c:v>
                </c:pt>
                <c:pt idx="8">
                  <c:v>0.41333333333333333</c:v>
                </c:pt>
              </c:numCache>
            </c:numRef>
          </c:val>
          <c:extLst>
            <c:ext xmlns:c16="http://schemas.microsoft.com/office/drawing/2014/chart" uri="{C3380CC4-5D6E-409C-BE32-E72D297353CC}">
              <c16:uniqueId val="{00000004-91B3-4925-801C-6879DA96589D}"/>
            </c:ext>
          </c:extLst>
        </c:ser>
        <c:ser>
          <c:idx val="5"/>
          <c:order val="5"/>
          <c:tx>
            <c:strRef>
              <c:f>LC!$E$294</c:f>
              <c:strCache>
                <c:ptCount val="1"/>
                <c:pt idx="0">
                  <c:v>COMUNA 6</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LC!$F$287:$N$287</c:f>
              <c:numCache>
                <c:formatCode>General</c:formatCode>
                <c:ptCount val="9"/>
                <c:pt idx="0">
                  <c:v>2016</c:v>
                </c:pt>
                <c:pt idx="1">
                  <c:v>2017</c:v>
                </c:pt>
                <c:pt idx="2">
                  <c:v>2018</c:v>
                </c:pt>
                <c:pt idx="3">
                  <c:v>2019</c:v>
                </c:pt>
                <c:pt idx="4">
                  <c:v>2020</c:v>
                </c:pt>
                <c:pt idx="5">
                  <c:v>2021</c:v>
                </c:pt>
                <c:pt idx="6">
                  <c:v>2022</c:v>
                </c:pt>
                <c:pt idx="7">
                  <c:v>2023</c:v>
                </c:pt>
                <c:pt idx="8">
                  <c:v>2024</c:v>
                </c:pt>
              </c:numCache>
            </c:numRef>
          </c:cat>
          <c:val>
            <c:numRef>
              <c:f>LC!$F$294:$N$294</c:f>
              <c:numCache>
                <c:formatCode>0%</c:formatCode>
                <c:ptCount val="9"/>
                <c:pt idx="0">
                  <c:v>0.47866666666666668</c:v>
                </c:pt>
                <c:pt idx="1">
                  <c:v>0.47800000000000004</c:v>
                </c:pt>
                <c:pt idx="2">
                  <c:v>0.42642857142857149</c:v>
                </c:pt>
                <c:pt idx="3">
                  <c:v>0.41399999999999998</c:v>
                </c:pt>
                <c:pt idx="4">
                  <c:v>0.48529411764705882</c:v>
                </c:pt>
                <c:pt idx="5">
                  <c:v>0.45437499999999992</c:v>
                </c:pt>
                <c:pt idx="6">
                  <c:v>0.46736842105263154</c:v>
                </c:pt>
                <c:pt idx="7">
                  <c:v>0.34649999999999997</c:v>
                </c:pt>
                <c:pt idx="8">
                  <c:v>0.46249999999999997</c:v>
                </c:pt>
              </c:numCache>
            </c:numRef>
          </c:val>
          <c:extLst>
            <c:ext xmlns:c16="http://schemas.microsoft.com/office/drawing/2014/chart" uri="{C3380CC4-5D6E-409C-BE32-E72D297353CC}">
              <c16:uniqueId val="{00000005-91B3-4925-801C-6879DA96589D}"/>
            </c:ext>
          </c:extLst>
        </c:ser>
        <c:dLbls>
          <c:showLegendKey val="0"/>
          <c:showVal val="0"/>
          <c:showCatName val="0"/>
          <c:showSerName val="0"/>
          <c:showPercent val="0"/>
          <c:showBubbleSize val="0"/>
        </c:dLbls>
        <c:gapWidth val="150"/>
        <c:axId val="922625440"/>
        <c:axId val="922145264"/>
      </c:barChart>
      <c:catAx>
        <c:axId val="9226254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922145264"/>
        <c:crossesAt val="0"/>
        <c:auto val="1"/>
        <c:lblAlgn val="ctr"/>
        <c:lblOffset val="100"/>
        <c:noMultiLvlLbl val="0"/>
      </c:catAx>
      <c:valAx>
        <c:axId val="9221452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92262544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s-CO" sz="1400"/>
              <a:t>Porcentaje de Respuestas Incorrectas </a:t>
            </a:r>
          </a:p>
          <a:p>
            <a:pPr marL="0" marR="0" lvl="0" indent="0" algn="ctr" defTabSz="914400" rtl="0" eaLnBrk="1" fontAlgn="auto" latinLnBrk="0" hangingPunct="1">
              <a:lnSpc>
                <a:spcPct val="100000"/>
              </a:lnSpc>
              <a:spcBef>
                <a:spcPts val="0"/>
              </a:spcBef>
              <a:spcAft>
                <a:spcPts val="0"/>
              </a:spcAft>
              <a:buClrTx/>
              <a:buSzTx/>
              <a:buFontTx/>
              <a:buNone/>
              <a:tabLst/>
              <a:defRPr>
                <a:solidFill>
                  <a:sysClr val="windowText" lastClr="000000">
                    <a:lumMod val="65000"/>
                    <a:lumOff val="35000"/>
                  </a:sysClr>
                </a:solidFill>
              </a:defRPr>
            </a:pPr>
            <a:r>
              <a:rPr lang="es-CO" sz="1400"/>
              <a:t>Comunas</a:t>
            </a:r>
            <a:endParaRPr lang="es-CO" sz="1400" baseline="0"/>
          </a:p>
          <a:p>
            <a:pPr marL="0" marR="0" lvl="0" indent="0" algn="ctr" defTabSz="914400" rtl="0" eaLnBrk="1" fontAlgn="auto" latinLnBrk="0" hangingPunct="1">
              <a:lnSpc>
                <a:spcPct val="100000"/>
              </a:lnSpc>
              <a:spcBef>
                <a:spcPts val="0"/>
              </a:spcBef>
              <a:spcAft>
                <a:spcPts val="0"/>
              </a:spcAft>
              <a:buClrTx/>
              <a:buSzTx/>
              <a:buFontTx/>
              <a:buNone/>
              <a:tabLst/>
              <a:defRPr>
                <a:solidFill>
                  <a:sysClr val="windowText" lastClr="000000">
                    <a:lumMod val="65000"/>
                    <a:lumOff val="35000"/>
                  </a:sysClr>
                </a:solidFill>
              </a:defRPr>
            </a:pPr>
            <a:r>
              <a:rPr lang="es-CO" sz="1400" b="0" i="0" baseline="0">
                <a:effectLst/>
              </a:rPr>
              <a:t>Aprendizaje: Identifica </a:t>
            </a:r>
            <a:endParaRPr lang="es-CO" sz="1400">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es-CO"/>
        </a:p>
      </c:txPr>
    </c:title>
    <c:autoTitleDeleted val="0"/>
    <c:plotArea>
      <c:layout/>
      <c:barChart>
        <c:barDir val="col"/>
        <c:grouping val="clustered"/>
        <c:varyColors val="0"/>
        <c:ser>
          <c:idx val="0"/>
          <c:order val="0"/>
          <c:tx>
            <c:strRef>
              <c:f>LC!$E$298</c:f>
              <c:strCache>
                <c:ptCount val="1"/>
                <c:pt idx="0">
                  <c:v>COMUNA 1</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LC!$F$296:$N$296</c:f>
              <c:numCache>
                <c:formatCode>General</c:formatCode>
                <c:ptCount val="9"/>
                <c:pt idx="0">
                  <c:v>2016</c:v>
                </c:pt>
                <c:pt idx="1">
                  <c:v>2017</c:v>
                </c:pt>
                <c:pt idx="2">
                  <c:v>2018</c:v>
                </c:pt>
                <c:pt idx="3">
                  <c:v>2019</c:v>
                </c:pt>
                <c:pt idx="4">
                  <c:v>2020</c:v>
                </c:pt>
                <c:pt idx="5">
                  <c:v>2021</c:v>
                </c:pt>
                <c:pt idx="6">
                  <c:v>2022</c:v>
                </c:pt>
                <c:pt idx="7">
                  <c:v>2023</c:v>
                </c:pt>
                <c:pt idx="8">
                  <c:v>2024</c:v>
                </c:pt>
              </c:numCache>
            </c:numRef>
          </c:cat>
          <c:val>
            <c:numRef>
              <c:f>LC!$F$298:$N$298</c:f>
              <c:numCache>
                <c:formatCode>0%</c:formatCode>
                <c:ptCount val="9"/>
                <c:pt idx="0">
                  <c:v>0.43470588235294116</c:v>
                </c:pt>
                <c:pt idx="1">
                  <c:v>0.44624999999999992</c:v>
                </c:pt>
                <c:pt idx="2">
                  <c:v>0.47352941176470592</c:v>
                </c:pt>
                <c:pt idx="3">
                  <c:v>0.36588235294117644</c:v>
                </c:pt>
                <c:pt idx="4">
                  <c:v>0.43588235294117661</c:v>
                </c:pt>
                <c:pt idx="5">
                  <c:v>0.32117647058823529</c:v>
                </c:pt>
                <c:pt idx="6">
                  <c:v>0.33666666666666673</c:v>
                </c:pt>
                <c:pt idx="7">
                  <c:v>0.46470588235294108</c:v>
                </c:pt>
                <c:pt idx="8">
                  <c:v>0.44062500000000004</c:v>
                </c:pt>
              </c:numCache>
            </c:numRef>
          </c:val>
          <c:extLst>
            <c:ext xmlns:c16="http://schemas.microsoft.com/office/drawing/2014/chart" uri="{C3380CC4-5D6E-409C-BE32-E72D297353CC}">
              <c16:uniqueId val="{00000000-56FA-4B77-A63C-F98A02637821}"/>
            </c:ext>
          </c:extLst>
        </c:ser>
        <c:ser>
          <c:idx val="1"/>
          <c:order val="1"/>
          <c:tx>
            <c:strRef>
              <c:f>LC!$E$299</c:f>
              <c:strCache>
                <c:ptCount val="1"/>
                <c:pt idx="0">
                  <c:v>COMUNA 2</c:v>
                </c:pt>
              </c:strCache>
            </c:strRef>
          </c:tx>
          <c:spPr>
            <a:solidFill>
              <a:schemeClr val="accent2"/>
            </a:solidFill>
            <a:ln>
              <a:noFill/>
            </a:ln>
            <a:effectLst/>
          </c:spPr>
          <c:invertIfNegative val="0"/>
          <c:cat>
            <c:numRef>
              <c:f>LC!$F$296:$N$296</c:f>
              <c:numCache>
                <c:formatCode>General</c:formatCode>
                <c:ptCount val="9"/>
                <c:pt idx="0">
                  <c:v>2016</c:v>
                </c:pt>
                <c:pt idx="1">
                  <c:v>2017</c:v>
                </c:pt>
                <c:pt idx="2">
                  <c:v>2018</c:v>
                </c:pt>
                <c:pt idx="3">
                  <c:v>2019</c:v>
                </c:pt>
                <c:pt idx="4">
                  <c:v>2020</c:v>
                </c:pt>
                <c:pt idx="5">
                  <c:v>2021</c:v>
                </c:pt>
                <c:pt idx="6">
                  <c:v>2022</c:v>
                </c:pt>
                <c:pt idx="7">
                  <c:v>2023</c:v>
                </c:pt>
                <c:pt idx="8">
                  <c:v>2024</c:v>
                </c:pt>
              </c:numCache>
            </c:numRef>
          </c:cat>
          <c:val>
            <c:numRef>
              <c:f>LC!$F$299:$N$299</c:f>
              <c:numCache>
                <c:formatCode>0%</c:formatCode>
                <c:ptCount val="9"/>
                <c:pt idx="0">
                  <c:v>0.41249999999999992</c:v>
                </c:pt>
                <c:pt idx="1">
                  <c:v>0.40842105263157902</c:v>
                </c:pt>
                <c:pt idx="2">
                  <c:v>0.46631578947368429</c:v>
                </c:pt>
                <c:pt idx="3">
                  <c:v>0.33999999999999997</c:v>
                </c:pt>
                <c:pt idx="4">
                  <c:v>0.41708333333333331</c:v>
                </c:pt>
                <c:pt idx="5">
                  <c:v>0.33636363636363636</c:v>
                </c:pt>
                <c:pt idx="6">
                  <c:v>0.31199999999999994</c:v>
                </c:pt>
                <c:pt idx="7">
                  <c:v>0.44423076923076926</c:v>
                </c:pt>
                <c:pt idx="8">
                  <c:v>0.40086956521739142</c:v>
                </c:pt>
              </c:numCache>
            </c:numRef>
          </c:val>
          <c:extLst>
            <c:ext xmlns:c16="http://schemas.microsoft.com/office/drawing/2014/chart" uri="{C3380CC4-5D6E-409C-BE32-E72D297353CC}">
              <c16:uniqueId val="{00000001-56FA-4B77-A63C-F98A02637821}"/>
            </c:ext>
          </c:extLst>
        </c:ser>
        <c:ser>
          <c:idx val="2"/>
          <c:order val="2"/>
          <c:tx>
            <c:strRef>
              <c:f>LC!$E$300</c:f>
              <c:strCache>
                <c:ptCount val="1"/>
                <c:pt idx="0">
                  <c:v>COMUNA 3</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LC!$F$296:$N$296</c:f>
              <c:numCache>
                <c:formatCode>General</c:formatCode>
                <c:ptCount val="9"/>
                <c:pt idx="0">
                  <c:v>2016</c:v>
                </c:pt>
                <c:pt idx="1">
                  <c:v>2017</c:v>
                </c:pt>
                <c:pt idx="2">
                  <c:v>2018</c:v>
                </c:pt>
                <c:pt idx="3">
                  <c:v>2019</c:v>
                </c:pt>
                <c:pt idx="4">
                  <c:v>2020</c:v>
                </c:pt>
                <c:pt idx="5">
                  <c:v>2021</c:v>
                </c:pt>
                <c:pt idx="6">
                  <c:v>2022</c:v>
                </c:pt>
                <c:pt idx="7">
                  <c:v>2023</c:v>
                </c:pt>
                <c:pt idx="8">
                  <c:v>2024</c:v>
                </c:pt>
              </c:numCache>
            </c:numRef>
          </c:cat>
          <c:val>
            <c:numRef>
              <c:f>LC!$F$300:$N$300</c:f>
              <c:numCache>
                <c:formatCode>0%</c:formatCode>
                <c:ptCount val="9"/>
                <c:pt idx="0">
                  <c:v>0.40444444444444438</c:v>
                </c:pt>
                <c:pt idx="1">
                  <c:v>0.42000000000000004</c:v>
                </c:pt>
                <c:pt idx="2">
                  <c:v>0.45631578947368423</c:v>
                </c:pt>
                <c:pt idx="3">
                  <c:v>0.34894736842105267</c:v>
                </c:pt>
                <c:pt idx="4">
                  <c:v>0.40499999999999997</c:v>
                </c:pt>
                <c:pt idx="5">
                  <c:v>0.32050000000000001</c:v>
                </c:pt>
                <c:pt idx="6">
                  <c:v>0.31909090909090909</c:v>
                </c:pt>
                <c:pt idx="7">
                  <c:v>0.44136363636363635</c:v>
                </c:pt>
                <c:pt idx="8">
                  <c:v>0.4095454545454546</c:v>
                </c:pt>
              </c:numCache>
            </c:numRef>
          </c:val>
          <c:extLst>
            <c:ext xmlns:c16="http://schemas.microsoft.com/office/drawing/2014/chart" uri="{C3380CC4-5D6E-409C-BE32-E72D297353CC}">
              <c16:uniqueId val="{00000002-56FA-4B77-A63C-F98A02637821}"/>
            </c:ext>
          </c:extLst>
        </c:ser>
        <c:ser>
          <c:idx val="3"/>
          <c:order val="3"/>
          <c:tx>
            <c:strRef>
              <c:f>LC!$E$301</c:f>
              <c:strCache>
                <c:ptCount val="1"/>
                <c:pt idx="0">
                  <c:v>COMUNA 4</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LC!$F$296:$N$296</c:f>
              <c:numCache>
                <c:formatCode>General</c:formatCode>
                <c:ptCount val="9"/>
                <c:pt idx="0">
                  <c:v>2016</c:v>
                </c:pt>
                <c:pt idx="1">
                  <c:v>2017</c:v>
                </c:pt>
                <c:pt idx="2">
                  <c:v>2018</c:v>
                </c:pt>
                <c:pt idx="3">
                  <c:v>2019</c:v>
                </c:pt>
                <c:pt idx="4">
                  <c:v>2020</c:v>
                </c:pt>
                <c:pt idx="5">
                  <c:v>2021</c:v>
                </c:pt>
                <c:pt idx="6">
                  <c:v>2022</c:v>
                </c:pt>
                <c:pt idx="7">
                  <c:v>2023</c:v>
                </c:pt>
                <c:pt idx="8">
                  <c:v>2024</c:v>
                </c:pt>
              </c:numCache>
            </c:numRef>
          </c:cat>
          <c:val>
            <c:numRef>
              <c:f>LC!$F$301:$N$301</c:f>
              <c:numCache>
                <c:formatCode>0%</c:formatCode>
                <c:ptCount val="9"/>
                <c:pt idx="0">
                  <c:v>0.47857142857142859</c:v>
                </c:pt>
                <c:pt idx="1">
                  <c:v>0.43571428571428567</c:v>
                </c:pt>
                <c:pt idx="2">
                  <c:v>0.4966666666666667</c:v>
                </c:pt>
                <c:pt idx="3">
                  <c:v>0.39857142857142858</c:v>
                </c:pt>
                <c:pt idx="4">
                  <c:v>0.46153846153846145</c:v>
                </c:pt>
                <c:pt idx="5">
                  <c:v>0.38214285714285717</c:v>
                </c:pt>
                <c:pt idx="6">
                  <c:v>0.35500000000000004</c:v>
                </c:pt>
                <c:pt idx="7">
                  <c:v>0.51533333333333331</c:v>
                </c:pt>
                <c:pt idx="8">
                  <c:v>0.46230769230769236</c:v>
                </c:pt>
              </c:numCache>
            </c:numRef>
          </c:val>
          <c:extLst>
            <c:ext xmlns:c16="http://schemas.microsoft.com/office/drawing/2014/chart" uri="{C3380CC4-5D6E-409C-BE32-E72D297353CC}">
              <c16:uniqueId val="{00000003-56FA-4B77-A63C-F98A02637821}"/>
            </c:ext>
          </c:extLst>
        </c:ser>
        <c:ser>
          <c:idx val="4"/>
          <c:order val="4"/>
          <c:tx>
            <c:strRef>
              <c:f>LC!$E$302</c:f>
              <c:strCache>
                <c:ptCount val="1"/>
                <c:pt idx="0">
                  <c:v>COMUNA 5</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LC!$F$296:$N$296</c:f>
              <c:numCache>
                <c:formatCode>General</c:formatCode>
                <c:ptCount val="9"/>
                <c:pt idx="0">
                  <c:v>2016</c:v>
                </c:pt>
                <c:pt idx="1">
                  <c:v>2017</c:v>
                </c:pt>
                <c:pt idx="2">
                  <c:v>2018</c:v>
                </c:pt>
                <c:pt idx="3">
                  <c:v>2019</c:v>
                </c:pt>
                <c:pt idx="4">
                  <c:v>2020</c:v>
                </c:pt>
                <c:pt idx="5">
                  <c:v>2021</c:v>
                </c:pt>
                <c:pt idx="6">
                  <c:v>2022</c:v>
                </c:pt>
                <c:pt idx="7">
                  <c:v>2023</c:v>
                </c:pt>
                <c:pt idx="8">
                  <c:v>2024</c:v>
                </c:pt>
              </c:numCache>
            </c:numRef>
          </c:cat>
          <c:val>
            <c:numRef>
              <c:f>LC!$F$302:$N$302</c:f>
              <c:numCache>
                <c:formatCode>0%</c:formatCode>
                <c:ptCount val="9"/>
                <c:pt idx="0">
                  <c:v>0.40941176470588236</c:v>
                </c:pt>
                <c:pt idx="1">
                  <c:v>0.37388888888888883</c:v>
                </c:pt>
                <c:pt idx="2">
                  <c:v>0.4538888888888889</c:v>
                </c:pt>
                <c:pt idx="3">
                  <c:v>0.32526315789473681</c:v>
                </c:pt>
                <c:pt idx="4">
                  <c:v>0.39166666666666672</c:v>
                </c:pt>
                <c:pt idx="5">
                  <c:v>0.30111111111111105</c:v>
                </c:pt>
                <c:pt idx="6">
                  <c:v>0.28176470588235292</c:v>
                </c:pt>
                <c:pt idx="7">
                  <c:v>0.4129411764705882</c:v>
                </c:pt>
                <c:pt idx="8">
                  <c:v>0.41333333333333333</c:v>
                </c:pt>
              </c:numCache>
            </c:numRef>
          </c:val>
          <c:extLst>
            <c:ext xmlns:c16="http://schemas.microsoft.com/office/drawing/2014/chart" uri="{C3380CC4-5D6E-409C-BE32-E72D297353CC}">
              <c16:uniqueId val="{00000004-56FA-4B77-A63C-F98A02637821}"/>
            </c:ext>
          </c:extLst>
        </c:ser>
        <c:ser>
          <c:idx val="5"/>
          <c:order val="5"/>
          <c:tx>
            <c:strRef>
              <c:f>LC!$E$303</c:f>
              <c:strCache>
                <c:ptCount val="1"/>
                <c:pt idx="0">
                  <c:v>COMUNA 6</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LC!$F$296:$N$296</c:f>
              <c:numCache>
                <c:formatCode>General</c:formatCode>
                <c:ptCount val="9"/>
                <c:pt idx="0">
                  <c:v>2016</c:v>
                </c:pt>
                <c:pt idx="1">
                  <c:v>2017</c:v>
                </c:pt>
                <c:pt idx="2">
                  <c:v>2018</c:v>
                </c:pt>
                <c:pt idx="3">
                  <c:v>2019</c:v>
                </c:pt>
                <c:pt idx="4">
                  <c:v>2020</c:v>
                </c:pt>
                <c:pt idx="5">
                  <c:v>2021</c:v>
                </c:pt>
                <c:pt idx="6">
                  <c:v>2022</c:v>
                </c:pt>
                <c:pt idx="7">
                  <c:v>2023</c:v>
                </c:pt>
                <c:pt idx="8">
                  <c:v>2024</c:v>
                </c:pt>
              </c:numCache>
            </c:numRef>
          </c:cat>
          <c:val>
            <c:numRef>
              <c:f>LC!$F$303:$N$303</c:f>
              <c:numCache>
                <c:formatCode>0%</c:formatCode>
                <c:ptCount val="9"/>
                <c:pt idx="0">
                  <c:v>0.4273333333333334</c:v>
                </c:pt>
                <c:pt idx="1">
                  <c:v>0.44200000000000006</c:v>
                </c:pt>
                <c:pt idx="2">
                  <c:v>0.46642857142857136</c:v>
                </c:pt>
                <c:pt idx="3">
                  <c:v>0.36333333333333334</c:v>
                </c:pt>
                <c:pt idx="4">
                  <c:v>0.45294117647058824</c:v>
                </c:pt>
                <c:pt idx="5">
                  <c:v>0.33437499999999998</c:v>
                </c:pt>
                <c:pt idx="6">
                  <c:v>0.3436842105263157</c:v>
                </c:pt>
                <c:pt idx="7">
                  <c:v>0.44449999999999995</c:v>
                </c:pt>
                <c:pt idx="8">
                  <c:v>0.45249999999999996</c:v>
                </c:pt>
              </c:numCache>
            </c:numRef>
          </c:val>
          <c:extLst>
            <c:ext xmlns:c16="http://schemas.microsoft.com/office/drawing/2014/chart" uri="{C3380CC4-5D6E-409C-BE32-E72D297353CC}">
              <c16:uniqueId val="{00000005-56FA-4B77-A63C-F98A02637821}"/>
            </c:ext>
          </c:extLst>
        </c:ser>
        <c:dLbls>
          <c:showLegendKey val="0"/>
          <c:showVal val="0"/>
          <c:showCatName val="0"/>
          <c:showSerName val="0"/>
          <c:showPercent val="0"/>
          <c:showBubbleSize val="0"/>
        </c:dLbls>
        <c:gapWidth val="150"/>
        <c:axId val="922625440"/>
        <c:axId val="922145264"/>
      </c:barChart>
      <c:catAx>
        <c:axId val="9226254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922145264"/>
        <c:crossesAt val="0"/>
        <c:auto val="1"/>
        <c:lblAlgn val="ctr"/>
        <c:lblOffset val="100"/>
        <c:noMultiLvlLbl val="0"/>
      </c:catAx>
      <c:valAx>
        <c:axId val="9221452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92262544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s-CO" sz="1400"/>
              <a:t>Porcentaje de Respuestas Incorrectas </a:t>
            </a:r>
          </a:p>
          <a:p>
            <a:pPr marL="0" marR="0" lvl="0" indent="0" algn="ctr" defTabSz="914400" rtl="0" eaLnBrk="1" fontAlgn="auto" latinLnBrk="0" hangingPunct="1">
              <a:lnSpc>
                <a:spcPct val="100000"/>
              </a:lnSpc>
              <a:spcBef>
                <a:spcPts val="0"/>
              </a:spcBef>
              <a:spcAft>
                <a:spcPts val="0"/>
              </a:spcAft>
              <a:buClrTx/>
              <a:buSzTx/>
              <a:buFontTx/>
              <a:buNone/>
              <a:tabLst/>
              <a:defRPr>
                <a:solidFill>
                  <a:sysClr val="windowText" lastClr="000000">
                    <a:lumMod val="65000"/>
                    <a:lumOff val="35000"/>
                  </a:sysClr>
                </a:solidFill>
              </a:defRPr>
            </a:pPr>
            <a:r>
              <a:rPr lang="es-CO" sz="1400"/>
              <a:t>Comunas</a:t>
            </a:r>
            <a:endParaRPr lang="es-CO" sz="1400" baseline="0"/>
          </a:p>
          <a:p>
            <a:pPr marL="0" marR="0" lvl="0" indent="0" algn="ctr" defTabSz="914400" rtl="0" eaLnBrk="1" fontAlgn="auto" latinLnBrk="0" hangingPunct="1">
              <a:lnSpc>
                <a:spcPct val="100000"/>
              </a:lnSpc>
              <a:spcBef>
                <a:spcPts val="0"/>
              </a:spcBef>
              <a:spcAft>
                <a:spcPts val="0"/>
              </a:spcAft>
              <a:buClrTx/>
              <a:buSzTx/>
              <a:buFontTx/>
              <a:buNone/>
              <a:tabLst/>
              <a:defRPr>
                <a:solidFill>
                  <a:sysClr val="windowText" lastClr="000000">
                    <a:lumMod val="65000"/>
                    <a:lumOff val="35000"/>
                  </a:sysClr>
                </a:solidFill>
              </a:defRPr>
            </a:pPr>
            <a:r>
              <a:rPr lang="es-CO" sz="1400" b="0" i="0" baseline="0">
                <a:effectLst/>
              </a:rPr>
              <a:t>Aprendizaje: Reflexiona</a:t>
            </a:r>
            <a:endParaRPr lang="es-CO" sz="1400">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es-CO"/>
        </a:p>
      </c:txPr>
    </c:title>
    <c:autoTitleDeleted val="0"/>
    <c:plotArea>
      <c:layout/>
      <c:barChart>
        <c:barDir val="col"/>
        <c:grouping val="clustered"/>
        <c:varyColors val="0"/>
        <c:ser>
          <c:idx val="0"/>
          <c:order val="0"/>
          <c:tx>
            <c:strRef>
              <c:f>LC!$E$307</c:f>
              <c:strCache>
                <c:ptCount val="1"/>
                <c:pt idx="0">
                  <c:v>COMUNA 1</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LC!$F$305:$N$305</c:f>
              <c:numCache>
                <c:formatCode>General</c:formatCode>
                <c:ptCount val="9"/>
                <c:pt idx="0">
                  <c:v>2016</c:v>
                </c:pt>
                <c:pt idx="1">
                  <c:v>2017</c:v>
                </c:pt>
                <c:pt idx="2">
                  <c:v>2018</c:v>
                </c:pt>
                <c:pt idx="3">
                  <c:v>2019</c:v>
                </c:pt>
                <c:pt idx="4">
                  <c:v>2020</c:v>
                </c:pt>
                <c:pt idx="5">
                  <c:v>2021</c:v>
                </c:pt>
                <c:pt idx="6">
                  <c:v>2022</c:v>
                </c:pt>
                <c:pt idx="7">
                  <c:v>2023</c:v>
                </c:pt>
                <c:pt idx="8">
                  <c:v>2024</c:v>
                </c:pt>
              </c:numCache>
            </c:numRef>
          </c:cat>
          <c:val>
            <c:numRef>
              <c:f>LC!$F$307:$N$307</c:f>
              <c:numCache>
                <c:formatCode>0%</c:formatCode>
                <c:ptCount val="9"/>
                <c:pt idx="0">
                  <c:v>0.55941176470588239</c:v>
                </c:pt>
                <c:pt idx="1">
                  <c:v>0.46562499999999996</c:v>
                </c:pt>
                <c:pt idx="2">
                  <c:v>0.49941176470588228</c:v>
                </c:pt>
                <c:pt idx="3">
                  <c:v>0.42529411764705882</c:v>
                </c:pt>
                <c:pt idx="4">
                  <c:v>0.3605882352941176</c:v>
                </c:pt>
                <c:pt idx="5">
                  <c:v>0.53647058823529414</c:v>
                </c:pt>
                <c:pt idx="6">
                  <c:v>0.44500000000000001</c:v>
                </c:pt>
                <c:pt idx="7">
                  <c:v>0.48941176470588227</c:v>
                </c:pt>
                <c:pt idx="8">
                  <c:v>0.32937500000000003</c:v>
                </c:pt>
              </c:numCache>
            </c:numRef>
          </c:val>
          <c:extLst>
            <c:ext xmlns:c16="http://schemas.microsoft.com/office/drawing/2014/chart" uri="{C3380CC4-5D6E-409C-BE32-E72D297353CC}">
              <c16:uniqueId val="{00000000-5C58-42D4-837C-F9E87427CB52}"/>
            </c:ext>
          </c:extLst>
        </c:ser>
        <c:ser>
          <c:idx val="1"/>
          <c:order val="1"/>
          <c:tx>
            <c:strRef>
              <c:f>LC!$E$308</c:f>
              <c:strCache>
                <c:ptCount val="1"/>
                <c:pt idx="0">
                  <c:v>COMUNA 2</c:v>
                </c:pt>
              </c:strCache>
            </c:strRef>
          </c:tx>
          <c:spPr>
            <a:solidFill>
              <a:schemeClr val="accent2"/>
            </a:solidFill>
            <a:ln>
              <a:noFill/>
            </a:ln>
            <a:effectLst/>
          </c:spPr>
          <c:invertIfNegative val="0"/>
          <c:cat>
            <c:numRef>
              <c:f>LC!$F$305:$N$305</c:f>
              <c:numCache>
                <c:formatCode>General</c:formatCode>
                <c:ptCount val="9"/>
                <c:pt idx="0">
                  <c:v>2016</c:v>
                </c:pt>
                <c:pt idx="1">
                  <c:v>2017</c:v>
                </c:pt>
                <c:pt idx="2">
                  <c:v>2018</c:v>
                </c:pt>
                <c:pt idx="3">
                  <c:v>2019</c:v>
                </c:pt>
                <c:pt idx="4">
                  <c:v>2020</c:v>
                </c:pt>
                <c:pt idx="5">
                  <c:v>2021</c:v>
                </c:pt>
                <c:pt idx="6">
                  <c:v>2022</c:v>
                </c:pt>
                <c:pt idx="7">
                  <c:v>2023</c:v>
                </c:pt>
                <c:pt idx="8">
                  <c:v>2024</c:v>
                </c:pt>
              </c:numCache>
            </c:numRef>
          </c:cat>
          <c:val>
            <c:numRef>
              <c:f>LC!$F$308:$N$308</c:f>
              <c:numCache>
                <c:formatCode>0%</c:formatCode>
                <c:ptCount val="9"/>
                <c:pt idx="0">
                  <c:v>0.51300000000000001</c:v>
                </c:pt>
                <c:pt idx="1">
                  <c:v>0.44263157894736832</c:v>
                </c:pt>
                <c:pt idx="2">
                  <c:v>0.48052631578947363</c:v>
                </c:pt>
                <c:pt idx="3">
                  <c:v>0.39500000000000007</c:v>
                </c:pt>
                <c:pt idx="4">
                  <c:v>0.36166666666666664</c:v>
                </c:pt>
                <c:pt idx="5">
                  <c:v>0.52727272727272745</c:v>
                </c:pt>
                <c:pt idx="6">
                  <c:v>0.39760000000000006</c:v>
                </c:pt>
                <c:pt idx="7">
                  <c:v>0.45000000000000007</c:v>
                </c:pt>
                <c:pt idx="8">
                  <c:v>0.29043478260869565</c:v>
                </c:pt>
              </c:numCache>
            </c:numRef>
          </c:val>
          <c:extLst>
            <c:ext xmlns:c16="http://schemas.microsoft.com/office/drawing/2014/chart" uri="{C3380CC4-5D6E-409C-BE32-E72D297353CC}">
              <c16:uniqueId val="{00000001-5C58-42D4-837C-F9E87427CB52}"/>
            </c:ext>
          </c:extLst>
        </c:ser>
        <c:ser>
          <c:idx val="2"/>
          <c:order val="2"/>
          <c:tx>
            <c:strRef>
              <c:f>LC!$E$309</c:f>
              <c:strCache>
                <c:ptCount val="1"/>
                <c:pt idx="0">
                  <c:v>COMUNA 3</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LC!$F$305:$N$305</c:f>
              <c:numCache>
                <c:formatCode>General</c:formatCode>
                <c:ptCount val="9"/>
                <c:pt idx="0">
                  <c:v>2016</c:v>
                </c:pt>
                <c:pt idx="1">
                  <c:v>2017</c:v>
                </c:pt>
                <c:pt idx="2">
                  <c:v>2018</c:v>
                </c:pt>
                <c:pt idx="3">
                  <c:v>2019</c:v>
                </c:pt>
                <c:pt idx="4">
                  <c:v>2020</c:v>
                </c:pt>
                <c:pt idx="5">
                  <c:v>2021</c:v>
                </c:pt>
                <c:pt idx="6">
                  <c:v>2022</c:v>
                </c:pt>
                <c:pt idx="7">
                  <c:v>2023</c:v>
                </c:pt>
                <c:pt idx="8">
                  <c:v>2024</c:v>
                </c:pt>
              </c:numCache>
            </c:numRef>
          </c:cat>
          <c:val>
            <c:numRef>
              <c:f>LC!$F$309:$N$309</c:f>
              <c:numCache>
                <c:formatCode>0%</c:formatCode>
                <c:ptCount val="9"/>
                <c:pt idx="0">
                  <c:v>0.51888888888888884</c:v>
                </c:pt>
                <c:pt idx="1">
                  <c:v>0.44631578947368422</c:v>
                </c:pt>
                <c:pt idx="2">
                  <c:v>0.47842105263157886</c:v>
                </c:pt>
                <c:pt idx="3">
                  <c:v>0.39368421052631569</c:v>
                </c:pt>
                <c:pt idx="4">
                  <c:v>0.34550000000000003</c:v>
                </c:pt>
                <c:pt idx="5">
                  <c:v>0.51100000000000012</c:v>
                </c:pt>
                <c:pt idx="6">
                  <c:v>0.40045454545454545</c:v>
                </c:pt>
                <c:pt idx="7">
                  <c:v>0.4540909090909091</c:v>
                </c:pt>
                <c:pt idx="8">
                  <c:v>0.30909090909090908</c:v>
                </c:pt>
              </c:numCache>
            </c:numRef>
          </c:val>
          <c:extLst>
            <c:ext xmlns:c16="http://schemas.microsoft.com/office/drawing/2014/chart" uri="{C3380CC4-5D6E-409C-BE32-E72D297353CC}">
              <c16:uniqueId val="{00000002-5C58-42D4-837C-F9E87427CB52}"/>
            </c:ext>
          </c:extLst>
        </c:ser>
        <c:ser>
          <c:idx val="3"/>
          <c:order val="3"/>
          <c:tx>
            <c:strRef>
              <c:f>LC!$E$310</c:f>
              <c:strCache>
                <c:ptCount val="1"/>
                <c:pt idx="0">
                  <c:v>COMUNA 4</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LC!$F$305:$N$305</c:f>
              <c:numCache>
                <c:formatCode>General</c:formatCode>
                <c:ptCount val="9"/>
                <c:pt idx="0">
                  <c:v>2016</c:v>
                </c:pt>
                <c:pt idx="1">
                  <c:v>2017</c:v>
                </c:pt>
                <c:pt idx="2">
                  <c:v>2018</c:v>
                </c:pt>
                <c:pt idx="3">
                  <c:v>2019</c:v>
                </c:pt>
                <c:pt idx="4">
                  <c:v>2020</c:v>
                </c:pt>
                <c:pt idx="5">
                  <c:v>2021</c:v>
                </c:pt>
                <c:pt idx="6">
                  <c:v>2022</c:v>
                </c:pt>
                <c:pt idx="7">
                  <c:v>2023</c:v>
                </c:pt>
                <c:pt idx="8">
                  <c:v>2024</c:v>
                </c:pt>
              </c:numCache>
            </c:numRef>
          </c:cat>
          <c:val>
            <c:numRef>
              <c:f>LC!$F$310:$N$310</c:f>
              <c:numCache>
                <c:formatCode>0%</c:formatCode>
                <c:ptCount val="9"/>
                <c:pt idx="0">
                  <c:v>0.59214285714285708</c:v>
                </c:pt>
                <c:pt idx="1">
                  <c:v>0.49071428571428577</c:v>
                </c:pt>
                <c:pt idx="2">
                  <c:v>0.51733333333333342</c:v>
                </c:pt>
                <c:pt idx="3">
                  <c:v>0.43857142857142856</c:v>
                </c:pt>
                <c:pt idx="4">
                  <c:v>0.41923076923076918</c:v>
                </c:pt>
                <c:pt idx="5">
                  <c:v>0.56857142857142873</c:v>
                </c:pt>
                <c:pt idx="6">
                  <c:v>0.47500000000000009</c:v>
                </c:pt>
                <c:pt idx="7">
                  <c:v>0.54599999999999993</c:v>
                </c:pt>
                <c:pt idx="8">
                  <c:v>0.37692307692307697</c:v>
                </c:pt>
              </c:numCache>
            </c:numRef>
          </c:val>
          <c:extLst>
            <c:ext xmlns:c16="http://schemas.microsoft.com/office/drawing/2014/chart" uri="{C3380CC4-5D6E-409C-BE32-E72D297353CC}">
              <c16:uniqueId val="{00000003-5C58-42D4-837C-F9E87427CB52}"/>
            </c:ext>
          </c:extLst>
        </c:ser>
        <c:ser>
          <c:idx val="4"/>
          <c:order val="4"/>
          <c:tx>
            <c:strRef>
              <c:f>LC!$E$311</c:f>
              <c:strCache>
                <c:ptCount val="1"/>
                <c:pt idx="0">
                  <c:v>COMUNA 5</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LC!$F$305:$N$305</c:f>
              <c:numCache>
                <c:formatCode>General</c:formatCode>
                <c:ptCount val="9"/>
                <c:pt idx="0">
                  <c:v>2016</c:v>
                </c:pt>
                <c:pt idx="1">
                  <c:v>2017</c:v>
                </c:pt>
                <c:pt idx="2">
                  <c:v>2018</c:v>
                </c:pt>
                <c:pt idx="3">
                  <c:v>2019</c:v>
                </c:pt>
                <c:pt idx="4">
                  <c:v>2020</c:v>
                </c:pt>
                <c:pt idx="5">
                  <c:v>2021</c:v>
                </c:pt>
                <c:pt idx="6">
                  <c:v>2022</c:v>
                </c:pt>
                <c:pt idx="7">
                  <c:v>2023</c:v>
                </c:pt>
                <c:pt idx="8">
                  <c:v>2024</c:v>
                </c:pt>
              </c:numCache>
            </c:numRef>
          </c:cat>
          <c:val>
            <c:numRef>
              <c:f>LC!$F$311:$N$311</c:f>
              <c:numCache>
                <c:formatCode>0%</c:formatCode>
                <c:ptCount val="9"/>
                <c:pt idx="0">
                  <c:v>0.53117647058823536</c:v>
                </c:pt>
                <c:pt idx="1">
                  <c:v>0.435</c:v>
                </c:pt>
                <c:pt idx="2">
                  <c:v>0.46444444444444444</c:v>
                </c:pt>
                <c:pt idx="3">
                  <c:v>0.37894736842105264</c:v>
                </c:pt>
                <c:pt idx="4">
                  <c:v>0.30444444444444441</c:v>
                </c:pt>
                <c:pt idx="5">
                  <c:v>0.48444444444444446</c:v>
                </c:pt>
                <c:pt idx="6">
                  <c:v>0.37823529411764706</c:v>
                </c:pt>
                <c:pt idx="7">
                  <c:v>0.4205882352941176</c:v>
                </c:pt>
                <c:pt idx="8">
                  <c:v>0.30666666666666664</c:v>
                </c:pt>
              </c:numCache>
            </c:numRef>
          </c:val>
          <c:extLst>
            <c:ext xmlns:c16="http://schemas.microsoft.com/office/drawing/2014/chart" uri="{C3380CC4-5D6E-409C-BE32-E72D297353CC}">
              <c16:uniqueId val="{00000004-5C58-42D4-837C-F9E87427CB52}"/>
            </c:ext>
          </c:extLst>
        </c:ser>
        <c:ser>
          <c:idx val="5"/>
          <c:order val="5"/>
          <c:tx>
            <c:strRef>
              <c:f>LC!$E$312</c:f>
              <c:strCache>
                <c:ptCount val="1"/>
                <c:pt idx="0">
                  <c:v>COMUNA 6</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LC!$F$305:$N$305</c:f>
              <c:numCache>
                <c:formatCode>General</c:formatCode>
                <c:ptCount val="9"/>
                <c:pt idx="0">
                  <c:v>2016</c:v>
                </c:pt>
                <c:pt idx="1">
                  <c:v>2017</c:v>
                </c:pt>
                <c:pt idx="2">
                  <c:v>2018</c:v>
                </c:pt>
                <c:pt idx="3">
                  <c:v>2019</c:v>
                </c:pt>
                <c:pt idx="4">
                  <c:v>2020</c:v>
                </c:pt>
                <c:pt idx="5">
                  <c:v>2021</c:v>
                </c:pt>
                <c:pt idx="6">
                  <c:v>2022</c:v>
                </c:pt>
                <c:pt idx="7">
                  <c:v>2023</c:v>
                </c:pt>
                <c:pt idx="8">
                  <c:v>2024</c:v>
                </c:pt>
              </c:numCache>
            </c:numRef>
          </c:cat>
          <c:val>
            <c:numRef>
              <c:f>LC!$F$312:$N$312</c:f>
              <c:numCache>
                <c:formatCode>0%</c:formatCode>
                <c:ptCount val="9"/>
                <c:pt idx="0">
                  <c:v>0.53599999999999992</c:v>
                </c:pt>
                <c:pt idx="1">
                  <c:v>0.47666666666666668</c:v>
                </c:pt>
                <c:pt idx="2">
                  <c:v>0.50357142857142856</c:v>
                </c:pt>
                <c:pt idx="3">
                  <c:v>0.38933333333333336</c:v>
                </c:pt>
                <c:pt idx="4">
                  <c:v>0.37882352941176473</c:v>
                </c:pt>
                <c:pt idx="5">
                  <c:v>0.53437500000000004</c:v>
                </c:pt>
                <c:pt idx="6">
                  <c:v>0.44210526315789478</c:v>
                </c:pt>
                <c:pt idx="7">
                  <c:v>0.46149999999999991</c:v>
                </c:pt>
                <c:pt idx="8">
                  <c:v>0.36500000000000005</c:v>
                </c:pt>
              </c:numCache>
            </c:numRef>
          </c:val>
          <c:extLst>
            <c:ext xmlns:c16="http://schemas.microsoft.com/office/drawing/2014/chart" uri="{C3380CC4-5D6E-409C-BE32-E72D297353CC}">
              <c16:uniqueId val="{00000005-5C58-42D4-837C-F9E87427CB52}"/>
            </c:ext>
          </c:extLst>
        </c:ser>
        <c:dLbls>
          <c:showLegendKey val="0"/>
          <c:showVal val="0"/>
          <c:showCatName val="0"/>
          <c:showSerName val="0"/>
          <c:showPercent val="0"/>
          <c:showBubbleSize val="0"/>
        </c:dLbls>
        <c:gapWidth val="150"/>
        <c:axId val="922625440"/>
        <c:axId val="922145264"/>
      </c:barChart>
      <c:catAx>
        <c:axId val="9226254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922145264"/>
        <c:crossesAt val="0"/>
        <c:auto val="1"/>
        <c:lblAlgn val="ctr"/>
        <c:lblOffset val="100"/>
        <c:noMultiLvlLbl val="0"/>
      </c:catAx>
      <c:valAx>
        <c:axId val="9221452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92262544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sz="1400"/>
              <a:t>Resultados</a:t>
            </a:r>
            <a:r>
              <a:rPr lang="es-CO" sz="1400" baseline="0"/>
              <a:t> Matemáticas por comuna 2016-2024</a:t>
            </a:r>
            <a:endParaRPr lang="es-CO" sz="1400" b="1" i="0" u="none" strike="noStrike" baseline="0">
              <a:effectLst/>
            </a:endParaRPr>
          </a:p>
        </c:rich>
      </c:tx>
      <c:layout>
        <c:manualLayout>
          <c:xMode val="edge"/>
          <c:yMode val="edge"/>
          <c:x val="0.2093444064392484"/>
          <c:y val="1.8518396933468566E-2"/>
        </c:manualLayout>
      </c:layout>
      <c:overlay val="0"/>
    </c:title>
    <c:autoTitleDeleted val="0"/>
    <c:plotArea>
      <c:layout/>
      <c:radarChart>
        <c:radarStyle val="marker"/>
        <c:varyColors val="0"/>
        <c:ser>
          <c:idx val="0"/>
          <c:order val="0"/>
          <c:tx>
            <c:strRef>
              <c:f>MATE!$Z$179</c:f>
              <c:strCache>
                <c:ptCount val="1"/>
                <c:pt idx="0">
                  <c:v>2016</c:v>
                </c:pt>
              </c:strCache>
            </c:strRef>
          </c:tx>
          <c:spPr>
            <a:ln>
              <a:prstDash val="lgDashDot"/>
            </a:ln>
          </c:spPr>
          <c:cat>
            <c:strRef>
              <c:f>MATE!$Y$180:$Y$185</c:f>
              <c:strCache>
                <c:ptCount val="6"/>
                <c:pt idx="0">
                  <c:v>COMUNA 1</c:v>
                </c:pt>
                <c:pt idx="1">
                  <c:v>COMUNA 2</c:v>
                </c:pt>
                <c:pt idx="2">
                  <c:v>COMUNA 3</c:v>
                </c:pt>
                <c:pt idx="3">
                  <c:v>COMUNA 4</c:v>
                </c:pt>
                <c:pt idx="4">
                  <c:v>COMUNA 5</c:v>
                </c:pt>
                <c:pt idx="5">
                  <c:v>COMUNA 6</c:v>
                </c:pt>
              </c:strCache>
            </c:strRef>
          </c:cat>
          <c:val>
            <c:numRef>
              <c:f>MATE!$Z$180:$Z$185</c:f>
              <c:numCache>
                <c:formatCode>0</c:formatCode>
                <c:ptCount val="6"/>
                <c:pt idx="0">
                  <c:v>51.823529411764703</c:v>
                </c:pt>
                <c:pt idx="1">
                  <c:v>52.6</c:v>
                </c:pt>
                <c:pt idx="2">
                  <c:v>53.25</c:v>
                </c:pt>
                <c:pt idx="3">
                  <c:v>48.357142857142854</c:v>
                </c:pt>
                <c:pt idx="4">
                  <c:v>54.470588235294116</c:v>
                </c:pt>
                <c:pt idx="5">
                  <c:v>52.266666666666666</c:v>
                </c:pt>
              </c:numCache>
            </c:numRef>
          </c:val>
          <c:extLst>
            <c:ext xmlns:c16="http://schemas.microsoft.com/office/drawing/2014/chart" uri="{C3380CC4-5D6E-409C-BE32-E72D297353CC}">
              <c16:uniqueId val="{00000000-5DF6-45BB-A5DA-FBDF1A1291BA}"/>
            </c:ext>
          </c:extLst>
        </c:ser>
        <c:ser>
          <c:idx val="1"/>
          <c:order val="1"/>
          <c:tx>
            <c:strRef>
              <c:f>MATE!$AA$179</c:f>
              <c:strCache>
                <c:ptCount val="1"/>
                <c:pt idx="0">
                  <c:v>2017</c:v>
                </c:pt>
              </c:strCache>
            </c:strRef>
          </c:tx>
          <c:cat>
            <c:strRef>
              <c:f>MATE!$Y$180:$Y$185</c:f>
              <c:strCache>
                <c:ptCount val="6"/>
                <c:pt idx="0">
                  <c:v>COMUNA 1</c:v>
                </c:pt>
                <c:pt idx="1">
                  <c:v>COMUNA 2</c:v>
                </c:pt>
                <c:pt idx="2">
                  <c:v>COMUNA 3</c:v>
                </c:pt>
                <c:pt idx="3">
                  <c:v>COMUNA 4</c:v>
                </c:pt>
                <c:pt idx="4">
                  <c:v>COMUNA 5</c:v>
                </c:pt>
                <c:pt idx="5">
                  <c:v>COMUNA 6</c:v>
                </c:pt>
              </c:strCache>
            </c:strRef>
          </c:cat>
          <c:val>
            <c:numRef>
              <c:f>MATE!$AA$180:$AA$185</c:f>
              <c:numCache>
                <c:formatCode>0</c:formatCode>
                <c:ptCount val="6"/>
                <c:pt idx="0">
                  <c:v>51.625</c:v>
                </c:pt>
                <c:pt idx="1">
                  <c:v>52.157894736842103</c:v>
                </c:pt>
                <c:pt idx="2">
                  <c:v>52.058823529411768</c:v>
                </c:pt>
                <c:pt idx="3">
                  <c:v>49.666666666666664</c:v>
                </c:pt>
                <c:pt idx="4">
                  <c:v>54.705882352941174</c:v>
                </c:pt>
                <c:pt idx="5">
                  <c:v>51</c:v>
                </c:pt>
              </c:numCache>
            </c:numRef>
          </c:val>
          <c:extLst>
            <c:ext xmlns:c16="http://schemas.microsoft.com/office/drawing/2014/chart" uri="{C3380CC4-5D6E-409C-BE32-E72D297353CC}">
              <c16:uniqueId val="{00000001-5DF6-45BB-A5DA-FBDF1A1291BA}"/>
            </c:ext>
          </c:extLst>
        </c:ser>
        <c:ser>
          <c:idx val="2"/>
          <c:order val="2"/>
          <c:tx>
            <c:strRef>
              <c:f>MATE!$AB$179</c:f>
              <c:strCache>
                <c:ptCount val="1"/>
                <c:pt idx="0">
                  <c:v>2018</c:v>
                </c:pt>
              </c:strCache>
            </c:strRef>
          </c:tx>
          <c:spPr>
            <a:ln>
              <a:prstDash val="sysDash"/>
            </a:ln>
          </c:spPr>
          <c:cat>
            <c:strRef>
              <c:f>MATE!$Y$180:$Y$185</c:f>
              <c:strCache>
                <c:ptCount val="6"/>
                <c:pt idx="0">
                  <c:v>COMUNA 1</c:v>
                </c:pt>
                <c:pt idx="1">
                  <c:v>COMUNA 2</c:v>
                </c:pt>
                <c:pt idx="2">
                  <c:v>COMUNA 3</c:v>
                </c:pt>
                <c:pt idx="3">
                  <c:v>COMUNA 4</c:v>
                </c:pt>
                <c:pt idx="4">
                  <c:v>COMUNA 5</c:v>
                </c:pt>
                <c:pt idx="5">
                  <c:v>COMUNA 6</c:v>
                </c:pt>
              </c:strCache>
            </c:strRef>
          </c:cat>
          <c:val>
            <c:numRef>
              <c:f>MATE!$AB$180:$AB$185</c:f>
              <c:numCache>
                <c:formatCode>0</c:formatCode>
                <c:ptCount val="6"/>
                <c:pt idx="0">
                  <c:v>51.823529411764703</c:v>
                </c:pt>
                <c:pt idx="1">
                  <c:v>52.842105263157897</c:v>
                </c:pt>
                <c:pt idx="2">
                  <c:v>52.823529411764703</c:v>
                </c:pt>
                <c:pt idx="3">
                  <c:v>50.466666666666669</c:v>
                </c:pt>
                <c:pt idx="4">
                  <c:v>54.777777777777779</c:v>
                </c:pt>
                <c:pt idx="5">
                  <c:v>52.142857142857146</c:v>
                </c:pt>
              </c:numCache>
            </c:numRef>
          </c:val>
          <c:extLst>
            <c:ext xmlns:c16="http://schemas.microsoft.com/office/drawing/2014/chart" uri="{C3380CC4-5D6E-409C-BE32-E72D297353CC}">
              <c16:uniqueId val="{00000002-5DF6-45BB-A5DA-FBDF1A1291BA}"/>
            </c:ext>
          </c:extLst>
        </c:ser>
        <c:ser>
          <c:idx val="3"/>
          <c:order val="3"/>
          <c:tx>
            <c:strRef>
              <c:f>MATE!$AC$179</c:f>
              <c:strCache>
                <c:ptCount val="1"/>
                <c:pt idx="0">
                  <c:v>2019</c:v>
                </c:pt>
              </c:strCache>
            </c:strRef>
          </c:tx>
          <c:cat>
            <c:strRef>
              <c:f>MATE!$Y$180:$Y$185</c:f>
              <c:strCache>
                <c:ptCount val="6"/>
                <c:pt idx="0">
                  <c:v>COMUNA 1</c:v>
                </c:pt>
                <c:pt idx="1">
                  <c:v>COMUNA 2</c:v>
                </c:pt>
                <c:pt idx="2">
                  <c:v>COMUNA 3</c:v>
                </c:pt>
                <c:pt idx="3">
                  <c:v>COMUNA 4</c:v>
                </c:pt>
                <c:pt idx="4">
                  <c:v>COMUNA 5</c:v>
                </c:pt>
                <c:pt idx="5">
                  <c:v>COMUNA 6</c:v>
                </c:pt>
              </c:strCache>
            </c:strRef>
          </c:cat>
          <c:val>
            <c:numRef>
              <c:f>MATE!$AC$180:$AC$185</c:f>
              <c:numCache>
                <c:formatCode>0</c:formatCode>
                <c:ptCount val="6"/>
                <c:pt idx="0">
                  <c:v>52.647058823529413</c:v>
                </c:pt>
                <c:pt idx="1">
                  <c:v>53.75</c:v>
                </c:pt>
                <c:pt idx="2">
                  <c:v>53</c:v>
                </c:pt>
                <c:pt idx="3">
                  <c:v>49.714285714285715</c:v>
                </c:pt>
                <c:pt idx="4">
                  <c:v>55.368421052631582</c:v>
                </c:pt>
                <c:pt idx="5">
                  <c:v>53.6</c:v>
                </c:pt>
              </c:numCache>
            </c:numRef>
          </c:val>
          <c:extLst>
            <c:ext xmlns:c16="http://schemas.microsoft.com/office/drawing/2014/chart" uri="{C3380CC4-5D6E-409C-BE32-E72D297353CC}">
              <c16:uniqueId val="{00000003-5DF6-45BB-A5DA-FBDF1A1291BA}"/>
            </c:ext>
          </c:extLst>
        </c:ser>
        <c:ser>
          <c:idx val="4"/>
          <c:order val="4"/>
          <c:tx>
            <c:strRef>
              <c:f>MATE!$AD$179</c:f>
              <c:strCache>
                <c:ptCount val="1"/>
                <c:pt idx="0">
                  <c:v>2020</c:v>
                </c:pt>
              </c:strCache>
            </c:strRef>
          </c:tx>
          <c:cat>
            <c:strRef>
              <c:f>MATE!$Y$180:$Y$185</c:f>
              <c:strCache>
                <c:ptCount val="6"/>
                <c:pt idx="0">
                  <c:v>COMUNA 1</c:v>
                </c:pt>
                <c:pt idx="1">
                  <c:v>COMUNA 2</c:v>
                </c:pt>
                <c:pt idx="2">
                  <c:v>COMUNA 3</c:v>
                </c:pt>
                <c:pt idx="3">
                  <c:v>COMUNA 4</c:v>
                </c:pt>
                <c:pt idx="4">
                  <c:v>COMUNA 5</c:v>
                </c:pt>
                <c:pt idx="5">
                  <c:v>COMUNA 6</c:v>
                </c:pt>
              </c:strCache>
            </c:strRef>
          </c:cat>
          <c:val>
            <c:numRef>
              <c:f>MATE!$AD$180:$AD$185</c:f>
              <c:numCache>
                <c:formatCode>0</c:formatCode>
                <c:ptCount val="6"/>
                <c:pt idx="0">
                  <c:v>53.294117647058826</c:v>
                </c:pt>
                <c:pt idx="1">
                  <c:v>52.791666666666664</c:v>
                </c:pt>
                <c:pt idx="2">
                  <c:v>53.94736842105263</c:v>
                </c:pt>
                <c:pt idx="3">
                  <c:v>49.153846153846153</c:v>
                </c:pt>
                <c:pt idx="4">
                  <c:v>55.944444444444443</c:v>
                </c:pt>
                <c:pt idx="5">
                  <c:v>52.117647058823529</c:v>
                </c:pt>
              </c:numCache>
            </c:numRef>
          </c:val>
          <c:extLst>
            <c:ext xmlns:c16="http://schemas.microsoft.com/office/drawing/2014/chart" uri="{C3380CC4-5D6E-409C-BE32-E72D297353CC}">
              <c16:uniqueId val="{00000001-3120-478D-84CE-4137C6336ACB}"/>
            </c:ext>
          </c:extLst>
        </c:ser>
        <c:ser>
          <c:idx val="5"/>
          <c:order val="5"/>
          <c:tx>
            <c:strRef>
              <c:f>MATE!$AE$179</c:f>
              <c:strCache>
                <c:ptCount val="1"/>
                <c:pt idx="0">
                  <c:v>2021</c:v>
                </c:pt>
              </c:strCache>
            </c:strRef>
          </c:tx>
          <c:cat>
            <c:strRef>
              <c:f>MATE!$Y$180:$Y$185</c:f>
              <c:strCache>
                <c:ptCount val="6"/>
                <c:pt idx="0">
                  <c:v>COMUNA 1</c:v>
                </c:pt>
                <c:pt idx="1">
                  <c:v>COMUNA 2</c:v>
                </c:pt>
                <c:pt idx="2">
                  <c:v>COMUNA 3</c:v>
                </c:pt>
                <c:pt idx="3">
                  <c:v>COMUNA 4</c:v>
                </c:pt>
                <c:pt idx="4">
                  <c:v>COMUNA 5</c:v>
                </c:pt>
                <c:pt idx="5">
                  <c:v>COMUNA 6</c:v>
                </c:pt>
              </c:strCache>
            </c:strRef>
          </c:cat>
          <c:val>
            <c:numRef>
              <c:f>MATE!$AE$180:$AE$185</c:f>
              <c:numCache>
                <c:formatCode>0</c:formatCode>
                <c:ptCount val="6"/>
                <c:pt idx="0">
                  <c:v>52.470588235294116</c:v>
                </c:pt>
                <c:pt idx="1">
                  <c:v>52.18181818181818</c:v>
                </c:pt>
                <c:pt idx="2">
                  <c:v>52.6</c:v>
                </c:pt>
                <c:pt idx="3">
                  <c:v>48.5</c:v>
                </c:pt>
                <c:pt idx="4">
                  <c:v>54.277777777777779</c:v>
                </c:pt>
                <c:pt idx="5">
                  <c:v>51.6875</c:v>
                </c:pt>
              </c:numCache>
            </c:numRef>
          </c:val>
          <c:extLst>
            <c:ext xmlns:c16="http://schemas.microsoft.com/office/drawing/2014/chart" uri="{C3380CC4-5D6E-409C-BE32-E72D297353CC}">
              <c16:uniqueId val="{00000000-ECE0-478A-81C6-64B587B3AED6}"/>
            </c:ext>
          </c:extLst>
        </c:ser>
        <c:ser>
          <c:idx val="6"/>
          <c:order val="6"/>
          <c:tx>
            <c:strRef>
              <c:f>MATE!$AF$179</c:f>
              <c:strCache>
                <c:ptCount val="1"/>
                <c:pt idx="0">
                  <c:v>2022</c:v>
                </c:pt>
              </c:strCache>
            </c:strRef>
          </c:tx>
          <c:cat>
            <c:strRef>
              <c:f>MATE!$Y$180:$Y$185</c:f>
              <c:strCache>
                <c:ptCount val="6"/>
                <c:pt idx="0">
                  <c:v>COMUNA 1</c:v>
                </c:pt>
                <c:pt idx="1">
                  <c:v>COMUNA 2</c:v>
                </c:pt>
                <c:pt idx="2">
                  <c:v>COMUNA 3</c:v>
                </c:pt>
                <c:pt idx="3">
                  <c:v>COMUNA 4</c:v>
                </c:pt>
                <c:pt idx="4">
                  <c:v>COMUNA 5</c:v>
                </c:pt>
                <c:pt idx="5">
                  <c:v>COMUNA 6</c:v>
                </c:pt>
              </c:strCache>
            </c:strRef>
          </c:cat>
          <c:val>
            <c:numRef>
              <c:f>MATE!$AF$180:$AF$185</c:f>
              <c:numCache>
                <c:formatCode>0</c:formatCode>
                <c:ptCount val="6"/>
                <c:pt idx="0">
                  <c:v>52.444444444444443</c:v>
                </c:pt>
                <c:pt idx="1">
                  <c:v>53.96</c:v>
                </c:pt>
                <c:pt idx="2">
                  <c:v>53.81818181818182</c:v>
                </c:pt>
                <c:pt idx="3">
                  <c:v>50.714285714285715</c:v>
                </c:pt>
                <c:pt idx="4">
                  <c:v>55.882352941176471</c:v>
                </c:pt>
                <c:pt idx="5">
                  <c:v>52.05263157894737</c:v>
                </c:pt>
              </c:numCache>
            </c:numRef>
          </c:val>
          <c:extLst>
            <c:ext xmlns:c16="http://schemas.microsoft.com/office/drawing/2014/chart" uri="{C3380CC4-5D6E-409C-BE32-E72D297353CC}">
              <c16:uniqueId val="{00000000-61B5-40E5-A89E-49F69FFF718B}"/>
            </c:ext>
          </c:extLst>
        </c:ser>
        <c:ser>
          <c:idx val="7"/>
          <c:order val="7"/>
          <c:tx>
            <c:strRef>
              <c:f>MATE!$AG$179</c:f>
              <c:strCache>
                <c:ptCount val="1"/>
                <c:pt idx="0">
                  <c:v>2023</c:v>
                </c:pt>
              </c:strCache>
            </c:strRef>
          </c:tx>
          <c:cat>
            <c:strRef>
              <c:f>MATE!$Y$180:$Y$185</c:f>
              <c:strCache>
                <c:ptCount val="6"/>
                <c:pt idx="0">
                  <c:v>COMUNA 1</c:v>
                </c:pt>
                <c:pt idx="1">
                  <c:v>COMUNA 2</c:v>
                </c:pt>
                <c:pt idx="2">
                  <c:v>COMUNA 3</c:v>
                </c:pt>
                <c:pt idx="3">
                  <c:v>COMUNA 4</c:v>
                </c:pt>
                <c:pt idx="4">
                  <c:v>COMUNA 5</c:v>
                </c:pt>
                <c:pt idx="5">
                  <c:v>COMUNA 6</c:v>
                </c:pt>
              </c:strCache>
            </c:strRef>
          </c:cat>
          <c:val>
            <c:numRef>
              <c:f>MATE!$AG$180:$AG$185</c:f>
              <c:numCache>
                <c:formatCode>0</c:formatCode>
                <c:ptCount val="6"/>
                <c:pt idx="0">
                  <c:v>53.647058823529413</c:v>
                </c:pt>
                <c:pt idx="1">
                  <c:v>52.807692307692307</c:v>
                </c:pt>
                <c:pt idx="2">
                  <c:v>53.772727272727273</c:v>
                </c:pt>
                <c:pt idx="3">
                  <c:v>49.93333333333333</c:v>
                </c:pt>
                <c:pt idx="4">
                  <c:v>55.823529411764703</c:v>
                </c:pt>
                <c:pt idx="5">
                  <c:v>53.5</c:v>
                </c:pt>
              </c:numCache>
            </c:numRef>
          </c:val>
          <c:extLst>
            <c:ext xmlns:c16="http://schemas.microsoft.com/office/drawing/2014/chart" uri="{C3380CC4-5D6E-409C-BE32-E72D297353CC}">
              <c16:uniqueId val="{00000001-61B5-40E5-A89E-49F69FFF718B}"/>
            </c:ext>
          </c:extLst>
        </c:ser>
        <c:ser>
          <c:idx val="8"/>
          <c:order val="8"/>
          <c:tx>
            <c:strRef>
              <c:f>MATE!$AH$179</c:f>
              <c:strCache>
                <c:ptCount val="1"/>
                <c:pt idx="0">
                  <c:v>2024</c:v>
                </c:pt>
              </c:strCache>
            </c:strRef>
          </c:tx>
          <c:cat>
            <c:strRef>
              <c:f>MATE!$Y$180:$Y$185</c:f>
              <c:strCache>
                <c:ptCount val="6"/>
                <c:pt idx="0">
                  <c:v>COMUNA 1</c:v>
                </c:pt>
                <c:pt idx="1">
                  <c:v>COMUNA 2</c:v>
                </c:pt>
                <c:pt idx="2">
                  <c:v>COMUNA 3</c:v>
                </c:pt>
                <c:pt idx="3">
                  <c:v>COMUNA 4</c:v>
                </c:pt>
                <c:pt idx="4">
                  <c:v>COMUNA 5</c:v>
                </c:pt>
                <c:pt idx="5">
                  <c:v>COMUNA 6</c:v>
                </c:pt>
              </c:strCache>
            </c:strRef>
          </c:cat>
          <c:val>
            <c:numRef>
              <c:f>MATE!$AH$180:$AH$185</c:f>
              <c:numCache>
                <c:formatCode>0</c:formatCode>
                <c:ptCount val="6"/>
                <c:pt idx="0">
                  <c:v>53.833333333333336</c:v>
                </c:pt>
                <c:pt idx="1">
                  <c:v>54.958333333333336</c:v>
                </c:pt>
                <c:pt idx="2">
                  <c:v>54.454545454545453</c:v>
                </c:pt>
                <c:pt idx="3">
                  <c:v>52.153846153846153</c:v>
                </c:pt>
                <c:pt idx="4">
                  <c:v>55.888888888888886</c:v>
                </c:pt>
                <c:pt idx="5">
                  <c:v>53.666666666666664</c:v>
                </c:pt>
              </c:numCache>
            </c:numRef>
          </c:val>
          <c:extLst>
            <c:ext xmlns:c16="http://schemas.microsoft.com/office/drawing/2014/chart" uri="{C3380CC4-5D6E-409C-BE32-E72D297353CC}">
              <c16:uniqueId val="{00000000-E28B-4FCF-98E5-B64FB5FA7281}"/>
            </c:ext>
          </c:extLst>
        </c:ser>
        <c:dLbls>
          <c:showLegendKey val="0"/>
          <c:showVal val="0"/>
          <c:showCatName val="0"/>
          <c:showSerName val="0"/>
          <c:showPercent val="0"/>
          <c:showBubbleSize val="0"/>
        </c:dLbls>
        <c:axId val="38794368"/>
        <c:axId val="38795904"/>
      </c:radarChart>
      <c:catAx>
        <c:axId val="38794368"/>
        <c:scaling>
          <c:orientation val="minMax"/>
        </c:scaling>
        <c:delete val="0"/>
        <c:axPos val="b"/>
        <c:majorGridlines/>
        <c:numFmt formatCode="General" sourceLinked="0"/>
        <c:majorTickMark val="none"/>
        <c:minorTickMark val="none"/>
        <c:tickLblPos val="nextTo"/>
        <c:spPr>
          <a:ln w="9525">
            <a:noFill/>
          </a:ln>
        </c:spPr>
        <c:crossAx val="38795904"/>
        <c:crosses val="autoZero"/>
        <c:auto val="1"/>
        <c:lblAlgn val="ctr"/>
        <c:lblOffset val="100"/>
        <c:noMultiLvlLbl val="0"/>
      </c:catAx>
      <c:valAx>
        <c:axId val="38795904"/>
        <c:scaling>
          <c:orientation val="minMax"/>
          <c:max val="58"/>
          <c:min val="46"/>
        </c:scaling>
        <c:delete val="0"/>
        <c:axPos val="l"/>
        <c:majorGridlines/>
        <c:numFmt formatCode="0" sourceLinked="1"/>
        <c:majorTickMark val="none"/>
        <c:minorTickMark val="none"/>
        <c:tickLblPos val="nextTo"/>
        <c:crossAx val="38794368"/>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a:defRPr/>
            </a:pPr>
            <a:r>
              <a:rPr lang="es-CO" sz="1400" b="1" i="0" baseline="0">
                <a:effectLst/>
              </a:rPr>
              <a:t>Resultados Matemáticas </a:t>
            </a:r>
            <a:br>
              <a:rPr lang="es-CO" sz="1400" b="1" i="0" baseline="0">
                <a:effectLst/>
              </a:rPr>
            </a:br>
            <a:r>
              <a:rPr lang="es-CO" sz="1400" b="1" i="0" baseline="0">
                <a:effectLst/>
              </a:rPr>
              <a:t>Instituciones No Oficiales por comuna 2016-2024</a:t>
            </a:r>
            <a:endParaRPr lang="es-CO" sz="1400">
              <a:effectLst/>
            </a:endParaRPr>
          </a:p>
        </c:rich>
      </c:tx>
      <c:overlay val="0"/>
    </c:title>
    <c:autoTitleDeleted val="0"/>
    <c:plotArea>
      <c:layout>
        <c:manualLayout>
          <c:layoutTarget val="inner"/>
          <c:xMode val="edge"/>
          <c:yMode val="edge"/>
          <c:x val="0.27243612867681161"/>
          <c:y val="0.24300254452926209"/>
          <c:w val="0.35540911659075597"/>
          <c:h val="0.67715957697498552"/>
        </c:manualLayout>
      </c:layout>
      <c:radarChart>
        <c:radarStyle val="marker"/>
        <c:varyColors val="0"/>
        <c:ser>
          <c:idx val="0"/>
          <c:order val="0"/>
          <c:tx>
            <c:strRef>
              <c:f>MATE!$S$202</c:f>
              <c:strCache>
                <c:ptCount val="1"/>
                <c:pt idx="0">
                  <c:v>2016</c:v>
                </c:pt>
              </c:strCache>
            </c:strRef>
          </c:tx>
          <c:spPr>
            <a:ln>
              <a:prstDash val="lgDashDot"/>
            </a:ln>
          </c:spPr>
          <c:cat>
            <c:strRef>
              <c:f>MATE!$R$203:$R$208</c:f>
              <c:strCache>
                <c:ptCount val="6"/>
                <c:pt idx="0">
                  <c:v>COMUNA 1</c:v>
                </c:pt>
                <c:pt idx="1">
                  <c:v>COMUNA 2</c:v>
                </c:pt>
                <c:pt idx="2">
                  <c:v>COMUNA 3</c:v>
                </c:pt>
                <c:pt idx="3">
                  <c:v>COMUNA 4</c:v>
                </c:pt>
                <c:pt idx="4">
                  <c:v>COMUNA 5</c:v>
                </c:pt>
                <c:pt idx="5">
                  <c:v>COMUNA 6</c:v>
                </c:pt>
              </c:strCache>
            </c:strRef>
          </c:cat>
          <c:val>
            <c:numRef>
              <c:f>MATE!$S$203:$S$208</c:f>
              <c:numCache>
                <c:formatCode>0</c:formatCode>
                <c:ptCount val="6"/>
                <c:pt idx="0">
                  <c:v>51.615384615384613</c:v>
                </c:pt>
                <c:pt idx="1">
                  <c:v>52.666666666666664</c:v>
                </c:pt>
                <c:pt idx="2">
                  <c:v>53.769230769230766</c:v>
                </c:pt>
                <c:pt idx="3">
                  <c:v>49.25</c:v>
                </c:pt>
                <c:pt idx="4">
                  <c:v>54.8</c:v>
                </c:pt>
                <c:pt idx="5">
                  <c:v>52.583333333333336</c:v>
                </c:pt>
              </c:numCache>
            </c:numRef>
          </c:val>
          <c:extLst>
            <c:ext xmlns:c16="http://schemas.microsoft.com/office/drawing/2014/chart" uri="{C3380CC4-5D6E-409C-BE32-E72D297353CC}">
              <c16:uniqueId val="{00000000-CA33-4974-9D1D-07D089BBF486}"/>
            </c:ext>
          </c:extLst>
        </c:ser>
        <c:ser>
          <c:idx val="1"/>
          <c:order val="1"/>
          <c:tx>
            <c:strRef>
              <c:f>MATE!$T$202</c:f>
              <c:strCache>
                <c:ptCount val="1"/>
                <c:pt idx="0">
                  <c:v>2017</c:v>
                </c:pt>
              </c:strCache>
            </c:strRef>
          </c:tx>
          <c:cat>
            <c:strRef>
              <c:f>MATE!$R$203:$R$208</c:f>
              <c:strCache>
                <c:ptCount val="6"/>
                <c:pt idx="0">
                  <c:v>COMUNA 1</c:v>
                </c:pt>
                <c:pt idx="1">
                  <c:v>COMUNA 2</c:v>
                </c:pt>
                <c:pt idx="2">
                  <c:v>COMUNA 3</c:v>
                </c:pt>
                <c:pt idx="3">
                  <c:v>COMUNA 4</c:v>
                </c:pt>
                <c:pt idx="4">
                  <c:v>COMUNA 5</c:v>
                </c:pt>
                <c:pt idx="5">
                  <c:v>COMUNA 6</c:v>
                </c:pt>
              </c:strCache>
            </c:strRef>
          </c:cat>
          <c:val>
            <c:numRef>
              <c:f>MATE!$T$203:$T$208</c:f>
              <c:numCache>
                <c:formatCode>0</c:formatCode>
                <c:ptCount val="6"/>
                <c:pt idx="0">
                  <c:v>51.583333333333336</c:v>
                </c:pt>
                <c:pt idx="1">
                  <c:v>52.294117647058826</c:v>
                </c:pt>
                <c:pt idx="2">
                  <c:v>52.5</c:v>
                </c:pt>
                <c:pt idx="3">
                  <c:v>51.111111111111114</c:v>
                </c:pt>
                <c:pt idx="4">
                  <c:v>55.133333333333333</c:v>
                </c:pt>
                <c:pt idx="5">
                  <c:v>50.916666666666664</c:v>
                </c:pt>
              </c:numCache>
            </c:numRef>
          </c:val>
          <c:extLst>
            <c:ext xmlns:c16="http://schemas.microsoft.com/office/drawing/2014/chart" uri="{C3380CC4-5D6E-409C-BE32-E72D297353CC}">
              <c16:uniqueId val="{00000001-CA33-4974-9D1D-07D089BBF486}"/>
            </c:ext>
          </c:extLst>
        </c:ser>
        <c:ser>
          <c:idx val="2"/>
          <c:order val="2"/>
          <c:tx>
            <c:strRef>
              <c:f>MATE!$U$202</c:f>
              <c:strCache>
                <c:ptCount val="1"/>
                <c:pt idx="0">
                  <c:v>2018</c:v>
                </c:pt>
              </c:strCache>
            </c:strRef>
          </c:tx>
          <c:spPr>
            <a:ln>
              <a:prstDash val="sysDash"/>
            </a:ln>
          </c:spPr>
          <c:cat>
            <c:strRef>
              <c:f>MATE!$R$203:$R$208</c:f>
              <c:strCache>
                <c:ptCount val="6"/>
                <c:pt idx="0">
                  <c:v>COMUNA 1</c:v>
                </c:pt>
                <c:pt idx="1">
                  <c:v>COMUNA 2</c:v>
                </c:pt>
                <c:pt idx="2">
                  <c:v>COMUNA 3</c:v>
                </c:pt>
                <c:pt idx="3">
                  <c:v>COMUNA 4</c:v>
                </c:pt>
                <c:pt idx="4">
                  <c:v>COMUNA 5</c:v>
                </c:pt>
                <c:pt idx="5">
                  <c:v>COMUNA 6</c:v>
                </c:pt>
              </c:strCache>
            </c:strRef>
          </c:cat>
          <c:val>
            <c:numRef>
              <c:f>MATE!$U$203:$U$208</c:f>
              <c:numCache>
                <c:formatCode>0</c:formatCode>
                <c:ptCount val="6"/>
                <c:pt idx="0">
                  <c:v>51.846153846153847</c:v>
                </c:pt>
                <c:pt idx="1">
                  <c:v>52.882352941176471</c:v>
                </c:pt>
                <c:pt idx="2">
                  <c:v>53.285714285714285</c:v>
                </c:pt>
                <c:pt idx="3">
                  <c:v>52.666666666666664</c:v>
                </c:pt>
                <c:pt idx="4">
                  <c:v>55.3125</c:v>
                </c:pt>
                <c:pt idx="5">
                  <c:v>52.454545454545453</c:v>
                </c:pt>
              </c:numCache>
            </c:numRef>
          </c:val>
          <c:extLst>
            <c:ext xmlns:c16="http://schemas.microsoft.com/office/drawing/2014/chart" uri="{C3380CC4-5D6E-409C-BE32-E72D297353CC}">
              <c16:uniqueId val="{00000002-CA33-4974-9D1D-07D089BBF486}"/>
            </c:ext>
          </c:extLst>
        </c:ser>
        <c:ser>
          <c:idx val="3"/>
          <c:order val="3"/>
          <c:tx>
            <c:strRef>
              <c:f>MATE!$V$202</c:f>
              <c:strCache>
                <c:ptCount val="1"/>
                <c:pt idx="0">
                  <c:v>2019</c:v>
                </c:pt>
              </c:strCache>
            </c:strRef>
          </c:tx>
          <c:cat>
            <c:strRef>
              <c:f>MATE!$R$203:$R$208</c:f>
              <c:strCache>
                <c:ptCount val="6"/>
                <c:pt idx="0">
                  <c:v>COMUNA 1</c:v>
                </c:pt>
                <c:pt idx="1">
                  <c:v>COMUNA 2</c:v>
                </c:pt>
                <c:pt idx="2">
                  <c:v>COMUNA 3</c:v>
                </c:pt>
                <c:pt idx="3">
                  <c:v>COMUNA 4</c:v>
                </c:pt>
                <c:pt idx="4">
                  <c:v>COMUNA 5</c:v>
                </c:pt>
                <c:pt idx="5">
                  <c:v>COMUNA 6</c:v>
                </c:pt>
              </c:strCache>
            </c:strRef>
          </c:cat>
          <c:val>
            <c:numRef>
              <c:f>MATE!$V$203:$V$208</c:f>
              <c:numCache>
                <c:formatCode>0</c:formatCode>
                <c:ptCount val="6"/>
                <c:pt idx="0">
                  <c:v>52.692307692307693</c:v>
                </c:pt>
                <c:pt idx="1">
                  <c:v>53.944444444444443</c:v>
                </c:pt>
                <c:pt idx="2">
                  <c:v>53.428571428571431</c:v>
                </c:pt>
                <c:pt idx="3">
                  <c:v>51.75</c:v>
                </c:pt>
                <c:pt idx="4">
                  <c:v>55.764705882352942</c:v>
                </c:pt>
                <c:pt idx="5">
                  <c:v>54</c:v>
                </c:pt>
              </c:numCache>
            </c:numRef>
          </c:val>
          <c:extLst>
            <c:ext xmlns:c16="http://schemas.microsoft.com/office/drawing/2014/chart" uri="{C3380CC4-5D6E-409C-BE32-E72D297353CC}">
              <c16:uniqueId val="{00000003-CA33-4974-9D1D-07D089BBF486}"/>
            </c:ext>
          </c:extLst>
        </c:ser>
        <c:ser>
          <c:idx val="4"/>
          <c:order val="4"/>
          <c:tx>
            <c:strRef>
              <c:f>MATE!$W$202</c:f>
              <c:strCache>
                <c:ptCount val="1"/>
                <c:pt idx="0">
                  <c:v>2020</c:v>
                </c:pt>
              </c:strCache>
            </c:strRef>
          </c:tx>
          <c:cat>
            <c:strRef>
              <c:f>MATE!$R$203:$R$208</c:f>
              <c:strCache>
                <c:ptCount val="6"/>
                <c:pt idx="0">
                  <c:v>COMUNA 1</c:v>
                </c:pt>
                <c:pt idx="1">
                  <c:v>COMUNA 2</c:v>
                </c:pt>
                <c:pt idx="2">
                  <c:v>COMUNA 3</c:v>
                </c:pt>
                <c:pt idx="3">
                  <c:v>COMUNA 4</c:v>
                </c:pt>
                <c:pt idx="4">
                  <c:v>COMUNA 5</c:v>
                </c:pt>
                <c:pt idx="5">
                  <c:v>COMUNA 6</c:v>
                </c:pt>
              </c:strCache>
            </c:strRef>
          </c:cat>
          <c:val>
            <c:numRef>
              <c:f>MATE!$W$203:$W$208</c:f>
              <c:numCache>
                <c:formatCode>0</c:formatCode>
                <c:ptCount val="6"/>
                <c:pt idx="0">
                  <c:v>53.53846153846154</c:v>
                </c:pt>
                <c:pt idx="1">
                  <c:v>52.81818181818182</c:v>
                </c:pt>
                <c:pt idx="2">
                  <c:v>54.666666666666664</c:v>
                </c:pt>
                <c:pt idx="3">
                  <c:v>50.714285714285715</c:v>
                </c:pt>
                <c:pt idx="4">
                  <c:v>56.4375</c:v>
                </c:pt>
                <c:pt idx="5">
                  <c:v>52</c:v>
                </c:pt>
              </c:numCache>
            </c:numRef>
          </c:val>
          <c:extLst>
            <c:ext xmlns:c16="http://schemas.microsoft.com/office/drawing/2014/chart" uri="{C3380CC4-5D6E-409C-BE32-E72D297353CC}">
              <c16:uniqueId val="{00000001-D609-4D21-B560-A78242CE52F2}"/>
            </c:ext>
          </c:extLst>
        </c:ser>
        <c:ser>
          <c:idx val="5"/>
          <c:order val="5"/>
          <c:tx>
            <c:strRef>
              <c:f>MATE!$X$202</c:f>
              <c:strCache>
                <c:ptCount val="1"/>
                <c:pt idx="0">
                  <c:v>2021</c:v>
                </c:pt>
              </c:strCache>
            </c:strRef>
          </c:tx>
          <c:cat>
            <c:strRef>
              <c:f>MATE!$R$203:$R$208</c:f>
              <c:strCache>
                <c:ptCount val="6"/>
                <c:pt idx="0">
                  <c:v>COMUNA 1</c:v>
                </c:pt>
                <c:pt idx="1">
                  <c:v>COMUNA 2</c:v>
                </c:pt>
                <c:pt idx="2">
                  <c:v>COMUNA 3</c:v>
                </c:pt>
                <c:pt idx="3">
                  <c:v>COMUNA 4</c:v>
                </c:pt>
                <c:pt idx="4">
                  <c:v>COMUNA 5</c:v>
                </c:pt>
                <c:pt idx="5">
                  <c:v>COMUNA 6</c:v>
                </c:pt>
              </c:strCache>
            </c:strRef>
          </c:cat>
          <c:val>
            <c:numRef>
              <c:f>MATE!$X$203:$X$208</c:f>
              <c:numCache>
                <c:formatCode>0</c:formatCode>
                <c:ptCount val="6"/>
                <c:pt idx="0">
                  <c:v>52.846153846153847</c:v>
                </c:pt>
                <c:pt idx="1">
                  <c:v>52.4</c:v>
                </c:pt>
                <c:pt idx="2">
                  <c:v>53.4</c:v>
                </c:pt>
                <c:pt idx="3">
                  <c:v>49.5</c:v>
                </c:pt>
                <c:pt idx="4">
                  <c:v>54.75</c:v>
                </c:pt>
                <c:pt idx="5">
                  <c:v>51.928571428571431</c:v>
                </c:pt>
              </c:numCache>
            </c:numRef>
          </c:val>
          <c:extLst>
            <c:ext xmlns:c16="http://schemas.microsoft.com/office/drawing/2014/chart" uri="{C3380CC4-5D6E-409C-BE32-E72D297353CC}">
              <c16:uniqueId val="{00000000-8088-4D86-80E0-8504533CAA0D}"/>
            </c:ext>
          </c:extLst>
        </c:ser>
        <c:ser>
          <c:idx val="6"/>
          <c:order val="6"/>
          <c:tx>
            <c:strRef>
              <c:f>MATE!$Y$202</c:f>
              <c:strCache>
                <c:ptCount val="1"/>
                <c:pt idx="0">
                  <c:v>2022</c:v>
                </c:pt>
              </c:strCache>
            </c:strRef>
          </c:tx>
          <c:cat>
            <c:strRef>
              <c:f>MATE!$R$203:$R$208</c:f>
              <c:strCache>
                <c:ptCount val="6"/>
                <c:pt idx="0">
                  <c:v>COMUNA 1</c:v>
                </c:pt>
                <c:pt idx="1">
                  <c:v>COMUNA 2</c:v>
                </c:pt>
                <c:pt idx="2">
                  <c:v>COMUNA 3</c:v>
                </c:pt>
                <c:pt idx="3">
                  <c:v>COMUNA 4</c:v>
                </c:pt>
                <c:pt idx="4">
                  <c:v>COMUNA 5</c:v>
                </c:pt>
                <c:pt idx="5">
                  <c:v>COMUNA 6</c:v>
                </c:pt>
              </c:strCache>
            </c:strRef>
          </c:cat>
          <c:val>
            <c:numRef>
              <c:f>MATE!$Y$203:$Y$208</c:f>
              <c:numCache>
                <c:formatCode>0</c:formatCode>
                <c:ptCount val="6"/>
                <c:pt idx="0">
                  <c:v>53</c:v>
                </c:pt>
                <c:pt idx="1">
                  <c:v>54.571428571428569</c:v>
                </c:pt>
                <c:pt idx="2">
                  <c:v>54.375</c:v>
                </c:pt>
                <c:pt idx="3">
                  <c:v>52.5</c:v>
                </c:pt>
                <c:pt idx="4">
                  <c:v>56.333333333333336</c:v>
                </c:pt>
                <c:pt idx="5">
                  <c:v>52.1875</c:v>
                </c:pt>
              </c:numCache>
            </c:numRef>
          </c:val>
          <c:extLst>
            <c:ext xmlns:c16="http://schemas.microsoft.com/office/drawing/2014/chart" uri="{C3380CC4-5D6E-409C-BE32-E72D297353CC}">
              <c16:uniqueId val="{00000000-7298-4DAE-9557-2A2D41D1F52C}"/>
            </c:ext>
          </c:extLst>
        </c:ser>
        <c:ser>
          <c:idx val="7"/>
          <c:order val="7"/>
          <c:tx>
            <c:strRef>
              <c:f>MATE!$Z$202</c:f>
              <c:strCache>
                <c:ptCount val="1"/>
                <c:pt idx="0">
                  <c:v>2023</c:v>
                </c:pt>
              </c:strCache>
            </c:strRef>
          </c:tx>
          <c:cat>
            <c:strRef>
              <c:f>MATE!$R$203:$R$208</c:f>
              <c:strCache>
                <c:ptCount val="6"/>
                <c:pt idx="0">
                  <c:v>COMUNA 1</c:v>
                </c:pt>
                <c:pt idx="1">
                  <c:v>COMUNA 2</c:v>
                </c:pt>
                <c:pt idx="2">
                  <c:v>COMUNA 3</c:v>
                </c:pt>
                <c:pt idx="3">
                  <c:v>COMUNA 4</c:v>
                </c:pt>
                <c:pt idx="4">
                  <c:v>COMUNA 5</c:v>
                </c:pt>
                <c:pt idx="5">
                  <c:v>COMUNA 6</c:v>
                </c:pt>
              </c:strCache>
            </c:strRef>
          </c:cat>
          <c:val>
            <c:numRef>
              <c:f>MATE!$Z$203:$Z$208</c:f>
              <c:numCache>
                <c:formatCode>0</c:formatCode>
                <c:ptCount val="6"/>
                <c:pt idx="0">
                  <c:v>54.25</c:v>
                </c:pt>
                <c:pt idx="1">
                  <c:v>53.045454545454547</c:v>
                </c:pt>
                <c:pt idx="2">
                  <c:v>54.6875</c:v>
                </c:pt>
                <c:pt idx="3">
                  <c:v>51</c:v>
                </c:pt>
                <c:pt idx="4">
                  <c:v>56.4</c:v>
                </c:pt>
                <c:pt idx="5">
                  <c:v>53.941176470588232</c:v>
                </c:pt>
              </c:numCache>
            </c:numRef>
          </c:val>
          <c:extLst>
            <c:ext xmlns:c16="http://schemas.microsoft.com/office/drawing/2014/chart" uri="{C3380CC4-5D6E-409C-BE32-E72D297353CC}">
              <c16:uniqueId val="{00000001-7298-4DAE-9557-2A2D41D1F52C}"/>
            </c:ext>
          </c:extLst>
        </c:ser>
        <c:ser>
          <c:idx val="8"/>
          <c:order val="8"/>
          <c:tx>
            <c:strRef>
              <c:f>MATE!$AA$202</c:f>
              <c:strCache>
                <c:ptCount val="1"/>
                <c:pt idx="0">
                  <c:v>2024</c:v>
                </c:pt>
              </c:strCache>
            </c:strRef>
          </c:tx>
          <c:cat>
            <c:strRef>
              <c:f>MATE!$R$203:$R$208</c:f>
              <c:strCache>
                <c:ptCount val="6"/>
                <c:pt idx="0">
                  <c:v>COMUNA 1</c:v>
                </c:pt>
                <c:pt idx="1">
                  <c:v>COMUNA 2</c:v>
                </c:pt>
                <c:pt idx="2">
                  <c:v>COMUNA 3</c:v>
                </c:pt>
                <c:pt idx="3">
                  <c:v>COMUNA 4</c:v>
                </c:pt>
                <c:pt idx="4">
                  <c:v>COMUNA 5</c:v>
                </c:pt>
                <c:pt idx="5">
                  <c:v>COMUNA 6</c:v>
                </c:pt>
              </c:strCache>
            </c:strRef>
          </c:cat>
          <c:val>
            <c:numRef>
              <c:f>MATE!$AA$203:$AA$208</c:f>
              <c:numCache>
                <c:formatCode>0</c:formatCode>
                <c:ptCount val="6"/>
                <c:pt idx="0">
                  <c:v>54.384615384615387</c:v>
                </c:pt>
                <c:pt idx="1">
                  <c:v>55.2</c:v>
                </c:pt>
                <c:pt idx="2">
                  <c:v>54.8125</c:v>
                </c:pt>
                <c:pt idx="3">
                  <c:v>55.714285714285715</c:v>
                </c:pt>
                <c:pt idx="4">
                  <c:v>56.125</c:v>
                </c:pt>
                <c:pt idx="5">
                  <c:v>54.266666666666666</c:v>
                </c:pt>
              </c:numCache>
            </c:numRef>
          </c:val>
          <c:extLst>
            <c:ext xmlns:c16="http://schemas.microsoft.com/office/drawing/2014/chart" uri="{C3380CC4-5D6E-409C-BE32-E72D297353CC}">
              <c16:uniqueId val="{00000000-72CF-4AFC-A143-69D3550D44B2}"/>
            </c:ext>
          </c:extLst>
        </c:ser>
        <c:dLbls>
          <c:showLegendKey val="0"/>
          <c:showVal val="0"/>
          <c:showCatName val="0"/>
          <c:showSerName val="0"/>
          <c:showPercent val="0"/>
          <c:showBubbleSize val="0"/>
        </c:dLbls>
        <c:axId val="39072896"/>
        <c:axId val="39074432"/>
      </c:radarChart>
      <c:catAx>
        <c:axId val="39072896"/>
        <c:scaling>
          <c:orientation val="minMax"/>
        </c:scaling>
        <c:delete val="0"/>
        <c:axPos val="b"/>
        <c:majorGridlines/>
        <c:numFmt formatCode="General" sourceLinked="0"/>
        <c:majorTickMark val="none"/>
        <c:minorTickMark val="none"/>
        <c:tickLblPos val="nextTo"/>
        <c:spPr>
          <a:ln w="9525">
            <a:noFill/>
          </a:ln>
        </c:spPr>
        <c:crossAx val="39074432"/>
        <c:crosses val="autoZero"/>
        <c:auto val="1"/>
        <c:lblAlgn val="ctr"/>
        <c:lblOffset val="100"/>
        <c:noMultiLvlLbl val="0"/>
      </c:catAx>
      <c:valAx>
        <c:axId val="39074432"/>
        <c:scaling>
          <c:orientation val="minMax"/>
          <c:max val="56"/>
          <c:min val="48"/>
        </c:scaling>
        <c:delete val="0"/>
        <c:axPos val="l"/>
        <c:majorGridlines/>
        <c:numFmt formatCode="0" sourceLinked="1"/>
        <c:majorTickMark val="none"/>
        <c:minorTickMark val="none"/>
        <c:tickLblPos val="nextTo"/>
        <c:crossAx val="39072896"/>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a:defRPr/>
            </a:pPr>
            <a:r>
              <a:rPr lang="es-CO" sz="1400" b="1" i="0" baseline="0">
                <a:effectLst/>
              </a:rPr>
              <a:t>Resultados Matemáticas </a:t>
            </a:r>
            <a:br>
              <a:rPr lang="es-CO" sz="1400" b="1" i="0" baseline="0">
                <a:effectLst/>
              </a:rPr>
            </a:br>
            <a:r>
              <a:rPr lang="es-CO" sz="1400" b="1" i="0" baseline="0">
                <a:effectLst/>
              </a:rPr>
              <a:t>Instituciones Oficiales por comuna 2016-2024</a:t>
            </a:r>
            <a:endParaRPr lang="es-CO" sz="1400">
              <a:effectLst/>
            </a:endParaRPr>
          </a:p>
        </c:rich>
      </c:tx>
      <c:overlay val="0"/>
    </c:title>
    <c:autoTitleDeleted val="0"/>
    <c:plotArea>
      <c:layout/>
      <c:radarChart>
        <c:radarStyle val="marker"/>
        <c:varyColors val="0"/>
        <c:ser>
          <c:idx val="0"/>
          <c:order val="0"/>
          <c:tx>
            <c:strRef>
              <c:f>MATE!$F$202</c:f>
              <c:strCache>
                <c:ptCount val="1"/>
                <c:pt idx="0">
                  <c:v>2016</c:v>
                </c:pt>
              </c:strCache>
            </c:strRef>
          </c:tx>
          <c:cat>
            <c:strRef>
              <c:f>MATE!$E$203:$E$208</c:f>
              <c:strCache>
                <c:ptCount val="6"/>
                <c:pt idx="0">
                  <c:v>COMUNA 1</c:v>
                </c:pt>
                <c:pt idx="1">
                  <c:v>COMUNA 2</c:v>
                </c:pt>
                <c:pt idx="2">
                  <c:v>COMUNA 3</c:v>
                </c:pt>
                <c:pt idx="3">
                  <c:v>COMUNA 4</c:v>
                </c:pt>
                <c:pt idx="4">
                  <c:v>COMUNA 5</c:v>
                </c:pt>
                <c:pt idx="5">
                  <c:v>COMUNA 6</c:v>
                </c:pt>
              </c:strCache>
            </c:strRef>
          </c:cat>
          <c:val>
            <c:numRef>
              <c:f>MATE!$F$203:$F$208</c:f>
              <c:numCache>
                <c:formatCode>0</c:formatCode>
                <c:ptCount val="6"/>
                <c:pt idx="0">
                  <c:v>52.5</c:v>
                </c:pt>
                <c:pt idx="1">
                  <c:v>52</c:v>
                </c:pt>
                <c:pt idx="2">
                  <c:v>51</c:v>
                </c:pt>
                <c:pt idx="3">
                  <c:v>47.166666666666664</c:v>
                </c:pt>
                <c:pt idx="4">
                  <c:v>52</c:v>
                </c:pt>
                <c:pt idx="5">
                  <c:v>51</c:v>
                </c:pt>
              </c:numCache>
            </c:numRef>
          </c:val>
          <c:extLst>
            <c:ext xmlns:c16="http://schemas.microsoft.com/office/drawing/2014/chart" uri="{C3380CC4-5D6E-409C-BE32-E72D297353CC}">
              <c16:uniqueId val="{00000000-30C3-4D08-9602-23EC1A0CE5E1}"/>
            </c:ext>
          </c:extLst>
        </c:ser>
        <c:ser>
          <c:idx val="1"/>
          <c:order val="1"/>
          <c:tx>
            <c:strRef>
              <c:f>MATE!$G$202</c:f>
              <c:strCache>
                <c:ptCount val="1"/>
                <c:pt idx="0">
                  <c:v>2017</c:v>
                </c:pt>
              </c:strCache>
            </c:strRef>
          </c:tx>
          <c:cat>
            <c:strRef>
              <c:f>MATE!$E$203:$E$208</c:f>
              <c:strCache>
                <c:ptCount val="6"/>
                <c:pt idx="0">
                  <c:v>COMUNA 1</c:v>
                </c:pt>
                <c:pt idx="1">
                  <c:v>COMUNA 2</c:v>
                </c:pt>
                <c:pt idx="2">
                  <c:v>COMUNA 3</c:v>
                </c:pt>
                <c:pt idx="3">
                  <c:v>COMUNA 4</c:v>
                </c:pt>
                <c:pt idx="4">
                  <c:v>COMUNA 5</c:v>
                </c:pt>
                <c:pt idx="5">
                  <c:v>COMUNA 6</c:v>
                </c:pt>
              </c:strCache>
            </c:strRef>
          </c:cat>
          <c:val>
            <c:numRef>
              <c:f>MATE!$G$203:$G$208</c:f>
              <c:numCache>
                <c:formatCode>0</c:formatCode>
                <c:ptCount val="6"/>
                <c:pt idx="0">
                  <c:v>51.75</c:v>
                </c:pt>
                <c:pt idx="1">
                  <c:v>51</c:v>
                </c:pt>
                <c:pt idx="2">
                  <c:v>50</c:v>
                </c:pt>
                <c:pt idx="3">
                  <c:v>47.5</c:v>
                </c:pt>
                <c:pt idx="4">
                  <c:v>51.5</c:v>
                </c:pt>
                <c:pt idx="5">
                  <c:v>51.333333333333336</c:v>
                </c:pt>
              </c:numCache>
            </c:numRef>
          </c:val>
          <c:extLst>
            <c:ext xmlns:c16="http://schemas.microsoft.com/office/drawing/2014/chart" uri="{C3380CC4-5D6E-409C-BE32-E72D297353CC}">
              <c16:uniqueId val="{00000001-30C3-4D08-9602-23EC1A0CE5E1}"/>
            </c:ext>
          </c:extLst>
        </c:ser>
        <c:ser>
          <c:idx val="2"/>
          <c:order val="2"/>
          <c:tx>
            <c:strRef>
              <c:f>MATE!$H$202</c:f>
              <c:strCache>
                <c:ptCount val="1"/>
                <c:pt idx="0">
                  <c:v>2018</c:v>
                </c:pt>
              </c:strCache>
            </c:strRef>
          </c:tx>
          <c:spPr>
            <a:ln>
              <a:prstDash val="sysDash"/>
            </a:ln>
          </c:spPr>
          <c:cat>
            <c:strRef>
              <c:f>MATE!$E$203:$E$208</c:f>
              <c:strCache>
                <c:ptCount val="6"/>
                <c:pt idx="0">
                  <c:v>COMUNA 1</c:v>
                </c:pt>
                <c:pt idx="1">
                  <c:v>COMUNA 2</c:v>
                </c:pt>
                <c:pt idx="2">
                  <c:v>COMUNA 3</c:v>
                </c:pt>
                <c:pt idx="3">
                  <c:v>COMUNA 4</c:v>
                </c:pt>
                <c:pt idx="4">
                  <c:v>COMUNA 5</c:v>
                </c:pt>
                <c:pt idx="5">
                  <c:v>COMUNA 6</c:v>
                </c:pt>
              </c:strCache>
            </c:strRef>
          </c:cat>
          <c:val>
            <c:numRef>
              <c:f>MATE!$H$203:$H$208</c:f>
              <c:numCache>
                <c:formatCode>0</c:formatCode>
                <c:ptCount val="6"/>
                <c:pt idx="0">
                  <c:v>51.75</c:v>
                </c:pt>
                <c:pt idx="1">
                  <c:v>52.5</c:v>
                </c:pt>
                <c:pt idx="2">
                  <c:v>50.666666666666664</c:v>
                </c:pt>
                <c:pt idx="3">
                  <c:v>47.166666666666664</c:v>
                </c:pt>
                <c:pt idx="4">
                  <c:v>50.5</c:v>
                </c:pt>
                <c:pt idx="5">
                  <c:v>51</c:v>
                </c:pt>
              </c:numCache>
            </c:numRef>
          </c:val>
          <c:extLst>
            <c:ext xmlns:c16="http://schemas.microsoft.com/office/drawing/2014/chart" uri="{C3380CC4-5D6E-409C-BE32-E72D297353CC}">
              <c16:uniqueId val="{00000002-30C3-4D08-9602-23EC1A0CE5E1}"/>
            </c:ext>
          </c:extLst>
        </c:ser>
        <c:ser>
          <c:idx val="3"/>
          <c:order val="3"/>
          <c:tx>
            <c:strRef>
              <c:f>MATE!$I$202</c:f>
              <c:strCache>
                <c:ptCount val="1"/>
                <c:pt idx="0">
                  <c:v>2019</c:v>
                </c:pt>
              </c:strCache>
            </c:strRef>
          </c:tx>
          <c:cat>
            <c:strRef>
              <c:f>MATE!$E$203:$E$208</c:f>
              <c:strCache>
                <c:ptCount val="6"/>
                <c:pt idx="0">
                  <c:v>COMUNA 1</c:v>
                </c:pt>
                <c:pt idx="1">
                  <c:v>COMUNA 2</c:v>
                </c:pt>
                <c:pt idx="2">
                  <c:v>COMUNA 3</c:v>
                </c:pt>
                <c:pt idx="3">
                  <c:v>COMUNA 4</c:v>
                </c:pt>
                <c:pt idx="4">
                  <c:v>COMUNA 5</c:v>
                </c:pt>
                <c:pt idx="5">
                  <c:v>COMUNA 6</c:v>
                </c:pt>
              </c:strCache>
            </c:strRef>
          </c:cat>
          <c:val>
            <c:numRef>
              <c:f>MATE!$I$203:$I$208</c:f>
              <c:numCache>
                <c:formatCode>0</c:formatCode>
                <c:ptCount val="6"/>
                <c:pt idx="0">
                  <c:v>52.5</c:v>
                </c:pt>
                <c:pt idx="1">
                  <c:v>52</c:v>
                </c:pt>
                <c:pt idx="2">
                  <c:v>51</c:v>
                </c:pt>
                <c:pt idx="3">
                  <c:v>47</c:v>
                </c:pt>
                <c:pt idx="4">
                  <c:v>52</c:v>
                </c:pt>
                <c:pt idx="5">
                  <c:v>52</c:v>
                </c:pt>
              </c:numCache>
            </c:numRef>
          </c:val>
          <c:extLst>
            <c:ext xmlns:c16="http://schemas.microsoft.com/office/drawing/2014/chart" uri="{C3380CC4-5D6E-409C-BE32-E72D297353CC}">
              <c16:uniqueId val="{00000003-30C3-4D08-9602-23EC1A0CE5E1}"/>
            </c:ext>
          </c:extLst>
        </c:ser>
        <c:ser>
          <c:idx val="4"/>
          <c:order val="4"/>
          <c:tx>
            <c:strRef>
              <c:f>MATE!$J$202</c:f>
              <c:strCache>
                <c:ptCount val="1"/>
                <c:pt idx="0">
                  <c:v>2020</c:v>
                </c:pt>
              </c:strCache>
            </c:strRef>
          </c:tx>
          <c:cat>
            <c:strRef>
              <c:f>MATE!$E$203:$E$208</c:f>
              <c:strCache>
                <c:ptCount val="6"/>
                <c:pt idx="0">
                  <c:v>COMUNA 1</c:v>
                </c:pt>
                <c:pt idx="1">
                  <c:v>COMUNA 2</c:v>
                </c:pt>
                <c:pt idx="2">
                  <c:v>COMUNA 3</c:v>
                </c:pt>
                <c:pt idx="3">
                  <c:v>COMUNA 4</c:v>
                </c:pt>
                <c:pt idx="4">
                  <c:v>COMUNA 5</c:v>
                </c:pt>
                <c:pt idx="5">
                  <c:v>COMUNA 6</c:v>
                </c:pt>
              </c:strCache>
            </c:strRef>
          </c:cat>
          <c:val>
            <c:numRef>
              <c:f>MATE!$J$203:$J$208</c:f>
              <c:numCache>
                <c:formatCode>0</c:formatCode>
                <c:ptCount val="6"/>
                <c:pt idx="0">
                  <c:v>52.5</c:v>
                </c:pt>
                <c:pt idx="1">
                  <c:v>52.5</c:v>
                </c:pt>
                <c:pt idx="2">
                  <c:v>51.25</c:v>
                </c:pt>
                <c:pt idx="3">
                  <c:v>47.333333333333336</c:v>
                </c:pt>
                <c:pt idx="4">
                  <c:v>52</c:v>
                </c:pt>
                <c:pt idx="5">
                  <c:v>52.666666666666664</c:v>
                </c:pt>
              </c:numCache>
            </c:numRef>
          </c:val>
          <c:extLst>
            <c:ext xmlns:c16="http://schemas.microsoft.com/office/drawing/2014/chart" uri="{C3380CC4-5D6E-409C-BE32-E72D297353CC}">
              <c16:uniqueId val="{00000001-997B-4FF9-A921-C1054E3A435A}"/>
            </c:ext>
          </c:extLst>
        </c:ser>
        <c:ser>
          <c:idx val="5"/>
          <c:order val="5"/>
          <c:tx>
            <c:strRef>
              <c:f>MATE!$K$202</c:f>
              <c:strCache>
                <c:ptCount val="1"/>
                <c:pt idx="0">
                  <c:v>2021</c:v>
                </c:pt>
              </c:strCache>
            </c:strRef>
          </c:tx>
          <c:cat>
            <c:strRef>
              <c:f>MATE!$E$203:$E$208</c:f>
              <c:strCache>
                <c:ptCount val="6"/>
                <c:pt idx="0">
                  <c:v>COMUNA 1</c:v>
                </c:pt>
                <c:pt idx="1">
                  <c:v>COMUNA 2</c:v>
                </c:pt>
                <c:pt idx="2">
                  <c:v>COMUNA 3</c:v>
                </c:pt>
                <c:pt idx="3">
                  <c:v>COMUNA 4</c:v>
                </c:pt>
                <c:pt idx="4">
                  <c:v>COMUNA 5</c:v>
                </c:pt>
                <c:pt idx="5">
                  <c:v>COMUNA 6</c:v>
                </c:pt>
              </c:strCache>
            </c:strRef>
          </c:cat>
          <c:val>
            <c:numRef>
              <c:f>MATE!$K$203:$K$208</c:f>
              <c:numCache>
                <c:formatCode>0</c:formatCode>
                <c:ptCount val="6"/>
                <c:pt idx="0">
                  <c:v>51.25</c:v>
                </c:pt>
                <c:pt idx="1">
                  <c:v>50</c:v>
                </c:pt>
                <c:pt idx="2">
                  <c:v>50.2</c:v>
                </c:pt>
                <c:pt idx="3">
                  <c:v>47.166666666666664</c:v>
                </c:pt>
                <c:pt idx="4">
                  <c:v>50.5</c:v>
                </c:pt>
                <c:pt idx="5">
                  <c:v>50.333333333333336</c:v>
                </c:pt>
              </c:numCache>
            </c:numRef>
          </c:val>
          <c:extLst>
            <c:ext xmlns:c16="http://schemas.microsoft.com/office/drawing/2014/chart" uri="{C3380CC4-5D6E-409C-BE32-E72D297353CC}">
              <c16:uniqueId val="{00000000-A839-49B0-B64E-FEE5B3C14247}"/>
            </c:ext>
          </c:extLst>
        </c:ser>
        <c:ser>
          <c:idx val="6"/>
          <c:order val="6"/>
          <c:tx>
            <c:strRef>
              <c:f>MATE!$L$202</c:f>
              <c:strCache>
                <c:ptCount val="1"/>
                <c:pt idx="0">
                  <c:v>2022</c:v>
                </c:pt>
              </c:strCache>
            </c:strRef>
          </c:tx>
          <c:cat>
            <c:strRef>
              <c:f>MATE!$E$203:$E$208</c:f>
              <c:strCache>
                <c:ptCount val="6"/>
                <c:pt idx="0">
                  <c:v>COMUNA 1</c:v>
                </c:pt>
                <c:pt idx="1">
                  <c:v>COMUNA 2</c:v>
                </c:pt>
                <c:pt idx="2">
                  <c:v>COMUNA 3</c:v>
                </c:pt>
                <c:pt idx="3">
                  <c:v>COMUNA 4</c:v>
                </c:pt>
                <c:pt idx="4">
                  <c:v>COMUNA 5</c:v>
                </c:pt>
                <c:pt idx="5">
                  <c:v>COMUNA 6</c:v>
                </c:pt>
              </c:strCache>
            </c:strRef>
          </c:cat>
          <c:val>
            <c:numRef>
              <c:f>MATE!$L$203:$L$208</c:f>
              <c:numCache>
                <c:formatCode>0</c:formatCode>
                <c:ptCount val="6"/>
                <c:pt idx="0">
                  <c:v>51</c:v>
                </c:pt>
                <c:pt idx="1">
                  <c:v>50.75</c:v>
                </c:pt>
                <c:pt idx="2">
                  <c:v>52.333333333333336</c:v>
                </c:pt>
                <c:pt idx="3">
                  <c:v>48.333333333333336</c:v>
                </c:pt>
                <c:pt idx="4">
                  <c:v>52.5</c:v>
                </c:pt>
                <c:pt idx="5">
                  <c:v>51.333333333333336</c:v>
                </c:pt>
              </c:numCache>
            </c:numRef>
          </c:val>
          <c:extLst>
            <c:ext xmlns:c16="http://schemas.microsoft.com/office/drawing/2014/chart" uri="{C3380CC4-5D6E-409C-BE32-E72D297353CC}">
              <c16:uniqueId val="{00000000-AF35-4133-8673-28E57CA6ECEA}"/>
            </c:ext>
          </c:extLst>
        </c:ser>
        <c:ser>
          <c:idx val="7"/>
          <c:order val="7"/>
          <c:tx>
            <c:strRef>
              <c:f>MATE!$M$202</c:f>
              <c:strCache>
                <c:ptCount val="1"/>
                <c:pt idx="0">
                  <c:v>2023</c:v>
                </c:pt>
              </c:strCache>
            </c:strRef>
          </c:tx>
          <c:cat>
            <c:strRef>
              <c:f>MATE!$E$203:$E$208</c:f>
              <c:strCache>
                <c:ptCount val="6"/>
                <c:pt idx="0">
                  <c:v>COMUNA 1</c:v>
                </c:pt>
                <c:pt idx="1">
                  <c:v>COMUNA 2</c:v>
                </c:pt>
                <c:pt idx="2">
                  <c:v>COMUNA 3</c:v>
                </c:pt>
                <c:pt idx="3">
                  <c:v>COMUNA 4</c:v>
                </c:pt>
                <c:pt idx="4">
                  <c:v>COMUNA 5</c:v>
                </c:pt>
                <c:pt idx="5">
                  <c:v>COMUNA 6</c:v>
                </c:pt>
              </c:strCache>
            </c:strRef>
          </c:cat>
          <c:val>
            <c:numRef>
              <c:f>MATE!$M$203:$M$208</c:f>
              <c:numCache>
                <c:formatCode>0</c:formatCode>
                <c:ptCount val="6"/>
                <c:pt idx="0">
                  <c:v>52.2</c:v>
                </c:pt>
                <c:pt idx="1">
                  <c:v>51.5</c:v>
                </c:pt>
                <c:pt idx="2">
                  <c:v>51.333333333333336</c:v>
                </c:pt>
                <c:pt idx="3">
                  <c:v>48.333333333333336</c:v>
                </c:pt>
                <c:pt idx="4">
                  <c:v>51.5</c:v>
                </c:pt>
                <c:pt idx="5">
                  <c:v>51</c:v>
                </c:pt>
              </c:numCache>
            </c:numRef>
          </c:val>
          <c:extLst>
            <c:ext xmlns:c16="http://schemas.microsoft.com/office/drawing/2014/chart" uri="{C3380CC4-5D6E-409C-BE32-E72D297353CC}">
              <c16:uniqueId val="{00000001-AF35-4133-8673-28E57CA6ECEA}"/>
            </c:ext>
          </c:extLst>
        </c:ser>
        <c:ser>
          <c:idx val="8"/>
          <c:order val="8"/>
          <c:tx>
            <c:strRef>
              <c:f>MATE!$N$202</c:f>
              <c:strCache>
                <c:ptCount val="1"/>
                <c:pt idx="0">
                  <c:v>2024</c:v>
                </c:pt>
              </c:strCache>
            </c:strRef>
          </c:tx>
          <c:cat>
            <c:strRef>
              <c:f>MATE!$E$203:$E$208</c:f>
              <c:strCache>
                <c:ptCount val="6"/>
                <c:pt idx="0">
                  <c:v>COMUNA 1</c:v>
                </c:pt>
                <c:pt idx="1">
                  <c:v>COMUNA 2</c:v>
                </c:pt>
                <c:pt idx="2">
                  <c:v>COMUNA 3</c:v>
                </c:pt>
                <c:pt idx="3">
                  <c:v>COMUNA 4</c:v>
                </c:pt>
                <c:pt idx="4">
                  <c:v>COMUNA 5</c:v>
                </c:pt>
                <c:pt idx="5">
                  <c:v>COMUNA 6</c:v>
                </c:pt>
              </c:strCache>
            </c:strRef>
          </c:cat>
          <c:val>
            <c:numRef>
              <c:f>MATE!$N$203:$N$208</c:f>
              <c:numCache>
                <c:formatCode>0</c:formatCode>
                <c:ptCount val="6"/>
                <c:pt idx="0">
                  <c:v>52.4</c:v>
                </c:pt>
                <c:pt idx="1">
                  <c:v>53.75</c:v>
                </c:pt>
                <c:pt idx="2">
                  <c:v>53.5</c:v>
                </c:pt>
                <c:pt idx="3">
                  <c:v>48</c:v>
                </c:pt>
                <c:pt idx="4">
                  <c:v>55.666666666666664</c:v>
                </c:pt>
                <c:pt idx="5">
                  <c:v>51.25</c:v>
                </c:pt>
              </c:numCache>
            </c:numRef>
          </c:val>
          <c:extLst>
            <c:ext xmlns:c16="http://schemas.microsoft.com/office/drawing/2014/chart" uri="{C3380CC4-5D6E-409C-BE32-E72D297353CC}">
              <c16:uniqueId val="{00000000-78B5-46E0-AE99-2A9BC29400E4}"/>
            </c:ext>
          </c:extLst>
        </c:ser>
        <c:dLbls>
          <c:showLegendKey val="0"/>
          <c:showVal val="0"/>
          <c:showCatName val="0"/>
          <c:showSerName val="0"/>
          <c:showPercent val="0"/>
          <c:showBubbleSize val="0"/>
        </c:dLbls>
        <c:axId val="39289984"/>
        <c:axId val="39291520"/>
      </c:radarChart>
      <c:catAx>
        <c:axId val="39289984"/>
        <c:scaling>
          <c:orientation val="minMax"/>
        </c:scaling>
        <c:delete val="0"/>
        <c:axPos val="b"/>
        <c:majorGridlines/>
        <c:numFmt formatCode="General" sourceLinked="0"/>
        <c:majorTickMark val="none"/>
        <c:minorTickMark val="none"/>
        <c:tickLblPos val="nextTo"/>
        <c:spPr>
          <a:ln w="9525">
            <a:noFill/>
          </a:ln>
        </c:spPr>
        <c:crossAx val="39291520"/>
        <c:crosses val="autoZero"/>
        <c:auto val="1"/>
        <c:lblAlgn val="ctr"/>
        <c:lblOffset val="100"/>
        <c:noMultiLvlLbl val="0"/>
      </c:catAx>
      <c:valAx>
        <c:axId val="39291520"/>
        <c:scaling>
          <c:orientation val="minMax"/>
          <c:max val="54"/>
          <c:min val="46"/>
        </c:scaling>
        <c:delete val="0"/>
        <c:axPos val="l"/>
        <c:majorGridlines/>
        <c:numFmt formatCode="0" sourceLinked="1"/>
        <c:majorTickMark val="none"/>
        <c:minorTickMark val="none"/>
        <c:tickLblPos val="nextTo"/>
        <c:crossAx val="39289984"/>
        <c:crosses val="autoZero"/>
        <c:crossBetween val="between"/>
        <c:majorUnit val="2"/>
      </c:valAx>
    </c:plotArea>
    <c:legend>
      <c:legendPos val="r"/>
      <c:overlay val="0"/>
    </c:legend>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s-CO" sz="1200">
                <a:latin typeface="Arial" panose="020B0604020202020204" pitchFamily="34" charset="0"/>
                <a:cs typeface="Arial" panose="020B0604020202020204" pitchFamily="34" charset="0"/>
              </a:rPr>
              <a:t>Resultados</a:t>
            </a:r>
            <a:r>
              <a:rPr lang="es-CO" sz="1200" baseline="0">
                <a:latin typeface="Arial" panose="020B0604020202020204" pitchFamily="34" charset="0"/>
                <a:cs typeface="Arial" panose="020B0604020202020204" pitchFamily="34" charset="0"/>
              </a:rPr>
              <a:t> Saber 11 por prueba Soacha 2016-2024 </a:t>
            </a:r>
            <a:endParaRPr lang="es-CO" sz="1200">
              <a:latin typeface="Arial" panose="020B0604020202020204" pitchFamily="34" charset="0"/>
              <a:cs typeface="Arial" panose="020B0604020202020204" pitchFamily="34" charset="0"/>
            </a:endParaRPr>
          </a:p>
        </c:rich>
      </c:tx>
      <c:overlay val="0"/>
    </c:title>
    <c:autoTitleDeleted val="0"/>
    <c:plotArea>
      <c:layout/>
      <c:radarChart>
        <c:radarStyle val="marker"/>
        <c:varyColors val="0"/>
        <c:ser>
          <c:idx val="0"/>
          <c:order val="0"/>
          <c:tx>
            <c:strRef>
              <c:f>PGLOBAL!$S$280</c:f>
              <c:strCache>
                <c:ptCount val="1"/>
                <c:pt idx="0">
                  <c:v>2016</c:v>
                </c:pt>
              </c:strCache>
            </c:strRef>
          </c:tx>
          <c:spPr>
            <a:ln>
              <a:prstDash val="lgDashDot"/>
            </a:ln>
          </c:spPr>
          <c:val>
            <c:numRef>
              <c:f>PGLOBAL!$S$281:$S$285</c:f>
              <c:numCache>
                <c:formatCode>General</c:formatCode>
                <c:ptCount val="5"/>
                <c:pt idx="0">
                  <c:v>54</c:v>
                </c:pt>
                <c:pt idx="1">
                  <c:v>52</c:v>
                </c:pt>
                <c:pt idx="2">
                  <c:v>52</c:v>
                </c:pt>
                <c:pt idx="3">
                  <c:v>54</c:v>
                </c:pt>
                <c:pt idx="4">
                  <c:v>54</c:v>
                </c:pt>
              </c:numCache>
            </c:numRef>
          </c:val>
          <c:extLst>
            <c:ext xmlns:c15="http://schemas.microsoft.com/office/drawing/2012/chart" uri="{02D57815-91ED-43cb-92C2-25804820EDAC}">
              <c15:filteredCategoryTitle>
                <c15:cat>
                  <c:strRef>
                    <c:extLst>
                      <c:ext uri="{02D57815-91ED-43cb-92C2-25804820EDAC}">
                        <c15:formulaRef>
                          <c15:sqref>PGLOBAL!$R$281:$R$285</c15:sqref>
                        </c15:formulaRef>
                      </c:ext>
                    </c:extLst>
                    <c:strCache>
                      <c:ptCount val="5"/>
                      <c:pt idx="0">
                        <c:v>LECTURA CRÍTICA</c:v>
                      </c:pt>
                      <c:pt idx="1">
                        <c:v>MATEMATICAS</c:v>
                      </c:pt>
                      <c:pt idx="2">
                        <c:v>SOCIALES Y CIUDADANAS </c:v>
                      </c:pt>
                      <c:pt idx="3">
                        <c:v>CIENCIAS NATURALES</c:v>
                      </c:pt>
                      <c:pt idx="4">
                        <c:v>INGLÉS</c:v>
                      </c:pt>
                    </c:strCache>
                  </c:strRef>
                </c15:cat>
              </c15:filteredCategoryTitle>
            </c:ext>
            <c:ext xmlns:c16="http://schemas.microsoft.com/office/drawing/2014/chart" uri="{C3380CC4-5D6E-409C-BE32-E72D297353CC}">
              <c16:uniqueId val="{00000000-045C-4993-AAF0-32CD2CF7F245}"/>
            </c:ext>
          </c:extLst>
        </c:ser>
        <c:ser>
          <c:idx val="1"/>
          <c:order val="1"/>
          <c:tx>
            <c:strRef>
              <c:f>PGLOBAL!$T$280</c:f>
              <c:strCache>
                <c:ptCount val="1"/>
                <c:pt idx="0">
                  <c:v>2017</c:v>
                </c:pt>
              </c:strCache>
            </c:strRef>
          </c:tx>
          <c:val>
            <c:numRef>
              <c:f>PGLOBAL!$T$281:$T$285</c:f>
              <c:numCache>
                <c:formatCode>General</c:formatCode>
                <c:ptCount val="5"/>
                <c:pt idx="0">
                  <c:v>55</c:v>
                </c:pt>
                <c:pt idx="1">
                  <c:v>52</c:v>
                </c:pt>
                <c:pt idx="2">
                  <c:v>52</c:v>
                </c:pt>
                <c:pt idx="3">
                  <c:v>53</c:v>
                </c:pt>
                <c:pt idx="4">
                  <c:v>53</c:v>
                </c:pt>
              </c:numCache>
            </c:numRef>
          </c:val>
          <c:extLst>
            <c:ext xmlns:c15="http://schemas.microsoft.com/office/drawing/2012/chart" uri="{02D57815-91ED-43cb-92C2-25804820EDAC}">
              <c15:filteredCategoryTitle>
                <c15:cat>
                  <c:strRef>
                    <c:extLst>
                      <c:ext uri="{02D57815-91ED-43cb-92C2-25804820EDAC}">
                        <c15:formulaRef>
                          <c15:sqref>PGLOBAL!$R$281:$R$285</c15:sqref>
                        </c15:formulaRef>
                      </c:ext>
                    </c:extLst>
                    <c:strCache>
                      <c:ptCount val="5"/>
                      <c:pt idx="0">
                        <c:v>LECTURA CRÍTICA</c:v>
                      </c:pt>
                      <c:pt idx="1">
                        <c:v>MATEMATICAS</c:v>
                      </c:pt>
                      <c:pt idx="2">
                        <c:v>SOCIALES Y CIUDADANAS </c:v>
                      </c:pt>
                      <c:pt idx="3">
                        <c:v>CIENCIAS NATURALES</c:v>
                      </c:pt>
                      <c:pt idx="4">
                        <c:v>INGLÉS</c:v>
                      </c:pt>
                    </c:strCache>
                  </c:strRef>
                </c15:cat>
              </c15:filteredCategoryTitle>
            </c:ext>
            <c:ext xmlns:c16="http://schemas.microsoft.com/office/drawing/2014/chart" uri="{C3380CC4-5D6E-409C-BE32-E72D297353CC}">
              <c16:uniqueId val="{00000001-045C-4993-AAF0-32CD2CF7F245}"/>
            </c:ext>
          </c:extLst>
        </c:ser>
        <c:ser>
          <c:idx val="2"/>
          <c:order val="2"/>
          <c:tx>
            <c:strRef>
              <c:f>PGLOBAL!$U$280</c:f>
              <c:strCache>
                <c:ptCount val="1"/>
                <c:pt idx="0">
                  <c:v>2018</c:v>
                </c:pt>
              </c:strCache>
            </c:strRef>
          </c:tx>
          <c:spPr>
            <a:ln>
              <a:prstDash val="sysDash"/>
            </a:ln>
          </c:spPr>
          <c:val>
            <c:numRef>
              <c:f>PGLOBAL!$U$281:$U$285</c:f>
              <c:numCache>
                <c:formatCode>General</c:formatCode>
                <c:ptCount val="5"/>
                <c:pt idx="0">
                  <c:v>54</c:v>
                </c:pt>
                <c:pt idx="1">
                  <c:v>52</c:v>
                </c:pt>
                <c:pt idx="2">
                  <c:v>50</c:v>
                </c:pt>
                <c:pt idx="3">
                  <c:v>51</c:v>
                </c:pt>
                <c:pt idx="4">
                  <c:v>51</c:v>
                </c:pt>
              </c:numCache>
            </c:numRef>
          </c:val>
          <c:extLst>
            <c:ext xmlns:c15="http://schemas.microsoft.com/office/drawing/2012/chart" uri="{02D57815-91ED-43cb-92C2-25804820EDAC}">
              <c15:filteredCategoryTitle>
                <c15:cat>
                  <c:strRef>
                    <c:extLst>
                      <c:ext uri="{02D57815-91ED-43cb-92C2-25804820EDAC}">
                        <c15:formulaRef>
                          <c15:sqref>PGLOBAL!$R$281:$R$285</c15:sqref>
                        </c15:formulaRef>
                      </c:ext>
                    </c:extLst>
                    <c:strCache>
                      <c:ptCount val="5"/>
                      <c:pt idx="0">
                        <c:v>LECTURA CRÍTICA</c:v>
                      </c:pt>
                      <c:pt idx="1">
                        <c:v>MATEMATICAS</c:v>
                      </c:pt>
                      <c:pt idx="2">
                        <c:v>SOCIALES Y CIUDADANAS </c:v>
                      </c:pt>
                      <c:pt idx="3">
                        <c:v>CIENCIAS NATURALES</c:v>
                      </c:pt>
                      <c:pt idx="4">
                        <c:v>INGLÉS</c:v>
                      </c:pt>
                    </c:strCache>
                  </c:strRef>
                </c15:cat>
              </c15:filteredCategoryTitle>
            </c:ext>
            <c:ext xmlns:c16="http://schemas.microsoft.com/office/drawing/2014/chart" uri="{C3380CC4-5D6E-409C-BE32-E72D297353CC}">
              <c16:uniqueId val="{00000002-045C-4993-AAF0-32CD2CF7F245}"/>
            </c:ext>
          </c:extLst>
        </c:ser>
        <c:ser>
          <c:idx val="3"/>
          <c:order val="3"/>
          <c:tx>
            <c:strRef>
              <c:f>PGLOBAL!$V$280</c:f>
              <c:strCache>
                <c:ptCount val="1"/>
                <c:pt idx="0">
                  <c:v>2019</c:v>
                </c:pt>
              </c:strCache>
            </c:strRef>
          </c:tx>
          <c:val>
            <c:numRef>
              <c:f>PGLOBAL!$V$281:$V$285</c:f>
              <c:numCache>
                <c:formatCode>General</c:formatCode>
                <c:ptCount val="5"/>
                <c:pt idx="0">
                  <c:v>54</c:v>
                </c:pt>
                <c:pt idx="1">
                  <c:v>53</c:v>
                </c:pt>
                <c:pt idx="2">
                  <c:v>48</c:v>
                </c:pt>
                <c:pt idx="3">
                  <c:v>50</c:v>
                </c:pt>
                <c:pt idx="4">
                  <c:v>50</c:v>
                </c:pt>
              </c:numCache>
            </c:numRef>
          </c:val>
          <c:extLst>
            <c:ext xmlns:c15="http://schemas.microsoft.com/office/drawing/2012/chart" uri="{02D57815-91ED-43cb-92C2-25804820EDAC}">
              <c15:filteredCategoryTitle>
                <c15:cat>
                  <c:strRef>
                    <c:extLst>
                      <c:ext uri="{02D57815-91ED-43cb-92C2-25804820EDAC}">
                        <c15:formulaRef>
                          <c15:sqref>PGLOBAL!$R$281:$R$285</c15:sqref>
                        </c15:formulaRef>
                      </c:ext>
                    </c:extLst>
                    <c:strCache>
                      <c:ptCount val="5"/>
                      <c:pt idx="0">
                        <c:v>LECTURA CRÍTICA</c:v>
                      </c:pt>
                      <c:pt idx="1">
                        <c:v>MATEMATICAS</c:v>
                      </c:pt>
                      <c:pt idx="2">
                        <c:v>SOCIALES Y CIUDADANAS </c:v>
                      </c:pt>
                      <c:pt idx="3">
                        <c:v>CIENCIAS NATURALES</c:v>
                      </c:pt>
                      <c:pt idx="4">
                        <c:v>INGLÉS</c:v>
                      </c:pt>
                    </c:strCache>
                  </c:strRef>
                </c15:cat>
              </c15:filteredCategoryTitle>
            </c:ext>
            <c:ext xmlns:c16="http://schemas.microsoft.com/office/drawing/2014/chart" uri="{C3380CC4-5D6E-409C-BE32-E72D297353CC}">
              <c16:uniqueId val="{00000003-045C-4993-AAF0-32CD2CF7F245}"/>
            </c:ext>
          </c:extLst>
        </c:ser>
        <c:ser>
          <c:idx val="4"/>
          <c:order val="4"/>
          <c:tx>
            <c:strRef>
              <c:f>PGLOBAL!$W$280</c:f>
              <c:strCache>
                <c:ptCount val="1"/>
                <c:pt idx="0">
                  <c:v>2020</c:v>
                </c:pt>
              </c:strCache>
            </c:strRef>
          </c:tx>
          <c:val>
            <c:numRef>
              <c:f>PGLOBAL!$W$281:$W$285</c:f>
              <c:numCache>
                <c:formatCode>General</c:formatCode>
                <c:ptCount val="5"/>
                <c:pt idx="0">
                  <c:v>54</c:v>
                </c:pt>
                <c:pt idx="1">
                  <c:v>53</c:v>
                </c:pt>
                <c:pt idx="2">
                  <c:v>50</c:v>
                </c:pt>
                <c:pt idx="3">
                  <c:v>50</c:v>
                </c:pt>
                <c:pt idx="4">
                  <c:v>48</c:v>
                </c:pt>
              </c:numCache>
            </c:numRef>
          </c:val>
          <c:extLst>
            <c:ext xmlns:c15="http://schemas.microsoft.com/office/drawing/2012/chart" uri="{02D57815-91ED-43cb-92C2-25804820EDAC}">
              <c15:filteredCategoryTitle>
                <c15:cat>
                  <c:strRef>
                    <c:extLst>
                      <c:ext uri="{02D57815-91ED-43cb-92C2-25804820EDAC}">
                        <c15:formulaRef>
                          <c15:sqref>PGLOBAL!$R$281:$R$285</c15:sqref>
                        </c15:formulaRef>
                      </c:ext>
                    </c:extLst>
                    <c:strCache>
                      <c:ptCount val="5"/>
                      <c:pt idx="0">
                        <c:v>LECTURA CRÍTICA</c:v>
                      </c:pt>
                      <c:pt idx="1">
                        <c:v>MATEMATICAS</c:v>
                      </c:pt>
                      <c:pt idx="2">
                        <c:v>SOCIALES Y CIUDADANAS </c:v>
                      </c:pt>
                      <c:pt idx="3">
                        <c:v>CIENCIAS NATURALES</c:v>
                      </c:pt>
                      <c:pt idx="4">
                        <c:v>INGLÉS</c:v>
                      </c:pt>
                    </c:strCache>
                  </c:strRef>
                </c15:cat>
              </c15:filteredCategoryTitle>
            </c:ext>
            <c:ext xmlns:c16="http://schemas.microsoft.com/office/drawing/2014/chart" uri="{C3380CC4-5D6E-409C-BE32-E72D297353CC}">
              <c16:uniqueId val="{00000001-61DB-47A0-95EA-498307C2A18A}"/>
            </c:ext>
          </c:extLst>
        </c:ser>
        <c:ser>
          <c:idx val="5"/>
          <c:order val="5"/>
          <c:tx>
            <c:strRef>
              <c:f>PGLOBAL!$X$280</c:f>
              <c:strCache>
                <c:ptCount val="1"/>
                <c:pt idx="0">
                  <c:v>2021</c:v>
                </c:pt>
              </c:strCache>
            </c:strRef>
          </c:tx>
          <c:val>
            <c:numRef>
              <c:f>PGLOBAL!$X$281:$X$285</c:f>
              <c:numCache>
                <c:formatCode>General</c:formatCode>
                <c:ptCount val="5"/>
                <c:pt idx="0">
                  <c:v>55</c:v>
                </c:pt>
                <c:pt idx="1">
                  <c:v>52</c:v>
                </c:pt>
                <c:pt idx="2">
                  <c:v>49</c:v>
                </c:pt>
                <c:pt idx="3">
                  <c:v>50</c:v>
                </c:pt>
                <c:pt idx="4">
                  <c:v>52</c:v>
                </c:pt>
              </c:numCache>
            </c:numRef>
          </c:val>
          <c:extLst>
            <c:ext xmlns:c15="http://schemas.microsoft.com/office/drawing/2012/chart" uri="{02D57815-91ED-43cb-92C2-25804820EDAC}">
              <c15:filteredCategoryTitle>
                <c15:cat>
                  <c:strRef>
                    <c:extLst>
                      <c:ext uri="{02D57815-91ED-43cb-92C2-25804820EDAC}">
                        <c15:formulaRef>
                          <c15:sqref>PGLOBAL!$R$281:$R$285</c15:sqref>
                        </c15:formulaRef>
                      </c:ext>
                    </c:extLst>
                    <c:strCache>
                      <c:ptCount val="5"/>
                      <c:pt idx="0">
                        <c:v>LECTURA CRÍTICA</c:v>
                      </c:pt>
                      <c:pt idx="1">
                        <c:v>MATEMATICAS</c:v>
                      </c:pt>
                      <c:pt idx="2">
                        <c:v>SOCIALES Y CIUDADANAS </c:v>
                      </c:pt>
                      <c:pt idx="3">
                        <c:v>CIENCIAS NATURALES</c:v>
                      </c:pt>
                      <c:pt idx="4">
                        <c:v>INGLÉS</c:v>
                      </c:pt>
                    </c:strCache>
                  </c:strRef>
                </c15:cat>
              </c15:filteredCategoryTitle>
            </c:ext>
            <c:ext xmlns:c16="http://schemas.microsoft.com/office/drawing/2014/chart" uri="{C3380CC4-5D6E-409C-BE32-E72D297353CC}">
              <c16:uniqueId val="{00000001-B8AB-43FA-AC10-8905BF6DFE1B}"/>
            </c:ext>
          </c:extLst>
        </c:ser>
        <c:ser>
          <c:idx val="6"/>
          <c:order val="6"/>
          <c:tx>
            <c:strRef>
              <c:f>PGLOBAL!$Y$280</c:f>
              <c:strCache>
                <c:ptCount val="1"/>
                <c:pt idx="0">
                  <c:v>2022</c:v>
                </c:pt>
              </c:strCache>
            </c:strRef>
          </c:tx>
          <c:val>
            <c:numRef>
              <c:f>PGLOBAL!$Y$281:$Y$285</c:f>
              <c:numCache>
                <c:formatCode>General</c:formatCode>
                <c:ptCount val="5"/>
                <c:pt idx="0">
                  <c:v>55</c:v>
                </c:pt>
                <c:pt idx="1">
                  <c:v>53</c:v>
                </c:pt>
                <c:pt idx="2">
                  <c:v>50</c:v>
                </c:pt>
                <c:pt idx="3">
                  <c:v>51</c:v>
                </c:pt>
                <c:pt idx="4">
                  <c:v>53</c:v>
                </c:pt>
              </c:numCache>
            </c:numRef>
          </c:val>
          <c:extLst>
            <c:ext xmlns:c15="http://schemas.microsoft.com/office/drawing/2012/chart" uri="{02D57815-91ED-43cb-92C2-25804820EDAC}">
              <c15:filteredCategoryTitle>
                <c15:cat>
                  <c:strRef>
                    <c:extLst>
                      <c:ext uri="{02D57815-91ED-43cb-92C2-25804820EDAC}">
                        <c15:formulaRef>
                          <c15:sqref>PGLOBAL!$R$281:$R$285</c15:sqref>
                        </c15:formulaRef>
                      </c:ext>
                    </c:extLst>
                    <c:strCache>
                      <c:ptCount val="5"/>
                      <c:pt idx="0">
                        <c:v>LECTURA CRÍTICA</c:v>
                      </c:pt>
                      <c:pt idx="1">
                        <c:v>MATEMATICAS</c:v>
                      </c:pt>
                      <c:pt idx="2">
                        <c:v>SOCIALES Y CIUDADANAS </c:v>
                      </c:pt>
                      <c:pt idx="3">
                        <c:v>CIENCIAS NATURALES</c:v>
                      </c:pt>
                      <c:pt idx="4">
                        <c:v>INGLÉS</c:v>
                      </c:pt>
                    </c:strCache>
                  </c:strRef>
                </c15:cat>
              </c15:filteredCategoryTitle>
            </c:ext>
            <c:ext xmlns:c16="http://schemas.microsoft.com/office/drawing/2014/chart" uri="{C3380CC4-5D6E-409C-BE32-E72D297353CC}">
              <c16:uniqueId val="{00000000-1CAF-44A1-B25C-3701C7389E91}"/>
            </c:ext>
          </c:extLst>
        </c:ser>
        <c:ser>
          <c:idx val="7"/>
          <c:order val="7"/>
          <c:tx>
            <c:strRef>
              <c:f>PGLOBAL!$Z$280</c:f>
              <c:strCache>
                <c:ptCount val="1"/>
                <c:pt idx="0">
                  <c:v>2023</c:v>
                </c:pt>
              </c:strCache>
            </c:strRef>
          </c:tx>
          <c:val>
            <c:numRef>
              <c:f>PGLOBAL!$Z$281:$Z$285</c:f>
              <c:numCache>
                <c:formatCode>General</c:formatCode>
                <c:ptCount val="5"/>
                <c:pt idx="0">
                  <c:v>55</c:v>
                </c:pt>
                <c:pt idx="1">
                  <c:v>53</c:v>
                </c:pt>
                <c:pt idx="2">
                  <c:v>50</c:v>
                </c:pt>
                <c:pt idx="3">
                  <c:v>51</c:v>
                </c:pt>
                <c:pt idx="4">
                  <c:v>53</c:v>
                </c:pt>
              </c:numCache>
            </c:numRef>
          </c:val>
          <c:extLst>
            <c:ext xmlns:c15="http://schemas.microsoft.com/office/drawing/2012/chart" uri="{02D57815-91ED-43cb-92C2-25804820EDAC}">
              <c15:filteredCategoryTitle>
                <c15:cat>
                  <c:strRef>
                    <c:extLst>
                      <c:ext uri="{02D57815-91ED-43cb-92C2-25804820EDAC}">
                        <c15:formulaRef>
                          <c15:sqref>PGLOBAL!$R$281:$R$285</c15:sqref>
                        </c15:formulaRef>
                      </c:ext>
                    </c:extLst>
                    <c:strCache>
                      <c:ptCount val="5"/>
                      <c:pt idx="0">
                        <c:v>LECTURA CRÍTICA</c:v>
                      </c:pt>
                      <c:pt idx="1">
                        <c:v>MATEMATICAS</c:v>
                      </c:pt>
                      <c:pt idx="2">
                        <c:v>SOCIALES Y CIUDADANAS </c:v>
                      </c:pt>
                      <c:pt idx="3">
                        <c:v>CIENCIAS NATURALES</c:v>
                      </c:pt>
                      <c:pt idx="4">
                        <c:v>INGLÉS</c:v>
                      </c:pt>
                    </c:strCache>
                  </c:strRef>
                </c15:cat>
              </c15:filteredCategoryTitle>
            </c:ext>
            <c:ext xmlns:c16="http://schemas.microsoft.com/office/drawing/2014/chart" uri="{C3380CC4-5D6E-409C-BE32-E72D297353CC}">
              <c16:uniqueId val="{00000001-1CAF-44A1-B25C-3701C7389E91}"/>
            </c:ext>
          </c:extLst>
        </c:ser>
        <c:ser>
          <c:idx val="8"/>
          <c:order val="8"/>
          <c:tx>
            <c:strRef>
              <c:f>PGLOBAL!$AA$280</c:f>
              <c:strCache>
                <c:ptCount val="1"/>
                <c:pt idx="0">
                  <c:v>2024</c:v>
                </c:pt>
              </c:strCache>
            </c:strRef>
          </c:tx>
          <c:val>
            <c:numRef>
              <c:f>PGLOBAL!$AA$281:$AA$285</c:f>
              <c:numCache>
                <c:formatCode>General</c:formatCode>
                <c:ptCount val="5"/>
                <c:pt idx="0">
                  <c:v>56</c:v>
                </c:pt>
                <c:pt idx="1">
                  <c:v>54</c:v>
                </c:pt>
                <c:pt idx="2">
                  <c:v>50</c:v>
                </c:pt>
                <c:pt idx="3">
                  <c:v>52</c:v>
                </c:pt>
                <c:pt idx="4">
                  <c:v>54</c:v>
                </c:pt>
              </c:numCache>
            </c:numRef>
          </c:val>
          <c:extLst>
            <c:ext xmlns:c15="http://schemas.microsoft.com/office/drawing/2012/chart" uri="{02D57815-91ED-43cb-92C2-25804820EDAC}">
              <c15:filteredCategoryTitle>
                <c15:cat>
                  <c:strRef>
                    <c:extLst>
                      <c:ext uri="{02D57815-91ED-43cb-92C2-25804820EDAC}">
                        <c15:formulaRef>
                          <c15:sqref>PGLOBAL!$R$281:$R$285</c15:sqref>
                        </c15:formulaRef>
                      </c:ext>
                    </c:extLst>
                    <c:strCache>
                      <c:ptCount val="5"/>
                      <c:pt idx="0">
                        <c:v>LECTURA CRÍTICA</c:v>
                      </c:pt>
                      <c:pt idx="1">
                        <c:v>MATEMATICAS</c:v>
                      </c:pt>
                      <c:pt idx="2">
                        <c:v>SOCIALES Y CIUDADANAS </c:v>
                      </c:pt>
                      <c:pt idx="3">
                        <c:v>CIENCIAS NATURALES</c:v>
                      </c:pt>
                      <c:pt idx="4">
                        <c:v>INGLÉS</c:v>
                      </c:pt>
                    </c:strCache>
                  </c:strRef>
                </c15:cat>
              </c15:filteredCategoryTitle>
            </c:ext>
            <c:ext xmlns:c16="http://schemas.microsoft.com/office/drawing/2014/chart" uri="{C3380CC4-5D6E-409C-BE32-E72D297353CC}">
              <c16:uniqueId val="{00000000-A2F8-4B83-ADF3-3BFDD4FEDF9F}"/>
            </c:ext>
          </c:extLst>
        </c:ser>
        <c:ser>
          <c:idx val="9"/>
          <c:order val="9"/>
          <c:tx>
            <c:strRef>
              <c:f>PGLOBAL!$AB$280</c:f>
              <c:strCache>
                <c:ptCount val="1"/>
                <c:pt idx="0">
                  <c:v>2025</c:v>
                </c:pt>
              </c:strCache>
            </c:strRef>
          </c:tx>
          <c:val>
            <c:numRef>
              <c:f>PGLOBAL!$AB$281:$AB$285</c:f>
              <c:numCache>
                <c:formatCode>General</c:formatCode>
                <c:ptCount val="5"/>
                <c:pt idx="0">
                  <c:v>56</c:v>
                </c:pt>
                <c:pt idx="1">
                  <c:v>54</c:v>
                </c:pt>
                <c:pt idx="2">
                  <c:v>50</c:v>
                </c:pt>
                <c:pt idx="3">
                  <c:v>53</c:v>
                </c:pt>
                <c:pt idx="4">
                  <c:v>55</c:v>
                </c:pt>
              </c:numCache>
            </c:numRef>
          </c:val>
          <c:extLst>
            <c:ext xmlns:c15="http://schemas.microsoft.com/office/drawing/2012/chart" uri="{02D57815-91ED-43cb-92C2-25804820EDAC}">
              <c15:filteredCategoryTitle>
                <c15:cat>
                  <c:strRef>
                    <c:extLst>
                      <c:ext uri="{02D57815-91ED-43cb-92C2-25804820EDAC}">
                        <c15:formulaRef>
                          <c15:sqref>PGLOBAL!$R$281:$R$285</c15:sqref>
                        </c15:formulaRef>
                      </c:ext>
                    </c:extLst>
                    <c:strCache>
                      <c:ptCount val="5"/>
                      <c:pt idx="0">
                        <c:v>LECTURA CRÍTICA</c:v>
                      </c:pt>
                      <c:pt idx="1">
                        <c:v>MATEMATICAS</c:v>
                      </c:pt>
                      <c:pt idx="2">
                        <c:v>SOCIALES Y CIUDADANAS </c:v>
                      </c:pt>
                      <c:pt idx="3">
                        <c:v>CIENCIAS NATURALES</c:v>
                      </c:pt>
                      <c:pt idx="4">
                        <c:v>INGLÉS</c:v>
                      </c:pt>
                    </c:strCache>
                  </c:strRef>
                </c15:cat>
              </c15:filteredCategoryTitle>
            </c:ext>
            <c:ext xmlns:c16="http://schemas.microsoft.com/office/drawing/2014/chart" uri="{C3380CC4-5D6E-409C-BE32-E72D297353CC}">
              <c16:uniqueId val="{00000000-3B8B-4137-A62F-F25FB12C29A2}"/>
            </c:ext>
          </c:extLst>
        </c:ser>
        <c:dLbls>
          <c:showLegendKey val="0"/>
          <c:showVal val="0"/>
          <c:showCatName val="0"/>
          <c:showSerName val="0"/>
          <c:showPercent val="0"/>
          <c:showBubbleSize val="0"/>
        </c:dLbls>
        <c:axId val="38646528"/>
        <c:axId val="38648064"/>
      </c:radarChart>
      <c:catAx>
        <c:axId val="38646528"/>
        <c:scaling>
          <c:orientation val="minMax"/>
        </c:scaling>
        <c:delete val="0"/>
        <c:axPos val="b"/>
        <c:majorGridlines/>
        <c:numFmt formatCode="General" sourceLinked="0"/>
        <c:majorTickMark val="none"/>
        <c:minorTickMark val="none"/>
        <c:tickLblPos val="nextTo"/>
        <c:spPr>
          <a:ln w="9525">
            <a:noFill/>
          </a:ln>
        </c:spPr>
        <c:txPr>
          <a:bodyPr/>
          <a:lstStyle/>
          <a:p>
            <a:pPr>
              <a:defRPr>
                <a:latin typeface="Arial" panose="020B0604020202020204" pitchFamily="34" charset="0"/>
                <a:cs typeface="Arial" panose="020B0604020202020204" pitchFamily="34" charset="0"/>
              </a:defRPr>
            </a:pPr>
            <a:endParaRPr lang="es-CO"/>
          </a:p>
        </c:txPr>
        <c:crossAx val="38648064"/>
        <c:crosses val="autoZero"/>
        <c:auto val="1"/>
        <c:lblAlgn val="ctr"/>
        <c:lblOffset val="100"/>
        <c:noMultiLvlLbl val="0"/>
      </c:catAx>
      <c:valAx>
        <c:axId val="38648064"/>
        <c:scaling>
          <c:orientation val="minMax"/>
          <c:max val="56"/>
          <c:min val="46"/>
        </c:scaling>
        <c:delete val="0"/>
        <c:axPos val="l"/>
        <c:majorGridlines/>
        <c:numFmt formatCode="General" sourceLinked="1"/>
        <c:majorTickMark val="none"/>
        <c:minorTickMark val="none"/>
        <c:tickLblPos val="nextTo"/>
        <c:txPr>
          <a:bodyPr/>
          <a:lstStyle/>
          <a:p>
            <a:pPr>
              <a:defRPr>
                <a:latin typeface="Arial" panose="020B0604020202020204" pitchFamily="34" charset="0"/>
                <a:cs typeface="Arial" panose="020B0604020202020204" pitchFamily="34" charset="0"/>
              </a:defRPr>
            </a:pPr>
            <a:endParaRPr lang="es-CO"/>
          </a:p>
        </c:txPr>
        <c:crossAx val="38646528"/>
        <c:crosses val="autoZero"/>
        <c:crossBetween val="between"/>
        <c:majorUnit val="2"/>
      </c:valAx>
    </c:plotArea>
    <c:legend>
      <c:legendPos val="r"/>
      <c:overlay val="0"/>
      <c:txPr>
        <a:bodyPr/>
        <a:lstStyle/>
        <a:p>
          <a:pPr>
            <a:defRPr>
              <a:latin typeface="Arial" panose="020B0604020202020204" pitchFamily="34" charset="0"/>
              <a:cs typeface="Arial" panose="020B0604020202020204" pitchFamily="34" charset="0"/>
            </a:defRPr>
          </a:pPr>
          <a:endParaRPr lang="es-CO"/>
        </a:p>
      </c:txPr>
    </c:legend>
    <c:plotVisOnly val="1"/>
    <c:dispBlanksAs val="gap"/>
    <c:showDLblsOverMax val="0"/>
  </c:chart>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Niveles</a:t>
            </a:r>
            <a:r>
              <a:rPr lang="es-CO" baseline="0"/>
              <a:t> de Desempeño Matemáticas Saber 11 2016 - 2024</a:t>
            </a:r>
            <a:endParaRPr lang="es-CO"/>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stacked"/>
        <c:varyColors val="0"/>
        <c:ser>
          <c:idx val="0"/>
          <c:order val="0"/>
          <c:tx>
            <c:strRef>
              <c:f>MATE!$S$220</c:f>
              <c:strCache>
                <c:ptCount val="1"/>
                <c:pt idx="0">
                  <c:v>1</c:v>
                </c:pt>
              </c:strCache>
            </c:strRef>
          </c:tx>
          <c:spPr>
            <a:solidFill>
              <a:srgbClr val="FF0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MATE!$T$218:$BC$219</c:f>
              <c:multiLvlStrCache>
                <c:ptCount val="36"/>
                <c:lvl>
                  <c:pt idx="0">
                    <c:v>COLOMBIA</c:v>
                  </c:pt>
                  <c:pt idx="1">
                    <c:v>SOACHA</c:v>
                  </c:pt>
                  <c:pt idx="2">
                    <c:v>SOACHA OFICIAL</c:v>
                  </c:pt>
                  <c:pt idx="3">
                    <c:v>SOACHA NO OFICIAL</c:v>
                  </c:pt>
                  <c:pt idx="4">
                    <c:v>COLOMBIA</c:v>
                  </c:pt>
                  <c:pt idx="5">
                    <c:v>SOACHA</c:v>
                  </c:pt>
                  <c:pt idx="6">
                    <c:v>SOACHA OFICIAL</c:v>
                  </c:pt>
                  <c:pt idx="7">
                    <c:v>SOACHA NO OFICIAL</c:v>
                  </c:pt>
                  <c:pt idx="8">
                    <c:v>COLOMBIA</c:v>
                  </c:pt>
                  <c:pt idx="9">
                    <c:v>SOACHA</c:v>
                  </c:pt>
                  <c:pt idx="10">
                    <c:v>SOACHA OFICIAL</c:v>
                  </c:pt>
                  <c:pt idx="11">
                    <c:v>SOACHA NO OFICIAL</c:v>
                  </c:pt>
                  <c:pt idx="12">
                    <c:v>COLOMBIA</c:v>
                  </c:pt>
                  <c:pt idx="13">
                    <c:v>SOACHA</c:v>
                  </c:pt>
                  <c:pt idx="14">
                    <c:v>SOACHA OFICIAL</c:v>
                  </c:pt>
                  <c:pt idx="15">
                    <c:v>SOACHA NO OFICIAL</c:v>
                  </c:pt>
                  <c:pt idx="16">
                    <c:v>COLOMBIA</c:v>
                  </c:pt>
                  <c:pt idx="17">
                    <c:v>SOACHA</c:v>
                  </c:pt>
                  <c:pt idx="18">
                    <c:v>SOACHA OFICIAL</c:v>
                  </c:pt>
                  <c:pt idx="19">
                    <c:v>SOACHA NO OFICIAL</c:v>
                  </c:pt>
                  <c:pt idx="20">
                    <c:v>COLOMBIA</c:v>
                  </c:pt>
                  <c:pt idx="21">
                    <c:v>SOACHA</c:v>
                  </c:pt>
                  <c:pt idx="22">
                    <c:v>SOACHA OFICIAL</c:v>
                  </c:pt>
                  <c:pt idx="23">
                    <c:v>SOACHA NO OFICIAL</c:v>
                  </c:pt>
                  <c:pt idx="24">
                    <c:v>COLOMBIA</c:v>
                  </c:pt>
                  <c:pt idx="25">
                    <c:v>SOACHA</c:v>
                  </c:pt>
                  <c:pt idx="26">
                    <c:v>SOACHA OFICIAL</c:v>
                  </c:pt>
                  <c:pt idx="27">
                    <c:v>SOACHA NO OFICIAL</c:v>
                  </c:pt>
                  <c:pt idx="28">
                    <c:v>COLOMBIA</c:v>
                  </c:pt>
                  <c:pt idx="29">
                    <c:v>SOACHA</c:v>
                  </c:pt>
                  <c:pt idx="30">
                    <c:v>SOACHA OFICIAL</c:v>
                  </c:pt>
                  <c:pt idx="31">
                    <c:v>SOACHA NO OFICIAL</c:v>
                  </c:pt>
                  <c:pt idx="32">
                    <c:v>COLOMBIA</c:v>
                  </c:pt>
                  <c:pt idx="33">
                    <c:v>SOACHA</c:v>
                  </c:pt>
                  <c:pt idx="34">
                    <c:v>SOACHA OFICIAL</c:v>
                  </c:pt>
                  <c:pt idx="35">
                    <c:v>SOACHA NO OFICIAL</c:v>
                  </c:pt>
                </c:lvl>
                <c:lvl>
                  <c:pt idx="0">
                    <c:v>2016</c:v>
                  </c:pt>
                  <c:pt idx="4">
                    <c:v>2017</c:v>
                  </c:pt>
                  <c:pt idx="8">
                    <c:v>2018</c:v>
                  </c:pt>
                  <c:pt idx="12">
                    <c:v>2019</c:v>
                  </c:pt>
                  <c:pt idx="16">
                    <c:v>2020</c:v>
                  </c:pt>
                  <c:pt idx="20">
                    <c:v>2021</c:v>
                  </c:pt>
                  <c:pt idx="24">
                    <c:v>2022</c:v>
                  </c:pt>
                  <c:pt idx="28">
                    <c:v>2023</c:v>
                  </c:pt>
                  <c:pt idx="32">
                    <c:v>2024</c:v>
                  </c:pt>
                </c:lvl>
              </c:multiLvlStrCache>
            </c:multiLvlStrRef>
          </c:cat>
          <c:val>
            <c:numRef>
              <c:f>MATE!$T$220:$BC$220</c:f>
              <c:numCache>
                <c:formatCode>0%</c:formatCode>
                <c:ptCount val="36"/>
                <c:pt idx="0">
                  <c:v>0.08</c:v>
                </c:pt>
                <c:pt idx="1">
                  <c:v>0.04</c:v>
                </c:pt>
                <c:pt idx="2">
                  <c:v>0.05</c:v>
                </c:pt>
                <c:pt idx="3">
                  <c:v>0.04</c:v>
                </c:pt>
                <c:pt idx="4">
                  <c:v>0.09</c:v>
                </c:pt>
                <c:pt idx="5">
                  <c:v>0.05</c:v>
                </c:pt>
                <c:pt idx="6">
                  <c:v>0.06</c:v>
                </c:pt>
                <c:pt idx="7">
                  <c:v>0.04</c:v>
                </c:pt>
                <c:pt idx="8">
                  <c:v>0.08</c:v>
                </c:pt>
                <c:pt idx="9">
                  <c:v>0.04</c:v>
                </c:pt>
                <c:pt idx="10">
                  <c:v>0.06</c:v>
                </c:pt>
                <c:pt idx="11">
                  <c:v>0.02</c:v>
                </c:pt>
                <c:pt idx="12">
                  <c:v>0.08</c:v>
                </c:pt>
                <c:pt idx="13">
                  <c:v>0.04</c:v>
                </c:pt>
                <c:pt idx="14">
                  <c:v>0.05</c:v>
                </c:pt>
                <c:pt idx="15">
                  <c:v>0.03</c:v>
                </c:pt>
                <c:pt idx="16">
                  <c:v>7.0000000000000007E-2</c:v>
                </c:pt>
                <c:pt idx="17">
                  <c:v>0.04</c:v>
                </c:pt>
                <c:pt idx="18">
                  <c:v>0.04</c:v>
                </c:pt>
                <c:pt idx="19">
                  <c:v>0.03</c:v>
                </c:pt>
                <c:pt idx="20">
                  <c:v>0.1</c:v>
                </c:pt>
                <c:pt idx="21">
                  <c:v>0.05</c:v>
                </c:pt>
                <c:pt idx="22">
                  <c:v>0.06</c:v>
                </c:pt>
                <c:pt idx="23">
                  <c:v>0.04</c:v>
                </c:pt>
                <c:pt idx="24">
                  <c:v>0.1</c:v>
                </c:pt>
                <c:pt idx="25">
                  <c:v>0.05</c:v>
                </c:pt>
                <c:pt idx="26">
                  <c:v>7.0000000000000007E-2</c:v>
                </c:pt>
                <c:pt idx="27">
                  <c:v>0.04</c:v>
                </c:pt>
                <c:pt idx="28">
                  <c:v>0.09</c:v>
                </c:pt>
                <c:pt idx="29">
                  <c:v>0.05</c:v>
                </c:pt>
                <c:pt idx="30">
                  <c:v>7.0000000000000007E-2</c:v>
                </c:pt>
                <c:pt idx="31">
                  <c:v>0.04</c:v>
                </c:pt>
                <c:pt idx="32">
                  <c:v>0.09</c:v>
                </c:pt>
                <c:pt idx="33">
                  <c:v>0.05</c:v>
                </c:pt>
                <c:pt idx="34">
                  <c:v>0.06</c:v>
                </c:pt>
                <c:pt idx="35">
                  <c:v>0.03</c:v>
                </c:pt>
              </c:numCache>
            </c:numRef>
          </c:val>
          <c:extLst>
            <c:ext xmlns:c16="http://schemas.microsoft.com/office/drawing/2014/chart" uri="{C3380CC4-5D6E-409C-BE32-E72D297353CC}">
              <c16:uniqueId val="{00000000-0E0C-4839-90F6-1E7AE3B53959}"/>
            </c:ext>
          </c:extLst>
        </c:ser>
        <c:ser>
          <c:idx val="1"/>
          <c:order val="1"/>
          <c:tx>
            <c:strRef>
              <c:f>MATE!$S$221</c:f>
              <c:strCache>
                <c:ptCount val="1"/>
                <c:pt idx="0">
                  <c:v>2</c:v>
                </c:pt>
              </c:strCache>
            </c:strRef>
          </c:tx>
          <c:spPr>
            <a:solidFill>
              <a:srgbClr val="FFFF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MATE!$T$218:$BC$219</c:f>
              <c:multiLvlStrCache>
                <c:ptCount val="36"/>
                <c:lvl>
                  <c:pt idx="0">
                    <c:v>COLOMBIA</c:v>
                  </c:pt>
                  <c:pt idx="1">
                    <c:v>SOACHA</c:v>
                  </c:pt>
                  <c:pt idx="2">
                    <c:v>SOACHA OFICIAL</c:v>
                  </c:pt>
                  <c:pt idx="3">
                    <c:v>SOACHA NO OFICIAL</c:v>
                  </c:pt>
                  <c:pt idx="4">
                    <c:v>COLOMBIA</c:v>
                  </c:pt>
                  <c:pt idx="5">
                    <c:v>SOACHA</c:v>
                  </c:pt>
                  <c:pt idx="6">
                    <c:v>SOACHA OFICIAL</c:v>
                  </c:pt>
                  <c:pt idx="7">
                    <c:v>SOACHA NO OFICIAL</c:v>
                  </c:pt>
                  <c:pt idx="8">
                    <c:v>COLOMBIA</c:v>
                  </c:pt>
                  <c:pt idx="9">
                    <c:v>SOACHA</c:v>
                  </c:pt>
                  <c:pt idx="10">
                    <c:v>SOACHA OFICIAL</c:v>
                  </c:pt>
                  <c:pt idx="11">
                    <c:v>SOACHA NO OFICIAL</c:v>
                  </c:pt>
                  <c:pt idx="12">
                    <c:v>COLOMBIA</c:v>
                  </c:pt>
                  <c:pt idx="13">
                    <c:v>SOACHA</c:v>
                  </c:pt>
                  <c:pt idx="14">
                    <c:v>SOACHA OFICIAL</c:v>
                  </c:pt>
                  <c:pt idx="15">
                    <c:v>SOACHA NO OFICIAL</c:v>
                  </c:pt>
                  <c:pt idx="16">
                    <c:v>COLOMBIA</c:v>
                  </c:pt>
                  <c:pt idx="17">
                    <c:v>SOACHA</c:v>
                  </c:pt>
                  <c:pt idx="18">
                    <c:v>SOACHA OFICIAL</c:v>
                  </c:pt>
                  <c:pt idx="19">
                    <c:v>SOACHA NO OFICIAL</c:v>
                  </c:pt>
                  <c:pt idx="20">
                    <c:v>COLOMBIA</c:v>
                  </c:pt>
                  <c:pt idx="21">
                    <c:v>SOACHA</c:v>
                  </c:pt>
                  <c:pt idx="22">
                    <c:v>SOACHA OFICIAL</c:v>
                  </c:pt>
                  <c:pt idx="23">
                    <c:v>SOACHA NO OFICIAL</c:v>
                  </c:pt>
                  <c:pt idx="24">
                    <c:v>COLOMBIA</c:v>
                  </c:pt>
                  <c:pt idx="25">
                    <c:v>SOACHA</c:v>
                  </c:pt>
                  <c:pt idx="26">
                    <c:v>SOACHA OFICIAL</c:v>
                  </c:pt>
                  <c:pt idx="27">
                    <c:v>SOACHA NO OFICIAL</c:v>
                  </c:pt>
                  <c:pt idx="28">
                    <c:v>COLOMBIA</c:v>
                  </c:pt>
                  <c:pt idx="29">
                    <c:v>SOACHA</c:v>
                  </c:pt>
                  <c:pt idx="30">
                    <c:v>SOACHA OFICIAL</c:v>
                  </c:pt>
                  <c:pt idx="31">
                    <c:v>SOACHA NO OFICIAL</c:v>
                  </c:pt>
                  <c:pt idx="32">
                    <c:v>COLOMBIA</c:v>
                  </c:pt>
                  <c:pt idx="33">
                    <c:v>SOACHA</c:v>
                  </c:pt>
                  <c:pt idx="34">
                    <c:v>SOACHA OFICIAL</c:v>
                  </c:pt>
                  <c:pt idx="35">
                    <c:v>SOACHA NO OFICIAL</c:v>
                  </c:pt>
                </c:lvl>
                <c:lvl>
                  <c:pt idx="0">
                    <c:v>2016</c:v>
                  </c:pt>
                  <c:pt idx="4">
                    <c:v>2017</c:v>
                  </c:pt>
                  <c:pt idx="8">
                    <c:v>2018</c:v>
                  </c:pt>
                  <c:pt idx="12">
                    <c:v>2019</c:v>
                  </c:pt>
                  <c:pt idx="16">
                    <c:v>2020</c:v>
                  </c:pt>
                  <c:pt idx="20">
                    <c:v>2021</c:v>
                  </c:pt>
                  <c:pt idx="24">
                    <c:v>2022</c:v>
                  </c:pt>
                  <c:pt idx="28">
                    <c:v>2023</c:v>
                  </c:pt>
                  <c:pt idx="32">
                    <c:v>2024</c:v>
                  </c:pt>
                </c:lvl>
              </c:multiLvlStrCache>
            </c:multiLvlStrRef>
          </c:cat>
          <c:val>
            <c:numRef>
              <c:f>MATE!$T$221:$BC$221</c:f>
              <c:numCache>
                <c:formatCode>0%</c:formatCode>
                <c:ptCount val="36"/>
                <c:pt idx="0">
                  <c:v>0.37</c:v>
                </c:pt>
                <c:pt idx="1">
                  <c:v>0.39</c:v>
                </c:pt>
                <c:pt idx="2">
                  <c:v>0.44</c:v>
                </c:pt>
                <c:pt idx="3">
                  <c:v>0.34</c:v>
                </c:pt>
                <c:pt idx="4">
                  <c:v>0.38</c:v>
                </c:pt>
                <c:pt idx="5">
                  <c:v>0.38</c:v>
                </c:pt>
                <c:pt idx="6">
                  <c:v>0.42</c:v>
                </c:pt>
                <c:pt idx="7">
                  <c:v>0.33</c:v>
                </c:pt>
                <c:pt idx="8">
                  <c:v>0.38</c:v>
                </c:pt>
                <c:pt idx="9">
                  <c:v>0.38</c:v>
                </c:pt>
                <c:pt idx="10">
                  <c:v>0.43</c:v>
                </c:pt>
                <c:pt idx="11">
                  <c:v>0.32</c:v>
                </c:pt>
                <c:pt idx="12">
                  <c:v>0.36</c:v>
                </c:pt>
                <c:pt idx="13">
                  <c:v>0.36</c:v>
                </c:pt>
                <c:pt idx="14">
                  <c:v>0.41</c:v>
                </c:pt>
                <c:pt idx="15">
                  <c:v>0.28999999999999998</c:v>
                </c:pt>
                <c:pt idx="16">
                  <c:v>0.37</c:v>
                </c:pt>
                <c:pt idx="17">
                  <c:v>0.34</c:v>
                </c:pt>
                <c:pt idx="18">
                  <c:v>0.39</c:v>
                </c:pt>
                <c:pt idx="19">
                  <c:v>0.3</c:v>
                </c:pt>
                <c:pt idx="20">
                  <c:v>0.4</c:v>
                </c:pt>
                <c:pt idx="21">
                  <c:v>0.39</c:v>
                </c:pt>
                <c:pt idx="22">
                  <c:v>0.45</c:v>
                </c:pt>
                <c:pt idx="23">
                  <c:v>0.32</c:v>
                </c:pt>
                <c:pt idx="24">
                  <c:v>0.35</c:v>
                </c:pt>
                <c:pt idx="25">
                  <c:v>0.33</c:v>
                </c:pt>
                <c:pt idx="26">
                  <c:v>0.39</c:v>
                </c:pt>
                <c:pt idx="27">
                  <c:v>0.27</c:v>
                </c:pt>
                <c:pt idx="28">
                  <c:v>0.35</c:v>
                </c:pt>
                <c:pt idx="29">
                  <c:v>0.34</c:v>
                </c:pt>
                <c:pt idx="30">
                  <c:v>0.4</c:v>
                </c:pt>
                <c:pt idx="31">
                  <c:v>0.27</c:v>
                </c:pt>
                <c:pt idx="32">
                  <c:v>0.33</c:v>
                </c:pt>
                <c:pt idx="33">
                  <c:v>0.31</c:v>
                </c:pt>
                <c:pt idx="34">
                  <c:v>0.36</c:v>
                </c:pt>
                <c:pt idx="35">
                  <c:v>0.26</c:v>
                </c:pt>
              </c:numCache>
            </c:numRef>
          </c:val>
          <c:extLst>
            <c:ext xmlns:c16="http://schemas.microsoft.com/office/drawing/2014/chart" uri="{C3380CC4-5D6E-409C-BE32-E72D297353CC}">
              <c16:uniqueId val="{00000001-0E0C-4839-90F6-1E7AE3B53959}"/>
            </c:ext>
          </c:extLst>
        </c:ser>
        <c:ser>
          <c:idx val="2"/>
          <c:order val="2"/>
          <c:tx>
            <c:strRef>
              <c:f>MATE!$S$222</c:f>
              <c:strCache>
                <c:ptCount val="1"/>
                <c:pt idx="0">
                  <c:v>3</c:v>
                </c:pt>
              </c:strCache>
            </c:strRef>
          </c:tx>
          <c:spPr>
            <a:solidFill>
              <a:srgbClr val="FFC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MATE!$T$218:$BC$219</c:f>
              <c:multiLvlStrCache>
                <c:ptCount val="36"/>
                <c:lvl>
                  <c:pt idx="0">
                    <c:v>COLOMBIA</c:v>
                  </c:pt>
                  <c:pt idx="1">
                    <c:v>SOACHA</c:v>
                  </c:pt>
                  <c:pt idx="2">
                    <c:v>SOACHA OFICIAL</c:v>
                  </c:pt>
                  <c:pt idx="3">
                    <c:v>SOACHA NO OFICIAL</c:v>
                  </c:pt>
                  <c:pt idx="4">
                    <c:v>COLOMBIA</c:v>
                  </c:pt>
                  <c:pt idx="5">
                    <c:v>SOACHA</c:v>
                  </c:pt>
                  <c:pt idx="6">
                    <c:v>SOACHA OFICIAL</c:v>
                  </c:pt>
                  <c:pt idx="7">
                    <c:v>SOACHA NO OFICIAL</c:v>
                  </c:pt>
                  <c:pt idx="8">
                    <c:v>COLOMBIA</c:v>
                  </c:pt>
                  <c:pt idx="9">
                    <c:v>SOACHA</c:v>
                  </c:pt>
                  <c:pt idx="10">
                    <c:v>SOACHA OFICIAL</c:v>
                  </c:pt>
                  <c:pt idx="11">
                    <c:v>SOACHA NO OFICIAL</c:v>
                  </c:pt>
                  <c:pt idx="12">
                    <c:v>COLOMBIA</c:v>
                  </c:pt>
                  <c:pt idx="13">
                    <c:v>SOACHA</c:v>
                  </c:pt>
                  <c:pt idx="14">
                    <c:v>SOACHA OFICIAL</c:v>
                  </c:pt>
                  <c:pt idx="15">
                    <c:v>SOACHA NO OFICIAL</c:v>
                  </c:pt>
                  <c:pt idx="16">
                    <c:v>COLOMBIA</c:v>
                  </c:pt>
                  <c:pt idx="17">
                    <c:v>SOACHA</c:v>
                  </c:pt>
                  <c:pt idx="18">
                    <c:v>SOACHA OFICIAL</c:v>
                  </c:pt>
                  <c:pt idx="19">
                    <c:v>SOACHA NO OFICIAL</c:v>
                  </c:pt>
                  <c:pt idx="20">
                    <c:v>COLOMBIA</c:v>
                  </c:pt>
                  <c:pt idx="21">
                    <c:v>SOACHA</c:v>
                  </c:pt>
                  <c:pt idx="22">
                    <c:v>SOACHA OFICIAL</c:v>
                  </c:pt>
                  <c:pt idx="23">
                    <c:v>SOACHA NO OFICIAL</c:v>
                  </c:pt>
                  <c:pt idx="24">
                    <c:v>COLOMBIA</c:v>
                  </c:pt>
                  <c:pt idx="25">
                    <c:v>SOACHA</c:v>
                  </c:pt>
                  <c:pt idx="26">
                    <c:v>SOACHA OFICIAL</c:v>
                  </c:pt>
                  <c:pt idx="27">
                    <c:v>SOACHA NO OFICIAL</c:v>
                  </c:pt>
                  <c:pt idx="28">
                    <c:v>COLOMBIA</c:v>
                  </c:pt>
                  <c:pt idx="29">
                    <c:v>SOACHA</c:v>
                  </c:pt>
                  <c:pt idx="30">
                    <c:v>SOACHA OFICIAL</c:v>
                  </c:pt>
                  <c:pt idx="31">
                    <c:v>SOACHA NO OFICIAL</c:v>
                  </c:pt>
                  <c:pt idx="32">
                    <c:v>COLOMBIA</c:v>
                  </c:pt>
                  <c:pt idx="33">
                    <c:v>SOACHA</c:v>
                  </c:pt>
                  <c:pt idx="34">
                    <c:v>SOACHA OFICIAL</c:v>
                  </c:pt>
                  <c:pt idx="35">
                    <c:v>SOACHA NO OFICIAL</c:v>
                  </c:pt>
                </c:lvl>
                <c:lvl>
                  <c:pt idx="0">
                    <c:v>2016</c:v>
                  </c:pt>
                  <c:pt idx="4">
                    <c:v>2017</c:v>
                  </c:pt>
                  <c:pt idx="8">
                    <c:v>2018</c:v>
                  </c:pt>
                  <c:pt idx="12">
                    <c:v>2019</c:v>
                  </c:pt>
                  <c:pt idx="16">
                    <c:v>2020</c:v>
                  </c:pt>
                  <c:pt idx="20">
                    <c:v>2021</c:v>
                  </c:pt>
                  <c:pt idx="24">
                    <c:v>2022</c:v>
                  </c:pt>
                  <c:pt idx="28">
                    <c:v>2023</c:v>
                  </c:pt>
                  <c:pt idx="32">
                    <c:v>2024</c:v>
                  </c:pt>
                </c:lvl>
              </c:multiLvlStrCache>
            </c:multiLvlStrRef>
          </c:cat>
          <c:val>
            <c:numRef>
              <c:f>MATE!$T$222:$BC$222</c:f>
              <c:numCache>
                <c:formatCode>0%</c:formatCode>
                <c:ptCount val="36"/>
                <c:pt idx="0">
                  <c:v>0.5</c:v>
                </c:pt>
                <c:pt idx="1">
                  <c:v>0.55000000000000004</c:v>
                </c:pt>
                <c:pt idx="2">
                  <c:v>0.5</c:v>
                </c:pt>
                <c:pt idx="3">
                  <c:v>0.6</c:v>
                </c:pt>
                <c:pt idx="4">
                  <c:v>0.48</c:v>
                </c:pt>
                <c:pt idx="5">
                  <c:v>0.54</c:v>
                </c:pt>
                <c:pt idx="6">
                  <c:v>0.5</c:v>
                </c:pt>
                <c:pt idx="7">
                  <c:v>0.59</c:v>
                </c:pt>
                <c:pt idx="8">
                  <c:v>0.49</c:v>
                </c:pt>
                <c:pt idx="9">
                  <c:v>0.55000000000000004</c:v>
                </c:pt>
                <c:pt idx="10">
                  <c:v>0.5</c:v>
                </c:pt>
                <c:pt idx="11">
                  <c:v>0.62</c:v>
                </c:pt>
                <c:pt idx="12">
                  <c:v>0.51</c:v>
                </c:pt>
                <c:pt idx="13">
                  <c:v>0.56999999999999995</c:v>
                </c:pt>
                <c:pt idx="14">
                  <c:v>0.52</c:v>
                </c:pt>
                <c:pt idx="15">
                  <c:v>0.64</c:v>
                </c:pt>
                <c:pt idx="16">
                  <c:v>0.5</c:v>
                </c:pt>
                <c:pt idx="17">
                  <c:v>0.59</c:v>
                </c:pt>
                <c:pt idx="18">
                  <c:v>0.54</c:v>
                </c:pt>
                <c:pt idx="19">
                  <c:v>0.64</c:v>
                </c:pt>
                <c:pt idx="20">
                  <c:v>0.46</c:v>
                </c:pt>
                <c:pt idx="21">
                  <c:v>0.54</c:v>
                </c:pt>
                <c:pt idx="22">
                  <c:v>0.48</c:v>
                </c:pt>
                <c:pt idx="23">
                  <c:v>0.6</c:v>
                </c:pt>
                <c:pt idx="24">
                  <c:v>0.49</c:v>
                </c:pt>
                <c:pt idx="25">
                  <c:v>0.57999999999999996</c:v>
                </c:pt>
                <c:pt idx="26">
                  <c:v>0.52</c:v>
                </c:pt>
                <c:pt idx="27">
                  <c:v>0.64</c:v>
                </c:pt>
                <c:pt idx="28">
                  <c:v>0.49</c:v>
                </c:pt>
                <c:pt idx="29">
                  <c:v>0.56000000000000005</c:v>
                </c:pt>
                <c:pt idx="30">
                  <c:v>0.51</c:v>
                </c:pt>
                <c:pt idx="31">
                  <c:v>0.63</c:v>
                </c:pt>
                <c:pt idx="32">
                  <c:v>0.5</c:v>
                </c:pt>
                <c:pt idx="33">
                  <c:v>0.57999999999999996</c:v>
                </c:pt>
                <c:pt idx="34">
                  <c:v>0.54</c:v>
                </c:pt>
                <c:pt idx="35">
                  <c:v>0.63</c:v>
                </c:pt>
              </c:numCache>
            </c:numRef>
          </c:val>
          <c:extLst>
            <c:ext xmlns:c16="http://schemas.microsoft.com/office/drawing/2014/chart" uri="{C3380CC4-5D6E-409C-BE32-E72D297353CC}">
              <c16:uniqueId val="{00000002-0E0C-4839-90F6-1E7AE3B53959}"/>
            </c:ext>
          </c:extLst>
        </c:ser>
        <c:ser>
          <c:idx val="3"/>
          <c:order val="3"/>
          <c:tx>
            <c:strRef>
              <c:f>MATE!$S$223</c:f>
              <c:strCache>
                <c:ptCount val="1"/>
                <c:pt idx="0">
                  <c:v>4</c:v>
                </c:pt>
              </c:strCache>
            </c:strRef>
          </c:tx>
          <c:spPr>
            <a:solidFill>
              <a:srgbClr val="00B05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MATE!$T$218:$BC$219</c:f>
              <c:multiLvlStrCache>
                <c:ptCount val="36"/>
                <c:lvl>
                  <c:pt idx="0">
                    <c:v>COLOMBIA</c:v>
                  </c:pt>
                  <c:pt idx="1">
                    <c:v>SOACHA</c:v>
                  </c:pt>
                  <c:pt idx="2">
                    <c:v>SOACHA OFICIAL</c:v>
                  </c:pt>
                  <c:pt idx="3">
                    <c:v>SOACHA NO OFICIAL</c:v>
                  </c:pt>
                  <c:pt idx="4">
                    <c:v>COLOMBIA</c:v>
                  </c:pt>
                  <c:pt idx="5">
                    <c:v>SOACHA</c:v>
                  </c:pt>
                  <c:pt idx="6">
                    <c:v>SOACHA OFICIAL</c:v>
                  </c:pt>
                  <c:pt idx="7">
                    <c:v>SOACHA NO OFICIAL</c:v>
                  </c:pt>
                  <c:pt idx="8">
                    <c:v>COLOMBIA</c:v>
                  </c:pt>
                  <c:pt idx="9">
                    <c:v>SOACHA</c:v>
                  </c:pt>
                  <c:pt idx="10">
                    <c:v>SOACHA OFICIAL</c:v>
                  </c:pt>
                  <c:pt idx="11">
                    <c:v>SOACHA NO OFICIAL</c:v>
                  </c:pt>
                  <c:pt idx="12">
                    <c:v>COLOMBIA</c:v>
                  </c:pt>
                  <c:pt idx="13">
                    <c:v>SOACHA</c:v>
                  </c:pt>
                  <c:pt idx="14">
                    <c:v>SOACHA OFICIAL</c:v>
                  </c:pt>
                  <c:pt idx="15">
                    <c:v>SOACHA NO OFICIAL</c:v>
                  </c:pt>
                  <c:pt idx="16">
                    <c:v>COLOMBIA</c:v>
                  </c:pt>
                  <c:pt idx="17">
                    <c:v>SOACHA</c:v>
                  </c:pt>
                  <c:pt idx="18">
                    <c:v>SOACHA OFICIAL</c:v>
                  </c:pt>
                  <c:pt idx="19">
                    <c:v>SOACHA NO OFICIAL</c:v>
                  </c:pt>
                  <c:pt idx="20">
                    <c:v>COLOMBIA</c:v>
                  </c:pt>
                  <c:pt idx="21">
                    <c:v>SOACHA</c:v>
                  </c:pt>
                  <c:pt idx="22">
                    <c:v>SOACHA OFICIAL</c:v>
                  </c:pt>
                  <c:pt idx="23">
                    <c:v>SOACHA NO OFICIAL</c:v>
                  </c:pt>
                  <c:pt idx="24">
                    <c:v>COLOMBIA</c:v>
                  </c:pt>
                  <c:pt idx="25">
                    <c:v>SOACHA</c:v>
                  </c:pt>
                  <c:pt idx="26">
                    <c:v>SOACHA OFICIAL</c:v>
                  </c:pt>
                  <c:pt idx="27">
                    <c:v>SOACHA NO OFICIAL</c:v>
                  </c:pt>
                  <c:pt idx="28">
                    <c:v>COLOMBIA</c:v>
                  </c:pt>
                  <c:pt idx="29">
                    <c:v>SOACHA</c:v>
                  </c:pt>
                  <c:pt idx="30">
                    <c:v>SOACHA OFICIAL</c:v>
                  </c:pt>
                  <c:pt idx="31">
                    <c:v>SOACHA NO OFICIAL</c:v>
                  </c:pt>
                  <c:pt idx="32">
                    <c:v>COLOMBIA</c:v>
                  </c:pt>
                  <c:pt idx="33">
                    <c:v>SOACHA</c:v>
                  </c:pt>
                  <c:pt idx="34">
                    <c:v>SOACHA OFICIAL</c:v>
                  </c:pt>
                  <c:pt idx="35">
                    <c:v>SOACHA NO OFICIAL</c:v>
                  </c:pt>
                </c:lvl>
                <c:lvl>
                  <c:pt idx="0">
                    <c:v>2016</c:v>
                  </c:pt>
                  <c:pt idx="4">
                    <c:v>2017</c:v>
                  </c:pt>
                  <c:pt idx="8">
                    <c:v>2018</c:v>
                  </c:pt>
                  <c:pt idx="12">
                    <c:v>2019</c:v>
                  </c:pt>
                  <c:pt idx="16">
                    <c:v>2020</c:v>
                  </c:pt>
                  <c:pt idx="20">
                    <c:v>2021</c:v>
                  </c:pt>
                  <c:pt idx="24">
                    <c:v>2022</c:v>
                  </c:pt>
                  <c:pt idx="28">
                    <c:v>2023</c:v>
                  </c:pt>
                  <c:pt idx="32">
                    <c:v>2024</c:v>
                  </c:pt>
                </c:lvl>
              </c:multiLvlStrCache>
            </c:multiLvlStrRef>
          </c:cat>
          <c:val>
            <c:numRef>
              <c:f>MATE!$T$223:$BC$223</c:f>
              <c:numCache>
                <c:formatCode>0%</c:formatCode>
                <c:ptCount val="36"/>
                <c:pt idx="0">
                  <c:v>0.05</c:v>
                </c:pt>
                <c:pt idx="1">
                  <c:v>0.02</c:v>
                </c:pt>
                <c:pt idx="2">
                  <c:v>0.02</c:v>
                </c:pt>
                <c:pt idx="3">
                  <c:v>0.02</c:v>
                </c:pt>
                <c:pt idx="4">
                  <c:v>0.05</c:v>
                </c:pt>
                <c:pt idx="5">
                  <c:v>0.03</c:v>
                </c:pt>
                <c:pt idx="6">
                  <c:v>0.02</c:v>
                </c:pt>
                <c:pt idx="7">
                  <c:v>0.03</c:v>
                </c:pt>
                <c:pt idx="8">
                  <c:v>0.05</c:v>
                </c:pt>
                <c:pt idx="9">
                  <c:v>0.02</c:v>
                </c:pt>
                <c:pt idx="10">
                  <c:v>0.01</c:v>
                </c:pt>
                <c:pt idx="11">
                  <c:v>0.03</c:v>
                </c:pt>
                <c:pt idx="12">
                  <c:v>0.06</c:v>
                </c:pt>
                <c:pt idx="13">
                  <c:v>0.03</c:v>
                </c:pt>
                <c:pt idx="14">
                  <c:v>0.02</c:v>
                </c:pt>
                <c:pt idx="15">
                  <c:v>0.04</c:v>
                </c:pt>
                <c:pt idx="16">
                  <c:v>0.05</c:v>
                </c:pt>
                <c:pt idx="17">
                  <c:v>0.03</c:v>
                </c:pt>
                <c:pt idx="18">
                  <c:v>0.02</c:v>
                </c:pt>
                <c:pt idx="19">
                  <c:v>0.04</c:v>
                </c:pt>
                <c:pt idx="20">
                  <c:v>0.04</c:v>
                </c:pt>
                <c:pt idx="21">
                  <c:v>0.03</c:v>
                </c:pt>
                <c:pt idx="22">
                  <c:v>0.01</c:v>
                </c:pt>
                <c:pt idx="23">
                  <c:v>0.04</c:v>
                </c:pt>
                <c:pt idx="24">
                  <c:v>0.05</c:v>
                </c:pt>
                <c:pt idx="25">
                  <c:v>0.03</c:v>
                </c:pt>
                <c:pt idx="26">
                  <c:v>0.02</c:v>
                </c:pt>
                <c:pt idx="27">
                  <c:v>0.05</c:v>
                </c:pt>
                <c:pt idx="28">
                  <c:v>7.0000000000000007E-2</c:v>
                </c:pt>
                <c:pt idx="29">
                  <c:v>0.04</c:v>
                </c:pt>
                <c:pt idx="30">
                  <c:v>0.03</c:v>
                </c:pt>
                <c:pt idx="31">
                  <c:v>0.06</c:v>
                </c:pt>
                <c:pt idx="32">
                  <c:v>0.08</c:v>
                </c:pt>
                <c:pt idx="33">
                  <c:v>0.06</c:v>
                </c:pt>
                <c:pt idx="34">
                  <c:v>0.04</c:v>
                </c:pt>
                <c:pt idx="35">
                  <c:v>0.08</c:v>
                </c:pt>
              </c:numCache>
            </c:numRef>
          </c:val>
          <c:extLst>
            <c:ext xmlns:c16="http://schemas.microsoft.com/office/drawing/2014/chart" uri="{C3380CC4-5D6E-409C-BE32-E72D297353CC}">
              <c16:uniqueId val="{00000003-0E0C-4839-90F6-1E7AE3B53959}"/>
            </c:ext>
          </c:extLst>
        </c:ser>
        <c:dLbls>
          <c:showLegendKey val="0"/>
          <c:showVal val="0"/>
          <c:showCatName val="0"/>
          <c:showSerName val="0"/>
          <c:showPercent val="0"/>
          <c:showBubbleSize val="0"/>
        </c:dLbls>
        <c:gapWidth val="150"/>
        <c:overlap val="100"/>
        <c:axId val="744346207"/>
        <c:axId val="634479663"/>
      </c:barChart>
      <c:catAx>
        <c:axId val="74434620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634479663"/>
        <c:crosses val="autoZero"/>
        <c:auto val="1"/>
        <c:lblAlgn val="ctr"/>
        <c:lblOffset val="100"/>
        <c:noMultiLvlLbl val="0"/>
      </c:catAx>
      <c:valAx>
        <c:axId val="634479663"/>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74434620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Niveles</a:t>
            </a:r>
            <a:r>
              <a:rPr lang="es-CO" baseline="0"/>
              <a:t> de Desempeño Matemáticas Saber 11 2016 - 2024</a:t>
            </a:r>
          </a:p>
          <a:p>
            <a:pPr>
              <a:defRPr/>
            </a:pPr>
            <a:r>
              <a:rPr lang="es-CO" baseline="0"/>
              <a:t>Instituciones Oficiales por Comuna </a:t>
            </a:r>
            <a:endParaRPr lang="es-CO"/>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stacked"/>
        <c:varyColors val="0"/>
        <c:ser>
          <c:idx val="0"/>
          <c:order val="0"/>
          <c:tx>
            <c:strRef>
              <c:f>MATE!$BE$246</c:f>
              <c:strCache>
                <c:ptCount val="1"/>
                <c:pt idx="0">
                  <c:v>1</c:v>
                </c:pt>
              </c:strCache>
            </c:strRef>
          </c:tx>
          <c:spPr>
            <a:solidFill>
              <a:srgbClr val="FF0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MATE!$BF$244:$DG$245</c:f>
              <c:multiLvlStrCache>
                <c:ptCount val="54"/>
                <c:lvl>
                  <c:pt idx="0">
                    <c:v>2016</c:v>
                  </c:pt>
                  <c:pt idx="1">
                    <c:v>2017</c:v>
                  </c:pt>
                  <c:pt idx="2">
                    <c:v>2018</c:v>
                  </c:pt>
                  <c:pt idx="3">
                    <c:v>2019</c:v>
                  </c:pt>
                  <c:pt idx="4">
                    <c:v>2020</c:v>
                  </c:pt>
                  <c:pt idx="5">
                    <c:v>2021</c:v>
                  </c:pt>
                  <c:pt idx="6">
                    <c:v>2022</c:v>
                  </c:pt>
                  <c:pt idx="7">
                    <c:v>2023</c:v>
                  </c:pt>
                  <c:pt idx="8">
                    <c:v>2024</c:v>
                  </c:pt>
                  <c:pt idx="9">
                    <c:v>2016</c:v>
                  </c:pt>
                  <c:pt idx="10">
                    <c:v>2017</c:v>
                  </c:pt>
                  <c:pt idx="11">
                    <c:v>2018</c:v>
                  </c:pt>
                  <c:pt idx="12">
                    <c:v>2019</c:v>
                  </c:pt>
                  <c:pt idx="13">
                    <c:v>2020</c:v>
                  </c:pt>
                  <c:pt idx="14">
                    <c:v>2021</c:v>
                  </c:pt>
                  <c:pt idx="15">
                    <c:v>2022</c:v>
                  </c:pt>
                  <c:pt idx="16">
                    <c:v>2023</c:v>
                  </c:pt>
                  <c:pt idx="17">
                    <c:v>2024</c:v>
                  </c:pt>
                  <c:pt idx="18">
                    <c:v>2016</c:v>
                  </c:pt>
                  <c:pt idx="19">
                    <c:v>2017</c:v>
                  </c:pt>
                  <c:pt idx="20">
                    <c:v>2018</c:v>
                  </c:pt>
                  <c:pt idx="21">
                    <c:v>2019</c:v>
                  </c:pt>
                  <c:pt idx="22">
                    <c:v>2020</c:v>
                  </c:pt>
                  <c:pt idx="23">
                    <c:v>2021</c:v>
                  </c:pt>
                  <c:pt idx="24">
                    <c:v>2022</c:v>
                  </c:pt>
                  <c:pt idx="25">
                    <c:v>2023</c:v>
                  </c:pt>
                  <c:pt idx="26">
                    <c:v>2024</c:v>
                  </c:pt>
                  <c:pt idx="27">
                    <c:v>2016</c:v>
                  </c:pt>
                  <c:pt idx="28">
                    <c:v>2017</c:v>
                  </c:pt>
                  <c:pt idx="29">
                    <c:v>2018</c:v>
                  </c:pt>
                  <c:pt idx="30">
                    <c:v>2019</c:v>
                  </c:pt>
                  <c:pt idx="31">
                    <c:v>2020</c:v>
                  </c:pt>
                  <c:pt idx="32">
                    <c:v>2021</c:v>
                  </c:pt>
                  <c:pt idx="33">
                    <c:v>2022</c:v>
                  </c:pt>
                  <c:pt idx="34">
                    <c:v>2023</c:v>
                  </c:pt>
                  <c:pt idx="35">
                    <c:v>2024</c:v>
                  </c:pt>
                  <c:pt idx="36">
                    <c:v>2016</c:v>
                  </c:pt>
                  <c:pt idx="37">
                    <c:v>2017</c:v>
                  </c:pt>
                  <c:pt idx="38">
                    <c:v>2018</c:v>
                  </c:pt>
                  <c:pt idx="39">
                    <c:v>2019</c:v>
                  </c:pt>
                  <c:pt idx="40">
                    <c:v>2020</c:v>
                  </c:pt>
                  <c:pt idx="41">
                    <c:v>2021</c:v>
                  </c:pt>
                  <c:pt idx="42">
                    <c:v>2022</c:v>
                  </c:pt>
                  <c:pt idx="43">
                    <c:v>2023</c:v>
                  </c:pt>
                  <c:pt idx="44">
                    <c:v>2024</c:v>
                  </c:pt>
                  <c:pt idx="45">
                    <c:v>2016</c:v>
                  </c:pt>
                  <c:pt idx="46">
                    <c:v>2017</c:v>
                  </c:pt>
                  <c:pt idx="47">
                    <c:v>2018</c:v>
                  </c:pt>
                  <c:pt idx="48">
                    <c:v>2019</c:v>
                  </c:pt>
                  <c:pt idx="49">
                    <c:v>2020</c:v>
                  </c:pt>
                  <c:pt idx="50">
                    <c:v>2021</c:v>
                  </c:pt>
                  <c:pt idx="51">
                    <c:v>2022</c:v>
                  </c:pt>
                  <c:pt idx="52">
                    <c:v>2023</c:v>
                  </c:pt>
                  <c:pt idx="53">
                    <c:v>2024</c:v>
                  </c:pt>
                </c:lvl>
                <c:lvl>
                  <c:pt idx="0">
                    <c:v>COMUNA 1</c:v>
                  </c:pt>
                  <c:pt idx="9">
                    <c:v>COMUNA 2</c:v>
                  </c:pt>
                  <c:pt idx="18">
                    <c:v>COMUNA 3</c:v>
                  </c:pt>
                  <c:pt idx="27">
                    <c:v>COMUNA 4</c:v>
                  </c:pt>
                  <c:pt idx="36">
                    <c:v>COMUNA 5</c:v>
                  </c:pt>
                  <c:pt idx="45">
                    <c:v>COMUNA 6</c:v>
                  </c:pt>
                </c:lvl>
              </c:multiLvlStrCache>
            </c:multiLvlStrRef>
          </c:cat>
          <c:val>
            <c:numRef>
              <c:f>MATE!$BF$246:$DG$246</c:f>
              <c:numCache>
                <c:formatCode>0%</c:formatCode>
                <c:ptCount val="54"/>
                <c:pt idx="0">
                  <c:v>4.5000000000000005E-2</c:v>
                </c:pt>
                <c:pt idx="1">
                  <c:v>4.2500000000000003E-2</c:v>
                </c:pt>
                <c:pt idx="2">
                  <c:v>3.2500000000000001E-2</c:v>
                </c:pt>
                <c:pt idx="3">
                  <c:v>3.7499999999999999E-2</c:v>
                </c:pt>
                <c:pt idx="4">
                  <c:v>4.7499999999999994E-2</c:v>
                </c:pt>
                <c:pt idx="5">
                  <c:v>4.5000000000000005E-2</c:v>
                </c:pt>
                <c:pt idx="6">
                  <c:v>0.05</c:v>
                </c:pt>
                <c:pt idx="7">
                  <c:v>0.04</c:v>
                </c:pt>
                <c:pt idx="8">
                  <c:v>5.6000000000000008E-2</c:v>
                </c:pt>
                <c:pt idx="9">
                  <c:v>2.5000000000000001E-2</c:v>
                </c:pt>
                <c:pt idx="10">
                  <c:v>5.5E-2</c:v>
                </c:pt>
                <c:pt idx="11">
                  <c:v>0.05</c:v>
                </c:pt>
                <c:pt idx="12">
                  <c:v>0.05</c:v>
                </c:pt>
                <c:pt idx="13">
                  <c:v>2.5000000000000001E-2</c:v>
                </c:pt>
                <c:pt idx="14">
                  <c:v>0.06</c:v>
                </c:pt>
                <c:pt idx="15">
                  <c:v>0.09</c:v>
                </c:pt>
                <c:pt idx="16">
                  <c:v>0.06</c:v>
                </c:pt>
                <c:pt idx="17">
                  <c:v>3.2500000000000001E-2</c:v>
                </c:pt>
                <c:pt idx="18">
                  <c:v>3.7999999999999999E-2</c:v>
                </c:pt>
                <c:pt idx="19">
                  <c:v>5.5999999999999994E-2</c:v>
                </c:pt>
                <c:pt idx="20">
                  <c:v>4.4000000000000004E-2</c:v>
                </c:pt>
                <c:pt idx="21">
                  <c:v>5.5999999999999994E-2</c:v>
                </c:pt>
                <c:pt idx="22">
                  <c:v>4.4000000000000004E-2</c:v>
                </c:pt>
                <c:pt idx="23">
                  <c:v>0.05</c:v>
                </c:pt>
                <c:pt idx="24">
                  <c:v>0.06</c:v>
                </c:pt>
                <c:pt idx="25">
                  <c:v>0.06</c:v>
                </c:pt>
                <c:pt idx="26">
                  <c:v>4.9999999999999996E-2</c:v>
                </c:pt>
                <c:pt idx="27">
                  <c:v>9.9999999999999992E-2</c:v>
                </c:pt>
                <c:pt idx="28">
                  <c:v>0.115</c:v>
                </c:pt>
                <c:pt idx="29">
                  <c:v>0.13500000000000001</c:v>
                </c:pt>
                <c:pt idx="30">
                  <c:v>9.9999999999999992E-2</c:v>
                </c:pt>
                <c:pt idx="31">
                  <c:v>0.10833333333333334</c:v>
                </c:pt>
                <c:pt idx="32">
                  <c:v>0.10666666666666667</c:v>
                </c:pt>
                <c:pt idx="33">
                  <c:v>0.09</c:v>
                </c:pt>
                <c:pt idx="34">
                  <c:v>0.12</c:v>
                </c:pt>
                <c:pt idx="35">
                  <c:v>0.14833333333333332</c:v>
                </c:pt>
                <c:pt idx="36">
                  <c:v>0.05</c:v>
                </c:pt>
                <c:pt idx="37">
                  <c:v>7.0000000000000007E-2</c:v>
                </c:pt>
                <c:pt idx="38">
                  <c:v>0.05</c:v>
                </c:pt>
                <c:pt idx="39">
                  <c:v>0.04</c:v>
                </c:pt>
                <c:pt idx="40">
                  <c:v>0.04</c:v>
                </c:pt>
                <c:pt idx="41">
                  <c:v>0.06</c:v>
                </c:pt>
                <c:pt idx="42">
                  <c:v>0.05</c:v>
                </c:pt>
                <c:pt idx="43">
                  <c:v>0.08</c:v>
                </c:pt>
                <c:pt idx="44">
                  <c:v>3.6666666666666667E-2</c:v>
                </c:pt>
                <c:pt idx="45">
                  <c:v>0.03</c:v>
                </c:pt>
                <c:pt idx="46">
                  <c:v>0.05</c:v>
                </c:pt>
                <c:pt idx="47">
                  <c:v>0.05</c:v>
                </c:pt>
                <c:pt idx="48">
                  <c:v>0.05</c:v>
                </c:pt>
                <c:pt idx="49">
                  <c:v>0.02</c:v>
                </c:pt>
                <c:pt idx="50">
                  <c:v>0.05</c:v>
                </c:pt>
                <c:pt idx="51">
                  <c:v>0.09</c:v>
                </c:pt>
                <c:pt idx="52" formatCode="0">
                  <c:v>0.08</c:v>
                </c:pt>
                <c:pt idx="53">
                  <c:v>6.25E-2</c:v>
                </c:pt>
              </c:numCache>
            </c:numRef>
          </c:val>
          <c:extLst>
            <c:ext xmlns:c16="http://schemas.microsoft.com/office/drawing/2014/chart" uri="{C3380CC4-5D6E-409C-BE32-E72D297353CC}">
              <c16:uniqueId val="{00000000-8914-45D8-86BD-F7F65057E985}"/>
            </c:ext>
          </c:extLst>
        </c:ser>
        <c:ser>
          <c:idx val="1"/>
          <c:order val="1"/>
          <c:tx>
            <c:strRef>
              <c:f>MATE!$BE$247</c:f>
              <c:strCache>
                <c:ptCount val="1"/>
                <c:pt idx="0">
                  <c:v>2</c:v>
                </c:pt>
              </c:strCache>
            </c:strRef>
          </c:tx>
          <c:spPr>
            <a:solidFill>
              <a:srgbClr val="FFFF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MATE!$BF$244:$DG$245</c:f>
              <c:multiLvlStrCache>
                <c:ptCount val="54"/>
                <c:lvl>
                  <c:pt idx="0">
                    <c:v>2016</c:v>
                  </c:pt>
                  <c:pt idx="1">
                    <c:v>2017</c:v>
                  </c:pt>
                  <c:pt idx="2">
                    <c:v>2018</c:v>
                  </c:pt>
                  <c:pt idx="3">
                    <c:v>2019</c:v>
                  </c:pt>
                  <c:pt idx="4">
                    <c:v>2020</c:v>
                  </c:pt>
                  <c:pt idx="5">
                    <c:v>2021</c:v>
                  </c:pt>
                  <c:pt idx="6">
                    <c:v>2022</c:v>
                  </c:pt>
                  <c:pt idx="7">
                    <c:v>2023</c:v>
                  </c:pt>
                  <c:pt idx="8">
                    <c:v>2024</c:v>
                  </c:pt>
                  <c:pt idx="9">
                    <c:v>2016</c:v>
                  </c:pt>
                  <c:pt idx="10">
                    <c:v>2017</c:v>
                  </c:pt>
                  <c:pt idx="11">
                    <c:v>2018</c:v>
                  </c:pt>
                  <c:pt idx="12">
                    <c:v>2019</c:v>
                  </c:pt>
                  <c:pt idx="13">
                    <c:v>2020</c:v>
                  </c:pt>
                  <c:pt idx="14">
                    <c:v>2021</c:v>
                  </c:pt>
                  <c:pt idx="15">
                    <c:v>2022</c:v>
                  </c:pt>
                  <c:pt idx="16">
                    <c:v>2023</c:v>
                  </c:pt>
                  <c:pt idx="17">
                    <c:v>2024</c:v>
                  </c:pt>
                  <c:pt idx="18">
                    <c:v>2016</c:v>
                  </c:pt>
                  <c:pt idx="19">
                    <c:v>2017</c:v>
                  </c:pt>
                  <c:pt idx="20">
                    <c:v>2018</c:v>
                  </c:pt>
                  <c:pt idx="21">
                    <c:v>2019</c:v>
                  </c:pt>
                  <c:pt idx="22">
                    <c:v>2020</c:v>
                  </c:pt>
                  <c:pt idx="23">
                    <c:v>2021</c:v>
                  </c:pt>
                  <c:pt idx="24">
                    <c:v>2022</c:v>
                  </c:pt>
                  <c:pt idx="25">
                    <c:v>2023</c:v>
                  </c:pt>
                  <c:pt idx="26">
                    <c:v>2024</c:v>
                  </c:pt>
                  <c:pt idx="27">
                    <c:v>2016</c:v>
                  </c:pt>
                  <c:pt idx="28">
                    <c:v>2017</c:v>
                  </c:pt>
                  <c:pt idx="29">
                    <c:v>2018</c:v>
                  </c:pt>
                  <c:pt idx="30">
                    <c:v>2019</c:v>
                  </c:pt>
                  <c:pt idx="31">
                    <c:v>2020</c:v>
                  </c:pt>
                  <c:pt idx="32">
                    <c:v>2021</c:v>
                  </c:pt>
                  <c:pt idx="33">
                    <c:v>2022</c:v>
                  </c:pt>
                  <c:pt idx="34">
                    <c:v>2023</c:v>
                  </c:pt>
                  <c:pt idx="35">
                    <c:v>2024</c:v>
                  </c:pt>
                  <c:pt idx="36">
                    <c:v>2016</c:v>
                  </c:pt>
                  <c:pt idx="37">
                    <c:v>2017</c:v>
                  </c:pt>
                  <c:pt idx="38">
                    <c:v>2018</c:v>
                  </c:pt>
                  <c:pt idx="39">
                    <c:v>2019</c:v>
                  </c:pt>
                  <c:pt idx="40">
                    <c:v>2020</c:v>
                  </c:pt>
                  <c:pt idx="41">
                    <c:v>2021</c:v>
                  </c:pt>
                  <c:pt idx="42">
                    <c:v>2022</c:v>
                  </c:pt>
                  <c:pt idx="43">
                    <c:v>2023</c:v>
                  </c:pt>
                  <c:pt idx="44">
                    <c:v>2024</c:v>
                  </c:pt>
                  <c:pt idx="45">
                    <c:v>2016</c:v>
                  </c:pt>
                  <c:pt idx="46">
                    <c:v>2017</c:v>
                  </c:pt>
                  <c:pt idx="47">
                    <c:v>2018</c:v>
                  </c:pt>
                  <c:pt idx="48">
                    <c:v>2019</c:v>
                  </c:pt>
                  <c:pt idx="49">
                    <c:v>2020</c:v>
                  </c:pt>
                  <c:pt idx="50">
                    <c:v>2021</c:v>
                  </c:pt>
                  <c:pt idx="51">
                    <c:v>2022</c:v>
                  </c:pt>
                  <c:pt idx="52">
                    <c:v>2023</c:v>
                  </c:pt>
                  <c:pt idx="53">
                    <c:v>2024</c:v>
                  </c:pt>
                </c:lvl>
                <c:lvl>
                  <c:pt idx="0">
                    <c:v>COMUNA 1</c:v>
                  </c:pt>
                  <c:pt idx="9">
                    <c:v>COMUNA 2</c:v>
                  </c:pt>
                  <c:pt idx="18">
                    <c:v>COMUNA 3</c:v>
                  </c:pt>
                  <c:pt idx="27">
                    <c:v>COMUNA 4</c:v>
                  </c:pt>
                  <c:pt idx="36">
                    <c:v>COMUNA 5</c:v>
                  </c:pt>
                  <c:pt idx="45">
                    <c:v>COMUNA 6</c:v>
                  </c:pt>
                </c:lvl>
              </c:multiLvlStrCache>
            </c:multiLvlStrRef>
          </c:cat>
          <c:val>
            <c:numRef>
              <c:f>MATE!$BF$247:$DG$247</c:f>
              <c:numCache>
                <c:formatCode>0%</c:formatCode>
                <c:ptCount val="54"/>
                <c:pt idx="0">
                  <c:v>0.36749999999999999</c:v>
                </c:pt>
                <c:pt idx="1">
                  <c:v>0.39249999999999996</c:v>
                </c:pt>
                <c:pt idx="2">
                  <c:v>0.41249999999999998</c:v>
                </c:pt>
                <c:pt idx="3">
                  <c:v>0.34249999999999997</c:v>
                </c:pt>
                <c:pt idx="4">
                  <c:v>0.36249999999999999</c:v>
                </c:pt>
                <c:pt idx="5">
                  <c:v>0.40500000000000003</c:v>
                </c:pt>
                <c:pt idx="6">
                  <c:v>0.4</c:v>
                </c:pt>
                <c:pt idx="7">
                  <c:v>0.36</c:v>
                </c:pt>
                <c:pt idx="8">
                  <c:v>0.37</c:v>
                </c:pt>
                <c:pt idx="9">
                  <c:v>0.44</c:v>
                </c:pt>
                <c:pt idx="10">
                  <c:v>0.4</c:v>
                </c:pt>
                <c:pt idx="11">
                  <c:v>0.38</c:v>
                </c:pt>
                <c:pt idx="12">
                  <c:v>0.38500000000000001</c:v>
                </c:pt>
                <c:pt idx="13">
                  <c:v>0.36499999999999999</c:v>
                </c:pt>
                <c:pt idx="14">
                  <c:v>0.435</c:v>
                </c:pt>
                <c:pt idx="15">
                  <c:v>0.38</c:v>
                </c:pt>
                <c:pt idx="16">
                  <c:v>0.38</c:v>
                </c:pt>
                <c:pt idx="17">
                  <c:v>0.35499999999999998</c:v>
                </c:pt>
                <c:pt idx="18">
                  <c:v>0.46600000000000003</c:v>
                </c:pt>
                <c:pt idx="19">
                  <c:v>0.43599999999999994</c:v>
                </c:pt>
                <c:pt idx="20">
                  <c:v>0.41799999999999998</c:v>
                </c:pt>
                <c:pt idx="21">
                  <c:v>0.41600000000000004</c:v>
                </c:pt>
                <c:pt idx="22">
                  <c:v>0.372</c:v>
                </c:pt>
                <c:pt idx="23">
                  <c:v>0.44800000000000006</c:v>
                </c:pt>
                <c:pt idx="24">
                  <c:v>0.35</c:v>
                </c:pt>
                <c:pt idx="25">
                  <c:v>0.41</c:v>
                </c:pt>
                <c:pt idx="26">
                  <c:v>0.32999999999999996</c:v>
                </c:pt>
                <c:pt idx="27">
                  <c:v>0.54333333333333333</c:v>
                </c:pt>
                <c:pt idx="28">
                  <c:v>0.51666666666666672</c:v>
                </c:pt>
                <c:pt idx="29">
                  <c:v>0.48</c:v>
                </c:pt>
                <c:pt idx="30">
                  <c:v>0.56166666666666665</c:v>
                </c:pt>
                <c:pt idx="31">
                  <c:v>0.48166666666666663</c:v>
                </c:pt>
                <c:pt idx="32">
                  <c:v>0.49499999999999994</c:v>
                </c:pt>
                <c:pt idx="33">
                  <c:v>0.48</c:v>
                </c:pt>
                <c:pt idx="34">
                  <c:v>0.48</c:v>
                </c:pt>
                <c:pt idx="35">
                  <c:v>0.4283333333333334</c:v>
                </c:pt>
                <c:pt idx="36">
                  <c:v>0.4</c:v>
                </c:pt>
                <c:pt idx="37">
                  <c:v>0.39</c:v>
                </c:pt>
                <c:pt idx="38">
                  <c:v>0.47</c:v>
                </c:pt>
                <c:pt idx="39">
                  <c:v>0.41</c:v>
                </c:pt>
                <c:pt idx="40">
                  <c:v>0.39</c:v>
                </c:pt>
                <c:pt idx="41">
                  <c:v>0.43</c:v>
                </c:pt>
                <c:pt idx="42">
                  <c:v>0.35</c:v>
                </c:pt>
                <c:pt idx="43">
                  <c:v>0.38</c:v>
                </c:pt>
                <c:pt idx="44">
                  <c:v>0.2466666666666667</c:v>
                </c:pt>
                <c:pt idx="45">
                  <c:v>0.49</c:v>
                </c:pt>
                <c:pt idx="46">
                  <c:v>0.41</c:v>
                </c:pt>
                <c:pt idx="47">
                  <c:v>0.44</c:v>
                </c:pt>
                <c:pt idx="48">
                  <c:v>0.36</c:v>
                </c:pt>
                <c:pt idx="49">
                  <c:v>0.38</c:v>
                </c:pt>
                <c:pt idx="50">
                  <c:v>0.47</c:v>
                </c:pt>
                <c:pt idx="51">
                  <c:v>0.38</c:v>
                </c:pt>
                <c:pt idx="52" formatCode="0">
                  <c:v>0.41</c:v>
                </c:pt>
                <c:pt idx="53">
                  <c:v>0.41000000000000003</c:v>
                </c:pt>
              </c:numCache>
            </c:numRef>
          </c:val>
          <c:extLst>
            <c:ext xmlns:c16="http://schemas.microsoft.com/office/drawing/2014/chart" uri="{C3380CC4-5D6E-409C-BE32-E72D297353CC}">
              <c16:uniqueId val="{00000001-8914-45D8-86BD-F7F65057E985}"/>
            </c:ext>
          </c:extLst>
        </c:ser>
        <c:ser>
          <c:idx val="2"/>
          <c:order val="2"/>
          <c:tx>
            <c:strRef>
              <c:f>MATE!$BE$248</c:f>
              <c:strCache>
                <c:ptCount val="1"/>
                <c:pt idx="0">
                  <c:v>3</c:v>
                </c:pt>
              </c:strCache>
            </c:strRef>
          </c:tx>
          <c:spPr>
            <a:solidFill>
              <a:srgbClr val="FFC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MATE!$BF$244:$DG$245</c:f>
              <c:multiLvlStrCache>
                <c:ptCount val="54"/>
                <c:lvl>
                  <c:pt idx="0">
                    <c:v>2016</c:v>
                  </c:pt>
                  <c:pt idx="1">
                    <c:v>2017</c:v>
                  </c:pt>
                  <c:pt idx="2">
                    <c:v>2018</c:v>
                  </c:pt>
                  <c:pt idx="3">
                    <c:v>2019</c:v>
                  </c:pt>
                  <c:pt idx="4">
                    <c:v>2020</c:v>
                  </c:pt>
                  <c:pt idx="5">
                    <c:v>2021</c:v>
                  </c:pt>
                  <c:pt idx="6">
                    <c:v>2022</c:v>
                  </c:pt>
                  <c:pt idx="7">
                    <c:v>2023</c:v>
                  </c:pt>
                  <c:pt idx="8">
                    <c:v>2024</c:v>
                  </c:pt>
                  <c:pt idx="9">
                    <c:v>2016</c:v>
                  </c:pt>
                  <c:pt idx="10">
                    <c:v>2017</c:v>
                  </c:pt>
                  <c:pt idx="11">
                    <c:v>2018</c:v>
                  </c:pt>
                  <c:pt idx="12">
                    <c:v>2019</c:v>
                  </c:pt>
                  <c:pt idx="13">
                    <c:v>2020</c:v>
                  </c:pt>
                  <c:pt idx="14">
                    <c:v>2021</c:v>
                  </c:pt>
                  <c:pt idx="15">
                    <c:v>2022</c:v>
                  </c:pt>
                  <c:pt idx="16">
                    <c:v>2023</c:v>
                  </c:pt>
                  <c:pt idx="17">
                    <c:v>2024</c:v>
                  </c:pt>
                  <c:pt idx="18">
                    <c:v>2016</c:v>
                  </c:pt>
                  <c:pt idx="19">
                    <c:v>2017</c:v>
                  </c:pt>
                  <c:pt idx="20">
                    <c:v>2018</c:v>
                  </c:pt>
                  <c:pt idx="21">
                    <c:v>2019</c:v>
                  </c:pt>
                  <c:pt idx="22">
                    <c:v>2020</c:v>
                  </c:pt>
                  <c:pt idx="23">
                    <c:v>2021</c:v>
                  </c:pt>
                  <c:pt idx="24">
                    <c:v>2022</c:v>
                  </c:pt>
                  <c:pt idx="25">
                    <c:v>2023</c:v>
                  </c:pt>
                  <c:pt idx="26">
                    <c:v>2024</c:v>
                  </c:pt>
                  <c:pt idx="27">
                    <c:v>2016</c:v>
                  </c:pt>
                  <c:pt idx="28">
                    <c:v>2017</c:v>
                  </c:pt>
                  <c:pt idx="29">
                    <c:v>2018</c:v>
                  </c:pt>
                  <c:pt idx="30">
                    <c:v>2019</c:v>
                  </c:pt>
                  <c:pt idx="31">
                    <c:v>2020</c:v>
                  </c:pt>
                  <c:pt idx="32">
                    <c:v>2021</c:v>
                  </c:pt>
                  <c:pt idx="33">
                    <c:v>2022</c:v>
                  </c:pt>
                  <c:pt idx="34">
                    <c:v>2023</c:v>
                  </c:pt>
                  <c:pt idx="35">
                    <c:v>2024</c:v>
                  </c:pt>
                  <c:pt idx="36">
                    <c:v>2016</c:v>
                  </c:pt>
                  <c:pt idx="37">
                    <c:v>2017</c:v>
                  </c:pt>
                  <c:pt idx="38">
                    <c:v>2018</c:v>
                  </c:pt>
                  <c:pt idx="39">
                    <c:v>2019</c:v>
                  </c:pt>
                  <c:pt idx="40">
                    <c:v>2020</c:v>
                  </c:pt>
                  <c:pt idx="41">
                    <c:v>2021</c:v>
                  </c:pt>
                  <c:pt idx="42">
                    <c:v>2022</c:v>
                  </c:pt>
                  <c:pt idx="43">
                    <c:v>2023</c:v>
                  </c:pt>
                  <c:pt idx="44">
                    <c:v>2024</c:v>
                  </c:pt>
                  <c:pt idx="45">
                    <c:v>2016</c:v>
                  </c:pt>
                  <c:pt idx="46">
                    <c:v>2017</c:v>
                  </c:pt>
                  <c:pt idx="47">
                    <c:v>2018</c:v>
                  </c:pt>
                  <c:pt idx="48">
                    <c:v>2019</c:v>
                  </c:pt>
                  <c:pt idx="49">
                    <c:v>2020</c:v>
                  </c:pt>
                  <c:pt idx="50">
                    <c:v>2021</c:v>
                  </c:pt>
                  <c:pt idx="51">
                    <c:v>2022</c:v>
                  </c:pt>
                  <c:pt idx="52">
                    <c:v>2023</c:v>
                  </c:pt>
                  <c:pt idx="53">
                    <c:v>2024</c:v>
                  </c:pt>
                </c:lvl>
                <c:lvl>
                  <c:pt idx="0">
                    <c:v>COMUNA 1</c:v>
                  </c:pt>
                  <c:pt idx="9">
                    <c:v>COMUNA 2</c:v>
                  </c:pt>
                  <c:pt idx="18">
                    <c:v>COMUNA 3</c:v>
                  </c:pt>
                  <c:pt idx="27">
                    <c:v>COMUNA 4</c:v>
                  </c:pt>
                  <c:pt idx="36">
                    <c:v>COMUNA 5</c:v>
                  </c:pt>
                  <c:pt idx="45">
                    <c:v>COMUNA 6</c:v>
                  </c:pt>
                </c:lvl>
              </c:multiLvlStrCache>
            </c:multiLvlStrRef>
          </c:cat>
          <c:val>
            <c:numRef>
              <c:f>MATE!$BF$248:$DG$248</c:f>
              <c:numCache>
                <c:formatCode>0%</c:formatCode>
                <c:ptCount val="54"/>
                <c:pt idx="0">
                  <c:v>0.57250000000000001</c:v>
                </c:pt>
                <c:pt idx="1">
                  <c:v>0.53749999999999998</c:v>
                </c:pt>
                <c:pt idx="2">
                  <c:v>0.54249999999999998</c:v>
                </c:pt>
                <c:pt idx="3">
                  <c:v>0.59749999999999992</c:v>
                </c:pt>
                <c:pt idx="4">
                  <c:v>0.5625</c:v>
                </c:pt>
                <c:pt idx="5">
                  <c:v>0.53249999999999997</c:v>
                </c:pt>
                <c:pt idx="6">
                  <c:v>0.54</c:v>
                </c:pt>
                <c:pt idx="7">
                  <c:v>0.57999999999999996</c:v>
                </c:pt>
                <c:pt idx="8">
                  <c:v>0.52799999999999991</c:v>
                </c:pt>
                <c:pt idx="9">
                  <c:v>0.52</c:v>
                </c:pt>
                <c:pt idx="10">
                  <c:v>0.52499999999999991</c:v>
                </c:pt>
                <c:pt idx="11">
                  <c:v>0.54500000000000004</c:v>
                </c:pt>
                <c:pt idx="12">
                  <c:v>0.54500000000000004</c:v>
                </c:pt>
                <c:pt idx="13">
                  <c:v>0.58499999999999996</c:v>
                </c:pt>
                <c:pt idx="14">
                  <c:v>0.5</c:v>
                </c:pt>
                <c:pt idx="15">
                  <c:v>0.53</c:v>
                </c:pt>
                <c:pt idx="16">
                  <c:v>0.54</c:v>
                </c:pt>
                <c:pt idx="17">
                  <c:v>0.5625</c:v>
                </c:pt>
                <c:pt idx="18">
                  <c:v>0.48200000000000004</c:v>
                </c:pt>
                <c:pt idx="19">
                  <c:v>0.502</c:v>
                </c:pt>
                <c:pt idx="20">
                  <c:v>0.53199999999999992</c:v>
                </c:pt>
                <c:pt idx="21">
                  <c:v>0.52000000000000013</c:v>
                </c:pt>
                <c:pt idx="22">
                  <c:v>0.56400000000000006</c:v>
                </c:pt>
                <c:pt idx="23">
                  <c:v>0.48599999999999993</c:v>
                </c:pt>
                <c:pt idx="24">
                  <c:v>0.56999999999999995</c:v>
                </c:pt>
                <c:pt idx="25">
                  <c:v>0.51</c:v>
                </c:pt>
                <c:pt idx="26">
                  <c:v>0.57666666666666666</c:v>
                </c:pt>
                <c:pt idx="27">
                  <c:v>0.34666666666666662</c:v>
                </c:pt>
                <c:pt idx="28">
                  <c:v>0.35833333333333334</c:v>
                </c:pt>
                <c:pt idx="29">
                  <c:v>0.375</c:v>
                </c:pt>
                <c:pt idx="30">
                  <c:v>0.33166666666666667</c:v>
                </c:pt>
                <c:pt idx="31">
                  <c:v>0.41000000000000009</c:v>
                </c:pt>
                <c:pt idx="32">
                  <c:v>0.38999999999999996</c:v>
                </c:pt>
                <c:pt idx="33">
                  <c:v>0.4</c:v>
                </c:pt>
                <c:pt idx="34">
                  <c:v>0.4</c:v>
                </c:pt>
                <c:pt idx="35">
                  <c:v>0.40833333333333338</c:v>
                </c:pt>
                <c:pt idx="36">
                  <c:v>0.54</c:v>
                </c:pt>
                <c:pt idx="37">
                  <c:v>0.52</c:v>
                </c:pt>
                <c:pt idx="38">
                  <c:v>0.48</c:v>
                </c:pt>
                <c:pt idx="39">
                  <c:v>0.53</c:v>
                </c:pt>
                <c:pt idx="40">
                  <c:v>0.56000000000000005</c:v>
                </c:pt>
                <c:pt idx="41">
                  <c:v>0.49</c:v>
                </c:pt>
                <c:pt idx="42">
                  <c:v>0.61</c:v>
                </c:pt>
                <c:pt idx="43">
                  <c:v>0.51</c:v>
                </c:pt>
                <c:pt idx="44">
                  <c:v>0.64333333333333331</c:v>
                </c:pt>
                <c:pt idx="45">
                  <c:v>0.47</c:v>
                </c:pt>
                <c:pt idx="46">
                  <c:v>0.52</c:v>
                </c:pt>
                <c:pt idx="47">
                  <c:v>0.5</c:v>
                </c:pt>
                <c:pt idx="48">
                  <c:v>0.57999999999999996</c:v>
                </c:pt>
                <c:pt idx="49">
                  <c:v>0.56000000000000005</c:v>
                </c:pt>
                <c:pt idx="50">
                  <c:v>0.46</c:v>
                </c:pt>
                <c:pt idx="51">
                  <c:v>0.52</c:v>
                </c:pt>
                <c:pt idx="52" formatCode="0">
                  <c:v>0.48</c:v>
                </c:pt>
                <c:pt idx="53">
                  <c:v>0.49500000000000005</c:v>
                </c:pt>
              </c:numCache>
            </c:numRef>
          </c:val>
          <c:extLst>
            <c:ext xmlns:c16="http://schemas.microsoft.com/office/drawing/2014/chart" uri="{C3380CC4-5D6E-409C-BE32-E72D297353CC}">
              <c16:uniqueId val="{00000002-8914-45D8-86BD-F7F65057E985}"/>
            </c:ext>
          </c:extLst>
        </c:ser>
        <c:ser>
          <c:idx val="3"/>
          <c:order val="3"/>
          <c:tx>
            <c:strRef>
              <c:f>MATE!$BE$249</c:f>
              <c:strCache>
                <c:ptCount val="1"/>
                <c:pt idx="0">
                  <c:v>4</c:v>
                </c:pt>
              </c:strCache>
            </c:strRef>
          </c:tx>
          <c:spPr>
            <a:solidFill>
              <a:srgbClr val="00B05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MATE!$BF$244:$DG$245</c:f>
              <c:multiLvlStrCache>
                <c:ptCount val="54"/>
                <c:lvl>
                  <c:pt idx="0">
                    <c:v>2016</c:v>
                  </c:pt>
                  <c:pt idx="1">
                    <c:v>2017</c:v>
                  </c:pt>
                  <c:pt idx="2">
                    <c:v>2018</c:v>
                  </c:pt>
                  <c:pt idx="3">
                    <c:v>2019</c:v>
                  </c:pt>
                  <c:pt idx="4">
                    <c:v>2020</c:v>
                  </c:pt>
                  <c:pt idx="5">
                    <c:v>2021</c:v>
                  </c:pt>
                  <c:pt idx="6">
                    <c:v>2022</c:v>
                  </c:pt>
                  <c:pt idx="7">
                    <c:v>2023</c:v>
                  </c:pt>
                  <c:pt idx="8">
                    <c:v>2024</c:v>
                  </c:pt>
                  <c:pt idx="9">
                    <c:v>2016</c:v>
                  </c:pt>
                  <c:pt idx="10">
                    <c:v>2017</c:v>
                  </c:pt>
                  <c:pt idx="11">
                    <c:v>2018</c:v>
                  </c:pt>
                  <c:pt idx="12">
                    <c:v>2019</c:v>
                  </c:pt>
                  <c:pt idx="13">
                    <c:v>2020</c:v>
                  </c:pt>
                  <c:pt idx="14">
                    <c:v>2021</c:v>
                  </c:pt>
                  <c:pt idx="15">
                    <c:v>2022</c:v>
                  </c:pt>
                  <c:pt idx="16">
                    <c:v>2023</c:v>
                  </c:pt>
                  <c:pt idx="17">
                    <c:v>2024</c:v>
                  </c:pt>
                  <c:pt idx="18">
                    <c:v>2016</c:v>
                  </c:pt>
                  <c:pt idx="19">
                    <c:v>2017</c:v>
                  </c:pt>
                  <c:pt idx="20">
                    <c:v>2018</c:v>
                  </c:pt>
                  <c:pt idx="21">
                    <c:v>2019</c:v>
                  </c:pt>
                  <c:pt idx="22">
                    <c:v>2020</c:v>
                  </c:pt>
                  <c:pt idx="23">
                    <c:v>2021</c:v>
                  </c:pt>
                  <c:pt idx="24">
                    <c:v>2022</c:v>
                  </c:pt>
                  <c:pt idx="25">
                    <c:v>2023</c:v>
                  </c:pt>
                  <c:pt idx="26">
                    <c:v>2024</c:v>
                  </c:pt>
                  <c:pt idx="27">
                    <c:v>2016</c:v>
                  </c:pt>
                  <c:pt idx="28">
                    <c:v>2017</c:v>
                  </c:pt>
                  <c:pt idx="29">
                    <c:v>2018</c:v>
                  </c:pt>
                  <c:pt idx="30">
                    <c:v>2019</c:v>
                  </c:pt>
                  <c:pt idx="31">
                    <c:v>2020</c:v>
                  </c:pt>
                  <c:pt idx="32">
                    <c:v>2021</c:v>
                  </c:pt>
                  <c:pt idx="33">
                    <c:v>2022</c:v>
                  </c:pt>
                  <c:pt idx="34">
                    <c:v>2023</c:v>
                  </c:pt>
                  <c:pt idx="35">
                    <c:v>2024</c:v>
                  </c:pt>
                  <c:pt idx="36">
                    <c:v>2016</c:v>
                  </c:pt>
                  <c:pt idx="37">
                    <c:v>2017</c:v>
                  </c:pt>
                  <c:pt idx="38">
                    <c:v>2018</c:v>
                  </c:pt>
                  <c:pt idx="39">
                    <c:v>2019</c:v>
                  </c:pt>
                  <c:pt idx="40">
                    <c:v>2020</c:v>
                  </c:pt>
                  <c:pt idx="41">
                    <c:v>2021</c:v>
                  </c:pt>
                  <c:pt idx="42">
                    <c:v>2022</c:v>
                  </c:pt>
                  <c:pt idx="43">
                    <c:v>2023</c:v>
                  </c:pt>
                  <c:pt idx="44">
                    <c:v>2024</c:v>
                  </c:pt>
                  <c:pt idx="45">
                    <c:v>2016</c:v>
                  </c:pt>
                  <c:pt idx="46">
                    <c:v>2017</c:v>
                  </c:pt>
                  <c:pt idx="47">
                    <c:v>2018</c:v>
                  </c:pt>
                  <c:pt idx="48">
                    <c:v>2019</c:v>
                  </c:pt>
                  <c:pt idx="49">
                    <c:v>2020</c:v>
                  </c:pt>
                  <c:pt idx="50">
                    <c:v>2021</c:v>
                  </c:pt>
                  <c:pt idx="51">
                    <c:v>2022</c:v>
                  </c:pt>
                  <c:pt idx="52">
                    <c:v>2023</c:v>
                  </c:pt>
                  <c:pt idx="53">
                    <c:v>2024</c:v>
                  </c:pt>
                </c:lvl>
                <c:lvl>
                  <c:pt idx="0">
                    <c:v>COMUNA 1</c:v>
                  </c:pt>
                  <c:pt idx="9">
                    <c:v>COMUNA 2</c:v>
                  </c:pt>
                  <c:pt idx="18">
                    <c:v>COMUNA 3</c:v>
                  </c:pt>
                  <c:pt idx="27">
                    <c:v>COMUNA 4</c:v>
                  </c:pt>
                  <c:pt idx="36">
                    <c:v>COMUNA 5</c:v>
                  </c:pt>
                  <c:pt idx="45">
                    <c:v>COMUNA 6</c:v>
                  </c:pt>
                </c:lvl>
              </c:multiLvlStrCache>
            </c:multiLvlStrRef>
          </c:cat>
          <c:val>
            <c:numRef>
              <c:f>MATE!$BF$249:$DG$249</c:f>
              <c:numCache>
                <c:formatCode>0%</c:formatCode>
                <c:ptCount val="54"/>
                <c:pt idx="0">
                  <c:v>1.7500000000000002E-2</c:v>
                </c:pt>
                <c:pt idx="1">
                  <c:v>2.5000000000000001E-2</c:v>
                </c:pt>
                <c:pt idx="2">
                  <c:v>1.2500000000000001E-2</c:v>
                </c:pt>
                <c:pt idx="3">
                  <c:v>2.2499999999999999E-2</c:v>
                </c:pt>
                <c:pt idx="4">
                  <c:v>0.03</c:v>
                </c:pt>
                <c:pt idx="5">
                  <c:v>1.4999999999999999E-2</c:v>
                </c:pt>
                <c:pt idx="6">
                  <c:v>0.01</c:v>
                </c:pt>
                <c:pt idx="7">
                  <c:v>0.02</c:v>
                </c:pt>
                <c:pt idx="8">
                  <c:v>4.3999999999999997E-2</c:v>
                </c:pt>
                <c:pt idx="9">
                  <c:v>2.5000000000000001E-2</c:v>
                </c:pt>
                <c:pt idx="10">
                  <c:v>0.02</c:v>
                </c:pt>
                <c:pt idx="11">
                  <c:v>2.5000000000000001E-2</c:v>
                </c:pt>
                <c:pt idx="12">
                  <c:v>0.03</c:v>
                </c:pt>
                <c:pt idx="13">
                  <c:v>2.5000000000000001E-2</c:v>
                </c:pt>
                <c:pt idx="14">
                  <c:v>5.0000000000000001E-3</c:v>
                </c:pt>
                <c:pt idx="15">
                  <c:v>0.02</c:v>
                </c:pt>
                <c:pt idx="16">
                  <c:v>0.02</c:v>
                </c:pt>
                <c:pt idx="17">
                  <c:v>5.5000000000000007E-2</c:v>
                </c:pt>
                <c:pt idx="18">
                  <c:v>1.6E-2</c:v>
                </c:pt>
                <c:pt idx="19">
                  <c:v>6.0000000000000001E-3</c:v>
                </c:pt>
                <c:pt idx="20">
                  <c:v>8.0000000000000002E-3</c:v>
                </c:pt>
                <c:pt idx="21">
                  <c:v>0.01</c:v>
                </c:pt>
                <c:pt idx="22">
                  <c:v>1.9999999999999997E-2</c:v>
                </c:pt>
                <c:pt idx="23">
                  <c:v>1.2E-2</c:v>
                </c:pt>
                <c:pt idx="24">
                  <c:v>0.02</c:v>
                </c:pt>
                <c:pt idx="25">
                  <c:v>0.03</c:v>
                </c:pt>
                <c:pt idx="26">
                  <c:v>4.5000000000000005E-2</c:v>
                </c:pt>
                <c:pt idx="27">
                  <c:v>6.6666666666666671E-3</c:v>
                </c:pt>
                <c:pt idx="28">
                  <c:v>1.1666666666666667E-2</c:v>
                </c:pt>
                <c:pt idx="29">
                  <c:v>8.3333333333333332E-3</c:v>
                </c:pt>
                <c:pt idx="30">
                  <c:v>6.6666666666666671E-3</c:v>
                </c:pt>
                <c:pt idx="31">
                  <c:v>3.3333333333333335E-3</c:v>
                </c:pt>
                <c:pt idx="32">
                  <c:v>3.3333333333333335E-3</c:v>
                </c:pt>
                <c:pt idx="33">
                  <c:v>0.02</c:v>
                </c:pt>
                <c:pt idx="34">
                  <c:v>0.02</c:v>
                </c:pt>
                <c:pt idx="35">
                  <c:v>0.02</c:v>
                </c:pt>
                <c:pt idx="36">
                  <c:v>0.02</c:v>
                </c:pt>
                <c:pt idx="37">
                  <c:v>0.02</c:v>
                </c:pt>
                <c:pt idx="38">
                  <c:v>0.02</c:v>
                </c:pt>
                <c:pt idx="39">
                  <c:v>0.03</c:v>
                </c:pt>
                <c:pt idx="40">
                  <c:v>0.02</c:v>
                </c:pt>
                <c:pt idx="41">
                  <c:v>0.03</c:v>
                </c:pt>
                <c:pt idx="42">
                  <c:v>0.01</c:v>
                </c:pt>
                <c:pt idx="43">
                  <c:v>0.04</c:v>
                </c:pt>
                <c:pt idx="44">
                  <c:v>0.08</c:v>
                </c:pt>
                <c:pt idx="45">
                  <c:v>0.01</c:v>
                </c:pt>
                <c:pt idx="46">
                  <c:v>0.02</c:v>
                </c:pt>
                <c:pt idx="47">
                  <c:v>0.02</c:v>
                </c:pt>
                <c:pt idx="48">
                  <c:v>0.01</c:v>
                </c:pt>
                <c:pt idx="49">
                  <c:v>0.04</c:v>
                </c:pt>
                <c:pt idx="50">
                  <c:v>0.02</c:v>
                </c:pt>
                <c:pt idx="51">
                  <c:v>0.01</c:v>
                </c:pt>
                <c:pt idx="52" formatCode="0">
                  <c:v>0.04</c:v>
                </c:pt>
                <c:pt idx="53">
                  <c:v>0.03</c:v>
                </c:pt>
              </c:numCache>
            </c:numRef>
          </c:val>
          <c:extLst>
            <c:ext xmlns:c16="http://schemas.microsoft.com/office/drawing/2014/chart" uri="{C3380CC4-5D6E-409C-BE32-E72D297353CC}">
              <c16:uniqueId val="{00000003-8914-45D8-86BD-F7F65057E985}"/>
            </c:ext>
          </c:extLst>
        </c:ser>
        <c:dLbls>
          <c:showLegendKey val="0"/>
          <c:showVal val="0"/>
          <c:showCatName val="0"/>
          <c:showSerName val="0"/>
          <c:showPercent val="0"/>
          <c:showBubbleSize val="0"/>
        </c:dLbls>
        <c:gapWidth val="150"/>
        <c:overlap val="100"/>
        <c:axId val="744346207"/>
        <c:axId val="634479663"/>
      </c:barChart>
      <c:catAx>
        <c:axId val="74434620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634479663"/>
        <c:crosses val="autoZero"/>
        <c:auto val="1"/>
        <c:lblAlgn val="ctr"/>
        <c:lblOffset val="100"/>
        <c:noMultiLvlLbl val="0"/>
      </c:catAx>
      <c:valAx>
        <c:axId val="634479663"/>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74434620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Niveles</a:t>
            </a:r>
            <a:r>
              <a:rPr lang="es-CO" baseline="0"/>
              <a:t> de Desempeño Matemáticas Saber 11 2016 - 2024</a:t>
            </a:r>
          </a:p>
          <a:p>
            <a:pPr>
              <a:defRPr/>
            </a:pPr>
            <a:r>
              <a:rPr lang="es-CO" baseline="0"/>
              <a:t>Instituciones Privadas por Comuna </a:t>
            </a:r>
            <a:endParaRPr lang="es-CO"/>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stacked"/>
        <c:varyColors val="0"/>
        <c:ser>
          <c:idx val="0"/>
          <c:order val="0"/>
          <c:tx>
            <c:strRef>
              <c:f>MATE!$BE$294</c:f>
              <c:strCache>
                <c:ptCount val="1"/>
                <c:pt idx="0">
                  <c:v>1</c:v>
                </c:pt>
              </c:strCache>
            </c:strRef>
          </c:tx>
          <c:spPr>
            <a:solidFill>
              <a:srgbClr val="FF0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MATE!$BF$293:$DG$293</c:f>
              <c:numCache>
                <c:formatCode>General</c:formatCode>
                <c:ptCount val="54"/>
                <c:pt idx="0">
                  <c:v>2016</c:v>
                </c:pt>
                <c:pt idx="1">
                  <c:v>2017</c:v>
                </c:pt>
                <c:pt idx="2">
                  <c:v>2018</c:v>
                </c:pt>
                <c:pt idx="3">
                  <c:v>2019</c:v>
                </c:pt>
                <c:pt idx="4">
                  <c:v>2020</c:v>
                </c:pt>
                <c:pt idx="5">
                  <c:v>2021</c:v>
                </c:pt>
                <c:pt idx="6">
                  <c:v>2022</c:v>
                </c:pt>
                <c:pt idx="7">
                  <c:v>2023</c:v>
                </c:pt>
                <c:pt idx="8">
                  <c:v>2024</c:v>
                </c:pt>
                <c:pt idx="9">
                  <c:v>2016</c:v>
                </c:pt>
                <c:pt idx="10">
                  <c:v>2017</c:v>
                </c:pt>
                <c:pt idx="11">
                  <c:v>2018</c:v>
                </c:pt>
                <c:pt idx="12">
                  <c:v>2019</c:v>
                </c:pt>
                <c:pt idx="13">
                  <c:v>2020</c:v>
                </c:pt>
                <c:pt idx="14">
                  <c:v>2021</c:v>
                </c:pt>
                <c:pt idx="15">
                  <c:v>2022</c:v>
                </c:pt>
                <c:pt idx="16">
                  <c:v>2023</c:v>
                </c:pt>
                <c:pt idx="17">
                  <c:v>2024</c:v>
                </c:pt>
                <c:pt idx="18">
                  <c:v>2016</c:v>
                </c:pt>
                <c:pt idx="19">
                  <c:v>2017</c:v>
                </c:pt>
                <c:pt idx="20">
                  <c:v>2018</c:v>
                </c:pt>
                <c:pt idx="21">
                  <c:v>2019</c:v>
                </c:pt>
                <c:pt idx="22">
                  <c:v>2020</c:v>
                </c:pt>
                <c:pt idx="23">
                  <c:v>2021</c:v>
                </c:pt>
                <c:pt idx="24">
                  <c:v>2022</c:v>
                </c:pt>
                <c:pt idx="25">
                  <c:v>2023</c:v>
                </c:pt>
                <c:pt idx="26">
                  <c:v>2024</c:v>
                </c:pt>
                <c:pt idx="27">
                  <c:v>2016</c:v>
                </c:pt>
                <c:pt idx="28">
                  <c:v>2017</c:v>
                </c:pt>
                <c:pt idx="29">
                  <c:v>2018</c:v>
                </c:pt>
                <c:pt idx="30">
                  <c:v>2019</c:v>
                </c:pt>
                <c:pt idx="31">
                  <c:v>2020</c:v>
                </c:pt>
                <c:pt idx="32">
                  <c:v>2021</c:v>
                </c:pt>
                <c:pt idx="33">
                  <c:v>2022</c:v>
                </c:pt>
                <c:pt idx="34">
                  <c:v>2023</c:v>
                </c:pt>
                <c:pt idx="35">
                  <c:v>2024</c:v>
                </c:pt>
                <c:pt idx="36">
                  <c:v>2016</c:v>
                </c:pt>
                <c:pt idx="37">
                  <c:v>2017</c:v>
                </c:pt>
                <c:pt idx="38">
                  <c:v>2018</c:v>
                </c:pt>
                <c:pt idx="39">
                  <c:v>2019</c:v>
                </c:pt>
                <c:pt idx="40">
                  <c:v>2020</c:v>
                </c:pt>
                <c:pt idx="41">
                  <c:v>2021</c:v>
                </c:pt>
                <c:pt idx="42">
                  <c:v>2022</c:v>
                </c:pt>
                <c:pt idx="43">
                  <c:v>2023</c:v>
                </c:pt>
                <c:pt idx="44">
                  <c:v>2024</c:v>
                </c:pt>
                <c:pt idx="45">
                  <c:v>2016</c:v>
                </c:pt>
                <c:pt idx="46">
                  <c:v>2017</c:v>
                </c:pt>
                <c:pt idx="47">
                  <c:v>2018</c:v>
                </c:pt>
                <c:pt idx="48">
                  <c:v>2019</c:v>
                </c:pt>
                <c:pt idx="49">
                  <c:v>2020</c:v>
                </c:pt>
                <c:pt idx="50">
                  <c:v>2021</c:v>
                </c:pt>
                <c:pt idx="51">
                  <c:v>2022</c:v>
                </c:pt>
                <c:pt idx="52" formatCode="0">
                  <c:v>2023</c:v>
                </c:pt>
                <c:pt idx="53">
                  <c:v>2024</c:v>
                </c:pt>
              </c:numCache>
            </c:numRef>
          </c:cat>
          <c:val>
            <c:numRef>
              <c:f>MATE!$BF$294:$DG$294</c:f>
              <c:numCache>
                <c:formatCode>0%</c:formatCode>
                <c:ptCount val="54"/>
                <c:pt idx="0">
                  <c:v>5.5833333333333339E-2</c:v>
                </c:pt>
                <c:pt idx="1">
                  <c:v>5.0769230769230761E-2</c:v>
                </c:pt>
                <c:pt idx="2">
                  <c:v>4.9230769230769231E-2</c:v>
                </c:pt>
                <c:pt idx="3">
                  <c:v>3.3846153846153845E-2</c:v>
                </c:pt>
                <c:pt idx="4">
                  <c:v>3.1538461538461543E-2</c:v>
                </c:pt>
                <c:pt idx="5">
                  <c:v>4.3076923076923082E-2</c:v>
                </c:pt>
                <c:pt idx="6">
                  <c:v>0.05</c:v>
                </c:pt>
                <c:pt idx="7">
                  <c:v>0.03</c:v>
                </c:pt>
                <c:pt idx="8">
                  <c:v>3.4615384615384617E-2</c:v>
                </c:pt>
                <c:pt idx="9">
                  <c:v>5.4000000000000006E-2</c:v>
                </c:pt>
                <c:pt idx="10">
                  <c:v>5.9374999999999997E-2</c:v>
                </c:pt>
                <c:pt idx="11">
                  <c:v>3.5625000000000004E-2</c:v>
                </c:pt>
                <c:pt idx="12">
                  <c:v>3.5294117647058823E-2</c:v>
                </c:pt>
                <c:pt idx="13">
                  <c:v>3.2222222222222215E-2</c:v>
                </c:pt>
                <c:pt idx="14">
                  <c:v>6.1176470588235297E-2</c:v>
                </c:pt>
                <c:pt idx="15">
                  <c:v>7.0000000000000007E-2</c:v>
                </c:pt>
                <c:pt idx="16">
                  <c:v>0.06</c:v>
                </c:pt>
                <c:pt idx="17">
                  <c:v>3.1E-2</c:v>
                </c:pt>
                <c:pt idx="18">
                  <c:v>3.7999999999999999E-2</c:v>
                </c:pt>
                <c:pt idx="19">
                  <c:v>5.5999999999999994E-2</c:v>
                </c:pt>
                <c:pt idx="20">
                  <c:v>4.4000000000000004E-2</c:v>
                </c:pt>
                <c:pt idx="21">
                  <c:v>5.5999999999999994E-2</c:v>
                </c:pt>
                <c:pt idx="22">
                  <c:v>4.4000000000000004E-2</c:v>
                </c:pt>
                <c:pt idx="23">
                  <c:v>0.05</c:v>
                </c:pt>
                <c:pt idx="24">
                  <c:v>0.05</c:v>
                </c:pt>
                <c:pt idx="25">
                  <c:v>0.06</c:v>
                </c:pt>
                <c:pt idx="26">
                  <c:v>5.6249999999999994E-2</c:v>
                </c:pt>
                <c:pt idx="27">
                  <c:v>0.14000000000000001</c:v>
                </c:pt>
                <c:pt idx="28">
                  <c:v>0.09</c:v>
                </c:pt>
                <c:pt idx="29">
                  <c:v>0.04</c:v>
                </c:pt>
                <c:pt idx="30">
                  <c:v>0.04</c:v>
                </c:pt>
                <c:pt idx="31">
                  <c:v>0.04</c:v>
                </c:pt>
                <c:pt idx="32">
                  <c:v>0.02</c:v>
                </c:pt>
                <c:pt idx="33">
                  <c:v>0.05</c:v>
                </c:pt>
                <c:pt idx="34">
                  <c:v>0.04</c:v>
                </c:pt>
                <c:pt idx="35">
                  <c:v>0.04</c:v>
                </c:pt>
                <c:pt idx="36">
                  <c:v>0.02</c:v>
                </c:pt>
                <c:pt idx="37">
                  <c:v>0.03</c:v>
                </c:pt>
                <c:pt idx="38">
                  <c:v>0.02</c:v>
                </c:pt>
                <c:pt idx="39">
                  <c:v>0.01</c:v>
                </c:pt>
                <c:pt idx="40">
                  <c:v>0.02</c:v>
                </c:pt>
                <c:pt idx="41">
                  <c:v>0.02</c:v>
                </c:pt>
                <c:pt idx="42">
                  <c:v>0.02</c:v>
                </c:pt>
                <c:pt idx="43">
                  <c:v>0.02</c:v>
                </c:pt>
                <c:pt idx="44">
                  <c:v>4.0000000000000001E-3</c:v>
                </c:pt>
                <c:pt idx="45">
                  <c:v>0.1</c:v>
                </c:pt>
                <c:pt idx="46">
                  <c:v>0.09</c:v>
                </c:pt>
                <c:pt idx="47">
                  <c:v>0.03</c:v>
                </c:pt>
                <c:pt idx="48">
                  <c:v>0.04</c:v>
                </c:pt>
                <c:pt idx="49">
                  <c:v>0.03</c:v>
                </c:pt>
                <c:pt idx="50">
                  <c:v>0.03</c:v>
                </c:pt>
                <c:pt idx="51">
                  <c:v>0.08</c:v>
                </c:pt>
                <c:pt idx="52" formatCode="0">
                  <c:v>0.04</c:v>
                </c:pt>
                <c:pt idx="53">
                  <c:v>3.2857142857142863E-2</c:v>
                </c:pt>
              </c:numCache>
            </c:numRef>
          </c:val>
          <c:extLst>
            <c:ext xmlns:c16="http://schemas.microsoft.com/office/drawing/2014/chart" uri="{C3380CC4-5D6E-409C-BE32-E72D297353CC}">
              <c16:uniqueId val="{00000000-BFA7-47E9-9C97-CAEFA3153E3F}"/>
            </c:ext>
          </c:extLst>
        </c:ser>
        <c:ser>
          <c:idx val="1"/>
          <c:order val="1"/>
          <c:tx>
            <c:strRef>
              <c:f>MATE!$BE$295</c:f>
              <c:strCache>
                <c:ptCount val="1"/>
                <c:pt idx="0">
                  <c:v>2</c:v>
                </c:pt>
              </c:strCache>
            </c:strRef>
          </c:tx>
          <c:spPr>
            <a:solidFill>
              <a:srgbClr val="FFFF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MATE!$BF$293:$DG$293</c:f>
              <c:numCache>
                <c:formatCode>General</c:formatCode>
                <c:ptCount val="54"/>
                <c:pt idx="0">
                  <c:v>2016</c:v>
                </c:pt>
                <c:pt idx="1">
                  <c:v>2017</c:v>
                </c:pt>
                <c:pt idx="2">
                  <c:v>2018</c:v>
                </c:pt>
                <c:pt idx="3">
                  <c:v>2019</c:v>
                </c:pt>
                <c:pt idx="4">
                  <c:v>2020</c:v>
                </c:pt>
                <c:pt idx="5">
                  <c:v>2021</c:v>
                </c:pt>
                <c:pt idx="6">
                  <c:v>2022</c:v>
                </c:pt>
                <c:pt idx="7">
                  <c:v>2023</c:v>
                </c:pt>
                <c:pt idx="8">
                  <c:v>2024</c:v>
                </c:pt>
                <c:pt idx="9">
                  <c:v>2016</c:v>
                </c:pt>
                <c:pt idx="10">
                  <c:v>2017</c:v>
                </c:pt>
                <c:pt idx="11">
                  <c:v>2018</c:v>
                </c:pt>
                <c:pt idx="12">
                  <c:v>2019</c:v>
                </c:pt>
                <c:pt idx="13">
                  <c:v>2020</c:v>
                </c:pt>
                <c:pt idx="14">
                  <c:v>2021</c:v>
                </c:pt>
                <c:pt idx="15">
                  <c:v>2022</c:v>
                </c:pt>
                <c:pt idx="16">
                  <c:v>2023</c:v>
                </c:pt>
                <c:pt idx="17">
                  <c:v>2024</c:v>
                </c:pt>
                <c:pt idx="18">
                  <c:v>2016</c:v>
                </c:pt>
                <c:pt idx="19">
                  <c:v>2017</c:v>
                </c:pt>
                <c:pt idx="20">
                  <c:v>2018</c:v>
                </c:pt>
                <c:pt idx="21">
                  <c:v>2019</c:v>
                </c:pt>
                <c:pt idx="22">
                  <c:v>2020</c:v>
                </c:pt>
                <c:pt idx="23">
                  <c:v>2021</c:v>
                </c:pt>
                <c:pt idx="24">
                  <c:v>2022</c:v>
                </c:pt>
                <c:pt idx="25">
                  <c:v>2023</c:v>
                </c:pt>
                <c:pt idx="26">
                  <c:v>2024</c:v>
                </c:pt>
                <c:pt idx="27">
                  <c:v>2016</c:v>
                </c:pt>
                <c:pt idx="28">
                  <c:v>2017</c:v>
                </c:pt>
                <c:pt idx="29">
                  <c:v>2018</c:v>
                </c:pt>
                <c:pt idx="30">
                  <c:v>2019</c:v>
                </c:pt>
                <c:pt idx="31">
                  <c:v>2020</c:v>
                </c:pt>
                <c:pt idx="32">
                  <c:v>2021</c:v>
                </c:pt>
                <c:pt idx="33">
                  <c:v>2022</c:v>
                </c:pt>
                <c:pt idx="34">
                  <c:v>2023</c:v>
                </c:pt>
                <c:pt idx="35">
                  <c:v>2024</c:v>
                </c:pt>
                <c:pt idx="36">
                  <c:v>2016</c:v>
                </c:pt>
                <c:pt idx="37">
                  <c:v>2017</c:v>
                </c:pt>
                <c:pt idx="38">
                  <c:v>2018</c:v>
                </c:pt>
                <c:pt idx="39">
                  <c:v>2019</c:v>
                </c:pt>
                <c:pt idx="40">
                  <c:v>2020</c:v>
                </c:pt>
                <c:pt idx="41">
                  <c:v>2021</c:v>
                </c:pt>
                <c:pt idx="42">
                  <c:v>2022</c:v>
                </c:pt>
                <c:pt idx="43">
                  <c:v>2023</c:v>
                </c:pt>
                <c:pt idx="44">
                  <c:v>2024</c:v>
                </c:pt>
                <c:pt idx="45">
                  <c:v>2016</c:v>
                </c:pt>
                <c:pt idx="46">
                  <c:v>2017</c:v>
                </c:pt>
                <c:pt idx="47">
                  <c:v>2018</c:v>
                </c:pt>
                <c:pt idx="48">
                  <c:v>2019</c:v>
                </c:pt>
                <c:pt idx="49">
                  <c:v>2020</c:v>
                </c:pt>
                <c:pt idx="50">
                  <c:v>2021</c:v>
                </c:pt>
                <c:pt idx="51">
                  <c:v>2022</c:v>
                </c:pt>
                <c:pt idx="52" formatCode="0">
                  <c:v>2023</c:v>
                </c:pt>
                <c:pt idx="53">
                  <c:v>2024</c:v>
                </c:pt>
              </c:numCache>
            </c:numRef>
          </c:cat>
          <c:val>
            <c:numRef>
              <c:f>MATE!$BF$295:$DG$295</c:f>
              <c:numCache>
                <c:formatCode>0%</c:formatCode>
                <c:ptCount val="54"/>
                <c:pt idx="0">
                  <c:v>0.39666666666666667</c:v>
                </c:pt>
                <c:pt idx="1">
                  <c:v>0.38923076923076927</c:v>
                </c:pt>
                <c:pt idx="2">
                  <c:v>0.38923076923076916</c:v>
                </c:pt>
                <c:pt idx="3">
                  <c:v>0.35461538461538467</c:v>
                </c:pt>
                <c:pt idx="4">
                  <c:v>0.35923076923076924</c:v>
                </c:pt>
                <c:pt idx="5">
                  <c:v>0.35615384615384621</c:v>
                </c:pt>
                <c:pt idx="6">
                  <c:v>0.34</c:v>
                </c:pt>
                <c:pt idx="7">
                  <c:v>0.35</c:v>
                </c:pt>
                <c:pt idx="8">
                  <c:v>0.30384615384615388</c:v>
                </c:pt>
                <c:pt idx="9">
                  <c:v>0.35533333333333333</c:v>
                </c:pt>
                <c:pt idx="10">
                  <c:v>0.33500000000000008</c:v>
                </c:pt>
                <c:pt idx="11">
                  <c:v>0.33750000000000002</c:v>
                </c:pt>
                <c:pt idx="12">
                  <c:v>0.30941176470588239</c:v>
                </c:pt>
                <c:pt idx="13">
                  <c:v>0.28611111111111115</c:v>
                </c:pt>
                <c:pt idx="14">
                  <c:v>0.35352941176470598</c:v>
                </c:pt>
                <c:pt idx="15">
                  <c:v>0.24</c:v>
                </c:pt>
                <c:pt idx="16">
                  <c:v>0.35</c:v>
                </c:pt>
                <c:pt idx="17">
                  <c:v>0.26950000000000002</c:v>
                </c:pt>
                <c:pt idx="18">
                  <c:v>0.46600000000000003</c:v>
                </c:pt>
                <c:pt idx="19">
                  <c:v>0.43599999999999994</c:v>
                </c:pt>
                <c:pt idx="20">
                  <c:v>0.41799999999999998</c:v>
                </c:pt>
                <c:pt idx="21">
                  <c:v>0.41600000000000004</c:v>
                </c:pt>
                <c:pt idx="22">
                  <c:v>0.372</c:v>
                </c:pt>
                <c:pt idx="23">
                  <c:v>0.44800000000000006</c:v>
                </c:pt>
                <c:pt idx="24">
                  <c:v>0.28000000000000003</c:v>
                </c:pt>
                <c:pt idx="25">
                  <c:v>0.27</c:v>
                </c:pt>
                <c:pt idx="26">
                  <c:v>0.28562500000000007</c:v>
                </c:pt>
                <c:pt idx="27">
                  <c:v>0.4</c:v>
                </c:pt>
                <c:pt idx="28">
                  <c:v>0.36</c:v>
                </c:pt>
                <c:pt idx="29">
                  <c:v>0.32</c:v>
                </c:pt>
                <c:pt idx="30">
                  <c:v>0.43</c:v>
                </c:pt>
                <c:pt idx="31">
                  <c:v>0.48</c:v>
                </c:pt>
                <c:pt idx="32">
                  <c:v>0.32</c:v>
                </c:pt>
                <c:pt idx="33">
                  <c:v>0.36</c:v>
                </c:pt>
                <c:pt idx="34">
                  <c:v>0.41</c:v>
                </c:pt>
                <c:pt idx="35">
                  <c:v>0.3</c:v>
                </c:pt>
                <c:pt idx="36">
                  <c:v>0.28999999999999998</c:v>
                </c:pt>
                <c:pt idx="37">
                  <c:v>0.27</c:v>
                </c:pt>
                <c:pt idx="38">
                  <c:v>0.31</c:v>
                </c:pt>
                <c:pt idx="39">
                  <c:v>0.27</c:v>
                </c:pt>
                <c:pt idx="40">
                  <c:v>0.24</c:v>
                </c:pt>
                <c:pt idx="41">
                  <c:v>0.32</c:v>
                </c:pt>
                <c:pt idx="42">
                  <c:v>0.22</c:v>
                </c:pt>
                <c:pt idx="43">
                  <c:v>0.26</c:v>
                </c:pt>
                <c:pt idx="44">
                  <c:v>0.316</c:v>
                </c:pt>
                <c:pt idx="45">
                  <c:v>0.31</c:v>
                </c:pt>
                <c:pt idx="46">
                  <c:v>0.38</c:v>
                </c:pt>
                <c:pt idx="47">
                  <c:v>0.41</c:v>
                </c:pt>
                <c:pt idx="48">
                  <c:v>0.35</c:v>
                </c:pt>
                <c:pt idx="49">
                  <c:v>0.37</c:v>
                </c:pt>
                <c:pt idx="50">
                  <c:v>0.44</c:v>
                </c:pt>
                <c:pt idx="51">
                  <c:v>0.36</c:v>
                </c:pt>
                <c:pt idx="52" formatCode="0">
                  <c:v>0.27</c:v>
                </c:pt>
                <c:pt idx="53">
                  <c:v>0.33785714285714291</c:v>
                </c:pt>
              </c:numCache>
            </c:numRef>
          </c:val>
          <c:extLst>
            <c:ext xmlns:c16="http://schemas.microsoft.com/office/drawing/2014/chart" uri="{C3380CC4-5D6E-409C-BE32-E72D297353CC}">
              <c16:uniqueId val="{00000001-BFA7-47E9-9C97-CAEFA3153E3F}"/>
            </c:ext>
          </c:extLst>
        </c:ser>
        <c:ser>
          <c:idx val="2"/>
          <c:order val="2"/>
          <c:tx>
            <c:strRef>
              <c:f>MATE!$BE$296</c:f>
              <c:strCache>
                <c:ptCount val="1"/>
                <c:pt idx="0">
                  <c:v>3</c:v>
                </c:pt>
              </c:strCache>
            </c:strRef>
          </c:tx>
          <c:spPr>
            <a:solidFill>
              <a:srgbClr val="FFC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MATE!$BF$293:$DG$293</c:f>
              <c:numCache>
                <c:formatCode>General</c:formatCode>
                <c:ptCount val="54"/>
                <c:pt idx="0">
                  <c:v>2016</c:v>
                </c:pt>
                <c:pt idx="1">
                  <c:v>2017</c:v>
                </c:pt>
                <c:pt idx="2">
                  <c:v>2018</c:v>
                </c:pt>
                <c:pt idx="3">
                  <c:v>2019</c:v>
                </c:pt>
                <c:pt idx="4">
                  <c:v>2020</c:v>
                </c:pt>
                <c:pt idx="5">
                  <c:v>2021</c:v>
                </c:pt>
                <c:pt idx="6">
                  <c:v>2022</c:v>
                </c:pt>
                <c:pt idx="7">
                  <c:v>2023</c:v>
                </c:pt>
                <c:pt idx="8">
                  <c:v>2024</c:v>
                </c:pt>
                <c:pt idx="9">
                  <c:v>2016</c:v>
                </c:pt>
                <c:pt idx="10">
                  <c:v>2017</c:v>
                </c:pt>
                <c:pt idx="11">
                  <c:v>2018</c:v>
                </c:pt>
                <c:pt idx="12">
                  <c:v>2019</c:v>
                </c:pt>
                <c:pt idx="13">
                  <c:v>2020</c:v>
                </c:pt>
                <c:pt idx="14">
                  <c:v>2021</c:v>
                </c:pt>
                <c:pt idx="15">
                  <c:v>2022</c:v>
                </c:pt>
                <c:pt idx="16">
                  <c:v>2023</c:v>
                </c:pt>
                <c:pt idx="17">
                  <c:v>2024</c:v>
                </c:pt>
                <c:pt idx="18">
                  <c:v>2016</c:v>
                </c:pt>
                <c:pt idx="19">
                  <c:v>2017</c:v>
                </c:pt>
                <c:pt idx="20">
                  <c:v>2018</c:v>
                </c:pt>
                <c:pt idx="21">
                  <c:v>2019</c:v>
                </c:pt>
                <c:pt idx="22">
                  <c:v>2020</c:v>
                </c:pt>
                <c:pt idx="23">
                  <c:v>2021</c:v>
                </c:pt>
                <c:pt idx="24">
                  <c:v>2022</c:v>
                </c:pt>
                <c:pt idx="25">
                  <c:v>2023</c:v>
                </c:pt>
                <c:pt idx="26">
                  <c:v>2024</c:v>
                </c:pt>
                <c:pt idx="27">
                  <c:v>2016</c:v>
                </c:pt>
                <c:pt idx="28">
                  <c:v>2017</c:v>
                </c:pt>
                <c:pt idx="29">
                  <c:v>2018</c:v>
                </c:pt>
                <c:pt idx="30">
                  <c:v>2019</c:v>
                </c:pt>
                <c:pt idx="31">
                  <c:v>2020</c:v>
                </c:pt>
                <c:pt idx="32">
                  <c:v>2021</c:v>
                </c:pt>
                <c:pt idx="33">
                  <c:v>2022</c:v>
                </c:pt>
                <c:pt idx="34">
                  <c:v>2023</c:v>
                </c:pt>
                <c:pt idx="35">
                  <c:v>2024</c:v>
                </c:pt>
                <c:pt idx="36">
                  <c:v>2016</c:v>
                </c:pt>
                <c:pt idx="37">
                  <c:v>2017</c:v>
                </c:pt>
                <c:pt idx="38">
                  <c:v>2018</c:v>
                </c:pt>
                <c:pt idx="39">
                  <c:v>2019</c:v>
                </c:pt>
                <c:pt idx="40">
                  <c:v>2020</c:v>
                </c:pt>
                <c:pt idx="41">
                  <c:v>2021</c:v>
                </c:pt>
                <c:pt idx="42">
                  <c:v>2022</c:v>
                </c:pt>
                <c:pt idx="43">
                  <c:v>2023</c:v>
                </c:pt>
                <c:pt idx="44">
                  <c:v>2024</c:v>
                </c:pt>
                <c:pt idx="45">
                  <c:v>2016</c:v>
                </c:pt>
                <c:pt idx="46">
                  <c:v>2017</c:v>
                </c:pt>
                <c:pt idx="47">
                  <c:v>2018</c:v>
                </c:pt>
                <c:pt idx="48">
                  <c:v>2019</c:v>
                </c:pt>
                <c:pt idx="49">
                  <c:v>2020</c:v>
                </c:pt>
                <c:pt idx="50">
                  <c:v>2021</c:v>
                </c:pt>
                <c:pt idx="51">
                  <c:v>2022</c:v>
                </c:pt>
                <c:pt idx="52" formatCode="0">
                  <c:v>2023</c:v>
                </c:pt>
                <c:pt idx="53">
                  <c:v>2024</c:v>
                </c:pt>
              </c:numCache>
            </c:numRef>
          </c:cat>
          <c:val>
            <c:numRef>
              <c:f>MATE!$BF$296:$DG$296</c:f>
              <c:numCache>
                <c:formatCode>0%</c:formatCode>
                <c:ptCount val="54"/>
                <c:pt idx="0">
                  <c:v>0.53</c:v>
                </c:pt>
                <c:pt idx="1">
                  <c:v>0.53307692307692311</c:v>
                </c:pt>
                <c:pt idx="2">
                  <c:v>0.52615384615384619</c:v>
                </c:pt>
                <c:pt idx="3">
                  <c:v>0.58615384615384625</c:v>
                </c:pt>
                <c:pt idx="4">
                  <c:v>0.57692307692307687</c:v>
                </c:pt>
                <c:pt idx="5">
                  <c:v>0.57076923076923081</c:v>
                </c:pt>
                <c:pt idx="6">
                  <c:v>0.57999999999999996</c:v>
                </c:pt>
                <c:pt idx="7">
                  <c:v>0.56000000000000005</c:v>
                </c:pt>
                <c:pt idx="8">
                  <c:v>0.60615384615384615</c:v>
                </c:pt>
                <c:pt idx="9">
                  <c:v>0.57133333333333336</c:v>
                </c:pt>
                <c:pt idx="10">
                  <c:v>0.55937499999999996</c:v>
                </c:pt>
                <c:pt idx="11">
                  <c:v>0.61312499999999992</c:v>
                </c:pt>
                <c:pt idx="12">
                  <c:v>0.6164705882352941</c:v>
                </c:pt>
                <c:pt idx="13">
                  <c:v>0.6399999999999999</c:v>
                </c:pt>
                <c:pt idx="14">
                  <c:v>0.55588235294117638</c:v>
                </c:pt>
                <c:pt idx="15">
                  <c:v>0.65</c:v>
                </c:pt>
                <c:pt idx="16">
                  <c:v>0.54</c:v>
                </c:pt>
                <c:pt idx="17">
                  <c:v>0.6399999999999999</c:v>
                </c:pt>
                <c:pt idx="18">
                  <c:v>0.48200000000000004</c:v>
                </c:pt>
                <c:pt idx="19">
                  <c:v>0.502</c:v>
                </c:pt>
                <c:pt idx="20">
                  <c:v>0.53199999999999992</c:v>
                </c:pt>
                <c:pt idx="21">
                  <c:v>0.52000000000000013</c:v>
                </c:pt>
                <c:pt idx="22">
                  <c:v>0.56400000000000006</c:v>
                </c:pt>
                <c:pt idx="23">
                  <c:v>0.48599999999999993</c:v>
                </c:pt>
                <c:pt idx="24">
                  <c:v>0.62</c:v>
                </c:pt>
                <c:pt idx="25">
                  <c:v>0.62</c:v>
                </c:pt>
                <c:pt idx="26">
                  <c:v>0.59750000000000003</c:v>
                </c:pt>
                <c:pt idx="27">
                  <c:v>0.46</c:v>
                </c:pt>
                <c:pt idx="28">
                  <c:v>0.54</c:v>
                </c:pt>
                <c:pt idx="29">
                  <c:v>0.63</c:v>
                </c:pt>
                <c:pt idx="30">
                  <c:v>0.5</c:v>
                </c:pt>
                <c:pt idx="31">
                  <c:v>0.44</c:v>
                </c:pt>
                <c:pt idx="32">
                  <c:v>0.61</c:v>
                </c:pt>
                <c:pt idx="33">
                  <c:v>0.56999999999999995</c:v>
                </c:pt>
                <c:pt idx="34">
                  <c:v>0.53</c:v>
                </c:pt>
                <c:pt idx="35">
                  <c:v>0.6</c:v>
                </c:pt>
                <c:pt idx="36">
                  <c:v>0.66</c:v>
                </c:pt>
                <c:pt idx="37">
                  <c:v>0.65</c:v>
                </c:pt>
                <c:pt idx="38">
                  <c:v>0.62</c:v>
                </c:pt>
                <c:pt idx="39">
                  <c:v>0.67</c:v>
                </c:pt>
                <c:pt idx="40">
                  <c:v>0.7</c:v>
                </c:pt>
                <c:pt idx="41">
                  <c:v>0.61</c:v>
                </c:pt>
                <c:pt idx="42">
                  <c:v>0.71</c:v>
                </c:pt>
                <c:pt idx="43">
                  <c:v>0.64</c:v>
                </c:pt>
                <c:pt idx="44">
                  <c:v>0.61399999999999999</c:v>
                </c:pt>
                <c:pt idx="45">
                  <c:v>0.57999999999999996</c:v>
                </c:pt>
                <c:pt idx="46">
                  <c:v>0.51</c:v>
                </c:pt>
                <c:pt idx="47">
                  <c:v>0.55000000000000004</c:v>
                </c:pt>
                <c:pt idx="48">
                  <c:v>0.56999999999999995</c:v>
                </c:pt>
                <c:pt idx="49">
                  <c:v>0.56999999999999995</c:v>
                </c:pt>
                <c:pt idx="50">
                  <c:v>0.49</c:v>
                </c:pt>
                <c:pt idx="51">
                  <c:v>0.51</c:v>
                </c:pt>
                <c:pt idx="52" formatCode="0">
                  <c:v>0.65</c:v>
                </c:pt>
                <c:pt idx="53">
                  <c:v>0.56999999999999995</c:v>
                </c:pt>
              </c:numCache>
            </c:numRef>
          </c:val>
          <c:extLst>
            <c:ext xmlns:c16="http://schemas.microsoft.com/office/drawing/2014/chart" uri="{C3380CC4-5D6E-409C-BE32-E72D297353CC}">
              <c16:uniqueId val="{00000002-BFA7-47E9-9C97-CAEFA3153E3F}"/>
            </c:ext>
          </c:extLst>
        </c:ser>
        <c:ser>
          <c:idx val="3"/>
          <c:order val="3"/>
          <c:tx>
            <c:strRef>
              <c:f>MATE!$BE$297</c:f>
              <c:strCache>
                <c:ptCount val="1"/>
                <c:pt idx="0">
                  <c:v>4</c:v>
                </c:pt>
              </c:strCache>
            </c:strRef>
          </c:tx>
          <c:spPr>
            <a:solidFill>
              <a:srgbClr val="00B05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MATE!$BF$293:$DG$293</c:f>
              <c:numCache>
                <c:formatCode>General</c:formatCode>
                <c:ptCount val="54"/>
                <c:pt idx="0">
                  <c:v>2016</c:v>
                </c:pt>
                <c:pt idx="1">
                  <c:v>2017</c:v>
                </c:pt>
                <c:pt idx="2">
                  <c:v>2018</c:v>
                </c:pt>
                <c:pt idx="3">
                  <c:v>2019</c:v>
                </c:pt>
                <c:pt idx="4">
                  <c:v>2020</c:v>
                </c:pt>
                <c:pt idx="5">
                  <c:v>2021</c:v>
                </c:pt>
                <c:pt idx="6">
                  <c:v>2022</c:v>
                </c:pt>
                <c:pt idx="7">
                  <c:v>2023</c:v>
                </c:pt>
                <c:pt idx="8">
                  <c:v>2024</c:v>
                </c:pt>
                <c:pt idx="9">
                  <c:v>2016</c:v>
                </c:pt>
                <c:pt idx="10">
                  <c:v>2017</c:v>
                </c:pt>
                <c:pt idx="11">
                  <c:v>2018</c:v>
                </c:pt>
                <c:pt idx="12">
                  <c:v>2019</c:v>
                </c:pt>
                <c:pt idx="13">
                  <c:v>2020</c:v>
                </c:pt>
                <c:pt idx="14">
                  <c:v>2021</c:v>
                </c:pt>
                <c:pt idx="15">
                  <c:v>2022</c:v>
                </c:pt>
                <c:pt idx="16">
                  <c:v>2023</c:v>
                </c:pt>
                <c:pt idx="17">
                  <c:v>2024</c:v>
                </c:pt>
                <c:pt idx="18">
                  <c:v>2016</c:v>
                </c:pt>
                <c:pt idx="19">
                  <c:v>2017</c:v>
                </c:pt>
                <c:pt idx="20">
                  <c:v>2018</c:v>
                </c:pt>
                <c:pt idx="21">
                  <c:v>2019</c:v>
                </c:pt>
                <c:pt idx="22">
                  <c:v>2020</c:v>
                </c:pt>
                <c:pt idx="23">
                  <c:v>2021</c:v>
                </c:pt>
                <c:pt idx="24">
                  <c:v>2022</c:v>
                </c:pt>
                <c:pt idx="25">
                  <c:v>2023</c:v>
                </c:pt>
                <c:pt idx="26">
                  <c:v>2024</c:v>
                </c:pt>
                <c:pt idx="27">
                  <c:v>2016</c:v>
                </c:pt>
                <c:pt idx="28">
                  <c:v>2017</c:v>
                </c:pt>
                <c:pt idx="29">
                  <c:v>2018</c:v>
                </c:pt>
                <c:pt idx="30">
                  <c:v>2019</c:v>
                </c:pt>
                <c:pt idx="31">
                  <c:v>2020</c:v>
                </c:pt>
                <c:pt idx="32">
                  <c:v>2021</c:v>
                </c:pt>
                <c:pt idx="33">
                  <c:v>2022</c:v>
                </c:pt>
                <c:pt idx="34">
                  <c:v>2023</c:v>
                </c:pt>
                <c:pt idx="35">
                  <c:v>2024</c:v>
                </c:pt>
                <c:pt idx="36">
                  <c:v>2016</c:v>
                </c:pt>
                <c:pt idx="37">
                  <c:v>2017</c:v>
                </c:pt>
                <c:pt idx="38">
                  <c:v>2018</c:v>
                </c:pt>
                <c:pt idx="39">
                  <c:v>2019</c:v>
                </c:pt>
                <c:pt idx="40">
                  <c:v>2020</c:v>
                </c:pt>
                <c:pt idx="41">
                  <c:v>2021</c:v>
                </c:pt>
                <c:pt idx="42">
                  <c:v>2022</c:v>
                </c:pt>
                <c:pt idx="43">
                  <c:v>2023</c:v>
                </c:pt>
                <c:pt idx="44">
                  <c:v>2024</c:v>
                </c:pt>
                <c:pt idx="45">
                  <c:v>2016</c:v>
                </c:pt>
                <c:pt idx="46">
                  <c:v>2017</c:v>
                </c:pt>
                <c:pt idx="47">
                  <c:v>2018</c:v>
                </c:pt>
                <c:pt idx="48">
                  <c:v>2019</c:v>
                </c:pt>
                <c:pt idx="49">
                  <c:v>2020</c:v>
                </c:pt>
                <c:pt idx="50">
                  <c:v>2021</c:v>
                </c:pt>
                <c:pt idx="51">
                  <c:v>2022</c:v>
                </c:pt>
                <c:pt idx="52" formatCode="0">
                  <c:v>2023</c:v>
                </c:pt>
                <c:pt idx="53">
                  <c:v>2024</c:v>
                </c:pt>
              </c:numCache>
            </c:numRef>
          </c:cat>
          <c:val>
            <c:numRef>
              <c:f>MATE!$BF$297:$DG$297</c:f>
              <c:numCache>
                <c:formatCode>0%</c:formatCode>
                <c:ptCount val="54"/>
                <c:pt idx="0">
                  <c:v>7.4999999999999997E-3</c:v>
                </c:pt>
                <c:pt idx="1">
                  <c:v>2.8461538461538465E-2</c:v>
                </c:pt>
                <c:pt idx="2">
                  <c:v>3.692307692307692E-2</c:v>
                </c:pt>
                <c:pt idx="3">
                  <c:v>2.6923076923076925E-2</c:v>
                </c:pt>
                <c:pt idx="4">
                  <c:v>3.3846153846153845E-2</c:v>
                </c:pt>
                <c:pt idx="5">
                  <c:v>3.0769230769230774E-2</c:v>
                </c:pt>
                <c:pt idx="6">
                  <c:v>0.03</c:v>
                </c:pt>
                <c:pt idx="7">
                  <c:v>0.06</c:v>
                </c:pt>
                <c:pt idx="8">
                  <c:v>5.692307692307693E-2</c:v>
                </c:pt>
                <c:pt idx="9">
                  <c:v>1.9333333333333334E-2</c:v>
                </c:pt>
                <c:pt idx="10">
                  <c:v>4.4375000000000005E-2</c:v>
                </c:pt>
                <c:pt idx="11">
                  <c:v>1.6250000000000001E-2</c:v>
                </c:pt>
                <c:pt idx="12">
                  <c:v>4.0000000000000008E-2</c:v>
                </c:pt>
                <c:pt idx="13">
                  <c:v>4.055555555555556E-2</c:v>
                </c:pt>
                <c:pt idx="14">
                  <c:v>3.1176470588235295E-2</c:v>
                </c:pt>
                <c:pt idx="15">
                  <c:v>0.04</c:v>
                </c:pt>
                <c:pt idx="16">
                  <c:v>0.05</c:v>
                </c:pt>
                <c:pt idx="17">
                  <c:v>6.2000000000000013E-2</c:v>
                </c:pt>
                <c:pt idx="18">
                  <c:v>1.6E-2</c:v>
                </c:pt>
                <c:pt idx="19">
                  <c:v>6.0000000000000001E-3</c:v>
                </c:pt>
                <c:pt idx="20">
                  <c:v>8.0000000000000002E-3</c:v>
                </c:pt>
                <c:pt idx="21">
                  <c:v>0.01</c:v>
                </c:pt>
                <c:pt idx="22">
                  <c:v>1.9999999999999997E-2</c:v>
                </c:pt>
                <c:pt idx="23">
                  <c:v>1.2E-2</c:v>
                </c:pt>
                <c:pt idx="24">
                  <c:v>0.06</c:v>
                </c:pt>
                <c:pt idx="25">
                  <c:v>0.06</c:v>
                </c:pt>
                <c:pt idx="26">
                  <c:v>6.1874999999999999E-2</c:v>
                </c:pt>
                <c:pt idx="27">
                  <c:v>0</c:v>
                </c:pt>
                <c:pt idx="28">
                  <c:v>0.01</c:v>
                </c:pt>
                <c:pt idx="29">
                  <c:v>0.01</c:v>
                </c:pt>
                <c:pt idx="30">
                  <c:v>0.03</c:v>
                </c:pt>
                <c:pt idx="31">
                  <c:v>0.04</c:v>
                </c:pt>
                <c:pt idx="32">
                  <c:v>0.05</c:v>
                </c:pt>
                <c:pt idx="33">
                  <c:v>0.02</c:v>
                </c:pt>
                <c:pt idx="34">
                  <c:v>0.02</c:v>
                </c:pt>
                <c:pt idx="35">
                  <c:v>0.06</c:v>
                </c:pt>
                <c:pt idx="36">
                  <c:v>0.03</c:v>
                </c:pt>
                <c:pt idx="37">
                  <c:v>0.05</c:v>
                </c:pt>
                <c:pt idx="38">
                  <c:v>0.05</c:v>
                </c:pt>
                <c:pt idx="39">
                  <c:v>0.05</c:v>
                </c:pt>
                <c:pt idx="40">
                  <c:v>0.05</c:v>
                </c:pt>
                <c:pt idx="41">
                  <c:v>0.05</c:v>
                </c:pt>
                <c:pt idx="42">
                  <c:v>0.05</c:v>
                </c:pt>
                <c:pt idx="43">
                  <c:v>0.08</c:v>
                </c:pt>
                <c:pt idx="44">
                  <c:v>6.5333333333333327E-2</c:v>
                </c:pt>
                <c:pt idx="45">
                  <c:v>0.01</c:v>
                </c:pt>
                <c:pt idx="46">
                  <c:v>0.02</c:v>
                </c:pt>
                <c:pt idx="47">
                  <c:v>0.02</c:v>
                </c:pt>
                <c:pt idx="48">
                  <c:v>0.04</c:v>
                </c:pt>
                <c:pt idx="49">
                  <c:v>0.03</c:v>
                </c:pt>
                <c:pt idx="50">
                  <c:v>0.03</c:v>
                </c:pt>
                <c:pt idx="51">
                  <c:v>0.05</c:v>
                </c:pt>
                <c:pt idx="52" formatCode="0">
                  <c:v>0.04</c:v>
                </c:pt>
                <c:pt idx="53">
                  <c:v>0.06</c:v>
                </c:pt>
              </c:numCache>
            </c:numRef>
          </c:val>
          <c:extLst>
            <c:ext xmlns:c16="http://schemas.microsoft.com/office/drawing/2014/chart" uri="{C3380CC4-5D6E-409C-BE32-E72D297353CC}">
              <c16:uniqueId val="{00000003-BFA7-47E9-9C97-CAEFA3153E3F}"/>
            </c:ext>
          </c:extLst>
        </c:ser>
        <c:dLbls>
          <c:showLegendKey val="0"/>
          <c:showVal val="0"/>
          <c:showCatName val="0"/>
          <c:showSerName val="0"/>
          <c:showPercent val="0"/>
          <c:showBubbleSize val="0"/>
        </c:dLbls>
        <c:gapWidth val="150"/>
        <c:overlap val="100"/>
        <c:axId val="744346207"/>
        <c:axId val="634479663"/>
      </c:barChart>
      <c:catAx>
        <c:axId val="74434620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634479663"/>
        <c:crosses val="autoZero"/>
        <c:auto val="1"/>
        <c:lblAlgn val="ctr"/>
        <c:lblOffset val="100"/>
        <c:noMultiLvlLbl val="0"/>
      </c:catAx>
      <c:valAx>
        <c:axId val="634479663"/>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74434620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sz="1400"/>
              <a:t>Resultados Sociales</a:t>
            </a:r>
            <a:r>
              <a:rPr lang="es-CO" sz="1400" baseline="0"/>
              <a:t> y Ciudadanas por Comunas 2016-2024</a:t>
            </a:r>
          </a:p>
        </c:rich>
      </c:tx>
      <c:overlay val="0"/>
    </c:title>
    <c:autoTitleDeleted val="0"/>
    <c:plotArea>
      <c:layout>
        <c:manualLayout>
          <c:layoutTarget val="inner"/>
          <c:xMode val="edge"/>
          <c:yMode val="edge"/>
          <c:x val="0.187328318016004"/>
          <c:y val="0.22896914253369183"/>
          <c:w val="0.52448317438146963"/>
          <c:h val="0.71774876595107084"/>
        </c:manualLayout>
      </c:layout>
      <c:radarChart>
        <c:radarStyle val="marker"/>
        <c:varyColors val="0"/>
        <c:ser>
          <c:idx val="0"/>
          <c:order val="0"/>
          <c:tx>
            <c:strRef>
              <c:f>SyC!$F$281</c:f>
              <c:strCache>
                <c:ptCount val="1"/>
                <c:pt idx="0">
                  <c:v>2016</c:v>
                </c:pt>
              </c:strCache>
            </c:strRef>
          </c:tx>
          <c:spPr>
            <a:ln>
              <a:prstDash val="lgDashDot"/>
            </a:ln>
          </c:spPr>
          <c:cat>
            <c:strRef>
              <c:f>SyC!$E$282:$E$287</c:f>
              <c:strCache>
                <c:ptCount val="6"/>
                <c:pt idx="0">
                  <c:v>COMUNA 1</c:v>
                </c:pt>
                <c:pt idx="1">
                  <c:v>COMUNA 2</c:v>
                </c:pt>
                <c:pt idx="2">
                  <c:v>COMUNA 3</c:v>
                </c:pt>
                <c:pt idx="3">
                  <c:v>COMUNA 4</c:v>
                </c:pt>
                <c:pt idx="4">
                  <c:v>COMUNA 5</c:v>
                </c:pt>
                <c:pt idx="5">
                  <c:v>COMUNA 6</c:v>
                </c:pt>
              </c:strCache>
            </c:strRef>
          </c:cat>
          <c:val>
            <c:numRef>
              <c:f>SyC!$F$282:$F$287</c:f>
              <c:numCache>
                <c:formatCode>0</c:formatCode>
                <c:ptCount val="6"/>
                <c:pt idx="0">
                  <c:v>50.588235294117645</c:v>
                </c:pt>
                <c:pt idx="1">
                  <c:v>52.9</c:v>
                </c:pt>
                <c:pt idx="2">
                  <c:v>52.4375</c:v>
                </c:pt>
                <c:pt idx="3">
                  <c:v>48.142857142857146</c:v>
                </c:pt>
                <c:pt idx="4">
                  <c:v>54.235294117647058</c:v>
                </c:pt>
                <c:pt idx="5">
                  <c:v>52.06666666666667</c:v>
                </c:pt>
              </c:numCache>
            </c:numRef>
          </c:val>
          <c:extLst>
            <c:ext xmlns:c16="http://schemas.microsoft.com/office/drawing/2014/chart" uri="{C3380CC4-5D6E-409C-BE32-E72D297353CC}">
              <c16:uniqueId val="{00000000-6FF0-4DC3-B973-4582DD3ABCD4}"/>
            </c:ext>
          </c:extLst>
        </c:ser>
        <c:ser>
          <c:idx val="1"/>
          <c:order val="1"/>
          <c:tx>
            <c:strRef>
              <c:f>SyC!$G$281</c:f>
              <c:strCache>
                <c:ptCount val="1"/>
                <c:pt idx="0">
                  <c:v>2017</c:v>
                </c:pt>
              </c:strCache>
            </c:strRef>
          </c:tx>
          <c:cat>
            <c:strRef>
              <c:f>SyC!$E$282:$E$287</c:f>
              <c:strCache>
                <c:ptCount val="6"/>
                <c:pt idx="0">
                  <c:v>COMUNA 1</c:v>
                </c:pt>
                <c:pt idx="1">
                  <c:v>COMUNA 2</c:v>
                </c:pt>
                <c:pt idx="2">
                  <c:v>COMUNA 3</c:v>
                </c:pt>
                <c:pt idx="3">
                  <c:v>COMUNA 4</c:v>
                </c:pt>
                <c:pt idx="4">
                  <c:v>COMUNA 5</c:v>
                </c:pt>
                <c:pt idx="5">
                  <c:v>COMUNA 6</c:v>
                </c:pt>
              </c:strCache>
            </c:strRef>
          </c:cat>
          <c:val>
            <c:numRef>
              <c:f>SyC!$G$282:$G$287</c:f>
              <c:numCache>
                <c:formatCode>0</c:formatCode>
                <c:ptCount val="6"/>
                <c:pt idx="0">
                  <c:v>50.8125</c:v>
                </c:pt>
                <c:pt idx="1">
                  <c:v>52.421052631578945</c:v>
                </c:pt>
                <c:pt idx="2">
                  <c:v>52.588235294117645</c:v>
                </c:pt>
                <c:pt idx="3">
                  <c:v>50.266666666666666</c:v>
                </c:pt>
                <c:pt idx="4">
                  <c:v>54.117647058823529</c:v>
                </c:pt>
                <c:pt idx="5">
                  <c:v>50.6</c:v>
                </c:pt>
              </c:numCache>
            </c:numRef>
          </c:val>
          <c:extLst>
            <c:ext xmlns:c16="http://schemas.microsoft.com/office/drawing/2014/chart" uri="{C3380CC4-5D6E-409C-BE32-E72D297353CC}">
              <c16:uniqueId val="{00000001-6FF0-4DC3-B973-4582DD3ABCD4}"/>
            </c:ext>
          </c:extLst>
        </c:ser>
        <c:ser>
          <c:idx val="2"/>
          <c:order val="2"/>
          <c:tx>
            <c:strRef>
              <c:f>SyC!$H$281</c:f>
              <c:strCache>
                <c:ptCount val="1"/>
                <c:pt idx="0">
                  <c:v>2018</c:v>
                </c:pt>
              </c:strCache>
            </c:strRef>
          </c:tx>
          <c:spPr>
            <a:ln>
              <a:prstDash val="sysDash"/>
            </a:ln>
          </c:spPr>
          <c:cat>
            <c:strRef>
              <c:f>SyC!$E$282:$E$287</c:f>
              <c:strCache>
                <c:ptCount val="6"/>
                <c:pt idx="0">
                  <c:v>COMUNA 1</c:v>
                </c:pt>
                <c:pt idx="1">
                  <c:v>COMUNA 2</c:v>
                </c:pt>
                <c:pt idx="2">
                  <c:v>COMUNA 3</c:v>
                </c:pt>
                <c:pt idx="3">
                  <c:v>COMUNA 4</c:v>
                </c:pt>
                <c:pt idx="4">
                  <c:v>COMUNA 5</c:v>
                </c:pt>
                <c:pt idx="5">
                  <c:v>COMUNA 6</c:v>
                </c:pt>
              </c:strCache>
            </c:strRef>
          </c:cat>
          <c:val>
            <c:numRef>
              <c:f>SyC!$H$282:$H$287</c:f>
              <c:numCache>
                <c:formatCode>0</c:formatCode>
                <c:ptCount val="6"/>
                <c:pt idx="0">
                  <c:v>48.882352941176471</c:v>
                </c:pt>
                <c:pt idx="1">
                  <c:v>50.684210526315788</c:v>
                </c:pt>
                <c:pt idx="2">
                  <c:v>51.176470588235297</c:v>
                </c:pt>
                <c:pt idx="3">
                  <c:v>47.93333333333333</c:v>
                </c:pt>
                <c:pt idx="4">
                  <c:v>52.555555555555557</c:v>
                </c:pt>
                <c:pt idx="5">
                  <c:v>50.571428571428569</c:v>
                </c:pt>
              </c:numCache>
            </c:numRef>
          </c:val>
          <c:extLst>
            <c:ext xmlns:c16="http://schemas.microsoft.com/office/drawing/2014/chart" uri="{C3380CC4-5D6E-409C-BE32-E72D297353CC}">
              <c16:uniqueId val="{00000002-6FF0-4DC3-B973-4582DD3ABCD4}"/>
            </c:ext>
          </c:extLst>
        </c:ser>
        <c:ser>
          <c:idx val="3"/>
          <c:order val="3"/>
          <c:tx>
            <c:strRef>
              <c:f>SyC!$I$281</c:f>
              <c:strCache>
                <c:ptCount val="1"/>
                <c:pt idx="0">
                  <c:v>2019</c:v>
                </c:pt>
              </c:strCache>
            </c:strRef>
          </c:tx>
          <c:cat>
            <c:strRef>
              <c:f>SyC!$E$282:$E$287</c:f>
              <c:strCache>
                <c:ptCount val="6"/>
                <c:pt idx="0">
                  <c:v>COMUNA 1</c:v>
                </c:pt>
                <c:pt idx="1">
                  <c:v>COMUNA 2</c:v>
                </c:pt>
                <c:pt idx="2">
                  <c:v>COMUNA 3</c:v>
                </c:pt>
                <c:pt idx="3">
                  <c:v>COMUNA 4</c:v>
                </c:pt>
                <c:pt idx="4">
                  <c:v>COMUNA 5</c:v>
                </c:pt>
                <c:pt idx="5">
                  <c:v>COMUNA 6</c:v>
                </c:pt>
              </c:strCache>
            </c:strRef>
          </c:cat>
          <c:val>
            <c:numRef>
              <c:f>SyC!$I$282:$I$287</c:f>
              <c:numCache>
                <c:formatCode>0</c:formatCode>
                <c:ptCount val="6"/>
                <c:pt idx="0">
                  <c:v>46.941176470588232</c:v>
                </c:pt>
                <c:pt idx="1">
                  <c:v>49.65</c:v>
                </c:pt>
                <c:pt idx="2">
                  <c:v>48.705882352941174</c:v>
                </c:pt>
                <c:pt idx="3">
                  <c:v>45.785714285714285</c:v>
                </c:pt>
                <c:pt idx="4">
                  <c:v>50.421052631578945</c:v>
                </c:pt>
                <c:pt idx="5">
                  <c:v>49.2</c:v>
                </c:pt>
              </c:numCache>
            </c:numRef>
          </c:val>
          <c:extLst>
            <c:ext xmlns:c16="http://schemas.microsoft.com/office/drawing/2014/chart" uri="{C3380CC4-5D6E-409C-BE32-E72D297353CC}">
              <c16:uniqueId val="{00000003-6FF0-4DC3-B973-4582DD3ABCD4}"/>
            </c:ext>
          </c:extLst>
        </c:ser>
        <c:ser>
          <c:idx val="4"/>
          <c:order val="4"/>
          <c:tx>
            <c:strRef>
              <c:f>SyC!$J$281</c:f>
              <c:strCache>
                <c:ptCount val="1"/>
                <c:pt idx="0">
                  <c:v>2020</c:v>
                </c:pt>
              </c:strCache>
            </c:strRef>
          </c:tx>
          <c:cat>
            <c:strRef>
              <c:f>SyC!$E$282:$E$287</c:f>
              <c:strCache>
                <c:ptCount val="6"/>
                <c:pt idx="0">
                  <c:v>COMUNA 1</c:v>
                </c:pt>
                <c:pt idx="1">
                  <c:v>COMUNA 2</c:v>
                </c:pt>
                <c:pt idx="2">
                  <c:v>COMUNA 3</c:v>
                </c:pt>
                <c:pt idx="3">
                  <c:v>COMUNA 4</c:v>
                </c:pt>
                <c:pt idx="4">
                  <c:v>COMUNA 5</c:v>
                </c:pt>
                <c:pt idx="5">
                  <c:v>COMUNA 6</c:v>
                </c:pt>
              </c:strCache>
            </c:strRef>
          </c:cat>
          <c:val>
            <c:numRef>
              <c:f>SyC!$J$282:$J$287</c:f>
              <c:numCache>
                <c:formatCode>0</c:formatCode>
                <c:ptCount val="6"/>
                <c:pt idx="0">
                  <c:v>50.058823529411768</c:v>
                </c:pt>
                <c:pt idx="1">
                  <c:v>51.083333333333336</c:v>
                </c:pt>
                <c:pt idx="2">
                  <c:v>51.578947368421055</c:v>
                </c:pt>
                <c:pt idx="3">
                  <c:v>46.692307692307693</c:v>
                </c:pt>
                <c:pt idx="4">
                  <c:v>53.777777777777779</c:v>
                </c:pt>
                <c:pt idx="5">
                  <c:v>49.588235294117645</c:v>
                </c:pt>
              </c:numCache>
            </c:numRef>
          </c:val>
          <c:extLst>
            <c:ext xmlns:c16="http://schemas.microsoft.com/office/drawing/2014/chart" uri="{C3380CC4-5D6E-409C-BE32-E72D297353CC}">
              <c16:uniqueId val="{00000001-B9F6-4279-8107-9D79A57E0273}"/>
            </c:ext>
          </c:extLst>
        </c:ser>
        <c:ser>
          <c:idx val="5"/>
          <c:order val="5"/>
          <c:tx>
            <c:strRef>
              <c:f>SyC!$K$281</c:f>
              <c:strCache>
                <c:ptCount val="1"/>
                <c:pt idx="0">
                  <c:v>2021</c:v>
                </c:pt>
              </c:strCache>
            </c:strRef>
          </c:tx>
          <c:cat>
            <c:strRef>
              <c:f>SyC!$E$282:$E$287</c:f>
              <c:strCache>
                <c:ptCount val="6"/>
                <c:pt idx="0">
                  <c:v>COMUNA 1</c:v>
                </c:pt>
                <c:pt idx="1">
                  <c:v>COMUNA 2</c:v>
                </c:pt>
                <c:pt idx="2">
                  <c:v>COMUNA 3</c:v>
                </c:pt>
                <c:pt idx="3">
                  <c:v>COMUNA 4</c:v>
                </c:pt>
                <c:pt idx="4">
                  <c:v>COMUNA 5</c:v>
                </c:pt>
                <c:pt idx="5">
                  <c:v>COMUNA 6</c:v>
                </c:pt>
              </c:strCache>
            </c:strRef>
          </c:cat>
          <c:val>
            <c:numRef>
              <c:f>SyC!$K$282:$K$287</c:f>
              <c:numCache>
                <c:formatCode>0</c:formatCode>
                <c:ptCount val="6"/>
                <c:pt idx="0">
                  <c:v>50.058823529411768</c:v>
                </c:pt>
                <c:pt idx="1">
                  <c:v>51.083333333333336</c:v>
                </c:pt>
                <c:pt idx="2">
                  <c:v>51.578947368421055</c:v>
                </c:pt>
                <c:pt idx="3">
                  <c:v>46.692307692307693</c:v>
                </c:pt>
                <c:pt idx="4">
                  <c:v>53.777777777777779</c:v>
                </c:pt>
                <c:pt idx="5">
                  <c:v>49.588235294117645</c:v>
                </c:pt>
              </c:numCache>
            </c:numRef>
          </c:val>
          <c:extLst>
            <c:ext xmlns:c16="http://schemas.microsoft.com/office/drawing/2014/chart" uri="{C3380CC4-5D6E-409C-BE32-E72D297353CC}">
              <c16:uniqueId val="{00000000-E77B-48C2-BF8E-39EDC2786495}"/>
            </c:ext>
          </c:extLst>
        </c:ser>
        <c:ser>
          <c:idx val="6"/>
          <c:order val="6"/>
          <c:tx>
            <c:strRef>
              <c:f>SyC!$L$281</c:f>
              <c:strCache>
                <c:ptCount val="1"/>
                <c:pt idx="0">
                  <c:v>2022</c:v>
                </c:pt>
              </c:strCache>
            </c:strRef>
          </c:tx>
          <c:cat>
            <c:strRef>
              <c:f>SyC!$E$282:$E$287</c:f>
              <c:strCache>
                <c:ptCount val="6"/>
                <c:pt idx="0">
                  <c:v>COMUNA 1</c:v>
                </c:pt>
                <c:pt idx="1">
                  <c:v>COMUNA 2</c:v>
                </c:pt>
                <c:pt idx="2">
                  <c:v>COMUNA 3</c:v>
                </c:pt>
                <c:pt idx="3">
                  <c:v>COMUNA 4</c:v>
                </c:pt>
                <c:pt idx="4">
                  <c:v>COMUNA 5</c:v>
                </c:pt>
                <c:pt idx="5">
                  <c:v>COMUNA 6</c:v>
                </c:pt>
              </c:strCache>
            </c:strRef>
          </c:cat>
          <c:val>
            <c:numRef>
              <c:f>SyC!$L$282:$L$287</c:f>
              <c:numCache>
                <c:formatCode>0</c:formatCode>
                <c:ptCount val="6"/>
                <c:pt idx="0">
                  <c:v>49.388888888888886</c:v>
                </c:pt>
                <c:pt idx="1">
                  <c:v>51.08</c:v>
                </c:pt>
                <c:pt idx="2">
                  <c:v>51.863636363636367</c:v>
                </c:pt>
                <c:pt idx="3">
                  <c:v>47.214285714285715</c:v>
                </c:pt>
                <c:pt idx="4">
                  <c:v>53.352941176470587</c:v>
                </c:pt>
                <c:pt idx="5">
                  <c:v>49.736842105263158</c:v>
                </c:pt>
              </c:numCache>
            </c:numRef>
          </c:val>
          <c:extLst>
            <c:ext xmlns:c16="http://schemas.microsoft.com/office/drawing/2014/chart" uri="{C3380CC4-5D6E-409C-BE32-E72D297353CC}">
              <c16:uniqueId val="{00000000-7138-4799-AF03-004EDD5E4386}"/>
            </c:ext>
          </c:extLst>
        </c:ser>
        <c:ser>
          <c:idx val="7"/>
          <c:order val="7"/>
          <c:tx>
            <c:strRef>
              <c:f>SyC!$M$281</c:f>
              <c:strCache>
                <c:ptCount val="1"/>
                <c:pt idx="0">
                  <c:v>2023</c:v>
                </c:pt>
              </c:strCache>
            </c:strRef>
          </c:tx>
          <c:cat>
            <c:strRef>
              <c:f>SyC!$E$282:$E$287</c:f>
              <c:strCache>
                <c:ptCount val="6"/>
                <c:pt idx="0">
                  <c:v>COMUNA 1</c:v>
                </c:pt>
                <c:pt idx="1">
                  <c:v>COMUNA 2</c:v>
                </c:pt>
                <c:pt idx="2">
                  <c:v>COMUNA 3</c:v>
                </c:pt>
                <c:pt idx="3">
                  <c:v>COMUNA 4</c:v>
                </c:pt>
                <c:pt idx="4">
                  <c:v>COMUNA 5</c:v>
                </c:pt>
                <c:pt idx="5">
                  <c:v>COMUNA 6</c:v>
                </c:pt>
              </c:strCache>
            </c:strRef>
          </c:cat>
          <c:val>
            <c:numRef>
              <c:f>SyC!$M$282:$M$287</c:f>
              <c:numCache>
                <c:formatCode>0</c:formatCode>
                <c:ptCount val="6"/>
                <c:pt idx="0">
                  <c:v>50.058823529411768</c:v>
                </c:pt>
                <c:pt idx="1">
                  <c:v>51.5</c:v>
                </c:pt>
                <c:pt idx="2">
                  <c:v>51.409090909090907</c:v>
                </c:pt>
                <c:pt idx="3">
                  <c:v>46.733333333333334</c:v>
                </c:pt>
                <c:pt idx="4">
                  <c:v>53.647058823529413</c:v>
                </c:pt>
                <c:pt idx="5">
                  <c:v>51.15</c:v>
                </c:pt>
              </c:numCache>
            </c:numRef>
          </c:val>
          <c:extLst>
            <c:ext xmlns:c16="http://schemas.microsoft.com/office/drawing/2014/chart" uri="{C3380CC4-5D6E-409C-BE32-E72D297353CC}">
              <c16:uniqueId val="{00000001-7138-4799-AF03-004EDD5E4386}"/>
            </c:ext>
          </c:extLst>
        </c:ser>
        <c:ser>
          <c:idx val="8"/>
          <c:order val="8"/>
          <c:tx>
            <c:strRef>
              <c:f>SyC!$N$281</c:f>
              <c:strCache>
                <c:ptCount val="1"/>
                <c:pt idx="0">
                  <c:v>2024</c:v>
                </c:pt>
              </c:strCache>
            </c:strRef>
          </c:tx>
          <c:cat>
            <c:strRef>
              <c:f>SyC!$E$282:$E$287</c:f>
              <c:strCache>
                <c:ptCount val="6"/>
                <c:pt idx="0">
                  <c:v>COMUNA 1</c:v>
                </c:pt>
                <c:pt idx="1">
                  <c:v>COMUNA 2</c:v>
                </c:pt>
                <c:pt idx="2">
                  <c:v>COMUNA 3</c:v>
                </c:pt>
                <c:pt idx="3">
                  <c:v>COMUNA 4</c:v>
                </c:pt>
                <c:pt idx="4">
                  <c:v>COMUNA 5</c:v>
                </c:pt>
                <c:pt idx="5">
                  <c:v>COMUNA 6</c:v>
                </c:pt>
              </c:strCache>
            </c:strRef>
          </c:cat>
          <c:val>
            <c:numRef>
              <c:f>SyC!$N$282:$N$287</c:f>
              <c:numCache>
                <c:formatCode>0</c:formatCode>
                <c:ptCount val="6"/>
                <c:pt idx="0">
                  <c:v>49.777777777777779</c:v>
                </c:pt>
                <c:pt idx="1">
                  <c:v>51.583333333333336</c:v>
                </c:pt>
                <c:pt idx="2">
                  <c:v>51.18181818181818</c:v>
                </c:pt>
                <c:pt idx="3">
                  <c:v>48.07692307692308</c:v>
                </c:pt>
                <c:pt idx="4">
                  <c:v>52.166666666666664</c:v>
                </c:pt>
                <c:pt idx="5">
                  <c:v>50.611111111111114</c:v>
                </c:pt>
              </c:numCache>
            </c:numRef>
          </c:val>
          <c:extLst>
            <c:ext xmlns:c16="http://schemas.microsoft.com/office/drawing/2014/chart" uri="{C3380CC4-5D6E-409C-BE32-E72D297353CC}">
              <c16:uniqueId val="{00000000-9C58-42FD-89C8-0BD7356F0BFE}"/>
            </c:ext>
          </c:extLst>
        </c:ser>
        <c:dLbls>
          <c:showLegendKey val="0"/>
          <c:showVal val="0"/>
          <c:showCatName val="0"/>
          <c:showSerName val="0"/>
          <c:showPercent val="0"/>
          <c:showBubbleSize val="0"/>
        </c:dLbls>
        <c:axId val="38807040"/>
        <c:axId val="38808576"/>
      </c:radarChart>
      <c:catAx>
        <c:axId val="38807040"/>
        <c:scaling>
          <c:orientation val="minMax"/>
        </c:scaling>
        <c:delete val="0"/>
        <c:axPos val="b"/>
        <c:majorGridlines/>
        <c:numFmt formatCode="General" sourceLinked="0"/>
        <c:majorTickMark val="none"/>
        <c:minorTickMark val="none"/>
        <c:tickLblPos val="nextTo"/>
        <c:spPr>
          <a:ln w="9525">
            <a:noFill/>
          </a:ln>
        </c:spPr>
        <c:crossAx val="38808576"/>
        <c:crosses val="autoZero"/>
        <c:auto val="1"/>
        <c:lblAlgn val="ctr"/>
        <c:lblOffset val="100"/>
        <c:noMultiLvlLbl val="0"/>
      </c:catAx>
      <c:valAx>
        <c:axId val="38808576"/>
        <c:scaling>
          <c:orientation val="minMax"/>
          <c:max val="56"/>
          <c:min val="45"/>
        </c:scaling>
        <c:delete val="0"/>
        <c:axPos val="l"/>
        <c:majorGridlines/>
        <c:numFmt formatCode="0" sourceLinked="1"/>
        <c:majorTickMark val="none"/>
        <c:minorTickMark val="none"/>
        <c:tickLblPos val="nextTo"/>
        <c:crossAx val="38807040"/>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a:defRPr/>
            </a:pPr>
            <a:r>
              <a:rPr lang="es-CO" sz="1400" b="1" i="0" baseline="0">
                <a:effectLst/>
              </a:rPr>
              <a:t>Resultados Sociales y Ciudadanas Instituciones Oficiales por Comunas 2016-2024</a:t>
            </a:r>
            <a:endParaRPr lang="es-CO" sz="1400">
              <a:effectLst/>
            </a:endParaRPr>
          </a:p>
        </c:rich>
      </c:tx>
      <c:overlay val="0"/>
    </c:title>
    <c:autoTitleDeleted val="0"/>
    <c:plotArea>
      <c:layout/>
      <c:radarChart>
        <c:radarStyle val="marker"/>
        <c:varyColors val="0"/>
        <c:ser>
          <c:idx val="0"/>
          <c:order val="0"/>
          <c:tx>
            <c:strRef>
              <c:f>SyC!$U$202</c:f>
              <c:strCache>
                <c:ptCount val="1"/>
                <c:pt idx="0">
                  <c:v>2016</c:v>
                </c:pt>
              </c:strCache>
            </c:strRef>
          </c:tx>
          <c:spPr>
            <a:ln>
              <a:prstDash val="lgDashDot"/>
            </a:ln>
          </c:spPr>
          <c:cat>
            <c:strRef>
              <c:f>SyC!$T$203:$T$208</c:f>
              <c:strCache>
                <c:ptCount val="6"/>
                <c:pt idx="0">
                  <c:v>COMUNA 1</c:v>
                </c:pt>
                <c:pt idx="1">
                  <c:v>COMUNA 2</c:v>
                </c:pt>
                <c:pt idx="2">
                  <c:v>COMUNA 3</c:v>
                </c:pt>
                <c:pt idx="3">
                  <c:v>COMUNA 4</c:v>
                </c:pt>
                <c:pt idx="4">
                  <c:v>COMUNA 5</c:v>
                </c:pt>
                <c:pt idx="5">
                  <c:v>COMUNA 6</c:v>
                </c:pt>
              </c:strCache>
            </c:strRef>
          </c:cat>
          <c:val>
            <c:numRef>
              <c:f>SyC!$U$203:$U$208</c:f>
              <c:numCache>
                <c:formatCode>0</c:formatCode>
                <c:ptCount val="6"/>
                <c:pt idx="0">
                  <c:v>50.75</c:v>
                </c:pt>
                <c:pt idx="1">
                  <c:v>52</c:v>
                </c:pt>
                <c:pt idx="2">
                  <c:v>50.666666666666664</c:v>
                </c:pt>
                <c:pt idx="3">
                  <c:v>47.166666666666664</c:v>
                </c:pt>
                <c:pt idx="4">
                  <c:v>52</c:v>
                </c:pt>
                <c:pt idx="5">
                  <c:v>50.666666666666664</c:v>
                </c:pt>
              </c:numCache>
            </c:numRef>
          </c:val>
          <c:extLst>
            <c:ext xmlns:c16="http://schemas.microsoft.com/office/drawing/2014/chart" uri="{C3380CC4-5D6E-409C-BE32-E72D297353CC}">
              <c16:uniqueId val="{00000000-F7EE-486F-87F6-687CEB1BD33C}"/>
            </c:ext>
          </c:extLst>
        </c:ser>
        <c:ser>
          <c:idx val="1"/>
          <c:order val="1"/>
          <c:tx>
            <c:strRef>
              <c:f>SyC!$V$202</c:f>
              <c:strCache>
                <c:ptCount val="1"/>
                <c:pt idx="0">
                  <c:v>2017</c:v>
                </c:pt>
              </c:strCache>
            </c:strRef>
          </c:tx>
          <c:cat>
            <c:strRef>
              <c:f>SyC!$T$203:$T$208</c:f>
              <c:strCache>
                <c:ptCount val="6"/>
                <c:pt idx="0">
                  <c:v>COMUNA 1</c:v>
                </c:pt>
                <c:pt idx="1">
                  <c:v>COMUNA 2</c:v>
                </c:pt>
                <c:pt idx="2">
                  <c:v>COMUNA 3</c:v>
                </c:pt>
                <c:pt idx="3">
                  <c:v>COMUNA 4</c:v>
                </c:pt>
                <c:pt idx="4">
                  <c:v>COMUNA 5</c:v>
                </c:pt>
                <c:pt idx="5">
                  <c:v>COMUNA 6</c:v>
                </c:pt>
              </c:strCache>
            </c:strRef>
          </c:cat>
          <c:val>
            <c:numRef>
              <c:f>SyC!$V$203:$V$208</c:f>
              <c:numCache>
                <c:formatCode>0</c:formatCode>
                <c:ptCount val="6"/>
                <c:pt idx="0">
                  <c:v>51.5</c:v>
                </c:pt>
                <c:pt idx="1">
                  <c:v>51</c:v>
                </c:pt>
                <c:pt idx="2">
                  <c:v>50.666666666666664</c:v>
                </c:pt>
                <c:pt idx="3">
                  <c:v>47.5</c:v>
                </c:pt>
                <c:pt idx="4">
                  <c:v>50</c:v>
                </c:pt>
                <c:pt idx="5">
                  <c:v>50</c:v>
                </c:pt>
              </c:numCache>
            </c:numRef>
          </c:val>
          <c:extLst>
            <c:ext xmlns:c16="http://schemas.microsoft.com/office/drawing/2014/chart" uri="{C3380CC4-5D6E-409C-BE32-E72D297353CC}">
              <c16:uniqueId val="{00000001-F7EE-486F-87F6-687CEB1BD33C}"/>
            </c:ext>
          </c:extLst>
        </c:ser>
        <c:ser>
          <c:idx val="2"/>
          <c:order val="2"/>
          <c:tx>
            <c:strRef>
              <c:f>SyC!$W$202</c:f>
              <c:strCache>
                <c:ptCount val="1"/>
                <c:pt idx="0">
                  <c:v>2018</c:v>
                </c:pt>
              </c:strCache>
            </c:strRef>
          </c:tx>
          <c:spPr>
            <a:ln>
              <a:prstDash val="sysDash"/>
            </a:ln>
          </c:spPr>
          <c:cat>
            <c:strRef>
              <c:f>SyC!$T$203:$T$208</c:f>
              <c:strCache>
                <c:ptCount val="6"/>
                <c:pt idx="0">
                  <c:v>COMUNA 1</c:v>
                </c:pt>
                <c:pt idx="1">
                  <c:v>COMUNA 2</c:v>
                </c:pt>
                <c:pt idx="2">
                  <c:v>COMUNA 3</c:v>
                </c:pt>
                <c:pt idx="3">
                  <c:v>COMUNA 4</c:v>
                </c:pt>
                <c:pt idx="4">
                  <c:v>COMUNA 5</c:v>
                </c:pt>
                <c:pt idx="5">
                  <c:v>COMUNA 6</c:v>
                </c:pt>
              </c:strCache>
            </c:strRef>
          </c:cat>
          <c:val>
            <c:numRef>
              <c:f>SyC!$W$203:$W$208</c:f>
              <c:numCache>
                <c:formatCode>0</c:formatCode>
                <c:ptCount val="6"/>
                <c:pt idx="0">
                  <c:v>48.25</c:v>
                </c:pt>
                <c:pt idx="1">
                  <c:v>49</c:v>
                </c:pt>
                <c:pt idx="2">
                  <c:v>49.666666666666664</c:v>
                </c:pt>
                <c:pt idx="3">
                  <c:v>45.166666666666664</c:v>
                </c:pt>
                <c:pt idx="4">
                  <c:v>48</c:v>
                </c:pt>
                <c:pt idx="5">
                  <c:v>47.666666666666664</c:v>
                </c:pt>
              </c:numCache>
            </c:numRef>
          </c:val>
          <c:extLst>
            <c:ext xmlns:c16="http://schemas.microsoft.com/office/drawing/2014/chart" uri="{C3380CC4-5D6E-409C-BE32-E72D297353CC}">
              <c16:uniqueId val="{00000002-F7EE-486F-87F6-687CEB1BD33C}"/>
            </c:ext>
          </c:extLst>
        </c:ser>
        <c:ser>
          <c:idx val="3"/>
          <c:order val="3"/>
          <c:tx>
            <c:strRef>
              <c:f>SyC!$X$202</c:f>
              <c:strCache>
                <c:ptCount val="1"/>
                <c:pt idx="0">
                  <c:v>2019</c:v>
                </c:pt>
              </c:strCache>
            </c:strRef>
          </c:tx>
          <c:cat>
            <c:strRef>
              <c:f>SyC!$T$203:$T$208</c:f>
              <c:strCache>
                <c:ptCount val="6"/>
                <c:pt idx="0">
                  <c:v>COMUNA 1</c:v>
                </c:pt>
                <c:pt idx="1">
                  <c:v>COMUNA 2</c:v>
                </c:pt>
                <c:pt idx="2">
                  <c:v>COMUNA 3</c:v>
                </c:pt>
                <c:pt idx="3">
                  <c:v>COMUNA 4</c:v>
                </c:pt>
                <c:pt idx="4">
                  <c:v>COMUNA 5</c:v>
                </c:pt>
                <c:pt idx="5">
                  <c:v>COMUNA 6</c:v>
                </c:pt>
              </c:strCache>
            </c:strRef>
          </c:cat>
          <c:val>
            <c:numRef>
              <c:f>SyC!$X$203:$X$208</c:f>
              <c:numCache>
                <c:formatCode>0</c:formatCode>
                <c:ptCount val="6"/>
                <c:pt idx="0">
                  <c:v>47.25</c:v>
                </c:pt>
                <c:pt idx="1">
                  <c:v>48</c:v>
                </c:pt>
                <c:pt idx="2">
                  <c:v>46.333333333333336</c:v>
                </c:pt>
                <c:pt idx="3">
                  <c:v>43</c:v>
                </c:pt>
                <c:pt idx="4">
                  <c:v>47.5</c:v>
                </c:pt>
                <c:pt idx="5">
                  <c:v>46.666666666666664</c:v>
                </c:pt>
              </c:numCache>
            </c:numRef>
          </c:val>
          <c:extLst>
            <c:ext xmlns:c16="http://schemas.microsoft.com/office/drawing/2014/chart" uri="{C3380CC4-5D6E-409C-BE32-E72D297353CC}">
              <c16:uniqueId val="{00000003-F7EE-486F-87F6-687CEB1BD33C}"/>
            </c:ext>
          </c:extLst>
        </c:ser>
        <c:ser>
          <c:idx val="4"/>
          <c:order val="4"/>
          <c:tx>
            <c:strRef>
              <c:f>SyC!$Y$202</c:f>
              <c:strCache>
                <c:ptCount val="1"/>
                <c:pt idx="0">
                  <c:v>2020</c:v>
                </c:pt>
              </c:strCache>
            </c:strRef>
          </c:tx>
          <c:cat>
            <c:strRef>
              <c:f>SyC!$T$203:$T$208</c:f>
              <c:strCache>
                <c:ptCount val="6"/>
                <c:pt idx="0">
                  <c:v>COMUNA 1</c:v>
                </c:pt>
                <c:pt idx="1">
                  <c:v>COMUNA 2</c:v>
                </c:pt>
                <c:pt idx="2">
                  <c:v>COMUNA 3</c:v>
                </c:pt>
                <c:pt idx="3">
                  <c:v>COMUNA 4</c:v>
                </c:pt>
                <c:pt idx="4">
                  <c:v>COMUNA 5</c:v>
                </c:pt>
                <c:pt idx="5">
                  <c:v>COMUNA 6</c:v>
                </c:pt>
              </c:strCache>
            </c:strRef>
          </c:cat>
          <c:val>
            <c:numRef>
              <c:f>SyC!$Y$203:$Y$208</c:f>
              <c:numCache>
                <c:formatCode>0</c:formatCode>
                <c:ptCount val="6"/>
                <c:pt idx="0">
                  <c:v>49.75</c:v>
                </c:pt>
                <c:pt idx="1">
                  <c:v>50</c:v>
                </c:pt>
                <c:pt idx="2">
                  <c:v>49.25</c:v>
                </c:pt>
                <c:pt idx="3">
                  <c:v>45.333333333333336</c:v>
                </c:pt>
                <c:pt idx="4">
                  <c:v>49.5</c:v>
                </c:pt>
                <c:pt idx="5">
                  <c:v>48.666666666666664</c:v>
                </c:pt>
              </c:numCache>
            </c:numRef>
          </c:val>
          <c:extLst>
            <c:ext xmlns:c16="http://schemas.microsoft.com/office/drawing/2014/chart" uri="{C3380CC4-5D6E-409C-BE32-E72D297353CC}">
              <c16:uniqueId val="{00000001-90C1-4BCC-AC67-43A5E24B21E5}"/>
            </c:ext>
          </c:extLst>
        </c:ser>
        <c:ser>
          <c:idx val="5"/>
          <c:order val="5"/>
          <c:tx>
            <c:strRef>
              <c:f>SyC!$Z$202</c:f>
              <c:strCache>
                <c:ptCount val="1"/>
                <c:pt idx="0">
                  <c:v>2021</c:v>
                </c:pt>
              </c:strCache>
            </c:strRef>
          </c:tx>
          <c:cat>
            <c:strRef>
              <c:f>SyC!$T$203:$T$208</c:f>
              <c:strCache>
                <c:ptCount val="6"/>
                <c:pt idx="0">
                  <c:v>COMUNA 1</c:v>
                </c:pt>
                <c:pt idx="1">
                  <c:v>COMUNA 2</c:v>
                </c:pt>
                <c:pt idx="2">
                  <c:v>COMUNA 3</c:v>
                </c:pt>
                <c:pt idx="3">
                  <c:v>COMUNA 4</c:v>
                </c:pt>
                <c:pt idx="4">
                  <c:v>COMUNA 5</c:v>
                </c:pt>
                <c:pt idx="5">
                  <c:v>COMUNA 6</c:v>
                </c:pt>
              </c:strCache>
            </c:strRef>
          </c:cat>
          <c:val>
            <c:numRef>
              <c:f>SyC!$Z$203:$Z$208</c:f>
              <c:numCache>
                <c:formatCode>0</c:formatCode>
                <c:ptCount val="6"/>
                <c:pt idx="0">
                  <c:v>47.5</c:v>
                </c:pt>
                <c:pt idx="1">
                  <c:v>48.5</c:v>
                </c:pt>
                <c:pt idx="2">
                  <c:v>47.6</c:v>
                </c:pt>
                <c:pt idx="3">
                  <c:v>44</c:v>
                </c:pt>
                <c:pt idx="4">
                  <c:v>48</c:v>
                </c:pt>
                <c:pt idx="5">
                  <c:v>46.666666666666664</c:v>
                </c:pt>
              </c:numCache>
            </c:numRef>
          </c:val>
          <c:extLst>
            <c:ext xmlns:c16="http://schemas.microsoft.com/office/drawing/2014/chart" uri="{C3380CC4-5D6E-409C-BE32-E72D297353CC}">
              <c16:uniqueId val="{00000000-EF1E-4CE5-B7D0-E0ECA1CFC172}"/>
            </c:ext>
          </c:extLst>
        </c:ser>
        <c:ser>
          <c:idx val="6"/>
          <c:order val="6"/>
          <c:tx>
            <c:strRef>
              <c:f>SyC!$AA$202</c:f>
              <c:strCache>
                <c:ptCount val="1"/>
                <c:pt idx="0">
                  <c:v>2022</c:v>
                </c:pt>
              </c:strCache>
            </c:strRef>
          </c:tx>
          <c:cat>
            <c:strRef>
              <c:f>SyC!$T$203:$T$208</c:f>
              <c:strCache>
                <c:ptCount val="6"/>
                <c:pt idx="0">
                  <c:v>COMUNA 1</c:v>
                </c:pt>
                <c:pt idx="1">
                  <c:v>COMUNA 2</c:v>
                </c:pt>
                <c:pt idx="2">
                  <c:v>COMUNA 3</c:v>
                </c:pt>
                <c:pt idx="3">
                  <c:v>COMUNA 4</c:v>
                </c:pt>
                <c:pt idx="4">
                  <c:v>COMUNA 5</c:v>
                </c:pt>
                <c:pt idx="5">
                  <c:v>COMUNA 6</c:v>
                </c:pt>
              </c:strCache>
            </c:strRef>
          </c:cat>
          <c:val>
            <c:numRef>
              <c:f>SyC!$AA$203:$AA$208</c:f>
              <c:numCache>
                <c:formatCode>0</c:formatCode>
                <c:ptCount val="6"/>
                <c:pt idx="0">
                  <c:v>48.2</c:v>
                </c:pt>
                <c:pt idx="1">
                  <c:v>48.5</c:v>
                </c:pt>
                <c:pt idx="2">
                  <c:v>49.333333333333336</c:v>
                </c:pt>
                <c:pt idx="3">
                  <c:v>45</c:v>
                </c:pt>
                <c:pt idx="4">
                  <c:v>50</c:v>
                </c:pt>
                <c:pt idx="5">
                  <c:v>47</c:v>
                </c:pt>
              </c:numCache>
            </c:numRef>
          </c:val>
          <c:extLst>
            <c:ext xmlns:c16="http://schemas.microsoft.com/office/drawing/2014/chart" uri="{C3380CC4-5D6E-409C-BE32-E72D297353CC}">
              <c16:uniqueId val="{00000000-0E50-4C14-A98D-D60DD6D8679A}"/>
            </c:ext>
          </c:extLst>
        </c:ser>
        <c:ser>
          <c:idx val="7"/>
          <c:order val="7"/>
          <c:tx>
            <c:strRef>
              <c:f>SyC!$AB$202</c:f>
              <c:strCache>
                <c:ptCount val="1"/>
                <c:pt idx="0">
                  <c:v>2023</c:v>
                </c:pt>
              </c:strCache>
            </c:strRef>
          </c:tx>
          <c:cat>
            <c:strRef>
              <c:f>SyC!$T$203:$T$208</c:f>
              <c:strCache>
                <c:ptCount val="6"/>
                <c:pt idx="0">
                  <c:v>COMUNA 1</c:v>
                </c:pt>
                <c:pt idx="1">
                  <c:v>COMUNA 2</c:v>
                </c:pt>
                <c:pt idx="2">
                  <c:v>COMUNA 3</c:v>
                </c:pt>
                <c:pt idx="3">
                  <c:v>COMUNA 4</c:v>
                </c:pt>
                <c:pt idx="4">
                  <c:v>COMUNA 5</c:v>
                </c:pt>
                <c:pt idx="5">
                  <c:v>COMUNA 6</c:v>
                </c:pt>
              </c:strCache>
            </c:strRef>
          </c:cat>
          <c:val>
            <c:numRef>
              <c:f>SyC!$AB$203:$AB$208</c:f>
              <c:numCache>
                <c:formatCode>0</c:formatCode>
                <c:ptCount val="6"/>
                <c:pt idx="0">
                  <c:v>48.2</c:v>
                </c:pt>
                <c:pt idx="1">
                  <c:v>49</c:v>
                </c:pt>
                <c:pt idx="2">
                  <c:v>49.666666666666664</c:v>
                </c:pt>
                <c:pt idx="3">
                  <c:v>45.5</c:v>
                </c:pt>
                <c:pt idx="4">
                  <c:v>49.5</c:v>
                </c:pt>
                <c:pt idx="5">
                  <c:v>47.333333333333336</c:v>
                </c:pt>
              </c:numCache>
            </c:numRef>
          </c:val>
          <c:extLst>
            <c:ext xmlns:c16="http://schemas.microsoft.com/office/drawing/2014/chart" uri="{C3380CC4-5D6E-409C-BE32-E72D297353CC}">
              <c16:uniqueId val="{00000001-0E50-4C14-A98D-D60DD6D8679A}"/>
            </c:ext>
          </c:extLst>
        </c:ser>
        <c:ser>
          <c:idx val="8"/>
          <c:order val="8"/>
          <c:tx>
            <c:strRef>
              <c:f>SyC!$AC$202</c:f>
              <c:strCache>
                <c:ptCount val="1"/>
                <c:pt idx="0">
                  <c:v>2024</c:v>
                </c:pt>
              </c:strCache>
            </c:strRef>
          </c:tx>
          <c:cat>
            <c:strRef>
              <c:f>SyC!$T$203:$T$208</c:f>
              <c:strCache>
                <c:ptCount val="6"/>
                <c:pt idx="0">
                  <c:v>COMUNA 1</c:v>
                </c:pt>
                <c:pt idx="1">
                  <c:v>COMUNA 2</c:v>
                </c:pt>
                <c:pt idx="2">
                  <c:v>COMUNA 3</c:v>
                </c:pt>
                <c:pt idx="3">
                  <c:v>COMUNA 4</c:v>
                </c:pt>
                <c:pt idx="4">
                  <c:v>COMUNA 5</c:v>
                </c:pt>
                <c:pt idx="5">
                  <c:v>COMUNA 6</c:v>
                </c:pt>
              </c:strCache>
            </c:strRef>
          </c:cat>
          <c:val>
            <c:numRef>
              <c:f>SyC!$AC$203:$AC$208</c:f>
              <c:numCache>
                <c:formatCode>0</c:formatCode>
                <c:ptCount val="6"/>
                <c:pt idx="0">
                  <c:v>47.8</c:v>
                </c:pt>
                <c:pt idx="1">
                  <c:v>49.75</c:v>
                </c:pt>
                <c:pt idx="2">
                  <c:v>49.5</c:v>
                </c:pt>
                <c:pt idx="3">
                  <c:v>45</c:v>
                </c:pt>
                <c:pt idx="4">
                  <c:v>51.333333333333336</c:v>
                </c:pt>
                <c:pt idx="5">
                  <c:v>48</c:v>
                </c:pt>
              </c:numCache>
            </c:numRef>
          </c:val>
          <c:extLst>
            <c:ext xmlns:c16="http://schemas.microsoft.com/office/drawing/2014/chart" uri="{C3380CC4-5D6E-409C-BE32-E72D297353CC}">
              <c16:uniqueId val="{00000000-EFE6-4E61-AF80-168C4C8D1E88}"/>
            </c:ext>
          </c:extLst>
        </c:ser>
        <c:dLbls>
          <c:showLegendKey val="0"/>
          <c:showVal val="0"/>
          <c:showCatName val="0"/>
          <c:showSerName val="0"/>
          <c:showPercent val="0"/>
          <c:showBubbleSize val="0"/>
        </c:dLbls>
        <c:axId val="38856192"/>
        <c:axId val="38857728"/>
      </c:radarChart>
      <c:catAx>
        <c:axId val="38856192"/>
        <c:scaling>
          <c:orientation val="minMax"/>
        </c:scaling>
        <c:delete val="0"/>
        <c:axPos val="b"/>
        <c:majorGridlines/>
        <c:numFmt formatCode="General" sourceLinked="0"/>
        <c:majorTickMark val="none"/>
        <c:minorTickMark val="none"/>
        <c:tickLblPos val="nextTo"/>
        <c:spPr>
          <a:ln w="9525">
            <a:noFill/>
          </a:ln>
        </c:spPr>
        <c:crossAx val="38857728"/>
        <c:crosses val="autoZero"/>
        <c:auto val="1"/>
        <c:lblAlgn val="ctr"/>
        <c:lblOffset val="100"/>
        <c:noMultiLvlLbl val="0"/>
      </c:catAx>
      <c:valAx>
        <c:axId val="38857728"/>
        <c:scaling>
          <c:orientation val="minMax"/>
          <c:max val="54"/>
          <c:min val="42"/>
        </c:scaling>
        <c:delete val="0"/>
        <c:axPos val="l"/>
        <c:majorGridlines/>
        <c:numFmt formatCode="0" sourceLinked="1"/>
        <c:majorTickMark val="none"/>
        <c:minorTickMark val="none"/>
        <c:tickLblPos val="nextTo"/>
        <c:crossAx val="38856192"/>
        <c:crosses val="autoZero"/>
        <c:crossBetween val="between"/>
        <c:majorUnit val="2"/>
      </c:valAx>
    </c:plotArea>
    <c:legend>
      <c:legendPos val="r"/>
      <c:overlay val="0"/>
    </c:legend>
    <c:plotVisOnly val="1"/>
    <c:dispBlanksAs val="gap"/>
    <c:showDLblsOverMax val="0"/>
  </c:chart>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a:defRPr/>
            </a:pPr>
            <a:r>
              <a:rPr lang="es-CO" sz="1400" b="1" i="0" baseline="0">
                <a:effectLst/>
              </a:rPr>
              <a:t>Resultados Sociales y Ciudadanas Instituciones No Oficiales por Comunas 2016-2024</a:t>
            </a:r>
          </a:p>
        </c:rich>
      </c:tx>
      <c:overlay val="0"/>
    </c:title>
    <c:autoTitleDeleted val="0"/>
    <c:plotArea>
      <c:layout/>
      <c:radarChart>
        <c:radarStyle val="marker"/>
        <c:varyColors val="0"/>
        <c:ser>
          <c:idx val="0"/>
          <c:order val="0"/>
          <c:tx>
            <c:strRef>
              <c:f>SyC!$G$202</c:f>
              <c:strCache>
                <c:ptCount val="1"/>
                <c:pt idx="0">
                  <c:v>2016</c:v>
                </c:pt>
              </c:strCache>
            </c:strRef>
          </c:tx>
          <c:spPr>
            <a:ln>
              <a:prstDash val="lgDashDot"/>
            </a:ln>
          </c:spPr>
          <c:cat>
            <c:strRef>
              <c:f>SyC!$F$203:$F$208</c:f>
              <c:strCache>
                <c:ptCount val="6"/>
                <c:pt idx="0">
                  <c:v>COMUNA 1</c:v>
                </c:pt>
                <c:pt idx="1">
                  <c:v>COMUNA 2</c:v>
                </c:pt>
                <c:pt idx="2">
                  <c:v>COMUNA 3</c:v>
                </c:pt>
                <c:pt idx="3">
                  <c:v>COMUNA 4</c:v>
                </c:pt>
                <c:pt idx="4">
                  <c:v>COMUNA 5</c:v>
                </c:pt>
                <c:pt idx="5">
                  <c:v>COMUNA 6</c:v>
                </c:pt>
              </c:strCache>
            </c:strRef>
          </c:cat>
          <c:val>
            <c:numRef>
              <c:f>SyC!$G$203:$G$208</c:f>
              <c:numCache>
                <c:formatCode>0</c:formatCode>
                <c:ptCount val="6"/>
                <c:pt idx="0">
                  <c:v>50.53846153846154</c:v>
                </c:pt>
                <c:pt idx="1">
                  <c:v>53</c:v>
                </c:pt>
                <c:pt idx="2">
                  <c:v>52.846153846153847</c:v>
                </c:pt>
                <c:pt idx="3">
                  <c:v>48.875</c:v>
                </c:pt>
                <c:pt idx="4">
                  <c:v>54.533333333333331</c:v>
                </c:pt>
                <c:pt idx="5">
                  <c:v>52.416666666666664</c:v>
                </c:pt>
              </c:numCache>
            </c:numRef>
          </c:val>
          <c:extLst>
            <c:ext xmlns:c16="http://schemas.microsoft.com/office/drawing/2014/chart" uri="{C3380CC4-5D6E-409C-BE32-E72D297353CC}">
              <c16:uniqueId val="{00000000-955B-46AC-9DC0-844E5F76A6D2}"/>
            </c:ext>
          </c:extLst>
        </c:ser>
        <c:ser>
          <c:idx val="1"/>
          <c:order val="1"/>
          <c:tx>
            <c:strRef>
              <c:f>SyC!$H$202</c:f>
              <c:strCache>
                <c:ptCount val="1"/>
                <c:pt idx="0">
                  <c:v>2017</c:v>
                </c:pt>
              </c:strCache>
            </c:strRef>
          </c:tx>
          <c:cat>
            <c:strRef>
              <c:f>SyC!$F$203:$F$208</c:f>
              <c:strCache>
                <c:ptCount val="6"/>
                <c:pt idx="0">
                  <c:v>COMUNA 1</c:v>
                </c:pt>
                <c:pt idx="1">
                  <c:v>COMUNA 2</c:v>
                </c:pt>
                <c:pt idx="2">
                  <c:v>COMUNA 3</c:v>
                </c:pt>
                <c:pt idx="3">
                  <c:v>COMUNA 4</c:v>
                </c:pt>
                <c:pt idx="4">
                  <c:v>COMUNA 5</c:v>
                </c:pt>
                <c:pt idx="5">
                  <c:v>COMUNA 6</c:v>
                </c:pt>
              </c:strCache>
            </c:strRef>
          </c:cat>
          <c:val>
            <c:numRef>
              <c:f>SyC!$H$203:$H$208</c:f>
              <c:numCache>
                <c:formatCode>0</c:formatCode>
                <c:ptCount val="6"/>
                <c:pt idx="0">
                  <c:v>50.583333333333336</c:v>
                </c:pt>
                <c:pt idx="1">
                  <c:v>52.588235294117645</c:v>
                </c:pt>
                <c:pt idx="2">
                  <c:v>53</c:v>
                </c:pt>
                <c:pt idx="3">
                  <c:v>52.111111111111114</c:v>
                </c:pt>
                <c:pt idx="4">
                  <c:v>54.666666666666664</c:v>
                </c:pt>
                <c:pt idx="5">
                  <c:v>50.75</c:v>
                </c:pt>
              </c:numCache>
            </c:numRef>
          </c:val>
          <c:extLst>
            <c:ext xmlns:c16="http://schemas.microsoft.com/office/drawing/2014/chart" uri="{C3380CC4-5D6E-409C-BE32-E72D297353CC}">
              <c16:uniqueId val="{00000001-955B-46AC-9DC0-844E5F76A6D2}"/>
            </c:ext>
          </c:extLst>
        </c:ser>
        <c:ser>
          <c:idx val="2"/>
          <c:order val="2"/>
          <c:tx>
            <c:strRef>
              <c:f>SyC!$I$202</c:f>
              <c:strCache>
                <c:ptCount val="1"/>
                <c:pt idx="0">
                  <c:v>2018</c:v>
                </c:pt>
              </c:strCache>
            </c:strRef>
          </c:tx>
          <c:spPr>
            <a:ln>
              <a:prstDash val="sysDash"/>
            </a:ln>
          </c:spPr>
          <c:cat>
            <c:strRef>
              <c:f>SyC!$F$203:$F$208</c:f>
              <c:strCache>
                <c:ptCount val="6"/>
                <c:pt idx="0">
                  <c:v>COMUNA 1</c:v>
                </c:pt>
                <c:pt idx="1">
                  <c:v>COMUNA 2</c:v>
                </c:pt>
                <c:pt idx="2">
                  <c:v>COMUNA 3</c:v>
                </c:pt>
                <c:pt idx="3">
                  <c:v>COMUNA 4</c:v>
                </c:pt>
                <c:pt idx="4">
                  <c:v>COMUNA 5</c:v>
                </c:pt>
                <c:pt idx="5">
                  <c:v>COMUNA 6</c:v>
                </c:pt>
              </c:strCache>
            </c:strRef>
          </c:cat>
          <c:val>
            <c:numRef>
              <c:f>SyC!$I$203:$I$208</c:f>
              <c:numCache>
                <c:formatCode>0</c:formatCode>
                <c:ptCount val="6"/>
                <c:pt idx="0">
                  <c:v>49.07692307692308</c:v>
                </c:pt>
                <c:pt idx="1">
                  <c:v>50.882352941176471</c:v>
                </c:pt>
                <c:pt idx="2">
                  <c:v>51.5</c:v>
                </c:pt>
                <c:pt idx="3">
                  <c:v>49.777777777777779</c:v>
                </c:pt>
                <c:pt idx="4">
                  <c:v>53.125</c:v>
                </c:pt>
                <c:pt idx="5">
                  <c:v>51.363636363636367</c:v>
                </c:pt>
              </c:numCache>
            </c:numRef>
          </c:val>
          <c:extLst>
            <c:ext xmlns:c16="http://schemas.microsoft.com/office/drawing/2014/chart" uri="{C3380CC4-5D6E-409C-BE32-E72D297353CC}">
              <c16:uniqueId val="{00000002-955B-46AC-9DC0-844E5F76A6D2}"/>
            </c:ext>
          </c:extLst>
        </c:ser>
        <c:ser>
          <c:idx val="3"/>
          <c:order val="3"/>
          <c:tx>
            <c:strRef>
              <c:f>SyC!$J$202</c:f>
              <c:strCache>
                <c:ptCount val="1"/>
                <c:pt idx="0">
                  <c:v>2019</c:v>
                </c:pt>
              </c:strCache>
            </c:strRef>
          </c:tx>
          <c:cat>
            <c:strRef>
              <c:f>SyC!$F$203:$F$208</c:f>
              <c:strCache>
                <c:ptCount val="6"/>
                <c:pt idx="0">
                  <c:v>COMUNA 1</c:v>
                </c:pt>
                <c:pt idx="1">
                  <c:v>COMUNA 2</c:v>
                </c:pt>
                <c:pt idx="2">
                  <c:v>COMUNA 3</c:v>
                </c:pt>
                <c:pt idx="3">
                  <c:v>COMUNA 4</c:v>
                </c:pt>
                <c:pt idx="4">
                  <c:v>COMUNA 5</c:v>
                </c:pt>
                <c:pt idx="5">
                  <c:v>COMUNA 6</c:v>
                </c:pt>
              </c:strCache>
            </c:strRef>
          </c:cat>
          <c:val>
            <c:numRef>
              <c:f>SyC!$J$203:$J$208</c:f>
              <c:numCache>
                <c:formatCode>0</c:formatCode>
                <c:ptCount val="6"/>
                <c:pt idx="0">
                  <c:v>46.846153846153847</c:v>
                </c:pt>
                <c:pt idx="1">
                  <c:v>49.833333333333336</c:v>
                </c:pt>
                <c:pt idx="2">
                  <c:v>49.214285714285715</c:v>
                </c:pt>
                <c:pt idx="3">
                  <c:v>47.875</c:v>
                </c:pt>
                <c:pt idx="4">
                  <c:v>50.764705882352942</c:v>
                </c:pt>
                <c:pt idx="5">
                  <c:v>49.833333333333336</c:v>
                </c:pt>
              </c:numCache>
            </c:numRef>
          </c:val>
          <c:extLst>
            <c:ext xmlns:c16="http://schemas.microsoft.com/office/drawing/2014/chart" uri="{C3380CC4-5D6E-409C-BE32-E72D297353CC}">
              <c16:uniqueId val="{00000003-955B-46AC-9DC0-844E5F76A6D2}"/>
            </c:ext>
          </c:extLst>
        </c:ser>
        <c:ser>
          <c:idx val="4"/>
          <c:order val="4"/>
          <c:tx>
            <c:strRef>
              <c:f>SyC!$K$202</c:f>
              <c:strCache>
                <c:ptCount val="1"/>
                <c:pt idx="0">
                  <c:v>2020</c:v>
                </c:pt>
              </c:strCache>
            </c:strRef>
          </c:tx>
          <c:cat>
            <c:strRef>
              <c:f>SyC!$F$203:$F$208</c:f>
              <c:strCache>
                <c:ptCount val="6"/>
                <c:pt idx="0">
                  <c:v>COMUNA 1</c:v>
                </c:pt>
                <c:pt idx="1">
                  <c:v>COMUNA 2</c:v>
                </c:pt>
                <c:pt idx="2">
                  <c:v>COMUNA 3</c:v>
                </c:pt>
                <c:pt idx="3">
                  <c:v>COMUNA 4</c:v>
                </c:pt>
                <c:pt idx="4">
                  <c:v>COMUNA 5</c:v>
                </c:pt>
                <c:pt idx="5">
                  <c:v>COMUNA 6</c:v>
                </c:pt>
              </c:strCache>
            </c:strRef>
          </c:cat>
          <c:val>
            <c:numRef>
              <c:f>SyC!$K$203:$K$208</c:f>
              <c:numCache>
                <c:formatCode>0</c:formatCode>
                <c:ptCount val="6"/>
                <c:pt idx="0">
                  <c:v>50.153846153846153</c:v>
                </c:pt>
                <c:pt idx="1">
                  <c:v>51.18181818181818</c:v>
                </c:pt>
                <c:pt idx="2">
                  <c:v>52.2</c:v>
                </c:pt>
                <c:pt idx="3">
                  <c:v>47.857142857142854</c:v>
                </c:pt>
                <c:pt idx="4">
                  <c:v>54.3125</c:v>
                </c:pt>
                <c:pt idx="5">
                  <c:v>49.785714285714285</c:v>
                </c:pt>
              </c:numCache>
            </c:numRef>
          </c:val>
          <c:extLst>
            <c:ext xmlns:c16="http://schemas.microsoft.com/office/drawing/2014/chart" uri="{C3380CC4-5D6E-409C-BE32-E72D297353CC}">
              <c16:uniqueId val="{00000001-62E1-4599-AD1A-B04001007A1D}"/>
            </c:ext>
          </c:extLst>
        </c:ser>
        <c:ser>
          <c:idx val="5"/>
          <c:order val="5"/>
          <c:tx>
            <c:strRef>
              <c:f>SyC!$L$202</c:f>
              <c:strCache>
                <c:ptCount val="1"/>
                <c:pt idx="0">
                  <c:v>2021</c:v>
                </c:pt>
              </c:strCache>
            </c:strRef>
          </c:tx>
          <c:cat>
            <c:strRef>
              <c:f>SyC!$F$203:$F$208</c:f>
              <c:strCache>
                <c:ptCount val="6"/>
                <c:pt idx="0">
                  <c:v>COMUNA 1</c:v>
                </c:pt>
                <c:pt idx="1">
                  <c:v>COMUNA 2</c:v>
                </c:pt>
                <c:pt idx="2">
                  <c:v>COMUNA 3</c:v>
                </c:pt>
                <c:pt idx="3">
                  <c:v>COMUNA 4</c:v>
                </c:pt>
                <c:pt idx="4">
                  <c:v>COMUNA 5</c:v>
                </c:pt>
                <c:pt idx="5">
                  <c:v>COMUNA 6</c:v>
                </c:pt>
              </c:strCache>
            </c:strRef>
          </c:cat>
          <c:val>
            <c:numRef>
              <c:f>SyC!$L$203:$L$208</c:f>
              <c:numCache>
                <c:formatCode>0</c:formatCode>
                <c:ptCount val="6"/>
                <c:pt idx="0">
                  <c:v>49.230769230769234</c:v>
                </c:pt>
                <c:pt idx="1">
                  <c:v>48.65</c:v>
                </c:pt>
                <c:pt idx="2">
                  <c:v>50.866666666666667</c:v>
                </c:pt>
                <c:pt idx="3">
                  <c:v>48.625</c:v>
                </c:pt>
                <c:pt idx="4">
                  <c:v>52.625</c:v>
                </c:pt>
                <c:pt idx="5">
                  <c:v>49.428571428571431</c:v>
                </c:pt>
              </c:numCache>
            </c:numRef>
          </c:val>
          <c:extLst>
            <c:ext xmlns:c16="http://schemas.microsoft.com/office/drawing/2014/chart" uri="{C3380CC4-5D6E-409C-BE32-E72D297353CC}">
              <c16:uniqueId val="{00000000-CF60-4589-BB9E-77FBDF63F4A1}"/>
            </c:ext>
          </c:extLst>
        </c:ser>
        <c:ser>
          <c:idx val="6"/>
          <c:order val="6"/>
          <c:tx>
            <c:strRef>
              <c:f>SyC!$M$202</c:f>
              <c:strCache>
                <c:ptCount val="1"/>
                <c:pt idx="0">
                  <c:v>2022</c:v>
                </c:pt>
              </c:strCache>
            </c:strRef>
          </c:tx>
          <c:cat>
            <c:strRef>
              <c:f>SyC!$F$203:$F$208</c:f>
              <c:strCache>
                <c:ptCount val="6"/>
                <c:pt idx="0">
                  <c:v>COMUNA 1</c:v>
                </c:pt>
                <c:pt idx="1">
                  <c:v>COMUNA 2</c:v>
                </c:pt>
                <c:pt idx="2">
                  <c:v>COMUNA 3</c:v>
                </c:pt>
                <c:pt idx="3">
                  <c:v>COMUNA 4</c:v>
                </c:pt>
                <c:pt idx="4">
                  <c:v>COMUNA 5</c:v>
                </c:pt>
                <c:pt idx="5">
                  <c:v>COMUNA 6</c:v>
                </c:pt>
              </c:strCache>
            </c:strRef>
          </c:cat>
          <c:val>
            <c:numRef>
              <c:f>SyC!$M$203:$M$208</c:f>
              <c:numCache>
                <c:formatCode>0</c:formatCode>
                <c:ptCount val="6"/>
                <c:pt idx="0">
                  <c:v>49.846153846153847</c:v>
                </c:pt>
                <c:pt idx="1">
                  <c:v>51.571428571428569</c:v>
                </c:pt>
                <c:pt idx="2">
                  <c:v>52.8125</c:v>
                </c:pt>
                <c:pt idx="3">
                  <c:v>48.875</c:v>
                </c:pt>
                <c:pt idx="4">
                  <c:v>53.8</c:v>
                </c:pt>
                <c:pt idx="5">
                  <c:v>50.25</c:v>
                </c:pt>
              </c:numCache>
            </c:numRef>
          </c:val>
          <c:extLst>
            <c:ext xmlns:c16="http://schemas.microsoft.com/office/drawing/2014/chart" uri="{C3380CC4-5D6E-409C-BE32-E72D297353CC}">
              <c16:uniqueId val="{00000000-878F-47B1-AFE6-D022CBC9E3F7}"/>
            </c:ext>
          </c:extLst>
        </c:ser>
        <c:ser>
          <c:idx val="7"/>
          <c:order val="7"/>
          <c:tx>
            <c:strRef>
              <c:f>SyC!$N$202</c:f>
              <c:strCache>
                <c:ptCount val="1"/>
                <c:pt idx="0">
                  <c:v>2023</c:v>
                </c:pt>
              </c:strCache>
            </c:strRef>
          </c:tx>
          <c:cat>
            <c:strRef>
              <c:f>SyC!$F$203:$F$208</c:f>
              <c:strCache>
                <c:ptCount val="6"/>
                <c:pt idx="0">
                  <c:v>COMUNA 1</c:v>
                </c:pt>
                <c:pt idx="1">
                  <c:v>COMUNA 2</c:v>
                </c:pt>
                <c:pt idx="2">
                  <c:v>COMUNA 3</c:v>
                </c:pt>
                <c:pt idx="3">
                  <c:v>COMUNA 4</c:v>
                </c:pt>
                <c:pt idx="4">
                  <c:v>COMUNA 5</c:v>
                </c:pt>
                <c:pt idx="5">
                  <c:v>COMUNA 6</c:v>
                </c:pt>
              </c:strCache>
            </c:strRef>
          </c:cat>
          <c:val>
            <c:numRef>
              <c:f>SyC!$N$203:$N$208</c:f>
              <c:numCache>
                <c:formatCode>0</c:formatCode>
                <c:ptCount val="6"/>
                <c:pt idx="0">
                  <c:v>50.833333333333336</c:v>
                </c:pt>
                <c:pt idx="1">
                  <c:v>51.954545454545453</c:v>
                </c:pt>
                <c:pt idx="2">
                  <c:v>52.0625</c:v>
                </c:pt>
                <c:pt idx="3">
                  <c:v>47.555555555555557</c:v>
                </c:pt>
                <c:pt idx="4">
                  <c:v>54.2</c:v>
                </c:pt>
                <c:pt idx="5">
                  <c:v>51.823529411764703</c:v>
                </c:pt>
              </c:numCache>
            </c:numRef>
          </c:val>
          <c:extLst>
            <c:ext xmlns:c16="http://schemas.microsoft.com/office/drawing/2014/chart" uri="{C3380CC4-5D6E-409C-BE32-E72D297353CC}">
              <c16:uniqueId val="{00000001-878F-47B1-AFE6-D022CBC9E3F7}"/>
            </c:ext>
          </c:extLst>
        </c:ser>
        <c:ser>
          <c:idx val="8"/>
          <c:order val="8"/>
          <c:tx>
            <c:strRef>
              <c:f>SyC!$O$202</c:f>
              <c:strCache>
                <c:ptCount val="1"/>
                <c:pt idx="0">
                  <c:v>2024</c:v>
                </c:pt>
              </c:strCache>
            </c:strRef>
          </c:tx>
          <c:cat>
            <c:strRef>
              <c:f>SyC!$F$203:$F$208</c:f>
              <c:strCache>
                <c:ptCount val="6"/>
                <c:pt idx="0">
                  <c:v>COMUNA 1</c:v>
                </c:pt>
                <c:pt idx="1">
                  <c:v>COMUNA 2</c:v>
                </c:pt>
                <c:pt idx="2">
                  <c:v>COMUNA 3</c:v>
                </c:pt>
                <c:pt idx="3">
                  <c:v>COMUNA 4</c:v>
                </c:pt>
                <c:pt idx="4">
                  <c:v>COMUNA 5</c:v>
                </c:pt>
                <c:pt idx="5">
                  <c:v>COMUNA 6</c:v>
                </c:pt>
              </c:strCache>
            </c:strRef>
          </c:cat>
          <c:val>
            <c:numRef>
              <c:f>SyC!$O$203:$O$208</c:f>
              <c:numCache>
                <c:formatCode>0</c:formatCode>
                <c:ptCount val="6"/>
                <c:pt idx="0">
                  <c:v>50.53846153846154</c:v>
                </c:pt>
                <c:pt idx="1">
                  <c:v>51.95</c:v>
                </c:pt>
                <c:pt idx="2">
                  <c:v>51.8125</c:v>
                </c:pt>
                <c:pt idx="3">
                  <c:v>50.714285714285715</c:v>
                </c:pt>
                <c:pt idx="4">
                  <c:v>52.333333333333336</c:v>
                </c:pt>
                <c:pt idx="5">
                  <c:v>51.357142857142854</c:v>
                </c:pt>
              </c:numCache>
            </c:numRef>
          </c:val>
          <c:extLst>
            <c:ext xmlns:c16="http://schemas.microsoft.com/office/drawing/2014/chart" uri="{C3380CC4-5D6E-409C-BE32-E72D297353CC}">
              <c16:uniqueId val="{00000000-5CF9-4B84-BA8F-11BCC758679F}"/>
            </c:ext>
          </c:extLst>
        </c:ser>
        <c:dLbls>
          <c:showLegendKey val="0"/>
          <c:showVal val="0"/>
          <c:showCatName val="0"/>
          <c:showSerName val="0"/>
          <c:showPercent val="0"/>
          <c:showBubbleSize val="0"/>
        </c:dLbls>
        <c:axId val="38958592"/>
        <c:axId val="38960128"/>
      </c:radarChart>
      <c:catAx>
        <c:axId val="38958592"/>
        <c:scaling>
          <c:orientation val="minMax"/>
        </c:scaling>
        <c:delete val="0"/>
        <c:axPos val="b"/>
        <c:majorGridlines/>
        <c:numFmt formatCode="General" sourceLinked="0"/>
        <c:majorTickMark val="none"/>
        <c:minorTickMark val="none"/>
        <c:tickLblPos val="nextTo"/>
        <c:spPr>
          <a:ln w="9525">
            <a:noFill/>
          </a:ln>
        </c:spPr>
        <c:crossAx val="38960128"/>
        <c:crosses val="autoZero"/>
        <c:auto val="1"/>
        <c:lblAlgn val="ctr"/>
        <c:lblOffset val="100"/>
        <c:noMultiLvlLbl val="0"/>
      </c:catAx>
      <c:valAx>
        <c:axId val="38960128"/>
        <c:scaling>
          <c:orientation val="minMax"/>
          <c:max val="56"/>
          <c:min val="46"/>
        </c:scaling>
        <c:delete val="0"/>
        <c:axPos val="l"/>
        <c:majorGridlines/>
        <c:numFmt formatCode="0" sourceLinked="1"/>
        <c:majorTickMark val="none"/>
        <c:minorTickMark val="none"/>
        <c:tickLblPos val="nextTo"/>
        <c:crossAx val="38958592"/>
        <c:crosses val="autoZero"/>
        <c:crossBetween val="between"/>
        <c:majorUnit val="2"/>
      </c:valAx>
    </c:plotArea>
    <c:legend>
      <c:legendPos val="r"/>
      <c:overlay val="0"/>
    </c:legend>
    <c:plotVisOnly val="1"/>
    <c:dispBlanksAs val="gap"/>
    <c:showDLblsOverMax val="0"/>
  </c:chart>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Niveles</a:t>
            </a:r>
            <a:r>
              <a:rPr lang="es-CO" baseline="0"/>
              <a:t> de Desempeño Sociales y Ciudadanas Saber 11 2016 - 2024 </a:t>
            </a:r>
            <a:endParaRPr lang="es-CO"/>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stacked"/>
        <c:varyColors val="0"/>
        <c:ser>
          <c:idx val="0"/>
          <c:order val="0"/>
          <c:tx>
            <c:strRef>
              <c:f>SyC!$E$238</c:f>
              <c:strCache>
                <c:ptCount val="1"/>
                <c:pt idx="0">
                  <c:v>1</c:v>
                </c:pt>
              </c:strCache>
            </c:strRef>
          </c:tx>
          <c:spPr>
            <a:solidFill>
              <a:srgbClr val="FF0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SyC!$F$236:$AO$237</c:f>
              <c:multiLvlStrCache>
                <c:ptCount val="36"/>
                <c:lvl>
                  <c:pt idx="0">
                    <c:v>COLOMBIA</c:v>
                  </c:pt>
                  <c:pt idx="1">
                    <c:v>SOACHA</c:v>
                  </c:pt>
                  <c:pt idx="2">
                    <c:v>SOACHA OFICIAL</c:v>
                  </c:pt>
                  <c:pt idx="3">
                    <c:v>SOACHA NO OFICIAL</c:v>
                  </c:pt>
                  <c:pt idx="4">
                    <c:v>COLOMBIA</c:v>
                  </c:pt>
                  <c:pt idx="5">
                    <c:v>SOACHA</c:v>
                  </c:pt>
                  <c:pt idx="6">
                    <c:v>SOACHA OFICIAL</c:v>
                  </c:pt>
                  <c:pt idx="7">
                    <c:v>SOACHA NO OFICIAL</c:v>
                  </c:pt>
                  <c:pt idx="8">
                    <c:v>COLOMBIA</c:v>
                  </c:pt>
                  <c:pt idx="9">
                    <c:v>SOACHA</c:v>
                  </c:pt>
                  <c:pt idx="10">
                    <c:v>SOACHA OFICIAL</c:v>
                  </c:pt>
                  <c:pt idx="11">
                    <c:v>SOACHA NO OFICIAL</c:v>
                  </c:pt>
                  <c:pt idx="12">
                    <c:v>COLOMBIA</c:v>
                  </c:pt>
                  <c:pt idx="13">
                    <c:v>SOACHA</c:v>
                  </c:pt>
                  <c:pt idx="14">
                    <c:v>SOACHA OFICIAL</c:v>
                  </c:pt>
                  <c:pt idx="15">
                    <c:v>SOACHA NO OFICIAL</c:v>
                  </c:pt>
                  <c:pt idx="16">
                    <c:v>COLOMBIA</c:v>
                  </c:pt>
                  <c:pt idx="17">
                    <c:v>SOACHA</c:v>
                  </c:pt>
                  <c:pt idx="18">
                    <c:v>SOACHA OFICIAL</c:v>
                  </c:pt>
                  <c:pt idx="19">
                    <c:v>SOACHA NO OFICIAL</c:v>
                  </c:pt>
                  <c:pt idx="20">
                    <c:v>COLOMBIA</c:v>
                  </c:pt>
                  <c:pt idx="21">
                    <c:v>SOACHA</c:v>
                  </c:pt>
                  <c:pt idx="22">
                    <c:v>SOACHA OFICIAL</c:v>
                  </c:pt>
                  <c:pt idx="23">
                    <c:v>SOACHA NO OFICIAL</c:v>
                  </c:pt>
                  <c:pt idx="24">
                    <c:v>COLOMBIA</c:v>
                  </c:pt>
                  <c:pt idx="25">
                    <c:v>SOACHA</c:v>
                  </c:pt>
                  <c:pt idx="26">
                    <c:v>SOACHA OFICIAL</c:v>
                  </c:pt>
                  <c:pt idx="27">
                    <c:v>SOACHA NO OFICIAL</c:v>
                  </c:pt>
                  <c:pt idx="28">
                    <c:v>COLOMBIA</c:v>
                  </c:pt>
                  <c:pt idx="29">
                    <c:v>SOACHA</c:v>
                  </c:pt>
                  <c:pt idx="30">
                    <c:v>SOACHA OFICIAL</c:v>
                  </c:pt>
                  <c:pt idx="31">
                    <c:v>SOACHA NO OFICIAL</c:v>
                  </c:pt>
                  <c:pt idx="32">
                    <c:v>COLOMBIA</c:v>
                  </c:pt>
                  <c:pt idx="33">
                    <c:v>SOACHA</c:v>
                  </c:pt>
                  <c:pt idx="34">
                    <c:v>SOACHA OFICIAL</c:v>
                  </c:pt>
                  <c:pt idx="35">
                    <c:v>SOACHA NO OFICIAL</c:v>
                  </c:pt>
                </c:lvl>
                <c:lvl>
                  <c:pt idx="0">
                    <c:v>2016</c:v>
                  </c:pt>
                  <c:pt idx="4">
                    <c:v>2017</c:v>
                  </c:pt>
                  <c:pt idx="8">
                    <c:v>2018</c:v>
                  </c:pt>
                  <c:pt idx="12">
                    <c:v>2019</c:v>
                  </c:pt>
                  <c:pt idx="16">
                    <c:v>2020</c:v>
                  </c:pt>
                  <c:pt idx="20">
                    <c:v>2021</c:v>
                  </c:pt>
                  <c:pt idx="24">
                    <c:v>2022</c:v>
                  </c:pt>
                  <c:pt idx="28">
                    <c:v>2023</c:v>
                  </c:pt>
                  <c:pt idx="32">
                    <c:v>2024</c:v>
                  </c:pt>
                </c:lvl>
              </c:multiLvlStrCache>
            </c:multiLvlStrRef>
          </c:cat>
          <c:val>
            <c:numRef>
              <c:f>SyC!$F$238:$AO$238</c:f>
              <c:numCache>
                <c:formatCode>0%</c:formatCode>
                <c:ptCount val="36"/>
                <c:pt idx="0">
                  <c:v>0.17</c:v>
                </c:pt>
                <c:pt idx="1">
                  <c:v>0.13</c:v>
                </c:pt>
                <c:pt idx="2">
                  <c:v>0.16</c:v>
                </c:pt>
                <c:pt idx="3">
                  <c:v>0.11</c:v>
                </c:pt>
                <c:pt idx="4">
                  <c:v>0.17</c:v>
                </c:pt>
                <c:pt idx="5">
                  <c:v>0.13</c:v>
                </c:pt>
                <c:pt idx="6">
                  <c:v>0.16</c:v>
                </c:pt>
                <c:pt idx="7">
                  <c:v>0.11</c:v>
                </c:pt>
                <c:pt idx="8">
                  <c:v>0.25</c:v>
                </c:pt>
                <c:pt idx="9">
                  <c:v>0.21</c:v>
                </c:pt>
                <c:pt idx="10">
                  <c:v>0.25</c:v>
                </c:pt>
                <c:pt idx="11">
                  <c:v>0.16</c:v>
                </c:pt>
                <c:pt idx="12">
                  <c:v>0.32</c:v>
                </c:pt>
                <c:pt idx="13">
                  <c:v>0.26</c:v>
                </c:pt>
                <c:pt idx="14">
                  <c:v>0.31</c:v>
                </c:pt>
                <c:pt idx="15">
                  <c:v>0.21</c:v>
                </c:pt>
                <c:pt idx="16">
                  <c:v>0.27</c:v>
                </c:pt>
                <c:pt idx="17">
                  <c:v>0.19</c:v>
                </c:pt>
                <c:pt idx="18">
                  <c:v>0.22</c:v>
                </c:pt>
                <c:pt idx="19">
                  <c:v>0.16</c:v>
                </c:pt>
                <c:pt idx="20">
                  <c:v>0.31</c:v>
                </c:pt>
                <c:pt idx="21">
                  <c:v>0.23</c:v>
                </c:pt>
                <c:pt idx="22">
                  <c:v>0.28000000000000003</c:v>
                </c:pt>
                <c:pt idx="23">
                  <c:v>0.19</c:v>
                </c:pt>
                <c:pt idx="24">
                  <c:v>0.28999999999999998</c:v>
                </c:pt>
                <c:pt idx="25">
                  <c:v>0.21</c:v>
                </c:pt>
                <c:pt idx="26">
                  <c:v>0.25</c:v>
                </c:pt>
                <c:pt idx="27">
                  <c:v>0.16</c:v>
                </c:pt>
                <c:pt idx="28">
                  <c:v>0.27</c:v>
                </c:pt>
                <c:pt idx="29">
                  <c:v>0.2</c:v>
                </c:pt>
                <c:pt idx="30">
                  <c:v>0.24</c:v>
                </c:pt>
                <c:pt idx="31">
                  <c:v>0.14000000000000001</c:v>
                </c:pt>
                <c:pt idx="32">
                  <c:v>0.27</c:v>
                </c:pt>
                <c:pt idx="33">
                  <c:v>0.2</c:v>
                </c:pt>
                <c:pt idx="34">
                  <c:v>0.24</c:v>
                </c:pt>
                <c:pt idx="35">
                  <c:v>0.15</c:v>
                </c:pt>
              </c:numCache>
            </c:numRef>
          </c:val>
          <c:extLst>
            <c:ext xmlns:c16="http://schemas.microsoft.com/office/drawing/2014/chart" uri="{C3380CC4-5D6E-409C-BE32-E72D297353CC}">
              <c16:uniqueId val="{00000000-1A61-435B-A765-40AB71907592}"/>
            </c:ext>
          </c:extLst>
        </c:ser>
        <c:ser>
          <c:idx val="1"/>
          <c:order val="1"/>
          <c:tx>
            <c:strRef>
              <c:f>SyC!$E$239</c:f>
              <c:strCache>
                <c:ptCount val="1"/>
                <c:pt idx="0">
                  <c:v>2</c:v>
                </c:pt>
              </c:strCache>
            </c:strRef>
          </c:tx>
          <c:spPr>
            <a:solidFill>
              <a:srgbClr val="FFFF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SyC!$F$236:$AO$237</c:f>
              <c:multiLvlStrCache>
                <c:ptCount val="36"/>
                <c:lvl>
                  <c:pt idx="0">
                    <c:v>COLOMBIA</c:v>
                  </c:pt>
                  <c:pt idx="1">
                    <c:v>SOACHA</c:v>
                  </c:pt>
                  <c:pt idx="2">
                    <c:v>SOACHA OFICIAL</c:v>
                  </c:pt>
                  <c:pt idx="3">
                    <c:v>SOACHA NO OFICIAL</c:v>
                  </c:pt>
                  <c:pt idx="4">
                    <c:v>COLOMBIA</c:v>
                  </c:pt>
                  <c:pt idx="5">
                    <c:v>SOACHA</c:v>
                  </c:pt>
                  <c:pt idx="6">
                    <c:v>SOACHA OFICIAL</c:v>
                  </c:pt>
                  <c:pt idx="7">
                    <c:v>SOACHA NO OFICIAL</c:v>
                  </c:pt>
                  <c:pt idx="8">
                    <c:v>COLOMBIA</c:v>
                  </c:pt>
                  <c:pt idx="9">
                    <c:v>SOACHA</c:v>
                  </c:pt>
                  <c:pt idx="10">
                    <c:v>SOACHA OFICIAL</c:v>
                  </c:pt>
                  <c:pt idx="11">
                    <c:v>SOACHA NO OFICIAL</c:v>
                  </c:pt>
                  <c:pt idx="12">
                    <c:v>COLOMBIA</c:v>
                  </c:pt>
                  <c:pt idx="13">
                    <c:v>SOACHA</c:v>
                  </c:pt>
                  <c:pt idx="14">
                    <c:v>SOACHA OFICIAL</c:v>
                  </c:pt>
                  <c:pt idx="15">
                    <c:v>SOACHA NO OFICIAL</c:v>
                  </c:pt>
                  <c:pt idx="16">
                    <c:v>COLOMBIA</c:v>
                  </c:pt>
                  <c:pt idx="17">
                    <c:v>SOACHA</c:v>
                  </c:pt>
                  <c:pt idx="18">
                    <c:v>SOACHA OFICIAL</c:v>
                  </c:pt>
                  <c:pt idx="19">
                    <c:v>SOACHA NO OFICIAL</c:v>
                  </c:pt>
                  <c:pt idx="20">
                    <c:v>COLOMBIA</c:v>
                  </c:pt>
                  <c:pt idx="21">
                    <c:v>SOACHA</c:v>
                  </c:pt>
                  <c:pt idx="22">
                    <c:v>SOACHA OFICIAL</c:v>
                  </c:pt>
                  <c:pt idx="23">
                    <c:v>SOACHA NO OFICIAL</c:v>
                  </c:pt>
                  <c:pt idx="24">
                    <c:v>COLOMBIA</c:v>
                  </c:pt>
                  <c:pt idx="25">
                    <c:v>SOACHA</c:v>
                  </c:pt>
                  <c:pt idx="26">
                    <c:v>SOACHA OFICIAL</c:v>
                  </c:pt>
                  <c:pt idx="27">
                    <c:v>SOACHA NO OFICIAL</c:v>
                  </c:pt>
                  <c:pt idx="28">
                    <c:v>COLOMBIA</c:v>
                  </c:pt>
                  <c:pt idx="29">
                    <c:v>SOACHA</c:v>
                  </c:pt>
                  <c:pt idx="30">
                    <c:v>SOACHA OFICIAL</c:v>
                  </c:pt>
                  <c:pt idx="31">
                    <c:v>SOACHA NO OFICIAL</c:v>
                  </c:pt>
                  <c:pt idx="32">
                    <c:v>COLOMBIA</c:v>
                  </c:pt>
                  <c:pt idx="33">
                    <c:v>SOACHA</c:v>
                  </c:pt>
                  <c:pt idx="34">
                    <c:v>SOACHA OFICIAL</c:v>
                  </c:pt>
                  <c:pt idx="35">
                    <c:v>SOACHA NO OFICIAL</c:v>
                  </c:pt>
                </c:lvl>
                <c:lvl>
                  <c:pt idx="0">
                    <c:v>2016</c:v>
                  </c:pt>
                  <c:pt idx="4">
                    <c:v>2017</c:v>
                  </c:pt>
                  <c:pt idx="8">
                    <c:v>2018</c:v>
                  </c:pt>
                  <c:pt idx="12">
                    <c:v>2019</c:v>
                  </c:pt>
                  <c:pt idx="16">
                    <c:v>2020</c:v>
                  </c:pt>
                  <c:pt idx="20">
                    <c:v>2021</c:v>
                  </c:pt>
                  <c:pt idx="24">
                    <c:v>2022</c:v>
                  </c:pt>
                  <c:pt idx="28">
                    <c:v>2023</c:v>
                  </c:pt>
                  <c:pt idx="32">
                    <c:v>2024</c:v>
                  </c:pt>
                </c:lvl>
              </c:multiLvlStrCache>
            </c:multiLvlStrRef>
          </c:cat>
          <c:val>
            <c:numRef>
              <c:f>SyC!$F$239:$AO$239</c:f>
              <c:numCache>
                <c:formatCode>0%</c:formatCode>
                <c:ptCount val="36"/>
                <c:pt idx="0">
                  <c:v>0.47</c:v>
                </c:pt>
                <c:pt idx="1">
                  <c:v>0.52</c:v>
                </c:pt>
                <c:pt idx="2">
                  <c:v>0.55000000000000004</c:v>
                </c:pt>
                <c:pt idx="3">
                  <c:v>0.5</c:v>
                </c:pt>
                <c:pt idx="4">
                  <c:v>0.47</c:v>
                </c:pt>
                <c:pt idx="5">
                  <c:v>0.51</c:v>
                </c:pt>
                <c:pt idx="6">
                  <c:v>0.54</c:v>
                </c:pt>
                <c:pt idx="7">
                  <c:v>0.48</c:v>
                </c:pt>
                <c:pt idx="8">
                  <c:v>0.43</c:v>
                </c:pt>
                <c:pt idx="9">
                  <c:v>0.49</c:v>
                </c:pt>
                <c:pt idx="10">
                  <c:v>0.51</c:v>
                </c:pt>
                <c:pt idx="11">
                  <c:v>0.47</c:v>
                </c:pt>
                <c:pt idx="12">
                  <c:v>0.41</c:v>
                </c:pt>
                <c:pt idx="13">
                  <c:v>0.47</c:v>
                </c:pt>
                <c:pt idx="14">
                  <c:v>0.48</c:v>
                </c:pt>
                <c:pt idx="15">
                  <c:v>0.46</c:v>
                </c:pt>
                <c:pt idx="16">
                  <c:v>0.42</c:v>
                </c:pt>
                <c:pt idx="17">
                  <c:v>0.47</c:v>
                </c:pt>
                <c:pt idx="18">
                  <c:v>0.5</c:v>
                </c:pt>
                <c:pt idx="19">
                  <c:v>0.45</c:v>
                </c:pt>
                <c:pt idx="20">
                  <c:v>0.42</c:v>
                </c:pt>
                <c:pt idx="21">
                  <c:v>0.48</c:v>
                </c:pt>
                <c:pt idx="22">
                  <c:v>0.5</c:v>
                </c:pt>
                <c:pt idx="23">
                  <c:v>0.45</c:v>
                </c:pt>
                <c:pt idx="24">
                  <c:v>0.41</c:v>
                </c:pt>
                <c:pt idx="25">
                  <c:v>0.46</c:v>
                </c:pt>
                <c:pt idx="26">
                  <c:v>0.5</c:v>
                </c:pt>
                <c:pt idx="27">
                  <c:v>0.42</c:v>
                </c:pt>
                <c:pt idx="28">
                  <c:v>0.42</c:v>
                </c:pt>
                <c:pt idx="29">
                  <c:v>0.48</c:v>
                </c:pt>
                <c:pt idx="30">
                  <c:v>0.51</c:v>
                </c:pt>
                <c:pt idx="31">
                  <c:v>0.44</c:v>
                </c:pt>
                <c:pt idx="32">
                  <c:v>0.41</c:v>
                </c:pt>
                <c:pt idx="33">
                  <c:v>0.46</c:v>
                </c:pt>
                <c:pt idx="34">
                  <c:v>0.49</c:v>
                </c:pt>
                <c:pt idx="35">
                  <c:v>0.43</c:v>
                </c:pt>
              </c:numCache>
            </c:numRef>
          </c:val>
          <c:extLst>
            <c:ext xmlns:c16="http://schemas.microsoft.com/office/drawing/2014/chart" uri="{C3380CC4-5D6E-409C-BE32-E72D297353CC}">
              <c16:uniqueId val="{00000001-1A61-435B-A765-40AB71907592}"/>
            </c:ext>
          </c:extLst>
        </c:ser>
        <c:ser>
          <c:idx val="2"/>
          <c:order val="2"/>
          <c:tx>
            <c:strRef>
              <c:f>SyC!$E$240</c:f>
              <c:strCache>
                <c:ptCount val="1"/>
                <c:pt idx="0">
                  <c:v>3</c:v>
                </c:pt>
              </c:strCache>
            </c:strRef>
          </c:tx>
          <c:spPr>
            <a:solidFill>
              <a:srgbClr val="FFC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SyC!$F$236:$AO$237</c:f>
              <c:multiLvlStrCache>
                <c:ptCount val="36"/>
                <c:lvl>
                  <c:pt idx="0">
                    <c:v>COLOMBIA</c:v>
                  </c:pt>
                  <c:pt idx="1">
                    <c:v>SOACHA</c:v>
                  </c:pt>
                  <c:pt idx="2">
                    <c:v>SOACHA OFICIAL</c:v>
                  </c:pt>
                  <c:pt idx="3">
                    <c:v>SOACHA NO OFICIAL</c:v>
                  </c:pt>
                  <c:pt idx="4">
                    <c:v>COLOMBIA</c:v>
                  </c:pt>
                  <c:pt idx="5">
                    <c:v>SOACHA</c:v>
                  </c:pt>
                  <c:pt idx="6">
                    <c:v>SOACHA OFICIAL</c:v>
                  </c:pt>
                  <c:pt idx="7">
                    <c:v>SOACHA NO OFICIAL</c:v>
                  </c:pt>
                  <c:pt idx="8">
                    <c:v>COLOMBIA</c:v>
                  </c:pt>
                  <c:pt idx="9">
                    <c:v>SOACHA</c:v>
                  </c:pt>
                  <c:pt idx="10">
                    <c:v>SOACHA OFICIAL</c:v>
                  </c:pt>
                  <c:pt idx="11">
                    <c:v>SOACHA NO OFICIAL</c:v>
                  </c:pt>
                  <c:pt idx="12">
                    <c:v>COLOMBIA</c:v>
                  </c:pt>
                  <c:pt idx="13">
                    <c:v>SOACHA</c:v>
                  </c:pt>
                  <c:pt idx="14">
                    <c:v>SOACHA OFICIAL</c:v>
                  </c:pt>
                  <c:pt idx="15">
                    <c:v>SOACHA NO OFICIAL</c:v>
                  </c:pt>
                  <c:pt idx="16">
                    <c:v>COLOMBIA</c:v>
                  </c:pt>
                  <c:pt idx="17">
                    <c:v>SOACHA</c:v>
                  </c:pt>
                  <c:pt idx="18">
                    <c:v>SOACHA OFICIAL</c:v>
                  </c:pt>
                  <c:pt idx="19">
                    <c:v>SOACHA NO OFICIAL</c:v>
                  </c:pt>
                  <c:pt idx="20">
                    <c:v>COLOMBIA</c:v>
                  </c:pt>
                  <c:pt idx="21">
                    <c:v>SOACHA</c:v>
                  </c:pt>
                  <c:pt idx="22">
                    <c:v>SOACHA OFICIAL</c:v>
                  </c:pt>
                  <c:pt idx="23">
                    <c:v>SOACHA NO OFICIAL</c:v>
                  </c:pt>
                  <c:pt idx="24">
                    <c:v>COLOMBIA</c:v>
                  </c:pt>
                  <c:pt idx="25">
                    <c:v>SOACHA</c:v>
                  </c:pt>
                  <c:pt idx="26">
                    <c:v>SOACHA OFICIAL</c:v>
                  </c:pt>
                  <c:pt idx="27">
                    <c:v>SOACHA NO OFICIAL</c:v>
                  </c:pt>
                  <c:pt idx="28">
                    <c:v>COLOMBIA</c:v>
                  </c:pt>
                  <c:pt idx="29">
                    <c:v>SOACHA</c:v>
                  </c:pt>
                  <c:pt idx="30">
                    <c:v>SOACHA OFICIAL</c:v>
                  </c:pt>
                  <c:pt idx="31">
                    <c:v>SOACHA NO OFICIAL</c:v>
                  </c:pt>
                  <c:pt idx="32">
                    <c:v>COLOMBIA</c:v>
                  </c:pt>
                  <c:pt idx="33">
                    <c:v>SOACHA</c:v>
                  </c:pt>
                  <c:pt idx="34">
                    <c:v>SOACHA OFICIAL</c:v>
                  </c:pt>
                  <c:pt idx="35">
                    <c:v>SOACHA NO OFICIAL</c:v>
                  </c:pt>
                </c:lvl>
                <c:lvl>
                  <c:pt idx="0">
                    <c:v>2016</c:v>
                  </c:pt>
                  <c:pt idx="4">
                    <c:v>2017</c:v>
                  </c:pt>
                  <c:pt idx="8">
                    <c:v>2018</c:v>
                  </c:pt>
                  <c:pt idx="12">
                    <c:v>2019</c:v>
                  </c:pt>
                  <c:pt idx="16">
                    <c:v>2020</c:v>
                  </c:pt>
                  <c:pt idx="20">
                    <c:v>2021</c:v>
                  </c:pt>
                  <c:pt idx="24">
                    <c:v>2022</c:v>
                  </c:pt>
                  <c:pt idx="28">
                    <c:v>2023</c:v>
                  </c:pt>
                  <c:pt idx="32">
                    <c:v>2024</c:v>
                  </c:pt>
                </c:lvl>
              </c:multiLvlStrCache>
            </c:multiLvlStrRef>
          </c:cat>
          <c:val>
            <c:numRef>
              <c:f>SyC!$F$240:$AO$240</c:f>
              <c:numCache>
                <c:formatCode>0%</c:formatCode>
                <c:ptCount val="36"/>
                <c:pt idx="0">
                  <c:v>0.32</c:v>
                </c:pt>
                <c:pt idx="1">
                  <c:v>0.33</c:v>
                </c:pt>
                <c:pt idx="2">
                  <c:v>0.28000000000000003</c:v>
                </c:pt>
                <c:pt idx="3">
                  <c:v>0.38</c:v>
                </c:pt>
                <c:pt idx="4">
                  <c:v>0.32</c:v>
                </c:pt>
                <c:pt idx="5">
                  <c:v>0.33</c:v>
                </c:pt>
                <c:pt idx="6">
                  <c:v>0.28999999999999998</c:v>
                </c:pt>
                <c:pt idx="7">
                  <c:v>0.39</c:v>
                </c:pt>
                <c:pt idx="8">
                  <c:v>0.28000000000000003</c:v>
                </c:pt>
                <c:pt idx="9">
                  <c:v>0.28999999999999998</c:v>
                </c:pt>
                <c:pt idx="10">
                  <c:v>0.24</c:v>
                </c:pt>
                <c:pt idx="11">
                  <c:v>0.35</c:v>
                </c:pt>
                <c:pt idx="12">
                  <c:v>0.24</c:v>
                </c:pt>
                <c:pt idx="13">
                  <c:v>0.25</c:v>
                </c:pt>
                <c:pt idx="14">
                  <c:v>0.2</c:v>
                </c:pt>
                <c:pt idx="15">
                  <c:v>0.31</c:v>
                </c:pt>
                <c:pt idx="16">
                  <c:v>0.27</c:v>
                </c:pt>
                <c:pt idx="17">
                  <c:v>0.31</c:v>
                </c:pt>
                <c:pt idx="18">
                  <c:v>0.26</c:v>
                </c:pt>
                <c:pt idx="19">
                  <c:v>0.36</c:v>
                </c:pt>
                <c:pt idx="20">
                  <c:v>0.24</c:v>
                </c:pt>
                <c:pt idx="21">
                  <c:v>0.27</c:v>
                </c:pt>
                <c:pt idx="22">
                  <c:v>0.21</c:v>
                </c:pt>
                <c:pt idx="23">
                  <c:v>0.33</c:v>
                </c:pt>
                <c:pt idx="24">
                  <c:v>0.27</c:v>
                </c:pt>
                <c:pt idx="25">
                  <c:v>0.31</c:v>
                </c:pt>
                <c:pt idx="26">
                  <c:v>0.23</c:v>
                </c:pt>
                <c:pt idx="27">
                  <c:v>0.39</c:v>
                </c:pt>
                <c:pt idx="28">
                  <c:v>0.27</c:v>
                </c:pt>
                <c:pt idx="29">
                  <c:v>0.31</c:v>
                </c:pt>
                <c:pt idx="30">
                  <c:v>0.24</c:v>
                </c:pt>
                <c:pt idx="31">
                  <c:v>0.38</c:v>
                </c:pt>
                <c:pt idx="32">
                  <c:v>0.28000000000000003</c:v>
                </c:pt>
                <c:pt idx="33">
                  <c:v>0.31</c:v>
                </c:pt>
                <c:pt idx="34">
                  <c:v>0.26</c:v>
                </c:pt>
                <c:pt idx="35">
                  <c:v>0.37</c:v>
                </c:pt>
              </c:numCache>
            </c:numRef>
          </c:val>
          <c:extLst>
            <c:ext xmlns:c16="http://schemas.microsoft.com/office/drawing/2014/chart" uri="{C3380CC4-5D6E-409C-BE32-E72D297353CC}">
              <c16:uniqueId val="{00000002-1A61-435B-A765-40AB71907592}"/>
            </c:ext>
          </c:extLst>
        </c:ser>
        <c:ser>
          <c:idx val="3"/>
          <c:order val="3"/>
          <c:tx>
            <c:strRef>
              <c:f>SyC!$E$241</c:f>
              <c:strCache>
                <c:ptCount val="1"/>
                <c:pt idx="0">
                  <c:v>4</c:v>
                </c:pt>
              </c:strCache>
            </c:strRef>
          </c:tx>
          <c:spPr>
            <a:solidFill>
              <a:srgbClr val="00B05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SyC!$F$236:$AO$237</c:f>
              <c:multiLvlStrCache>
                <c:ptCount val="36"/>
                <c:lvl>
                  <c:pt idx="0">
                    <c:v>COLOMBIA</c:v>
                  </c:pt>
                  <c:pt idx="1">
                    <c:v>SOACHA</c:v>
                  </c:pt>
                  <c:pt idx="2">
                    <c:v>SOACHA OFICIAL</c:v>
                  </c:pt>
                  <c:pt idx="3">
                    <c:v>SOACHA NO OFICIAL</c:v>
                  </c:pt>
                  <c:pt idx="4">
                    <c:v>COLOMBIA</c:v>
                  </c:pt>
                  <c:pt idx="5">
                    <c:v>SOACHA</c:v>
                  </c:pt>
                  <c:pt idx="6">
                    <c:v>SOACHA OFICIAL</c:v>
                  </c:pt>
                  <c:pt idx="7">
                    <c:v>SOACHA NO OFICIAL</c:v>
                  </c:pt>
                  <c:pt idx="8">
                    <c:v>COLOMBIA</c:v>
                  </c:pt>
                  <c:pt idx="9">
                    <c:v>SOACHA</c:v>
                  </c:pt>
                  <c:pt idx="10">
                    <c:v>SOACHA OFICIAL</c:v>
                  </c:pt>
                  <c:pt idx="11">
                    <c:v>SOACHA NO OFICIAL</c:v>
                  </c:pt>
                  <c:pt idx="12">
                    <c:v>COLOMBIA</c:v>
                  </c:pt>
                  <c:pt idx="13">
                    <c:v>SOACHA</c:v>
                  </c:pt>
                  <c:pt idx="14">
                    <c:v>SOACHA OFICIAL</c:v>
                  </c:pt>
                  <c:pt idx="15">
                    <c:v>SOACHA NO OFICIAL</c:v>
                  </c:pt>
                  <c:pt idx="16">
                    <c:v>COLOMBIA</c:v>
                  </c:pt>
                  <c:pt idx="17">
                    <c:v>SOACHA</c:v>
                  </c:pt>
                  <c:pt idx="18">
                    <c:v>SOACHA OFICIAL</c:v>
                  </c:pt>
                  <c:pt idx="19">
                    <c:v>SOACHA NO OFICIAL</c:v>
                  </c:pt>
                  <c:pt idx="20">
                    <c:v>COLOMBIA</c:v>
                  </c:pt>
                  <c:pt idx="21">
                    <c:v>SOACHA</c:v>
                  </c:pt>
                  <c:pt idx="22">
                    <c:v>SOACHA OFICIAL</c:v>
                  </c:pt>
                  <c:pt idx="23">
                    <c:v>SOACHA NO OFICIAL</c:v>
                  </c:pt>
                  <c:pt idx="24">
                    <c:v>COLOMBIA</c:v>
                  </c:pt>
                  <c:pt idx="25">
                    <c:v>SOACHA</c:v>
                  </c:pt>
                  <c:pt idx="26">
                    <c:v>SOACHA OFICIAL</c:v>
                  </c:pt>
                  <c:pt idx="27">
                    <c:v>SOACHA NO OFICIAL</c:v>
                  </c:pt>
                  <c:pt idx="28">
                    <c:v>COLOMBIA</c:v>
                  </c:pt>
                  <c:pt idx="29">
                    <c:v>SOACHA</c:v>
                  </c:pt>
                  <c:pt idx="30">
                    <c:v>SOACHA OFICIAL</c:v>
                  </c:pt>
                  <c:pt idx="31">
                    <c:v>SOACHA NO OFICIAL</c:v>
                  </c:pt>
                  <c:pt idx="32">
                    <c:v>COLOMBIA</c:v>
                  </c:pt>
                  <c:pt idx="33">
                    <c:v>SOACHA</c:v>
                  </c:pt>
                  <c:pt idx="34">
                    <c:v>SOACHA OFICIAL</c:v>
                  </c:pt>
                  <c:pt idx="35">
                    <c:v>SOACHA NO OFICIAL</c:v>
                  </c:pt>
                </c:lvl>
                <c:lvl>
                  <c:pt idx="0">
                    <c:v>2016</c:v>
                  </c:pt>
                  <c:pt idx="4">
                    <c:v>2017</c:v>
                  </c:pt>
                  <c:pt idx="8">
                    <c:v>2018</c:v>
                  </c:pt>
                  <c:pt idx="12">
                    <c:v>2019</c:v>
                  </c:pt>
                  <c:pt idx="16">
                    <c:v>2020</c:v>
                  </c:pt>
                  <c:pt idx="20">
                    <c:v>2021</c:v>
                  </c:pt>
                  <c:pt idx="24">
                    <c:v>2022</c:v>
                  </c:pt>
                  <c:pt idx="28">
                    <c:v>2023</c:v>
                  </c:pt>
                  <c:pt idx="32">
                    <c:v>2024</c:v>
                  </c:pt>
                </c:lvl>
              </c:multiLvlStrCache>
            </c:multiLvlStrRef>
          </c:cat>
          <c:val>
            <c:numRef>
              <c:f>SyC!$F$241:$AO$241</c:f>
              <c:numCache>
                <c:formatCode>0%</c:formatCode>
                <c:ptCount val="36"/>
                <c:pt idx="0">
                  <c:v>0.03</c:v>
                </c:pt>
                <c:pt idx="1">
                  <c:v>0.01</c:v>
                </c:pt>
                <c:pt idx="2">
                  <c:v>0.01</c:v>
                </c:pt>
                <c:pt idx="3">
                  <c:v>0.02</c:v>
                </c:pt>
                <c:pt idx="4">
                  <c:v>0.04</c:v>
                </c:pt>
                <c:pt idx="5">
                  <c:v>0.02</c:v>
                </c:pt>
                <c:pt idx="6">
                  <c:v>0.01</c:v>
                </c:pt>
                <c:pt idx="7">
                  <c:v>0.03</c:v>
                </c:pt>
                <c:pt idx="8">
                  <c:v>0.04</c:v>
                </c:pt>
                <c:pt idx="9">
                  <c:v>0.02</c:v>
                </c:pt>
                <c:pt idx="10">
                  <c:v>0.01</c:v>
                </c:pt>
                <c:pt idx="11">
                  <c:v>0.03</c:v>
                </c:pt>
                <c:pt idx="12">
                  <c:v>0.03</c:v>
                </c:pt>
                <c:pt idx="13">
                  <c:v>0.01</c:v>
                </c:pt>
                <c:pt idx="14">
                  <c:v>0.01</c:v>
                </c:pt>
                <c:pt idx="15">
                  <c:v>0.02</c:v>
                </c:pt>
                <c:pt idx="16">
                  <c:v>0.04</c:v>
                </c:pt>
                <c:pt idx="17">
                  <c:v>0.02</c:v>
                </c:pt>
                <c:pt idx="18">
                  <c:v>0.01</c:v>
                </c:pt>
                <c:pt idx="19">
                  <c:v>0.03</c:v>
                </c:pt>
                <c:pt idx="20">
                  <c:v>0.03</c:v>
                </c:pt>
                <c:pt idx="21">
                  <c:v>0.02</c:v>
                </c:pt>
                <c:pt idx="22">
                  <c:v>0.01</c:v>
                </c:pt>
                <c:pt idx="23">
                  <c:v>0.03</c:v>
                </c:pt>
                <c:pt idx="24">
                  <c:v>0.03</c:v>
                </c:pt>
                <c:pt idx="25">
                  <c:v>0.02</c:v>
                </c:pt>
                <c:pt idx="26">
                  <c:v>0.01</c:v>
                </c:pt>
                <c:pt idx="27">
                  <c:v>0.03</c:v>
                </c:pt>
                <c:pt idx="28">
                  <c:v>0.04</c:v>
                </c:pt>
                <c:pt idx="29">
                  <c:v>0.02</c:v>
                </c:pt>
                <c:pt idx="30">
                  <c:v>0.01</c:v>
                </c:pt>
                <c:pt idx="31">
                  <c:v>0.03</c:v>
                </c:pt>
                <c:pt idx="32">
                  <c:v>0.04</c:v>
                </c:pt>
                <c:pt idx="33">
                  <c:v>0.03</c:v>
                </c:pt>
                <c:pt idx="34">
                  <c:v>0.02</c:v>
                </c:pt>
                <c:pt idx="35">
                  <c:v>0.04</c:v>
                </c:pt>
              </c:numCache>
            </c:numRef>
          </c:val>
          <c:extLst>
            <c:ext xmlns:c16="http://schemas.microsoft.com/office/drawing/2014/chart" uri="{C3380CC4-5D6E-409C-BE32-E72D297353CC}">
              <c16:uniqueId val="{00000003-1A61-435B-A765-40AB71907592}"/>
            </c:ext>
          </c:extLst>
        </c:ser>
        <c:dLbls>
          <c:showLegendKey val="0"/>
          <c:showVal val="0"/>
          <c:showCatName val="0"/>
          <c:showSerName val="0"/>
          <c:showPercent val="0"/>
          <c:showBubbleSize val="0"/>
        </c:dLbls>
        <c:gapWidth val="150"/>
        <c:overlap val="100"/>
        <c:axId val="744346207"/>
        <c:axId val="634479663"/>
      </c:barChart>
      <c:catAx>
        <c:axId val="74434620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634479663"/>
        <c:crosses val="autoZero"/>
        <c:auto val="1"/>
        <c:lblAlgn val="ctr"/>
        <c:lblOffset val="100"/>
        <c:noMultiLvlLbl val="0"/>
      </c:catAx>
      <c:valAx>
        <c:axId val="634479663"/>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74434620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sz="1400"/>
              <a:t>Resultados Ciencias Naturales</a:t>
            </a:r>
            <a:r>
              <a:rPr lang="es-CO" sz="1400" baseline="0"/>
              <a:t> por Comunas 2016 - 2024</a:t>
            </a:r>
            <a:endParaRPr lang="es-CO" sz="1400"/>
          </a:p>
        </c:rich>
      </c:tx>
      <c:overlay val="0"/>
    </c:title>
    <c:autoTitleDeleted val="0"/>
    <c:plotArea>
      <c:layout/>
      <c:radarChart>
        <c:radarStyle val="marker"/>
        <c:varyColors val="0"/>
        <c:ser>
          <c:idx val="0"/>
          <c:order val="0"/>
          <c:tx>
            <c:strRef>
              <c:f>CN!$AA$178</c:f>
              <c:strCache>
                <c:ptCount val="1"/>
                <c:pt idx="0">
                  <c:v>2016</c:v>
                </c:pt>
              </c:strCache>
            </c:strRef>
          </c:tx>
          <c:spPr>
            <a:ln>
              <a:prstDash val="lgDashDot"/>
            </a:ln>
          </c:spPr>
          <c:cat>
            <c:strRef>
              <c:f>CN!$Z$179:$Z$184</c:f>
              <c:strCache>
                <c:ptCount val="6"/>
                <c:pt idx="0">
                  <c:v>COMUNA 1</c:v>
                </c:pt>
                <c:pt idx="1">
                  <c:v>COMUNA 2</c:v>
                </c:pt>
                <c:pt idx="2">
                  <c:v>COMUNA 3</c:v>
                </c:pt>
                <c:pt idx="3">
                  <c:v>COMUNA 4</c:v>
                </c:pt>
                <c:pt idx="4">
                  <c:v>COMUNA 5</c:v>
                </c:pt>
                <c:pt idx="5">
                  <c:v>COMUNA 6</c:v>
                </c:pt>
              </c:strCache>
            </c:strRef>
          </c:cat>
          <c:val>
            <c:numRef>
              <c:f>CN!$AA$179:$AA$184</c:f>
              <c:numCache>
                <c:formatCode>0</c:formatCode>
                <c:ptCount val="6"/>
                <c:pt idx="0">
                  <c:v>53.176470588235297</c:v>
                </c:pt>
                <c:pt idx="1">
                  <c:v>54.6</c:v>
                </c:pt>
                <c:pt idx="2">
                  <c:v>55.0625</c:v>
                </c:pt>
                <c:pt idx="3">
                  <c:v>51.142857142857146</c:v>
                </c:pt>
                <c:pt idx="4">
                  <c:v>56.235294117647058</c:v>
                </c:pt>
                <c:pt idx="5">
                  <c:v>55.06666666666667</c:v>
                </c:pt>
              </c:numCache>
            </c:numRef>
          </c:val>
          <c:extLst>
            <c:ext xmlns:c16="http://schemas.microsoft.com/office/drawing/2014/chart" uri="{C3380CC4-5D6E-409C-BE32-E72D297353CC}">
              <c16:uniqueId val="{00000000-3F0A-40B9-8E3C-7D8199688C49}"/>
            </c:ext>
          </c:extLst>
        </c:ser>
        <c:ser>
          <c:idx val="1"/>
          <c:order val="1"/>
          <c:tx>
            <c:strRef>
              <c:f>CN!$AB$178</c:f>
              <c:strCache>
                <c:ptCount val="1"/>
                <c:pt idx="0">
                  <c:v>2017</c:v>
                </c:pt>
              </c:strCache>
            </c:strRef>
          </c:tx>
          <c:cat>
            <c:strRef>
              <c:f>CN!$Z$179:$Z$184</c:f>
              <c:strCache>
                <c:ptCount val="6"/>
                <c:pt idx="0">
                  <c:v>COMUNA 1</c:v>
                </c:pt>
                <c:pt idx="1">
                  <c:v>COMUNA 2</c:v>
                </c:pt>
                <c:pt idx="2">
                  <c:v>COMUNA 3</c:v>
                </c:pt>
                <c:pt idx="3">
                  <c:v>COMUNA 4</c:v>
                </c:pt>
                <c:pt idx="4">
                  <c:v>COMUNA 5</c:v>
                </c:pt>
                <c:pt idx="5">
                  <c:v>COMUNA 6</c:v>
                </c:pt>
              </c:strCache>
            </c:strRef>
          </c:cat>
          <c:val>
            <c:numRef>
              <c:f>CN!$AB$179:$AB$184</c:f>
              <c:numCache>
                <c:formatCode>0</c:formatCode>
                <c:ptCount val="6"/>
                <c:pt idx="0">
                  <c:v>52.625</c:v>
                </c:pt>
                <c:pt idx="1">
                  <c:v>52.89473684210526</c:v>
                </c:pt>
                <c:pt idx="2">
                  <c:v>53.235294117647058</c:v>
                </c:pt>
                <c:pt idx="3">
                  <c:v>51.2</c:v>
                </c:pt>
                <c:pt idx="4">
                  <c:v>55</c:v>
                </c:pt>
                <c:pt idx="5">
                  <c:v>52.06666666666667</c:v>
                </c:pt>
              </c:numCache>
            </c:numRef>
          </c:val>
          <c:extLst>
            <c:ext xmlns:c16="http://schemas.microsoft.com/office/drawing/2014/chart" uri="{C3380CC4-5D6E-409C-BE32-E72D297353CC}">
              <c16:uniqueId val="{00000001-3F0A-40B9-8E3C-7D8199688C49}"/>
            </c:ext>
          </c:extLst>
        </c:ser>
        <c:ser>
          <c:idx val="2"/>
          <c:order val="2"/>
          <c:tx>
            <c:strRef>
              <c:f>CN!$AC$178</c:f>
              <c:strCache>
                <c:ptCount val="1"/>
                <c:pt idx="0">
                  <c:v>2018</c:v>
                </c:pt>
              </c:strCache>
            </c:strRef>
          </c:tx>
          <c:spPr>
            <a:ln>
              <a:prstDash val="sysDash"/>
            </a:ln>
          </c:spPr>
          <c:cat>
            <c:strRef>
              <c:f>CN!$Z$179:$Z$184</c:f>
              <c:strCache>
                <c:ptCount val="6"/>
                <c:pt idx="0">
                  <c:v>COMUNA 1</c:v>
                </c:pt>
                <c:pt idx="1">
                  <c:v>COMUNA 2</c:v>
                </c:pt>
                <c:pt idx="2">
                  <c:v>COMUNA 3</c:v>
                </c:pt>
                <c:pt idx="3">
                  <c:v>COMUNA 4</c:v>
                </c:pt>
                <c:pt idx="4">
                  <c:v>COMUNA 5</c:v>
                </c:pt>
                <c:pt idx="5">
                  <c:v>COMUNA 6</c:v>
                </c:pt>
              </c:strCache>
            </c:strRef>
          </c:cat>
          <c:val>
            <c:numRef>
              <c:f>CN!$AC$179:$AC$184</c:f>
              <c:numCache>
                <c:formatCode>0</c:formatCode>
                <c:ptCount val="6"/>
                <c:pt idx="0">
                  <c:v>50.764705882352942</c:v>
                </c:pt>
                <c:pt idx="1">
                  <c:v>51.684210526315788</c:v>
                </c:pt>
                <c:pt idx="2">
                  <c:v>52.117647058823529</c:v>
                </c:pt>
                <c:pt idx="3">
                  <c:v>49.266666666666666</c:v>
                </c:pt>
                <c:pt idx="4">
                  <c:v>53.611111111111114</c:v>
                </c:pt>
                <c:pt idx="5">
                  <c:v>51</c:v>
                </c:pt>
              </c:numCache>
            </c:numRef>
          </c:val>
          <c:extLst>
            <c:ext xmlns:c16="http://schemas.microsoft.com/office/drawing/2014/chart" uri="{C3380CC4-5D6E-409C-BE32-E72D297353CC}">
              <c16:uniqueId val="{00000002-3F0A-40B9-8E3C-7D8199688C49}"/>
            </c:ext>
          </c:extLst>
        </c:ser>
        <c:ser>
          <c:idx val="3"/>
          <c:order val="3"/>
          <c:tx>
            <c:strRef>
              <c:f>CN!$AD$178</c:f>
              <c:strCache>
                <c:ptCount val="1"/>
                <c:pt idx="0">
                  <c:v>2019</c:v>
                </c:pt>
              </c:strCache>
            </c:strRef>
          </c:tx>
          <c:cat>
            <c:strRef>
              <c:f>CN!$Z$179:$Z$184</c:f>
              <c:strCache>
                <c:ptCount val="6"/>
                <c:pt idx="0">
                  <c:v>COMUNA 1</c:v>
                </c:pt>
                <c:pt idx="1">
                  <c:v>COMUNA 2</c:v>
                </c:pt>
                <c:pt idx="2">
                  <c:v>COMUNA 3</c:v>
                </c:pt>
                <c:pt idx="3">
                  <c:v>COMUNA 4</c:v>
                </c:pt>
                <c:pt idx="4">
                  <c:v>COMUNA 5</c:v>
                </c:pt>
                <c:pt idx="5">
                  <c:v>COMUNA 6</c:v>
                </c:pt>
              </c:strCache>
            </c:strRef>
          </c:cat>
          <c:val>
            <c:numRef>
              <c:f>CN!$AD$179:$AD$184</c:f>
              <c:numCache>
                <c:formatCode>0</c:formatCode>
                <c:ptCount val="6"/>
                <c:pt idx="0">
                  <c:v>49.470588235294116</c:v>
                </c:pt>
                <c:pt idx="1">
                  <c:v>51.25</c:v>
                </c:pt>
                <c:pt idx="2">
                  <c:v>50.705882352941174</c:v>
                </c:pt>
                <c:pt idx="3">
                  <c:v>47.714285714285715</c:v>
                </c:pt>
                <c:pt idx="4">
                  <c:v>52.157894736842103</c:v>
                </c:pt>
                <c:pt idx="5">
                  <c:v>50.333333333333336</c:v>
                </c:pt>
              </c:numCache>
            </c:numRef>
          </c:val>
          <c:extLst>
            <c:ext xmlns:c16="http://schemas.microsoft.com/office/drawing/2014/chart" uri="{C3380CC4-5D6E-409C-BE32-E72D297353CC}">
              <c16:uniqueId val="{00000003-3F0A-40B9-8E3C-7D8199688C49}"/>
            </c:ext>
          </c:extLst>
        </c:ser>
        <c:ser>
          <c:idx val="4"/>
          <c:order val="4"/>
          <c:tx>
            <c:strRef>
              <c:f>CN!$AE$178</c:f>
              <c:strCache>
                <c:ptCount val="1"/>
                <c:pt idx="0">
                  <c:v>2020</c:v>
                </c:pt>
              </c:strCache>
            </c:strRef>
          </c:tx>
          <c:cat>
            <c:strRef>
              <c:f>CN!$Z$179:$Z$184</c:f>
              <c:strCache>
                <c:ptCount val="6"/>
                <c:pt idx="0">
                  <c:v>COMUNA 1</c:v>
                </c:pt>
                <c:pt idx="1">
                  <c:v>COMUNA 2</c:v>
                </c:pt>
                <c:pt idx="2">
                  <c:v>COMUNA 3</c:v>
                </c:pt>
                <c:pt idx="3">
                  <c:v>COMUNA 4</c:v>
                </c:pt>
                <c:pt idx="4">
                  <c:v>COMUNA 5</c:v>
                </c:pt>
                <c:pt idx="5">
                  <c:v>COMUNA 6</c:v>
                </c:pt>
              </c:strCache>
            </c:strRef>
          </c:cat>
          <c:val>
            <c:numRef>
              <c:f>CN!$AE$179:$AE$184</c:f>
              <c:numCache>
                <c:formatCode>0</c:formatCode>
                <c:ptCount val="6"/>
                <c:pt idx="0">
                  <c:v>49.588235294117645</c:v>
                </c:pt>
                <c:pt idx="1">
                  <c:v>49.75</c:v>
                </c:pt>
                <c:pt idx="2">
                  <c:v>50.94736842105263</c:v>
                </c:pt>
                <c:pt idx="3">
                  <c:v>47</c:v>
                </c:pt>
                <c:pt idx="4">
                  <c:v>52.777777777777779</c:v>
                </c:pt>
                <c:pt idx="5">
                  <c:v>49.235294117647058</c:v>
                </c:pt>
              </c:numCache>
            </c:numRef>
          </c:val>
          <c:extLst>
            <c:ext xmlns:c16="http://schemas.microsoft.com/office/drawing/2014/chart" uri="{C3380CC4-5D6E-409C-BE32-E72D297353CC}">
              <c16:uniqueId val="{00000001-A6A4-43B1-9C0C-825CDE793F37}"/>
            </c:ext>
          </c:extLst>
        </c:ser>
        <c:ser>
          <c:idx val="5"/>
          <c:order val="5"/>
          <c:tx>
            <c:strRef>
              <c:f>CN!$AF$178</c:f>
              <c:strCache>
                <c:ptCount val="1"/>
                <c:pt idx="0">
                  <c:v>2021</c:v>
                </c:pt>
              </c:strCache>
            </c:strRef>
          </c:tx>
          <c:cat>
            <c:strRef>
              <c:f>CN!$Z$179:$Z$184</c:f>
              <c:strCache>
                <c:ptCount val="6"/>
                <c:pt idx="0">
                  <c:v>COMUNA 1</c:v>
                </c:pt>
                <c:pt idx="1">
                  <c:v>COMUNA 2</c:v>
                </c:pt>
                <c:pt idx="2">
                  <c:v>COMUNA 3</c:v>
                </c:pt>
                <c:pt idx="3">
                  <c:v>COMUNA 4</c:v>
                </c:pt>
                <c:pt idx="4">
                  <c:v>COMUNA 5</c:v>
                </c:pt>
                <c:pt idx="5">
                  <c:v>COMUNA 6</c:v>
                </c:pt>
              </c:strCache>
            </c:strRef>
          </c:cat>
          <c:val>
            <c:numRef>
              <c:f>CN!$AF$179:$AF$184</c:f>
              <c:numCache>
                <c:formatCode>0</c:formatCode>
                <c:ptCount val="6"/>
                <c:pt idx="0">
                  <c:v>49.705882352941174</c:v>
                </c:pt>
                <c:pt idx="1">
                  <c:v>50.18181818181818</c:v>
                </c:pt>
                <c:pt idx="2">
                  <c:v>51</c:v>
                </c:pt>
                <c:pt idx="3">
                  <c:v>47.571428571428569</c:v>
                </c:pt>
                <c:pt idx="4">
                  <c:v>52.277777777777779</c:v>
                </c:pt>
                <c:pt idx="5">
                  <c:v>49.235294117647058</c:v>
                </c:pt>
              </c:numCache>
            </c:numRef>
          </c:val>
          <c:extLst>
            <c:ext xmlns:c16="http://schemas.microsoft.com/office/drawing/2014/chart" uri="{C3380CC4-5D6E-409C-BE32-E72D297353CC}">
              <c16:uniqueId val="{00000000-BF4B-4F30-9369-57EC137F697B}"/>
            </c:ext>
          </c:extLst>
        </c:ser>
        <c:ser>
          <c:idx val="6"/>
          <c:order val="6"/>
          <c:tx>
            <c:strRef>
              <c:f>CN!$AG$178</c:f>
              <c:strCache>
                <c:ptCount val="1"/>
                <c:pt idx="0">
                  <c:v>2022</c:v>
                </c:pt>
              </c:strCache>
            </c:strRef>
          </c:tx>
          <c:cat>
            <c:strRef>
              <c:f>CN!$Z$179:$Z$184</c:f>
              <c:strCache>
                <c:ptCount val="6"/>
                <c:pt idx="0">
                  <c:v>COMUNA 1</c:v>
                </c:pt>
                <c:pt idx="1">
                  <c:v>COMUNA 2</c:v>
                </c:pt>
                <c:pt idx="2">
                  <c:v>COMUNA 3</c:v>
                </c:pt>
                <c:pt idx="3">
                  <c:v>COMUNA 4</c:v>
                </c:pt>
                <c:pt idx="4">
                  <c:v>COMUNA 5</c:v>
                </c:pt>
                <c:pt idx="5">
                  <c:v>COMUNA 6</c:v>
                </c:pt>
              </c:strCache>
            </c:strRef>
          </c:cat>
          <c:val>
            <c:numRef>
              <c:f>CN!$AG$179:$AG$184</c:f>
              <c:numCache>
                <c:formatCode>0</c:formatCode>
                <c:ptCount val="6"/>
                <c:pt idx="0">
                  <c:v>50.388888888888886</c:v>
                </c:pt>
                <c:pt idx="1">
                  <c:v>51.52</c:v>
                </c:pt>
                <c:pt idx="2">
                  <c:v>51.5</c:v>
                </c:pt>
                <c:pt idx="3">
                  <c:v>48.5</c:v>
                </c:pt>
                <c:pt idx="4">
                  <c:v>53.705882352941174</c:v>
                </c:pt>
                <c:pt idx="5">
                  <c:v>49.736842105263158</c:v>
                </c:pt>
              </c:numCache>
            </c:numRef>
          </c:val>
          <c:extLst>
            <c:ext xmlns:c16="http://schemas.microsoft.com/office/drawing/2014/chart" uri="{C3380CC4-5D6E-409C-BE32-E72D297353CC}">
              <c16:uniqueId val="{00000000-9DD3-4838-8DC6-23F0AA3B8FFA}"/>
            </c:ext>
          </c:extLst>
        </c:ser>
        <c:ser>
          <c:idx val="7"/>
          <c:order val="7"/>
          <c:tx>
            <c:strRef>
              <c:f>CN!$AH$178</c:f>
              <c:strCache>
                <c:ptCount val="1"/>
                <c:pt idx="0">
                  <c:v>2023</c:v>
                </c:pt>
              </c:strCache>
            </c:strRef>
          </c:tx>
          <c:cat>
            <c:strRef>
              <c:f>CN!$Z$179:$Z$184</c:f>
              <c:strCache>
                <c:ptCount val="6"/>
                <c:pt idx="0">
                  <c:v>COMUNA 1</c:v>
                </c:pt>
                <c:pt idx="1">
                  <c:v>COMUNA 2</c:v>
                </c:pt>
                <c:pt idx="2">
                  <c:v>COMUNA 3</c:v>
                </c:pt>
                <c:pt idx="3">
                  <c:v>COMUNA 4</c:v>
                </c:pt>
                <c:pt idx="4">
                  <c:v>COMUNA 5</c:v>
                </c:pt>
                <c:pt idx="5">
                  <c:v>COMUNA 6</c:v>
                </c:pt>
              </c:strCache>
            </c:strRef>
          </c:cat>
          <c:val>
            <c:numRef>
              <c:f>CN!$AH$179:$AH$184</c:f>
              <c:numCache>
                <c:formatCode>0</c:formatCode>
                <c:ptCount val="6"/>
                <c:pt idx="0">
                  <c:v>51.411764705882355</c:v>
                </c:pt>
                <c:pt idx="1">
                  <c:v>51.384615384615387</c:v>
                </c:pt>
                <c:pt idx="2">
                  <c:v>52.272727272727273</c:v>
                </c:pt>
                <c:pt idx="3">
                  <c:v>48</c:v>
                </c:pt>
                <c:pt idx="4">
                  <c:v>54.588235294117645</c:v>
                </c:pt>
                <c:pt idx="5">
                  <c:v>50.9</c:v>
                </c:pt>
              </c:numCache>
            </c:numRef>
          </c:val>
          <c:extLst>
            <c:ext xmlns:c16="http://schemas.microsoft.com/office/drawing/2014/chart" uri="{C3380CC4-5D6E-409C-BE32-E72D297353CC}">
              <c16:uniqueId val="{00000001-9DD3-4838-8DC6-23F0AA3B8FFA}"/>
            </c:ext>
          </c:extLst>
        </c:ser>
        <c:ser>
          <c:idx val="8"/>
          <c:order val="8"/>
          <c:tx>
            <c:strRef>
              <c:f>CN!$AI$178</c:f>
              <c:strCache>
                <c:ptCount val="1"/>
                <c:pt idx="0">
                  <c:v>2024</c:v>
                </c:pt>
              </c:strCache>
            </c:strRef>
          </c:tx>
          <c:cat>
            <c:strRef>
              <c:f>CN!$Z$179:$Z$184</c:f>
              <c:strCache>
                <c:ptCount val="6"/>
                <c:pt idx="0">
                  <c:v>COMUNA 1</c:v>
                </c:pt>
                <c:pt idx="1">
                  <c:v>COMUNA 2</c:v>
                </c:pt>
                <c:pt idx="2">
                  <c:v>COMUNA 3</c:v>
                </c:pt>
                <c:pt idx="3">
                  <c:v>COMUNA 4</c:v>
                </c:pt>
                <c:pt idx="4">
                  <c:v>COMUNA 5</c:v>
                </c:pt>
                <c:pt idx="5">
                  <c:v>COMUNA 6</c:v>
                </c:pt>
              </c:strCache>
            </c:strRef>
          </c:cat>
          <c:val>
            <c:numRef>
              <c:f>CN!$AI$179:$AI$184</c:f>
              <c:numCache>
                <c:formatCode>0</c:formatCode>
                <c:ptCount val="6"/>
                <c:pt idx="0">
                  <c:v>51.222222222222221</c:v>
                </c:pt>
                <c:pt idx="1">
                  <c:v>52.375</c:v>
                </c:pt>
                <c:pt idx="2">
                  <c:v>52.727272727272727</c:v>
                </c:pt>
                <c:pt idx="3">
                  <c:v>49.615384615384613</c:v>
                </c:pt>
                <c:pt idx="4">
                  <c:v>52.833333333333336</c:v>
                </c:pt>
                <c:pt idx="5">
                  <c:v>51.055555555555557</c:v>
                </c:pt>
              </c:numCache>
            </c:numRef>
          </c:val>
          <c:extLst>
            <c:ext xmlns:c16="http://schemas.microsoft.com/office/drawing/2014/chart" uri="{C3380CC4-5D6E-409C-BE32-E72D297353CC}">
              <c16:uniqueId val="{00000000-A4DD-41D3-9C98-478C55CC9304}"/>
            </c:ext>
          </c:extLst>
        </c:ser>
        <c:dLbls>
          <c:showLegendKey val="0"/>
          <c:showVal val="0"/>
          <c:showCatName val="0"/>
          <c:showSerName val="0"/>
          <c:showPercent val="0"/>
          <c:showBubbleSize val="0"/>
        </c:dLbls>
        <c:axId val="39135104"/>
        <c:axId val="39136640"/>
      </c:radarChart>
      <c:catAx>
        <c:axId val="39135104"/>
        <c:scaling>
          <c:orientation val="minMax"/>
        </c:scaling>
        <c:delete val="0"/>
        <c:axPos val="b"/>
        <c:majorGridlines/>
        <c:numFmt formatCode="General" sourceLinked="0"/>
        <c:majorTickMark val="none"/>
        <c:minorTickMark val="none"/>
        <c:tickLblPos val="nextTo"/>
        <c:spPr>
          <a:ln w="9525">
            <a:noFill/>
          </a:ln>
        </c:spPr>
        <c:crossAx val="39136640"/>
        <c:crosses val="autoZero"/>
        <c:auto val="1"/>
        <c:lblAlgn val="ctr"/>
        <c:lblOffset val="100"/>
        <c:noMultiLvlLbl val="0"/>
      </c:catAx>
      <c:valAx>
        <c:axId val="39136640"/>
        <c:scaling>
          <c:orientation val="minMax"/>
          <c:max val="58"/>
          <c:min val="44"/>
        </c:scaling>
        <c:delete val="0"/>
        <c:axPos val="l"/>
        <c:majorGridlines/>
        <c:numFmt formatCode="0" sourceLinked="1"/>
        <c:majorTickMark val="none"/>
        <c:minorTickMark val="none"/>
        <c:tickLblPos val="nextTo"/>
        <c:crossAx val="39135104"/>
        <c:crosses val="autoZero"/>
        <c:crossBetween val="between"/>
        <c:majorUnit val="2"/>
      </c:valAx>
    </c:plotArea>
    <c:legend>
      <c:legendPos val="r"/>
      <c:overlay val="0"/>
    </c:legend>
    <c:plotVisOnly val="1"/>
    <c:dispBlanksAs val="gap"/>
    <c:showDLblsOverMax val="0"/>
  </c:chart>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a:defRPr/>
            </a:pPr>
            <a:r>
              <a:rPr lang="es-CO" sz="1400" b="1" i="0" baseline="0">
                <a:effectLst/>
              </a:rPr>
              <a:t>Resultados Ciencias Naturales Instituciones No Oficiales por Comunas 2016 - 2024</a:t>
            </a:r>
            <a:endParaRPr lang="es-CO" sz="1400">
              <a:effectLst/>
            </a:endParaRPr>
          </a:p>
        </c:rich>
      </c:tx>
      <c:overlay val="0"/>
    </c:title>
    <c:autoTitleDeleted val="0"/>
    <c:plotArea>
      <c:layout/>
      <c:radarChart>
        <c:radarStyle val="marker"/>
        <c:varyColors val="0"/>
        <c:ser>
          <c:idx val="0"/>
          <c:order val="0"/>
          <c:tx>
            <c:strRef>
              <c:f>CN!$F$203</c:f>
              <c:strCache>
                <c:ptCount val="1"/>
                <c:pt idx="0">
                  <c:v>2016</c:v>
                </c:pt>
              </c:strCache>
            </c:strRef>
          </c:tx>
          <c:spPr>
            <a:ln>
              <a:prstDash val="lgDashDot"/>
            </a:ln>
          </c:spPr>
          <c:cat>
            <c:strRef>
              <c:f>CN!$E$204:$E$209</c:f>
              <c:strCache>
                <c:ptCount val="6"/>
                <c:pt idx="0">
                  <c:v>COMUNA 1</c:v>
                </c:pt>
                <c:pt idx="1">
                  <c:v>COMUNA 2</c:v>
                </c:pt>
                <c:pt idx="2">
                  <c:v>COMUNA 3</c:v>
                </c:pt>
                <c:pt idx="3">
                  <c:v>COMUNA 4</c:v>
                </c:pt>
                <c:pt idx="4">
                  <c:v>COMUNA 5</c:v>
                </c:pt>
                <c:pt idx="5">
                  <c:v>COMUNA 6</c:v>
                </c:pt>
              </c:strCache>
            </c:strRef>
          </c:cat>
          <c:val>
            <c:numRef>
              <c:f>CN!$F$204:$F$209</c:f>
              <c:numCache>
                <c:formatCode>0</c:formatCode>
                <c:ptCount val="6"/>
                <c:pt idx="0">
                  <c:v>52.92307692307692</c:v>
                </c:pt>
                <c:pt idx="1">
                  <c:v>54.666666666666664</c:v>
                </c:pt>
                <c:pt idx="2">
                  <c:v>55.46153846153846</c:v>
                </c:pt>
                <c:pt idx="3">
                  <c:v>51.625</c:v>
                </c:pt>
                <c:pt idx="4">
                  <c:v>56.533333333333331</c:v>
                </c:pt>
                <c:pt idx="5">
                  <c:v>55.5</c:v>
                </c:pt>
              </c:numCache>
            </c:numRef>
          </c:val>
          <c:extLst>
            <c:ext xmlns:c16="http://schemas.microsoft.com/office/drawing/2014/chart" uri="{C3380CC4-5D6E-409C-BE32-E72D297353CC}">
              <c16:uniqueId val="{00000000-9BAC-48E9-B567-4D96458C5EB6}"/>
            </c:ext>
          </c:extLst>
        </c:ser>
        <c:ser>
          <c:idx val="1"/>
          <c:order val="1"/>
          <c:tx>
            <c:strRef>
              <c:f>CN!$G$203</c:f>
              <c:strCache>
                <c:ptCount val="1"/>
                <c:pt idx="0">
                  <c:v>2017</c:v>
                </c:pt>
              </c:strCache>
            </c:strRef>
          </c:tx>
          <c:cat>
            <c:strRef>
              <c:f>CN!$E$204:$E$209</c:f>
              <c:strCache>
                <c:ptCount val="6"/>
                <c:pt idx="0">
                  <c:v>COMUNA 1</c:v>
                </c:pt>
                <c:pt idx="1">
                  <c:v>COMUNA 2</c:v>
                </c:pt>
                <c:pt idx="2">
                  <c:v>COMUNA 3</c:v>
                </c:pt>
                <c:pt idx="3">
                  <c:v>COMUNA 4</c:v>
                </c:pt>
                <c:pt idx="4">
                  <c:v>COMUNA 5</c:v>
                </c:pt>
                <c:pt idx="5">
                  <c:v>COMUNA 6</c:v>
                </c:pt>
              </c:strCache>
            </c:strRef>
          </c:cat>
          <c:val>
            <c:numRef>
              <c:f>CN!$G$204:$G$209</c:f>
              <c:numCache>
                <c:formatCode>0</c:formatCode>
                <c:ptCount val="6"/>
                <c:pt idx="0">
                  <c:v>52.5</c:v>
                </c:pt>
                <c:pt idx="1">
                  <c:v>52.823529411764703</c:v>
                </c:pt>
                <c:pt idx="2">
                  <c:v>53.642857142857146</c:v>
                </c:pt>
                <c:pt idx="3">
                  <c:v>52.111111111111114</c:v>
                </c:pt>
                <c:pt idx="4">
                  <c:v>55.466666666666669</c:v>
                </c:pt>
                <c:pt idx="5">
                  <c:v>52.083333333333336</c:v>
                </c:pt>
              </c:numCache>
            </c:numRef>
          </c:val>
          <c:extLst>
            <c:ext xmlns:c16="http://schemas.microsoft.com/office/drawing/2014/chart" uri="{C3380CC4-5D6E-409C-BE32-E72D297353CC}">
              <c16:uniqueId val="{00000001-9BAC-48E9-B567-4D96458C5EB6}"/>
            </c:ext>
          </c:extLst>
        </c:ser>
        <c:ser>
          <c:idx val="2"/>
          <c:order val="2"/>
          <c:tx>
            <c:strRef>
              <c:f>CN!$H$203</c:f>
              <c:strCache>
                <c:ptCount val="1"/>
                <c:pt idx="0">
                  <c:v>2018</c:v>
                </c:pt>
              </c:strCache>
            </c:strRef>
          </c:tx>
          <c:spPr>
            <a:ln>
              <a:prstDash val="sysDash"/>
            </a:ln>
          </c:spPr>
          <c:cat>
            <c:strRef>
              <c:f>CN!$E$204:$E$209</c:f>
              <c:strCache>
                <c:ptCount val="6"/>
                <c:pt idx="0">
                  <c:v>COMUNA 1</c:v>
                </c:pt>
                <c:pt idx="1">
                  <c:v>COMUNA 2</c:v>
                </c:pt>
                <c:pt idx="2">
                  <c:v>COMUNA 3</c:v>
                </c:pt>
                <c:pt idx="3">
                  <c:v>COMUNA 4</c:v>
                </c:pt>
                <c:pt idx="4">
                  <c:v>COMUNA 5</c:v>
                </c:pt>
                <c:pt idx="5">
                  <c:v>COMUNA 6</c:v>
                </c:pt>
              </c:strCache>
            </c:strRef>
          </c:cat>
          <c:val>
            <c:numRef>
              <c:f>CN!$H$204:$H$209</c:f>
              <c:numCache>
                <c:formatCode>0</c:formatCode>
                <c:ptCount val="6"/>
                <c:pt idx="0">
                  <c:v>50.846153846153847</c:v>
                </c:pt>
                <c:pt idx="1">
                  <c:v>51.764705882352942</c:v>
                </c:pt>
                <c:pt idx="2">
                  <c:v>52.428571428571431</c:v>
                </c:pt>
                <c:pt idx="3">
                  <c:v>51.111111111111114</c:v>
                </c:pt>
                <c:pt idx="4">
                  <c:v>54.125</c:v>
                </c:pt>
                <c:pt idx="5">
                  <c:v>51.18181818181818</c:v>
                </c:pt>
              </c:numCache>
            </c:numRef>
          </c:val>
          <c:extLst>
            <c:ext xmlns:c16="http://schemas.microsoft.com/office/drawing/2014/chart" uri="{C3380CC4-5D6E-409C-BE32-E72D297353CC}">
              <c16:uniqueId val="{00000002-9BAC-48E9-B567-4D96458C5EB6}"/>
            </c:ext>
          </c:extLst>
        </c:ser>
        <c:ser>
          <c:idx val="3"/>
          <c:order val="3"/>
          <c:tx>
            <c:strRef>
              <c:f>CN!$I$203</c:f>
              <c:strCache>
                <c:ptCount val="1"/>
                <c:pt idx="0">
                  <c:v>2019</c:v>
                </c:pt>
              </c:strCache>
            </c:strRef>
          </c:tx>
          <c:cat>
            <c:strRef>
              <c:f>CN!$E$204:$E$209</c:f>
              <c:strCache>
                <c:ptCount val="6"/>
                <c:pt idx="0">
                  <c:v>COMUNA 1</c:v>
                </c:pt>
                <c:pt idx="1">
                  <c:v>COMUNA 2</c:v>
                </c:pt>
                <c:pt idx="2">
                  <c:v>COMUNA 3</c:v>
                </c:pt>
                <c:pt idx="3">
                  <c:v>COMUNA 4</c:v>
                </c:pt>
                <c:pt idx="4">
                  <c:v>COMUNA 5</c:v>
                </c:pt>
                <c:pt idx="5">
                  <c:v>COMUNA 6</c:v>
                </c:pt>
              </c:strCache>
            </c:strRef>
          </c:cat>
          <c:val>
            <c:numRef>
              <c:f>CN!$I$204:$I$209</c:f>
              <c:numCache>
                <c:formatCode>0</c:formatCode>
                <c:ptCount val="6"/>
                <c:pt idx="0">
                  <c:v>49.46153846153846</c:v>
                </c:pt>
                <c:pt idx="1">
                  <c:v>51.5</c:v>
                </c:pt>
                <c:pt idx="2">
                  <c:v>51.142857142857146</c:v>
                </c:pt>
                <c:pt idx="3">
                  <c:v>49.375</c:v>
                </c:pt>
                <c:pt idx="4">
                  <c:v>52.470588235294116</c:v>
                </c:pt>
                <c:pt idx="5">
                  <c:v>50.833333333333336</c:v>
                </c:pt>
              </c:numCache>
            </c:numRef>
          </c:val>
          <c:extLst>
            <c:ext xmlns:c16="http://schemas.microsoft.com/office/drawing/2014/chart" uri="{C3380CC4-5D6E-409C-BE32-E72D297353CC}">
              <c16:uniqueId val="{00000003-9BAC-48E9-B567-4D96458C5EB6}"/>
            </c:ext>
          </c:extLst>
        </c:ser>
        <c:ser>
          <c:idx val="4"/>
          <c:order val="4"/>
          <c:tx>
            <c:strRef>
              <c:f>CN!$J$203</c:f>
              <c:strCache>
                <c:ptCount val="1"/>
                <c:pt idx="0">
                  <c:v>2020</c:v>
                </c:pt>
              </c:strCache>
            </c:strRef>
          </c:tx>
          <c:cat>
            <c:strRef>
              <c:f>CN!$E$204:$E$209</c:f>
              <c:strCache>
                <c:ptCount val="6"/>
                <c:pt idx="0">
                  <c:v>COMUNA 1</c:v>
                </c:pt>
                <c:pt idx="1">
                  <c:v>COMUNA 2</c:v>
                </c:pt>
                <c:pt idx="2">
                  <c:v>COMUNA 3</c:v>
                </c:pt>
                <c:pt idx="3">
                  <c:v>COMUNA 4</c:v>
                </c:pt>
                <c:pt idx="4">
                  <c:v>COMUNA 5</c:v>
                </c:pt>
                <c:pt idx="5">
                  <c:v>COMUNA 6</c:v>
                </c:pt>
              </c:strCache>
            </c:strRef>
          </c:cat>
          <c:val>
            <c:numRef>
              <c:f>CN!$J$204:$J$209</c:f>
              <c:numCache>
                <c:formatCode>0</c:formatCode>
                <c:ptCount val="6"/>
                <c:pt idx="0">
                  <c:v>49.769230769230766</c:v>
                </c:pt>
                <c:pt idx="1">
                  <c:v>49.81818181818182</c:v>
                </c:pt>
                <c:pt idx="2">
                  <c:v>51.4</c:v>
                </c:pt>
                <c:pt idx="3">
                  <c:v>48.571428571428569</c:v>
                </c:pt>
                <c:pt idx="4">
                  <c:v>53.25</c:v>
                </c:pt>
                <c:pt idx="5">
                  <c:v>49.428571428571431</c:v>
                </c:pt>
              </c:numCache>
            </c:numRef>
          </c:val>
          <c:extLst>
            <c:ext xmlns:c16="http://schemas.microsoft.com/office/drawing/2014/chart" uri="{C3380CC4-5D6E-409C-BE32-E72D297353CC}">
              <c16:uniqueId val="{00000001-8DC5-4FD2-9FAB-193726B04AB9}"/>
            </c:ext>
          </c:extLst>
        </c:ser>
        <c:ser>
          <c:idx val="5"/>
          <c:order val="5"/>
          <c:tx>
            <c:strRef>
              <c:f>CN!$K$203</c:f>
              <c:strCache>
                <c:ptCount val="1"/>
                <c:pt idx="0">
                  <c:v>2021</c:v>
                </c:pt>
              </c:strCache>
            </c:strRef>
          </c:tx>
          <c:cat>
            <c:strRef>
              <c:f>CN!$E$204:$E$209</c:f>
              <c:strCache>
                <c:ptCount val="6"/>
                <c:pt idx="0">
                  <c:v>COMUNA 1</c:v>
                </c:pt>
                <c:pt idx="1">
                  <c:v>COMUNA 2</c:v>
                </c:pt>
                <c:pt idx="2">
                  <c:v>COMUNA 3</c:v>
                </c:pt>
                <c:pt idx="3">
                  <c:v>COMUNA 4</c:v>
                </c:pt>
                <c:pt idx="4">
                  <c:v>COMUNA 5</c:v>
                </c:pt>
                <c:pt idx="5">
                  <c:v>COMUNA 6</c:v>
                </c:pt>
              </c:strCache>
            </c:strRef>
          </c:cat>
          <c:val>
            <c:numRef>
              <c:f>CN!$K$204:$K$209</c:f>
              <c:numCache>
                <c:formatCode>0</c:formatCode>
                <c:ptCount val="6"/>
                <c:pt idx="0">
                  <c:v>50</c:v>
                </c:pt>
                <c:pt idx="1">
                  <c:v>50.3</c:v>
                </c:pt>
                <c:pt idx="2">
                  <c:v>51.666666666666664</c:v>
                </c:pt>
                <c:pt idx="3">
                  <c:v>48.75</c:v>
                </c:pt>
                <c:pt idx="4">
                  <c:v>52.75</c:v>
                </c:pt>
                <c:pt idx="5">
                  <c:v>49.571428571428569</c:v>
                </c:pt>
              </c:numCache>
            </c:numRef>
          </c:val>
          <c:extLst>
            <c:ext xmlns:c16="http://schemas.microsoft.com/office/drawing/2014/chart" uri="{C3380CC4-5D6E-409C-BE32-E72D297353CC}">
              <c16:uniqueId val="{00000000-44EA-4848-A6CD-3D79A8BC91EB}"/>
            </c:ext>
          </c:extLst>
        </c:ser>
        <c:ser>
          <c:idx val="6"/>
          <c:order val="6"/>
          <c:tx>
            <c:strRef>
              <c:f>CN!$L$203</c:f>
              <c:strCache>
                <c:ptCount val="1"/>
                <c:pt idx="0">
                  <c:v>2022</c:v>
                </c:pt>
              </c:strCache>
            </c:strRef>
          </c:tx>
          <c:cat>
            <c:strRef>
              <c:f>CN!$E$204:$E$209</c:f>
              <c:strCache>
                <c:ptCount val="6"/>
                <c:pt idx="0">
                  <c:v>COMUNA 1</c:v>
                </c:pt>
                <c:pt idx="1">
                  <c:v>COMUNA 2</c:v>
                </c:pt>
                <c:pt idx="2">
                  <c:v>COMUNA 3</c:v>
                </c:pt>
                <c:pt idx="3">
                  <c:v>COMUNA 4</c:v>
                </c:pt>
                <c:pt idx="4">
                  <c:v>COMUNA 5</c:v>
                </c:pt>
                <c:pt idx="5">
                  <c:v>COMUNA 6</c:v>
                </c:pt>
              </c:strCache>
            </c:strRef>
          </c:cat>
          <c:val>
            <c:numRef>
              <c:f>CN!$L$204:$L$209</c:f>
              <c:numCache>
                <c:formatCode>0</c:formatCode>
                <c:ptCount val="6"/>
                <c:pt idx="0">
                  <c:v>50.846153846153847</c:v>
                </c:pt>
                <c:pt idx="1">
                  <c:v>51.857142857142854</c:v>
                </c:pt>
                <c:pt idx="2">
                  <c:v>52.125</c:v>
                </c:pt>
                <c:pt idx="3">
                  <c:v>50.25</c:v>
                </c:pt>
                <c:pt idx="4">
                  <c:v>54.133333333333333</c:v>
                </c:pt>
                <c:pt idx="5">
                  <c:v>49.875</c:v>
                </c:pt>
              </c:numCache>
            </c:numRef>
          </c:val>
          <c:extLst>
            <c:ext xmlns:c16="http://schemas.microsoft.com/office/drawing/2014/chart" uri="{C3380CC4-5D6E-409C-BE32-E72D297353CC}">
              <c16:uniqueId val="{00000000-B238-4850-8255-24F3789D8DCE}"/>
            </c:ext>
          </c:extLst>
        </c:ser>
        <c:ser>
          <c:idx val="7"/>
          <c:order val="7"/>
          <c:tx>
            <c:strRef>
              <c:f>CN!$M$203</c:f>
              <c:strCache>
                <c:ptCount val="1"/>
                <c:pt idx="0">
                  <c:v>2023</c:v>
                </c:pt>
              </c:strCache>
            </c:strRef>
          </c:tx>
          <c:cat>
            <c:strRef>
              <c:f>CN!$E$204:$E$209</c:f>
              <c:strCache>
                <c:ptCount val="6"/>
                <c:pt idx="0">
                  <c:v>COMUNA 1</c:v>
                </c:pt>
                <c:pt idx="1">
                  <c:v>COMUNA 2</c:v>
                </c:pt>
                <c:pt idx="2">
                  <c:v>COMUNA 3</c:v>
                </c:pt>
                <c:pt idx="3">
                  <c:v>COMUNA 4</c:v>
                </c:pt>
                <c:pt idx="4">
                  <c:v>COMUNA 5</c:v>
                </c:pt>
                <c:pt idx="5">
                  <c:v>COMUNA 6</c:v>
                </c:pt>
              </c:strCache>
            </c:strRef>
          </c:cat>
          <c:val>
            <c:numRef>
              <c:f>CN!$M$204:$M$209</c:f>
              <c:numCache>
                <c:formatCode>0</c:formatCode>
                <c:ptCount val="6"/>
                <c:pt idx="0">
                  <c:v>52</c:v>
                </c:pt>
                <c:pt idx="1">
                  <c:v>51.68181818181818</c:v>
                </c:pt>
                <c:pt idx="2">
                  <c:v>52.9375</c:v>
                </c:pt>
                <c:pt idx="3">
                  <c:v>48.888888888888886</c:v>
                </c:pt>
                <c:pt idx="4">
                  <c:v>55.133333333333333</c:v>
                </c:pt>
                <c:pt idx="5">
                  <c:v>51.235294117647058</c:v>
                </c:pt>
              </c:numCache>
            </c:numRef>
          </c:val>
          <c:extLst>
            <c:ext xmlns:c16="http://schemas.microsoft.com/office/drawing/2014/chart" uri="{C3380CC4-5D6E-409C-BE32-E72D297353CC}">
              <c16:uniqueId val="{00000000-F2B1-4CA7-92B5-8FE0D6D2C23D}"/>
            </c:ext>
          </c:extLst>
        </c:ser>
        <c:ser>
          <c:idx val="8"/>
          <c:order val="8"/>
          <c:tx>
            <c:strRef>
              <c:f>CN!$N$203</c:f>
              <c:strCache>
                <c:ptCount val="1"/>
                <c:pt idx="0">
                  <c:v>2024</c:v>
                </c:pt>
              </c:strCache>
            </c:strRef>
          </c:tx>
          <c:cat>
            <c:strRef>
              <c:f>CN!$E$204:$E$209</c:f>
              <c:strCache>
                <c:ptCount val="6"/>
                <c:pt idx="0">
                  <c:v>COMUNA 1</c:v>
                </c:pt>
                <c:pt idx="1">
                  <c:v>COMUNA 2</c:v>
                </c:pt>
                <c:pt idx="2">
                  <c:v>COMUNA 3</c:v>
                </c:pt>
                <c:pt idx="3">
                  <c:v>COMUNA 4</c:v>
                </c:pt>
                <c:pt idx="4">
                  <c:v>COMUNA 5</c:v>
                </c:pt>
                <c:pt idx="5">
                  <c:v>COMUNA 6</c:v>
                </c:pt>
              </c:strCache>
            </c:strRef>
          </c:cat>
          <c:val>
            <c:numRef>
              <c:f>CN!$N$204:$N$209</c:f>
              <c:numCache>
                <c:formatCode>0</c:formatCode>
                <c:ptCount val="6"/>
                <c:pt idx="0">
                  <c:v>51.53846153846154</c:v>
                </c:pt>
                <c:pt idx="1">
                  <c:v>52.65</c:v>
                </c:pt>
                <c:pt idx="2">
                  <c:v>53.375</c:v>
                </c:pt>
                <c:pt idx="3">
                  <c:v>51.857142857142854</c:v>
                </c:pt>
                <c:pt idx="4">
                  <c:v>52.866666666666667</c:v>
                </c:pt>
                <c:pt idx="5">
                  <c:v>51.5</c:v>
                </c:pt>
              </c:numCache>
            </c:numRef>
          </c:val>
          <c:extLst>
            <c:ext xmlns:c16="http://schemas.microsoft.com/office/drawing/2014/chart" uri="{C3380CC4-5D6E-409C-BE32-E72D297353CC}">
              <c16:uniqueId val="{00000000-7A64-476D-BCAB-905A0B078E37}"/>
            </c:ext>
          </c:extLst>
        </c:ser>
        <c:dLbls>
          <c:showLegendKey val="0"/>
          <c:showVal val="0"/>
          <c:showCatName val="0"/>
          <c:showSerName val="0"/>
          <c:showPercent val="0"/>
          <c:showBubbleSize val="0"/>
        </c:dLbls>
        <c:axId val="39929728"/>
        <c:axId val="39931264"/>
      </c:radarChart>
      <c:catAx>
        <c:axId val="39929728"/>
        <c:scaling>
          <c:orientation val="minMax"/>
        </c:scaling>
        <c:delete val="0"/>
        <c:axPos val="b"/>
        <c:majorGridlines/>
        <c:numFmt formatCode="General" sourceLinked="0"/>
        <c:majorTickMark val="none"/>
        <c:minorTickMark val="none"/>
        <c:tickLblPos val="nextTo"/>
        <c:spPr>
          <a:ln w="9525">
            <a:noFill/>
          </a:ln>
        </c:spPr>
        <c:crossAx val="39931264"/>
        <c:crosses val="autoZero"/>
        <c:auto val="1"/>
        <c:lblAlgn val="ctr"/>
        <c:lblOffset val="100"/>
        <c:noMultiLvlLbl val="0"/>
      </c:catAx>
      <c:valAx>
        <c:axId val="39931264"/>
        <c:scaling>
          <c:orientation val="minMax"/>
          <c:max val="58"/>
          <c:min val="46"/>
        </c:scaling>
        <c:delete val="0"/>
        <c:axPos val="l"/>
        <c:majorGridlines/>
        <c:numFmt formatCode="0" sourceLinked="1"/>
        <c:majorTickMark val="none"/>
        <c:minorTickMark val="none"/>
        <c:tickLblPos val="nextTo"/>
        <c:crossAx val="39929728"/>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a:defRPr/>
            </a:pPr>
            <a:r>
              <a:rPr lang="es-CO" sz="1400" b="1" i="0" baseline="0">
                <a:effectLst/>
              </a:rPr>
              <a:t>Resultados Ciencias Naturales Instituciones Oficiales por Comunas 2016 - 2024</a:t>
            </a:r>
            <a:endParaRPr lang="es-CO" sz="1400">
              <a:effectLst/>
            </a:endParaRPr>
          </a:p>
        </c:rich>
      </c:tx>
      <c:overlay val="0"/>
    </c:title>
    <c:autoTitleDeleted val="0"/>
    <c:plotArea>
      <c:layout/>
      <c:radarChart>
        <c:radarStyle val="marker"/>
        <c:varyColors val="0"/>
        <c:ser>
          <c:idx val="0"/>
          <c:order val="0"/>
          <c:tx>
            <c:strRef>
              <c:f>CN!$V$203</c:f>
              <c:strCache>
                <c:ptCount val="1"/>
                <c:pt idx="0">
                  <c:v>2016</c:v>
                </c:pt>
              </c:strCache>
            </c:strRef>
          </c:tx>
          <c:spPr>
            <a:ln>
              <a:prstDash val="lgDashDot"/>
            </a:ln>
          </c:spPr>
          <c:cat>
            <c:strRef>
              <c:f>CN!$U$204:$U$209</c:f>
              <c:strCache>
                <c:ptCount val="6"/>
                <c:pt idx="0">
                  <c:v>COMUNA 1</c:v>
                </c:pt>
                <c:pt idx="1">
                  <c:v>COMUNA 2</c:v>
                </c:pt>
                <c:pt idx="2">
                  <c:v>COMUNA 3</c:v>
                </c:pt>
                <c:pt idx="3">
                  <c:v>COMUNA 4</c:v>
                </c:pt>
                <c:pt idx="4">
                  <c:v>COMUNA 5</c:v>
                </c:pt>
                <c:pt idx="5">
                  <c:v>COMUNA 6</c:v>
                </c:pt>
              </c:strCache>
            </c:strRef>
          </c:cat>
          <c:val>
            <c:numRef>
              <c:f>CN!$V$204:$V$209</c:f>
              <c:numCache>
                <c:formatCode>0</c:formatCode>
                <c:ptCount val="6"/>
                <c:pt idx="0">
                  <c:v>54</c:v>
                </c:pt>
                <c:pt idx="1">
                  <c:v>54</c:v>
                </c:pt>
                <c:pt idx="2">
                  <c:v>53.333333333333336</c:v>
                </c:pt>
                <c:pt idx="3">
                  <c:v>50.5</c:v>
                </c:pt>
                <c:pt idx="4">
                  <c:v>54</c:v>
                </c:pt>
                <c:pt idx="5">
                  <c:v>53.333333333333336</c:v>
                </c:pt>
              </c:numCache>
            </c:numRef>
          </c:val>
          <c:extLst>
            <c:ext xmlns:c16="http://schemas.microsoft.com/office/drawing/2014/chart" uri="{C3380CC4-5D6E-409C-BE32-E72D297353CC}">
              <c16:uniqueId val="{00000000-41D8-4C9B-B01E-CA2FB3F8B326}"/>
            </c:ext>
          </c:extLst>
        </c:ser>
        <c:ser>
          <c:idx val="1"/>
          <c:order val="1"/>
          <c:tx>
            <c:strRef>
              <c:f>CN!$W$203</c:f>
              <c:strCache>
                <c:ptCount val="1"/>
                <c:pt idx="0">
                  <c:v>2017</c:v>
                </c:pt>
              </c:strCache>
            </c:strRef>
          </c:tx>
          <c:cat>
            <c:strRef>
              <c:f>CN!$U$204:$U$209</c:f>
              <c:strCache>
                <c:ptCount val="6"/>
                <c:pt idx="0">
                  <c:v>COMUNA 1</c:v>
                </c:pt>
                <c:pt idx="1">
                  <c:v>COMUNA 2</c:v>
                </c:pt>
                <c:pt idx="2">
                  <c:v>COMUNA 3</c:v>
                </c:pt>
                <c:pt idx="3">
                  <c:v>COMUNA 4</c:v>
                </c:pt>
                <c:pt idx="4">
                  <c:v>COMUNA 5</c:v>
                </c:pt>
                <c:pt idx="5">
                  <c:v>COMUNA 6</c:v>
                </c:pt>
              </c:strCache>
            </c:strRef>
          </c:cat>
          <c:val>
            <c:numRef>
              <c:f>CN!$W$204:$W$209</c:f>
              <c:numCache>
                <c:formatCode>0</c:formatCode>
                <c:ptCount val="6"/>
                <c:pt idx="0">
                  <c:v>53</c:v>
                </c:pt>
                <c:pt idx="1">
                  <c:v>53.5</c:v>
                </c:pt>
                <c:pt idx="2">
                  <c:v>51.333333333333336</c:v>
                </c:pt>
                <c:pt idx="3">
                  <c:v>49.833333333333336</c:v>
                </c:pt>
                <c:pt idx="4">
                  <c:v>51.5</c:v>
                </c:pt>
                <c:pt idx="5">
                  <c:v>52</c:v>
                </c:pt>
              </c:numCache>
            </c:numRef>
          </c:val>
          <c:extLst>
            <c:ext xmlns:c16="http://schemas.microsoft.com/office/drawing/2014/chart" uri="{C3380CC4-5D6E-409C-BE32-E72D297353CC}">
              <c16:uniqueId val="{00000001-41D8-4C9B-B01E-CA2FB3F8B326}"/>
            </c:ext>
          </c:extLst>
        </c:ser>
        <c:ser>
          <c:idx val="2"/>
          <c:order val="2"/>
          <c:tx>
            <c:strRef>
              <c:f>CN!$X$203</c:f>
              <c:strCache>
                <c:ptCount val="1"/>
                <c:pt idx="0">
                  <c:v>2018</c:v>
                </c:pt>
              </c:strCache>
            </c:strRef>
          </c:tx>
          <c:spPr>
            <a:ln>
              <a:prstDash val="sysDash"/>
            </a:ln>
          </c:spPr>
          <c:cat>
            <c:strRef>
              <c:f>CN!$U$204:$U$209</c:f>
              <c:strCache>
                <c:ptCount val="6"/>
                <c:pt idx="0">
                  <c:v>COMUNA 1</c:v>
                </c:pt>
                <c:pt idx="1">
                  <c:v>COMUNA 2</c:v>
                </c:pt>
                <c:pt idx="2">
                  <c:v>COMUNA 3</c:v>
                </c:pt>
                <c:pt idx="3">
                  <c:v>COMUNA 4</c:v>
                </c:pt>
                <c:pt idx="4">
                  <c:v>COMUNA 5</c:v>
                </c:pt>
                <c:pt idx="5">
                  <c:v>COMUNA 6</c:v>
                </c:pt>
              </c:strCache>
            </c:strRef>
          </c:cat>
          <c:val>
            <c:numRef>
              <c:f>CN!$X$204:$X$209</c:f>
              <c:numCache>
                <c:formatCode>0</c:formatCode>
                <c:ptCount val="6"/>
                <c:pt idx="0">
                  <c:v>50.5</c:v>
                </c:pt>
                <c:pt idx="1">
                  <c:v>51</c:v>
                </c:pt>
                <c:pt idx="2">
                  <c:v>50.666666666666664</c:v>
                </c:pt>
                <c:pt idx="3">
                  <c:v>46.5</c:v>
                </c:pt>
                <c:pt idx="4">
                  <c:v>49.5</c:v>
                </c:pt>
                <c:pt idx="5">
                  <c:v>50.333333333333336</c:v>
                </c:pt>
              </c:numCache>
            </c:numRef>
          </c:val>
          <c:extLst>
            <c:ext xmlns:c16="http://schemas.microsoft.com/office/drawing/2014/chart" uri="{C3380CC4-5D6E-409C-BE32-E72D297353CC}">
              <c16:uniqueId val="{00000002-41D8-4C9B-B01E-CA2FB3F8B326}"/>
            </c:ext>
          </c:extLst>
        </c:ser>
        <c:ser>
          <c:idx val="3"/>
          <c:order val="3"/>
          <c:tx>
            <c:strRef>
              <c:f>CN!$Y$203</c:f>
              <c:strCache>
                <c:ptCount val="1"/>
                <c:pt idx="0">
                  <c:v>2019</c:v>
                </c:pt>
              </c:strCache>
            </c:strRef>
          </c:tx>
          <c:cat>
            <c:strRef>
              <c:f>CN!$U$204:$U$209</c:f>
              <c:strCache>
                <c:ptCount val="6"/>
                <c:pt idx="0">
                  <c:v>COMUNA 1</c:v>
                </c:pt>
                <c:pt idx="1">
                  <c:v>COMUNA 2</c:v>
                </c:pt>
                <c:pt idx="2">
                  <c:v>COMUNA 3</c:v>
                </c:pt>
                <c:pt idx="3">
                  <c:v>COMUNA 4</c:v>
                </c:pt>
                <c:pt idx="4">
                  <c:v>COMUNA 5</c:v>
                </c:pt>
                <c:pt idx="5">
                  <c:v>COMUNA 6</c:v>
                </c:pt>
              </c:strCache>
            </c:strRef>
          </c:cat>
          <c:val>
            <c:numRef>
              <c:f>CN!$Y$204:$Y$209</c:f>
              <c:numCache>
                <c:formatCode>0</c:formatCode>
                <c:ptCount val="6"/>
                <c:pt idx="0">
                  <c:v>49.5</c:v>
                </c:pt>
                <c:pt idx="1">
                  <c:v>49</c:v>
                </c:pt>
                <c:pt idx="2">
                  <c:v>48.666666666666664</c:v>
                </c:pt>
                <c:pt idx="3">
                  <c:v>45.5</c:v>
                </c:pt>
                <c:pt idx="4">
                  <c:v>49.5</c:v>
                </c:pt>
                <c:pt idx="5">
                  <c:v>48.333333333333336</c:v>
                </c:pt>
              </c:numCache>
            </c:numRef>
          </c:val>
          <c:extLst>
            <c:ext xmlns:c16="http://schemas.microsoft.com/office/drawing/2014/chart" uri="{C3380CC4-5D6E-409C-BE32-E72D297353CC}">
              <c16:uniqueId val="{00000003-41D8-4C9B-B01E-CA2FB3F8B326}"/>
            </c:ext>
          </c:extLst>
        </c:ser>
        <c:ser>
          <c:idx val="4"/>
          <c:order val="4"/>
          <c:tx>
            <c:strRef>
              <c:f>CN!$Z$203</c:f>
              <c:strCache>
                <c:ptCount val="1"/>
                <c:pt idx="0">
                  <c:v>2020</c:v>
                </c:pt>
              </c:strCache>
            </c:strRef>
          </c:tx>
          <c:cat>
            <c:strRef>
              <c:f>CN!$U$204:$U$209</c:f>
              <c:strCache>
                <c:ptCount val="6"/>
                <c:pt idx="0">
                  <c:v>COMUNA 1</c:v>
                </c:pt>
                <c:pt idx="1">
                  <c:v>COMUNA 2</c:v>
                </c:pt>
                <c:pt idx="2">
                  <c:v>COMUNA 3</c:v>
                </c:pt>
                <c:pt idx="3">
                  <c:v>COMUNA 4</c:v>
                </c:pt>
                <c:pt idx="4">
                  <c:v>COMUNA 5</c:v>
                </c:pt>
                <c:pt idx="5">
                  <c:v>COMUNA 6</c:v>
                </c:pt>
              </c:strCache>
            </c:strRef>
          </c:cat>
          <c:val>
            <c:numRef>
              <c:f>CN!$Z$204:$Z$209</c:f>
              <c:numCache>
                <c:formatCode>0</c:formatCode>
                <c:ptCount val="6"/>
                <c:pt idx="0">
                  <c:v>49</c:v>
                </c:pt>
                <c:pt idx="1">
                  <c:v>49</c:v>
                </c:pt>
                <c:pt idx="2">
                  <c:v>49.25</c:v>
                </c:pt>
                <c:pt idx="3">
                  <c:v>45.166666666666664</c:v>
                </c:pt>
                <c:pt idx="4">
                  <c:v>49</c:v>
                </c:pt>
                <c:pt idx="5">
                  <c:v>48.333333333333336</c:v>
                </c:pt>
              </c:numCache>
            </c:numRef>
          </c:val>
          <c:extLst>
            <c:ext xmlns:c16="http://schemas.microsoft.com/office/drawing/2014/chart" uri="{C3380CC4-5D6E-409C-BE32-E72D297353CC}">
              <c16:uniqueId val="{00000001-D1C0-45CF-9990-115616822364}"/>
            </c:ext>
          </c:extLst>
        </c:ser>
        <c:ser>
          <c:idx val="5"/>
          <c:order val="5"/>
          <c:tx>
            <c:strRef>
              <c:f>CN!$AA$203</c:f>
              <c:strCache>
                <c:ptCount val="1"/>
                <c:pt idx="0">
                  <c:v>2021</c:v>
                </c:pt>
              </c:strCache>
            </c:strRef>
          </c:tx>
          <c:cat>
            <c:strRef>
              <c:f>CN!$U$204:$U$209</c:f>
              <c:strCache>
                <c:ptCount val="6"/>
                <c:pt idx="0">
                  <c:v>COMUNA 1</c:v>
                </c:pt>
                <c:pt idx="1">
                  <c:v>COMUNA 2</c:v>
                </c:pt>
                <c:pt idx="2">
                  <c:v>COMUNA 3</c:v>
                </c:pt>
                <c:pt idx="3">
                  <c:v>COMUNA 4</c:v>
                </c:pt>
                <c:pt idx="4">
                  <c:v>COMUNA 5</c:v>
                </c:pt>
                <c:pt idx="5">
                  <c:v>COMUNA 6</c:v>
                </c:pt>
              </c:strCache>
            </c:strRef>
          </c:cat>
          <c:val>
            <c:numRef>
              <c:f>CN!$AA$204:$AA$209</c:f>
              <c:numCache>
                <c:formatCode>0</c:formatCode>
                <c:ptCount val="6"/>
                <c:pt idx="0">
                  <c:v>48.75</c:v>
                </c:pt>
                <c:pt idx="1">
                  <c:v>49</c:v>
                </c:pt>
                <c:pt idx="2">
                  <c:v>49</c:v>
                </c:pt>
                <c:pt idx="3">
                  <c:v>46</c:v>
                </c:pt>
                <c:pt idx="4">
                  <c:v>48.5</c:v>
                </c:pt>
                <c:pt idx="5">
                  <c:v>47.666666666666664</c:v>
                </c:pt>
              </c:numCache>
            </c:numRef>
          </c:val>
          <c:extLst>
            <c:ext xmlns:c16="http://schemas.microsoft.com/office/drawing/2014/chart" uri="{C3380CC4-5D6E-409C-BE32-E72D297353CC}">
              <c16:uniqueId val="{00000000-3D58-4AE8-8B82-13EED9E137A3}"/>
            </c:ext>
          </c:extLst>
        </c:ser>
        <c:ser>
          <c:idx val="6"/>
          <c:order val="6"/>
          <c:tx>
            <c:strRef>
              <c:f>CN!$AB$203</c:f>
              <c:strCache>
                <c:ptCount val="1"/>
                <c:pt idx="0">
                  <c:v>2022</c:v>
                </c:pt>
              </c:strCache>
            </c:strRef>
          </c:tx>
          <c:cat>
            <c:strRef>
              <c:f>CN!$U$204:$U$209</c:f>
              <c:strCache>
                <c:ptCount val="6"/>
                <c:pt idx="0">
                  <c:v>COMUNA 1</c:v>
                </c:pt>
                <c:pt idx="1">
                  <c:v>COMUNA 2</c:v>
                </c:pt>
                <c:pt idx="2">
                  <c:v>COMUNA 3</c:v>
                </c:pt>
                <c:pt idx="3">
                  <c:v>COMUNA 4</c:v>
                </c:pt>
                <c:pt idx="4">
                  <c:v>COMUNA 5</c:v>
                </c:pt>
                <c:pt idx="5">
                  <c:v>COMUNA 6</c:v>
                </c:pt>
              </c:strCache>
            </c:strRef>
          </c:cat>
          <c:val>
            <c:numRef>
              <c:f>CN!$AB$204:$AB$209</c:f>
              <c:numCache>
                <c:formatCode>0</c:formatCode>
                <c:ptCount val="6"/>
                <c:pt idx="0">
                  <c:v>49.2</c:v>
                </c:pt>
                <c:pt idx="1">
                  <c:v>49.75</c:v>
                </c:pt>
                <c:pt idx="2">
                  <c:v>49.833333333333336</c:v>
                </c:pt>
                <c:pt idx="3">
                  <c:v>46.166666666666664</c:v>
                </c:pt>
                <c:pt idx="4">
                  <c:v>50.5</c:v>
                </c:pt>
                <c:pt idx="5">
                  <c:v>49</c:v>
                </c:pt>
              </c:numCache>
            </c:numRef>
          </c:val>
          <c:extLst>
            <c:ext xmlns:c16="http://schemas.microsoft.com/office/drawing/2014/chart" uri="{C3380CC4-5D6E-409C-BE32-E72D297353CC}">
              <c16:uniqueId val="{00000000-9316-4847-ADB5-305A264106B0}"/>
            </c:ext>
          </c:extLst>
        </c:ser>
        <c:ser>
          <c:idx val="7"/>
          <c:order val="7"/>
          <c:tx>
            <c:strRef>
              <c:f>CN!$AC$203</c:f>
              <c:strCache>
                <c:ptCount val="1"/>
                <c:pt idx="0">
                  <c:v>2023</c:v>
                </c:pt>
              </c:strCache>
            </c:strRef>
          </c:tx>
          <c:cat>
            <c:strRef>
              <c:f>CN!$U$204:$U$209</c:f>
              <c:strCache>
                <c:ptCount val="6"/>
                <c:pt idx="0">
                  <c:v>COMUNA 1</c:v>
                </c:pt>
                <c:pt idx="1">
                  <c:v>COMUNA 2</c:v>
                </c:pt>
                <c:pt idx="2">
                  <c:v>COMUNA 3</c:v>
                </c:pt>
                <c:pt idx="3">
                  <c:v>COMUNA 4</c:v>
                </c:pt>
                <c:pt idx="4">
                  <c:v>COMUNA 5</c:v>
                </c:pt>
                <c:pt idx="5">
                  <c:v>COMUNA 6</c:v>
                </c:pt>
              </c:strCache>
            </c:strRef>
          </c:cat>
          <c:val>
            <c:numRef>
              <c:f>CN!$AC$204:$AC$209</c:f>
              <c:numCache>
                <c:formatCode>0</c:formatCode>
                <c:ptCount val="6"/>
                <c:pt idx="0">
                  <c:v>50</c:v>
                </c:pt>
                <c:pt idx="1">
                  <c:v>49.75</c:v>
                </c:pt>
                <c:pt idx="2">
                  <c:v>50.5</c:v>
                </c:pt>
                <c:pt idx="3">
                  <c:v>46.666666666666664</c:v>
                </c:pt>
                <c:pt idx="4">
                  <c:v>50.5</c:v>
                </c:pt>
                <c:pt idx="5">
                  <c:v>49</c:v>
                </c:pt>
              </c:numCache>
            </c:numRef>
          </c:val>
          <c:extLst>
            <c:ext xmlns:c16="http://schemas.microsoft.com/office/drawing/2014/chart" uri="{C3380CC4-5D6E-409C-BE32-E72D297353CC}">
              <c16:uniqueId val="{00000000-32CA-4D2A-8250-DEEB48DF8C1E}"/>
            </c:ext>
          </c:extLst>
        </c:ser>
        <c:ser>
          <c:idx val="8"/>
          <c:order val="8"/>
          <c:tx>
            <c:strRef>
              <c:f>CN!$AD$203</c:f>
              <c:strCache>
                <c:ptCount val="1"/>
                <c:pt idx="0">
                  <c:v>2024</c:v>
                </c:pt>
              </c:strCache>
            </c:strRef>
          </c:tx>
          <c:cat>
            <c:strRef>
              <c:f>CN!$U$204:$U$209</c:f>
              <c:strCache>
                <c:ptCount val="6"/>
                <c:pt idx="0">
                  <c:v>COMUNA 1</c:v>
                </c:pt>
                <c:pt idx="1">
                  <c:v>COMUNA 2</c:v>
                </c:pt>
                <c:pt idx="2">
                  <c:v>COMUNA 3</c:v>
                </c:pt>
                <c:pt idx="3">
                  <c:v>COMUNA 4</c:v>
                </c:pt>
                <c:pt idx="4">
                  <c:v>COMUNA 5</c:v>
                </c:pt>
                <c:pt idx="5">
                  <c:v>COMUNA 6</c:v>
                </c:pt>
              </c:strCache>
            </c:strRef>
          </c:cat>
          <c:val>
            <c:numRef>
              <c:f>CN!$AD$204:$AD$209</c:f>
              <c:numCache>
                <c:formatCode>0</c:formatCode>
                <c:ptCount val="6"/>
                <c:pt idx="0">
                  <c:v>50.4</c:v>
                </c:pt>
                <c:pt idx="1">
                  <c:v>51</c:v>
                </c:pt>
                <c:pt idx="2">
                  <c:v>51</c:v>
                </c:pt>
                <c:pt idx="3">
                  <c:v>47</c:v>
                </c:pt>
                <c:pt idx="4">
                  <c:v>52.666666666666664</c:v>
                </c:pt>
                <c:pt idx="5">
                  <c:v>49.5</c:v>
                </c:pt>
              </c:numCache>
            </c:numRef>
          </c:val>
          <c:extLst>
            <c:ext xmlns:c16="http://schemas.microsoft.com/office/drawing/2014/chart" uri="{C3380CC4-5D6E-409C-BE32-E72D297353CC}">
              <c16:uniqueId val="{00000000-52A8-4B09-BF63-D6FA7D149B16}"/>
            </c:ext>
          </c:extLst>
        </c:ser>
        <c:dLbls>
          <c:showLegendKey val="0"/>
          <c:showVal val="0"/>
          <c:showCatName val="0"/>
          <c:showSerName val="0"/>
          <c:showPercent val="0"/>
          <c:showBubbleSize val="0"/>
        </c:dLbls>
        <c:axId val="39171968"/>
        <c:axId val="39173504"/>
      </c:radarChart>
      <c:catAx>
        <c:axId val="39171968"/>
        <c:scaling>
          <c:orientation val="minMax"/>
        </c:scaling>
        <c:delete val="0"/>
        <c:axPos val="b"/>
        <c:majorGridlines/>
        <c:numFmt formatCode="General" sourceLinked="0"/>
        <c:majorTickMark val="none"/>
        <c:minorTickMark val="none"/>
        <c:tickLblPos val="nextTo"/>
        <c:spPr>
          <a:ln w="9525">
            <a:noFill/>
          </a:ln>
        </c:spPr>
        <c:crossAx val="39173504"/>
        <c:crosses val="autoZero"/>
        <c:auto val="1"/>
        <c:lblAlgn val="ctr"/>
        <c:lblOffset val="100"/>
        <c:noMultiLvlLbl val="0"/>
      </c:catAx>
      <c:valAx>
        <c:axId val="39173504"/>
        <c:scaling>
          <c:orientation val="minMax"/>
          <c:max val="56"/>
          <c:min val="44"/>
        </c:scaling>
        <c:delete val="0"/>
        <c:axPos val="l"/>
        <c:majorGridlines/>
        <c:numFmt formatCode="0" sourceLinked="1"/>
        <c:majorTickMark val="none"/>
        <c:minorTickMark val="none"/>
        <c:tickLblPos val="nextTo"/>
        <c:crossAx val="39171968"/>
        <c:crosses val="autoZero"/>
        <c:crossBetween val="between"/>
        <c:majorUnit val="2"/>
      </c:valAx>
    </c:plotArea>
    <c:legend>
      <c:legendPos val="r"/>
      <c:overlay val="0"/>
    </c:legend>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cap="all" spc="0" baseline="0">
                <a:gradFill>
                  <a:gsLst>
                    <a:gs pos="0">
                      <a:schemeClr val="dk1">
                        <a:lumMod val="50000"/>
                        <a:lumOff val="50000"/>
                      </a:schemeClr>
                    </a:gs>
                    <a:gs pos="100000">
                      <a:schemeClr val="dk1">
                        <a:lumMod val="85000"/>
                        <a:lumOff val="15000"/>
                      </a:schemeClr>
                    </a:gs>
                  </a:gsLst>
                  <a:lin ang="5400000" scaled="0"/>
                </a:gradFill>
                <a:latin typeface="+mn-lt"/>
                <a:ea typeface="+mn-ea"/>
                <a:cs typeface="+mn-cs"/>
              </a:defRPr>
            </a:pPr>
            <a:r>
              <a:rPr lang="es-CO" sz="1800"/>
              <a:t>PROMEDIO PUNTAJE GLOBAL 2016-2024</a:t>
            </a:r>
          </a:p>
        </c:rich>
      </c:tx>
      <c:layout>
        <c:manualLayout>
          <c:xMode val="edge"/>
          <c:yMode val="edge"/>
          <c:x val="0.23147230635708871"/>
          <c:y val="0.10899028895299441"/>
        </c:manualLayout>
      </c:layout>
      <c:overlay val="0"/>
      <c:spPr>
        <a:noFill/>
        <a:ln>
          <a:noFill/>
        </a:ln>
        <a:effectLst/>
      </c:spPr>
      <c:txPr>
        <a:bodyPr rot="0" spcFirstLastPara="1" vertOverflow="ellipsis" vert="horz" wrap="square" anchor="ctr" anchorCtr="1"/>
        <a:lstStyle/>
        <a:p>
          <a:pPr>
            <a:defRPr sz="1200" b="0" i="0" u="none" strike="noStrike" kern="1200" cap="all" spc="0" baseline="0">
              <a:gradFill>
                <a:gsLst>
                  <a:gs pos="0">
                    <a:schemeClr val="dk1">
                      <a:lumMod val="50000"/>
                      <a:lumOff val="50000"/>
                    </a:schemeClr>
                  </a:gs>
                  <a:gs pos="100000">
                    <a:schemeClr val="dk1">
                      <a:lumMod val="85000"/>
                      <a:lumOff val="15000"/>
                    </a:schemeClr>
                  </a:gs>
                </a:gsLst>
                <a:lin ang="5400000" scaled="0"/>
              </a:gradFill>
              <a:latin typeface="+mn-lt"/>
              <a:ea typeface="+mn-ea"/>
              <a:cs typeface="+mn-cs"/>
            </a:defRPr>
          </a:pPr>
          <a:endParaRPr lang="es-CO"/>
        </a:p>
      </c:txPr>
    </c:title>
    <c:autoTitleDeleted val="0"/>
    <c:plotArea>
      <c:layout>
        <c:manualLayout>
          <c:layoutTarget val="inner"/>
          <c:xMode val="edge"/>
          <c:yMode val="edge"/>
          <c:x val="1.8844351591086474E-2"/>
          <c:y val="0.2231186915280586"/>
          <c:w val="0.96231129681782701"/>
          <c:h val="0.5159261906484125"/>
        </c:manualLayout>
      </c:layout>
      <c:lineChart>
        <c:grouping val="standard"/>
        <c:varyColors val="0"/>
        <c:ser>
          <c:idx val="0"/>
          <c:order val="0"/>
          <c:tx>
            <c:strRef>
              <c:f>PGLOBAL!$G$354</c:f>
              <c:strCache>
                <c:ptCount val="1"/>
                <c:pt idx="0">
                  <c:v>COLOMBIA</c:v>
                </c:pt>
              </c:strCache>
            </c:strRef>
          </c:tx>
          <c:spPr>
            <a:ln w="19050" cap="rnd" cmpd="sng" algn="ctr">
              <a:solidFill>
                <a:schemeClr val="accent1">
                  <a:shade val="95000"/>
                  <a:satMod val="105000"/>
                </a:schemeClr>
              </a:solidFill>
              <a:round/>
            </a:ln>
            <a:effectLst/>
          </c:spPr>
          <c:marker>
            <c:symbol val="circle"/>
            <c:size val="17"/>
            <c:spPr>
              <a:solidFill>
                <a:schemeClr val="lt1"/>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1"/>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35000"/>
                          <a:lumOff val="65000"/>
                        </a:schemeClr>
                      </a:solidFill>
                    </a:ln>
                    <a:effectLst/>
                  </c:spPr>
                </c15:leaderLines>
              </c:ext>
            </c:extLst>
          </c:dLbls>
          <c:cat>
            <c:strRef>
              <c:f>PGLOBAL!$H$352:$P$353</c:f>
              <c:strCache>
                <c:ptCount val="9"/>
                <c:pt idx="0">
                  <c:v>2016</c:v>
                </c:pt>
                <c:pt idx="1">
                  <c:v>2017</c:v>
                </c:pt>
                <c:pt idx="2">
                  <c:v>2018</c:v>
                </c:pt>
                <c:pt idx="3">
                  <c:v>2019</c:v>
                </c:pt>
                <c:pt idx="4">
                  <c:v>2020</c:v>
                </c:pt>
                <c:pt idx="5">
                  <c:v>2021</c:v>
                </c:pt>
                <c:pt idx="6">
                  <c:v>2022</c:v>
                </c:pt>
                <c:pt idx="7">
                  <c:v>2023</c:v>
                </c:pt>
                <c:pt idx="8">
                  <c:v>2024</c:v>
                </c:pt>
              </c:strCache>
            </c:strRef>
          </c:cat>
          <c:val>
            <c:numRef>
              <c:f>PGLOBAL!$H$354:$P$354</c:f>
              <c:numCache>
                <c:formatCode>General</c:formatCode>
                <c:ptCount val="9"/>
                <c:pt idx="0">
                  <c:v>264</c:v>
                </c:pt>
                <c:pt idx="1">
                  <c:v>262</c:v>
                </c:pt>
                <c:pt idx="2">
                  <c:v>258</c:v>
                </c:pt>
                <c:pt idx="3">
                  <c:v>253</c:v>
                </c:pt>
                <c:pt idx="4">
                  <c:v>252</c:v>
                </c:pt>
                <c:pt idx="5">
                  <c:v>250</c:v>
                </c:pt>
                <c:pt idx="6">
                  <c:v>254</c:v>
                </c:pt>
                <c:pt idx="7">
                  <c:v>257</c:v>
                </c:pt>
                <c:pt idx="8">
                  <c:v>260</c:v>
                </c:pt>
              </c:numCache>
            </c:numRef>
          </c:val>
          <c:smooth val="0"/>
          <c:extLst>
            <c:ext xmlns:c16="http://schemas.microsoft.com/office/drawing/2014/chart" uri="{C3380CC4-5D6E-409C-BE32-E72D297353CC}">
              <c16:uniqueId val="{00000000-F7F8-4B5A-B3E0-61B53F0BFD04}"/>
            </c:ext>
          </c:extLst>
        </c:ser>
        <c:ser>
          <c:idx val="1"/>
          <c:order val="1"/>
          <c:tx>
            <c:strRef>
              <c:f>PGLOBAL!$G$355</c:f>
              <c:strCache>
                <c:ptCount val="1"/>
                <c:pt idx="0">
                  <c:v>SOACHA</c:v>
                </c:pt>
              </c:strCache>
            </c:strRef>
          </c:tx>
          <c:spPr>
            <a:ln w="19050" cap="rnd" cmpd="sng" algn="ctr">
              <a:solidFill>
                <a:schemeClr val="accent6"/>
              </a:solidFill>
              <a:round/>
            </a:ln>
            <a:effectLst/>
          </c:spPr>
          <c:marker>
            <c:symbol val="circle"/>
            <c:size val="17"/>
            <c:spPr>
              <a:solidFill>
                <a:schemeClr val="lt1"/>
              </a:solidFill>
              <a:ln>
                <a:noFill/>
              </a:ln>
              <a:effectLst/>
            </c:spPr>
          </c:marker>
          <c:dLbls>
            <c:dLbl>
              <c:idx val="6"/>
              <c:layout>
                <c:manualLayout>
                  <c:x val="-3.4554309891635833E-2"/>
                  <c:y val="3.4305085661419611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F7F8-4B5A-B3E0-61B53F0BFD04}"/>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6"/>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35000"/>
                          <a:lumOff val="65000"/>
                        </a:schemeClr>
                      </a:solidFill>
                    </a:ln>
                    <a:effectLst/>
                  </c:spPr>
                </c15:leaderLines>
              </c:ext>
            </c:extLst>
          </c:dLbls>
          <c:cat>
            <c:strRef>
              <c:f>PGLOBAL!$H$352:$P$353</c:f>
              <c:strCache>
                <c:ptCount val="9"/>
                <c:pt idx="0">
                  <c:v>2016</c:v>
                </c:pt>
                <c:pt idx="1">
                  <c:v>2017</c:v>
                </c:pt>
                <c:pt idx="2">
                  <c:v>2018</c:v>
                </c:pt>
                <c:pt idx="3">
                  <c:v>2019</c:v>
                </c:pt>
                <c:pt idx="4">
                  <c:v>2020</c:v>
                </c:pt>
                <c:pt idx="5">
                  <c:v>2021</c:v>
                </c:pt>
                <c:pt idx="6">
                  <c:v>2022</c:v>
                </c:pt>
                <c:pt idx="7">
                  <c:v>2023</c:v>
                </c:pt>
                <c:pt idx="8">
                  <c:v>2024</c:v>
                </c:pt>
              </c:strCache>
            </c:strRef>
          </c:cat>
          <c:val>
            <c:numRef>
              <c:f>PGLOBAL!$H$355:$P$355</c:f>
              <c:numCache>
                <c:formatCode>General</c:formatCode>
                <c:ptCount val="9"/>
                <c:pt idx="0">
                  <c:v>266</c:v>
                </c:pt>
                <c:pt idx="1">
                  <c:v>263</c:v>
                </c:pt>
                <c:pt idx="2">
                  <c:v>260</c:v>
                </c:pt>
                <c:pt idx="3">
                  <c:v>257</c:v>
                </c:pt>
                <c:pt idx="4">
                  <c:v>258</c:v>
                </c:pt>
                <c:pt idx="5">
                  <c:v>257</c:v>
                </c:pt>
                <c:pt idx="6">
                  <c:v>262</c:v>
                </c:pt>
                <c:pt idx="7">
                  <c:v>262</c:v>
                </c:pt>
                <c:pt idx="8">
                  <c:v>265</c:v>
                </c:pt>
              </c:numCache>
            </c:numRef>
          </c:val>
          <c:smooth val="0"/>
          <c:extLst>
            <c:ext xmlns:c16="http://schemas.microsoft.com/office/drawing/2014/chart" uri="{C3380CC4-5D6E-409C-BE32-E72D297353CC}">
              <c16:uniqueId val="{00000001-F7F8-4B5A-B3E0-61B53F0BFD04}"/>
            </c:ext>
          </c:extLst>
        </c:ser>
        <c:ser>
          <c:idx val="2"/>
          <c:order val="2"/>
          <c:tx>
            <c:strRef>
              <c:f>PGLOBAL!$G$356</c:f>
              <c:strCache>
                <c:ptCount val="1"/>
                <c:pt idx="0">
                  <c:v>OFICIALES URBANOS DE SOACHA</c:v>
                </c:pt>
              </c:strCache>
            </c:strRef>
          </c:tx>
          <c:spPr>
            <a:ln w="19050" cap="rnd" cmpd="sng" algn="ctr">
              <a:solidFill>
                <a:srgbClr val="FFC000"/>
              </a:solidFill>
              <a:round/>
            </a:ln>
            <a:effectLst/>
          </c:spPr>
          <c:marker>
            <c:symbol val="circle"/>
            <c:size val="17"/>
            <c:spPr>
              <a:solidFill>
                <a:schemeClr val="lt1"/>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FFC000"/>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35000"/>
                          <a:lumOff val="65000"/>
                        </a:schemeClr>
                      </a:solidFill>
                    </a:ln>
                    <a:effectLst/>
                  </c:spPr>
                </c15:leaderLines>
              </c:ext>
            </c:extLst>
          </c:dLbls>
          <c:cat>
            <c:strRef>
              <c:f>PGLOBAL!$H$352:$P$353</c:f>
              <c:strCache>
                <c:ptCount val="9"/>
                <c:pt idx="0">
                  <c:v>2016</c:v>
                </c:pt>
                <c:pt idx="1">
                  <c:v>2017</c:v>
                </c:pt>
                <c:pt idx="2">
                  <c:v>2018</c:v>
                </c:pt>
                <c:pt idx="3">
                  <c:v>2019</c:v>
                </c:pt>
                <c:pt idx="4">
                  <c:v>2020</c:v>
                </c:pt>
                <c:pt idx="5">
                  <c:v>2021</c:v>
                </c:pt>
                <c:pt idx="6">
                  <c:v>2022</c:v>
                </c:pt>
                <c:pt idx="7">
                  <c:v>2023</c:v>
                </c:pt>
                <c:pt idx="8">
                  <c:v>2024</c:v>
                </c:pt>
              </c:strCache>
            </c:strRef>
          </c:cat>
          <c:val>
            <c:numRef>
              <c:f>PGLOBAL!$H$356:$P$356</c:f>
              <c:numCache>
                <c:formatCode>General</c:formatCode>
                <c:ptCount val="9"/>
                <c:pt idx="0">
                  <c:v>260</c:v>
                </c:pt>
                <c:pt idx="1">
                  <c:v>257</c:v>
                </c:pt>
                <c:pt idx="2">
                  <c:v>252</c:v>
                </c:pt>
                <c:pt idx="3">
                  <c:v>249</c:v>
                </c:pt>
                <c:pt idx="4">
                  <c:v>251</c:v>
                </c:pt>
                <c:pt idx="5">
                  <c:v>248</c:v>
                </c:pt>
                <c:pt idx="6">
                  <c:v>252</c:v>
                </c:pt>
                <c:pt idx="7">
                  <c:v>253</c:v>
                </c:pt>
                <c:pt idx="8">
                  <c:v>257</c:v>
                </c:pt>
              </c:numCache>
            </c:numRef>
          </c:val>
          <c:smooth val="0"/>
          <c:extLst>
            <c:ext xmlns:c16="http://schemas.microsoft.com/office/drawing/2014/chart" uri="{C3380CC4-5D6E-409C-BE32-E72D297353CC}">
              <c16:uniqueId val="{00000002-F7F8-4B5A-B3E0-61B53F0BFD04}"/>
            </c:ext>
          </c:extLst>
        </c:ser>
        <c:ser>
          <c:idx val="3"/>
          <c:order val="3"/>
          <c:tx>
            <c:strRef>
              <c:f>PGLOBAL!$G$357</c:f>
              <c:strCache>
                <c:ptCount val="1"/>
                <c:pt idx="0">
                  <c:v>OFICIALES RURALES DE SOACHA</c:v>
                </c:pt>
              </c:strCache>
            </c:strRef>
          </c:tx>
          <c:spPr>
            <a:ln w="19050" cap="rnd" cmpd="sng" algn="ctr">
              <a:solidFill>
                <a:srgbClr val="92D050"/>
              </a:solidFill>
              <a:round/>
            </a:ln>
            <a:effectLst/>
          </c:spPr>
          <c:marker>
            <c:symbol val="circle"/>
            <c:size val="17"/>
            <c:spPr>
              <a:solidFill>
                <a:schemeClr val="lt1"/>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92D050"/>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35000"/>
                          <a:lumOff val="65000"/>
                        </a:schemeClr>
                      </a:solidFill>
                    </a:ln>
                    <a:effectLst/>
                  </c:spPr>
                </c15:leaderLines>
              </c:ext>
            </c:extLst>
          </c:dLbls>
          <c:cat>
            <c:strRef>
              <c:f>PGLOBAL!$H$352:$P$353</c:f>
              <c:strCache>
                <c:ptCount val="9"/>
                <c:pt idx="0">
                  <c:v>2016</c:v>
                </c:pt>
                <c:pt idx="1">
                  <c:v>2017</c:v>
                </c:pt>
                <c:pt idx="2">
                  <c:v>2018</c:v>
                </c:pt>
                <c:pt idx="3">
                  <c:v>2019</c:v>
                </c:pt>
                <c:pt idx="4">
                  <c:v>2020</c:v>
                </c:pt>
                <c:pt idx="5">
                  <c:v>2021</c:v>
                </c:pt>
                <c:pt idx="6">
                  <c:v>2022</c:v>
                </c:pt>
                <c:pt idx="7">
                  <c:v>2023</c:v>
                </c:pt>
                <c:pt idx="8">
                  <c:v>2024</c:v>
                </c:pt>
              </c:strCache>
            </c:strRef>
          </c:cat>
          <c:val>
            <c:numRef>
              <c:f>PGLOBAL!$H$357:$P$357</c:f>
              <c:numCache>
                <c:formatCode>General</c:formatCode>
                <c:ptCount val="9"/>
                <c:pt idx="0">
                  <c:v>260</c:v>
                </c:pt>
                <c:pt idx="1">
                  <c:v>249</c:v>
                </c:pt>
                <c:pt idx="2">
                  <c:v>248</c:v>
                </c:pt>
                <c:pt idx="3">
                  <c:v>249</c:v>
                </c:pt>
                <c:pt idx="4">
                  <c:v>248</c:v>
                </c:pt>
                <c:pt idx="5">
                  <c:v>244</c:v>
                </c:pt>
                <c:pt idx="6">
                  <c:v>249</c:v>
                </c:pt>
                <c:pt idx="7">
                  <c:v>240</c:v>
                </c:pt>
                <c:pt idx="8">
                  <c:v>244</c:v>
                </c:pt>
              </c:numCache>
            </c:numRef>
          </c:val>
          <c:smooth val="0"/>
          <c:extLst>
            <c:ext xmlns:c16="http://schemas.microsoft.com/office/drawing/2014/chart" uri="{C3380CC4-5D6E-409C-BE32-E72D297353CC}">
              <c16:uniqueId val="{00000003-F7F8-4B5A-B3E0-61B53F0BFD04}"/>
            </c:ext>
          </c:extLst>
        </c:ser>
        <c:ser>
          <c:idx val="4"/>
          <c:order val="4"/>
          <c:tx>
            <c:strRef>
              <c:f>PGLOBAL!$G$358</c:f>
              <c:strCache>
                <c:ptCount val="1"/>
                <c:pt idx="0">
                  <c:v>PRIVADOS DE SOACHA</c:v>
                </c:pt>
              </c:strCache>
            </c:strRef>
          </c:tx>
          <c:spPr>
            <a:ln w="19050" cap="rnd" cmpd="sng" algn="ctr">
              <a:solidFill>
                <a:schemeClr val="accent5">
                  <a:shade val="95000"/>
                  <a:satMod val="105000"/>
                </a:schemeClr>
              </a:solidFill>
              <a:round/>
            </a:ln>
            <a:effectLst/>
          </c:spPr>
          <c:marker>
            <c:symbol val="circle"/>
            <c:size val="17"/>
            <c:spPr>
              <a:solidFill>
                <a:schemeClr val="lt1"/>
              </a:solidFill>
              <a:ln>
                <a:noFill/>
              </a:ln>
              <a:effectLst/>
            </c:spPr>
          </c:marker>
          <c:dLbls>
            <c:dLbl>
              <c:idx val="3"/>
              <c:layout>
                <c:manualLayout>
                  <c:x val="-3.6253145186209798E-2"/>
                  <c:y val="1.029152569842588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7F8-4B5A-B3E0-61B53F0BFD04}"/>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5"/>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35000"/>
                          <a:lumOff val="65000"/>
                        </a:schemeClr>
                      </a:solidFill>
                    </a:ln>
                    <a:effectLst/>
                  </c:spPr>
                </c15:leaderLines>
              </c:ext>
            </c:extLst>
          </c:dLbls>
          <c:cat>
            <c:strRef>
              <c:f>PGLOBAL!$H$352:$P$353</c:f>
              <c:strCache>
                <c:ptCount val="9"/>
                <c:pt idx="0">
                  <c:v>2016</c:v>
                </c:pt>
                <c:pt idx="1">
                  <c:v>2017</c:v>
                </c:pt>
                <c:pt idx="2">
                  <c:v>2018</c:v>
                </c:pt>
                <c:pt idx="3">
                  <c:v>2019</c:v>
                </c:pt>
                <c:pt idx="4">
                  <c:v>2020</c:v>
                </c:pt>
                <c:pt idx="5">
                  <c:v>2021</c:v>
                </c:pt>
                <c:pt idx="6">
                  <c:v>2022</c:v>
                </c:pt>
                <c:pt idx="7">
                  <c:v>2023</c:v>
                </c:pt>
                <c:pt idx="8">
                  <c:v>2024</c:v>
                </c:pt>
              </c:strCache>
            </c:strRef>
          </c:cat>
          <c:val>
            <c:numRef>
              <c:f>PGLOBAL!$H$358:$P$358</c:f>
              <c:numCache>
                <c:formatCode>General</c:formatCode>
                <c:ptCount val="9"/>
                <c:pt idx="0">
                  <c:v>272</c:v>
                </c:pt>
                <c:pt idx="1">
                  <c:v>270</c:v>
                </c:pt>
                <c:pt idx="2">
                  <c:v>269</c:v>
                </c:pt>
                <c:pt idx="3">
                  <c:v>266</c:v>
                </c:pt>
                <c:pt idx="4">
                  <c:v>265</c:v>
                </c:pt>
                <c:pt idx="5">
                  <c:v>266</c:v>
                </c:pt>
                <c:pt idx="6">
                  <c:v>272</c:v>
                </c:pt>
                <c:pt idx="7">
                  <c:v>273</c:v>
                </c:pt>
                <c:pt idx="8">
                  <c:v>276</c:v>
                </c:pt>
              </c:numCache>
            </c:numRef>
          </c:val>
          <c:smooth val="0"/>
          <c:extLst>
            <c:ext xmlns:c16="http://schemas.microsoft.com/office/drawing/2014/chart" uri="{C3380CC4-5D6E-409C-BE32-E72D297353CC}">
              <c16:uniqueId val="{00000004-F7F8-4B5A-B3E0-61B53F0BFD04}"/>
            </c:ext>
          </c:extLst>
        </c:ser>
        <c:ser>
          <c:idx val="5"/>
          <c:order val="5"/>
          <c:tx>
            <c:strRef>
              <c:f>PGLOBAL!$G$359</c:f>
              <c:strCache>
                <c:ptCount val="1"/>
                <c:pt idx="0">
                  <c:v>GC 2 DE SOACHA</c:v>
                </c:pt>
              </c:strCache>
            </c:strRef>
          </c:tx>
          <c:spPr>
            <a:ln w="19050" cap="rnd" cmpd="sng" algn="ctr">
              <a:solidFill>
                <a:schemeClr val="accent6">
                  <a:shade val="95000"/>
                  <a:satMod val="105000"/>
                </a:schemeClr>
              </a:solidFill>
              <a:round/>
            </a:ln>
            <a:effectLst/>
          </c:spPr>
          <c:marker>
            <c:symbol val="circle"/>
            <c:size val="17"/>
            <c:spPr>
              <a:solidFill>
                <a:schemeClr val="lt1"/>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6"/>
                    </a:solidFill>
                    <a:latin typeface="+mn-lt"/>
                    <a:ea typeface="+mn-ea"/>
                    <a:cs typeface="+mn-cs"/>
                  </a:defRPr>
                </a:pPr>
                <a:endParaRPr lang="es-CO"/>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a:solidFill>
                        <a:schemeClr val="dk1">
                          <a:lumMod val="35000"/>
                          <a:lumOff val="65000"/>
                        </a:schemeClr>
                      </a:solidFill>
                    </a:ln>
                    <a:effectLst/>
                  </c:spPr>
                </c15:leaderLines>
              </c:ext>
            </c:extLst>
          </c:dLbls>
          <c:cat>
            <c:strRef>
              <c:f>PGLOBAL!$H$352:$P$353</c:f>
              <c:strCache>
                <c:ptCount val="9"/>
                <c:pt idx="0">
                  <c:v>2016</c:v>
                </c:pt>
                <c:pt idx="1">
                  <c:v>2017</c:v>
                </c:pt>
                <c:pt idx="2">
                  <c:v>2018</c:v>
                </c:pt>
                <c:pt idx="3">
                  <c:v>2019</c:v>
                </c:pt>
                <c:pt idx="4">
                  <c:v>2020</c:v>
                </c:pt>
                <c:pt idx="5">
                  <c:v>2021</c:v>
                </c:pt>
                <c:pt idx="6">
                  <c:v>2022</c:v>
                </c:pt>
                <c:pt idx="7">
                  <c:v>2023</c:v>
                </c:pt>
                <c:pt idx="8">
                  <c:v>2024</c:v>
                </c:pt>
              </c:strCache>
            </c:strRef>
          </c:cat>
          <c:val>
            <c:numRef>
              <c:f>PGLOBAL!$H$359:$P$359</c:f>
              <c:numCache>
                <c:formatCode>General</c:formatCode>
                <c:ptCount val="9"/>
                <c:pt idx="0">
                  <c:v>256</c:v>
                </c:pt>
                <c:pt idx="1">
                  <c:v>256</c:v>
                </c:pt>
                <c:pt idx="2">
                  <c:v>251</c:v>
                </c:pt>
                <c:pt idx="3">
                  <c:v>248</c:v>
                </c:pt>
                <c:pt idx="4">
                  <c:v>247</c:v>
                </c:pt>
                <c:pt idx="5">
                  <c:v>244</c:v>
                </c:pt>
                <c:pt idx="7">
                  <c:v>250</c:v>
                </c:pt>
                <c:pt idx="8">
                  <c:v>248</c:v>
                </c:pt>
              </c:numCache>
            </c:numRef>
          </c:val>
          <c:smooth val="0"/>
          <c:extLst xmlns:c15="http://schemas.microsoft.com/office/drawing/2012/chart">
            <c:ext xmlns:c16="http://schemas.microsoft.com/office/drawing/2014/chart" uri="{C3380CC4-5D6E-409C-BE32-E72D297353CC}">
              <c16:uniqueId val="{00000001-5915-420E-8214-AB8AFC634811}"/>
            </c:ext>
          </c:extLst>
        </c:ser>
        <c:ser>
          <c:idx val="6"/>
          <c:order val="6"/>
          <c:tx>
            <c:strRef>
              <c:f>PGLOBAL!$G$360</c:f>
              <c:strCache>
                <c:ptCount val="1"/>
                <c:pt idx="0">
                  <c:v>GC 3 DE SOACHA</c:v>
                </c:pt>
              </c:strCache>
            </c:strRef>
          </c:tx>
          <c:spPr>
            <a:ln w="19050" cap="rnd" cmpd="sng" algn="ctr">
              <a:solidFill>
                <a:schemeClr val="accent1">
                  <a:lumMod val="60000"/>
                  <a:shade val="95000"/>
                  <a:satMod val="105000"/>
                </a:schemeClr>
              </a:solidFill>
              <a:round/>
            </a:ln>
            <a:effectLst/>
          </c:spPr>
          <c:marker>
            <c:symbol val="circle"/>
            <c:size val="17"/>
            <c:spPr>
              <a:solidFill>
                <a:schemeClr val="lt1"/>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1">
                        <a:lumMod val="60000"/>
                      </a:schemeClr>
                    </a:solidFill>
                    <a:latin typeface="+mn-lt"/>
                    <a:ea typeface="+mn-ea"/>
                    <a:cs typeface="+mn-cs"/>
                  </a:defRPr>
                </a:pPr>
                <a:endParaRPr lang="es-CO"/>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a:solidFill>
                        <a:schemeClr val="dk1">
                          <a:lumMod val="35000"/>
                          <a:lumOff val="65000"/>
                        </a:schemeClr>
                      </a:solidFill>
                    </a:ln>
                    <a:effectLst/>
                  </c:spPr>
                </c15:leaderLines>
              </c:ext>
            </c:extLst>
          </c:dLbls>
          <c:cat>
            <c:strRef>
              <c:f>PGLOBAL!$H$352:$P$353</c:f>
              <c:strCache>
                <c:ptCount val="9"/>
                <c:pt idx="0">
                  <c:v>2016</c:v>
                </c:pt>
                <c:pt idx="1">
                  <c:v>2017</c:v>
                </c:pt>
                <c:pt idx="2">
                  <c:v>2018</c:v>
                </c:pt>
                <c:pt idx="3">
                  <c:v>2019</c:v>
                </c:pt>
                <c:pt idx="4">
                  <c:v>2020</c:v>
                </c:pt>
                <c:pt idx="5">
                  <c:v>2021</c:v>
                </c:pt>
                <c:pt idx="6">
                  <c:v>2022</c:v>
                </c:pt>
                <c:pt idx="7">
                  <c:v>2023</c:v>
                </c:pt>
                <c:pt idx="8">
                  <c:v>2024</c:v>
                </c:pt>
              </c:strCache>
            </c:strRef>
          </c:cat>
          <c:val>
            <c:numRef>
              <c:f>PGLOBAL!$H$360:$P$360</c:f>
              <c:numCache>
                <c:formatCode>General</c:formatCode>
                <c:ptCount val="9"/>
                <c:pt idx="0">
                  <c:v>270</c:v>
                </c:pt>
                <c:pt idx="1">
                  <c:v>269</c:v>
                </c:pt>
                <c:pt idx="2">
                  <c:v>265</c:v>
                </c:pt>
                <c:pt idx="3">
                  <c:v>262</c:v>
                </c:pt>
                <c:pt idx="4">
                  <c:v>262</c:v>
                </c:pt>
                <c:pt idx="5">
                  <c:v>261</c:v>
                </c:pt>
                <c:pt idx="7">
                  <c:v>269</c:v>
                </c:pt>
                <c:pt idx="8">
                  <c:v>267</c:v>
                </c:pt>
              </c:numCache>
            </c:numRef>
          </c:val>
          <c:smooth val="0"/>
          <c:extLst xmlns:c15="http://schemas.microsoft.com/office/drawing/2012/chart">
            <c:ext xmlns:c16="http://schemas.microsoft.com/office/drawing/2014/chart" uri="{C3380CC4-5D6E-409C-BE32-E72D297353CC}">
              <c16:uniqueId val="{00000000-FF6B-4603-9752-38C93226C5B3}"/>
            </c:ext>
          </c:extLst>
        </c:ser>
        <c:ser>
          <c:idx val="7"/>
          <c:order val="7"/>
          <c:tx>
            <c:strRef>
              <c:f>PGLOBAL!$G$361</c:f>
              <c:strCache>
                <c:ptCount val="1"/>
                <c:pt idx="0">
                  <c:v>GC 4 DE SOACHA</c:v>
                </c:pt>
              </c:strCache>
            </c:strRef>
          </c:tx>
          <c:spPr>
            <a:ln w="19050" cap="rnd" cmpd="sng" algn="ctr">
              <a:solidFill>
                <a:schemeClr val="accent2">
                  <a:lumMod val="60000"/>
                  <a:shade val="95000"/>
                  <a:satMod val="105000"/>
                </a:schemeClr>
              </a:solidFill>
              <a:round/>
            </a:ln>
            <a:effectLst/>
          </c:spPr>
          <c:marker>
            <c:symbol val="circle"/>
            <c:size val="17"/>
            <c:spPr>
              <a:solidFill>
                <a:schemeClr val="lt1"/>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2">
                        <a:lumMod val="60000"/>
                      </a:schemeClr>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35000"/>
                          <a:lumOff val="65000"/>
                        </a:schemeClr>
                      </a:solidFill>
                    </a:ln>
                    <a:effectLst/>
                  </c:spPr>
                </c15:leaderLines>
              </c:ext>
            </c:extLst>
          </c:dLbls>
          <c:cat>
            <c:strRef>
              <c:f>PGLOBAL!$H$352:$P$353</c:f>
              <c:strCache>
                <c:ptCount val="9"/>
                <c:pt idx="0">
                  <c:v>2016</c:v>
                </c:pt>
                <c:pt idx="1">
                  <c:v>2017</c:v>
                </c:pt>
                <c:pt idx="2">
                  <c:v>2018</c:v>
                </c:pt>
                <c:pt idx="3">
                  <c:v>2019</c:v>
                </c:pt>
                <c:pt idx="4">
                  <c:v>2020</c:v>
                </c:pt>
                <c:pt idx="5">
                  <c:v>2021</c:v>
                </c:pt>
                <c:pt idx="6">
                  <c:v>2022</c:v>
                </c:pt>
                <c:pt idx="7">
                  <c:v>2023</c:v>
                </c:pt>
                <c:pt idx="8">
                  <c:v>2024</c:v>
                </c:pt>
              </c:strCache>
            </c:strRef>
          </c:cat>
          <c:val>
            <c:numRef>
              <c:f>PGLOBAL!$H$361:$P$361</c:f>
              <c:numCache>
                <c:formatCode>General</c:formatCode>
                <c:ptCount val="9"/>
                <c:pt idx="0">
                  <c:v>281</c:v>
                </c:pt>
                <c:pt idx="8">
                  <c:v>309</c:v>
                </c:pt>
              </c:numCache>
            </c:numRef>
          </c:val>
          <c:smooth val="0"/>
          <c:extLst>
            <c:ext xmlns:c16="http://schemas.microsoft.com/office/drawing/2014/chart" uri="{C3380CC4-5D6E-409C-BE32-E72D297353CC}">
              <c16:uniqueId val="{00000009-A361-419E-B476-A57D33B80DF9}"/>
            </c:ext>
          </c:extLst>
        </c:ser>
        <c:dLbls>
          <c:dLblPos val="ctr"/>
          <c:showLegendKey val="0"/>
          <c:showVal val="1"/>
          <c:showCatName val="0"/>
          <c:showSerName val="0"/>
          <c:showPercent val="0"/>
          <c:showBubbleSize val="0"/>
        </c:dLbls>
        <c:marker val="1"/>
        <c:smooth val="0"/>
        <c:axId val="1095091279"/>
        <c:axId val="1419091247"/>
        <c:extLst/>
      </c:lineChart>
      <c:catAx>
        <c:axId val="1095091279"/>
        <c:scaling>
          <c:orientation val="minMax"/>
        </c:scaling>
        <c:delete val="0"/>
        <c:axPos val="b"/>
        <c:numFmt formatCode="General" sourceLinked="1"/>
        <c:majorTickMark val="out"/>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dk1">
                    <a:lumMod val="65000"/>
                    <a:lumOff val="35000"/>
                  </a:schemeClr>
                </a:solidFill>
                <a:latin typeface="+mn-lt"/>
                <a:ea typeface="+mn-ea"/>
                <a:cs typeface="+mn-cs"/>
              </a:defRPr>
            </a:pPr>
            <a:endParaRPr lang="es-CO"/>
          </a:p>
        </c:txPr>
        <c:crossAx val="1419091247"/>
        <c:crosses val="autoZero"/>
        <c:auto val="1"/>
        <c:lblAlgn val="ctr"/>
        <c:lblOffset val="100"/>
        <c:noMultiLvlLbl val="0"/>
      </c:catAx>
      <c:valAx>
        <c:axId val="1419091247"/>
        <c:scaling>
          <c:orientation val="minMax"/>
          <c:max val="280"/>
          <c:min val="235"/>
        </c:scaling>
        <c:delete val="0"/>
        <c:axPos val="l"/>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es-CO"/>
          </a:p>
        </c:txPr>
        <c:crossAx val="1095091279"/>
        <c:crosses val="autoZero"/>
        <c:crossBetween val="between"/>
        <c:majorUnit val="3"/>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dk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Niveles</a:t>
            </a:r>
            <a:r>
              <a:rPr lang="es-CO" baseline="0"/>
              <a:t> de Desempeño Ciencias Naturales Saber 11 2016 - 2024 </a:t>
            </a:r>
            <a:endParaRPr lang="es-CO"/>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stacked"/>
        <c:varyColors val="0"/>
        <c:ser>
          <c:idx val="0"/>
          <c:order val="0"/>
          <c:tx>
            <c:strRef>
              <c:f>CN!$E$241</c:f>
              <c:strCache>
                <c:ptCount val="1"/>
                <c:pt idx="0">
                  <c:v>1</c:v>
                </c:pt>
              </c:strCache>
            </c:strRef>
          </c:tx>
          <c:spPr>
            <a:solidFill>
              <a:srgbClr val="FF0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CN!$F$239:$AO$240</c:f>
              <c:multiLvlStrCache>
                <c:ptCount val="36"/>
                <c:lvl>
                  <c:pt idx="0">
                    <c:v>COLOMBIA</c:v>
                  </c:pt>
                  <c:pt idx="1">
                    <c:v>SOACHA</c:v>
                  </c:pt>
                  <c:pt idx="2">
                    <c:v>SOACHA OFICIAL</c:v>
                  </c:pt>
                  <c:pt idx="3">
                    <c:v>SOACHA NO OFICIAL</c:v>
                  </c:pt>
                  <c:pt idx="4">
                    <c:v>COLOMBIA</c:v>
                  </c:pt>
                  <c:pt idx="5">
                    <c:v>SOACHA</c:v>
                  </c:pt>
                  <c:pt idx="6">
                    <c:v>SOACHA OFICIAL</c:v>
                  </c:pt>
                  <c:pt idx="7">
                    <c:v>SOACHA NO OFICIAL</c:v>
                  </c:pt>
                  <c:pt idx="8">
                    <c:v>COLOMBIA</c:v>
                  </c:pt>
                  <c:pt idx="9">
                    <c:v>SOACHA</c:v>
                  </c:pt>
                  <c:pt idx="10">
                    <c:v>SOACHA OFICIAL</c:v>
                  </c:pt>
                  <c:pt idx="11">
                    <c:v>SOACHA NO OFICIAL</c:v>
                  </c:pt>
                  <c:pt idx="12">
                    <c:v>COLOMBIA</c:v>
                  </c:pt>
                  <c:pt idx="13">
                    <c:v>SOACHA</c:v>
                  </c:pt>
                  <c:pt idx="14">
                    <c:v>SOACHA OFICIAL</c:v>
                  </c:pt>
                  <c:pt idx="15">
                    <c:v>SOACHA NO OFICIAL</c:v>
                  </c:pt>
                  <c:pt idx="16">
                    <c:v>COLOMBIA</c:v>
                  </c:pt>
                  <c:pt idx="17">
                    <c:v>SOACHA</c:v>
                  </c:pt>
                  <c:pt idx="18">
                    <c:v>SOACHA OFICIAL</c:v>
                  </c:pt>
                  <c:pt idx="19">
                    <c:v>SOACHA NO OFICIAL</c:v>
                  </c:pt>
                  <c:pt idx="20">
                    <c:v>COLOMBIA</c:v>
                  </c:pt>
                  <c:pt idx="21">
                    <c:v>SOACHA</c:v>
                  </c:pt>
                  <c:pt idx="22">
                    <c:v>SOACHA OFICIAL</c:v>
                  </c:pt>
                  <c:pt idx="23">
                    <c:v>SOACHA NO OFICIAL</c:v>
                  </c:pt>
                  <c:pt idx="24">
                    <c:v>COLOMBIA</c:v>
                  </c:pt>
                  <c:pt idx="25">
                    <c:v>SOACHA</c:v>
                  </c:pt>
                  <c:pt idx="26">
                    <c:v>SOACHA OFICIAL</c:v>
                  </c:pt>
                  <c:pt idx="27">
                    <c:v>SOACHA NO OFICIAL</c:v>
                  </c:pt>
                  <c:pt idx="28">
                    <c:v>COLOMBIA</c:v>
                  </c:pt>
                  <c:pt idx="29">
                    <c:v>SOACHA</c:v>
                  </c:pt>
                  <c:pt idx="30">
                    <c:v>SOACHA OFICIAL</c:v>
                  </c:pt>
                  <c:pt idx="31">
                    <c:v>SOACHA NO OFICIAL</c:v>
                  </c:pt>
                  <c:pt idx="32">
                    <c:v>COLOMBIA</c:v>
                  </c:pt>
                  <c:pt idx="33">
                    <c:v>SOACHA</c:v>
                  </c:pt>
                  <c:pt idx="34">
                    <c:v>SOACHA OFICIAL</c:v>
                  </c:pt>
                  <c:pt idx="35">
                    <c:v>SOACHA NO OFICIAL</c:v>
                  </c:pt>
                </c:lvl>
                <c:lvl>
                  <c:pt idx="0">
                    <c:v>2016</c:v>
                  </c:pt>
                  <c:pt idx="4">
                    <c:v>2017</c:v>
                  </c:pt>
                  <c:pt idx="8">
                    <c:v>2018</c:v>
                  </c:pt>
                  <c:pt idx="12">
                    <c:v>2019</c:v>
                  </c:pt>
                  <c:pt idx="16">
                    <c:v>2020</c:v>
                  </c:pt>
                  <c:pt idx="20">
                    <c:v>2021</c:v>
                  </c:pt>
                  <c:pt idx="24">
                    <c:v>2022</c:v>
                  </c:pt>
                  <c:pt idx="28">
                    <c:v>2023</c:v>
                  </c:pt>
                  <c:pt idx="32">
                    <c:v>2024</c:v>
                  </c:pt>
                </c:lvl>
              </c:multiLvlStrCache>
            </c:multiLvlStrRef>
          </c:cat>
          <c:val>
            <c:numRef>
              <c:f>CN!$F$241:$AO$241</c:f>
              <c:numCache>
                <c:formatCode>0%</c:formatCode>
                <c:ptCount val="36"/>
                <c:pt idx="0">
                  <c:v>0.09</c:v>
                </c:pt>
                <c:pt idx="1">
                  <c:v>0.05</c:v>
                </c:pt>
                <c:pt idx="2">
                  <c:v>0.06</c:v>
                </c:pt>
                <c:pt idx="3">
                  <c:v>0.03</c:v>
                </c:pt>
                <c:pt idx="4">
                  <c:v>0.12</c:v>
                </c:pt>
                <c:pt idx="5">
                  <c:v>0.08</c:v>
                </c:pt>
                <c:pt idx="6">
                  <c:v>0.09</c:v>
                </c:pt>
                <c:pt idx="7">
                  <c:v>0.06</c:v>
                </c:pt>
                <c:pt idx="8">
                  <c:v>0.17</c:v>
                </c:pt>
                <c:pt idx="9">
                  <c:v>0.11</c:v>
                </c:pt>
                <c:pt idx="10">
                  <c:v>0.14000000000000001</c:v>
                </c:pt>
                <c:pt idx="11">
                  <c:v>0.08</c:v>
                </c:pt>
                <c:pt idx="12">
                  <c:v>0.21</c:v>
                </c:pt>
                <c:pt idx="13">
                  <c:v>0.14000000000000001</c:v>
                </c:pt>
                <c:pt idx="14">
                  <c:v>0.18</c:v>
                </c:pt>
                <c:pt idx="15">
                  <c:v>0.1</c:v>
                </c:pt>
                <c:pt idx="16">
                  <c:v>0.23</c:v>
                </c:pt>
                <c:pt idx="17">
                  <c:v>0.16</c:v>
                </c:pt>
                <c:pt idx="18">
                  <c:v>0.19</c:v>
                </c:pt>
                <c:pt idx="19">
                  <c:v>0.14000000000000001</c:v>
                </c:pt>
                <c:pt idx="20">
                  <c:v>0.22</c:v>
                </c:pt>
                <c:pt idx="21">
                  <c:v>0.14000000000000001</c:v>
                </c:pt>
                <c:pt idx="22">
                  <c:v>0.17</c:v>
                </c:pt>
                <c:pt idx="23">
                  <c:v>0.1</c:v>
                </c:pt>
                <c:pt idx="24">
                  <c:v>0.21</c:v>
                </c:pt>
                <c:pt idx="25">
                  <c:v>0.14000000000000001</c:v>
                </c:pt>
                <c:pt idx="26">
                  <c:v>0.17</c:v>
                </c:pt>
                <c:pt idx="27">
                  <c:v>0.12</c:v>
                </c:pt>
                <c:pt idx="28">
                  <c:v>0.19</c:v>
                </c:pt>
                <c:pt idx="29">
                  <c:v>0.13</c:v>
                </c:pt>
                <c:pt idx="30">
                  <c:v>0.16</c:v>
                </c:pt>
                <c:pt idx="31">
                  <c:v>0.09</c:v>
                </c:pt>
                <c:pt idx="32">
                  <c:v>0.18</c:v>
                </c:pt>
                <c:pt idx="33">
                  <c:v>0.12</c:v>
                </c:pt>
                <c:pt idx="34">
                  <c:v>0.15</c:v>
                </c:pt>
                <c:pt idx="35">
                  <c:v>0.09</c:v>
                </c:pt>
              </c:numCache>
            </c:numRef>
          </c:val>
          <c:extLst>
            <c:ext xmlns:c16="http://schemas.microsoft.com/office/drawing/2014/chart" uri="{C3380CC4-5D6E-409C-BE32-E72D297353CC}">
              <c16:uniqueId val="{00000000-7ECA-481F-B401-9E861CD34B0B}"/>
            </c:ext>
          </c:extLst>
        </c:ser>
        <c:ser>
          <c:idx val="1"/>
          <c:order val="1"/>
          <c:tx>
            <c:strRef>
              <c:f>CN!$E$242</c:f>
              <c:strCache>
                <c:ptCount val="1"/>
                <c:pt idx="0">
                  <c:v>2</c:v>
                </c:pt>
              </c:strCache>
            </c:strRef>
          </c:tx>
          <c:spPr>
            <a:solidFill>
              <a:srgbClr val="FFFF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CN!$F$239:$AO$240</c:f>
              <c:multiLvlStrCache>
                <c:ptCount val="36"/>
                <c:lvl>
                  <c:pt idx="0">
                    <c:v>COLOMBIA</c:v>
                  </c:pt>
                  <c:pt idx="1">
                    <c:v>SOACHA</c:v>
                  </c:pt>
                  <c:pt idx="2">
                    <c:v>SOACHA OFICIAL</c:v>
                  </c:pt>
                  <c:pt idx="3">
                    <c:v>SOACHA NO OFICIAL</c:v>
                  </c:pt>
                  <c:pt idx="4">
                    <c:v>COLOMBIA</c:v>
                  </c:pt>
                  <c:pt idx="5">
                    <c:v>SOACHA</c:v>
                  </c:pt>
                  <c:pt idx="6">
                    <c:v>SOACHA OFICIAL</c:v>
                  </c:pt>
                  <c:pt idx="7">
                    <c:v>SOACHA NO OFICIAL</c:v>
                  </c:pt>
                  <c:pt idx="8">
                    <c:v>COLOMBIA</c:v>
                  </c:pt>
                  <c:pt idx="9">
                    <c:v>SOACHA</c:v>
                  </c:pt>
                  <c:pt idx="10">
                    <c:v>SOACHA OFICIAL</c:v>
                  </c:pt>
                  <c:pt idx="11">
                    <c:v>SOACHA NO OFICIAL</c:v>
                  </c:pt>
                  <c:pt idx="12">
                    <c:v>COLOMBIA</c:v>
                  </c:pt>
                  <c:pt idx="13">
                    <c:v>SOACHA</c:v>
                  </c:pt>
                  <c:pt idx="14">
                    <c:v>SOACHA OFICIAL</c:v>
                  </c:pt>
                  <c:pt idx="15">
                    <c:v>SOACHA NO OFICIAL</c:v>
                  </c:pt>
                  <c:pt idx="16">
                    <c:v>COLOMBIA</c:v>
                  </c:pt>
                  <c:pt idx="17">
                    <c:v>SOACHA</c:v>
                  </c:pt>
                  <c:pt idx="18">
                    <c:v>SOACHA OFICIAL</c:v>
                  </c:pt>
                  <c:pt idx="19">
                    <c:v>SOACHA NO OFICIAL</c:v>
                  </c:pt>
                  <c:pt idx="20">
                    <c:v>COLOMBIA</c:v>
                  </c:pt>
                  <c:pt idx="21">
                    <c:v>SOACHA</c:v>
                  </c:pt>
                  <c:pt idx="22">
                    <c:v>SOACHA OFICIAL</c:v>
                  </c:pt>
                  <c:pt idx="23">
                    <c:v>SOACHA NO OFICIAL</c:v>
                  </c:pt>
                  <c:pt idx="24">
                    <c:v>COLOMBIA</c:v>
                  </c:pt>
                  <c:pt idx="25">
                    <c:v>SOACHA</c:v>
                  </c:pt>
                  <c:pt idx="26">
                    <c:v>SOACHA OFICIAL</c:v>
                  </c:pt>
                  <c:pt idx="27">
                    <c:v>SOACHA NO OFICIAL</c:v>
                  </c:pt>
                  <c:pt idx="28">
                    <c:v>COLOMBIA</c:v>
                  </c:pt>
                  <c:pt idx="29">
                    <c:v>SOACHA</c:v>
                  </c:pt>
                  <c:pt idx="30">
                    <c:v>SOACHA OFICIAL</c:v>
                  </c:pt>
                  <c:pt idx="31">
                    <c:v>SOACHA NO OFICIAL</c:v>
                  </c:pt>
                  <c:pt idx="32">
                    <c:v>COLOMBIA</c:v>
                  </c:pt>
                  <c:pt idx="33">
                    <c:v>SOACHA</c:v>
                  </c:pt>
                  <c:pt idx="34">
                    <c:v>SOACHA OFICIAL</c:v>
                  </c:pt>
                  <c:pt idx="35">
                    <c:v>SOACHA NO OFICIAL</c:v>
                  </c:pt>
                </c:lvl>
                <c:lvl>
                  <c:pt idx="0">
                    <c:v>2016</c:v>
                  </c:pt>
                  <c:pt idx="4">
                    <c:v>2017</c:v>
                  </c:pt>
                  <c:pt idx="8">
                    <c:v>2018</c:v>
                  </c:pt>
                  <c:pt idx="12">
                    <c:v>2019</c:v>
                  </c:pt>
                  <c:pt idx="16">
                    <c:v>2020</c:v>
                  </c:pt>
                  <c:pt idx="20">
                    <c:v>2021</c:v>
                  </c:pt>
                  <c:pt idx="24">
                    <c:v>2022</c:v>
                  </c:pt>
                  <c:pt idx="28">
                    <c:v>2023</c:v>
                  </c:pt>
                  <c:pt idx="32">
                    <c:v>2024</c:v>
                  </c:pt>
                </c:lvl>
              </c:multiLvlStrCache>
            </c:multiLvlStrRef>
          </c:cat>
          <c:val>
            <c:numRef>
              <c:f>CN!$F$242:$AO$242</c:f>
              <c:numCache>
                <c:formatCode>0%</c:formatCode>
                <c:ptCount val="36"/>
                <c:pt idx="0">
                  <c:v>0.5</c:v>
                </c:pt>
                <c:pt idx="1">
                  <c:v>0.54</c:v>
                </c:pt>
                <c:pt idx="2">
                  <c:v>0.59</c:v>
                </c:pt>
                <c:pt idx="3">
                  <c:v>0.5</c:v>
                </c:pt>
                <c:pt idx="4">
                  <c:v>0.49</c:v>
                </c:pt>
                <c:pt idx="5">
                  <c:v>0.53</c:v>
                </c:pt>
                <c:pt idx="6">
                  <c:v>0.56999999999999995</c:v>
                </c:pt>
                <c:pt idx="7">
                  <c:v>0.49</c:v>
                </c:pt>
                <c:pt idx="8">
                  <c:v>0.5</c:v>
                </c:pt>
                <c:pt idx="9">
                  <c:v>0.56999999999999995</c:v>
                </c:pt>
                <c:pt idx="10">
                  <c:v>0.6</c:v>
                </c:pt>
                <c:pt idx="11">
                  <c:v>0.53</c:v>
                </c:pt>
                <c:pt idx="12">
                  <c:v>0.5</c:v>
                </c:pt>
                <c:pt idx="13">
                  <c:v>0.6</c:v>
                </c:pt>
                <c:pt idx="14">
                  <c:v>0.61</c:v>
                </c:pt>
                <c:pt idx="15">
                  <c:v>0.56999999999999995</c:v>
                </c:pt>
                <c:pt idx="16">
                  <c:v>0.5</c:v>
                </c:pt>
                <c:pt idx="17">
                  <c:v>0.56000000000000005</c:v>
                </c:pt>
                <c:pt idx="18">
                  <c:v>0.59</c:v>
                </c:pt>
                <c:pt idx="19">
                  <c:v>0.53</c:v>
                </c:pt>
                <c:pt idx="20">
                  <c:v>0.53</c:v>
                </c:pt>
                <c:pt idx="21">
                  <c:v>0.6</c:v>
                </c:pt>
                <c:pt idx="22">
                  <c:v>0.64</c:v>
                </c:pt>
                <c:pt idx="23">
                  <c:v>0.56999999999999995</c:v>
                </c:pt>
                <c:pt idx="24">
                  <c:v>0.5</c:v>
                </c:pt>
                <c:pt idx="25">
                  <c:v>0.55000000000000004</c:v>
                </c:pt>
                <c:pt idx="26">
                  <c:v>0.59</c:v>
                </c:pt>
                <c:pt idx="27">
                  <c:v>0.5</c:v>
                </c:pt>
                <c:pt idx="28">
                  <c:v>0.49</c:v>
                </c:pt>
                <c:pt idx="29">
                  <c:v>0.54</c:v>
                </c:pt>
                <c:pt idx="30">
                  <c:v>0.57999999999999996</c:v>
                </c:pt>
                <c:pt idx="31">
                  <c:v>0.49</c:v>
                </c:pt>
                <c:pt idx="32">
                  <c:v>0.47</c:v>
                </c:pt>
                <c:pt idx="33">
                  <c:v>0.52</c:v>
                </c:pt>
                <c:pt idx="34">
                  <c:v>0.55000000000000004</c:v>
                </c:pt>
                <c:pt idx="35">
                  <c:v>0.47</c:v>
                </c:pt>
              </c:numCache>
            </c:numRef>
          </c:val>
          <c:extLst>
            <c:ext xmlns:c16="http://schemas.microsoft.com/office/drawing/2014/chart" uri="{C3380CC4-5D6E-409C-BE32-E72D297353CC}">
              <c16:uniqueId val="{00000001-7ECA-481F-B401-9E861CD34B0B}"/>
            </c:ext>
          </c:extLst>
        </c:ser>
        <c:ser>
          <c:idx val="2"/>
          <c:order val="2"/>
          <c:tx>
            <c:strRef>
              <c:f>CN!$E$243</c:f>
              <c:strCache>
                <c:ptCount val="1"/>
                <c:pt idx="0">
                  <c:v>3</c:v>
                </c:pt>
              </c:strCache>
            </c:strRef>
          </c:tx>
          <c:spPr>
            <a:solidFill>
              <a:srgbClr val="FFC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CN!$F$239:$AO$240</c:f>
              <c:multiLvlStrCache>
                <c:ptCount val="36"/>
                <c:lvl>
                  <c:pt idx="0">
                    <c:v>COLOMBIA</c:v>
                  </c:pt>
                  <c:pt idx="1">
                    <c:v>SOACHA</c:v>
                  </c:pt>
                  <c:pt idx="2">
                    <c:v>SOACHA OFICIAL</c:v>
                  </c:pt>
                  <c:pt idx="3">
                    <c:v>SOACHA NO OFICIAL</c:v>
                  </c:pt>
                  <c:pt idx="4">
                    <c:v>COLOMBIA</c:v>
                  </c:pt>
                  <c:pt idx="5">
                    <c:v>SOACHA</c:v>
                  </c:pt>
                  <c:pt idx="6">
                    <c:v>SOACHA OFICIAL</c:v>
                  </c:pt>
                  <c:pt idx="7">
                    <c:v>SOACHA NO OFICIAL</c:v>
                  </c:pt>
                  <c:pt idx="8">
                    <c:v>COLOMBIA</c:v>
                  </c:pt>
                  <c:pt idx="9">
                    <c:v>SOACHA</c:v>
                  </c:pt>
                  <c:pt idx="10">
                    <c:v>SOACHA OFICIAL</c:v>
                  </c:pt>
                  <c:pt idx="11">
                    <c:v>SOACHA NO OFICIAL</c:v>
                  </c:pt>
                  <c:pt idx="12">
                    <c:v>COLOMBIA</c:v>
                  </c:pt>
                  <c:pt idx="13">
                    <c:v>SOACHA</c:v>
                  </c:pt>
                  <c:pt idx="14">
                    <c:v>SOACHA OFICIAL</c:v>
                  </c:pt>
                  <c:pt idx="15">
                    <c:v>SOACHA NO OFICIAL</c:v>
                  </c:pt>
                  <c:pt idx="16">
                    <c:v>COLOMBIA</c:v>
                  </c:pt>
                  <c:pt idx="17">
                    <c:v>SOACHA</c:v>
                  </c:pt>
                  <c:pt idx="18">
                    <c:v>SOACHA OFICIAL</c:v>
                  </c:pt>
                  <c:pt idx="19">
                    <c:v>SOACHA NO OFICIAL</c:v>
                  </c:pt>
                  <c:pt idx="20">
                    <c:v>COLOMBIA</c:v>
                  </c:pt>
                  <c:pt idx="21">
                    <c:v>SOACHA</c:v>
                  </c:pt>
                  <c:pt idx="22">
                    <c:v>SOACHA OFICIAL</c:v>
                  </c:pt>
                  <c:pt idx="23">
                    <c:v>SOACHA NO OFICIAL</c:v>
                  </c:pt>
                  <c:pt idx="24">
                    <c:v>COLOMBIA</c:v>
                  </c:pt>
                  <c:pt idx="25">
                    <c:v>SOACHA</c:v>
                  </c:pt>
                  <c:pt idx="26">
                    <c:v>SOACHA OFICIAL</c:v>
                  </c:pt>
                  <c:pt idx="27">
                    <c:v>SOACHA NO OFICIAL</c:v>
                  </c:pt>
                  <c:pt idx="28">
                    <c:v>COLOMBIA</c:v>
                  </c:pt>
                  <c:pt idx="29">
                    <c:v>SOACHA</c:v>
                  </c:pt>
                  <c:pt idx="30">
                    <c:v>SOACHA OFICIAL</c:v>
                  </c:pt>
                  <c:pt idx="31">
                    <c:v>SOACHA NO OFICIAL</c:v>
                  </c:pt>
                  <c:pt idx="32">
                    <c:v>COLOMBIA</c:v>
                  </c:pt>
                  <c:pt idx="33">
                    <c:v>SOACHA</c:v>
                  </c:pt>
                  <c:pt idx="34">
                    <c:v>SOACHA OFICIAL</c:v>
                  </c:pt>
                  <c:pt idx="35">
                    <c:v>SOACHA NO OFICIAL</c:v>
                  </c:pt>
                </c:lvl>
                <c:lvl>
                  <c:pt idx="0">
                    <c:v>2016</c:v>
                  </c:pt>
                  <c:pt idx="4">
                    <c:v>2017</c:v>
                  </c:pt>
                  <c:pt idx="8">
                    <c:v>2018</c:v>
                  </c:pt>
                  <c:pt idx="12">
                    <c:v>2019</c:v>
                  </c:pt>
                  <c:pt idx="16">
                    <c:v>2020</c:v>
                  </c:pt>
                  <c:pt idx="20">
                    <c:v>2021</c:v>
                  </c:pt>
                  <c:pt idx="24">
                    <c:v>2022</c:v>
                  </c:pt>
                  <c:pt idx="28">
                    <c:v>2023</c:v>
                  </c:pt>
                  <c:pt idx="32">
                    <c:v>2024</c:v>
                  </c:pt>
                </c:lvl>
              </c:multiLvlStrCache>
            </c:multiLvlStrRef>
          </c:cat>
          <c:val>
            <c:numRef>
              <c:f>CN!$F$243:$AO$243</c:f>
              <c:numCache>
                <c:formatCode>0%</c:formatCode>
                <c:ptCount val="36"/>
                <c:pt idx="0">
                  <c:v>0.38</c:v>
                </c:pt>
                <c:pt idx="1">
                  <c:v>0.4</c:v>
                </c:pt>
                <c:pt idx="2">
                  <c:v>0.35</c:v>
                </c:pt>
                <c:pt idx="3">
                  <c:v>0.46</c:v>
                </c:pt>
                <c:pt idx="4">
                  <c:v>0.36</c:v>
                </c:pt>
                <c:pt idx="5">
                  <c:v>0.38</c:v>
                </c:pt>
                <c:pt idx="6">
                  <c:v>0.33</c:v>
                </c:pt>
                <c:pt idx="7">
                  <c:v>0.44</c:v>
                </c:pt>
                <c:pt idx="8">
                  <c:v>0.31</c:v>
                </c:pt>
                <c:pt idx="9">
                  <c:v>0.31</c:v>
                </c:pt>
                <c:pt idx="10">
                  <c:v>0.25</c:v>
                </c:pt>
                <c:pt idx="11">
                  <c:v>0.38</c:v>
                </c:pt>
                <c:pt idx="12">
                  <c:v>0.27</c:v>
                </c:pt>
                <c:pt idx="13">
                  <c:v>0.25</c:v>
                </c:pt>
                <c:pt idx="14">
                  <c:v>0.2</c:v>
                </c:pt>
                <c:pt idx="15">
                  <c:v>0.31</c:v>
                </c:pt>
                <c:pt idx="16">
                  <c:v>0.25</c:v>
                </c:pt>
                <c:pt idx="17">
                  <c:v>0.27</c:v>
                </c:pt>
                <c:pt idx="18">
                  <c:v>0.22</c:v>
                </c:pt>
                <c:pt idx="19">
                  <c:v>0.32</c:v>
                </c:pt>
                <c:pt idx="20">
                  <c:v>0.23</c:v>
                </c:pt>
                <c:pt idx="21">
                  <c:v>0.25</c:v>
                </c:pt>
                <c:pt idx="22">
                  <c:v>0.18</c:v>
                </c:pt>
                <c:pt idx="23">
                  <c:v>0.32</c:v>
                </c:pt>
                <c:pt idx="24">
                  <c:v>0.27</c:v>
                </c:pt>
                <c:pt idx="25">
                  <c:v>0.28999999999999998</c:v>
                </c:pt>
                <c:pt idx="26">
                  <c:v>0.23</c:v>
                </c:pt>
                <c:pt idx="27">
                  <c:v>0.36</c:v>
                </c:pt>
                <c:pt idx="28">
                  <c:v>0.28999999999999998</c:v>
                </c:pt>
                <c:pt idx="29">
                  <c:v>0.32</c:v>
                </c:pt>
                <c:pt idx="30">
                  <c:v>0.25</c:v>
                </c:pt>
                <c:pt idx="31">
                  <c:v>0.4</c:v>
                </c:pt>
                <c:pt idx="32">
                  <c:v>0.31</c:v>
                </c:pt>
                <c:pt idx="33">
                  <c:v>0.34</c:v>
                </c:pt>
                <c:pt idx="34">
                  <c:v>0.28000000000000003</c:v>
                </c:pt>
                <c:pt idx="35">
                  <c:v>0.41</c:v>
                </c:pt>
              </c:numCache>
            </c:numRef>
          </c:val>
          <c:extLst>
            <c:ext xmlns:c16="http://schemas.microsoft.com/office/drawing/2014/chart" uri="{C3380CC4-5D6E-409C-BE32-E72D297353CC}">
              <c16:uniqueId val="{00000002-7ECA-481F-B401-9E861CD34B0B}"/>
            </c:ext>
          </c:extLst>
        </c:ser>
        <c:ser>
          <c:idx val="3"/>
          <c:order val="3"/>
          <c:tx>
            <c:strRef>
              <c:f>CN!$E$244</c:f>
              <c:strCache>
                <c:ptCount val="1"/>
                <c:pt idx="0">
                  <c:v>4</c:v>
                </c:pt>
              </c:strCache>
            </c:strRef>
          </c:tx>
          <c:spPr>
            <a:solidFill>
              <a:srgbClr val="00B05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CN!$F$239:$AO$240</c:f>
              <c:multiLvlStrCache>
                <c:ptCount val="36"/>
                <c:lvl>
                  <c:pt idx="0">
                    <c:v>COLOMBIA</c:v>
                  </c:pt>
                  <c:pt idx="1">
                    <c:v>SOACHA</c:v>
                  </c:pt>
                  <c:pt idx="2">
                    <c:v>SOACHA OFICIAL</c:v>
                  </c:pt>
                  <c:pt idx="3">
                    <c:v>SOACHA NO OFICIAL</c:v>
                  </c:pt>
                  <c:pt idx="4">
                    <c:v>COLOMBIA</c:v>
                  </c:pt>
                  <c:pt idx="5">
                    <c:v>SOACHA</c:v>
                  </c:pt>
                  <c:pt idx="6">
                    <c:v>SOACHA OFICIAL</c:v>
                  </c:pt>
                  <c:pt idx="7">
                    <c:v>SOACHA NO OFICIAL</c:v>
                  </c:pt>
                  <c:pt idx="8">
                    <c:v>COLOMBIA</c:v>
                  </c:pt>
                  <c:pt idx="9">
                    <c:v>SOACHA</c:v>
                  </c:pt>
                  <c:pt idx="10">
                    <c:v>SOACHA OFICIAL</c:v>
                  </c:pt>
                  <c:pt idx="11">
                    <c:v>SOACHA NO OFICIAL</c:v>
                  </c:pt>
                  <c:pt idx="12">
                    <c:v>COLOMBIA</c:v>
                  </c:pt>
                  <c:pt idx="13">
                    <c:v>SOACHA</c:v>
                  </c:pt>
                  <c:pt idx="14">
                    <c:v>SOACHA OFICIAL</c:v>
                  </c:pt>
                  <c:pt idx="15">
                    <c:v>SOACHA NO OFICIAL</c:v>
                  </c:pt>
                  <c:pt idx="16">
                    <c:v>COLOMBIA</c:v>
                  </c:pt>
                  <c:pt idx="17">
                    <c:v>SOACHA</c:v>
                  </c:pt>
                  <c:pt idx="18">
                    <c:v>SOACHA OFICIAL</c:v>
                  </c:pt>
                  <c:pt idx="19">
                    <c:v>SOACHA NO OFICIAL</c:v>
                  </c:pt>
                  <c:pt idx="20">
                    <c:v>COLOMBIA</c:v>
                  </c:pt>
                  <c:pt idx="21">
                    <c:v>SOACHA</c:v>
                  </c:pt>
                  <c:pt idx="22">
                    <c:v>SOACHA OFICIAL</c:v>
                  </c:pt>
                  <c:pt idx="23">
                    <c:v>SOACHA NO OFICIAL</c:v>
                  </c:pt>
                  <c:pt idx="24">
                    <c:v>COLOMBIA</c:v>
                  </c:pt>
                  <c:pt idx="25">
                    <c:v>SOACHA</c:v>
                  </c:pt>
                  <c:pt idx="26">
                    <c:v>SOACHA OFICIAL</c:v>
                  </c:pt>
                  <c:pt idx="27">
                    <c:v>SOACHA NO OFICIAL</c:v>
                  </c:pt>
                  <c:pt idx="28">
                    <c:v>COLOMBIA</c:v>
                  </c:pt>
                  <c:pt idx="29">
                    <c:v>SOACHA</c:v>
                  </c:pt>
                  <c:pt idx="30">
                    <c:v>SOACHA OFICIAL</c:v>
                  </c:pt>
                  <c:pt idx="31">
                    <c:v>SOACHA NO OFICIAL</c:v>
                  </c:pt>
                  <c:pt idx="32">
                    <c:v>COLOMBIA</c:v>
                  </c:pt>
                  <c:pt idx="33">
                    <c:v>SOACHA</c:v>
                  </c:pt>
                  <c:pt idx="34">
                    <c:v>SOACHA OFICIAL</c:v>
                  </c:pt>
                  <c:pt idx="35">
                    <c:v>SOACHA NO OFICIAL</c:v>
                  </c:pt>
                </c:lvl>
                <c:lvl>
                  <c:pt idx="0">
                    <c:v>2016</c:v>
                  </c:pt>
                  <c:pt idx="4">
                    <c:v>2017</c:v>
                  </c:pt>
                  <c:pt idx="8">
                    <c:v>2018</c:v>
                  </c:pt>
                  <c:pt idx="12">
                    <c:v>2019</c:v>
                  </c:pt>
                  <c:pt idx="16">
                    <c:v>2020</c:v>
                  </c:pt>
                  <c:pt idx="20">
                    <c:v>2021</c:v>
                  </c:pt>
                  <c:pt idx="24">
                    <c:v>2022</c:v>
                  </c:pt>
                  <c:pt idx="28">
                    <c:v>2023</c:v>
                  </c:pt>
                  <c:pt idx="32">
                    <c:v>2024</c:v>
                  </c:pt>
                </c:lvl>
              </c:multiLvlStrCache>
            </c:multiLvlStrRef>
          </c:cat>
          <c:val>
            <c:numRef>
              <c:f>CN!$F$244:$AO$244</c:f>
              <c:numCache>
                <c:formatCode>0%</c:formatCode>
                <c:ptCount val="36"/>
                <c:pt idx="0">
                  <c:v>0.03</c:v>
                </c:pt>
                <c:pt idx="1">
                  <c:v>0.01</c:v>
                </c:pt>
                <c:pt idx="2">
                  <c:v>0.01</c:v>
                </c:pt>
                <c:pt idx="3">
                  <c:v>0.01</c:v>
                </c:pt>
                <c:pt idx="4">
                  <c:v>0.03</c:v>
                </c:pt>
                <c:pt idx="5">
                  <c:v>0.01</c:v>
                </c:pt>
                <c:pt idx="6">
                  <c:v>0.01</c:v>
                </c:pt>
                <c:pt idx="7">
                  <c:v>0.02</c:v>
                </c:pt>
                <c:pt idx="8">
                  <c:v>0.03</c:v>
                </c:pt>
                <c:pt idx="9">
                  <c:v>0.01</c:v>
                </c:pt>
                <c:pt idx="10">
                  <c:v>0.01</c:v>
                </c:pt>
                <c:pt idx="11">
                  <c:v>0.02</c:v>
                </c:pt>
                <c:pt idx="12">
                  <c:v>0.03</c:v>
                </c:pt>
                <c:pt idx="13">
                  <c:v>0.01</c:v>
                </c:pt>
                <c:pt idx="14">
                  <c:v>0.01</c:v>
                </c:pt>
                <c:pt idx="15">
                  <c:v>0.02</c:v>
                </c:pt>
                <c:pt idx="16">
                  <c:v>0.02</c:v>
                </c:pt>
                <c:pt idx="17">
                  <c:v>0.01</c:v>
                </c:pt>
                <c:pt idx="18">
                  <c:v>0.01</c:v>
                </c:pt>
                <c:pt idx="19">
                  <c:v>0.01</c:v>
                </c:pt>
                <c:pt idx="20">
                  <c:v>0.02</c:v>
                </c:pt>
                <c:pt idx="21">
                  <c:v>0.01</c:v>
                </c:pt>
                <c:pt idx="22">
                  <c:v>0</c:v>
                </c:pt>
                <c:pt idx="23">
                  <c:v>0.01</c:v>
                </c:pt>
                <c:pt idx="24">
                  <c:v>0.03</c:v>
                </c:pt>
                <c:pt idx="25">
                  <c:v>0.01</c:v>
                </c:pt>
                <c:pt idx="26">
                  <c:v>0.01</c:v>
                </c:pt>
                <c:pt idx="27">
                  <c:v>0.02</c:v>
                </c:pt>
                <c:pt idx="28">
                  <c:v>0.03</c:v>
                </c:pt>
                <c:pt idx="29">
                  <c:v>0.02</c:v>
                </c:pt>
                <c:pt idx="30">
                  <c:v>0.01</c:v>
                </c:pt>
                <c:pt idx="31">
                  <c:v>0.02</c:v>
                </c:pt>
                <c:pt idx="32">
                  <c:v>0.04</c:v>
                </c:pt>
                <c:pt idx="33">
                  <c:v>0.02</c:v>
                </c:pt>
                <c:pt idx="34">
                  <c:v>0.01</c:v>
                </c:pt>
                <c:pt idx="35">
                  <c:v>0.02</c:v>
                </c:pt>
              </c:numCache>
            </c:numRef>
          </c:val>
          <c:extLst>
            <c:ext xmlns:c16="http://schemas.microsoft.com/office/drawing/2014/chart" uri="{C3380CC4-5D6E-409C-BE32-E72D297353CC}">
              <c16:uniqueId val="{00000003-7ECA-481F-B401-9E861CD34B0B}"/>
            </c:ext>
          </c:extLst>
        </c:ser>
        <c:dLbls>
          <c:showLegendKey val="0"/>
          <c:showVal val="0"/>
          <c:showCatName val="0"/>
          <c:showSerName val="0"/>
          <c:showPercent val="0"/>
          <c:showBubbleSize val="0"/>
        </c:dLbls>
        <c:gapWidth val="150"/>
        <c:overlap val="100"/>
        <c:axId val="744346207"/>
        <c:axId val="634479663"/>
      </c:barChart>
      <c:catAx>
        <c:axId val="74434620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634479663"/>
        <c:crosses val="autoZero"/>
        <c:auto val="1"/>
        <c:lblAlgn val="ctr"/>
        <c:lblOffset val="100"/>
        <c:noMultiLvlLbl val="0"/>
      </c:catAx>
      <c:valAx>
        <c:axId val="634479663"/>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74434620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sz="1400"/>
              <a:t>Resultados Inglés </a:t>
            </a:r>
            <a:r>
              <a:rPr lang="es-CO" sz="1400" baseline="0"/>
              <a:t>por Comunas 2016 - 2024</a:t>
            </a:r>
            <a:endParaRPr lang="es-CO" sz="1400"/>
          </a:p>
        </c:rich>
      </c:tx>
      <c:overlay val="0"/>
    </c:title>
    <c:autoTitleDeleted val="0"/>
    <c:plotArea>
      <c:layout/>
      <c:radarChart>
        <c:radarStyle val="marker"/>
        <c:varyColors val="0"/>
        <c:ser>
          <c:idx val="0"/>
          <c:order val="0"/>
          <c:tx>
            <c:strRef>
              <c:f>INGLES!$Z$178</c:f>
              <c:strCache>
                <c:ptCount val="1"/>
                <c:pt idx="0">
                  <c:v>2016</c:v>
                </c:pt>
              </c:strCache>
            </c:strRef>
          </c:tx>
          <c:spPr>
            <a:ln>
              <a:prstDash val="lgDashDot"/>
            </a:ln>
          </c:spPr>
          <c:cat>
            <c:strRef>
              <c:f>INGLES!$Y$179:$Y$184</c:f>
              <c:strCache>
                <c:ptCount val="6"/>
                <c:pt idx="0">
                  <c:v>COMUNA 1</c:v>
                </c:pt>
                <c:pt idx="1">
                  <c:v>COMUNA 2</c:v>
                </c:pt>
                <c:pt idx="2">
                  <c:v>COMUNA 3</c:v>
                </c:pt>
                <c:pt idx="3">
                  <c:v>COMUNA 4</c:v>
                </c:pt>
                <c:pt idx="4">
                  <c:v>COMUNA 5</c:v>
                </c:pt>
                <c:pt idx="5">
                  <c:v>COMUNA 6</c:v>
                </c:pt>
              </c:strCache>
            </c:strRef>
          </c:cat>
          <c:val>
            <c:numRef>
              <c:f>INGLES!$Z$179:$Z$184</c:f>
              <c:numCache>
                <c:formatCode>0</c:formatCode>
                <c:ptCount val="6"/>
                <c:pt idx="0">
                  <c:v>52.647058823529413</c:v>
                </c:pt>
                <c:pt idx="1">
                  <c:v>54.7</c:v>
                </c:pt>
                <c:pt idx="2">
                  <c:v>54.5</c:v>
                </c:pt>
                <c:pt idx="3">
                  <c:v>50.785714285714285</c:v>
                </c:pt>
                <c:pt idx="4">
                  <c:v>57</c:v>
                </c:pt>
                <c:pt idx="5">
                  <c:v>54.2</c:v>
                </c:pt>
              </c:numCache>
            </c:numRef>
          </c:val>
          <c:extLst>
            <c:ext xmlns:c16="http://schemas.microsoft.com/office/drawing/2014/chart" uri="{C3380CC4-5D6E-409C-BE32-E72D297353CC}">
              <c16:uniqueId val="{00000000-680B-417E-A672-FFD22B16563E}"/>
            </c:ext>
          </c:extLst>
        </c:ser>
        <c:ser>
          <c:idx val="1"/>
          <c:order val="1"/>
          <c:tx>
            <c:strRef>
              <c:f>INGLES!$AA$178</c:f>
              <c:strCache>
                <c:ptCount val="1"/>
                <c:pt idx="0">
                  <c:v>2017</c:v>
                </c:pt>
              </c:strCache>
            </c:strRef>
          </c:tx>
          <c:cat>
            <c:strRef>
              <c:f>INGLES!$Y$179:$Y$184</c:f>
              <c:strCache>
                <c:ptCount val="6"/>
                <c:pt idx="0">
                  <c:v>COMUNA 1</c:v>
                </c:pt>
                <c:pt idx="1">
                  <c:v>COMUNA 2</c:v>
                </c:pt>
                <c:pt idx="2">
                  <c:v>COMUNA 3</c:v>
                </c:pt>
                <c:pt idx="3">
                  <c:v>COMUNA 4</c:v>
                </c:pt>
                <c:pt idx="4">
                  <c:v>COMUNA 5</c:v>
                </c:pt>
                <c:pt idx="5">
                  <c:v>COMUNA 6</c:v>
                </c:pt>
              </c:strCache>
            </c:strRef>
          </c:cat>
          <c:val>
            <c:numRef>
              <c:f>INGLES!$AA$179:$AA$184</c:f>
              <c:numCache>
                <c:formatCode>0</c:formatCode>
                <c:ptCount val="6"/>
                <c:pt idx="0">
                  <c:v>50.4375</c:v>
                </c:pt>
                <c:pt idx="1">
                  <c:v>52.315789473684212</c:v>
                </c:pt>
                <c:pt idx="2">
                  <c:v>51.117647058823529</c:v>
                </c:pt>
                <c:pt idx="3">
                  <c:v>49.466666666666669</c:v>
                </c:pt>
                <c:pt idx="4">
                  <c:v>55.411764705882355</c:v>
                </c:pt>
                <c:pt idx="5">
                  <c:v>50.93333333333333</c:v>
                </c:pt>
              </c:numCache>
            </c:numRef>
          </c:val>
          <c:extLst>
            <c:ext xmlns:c16="http://schemas.microsoft.com/office/drawing/2014/chart" uri="{C3380CC4-5D6E-409C-BE32-E72D297353CC}">
              <c16:uniqueId val="{00000001-680B-417E-A672-FFD22B16563E}"/>
            </c:ext>
          </c:extLst>
        </c:ser>
        <c:ser>
          <c:idx val="2"/>
          <c:order val="2"/>
          <c:tx>
            <c:strRef>
              <c:f>INGLES!$AB$178</c:f>
              <c:strCache>
                <c:ptCount val="1"/>
                <c:pt idx="0">
                  <c:v>2018</c:v>
                </c:pt>
              </c:strCache>
            </c:strRef>
          </c:tx>
          <c:spPr>
            <a:ln>
              <a:prstDash val="sysDash"/>
            </a:ln>
          </c:spPr>
          <c:cat>
            <c:strRef>
              <c:f>INGLES!$Y$179:$Y$184</c:f>
              <c:strCache>
                <c:ptCount val="6"/>
                <c:pt idx="0">
                  <c:v>COMUNA 1</c:v>
                </c:pt>
                <c:pt idx="1">
                  <c:v>COMUNA 2</c:v>
                </c:pt>
                <c:pt idx="2">
                  <c:v>COMUNA 3</c:v>
                </c:pt>
                <c:pt idx="3">
                  <c:v>COMUNA 4</c:v>
                </c:pt>
                <c:pt idx="4">
                  <c:v>COMUNA 5</c:v>
                </c:pt>
                <c:pt idx="5">
                  <c:v>COMUNA 6</c:v>
                </c:pt>
              </c:strCache>
            </c:strRef>
          </c:cat>
          <c:val>
            <c:numRef>
              <c:f>INGLES!$AB$179:$AB$184</c:f>
              <c:numCache>
                <c:formatCode>0</c:formatCode>
                <c:ptCount val="6"/>
                <c:pt idx="0">
                  <c:v>52.117647058823529</c:v>
                </c:pt>
                <c:pt idx="1">
                  <c:v>54</c:v>
                </c:pt>
                <c:pt idx="2">
                  <c:v>52.882352941176471</c:v>
                </c:pt>
                <c:pt idx="3">
                  <c:v>52.133333333333333</c:v>
                </c:pt>
                <c:pt idx="4">
                  <c:v>55.833333333333336</c:v>
                </c:pt>
                <c:pt idx="5">
                  <c:v>52.357142857142854</c:v>
                </c:pt>
              </c:numCache>
            </c:numRef>
          </c:val>
          <c:extLst>
            <c:ext xmlns:c16="http://schemas.microsoft.com/office/drawing/2014/chart" uri="{C3380CC4-5D6E-409C-BE32-E72D297353CC}">
              <c16:uniqueId val="{00000002-680B-417E-A672-FFD22B16563E}"/>
            </c:ext>
          </c:extLst>
        </c:ser>
        <c:ser>
          <c:idx val="3"/>
          <c:order val="3"/>
          <c:tx>
            <c:strRef>
              <c:f>INGLES!$AC$178</c:f>
              <c:strCache>
                <c:ptCount val="1"/>
                <c:pt idx="0">
                  <c:v>2019</c:v>
                </c:pt>
              </c:strCache>
            </c:strRef>
          </c:tx>
          <c:cat>
            <c:strRef>
              <c:f>INGLES!$Y$179:$Y$184</c:f>
              <c:strCache>
                <c:ptCount val="6"/>
                <c:pt idx="0">
                  <c:v>COMUNA 1</c:v>
                </c:pt>
                <c:pt idx="1">
                  <c:v>COMUNA 2</c:v>
                </c:pt>
                <c:pt idx="2">
                  <c:v>COMUNA 3</c:v>
                </c:pt>
                <c:pt idx="3">
                  <c:v>COMUNA 4</c:v>
                </c:pt>
                <c:pt idx="4">
                  <c:v>COMUNA 5</c:v>
                </c:pt>
                <c:pt idx="5">
                  <c:v>COMUNA 6</c:v>
                </c:pt>
              </c:strCache>
            </c:strRef>
          </c:cat>
          <c:val>
            <c:numRef>
              <c:f>INGLES!$AC$179:$AC$184</c:f>
              <c:numCache>
                <c:formatCode>0</c:formatCode>
                <c:ptCount val="6"/>
                <c:pt idx="0">
                  <c:v>50.058823529411768</c:v>
                </c:pt>
                <c:pt idx="1">
                  <c:v>53.45</c:v>
                </c:pt>
                <c:pt idx="2">
                  <c:v>51.764705882352942</c:v>
                </c:pt>
                <c:pt idx="3">
                  <c:v>48.785714285714285</c:v>
                </c:pt>
                <c:pt idx="4">
                  <c:v>55.10526315789474</c:v>
                </c:pt>
                <c:pt idx="5">
                  <c:v>51.733333333333334</c:v>
                </c:pt>
              </c:numCache>
            </c:numRef>
          </c:val>
          <c:extLst>
            <c:ext xmlns:c16="http://schemas.microsoft.com/office/drawing/2014/chart" uri="{C3380CC4-5D6E-409C-BE32-E72D297353CC}">
              <c16:uniqueId val="{00000003-680B-417E-A672-FFD22B16563E}"/>
            </c:ext>
          </c:extLst>
        </c:ser>
        <c:ser>
          <c:idx val="4"/>
          <c:order val="4"/>
          <c:tx>
            <c:strRef>
              <c:f>INGLES!$AD$178</c:f>
              <c:strCache>
                <c:ptCount val="1"/>
                <c:pt idx="0">
                  <c:v>2020</c:v>
                </c:pt>
              </c:strCache>
            </c:strRef>
          </c:tx>
          <c:cat>
            <c:strRef>
              <c:f>INGLES!$Y$179:$Y$184</c:f>
              <c:strCache>
                <c:ptCount val="6"/>
                <c:pt idx="0">
                  <c:v>COMUNA 1</c:v>
                </c:pt>
                <c:pt idx="1">
                  <c:v>COMUNA 2</c:v>
                </c:pt>
                <c:pt idx="2">
                  <c:v>COMUNA 3</c:v>
                </c:pt>
                <c:pt idx="3">
                  <c:v>COMUNA 4</c:v>
                </c:pt>
                <c:pt idx="4">
                  <c:v>COMUNA 5</c:v>
                </c:pt>
                <c:pt idx="5">
                  <c:v>COMUNA 6</c:v>
                </c:pt>
              </c:strCache>
            </c:strRef>
          </c:cat>
          <c:val>
            <c:numRef>
              <c:f>INGLES!$AD$179:$AD$184</c:f>
              <c:numCache>
                <c:formatCode>0</c:formatCode>
                <c:ptCount val="6"/>
                <c:pt idx="0">
                  <c:v>48.058823529411768</c:v>
                </c:pt>
                <c:pt idx="1">
                  <c:v>48.583333333333336</c:v>
                </c:pt>
                <c:pt idx="2">
                  <c:v>49.10526315789474</c:v>
                </c:pt>
                <c:pt idx="3">
                  <c:v>45.846153846153847</c:v>
                </c:pt>
                <c:pt idx="4">
                  <c:v>51.166666666666664</c:v>
                </c:pt>
                <c:pt idx="5">
                  <c:v>47.588235294117645</c:v>
                </c:pt>
              </c:numCache>
            </c:numRef>
          </c:val>
          <c:extLst>
            <c:ext xmlns:c16="http://schemas.microsoft.com/office/drawing/2014/chart" uri="{C3380CC4-5D6E-409C-BE32-E72D297353CC}">
              <c16:uniqueId val="{00000001-7F88-4DA8-82E7-5561B8B34109}"/>
            </c:ext>
          </c:extLst>
        </c:ser>
        <c:ser>
          <c:idx val="5"/>
          <c:order val="5"/>
          <c:tx>
            <c:strRef>
              <c:f>INGLES!$AE$178</c:f>
              <c:strCache>
                <c:ptCount val="1"/>
                <c:pt idx="0">
                  <c:v>2021</c:v>
                </c:pt>
              </c:strCache>
            </c:strRef>
          </c:tx>
          <c:cat>
            <c:strRef>
              <c:f>INGLES!$Y$179:$Y$184</c:f>
              <c:strCache>
                <c:ptCount val="6"/>
                <c:pt idx="0">
                  <c:v>COMUNA 1</c:v>
                </c:pt>
                <c:pt idx="1">
                  <c:v>COMUNA 2</c:v>
                </c:pt>
                <c:pt idx="2">
                  <c:v>COMUNA 3</c:v>
                </c:pt>
                <c:pt idx="3">
                  <c:v>COMUNA 4</c:v>
                </c:pt>
                <c:pt idx="4">
                  <c:v>COMUNA 5</c:v>
                </c:pt>
                <c:pt idx="5">
                  <c:v>COMUNA 6</c:v>
                </c:pt>
              </c:strCache>
            </c:strRef>
          </c:cat>
          <c:val>
            <c:numRef>
              <c:f>INGLES!$AE$179:$AE$184</c:f>
              <c:numCache>
                <c:formatCode>0</c:formatCode>
                <c:ptCount val="6"/>
                <c:pt idx="0">
                  <c:v>52</c:v>
                </c:pt>
                <c:pt idx="1">
                  <c:v>53.227272727272727</c:v>
                </c:pt>
                <c:pt idx="2">
                  <c:v>52.25</c:v>
                </c:pt>
                <c:pt idx="3">
                  <c:v>48.857142857142854</c:v>
                </c:pt>
                <c:pt idx="4">
                  <c:v>56.111111111111114</c:v>
                </c:pt>
                <c:pt idx="5">
                  <c:v>53.117647058823529</c:v>
                </c:pt>
              </c:numCache>
            </c:numRef>
          </c:val>
          <c:extLst>
            <c:ext xmlns:c16="http://schemas.microsoft.com/office/drawing/2014/chart" uri="{C3380CC4-5D6E-409C-BE32-E72D297353CC}">
              <c16:uniqueId val="{00000000-07EC-4A60-B227-E69C7F5F9BFD}"/>
            </c:ext>
          </c:extLst>
        </c:ser>
        <c:ser>
          <c:idx val="6"/>
          <c:order val="6"/>
          <c:tx>
            <c:strRef>
              <c:f>INGLES!$AF$178</c:f>
              <c:strCache>
                <c:ptCount val="1"/>
                <c:pt idx="0">
                  <c:v>2022</c:v>
                </c:pt>
              </c:strCache>
            </c:strRef>
          </c:tx>
          <c:cat>
            <c:strRef>
              <c:f>INGLES!$Y$179:$Y$184</c:f>
              <c:strCache>
                <c:ptCount val="6"/>
                <c:pt idx="0">
                  <c:v>COMUNA 1</c:v>
                </c:pt>
                <c:pt idx="1">
                  <c:v>COMUNA 2</c:v>
                </c:pt>
                <c:pt idx="2">
                  <c:v>COMUNA 3</c:v>
                </c:pt>
                <c:pt idx="3">
                  <c:v>COMUNA 4</c:v>
                </c:pt>
                <c:pt idx="4">
                  <c:v>COMUNA 5</c:v>
                </c:pt>
                <c:pt idx="5">
                  <c:v>COMUNA 6</c:v>
                </c:pt>
              </c:strCache>
            </c:strRef>
          </c:cat>
          <c:val>
            <c:numRef>
              <c:f>INGLES!$AF$179:$AF$184</c:f>
              <c:numCache>
                <c:formatCode>0</c:formatCode>
                <c:ptCount val="6"/>
                <c:pt idx="0">
                  <c:v>52</c:v>
                </c:pt>
                <c:pt idx="1">
                  <c:v>54.96</c:v>
                </c:pt>
                <c:pt idx="2">
                  <c:v>54.363636363636367</c:v>
                </c:pt>
                <c:pt idx="3">
                  <c:v>49.785714285714285</c:v>
                </c:pt>
                <c:pt idx="4">
                  <c:v>57.117647058823529</c:v>
                </c:pt>
                <c:pt idx="5">
                  <c:v>53.842105263157897</c:v>
                </c:pt>
              </c:numCache>
            </c:numRef>
          </c:val>
          <c:extLst>
            <c:ext xmlns:c16="http://schemas.microsoft.com/office/drawing/2014/chart" uri="{C3380CC4-5D6E-409C-BE32-E72D297353CC}">
              <c16:uniqueId val="{00000000-CBEC-4CE0-829F-A912CF2EA407}"/>
            </c:ext>
          </c:extLst>
        </c:ser>
        <c:ser>
          <c:idx val="7"/>
          <c:order val="7"/>
          <c:tx>
            <c:strRef>
              <c:f>INGLES!$AG$178</c:f>
              <c:strCache>
                <c:ptCount val="1"/>
                <c:pt idx="0">
                  <c:v>2023</c:v>
                </c:pt>
              </c:strCache>
            </c:strRef>
          </c:tx>
          <c:cat>
            <c:strRef>
              <c:f>INGLES!$Y$179:$Y$184</c:f>
              <c:strCache>
                <c:ptCount val="6"/>
                <c:pt idx="0">
                  <c:v>COMUNA 1</c:v>
                </c:pt>
                <c:pt idx="1">
                  <c:v>COMUNA 2</c:v>
                </c:pt>
                <c:pt idx="2">
                  <c:v>COMUNA 3</c:v>
                </c:pt>
                <c:pt idx="3">
                  <c:v>COMUNA 4</c:v>
                </c:pt>
                <c:pt idx="4">
                  <c:v>COMUNA 5</c:v>
                </c:pt>
                <c:pt idx="5">
                  <c:v>COMUNA 6</c:v>
                </c:pt>
              </c:strCache>
            </c:strRef>
          </c:cat>
          <c:val>
            <c:numRef>
              <c:f>INGLES!$AG$179:$AG$184</c:f>
              <c:numCache>
                <c:formatCode>0</c:formatCode>
                <c:ptCount val="6"/>
                <c:pt idx="0">
                  <c:v>53.058823529411768</c:v>
                </c:pt>
                <c:pt idx="1">
                  <c:v>54.42307692307692</c:v>
                </c:pt>
                <c:pt idx="2">
                  <c:v>54.409090909090907</c:v>
                </c:pt>
                <c:pt idx="3">
                  <c:v>49.266666666666666</c:v>
                </c:pt>
                <c:pt idx="4">
                  <c:v>57.470588235294116</c:v>
                </c:pt>
                <c:pt idx="5">
                  <c:v>53.8</c:v>
                </c:pt>
              </c:numCache>
            </c:numRef>
          </c:val>
          <c:extLst>
            <c:ext xmlns:c16="http://schemas.microsoft.com/office/drawing/2014/chart" uri="{C3380CC4-5D6E-409C-BE32-E72D297353CC}">
              <c16:uniqueId val="{00000001-CBEC-4CE0-829F-A912CF2EA407}"/>
            </c:ext>
          </c:extLst>
        </c:ser>
        <c:ser>
          <c:idx val="8"/>
          <c:order val="8"/>
          <c:tx>
            <c:strRef>
              <c:f>INGLES!$AH$178</c:f>
              <c:strCache>
                <c:ptCount val="1"/>
                <c:pt idx="0">
                  <c:v>2024</c:v>
                </c:pt>
              </c:strCache>
            </c:strRef>
          </c:tx>
          <c:cat>
            <c:strRef>
              <c:f>INGLES!$Y$179:$Y$184</c:f>
              <c:strCache>
                <c:ptCount val="6"/>
                <c:pt idx="0">
                  <c:v>COMUNA 1</c:v>
                </c:pt>
                <c:pt idx="1">
                  <c:v>COMUNA 2</c:v>
                </c:pt>
                <c:pt idx="2">
                  <c:v>COMUNA 3</c:v>
                </c:pt>
                <c:pt idx="3">
                  <c:v>COMUNA 4</c:v>
                </c:pt>
                <c:pt idx="4">
                  <c:v>COMUNA 5</c:v>
                </c:pt>
                <c:pt idx="5">
                  <c:v>COMUNA 6</c:v>
                </c:pt>
              </c:strCache>
            </c:strRef>
          </c:cat>
          <c:val>
            <c:numRef>
              <c:f>INGLES!$AH$179:$AH$184</c:f>
              <c:numCache>
                <c:formatCode>0</c:formatCode>
                <c:ptCount val="6"/>
                <c:pt idx="0">
                  <c:v>54</c:v>
                </c:pt>
                <c:pt idx="1">
                  <c:v>56.041666666666664</c:v>
                </c:pt>
                <c:pt idx="2">
                  <c:v>55.227272727272727</c:v>
                </c:pt>
                <c:pt idx="3">
                  <c:v>50.692307692307693</c:v>
                </c:pt>
                <c:pt idx="4">
                  <c:v>56.222222222222221</c:v>
                </c:pt>
                <c:pt idx="5">
                  <c:v>54.833333333333336</c:v>
                </c:pt>
              </c:numCache>
            </c:numRef>
          </c:val>
          <c:extLst>
            <c:ext xmlns:c16="http://schemas.microsoft.com/office/drawing/2014/chart" uri="{C3380CC4-5D6E-409C-BE32-E72D297353CC}">
              <c16:uniqueId val="{00000000-CCDF-4B74-BD83-DA77A103BA5D}"/>
            </c:ext>
          </c:extLst>
        </c:ser>
        <c:dLbls>
          <c:showLegendKey val="0"/>
          <c:showVal val="0"/>
          <c:showCatName val="0"/>
          <c:showSerName val="0"/>
          <c:showPercent val="0"/>
          <c:showBubbleSize val="0"/>
        </c:dLbls>
        <c:axId val="39741696"/>
        <c:axId val="39743488"/>
      </c:radarChart>
      <c:catAx>
        <c:axId val="39741696"/>
        <c:scaling>
          <c:orientation val="minMax"/>
        </c:scaling>
        <c:delete val="0"/>
        <c:axPos val="b"/>
        <c:majorGridlines/>
        <c:numFmt formatCode="General" sourceLinked="0"/>
        <c:majorTickMark val="none"/>
        <c:minorTickMark val="none"/>
        <c:tickLblPos val="nextTo"/>
        <c:spPr>
          <a:ln w="9525">
            <a:noFill/>
          </a:ln>
        </c:spPr>
        <c:crossAx val="39743488"/>
        <c:crosses val="autoZero"/>
        <c:auto val="1"/>
        <c:lblAlgn val="ctr"/>
        <c:lblOffset val="100"/>
        <c:noMultiLvlLbl val="0"/>
      </c:catAx>
      <c:valAx>
        <c:axId val="39743488"/>
        <c:scaling>
          <c:orientation val="minMax"/>
          <c:max val="58"/>
          <c:min val="44"/>
        </c:scaling>
        <c:delete val="0"/>
        <c:axPos val="l"/>
        <c:majorGridlines/>
        <c:numFmt formatCode="0" sourceLinked="1"/>
        <c:majorTickMark val="none"/>
        <c:minorTickMark val="none"/>
        <c:tickLblPos val="nextTo"/>
        <c:crossAx val="39741696"/>
        <c:crosses val="autoZero"/>
        <c:crossBetween val="between"/>
        <c:majorUnit val="2"/>
      </c:valAx>
    </c:plotArea>
    <c:legend>
      <c:legendPos val="r"/>
      <c:overlay val="0"/>
    </c:legend>
    <c:plotVisOnly val="1"/>
    <c:dispBlanksAs val="gap"/>
    <c:showDLblsOverMax val="0"/>
  </c:chart>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a:defRPr/>
            </a:pPr>
            <a:r>
              <a:rPr lang="es-CO" sz="1200" b="1" i="0" baseline="0">
                <a:effectLst/>
                <a:latin typeface="Arial" panose="020B0604020202020204" pitchFamily="34" charset="0"/>
                <a:cs typeface="Arial" panose="020B0604020202020204" pitchFamily="34" charset="0"/>
              </a:rPr>
              <a:t>Resultados Inglés Instituciones Oficiales por Comunas 2016 - 2024</a:t>
            </a:r>
            <a:endParaRPr lang="es-CO" sz="1200">
              <a:effectLst/>
              <a:latin typeface="Arial" panose="020B0604020202020204" pitchFamily="34" charset="0"/>
              <a:cs typeface="Arial" panose="020B0604020202020204" pitchFamily="34" charset="0"/>
            </a:endParaRPr>
          </a:p>
        </c:rich>
      </c:tx>
      <c:overlay val="0"/>
    </c:title>
    <c:autoTitleDeleted val="0"/>
    <c:plotArea>
      <c:layout/>
      <c:radarChart>
        <c:radarStyle val="marker"/>
        <c:varyColors val="0"/>
        <c:ser>
          <c:idx val="0"/>
          <c:order val="0"/>
          <c:tx>
            <c:strRef>
              <c:f>INGLES!$L$201</c:f>
              <c:strCache>
                <c:ptCount val="1"/>
                <c:pt idx="0">
                  <c:v>2016</c:v>
                </c:pt>
              </c:strCache>
            </c:strRef>
          </c:tx>
          <c:spPr>
            <a:ln>
              <a:prstDash val="lgDashDot"/>
            </a:ln>
          </c:spPr>
          <c:cat>
            <c:strRef>
              <c:f>INGLES!$K$202:$K$207</c:f>
              <c:strCache>
                <c:ptCount val="6"/>
                <c:pt idx="0">
                  <c:v>COMUNA 1</c:v>
                </c:pt>
                <c:pt idx="1">
                  <c:v>COMUNA 2</c:v>
                </c:pt>
                <c:pt idx="2">
                  <c:v>COMUNA 3</c:v>
                </c:pt>
                <c:pt idx="3">
                  <c:v>COMUNA 4</c:v>
                </c:pt>
                <c:pt idx="4">
                  <c:v>COMUNA 5</c:v>
                </c:pt>
                <c:pt idx="5">
                  <c:v>COMUNA 6</c:v>
                </c:pt>
              </c:strCache>
            </c:strRef>
          </c:cat>
          <c:val>
            <c:numRef>
              <c:f>INGLES!$L$202:$L$207</c:f>
              <c:numCache>
                <c:formatCode>0</c:formatCode>
                <c:ptCount val="6"/>
                <c:pt idx="0">
                  <c:v>52.25</c:v>
                </c:pt>
                <c:pt idx="1">
                  <c:v>52</c:v>
                </c:pt>
                <c:pt idx="2">
                  <c:v>51.666666666666664</c:v>
                </c:pt>
                <c:pt idx="3">
                  <c:v>49.333333333333336</c:v>
                </c:pt>
                <c:pt idx="4">
                  <c:v>53</c:v>
                </c:pt>
                <c:pt idx="5">
                  <c:v>52.333333333333336</c:v>
                </c:pt>
              </c:numCache>
            </c:numRef>
          </c:val>
          <c:extLst>
            <c:ext xmlns:c16="http://schemas.microsoft.com/office/drawing/2014/chart" uri="{C3380CC4-5D6E-409C-BE32-E72D297353CC}">
              <c16:uniqueId val="{00000000-4C97-4A70-AB4F-3C899EA7666A}"/>
            </c:ext>
          </c:extLst>
        </c:ser>
        <c:ser>
          <c:idx val="1"/>
          <c:order val="1"/>
          <c:tx>
            <c:strRef>
              <c:f>INGLES!$M$201</c:f>
              <c:strCache>
                <c:ptCount val="1"/>
                <c:pt idx="0">
                  <c:v>2017</c:v>
                </c:pt>
              </c:strCache>
            </c:strRef>
          </c:tx>
          <c:cat>
            <c:strRef>
              <c:f>INGLES!$K$202:$K$207</c:f>
              <c:strCache>
                <c:ptCount val="6"/>
                <c:pt idx="0">
                  <c:v>COMUNA 1</c:v>
                </c:pt>
                <c:pt idx="1">
                  <c:v>COMUNA 2</c:v>
                </c:pt>
                <c:pt idx="2">
                  <c:v>COMUNA 3</c:v>
                </c:pt>
                <c:pt idx="3">
                  <c:v>COMUNA 4</c:v>
                </c:pt>
                <c:pt idx="4">
                  <c:v>COMUNA 5</c:v>
                </c:pt>
                <c:pt idx="5">
                  <c:v>COMUNA 6</c:v>
                </c:pt>
              </c:strCache>
            </c:strRef>
          </c:cat>
          <c:val>
            <c:numRef>
              <c:f>INGLES!$M$202:$M$207</c:f>
              <c:numCache>
                <c:formatCode>0</c:formatCode>
                <c:ptCount val="6"/>
                <c:pt idx="0">
                  <c:v>49.5</c:v>
                </c:pt>
                <c:pt idx="1">
                  <c:v>50.5</c:v>
                </c:pt>
                <c:pt idx="2">
                  <c:v>49.666666666666664</c:v>
                </c:pt>
                <c:pt idx="3">
                  <c:v>47.333333333333336</c:v>
                </c:pt>
                <c:pt idx="4">
                  <c:v>50</c:v>
                </c:pt>
                <c:pt idx="5">
                  <c:v>49.333333333333336</c:v>
                </c:pt>
              </c:numCache>
            </c:numRef>
          </c:val>
          <c:extLst>
            <c:ext xmlns:c16="http://schemas.microsoft.com/office/drawing/2014/chart" uri="{C3380CC4-5D6E-409C-BE32-E72D297353CC}">
              <c16:uniqueId val="{00000001-4C97-4A70-AB4F-3C899EA7666A}"/>
            </c:ext>
          </c:extLst>
        </c:ser>
        <c:ser>
          <c:idx val="2"/>
          <c:order val="2"/>
          <c:tx>
            <c:strRef>
              <c:f>INGLES!$N$201</c:f>
              <c:strCache>
                <c:ptCount val="1"/>
                <c:pt idx="0">
                  <c:v>2018</c:v>
                </c:pt>
              </c:strCache>
            </c:strRef>
          </c:tx>
          <c:spPr>
            <a:ln>
              <a:prstDash val="sysDash"/>
            </a:ln>
          </c:spPr>
          <c:cat>
            <c:strRef>
              <c:f>INGLES!$K$202:$K$207</c:f>
              <c:strCache>
                <c:ptCount val="6"/>
                <c:pt idx="0">
                  <c:v>COMUNA 1</c:v>
                </c:pt>
                <c:pt idx="1">
                  <c:v>COMUNA 2</c:v>
                </c:pt>
                <c:pt idx="2">
                  <c:v>COMUNA 3</c:v>
                </c:pt>
                <c:pt idx="3">
                  <c:v>COMUNA 4</c:v>
                </c:pt>
                <c:pt idx="4">
                  <c:v>COMUNA 5</c:v>
                </c:pt>
                <c:pt idx="5">
                  <c:v>COMUNA 6</c:v>
                </c:pt>
              </c:strCache>
            </c:strRef>
          </c:cat>
          <c:val>
            <c:numRef>
              <c:f>INGLES!$N$202:$N$207</c:f>
              <c:numCache>
                <c:formatCode>0</c:formatCode>
                <c:ptCount val="6"/>
                <c:pt idx="0">
                  <c:v>51.5</c:v>
                </c:pt>
                <c:pt idx="1">
                  <c:v>51.5</c:v>
                </c:pt>
                <c:pt idx="2">
                  <c:v>51</c:v>
                </c:pt>
                <c:pt idx="3">
                  <c:v>48.5</c:v>
                </c:pt>
                <c:pt idx="4">
                  <c:v>50</c:v>
                </c:pt>
                <c:pt idx="5">
                  <c:v>50.666666666666664</c:v>
                </c:pt>
              </c:numCache>
            </c:numRef>
          </c:val>
          <c:extLst>
            <c:ext xmlns:c16="http://schemas.microsoft.com/office/drawing/2014/chart" uri="{C3380CC4-5D6E-409C-BE32-E72D297353CC}">
              <c16:uniqueId val="{00000002-4C97-4A70-AB4F-3C899EA7666A}"/>
            </c:ext>
          </c:extLst>
        </c:ser>
        <c:ser>
          <c:idx val="3"/>
          <c:order val="3"/>
          <c:tx>
            <c:strRef>
              <c:f>INGLES!$O$201</c:f>
              <c:strCache>
                <c:ptCount val="1"/>
                <c:pt idx="0">
                  <c:v>2019</c:v>
                </c:pt>
              </c:strCache>
            </c:strRef>
          </c:tx>
          <c:cat>
            <c:strRef>
              <c:f>INGLES!$K$202:$K$207</c:f>
              <c:strCache>
                <c:ptCount val="6"/>
                <c:pt idx="0">
                  <c:v>COMUNA 1</c:v>
                </c:pt>
                <c:pt idx="1">
                  <c:v>COMUNA 2</c:v>
                </c:pt>
                <c:pt idx="2">
                  <c:v>COMUNA 3</c:v>
                </c:pt>
                <c:pt idx="3">
                  <c:v>COMUNA 4</c:v>
                </c:pt>
                <c:pt idx="4">
                  <c:v>COMUNA 5</c:v>
                </c:pt>
                <c:pt idx="5">
                  <c:v>COMUNA 6</c:v>
                </c:pt>
              </c:strCache>
            </c:strRef>
          </c:cat>
          <c:val>
            <c:numRef>
              <c:f>INGLES!$O$202:$O$207</c:f>
              <c:numCache>
                <c:formatCode>0</c:formatCode>
                <c:ptCount val="6"/>
                <c:pt idx="0">
                  <c:v>50.25</c:v>
                </c:pt>
                <c:pt idx="1">
                  <c:v>51</c:v>
                </c:pt>
                <c:pt idx="2">
                  <c:v>49</c:v>
                </c:pt>
                <c:pt idx="3">
                  <c:v>46.833333333333336</c:v>
                </c:pt>
                <c:pt idx="4">
                  <c:v>50</c:v>
                </c:pt>
                <c:pt idx="5">
                  <c:v>50</c:v>
                </c:pt>
              </c:numCache>
            </c:numRef>
          </c:val>
          <c:extLst>
            <c:ext xmlns:c16="http://schemas.microsoft.com/office/drawing/2014/chart" uri="{C3380CC4-5D6E-409C-BE32-E72D297353CC}">
              <c16:uniqueId val="{00000003-4C97-4A70-AB4F-3C899EA7666A}"/>
            </c:ext>
          </c:extLst>
        </c:ser>
        <c:ser>
          <c:idx val="4"/>
          <c:order val="4"/>
          <c:tx>
            <c:strRef>
              <c:f>INGLES!$P$201</c:f>
              <c:strCache>
                <c:ptCount val="1"/>
                <c:pt idx="0">
                  <c:v>2020</c:v>
                </c:pt>
              </c:strCache>
            </c:strRef>
          </c:tx>
          <c:cat>
            <c:strRef>
              <c:f>INGLES!$K$202:$K$207</c:f>
              <c:strCache>
                <c:ptCount val="6"/>
                <c:pt idx="0">
                  <c:v>COMUNA 1</c:v>
                </c:pt>
                <c:pt idx="1">
                  <c:v>COMUNA 2</c:v>
                </c:pt>
                <c:pt idx="2">
                  <c:v>COMUNA 3</c:v>
                </c:pt>
                <c:pt idx="3">
                  <c:v>COMUNA 4</c:v>
                </c:pt>
                <c:pt idx="4">
                  <c:v>COMUNA 5</c:v>
                </c:pt>
                <c:pt idx="5">
                  <c:v>COMUNA 6</c:v>
                </c:pt>
              </c:strCache>
            </c:strRef>
          </c:cat>
          <c:val>
            <c:numRef>
              <c:f>INGLES!$P$202:$P$207</c:f>
              <c:numCache>
                <c:formatCode>0</c:formatCode>
                <c:ptCount val="6"/>
                <c:pt idx="0">
                  <c:v>46.5</c:v>
                </c:pt>
                <c:pt idx="1">
                  <c:v>47</c:v>
                </c:pt>
                <c:pt idx="2">
                  <c:v>46.75</c:v>
                </c:pt>
                <c:pt idx="3">
                  <c:v>44</c:v>
                </c:pt>
                <c:pt idx="4">
                  <c:v>46.5</c:v>
                </c:pt>
                <c:pt idx="5">
                  <c:v>47</c:v>
                </c:pt>
              </c:numCache>
            </c:numRef>
          </c:val>
          <c:extLst>
            <c:ext xmlns:c16="http://schemas.microsoft.com/office/drawing/2014/chart" uri="{C3380CC4-5D6E-409C-BE32-E72D297353CC}">
              <c16:uniqueId val="{00000001-9193-4367-83A9-0D99386E0A3E}"/>
            </c:ext>
          </c:extLst>
        </c:ser>
        <c:ser>
          <c:idx val="5"/>
          <c:order val="5"/>
          <c:tx>
            <c:strRef>
              <c:f>INGLES!$Q$201</c:f>
              <c:strCache>
                <c:ptCount val="1"/>
                <c:pt idx="0">
                  <c:v>2021</c:v>
                </c:pt>
              </c:strCache>
            </c:strRef>
          </c:tx>
          <c:cat>
            <c:strRef>
              <c:f>INGLES!$K$202:$K$207</c:f>
              <c:strCache>
                <c:ptCount val="6"/>
                <c:pt idx="0">
                  <c:v>COMUNA 1</c:v>
                </c:pt>
                <c:pt idx="1">
                  <c:v>COMUNA 2</c:v>
                </c:pt>
                <c:pt idx="2">
                  <c:v>COMUNA 3</c:v>
                </c:pt>
                <c:pt idx="3">
                  <c:v>COMUNA 4</c:v>
                </c:pt>
                <c:pt idx="4">
                  <c:v>COMUNA 5</c:v>
                </c:pt>
                <c:pt idx="5">
                  <c:v>COMUNA 6</c:v>
                </c:pt>
              </c:strCache>
            </c:strRef>
          </c:cat>
          <c:val>
            <c:numRef>
              <c:f>INGLES!$Q$202:$Q$207</c:f>
              <c:numCache>
                <c:formatCode>0</c:formatCode>
                <c:ptCount val="6"/>
                <c:pt idx="0">
                  <c:v>49.5</c:v>
                </c:pt>
                <c:pt idx="1">
                  <c:v>50</c:v>
                </c:pt>
                <c:pt idx="2">
                  <c:v>49</c:v>
                </c:pt>
                <c:pt idx="3">
                  <c:v>46</c:v>
                </c:pt>
                <c:pt idx="4">
                  <c:v>49.5</c:v>
                </c:pt>
                <c:pt idx="5">
                  <c:v>50.333333333333336</c:v>
                </c:pt>
              </c:numCache>
            </c:numRef>
          </c:val>
          <c:extLst>
            <c:ext xmlns:c16="http://schemas.microsoft.com/office/drawing/2014/chart" uri="{C3380CC4-5D6E-409C-BE32-E72D297353CC}">
              <c16:uniqueId val="{00000000-444F-4C03-9A33-A21C3B35482D}"/>
            </c:ext>
          </c:extLst>
        </c:ser>
        <c:ser>
          <c:idx val="6"/>
          <c:order val="6"/>
          <c:tx>
            <c:strRef>
              <c:f>INGLES!$R$201</c:f>
              <c:strCache>
                <c:ptCount val="1"/>
                <c:pt idx="0">
                  <c:v>2022</c:v>
                </c:pt>
              </c:strCache>
            </c:strRef>
          </c:tx>
          <c:cat>
            <c:strRef>
              <c:f>INGLES!$K$202:$K$207</c:f>
              <c:strCache>
                <c:ptCount val="6"/>
                <c:pt idx="0">
                  <c:v>COMUNA 1</c:v>
                </c:pt>
                <c:pt idx="1">
                  <c:v>COMUNA 2</c:v>
                </c:pt>
                <c:pt idx="2">
                  <c:v>COMUNA 3</c:v>
                </c:pt>
                <c:pt idx="3">
                  <c:v>COMUNA 4</c:v>
                </c:pt>
                <c:pt idx="4">
                  <c:v>COMUNA 5</c:v>
                </c:pt>
                <c:pt idx="5">
                  <c:v>COMUNA 6</c:v>
                </c:pt>
              </c:strCache>
            </c:strRef>
          </c:cat>
          <c:val>
            <c:numRef>
              <c:f>INGLES!$R$202:$R$207</c:f>
              <c:numCache>
                <c:formatCode>0</c:formatCode>
                <c:ptCount val="6"/>
                <c:pt idx="0">
                  <c:v>49.6</c:v>
                </c:pt>
                <c:pt idx="1">
                  <c:v>50.5</c:v>
                </c:pt>
                <c:pt idx="2">
                  <c:v>51.666666666666664</c:v>
                </c:pt>
                <c:pt idx="3">
                  <c:v>48.333333333333336</c:v>
                </c:pt>
                <c:pt idx="4">
                  <c:v>52</c:v>
                </c:pt>
                <c:pt idx="5">
                  <c:v>52</c:v>
                </c:pt>
              </c:numCache>
            </c:numRef>
          </c:val>
          <c:extLst>
            <c:ext xmlns:c16="http://schemas.microsoft.com/office/drawing/2014/chart" uri="{C3380CC4-5D6E-409C-BE32-E72D297353CC}">
              <c16:uniqueId val="{00000000-D6AE-4B8A-AA87-69E6F7753B03}"/>
            </c:ext>
          </c:extLst>
        </c:ser>
        <c:ser>
          <c:idx val="7"/>
          <c:order val="7"/>
          <c:tx>
            <c:strRef>
              <c:f>INGLES!$S$201</c:f>
              <c:strCache>
                <c:ptCount val="1"/>
                <c:pt idx="0">
                  <c:v>2023</c:v>
                </c:pt>
              </c:strCache>
            </c:strRef>
          </c:tx>
          <c:cat>
            <c:strRef>
              <c:f>INGLES!$K$202:$K$207</c:f>
              <c:strCache>
                <c:ptCount val="6"/>
                <c:pt idx="0">
                  <c:v>COMUNA 1</c:v>
                </c:pt>
                <c:pt idx="1">
                  <c:v>COMUNA 2</c:v>
                </c:pt>
                <c:pt idx="2">
                  <c:v>COMUNA 3</c:v>
                </c:pt>
                <c:pt idx="3">
                  <c:v>COMUNA 4</c:v>
                </c:pt>
                <c:pt idx="4">
                  <c:v>COMUNA 5</c:v>
                </c:pt>
                <c:pt idx="5">
                  <c:v>COMUNA 6</c:v>
                </c:pt>
              </c:strCache>
            </c:strRef>
          </c:cat>
          <c:val>
            <c:numRef>
              <c:f>INGLES!$S$202:$S$207</c:f>
              <c:numCache>
                <c:formatCode>0</c:formatCode>
                <c:ptCount val="6"/>
                <c:pt idx="0">
                  <c:v>49.8</c:v>
                </c:pt>
                <c:pt idx="1">
                  <c:v>51</c:v>
                </c:pt>
                <c:pt idx="2">
                  <c:v>51.333333333333336</c:v>
                </c:pt>
                <c:pt idx="3">
                  <c:v>47.666666666666664</c:v>
                </c:pt>
                <c:pt idx="4">
                  <c:v>52</c:v>
                </c:pt>
                <c:pt idx="5">
                  <c:v>50.666666666666664</c:v>
                </c:pt>
              </c:numCache>
            </c:numRef>
          </c:val>
          <c:extLst>
            <c:ext xmlns:c16="http://schemas.microsoft.com/office/drawing/2014/chart" uri="{C3380CC4-5D6E-409C-BE32-E72D297353CC}">
              <c16:uniqueId val="{00000000-541D-4D2D-80FF-82506B089929}"/>
            </c:ext>
          </c:extLst>
        </c:ser>
        <c:ser>
          <c:idx val="8"/>
          <c:order val="8"/>
          <c:tx>
            <c:strRef>
              <c:f>INGLES!$T$201</c:f>
              <c:strCache>
                <c:ptCount val="1"/>
                <c:pt idx="0">
                  <c:v>2024</c:v>
                </c:pt>
              </c:strCache>
            </c:strRef>
          </c:tx>
          <c:cat>
            <c:strRef>
              <c:f>INGLES!$K$202:$K$207</c:f>
              <c:strCache>
                <c:ptCount val="6"/>
                <c:pt idx="0">
                  <c:v>COMUNA 1</c:v>
                </c:pt>
                <c:pt idx="1">
                  <c:v>COMUNA 2</c:v>
                </c:pt>
                <c:pt idx="2">
                  <c:v>COMUNA 3</c:v>
                </c:pt>
                <c:pt idx="3">
                  <c:v>COMUNA 4</c:v>
                </c:pt>
                <c:pt idx="4">
                  <c:v>COMUNA 5</c:v>
                </c:pt>
                <c:pt idx="5">
                  <c:v>COMUNA 6</c:v>
                </c:pt>
              </c:strCache>
            </c:strRef>
          </c:cat>
          <c:val>
            <c:numRef>
              <c:f>INGLES!$T$202:$T$207</c:f>
              <c:numCache>
                <c:formatCode>0</c:formatCode>
                <c:ptCount val="6"/>
                <c:pt idx="0">
                  <c:v>50.6</c:v>
                </c:pt>
                <c:pt idx="1">
                  <c:v>53</c:v>
                </c:pt>
                <c:pt idx="2">
                  <c:v>52.333333333333336</c:v>
                </c:pt>
                <c:pt idx="3">
                  <c:v>47.833333333333336</c:v>
                </c:pt>
                <c:pt idx="4">
                  <c:v>54.666666666666664</c:v>
                </c:pt>
                <c:pt idx="5">
                  <c:v>51.75</c:v>
                </c:pt>
              </c:numCache>
            </c:numRef>
          </c:val>
          <c:extLst>
            <c:ext xmlns:c16="http://schemas.microsoft.com/office/drawing/2014/chart" uri="{C3380CC4-5D6E-409C-BE32-E72D297353CC}">
              <c16:uniqueId val="{00000000-E176-4C89-9C14-2E0C1CA5F44F}"/>
            </c:ext>
          </c:extLst>
        </c:ser>
        <c:dLbls>
          <c:showLegendKey val="0"/>
          <c:showVal val="0"/>
          <c:showCatName val="0"/>
          <c:showSerName val="0"/>
          <c:showPercent val="0"/>
          <c:showBubbleSize val="0"/>
        </c:dLbls>
        <c:axId val="39393536"/>
        <c:axId val="39395328"/>
      </c:radarChart>
      <c:catAx>
        <c:axId val="39393536"/>
        <c:scaling>
          <c:orientation val="minMax"/>
        </c:scaling>
        <c:delete val="0"/>
        <c:axPos val="b"/>
        <c:majorGridlines/>
        <c:numFmt formatCode="General" sourceLinked="0"/>
        <c:majorTickMark val="none"/>
        <c:minorTickMark val="none"/>
        <c:tickLblPos val="nextTo"/>
        <c:spPr>
          <a:ln w="9525">
            <a:noFill/>
          </a:ln>
        </c:spPr>
        <c:txPr>
          <a:bodyPr/>
          <a:lstStyle/>
          <a:p>
            <a:pPr>
              <a:defRPr>
                <a:latin typeface="Arial" panose="020B0604020202020204" pitchFamily="34" charset="0"/>
                <a:cs typeface="Arial" panose="020B0604020202020204" pitchFamily="34" charset="0"/>
              </a:defRPr>
            </a:pPr>
            <a:endParaRPr lang="es-CO"/>
          </a:p>
        </c:txPr>
        <c:crossAx val="39395328"/>
        <c:crosses val="autoZero"/>
        <c:auto val="1"/>
        <c:lblAlgn val="ctr"/>
        <c:lblOffset val="100"/>
        <c:noMultiLvlLbl val="0"/>
      </c:catAx>
      <c:valAx>
        <c:axId val="39395328"/>
        <c:scaling>
          <c:orientation val="minMax"/>
          <c:max val="56"/>
          <c:min val="42"/>
        </c:scaling>
        <c:delete val="0"/>
        <c:axPos val="l"/>
        <c:majorGridlines/>
        <c:numFmt formatCode="0" sourceLinked="1"/>
        <c:majorTickMark val="none"/>
        <c:minorTickMark val="none"/>
        <c:tickLblPos val="nextTo"/>
        <c:txPr>
          <a:bodyPr/>
          <a:lstStyle/>
          <a:p>
            <a:pPr>
              <a:defRPr>
                <a:latin typeface="Arial" panose="020B0604020202020204" pitchFamily="34" charset="0"/>
                <a:cs typeface="Arial" panose="020B0604020202020204" pitchFamily="34" charset="0"/>
              </a:defRPr>
            </a:pPr>
            <a:endParaRPr lang="es-CO"/>
          </a:p>
        </c:txPr>
        <c:crossAx val="39393536"/>
        <c:crosses val="autoZero"/>
        <c:crossBetween val="between"/>
        <c:majorUnit val="2"/>
      </c:valAx>
    </c:plotArea>
    <c:legend>
      <c:legendPos val="r"/>
      <c:overlay val="0"/>
      <c:txPr>
        <a:bodyPr/>
        <a:lstStyle/>
        <a:p>
          <a:pPr>
            <a:defRPr>
              <a:latin typeface="Arial" panose="020B0604020202020204" pitchFamily="34" charset="0"/>
              <a:cs typeface="Arial" panose="020B0604020202020204" pitchFamily="34" charset="0"/>
            </a:defRPr>
          </a:pPr>
          <a:endParaRPr lang="es-CO"/>
        </a:p>
      </c:txPr>
    </c:legend>
    <c:plotVisOnly val="1"/>
    <c:dispBlanksAs val="gap"/>
    <c:showDLblsOverMax val="0"/>
  </c:chart>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a:defRPr/>
            </a:pPr>
            <a:r>
              <a:rPr lang="es-CO" sz="1200" b="1" i="0" baseline="0">
                <a:effectLst/>
                <a:latin typeface="Arial" panose="020B0604020202020204" pitchFamily="34" charset="0"/>
                <a:cs typeface="Arial" panose="020B0604020202020204" pitchFamily="34" charset="0"/>
              </a:rPr>
              <a:t>Resultados Inglés Instituciones No Oficiales por Comunas 2016 - 2024</a:t>
            </a:r>
          </a:p>
        </c:rich>
      </c:tx>
      <c:overlay val="0"/>
    </c:title>
    <c:autoTitleDeleted val="0"/>
    <c:plotArea>
      <c:layout/>
      <c:radarChart>
        <c:radarStyle val="marker"/>
        <c:varyColors val="0"/>
        <c:ser>
          <c:idx val="0"/>
          <c:order val="0"/>
          <c:tx>
            <c:strRef>
              <c:f>INGLES!$Y$201</c:f>
              <c:strCache>
                <c:ptCount val="1"/>
                <c:pt idx="0">
                  <c:v>2016</c:v>
                </c:pt>
              </c:strCache>
            </c:strRef>
          </c:tx>
          <c:spPr>
            <a:ln>
              <a:prstDash val="lgDashDot"/>
            </a:ln>
          </c:spPr>
          <c:cat>
            <c:strRef>
              <c:f>INGLES!$X$202:$X$207</c:f>
              <c:strCache>
                <c:ptCount val="6"/>
                <c:pt idx="0">
                  <c:v>COMUNA 1</c:v>
                </c:pt>
                <c:pt idx="1">
                  <c:v>COMUNA 2</c:v>
                </c:pt>
                <c:pt idx="2">
                  <c:v>COMUNA 3</c:v>
                </c:pt>
                <c:pt idx="3">
                  <c:v>COMUNA 4</c:v>
                </c:pt>
                <c:pt idx="4">
                  <c:v>COMUNA 5</c:v>
                </c:pt>
                <c:pt idx="5">
                  <c:v>COMUNA 6</c:v>
                </c:pt>
              </c:strCache>
            </c:strRef>
          </c:cat>
          <c:val>
            <c:numRef>
              <c:f>INGLES!$Y$202:$Y$207</c:f>
              <c:numCache>
                <c:formatCode>0</c:formatCode>
                <c:ptCount val="6"/>
                <c:pt idx="0">
                  <c:v>52.769230769230766</c:v>
                </c:pt>
                <c:pt idx="1">
                  <c:v>55</c:v>
                </c:pt>
                <c:pt idx="2">
                  <c:v>55.153846153846153</c:v>
                </c:pt>
                <c:pt idx="3">
                  <c:v>51.875</c:v>
                </c:pt>
                <c:pt idx="4">
                  <c:v>57.533333333333331</c:v>
                </c:pt>
                <c:pt idx="5">
                  <c:v>54.666666666666664</c:v>
                </c:pt>
              </c:numCache>
            </c:numRef>
          </c:val>
          <c:extLst>
            <c:ext xmlns:c16="http://schemas.microsoft.com/office/drawing/2014/chart" uri="{C3380CC4-5D6E-409C-BE32-E72D297353CC}">
              <c16:uniqueId val="{00000000-4F9C-47D5-A5FC-8B596A8504AF}"/>
            </c:ext>
          </c:extLst>
        </c:ser>
        <c:ser>
          <c:idx val="1"/>
          <c:order val="1"/>
          <c:tx>
            <c:strRef>
              <c:f>INGLES!$Z$201</c:f>
              <c:strCache>
                <c:ptCount val="1"/>
                <c:pt idx="0">
                  <c:v>2017</c:v>
                </c:pt>
              </c:strCache>
            </c:strRef>
          </c:tx>
          <c:cat>
            <c:strRef>
              <c:f>INGLES!$X$202:$X$207</c:f>
              <c:strCache>
                <c:ptCount val="6"/>
                <c:pt idx="0">
                  <c:v>COMUNA 1</c:v>
                </c:pt>
                <c:pt idx="1">
                  <c:v>COMUNA 2</c:v>
                </c:pt>
                <c:pt idx="2">
                  <c:v>COMUNA 3</c:v>
                </c:pt>
                <c:pt idx="3">
                  <c:v>COMUNA 4</c:v>
                </c:pt>
                <c:pt idx="4">
                  <c:v>COMUNA 5</c:v>
                </c:pt>
                <c:pt idx="5">
                  <c:v>COMUNA 6</c:v>
                </c:pt>
              </c:strCache>
            </c:strRef>
          </c:cat>
          <c:val>
            <c:numRef>
              <c:f>INGLES!$Z$202:$Z$207</c:f>
              <c:numCache>
                <c:formatCode>0</c:formatCode>
                <c:ptCount val="6"/>
                <c:pt idx="0">
                  <c:v>50.75</c:v>
                </c:pt>
                <c:pt idx="1">
                  <c:v>52.529411764705884</c:v>
                </c:pt>
                <c:pt idx="2">
                  <c:v>51.428571428571431</c:v>
                </c:pt>
                <c:pt idx="3">
                  <c:v>50.888888888888886</c:v>
                </c:pt>
                <c:pt idx="4">
                  <c:v>56.133333333333333</c:v>
                </c:pt>
                <c:pt idx="5">
                  <c:v>51.333333333333336</c:v>
                </c:pt>
              </c:numCache>
            </c:numRef>
          </c:val>
          <c:extLst>
            <c:ext xmlns:c16="http://schemas.microsoft.com/office/drawing/2014/chart" uri="{C3380CC4-5D6E-409C-BE32-E72D297353CC}">
              <c16:uniqueId val="{00000001-4F9C-47D5-A5FC-8B596A8504AF}"/>
            </c:ext>
          </c:extLst>
        </c:ser>
        <c:ser>
          <c:idx val="2"/>
          <c:order val="2"/>
          <c:tx>
            <c:strRef>
              <c:f>INGLES!$AA$201</c:f>
              <c:strCache>
                <c:ptCount val="1"/>
                <c:pt idx="0">
                  <c:v>2018</c:v>
                </c:pt>
              </c:strCache>
            </c:strRef>
          </c:tx>
          <c:spPr>
            <a:ln>
              <a:prstDash val="sysDash"/>
            </a:ln>
          </c:spPr>
          <c:cat>
            <c:strRef>
              <c:f>INGLES!$X$202:$X$207</c:f>
              <c:strCache>
                <c:ptCount val="6"/>
                <c:pt idx="0">
                  <c:v>COMUNA 1</c:v>
                </c:pt>
                <c:pt idx="1">
                  <c:v>COMUNA 2</c:v>
                </c:pt>
                <c:pt idx="2">
                  <c:v>COMUNA 3</c:v>
                </c:pt>
                <c:pt idx="3">
                  <c:v>COMUNA 4</c:v>
                </c:pt>
                <c:pt idx="4">
                  <c:v>COMUNA 5</c:v>
                </c:pt>
                <c:pt idx="5">
                  <c:v>COMUNA 6</c:v>
                </c:pt>
              </c:strCache>
            </c:strRef>
          </c:cat>
          <c:val>
            <c:numRef>
              <c:f>INGLES!$AA$202:$AA$207</c:f>
              <c:numCache>
                <c:formatCode>0</c:formatCode>
                <c:ptCount val="6"/>
                <c:pt idx="0">
                  <c:v>52.307692307692307</c:v>
                </c:pt>
                <c:pt idx="1">
                  <c:v>54.294117647058826</c:v>
                </c:pt>
                <c:pt idx="2">
                  <c:v>53.285714285714285</c:v>
                </c:pt>
                <c:pt idx="3">
                  <c:v>54.555555555555557</c:v>
                </c:pt>
                <c:pt idx="4">
                  <c:v>56.5625</c:v>
                </c:pt>
                <c:pt idx="5">
                  <c:v>52.81818181818182</c:v>
                </c:pt>
              </c:numCache>
            </c:numRef>
          </c:val>
          <c:extLst>
            <c:ext xmlns:c16="http://schemas.microsoft.com/office/drawing/2014/chart" uri="{C3380CC4-5D6E-409C-BE32-E72D297353CC}">
              <c16:uniqueId val="{00000002-4F9C-47D5-A5FC-8B596A8504AF}"/>
            </c:ext>
          </c:extLst>
        </c:ser>
        <c:ser>
          <c:idx val="3"/>
          <c:order val="3"/>
          <c:tx>
            <c:strRef>
              <c:f>INGLES!$AB$201</c:f>
              <c:strCache>
                <c:ptCount val="1"/>
                <c:pt idx="0">
                  <c:v>2019</c:v>
                </c:pt>
              </c:strCache>
            </c:strRef>
          </c:tx>
          <c:cat>
            <c:strRef>
              <c:f>INGLES!$X$202:$X$207</c:f>
              <c:strCache>
                <c:ptCount val="6"/>
                <c:pt idx="0">
                  <c:v>COMUNA 1</c:v>
                </c:pt>
                <c:pt idx="1">
                  <c:v>COMUNA 2</c:v>
                </c:pt>
                <c:pt idx="2">
                  <c:v>COMUNA 3</c:v>
                </c:pt>
                <c:pt idx="3">
                  <c:v>COMUNA 4</c:v>
                </c:pt>
                <c:pt idx="4">
                  <c:v>COMUNA 5</c:v>
                </c:pt>
                <c:pt idx="5">
                  <c:v>COMUNA 6</c:v>
                </c:pt>
              </c:strCache>
            </c:strRef>
          </c:cat>
          <c:val>
            <c:numRef>
              <c:f>INGLES!$AB$202:$AB$207</c:f>
              <c:numCache>
                <c:formatCode>0</c:formatCode>
                <c:ptCount val="6"/>
                <c:pt idx="0">
                  <c:v>50</c:v>
                </c:pt>
                <c:pt idx="1">
                  <c:v>53.722222222222221</c:v>
                </c:pt>
                <c:pt idx="2">
                  <c:v>52.357142857142854</c:v>
                </c:pt>
                <c:pt idx="3">
                  <c:v>50.25</c:v>
                </c:pt>
                <c:pt idx="4">
                  <c:v>55.705882352941174</c:v>
                </c:pt>
                <c:pt idx="5">
                  <c:v>52.166666666666664</c:v>
                </c:pt>
              </c:numCache>
            </c:numRef>
          </c:val>
          <c:extLst>
            <c:ext xmlns:c16="http://schemas.microsoft.com/office/drawing/2014/chart" uri="{C3380CC4-5D6E-409C-BE32-E72D297353CC}">
              <c16:uniqueId val="{00000003-4F9C-47D5-A5FC-8B596A8504AF}"/>
            </c:ext>
          </c:extLst>
        </c:ser>
        <c:ser>
          <c:idx val="4"/>
          <c:order val="4"/>
          <c:tx>
            <c:strRef>
              <c:f>INGLES!$AC$201</c:f>
              <c:strCache>
                <c:ptCount val="1"/>
                <c:pt idx="0">
                  <c:v>2020</c:v>
                </c:pt>
              </c:strCache>
            </c:strRef>
          </c:tx>
          <c:cat>
            <c:strRef>
              <c:f>INGLES!$X$202:$X$207</c:f>
              <c:strCache>
                <c:ptCount val="6"/>
                <c:pt idx="0">
                  <c:v>COMUNA 1</c:v>
                </c:pt>
                <c:pt idx="1">
                  <c:v>COMUNA 2</c:v>
                </c:pt>
                <c:pt idx="2">
                  <c:v>COMUNA 3</c:v>
                </c:pt>
                <c:pt idx="3">
                  <c:v>COMUNA 4</c:v>
                </c:pt>
                <c:pt idx="4">
                  <c:v>COMUNA 5</c:v>
                </c:pt>
                <c:pt idx="5">
                  <c:v>COMUNA 6</c:v>
                </c:pt>
              </c:strCache>
            </c:strRef>
          </c:cat>
          <c:val>
            <c:numRef>
              <c:f>INGLES!$AC$202:$AC$207</c:f>
              <c:numCache>
                <c:formatCode>0</c:formatCode>
                <c:ptCount val="6"/>
                <c:pt idx="0">
                  <c:v>48.53846153846154</c:v>
                </c:pt>
                <c:pt idx="1">
                  <c:v>48.727272727272727</c:v>
                </c:pt>
                <c:pt idx="2">
                  <c:v>49.733333333333334</c:v>
                </c:pt>
                <c:pt idx="3">
                  <c:v>47.428571428571431</c:v>
                </c:pt>
                <c:pt idx="4">
                  <c:v>51.666666666666664</c:v>
                </c:pt>
                <c:pt idx="5">
                  <c:v>47.692307692307693</c:v>
                </c:pt>
              </c:numCache>
            </c:numRef>
          </c:val>
          <c:extLst>
            <c:ext xmlns:c16="http://schemas.microsoft.com/office/drawing/2014/chart" uri="{C3380CC4-5D6E-409C-BE32-E72D297353CC}">
              <c16:uniqueId val="{00000001-0218-463A-BF7D-EF5FED84A3E9}"/>
            </c:ext>
          </c:extLst>
        </c:ser>
        <c:ser>
          <c:idx val="5"/>
          <c:order val="5"/>
          <c:tx>
            <c:strRef>
              <c:f>INGLES!$AD$201</c:f>
              <c:strCache>
                <c:ptCount val="1"/>
                <c:pt idx="0">
                  <c:v>2021</c:v>
                </c:pt>
              </c:strCache>
            </c:strRef>
          </c:tx>
          <c:cat>
            <c:strRef>
              <c:f>INGLES!$X$202:$X$207</c:f>
              <c:strCache>
                <c:ptCount val="6"/>
                <c:pt idx="0">
                  <c:v>COMUNA 1</c:v>
                </c:pt>
                <c:pt idx="1">
                  <c:v>COMUNA 2</c:v>
                </c:pt>
                <c:pt idx="2">
                  <c:v>COMUNA 3</c:v>
                </c:pt>
                <c:pt idx="3">
                  <c:v>COMUNA 4</c:v>
                </c:pt>
                <c:pt idx="4">
                  <c:v>COMUNA 5</c:v>
                </c:pt>
                <c:pt idx="5">
                  <c:v>COMUNA 6</c:v>
                </c:pt>
              </c:strCache>
            </c:strRef>
          </c:cat>
          <c:val>
            <c:numRef>
              <c:f>INGLES!$AD$202:$AD$207</c:f>
              <c:numCache>
                <c:formatCode>0</c:formatCode>
                <c:ptCount val="6"/>
                <c:pt idx="0">
                  <c:v>52.769230769230766</c:v>
                </c:pt>
                <c:pt idx="1">
                  <c:v>53.55</c:v>
                </c:pt>
                <c:pt idx="2">
                  <c:v>53.333333333333336</c:v>
                </c:pt>
                <c:pt idx="3">
                  <c:v>51</c:v>
                </c:pt>
                <c:pt idx="4">
                  <c:v>56.9375</c:v>
                </c:pt>
                <c:pt idx="5">
                  <c:v>53.714285714285715</c:v>
                </c:pt>
              </c:numCache>
            </c:numRef>
          </c:val>
          <c:extLst>
            <c:ext xmlns:c16="http://schemas.microsoft.com/office/drawing/2014/chart" uri="{C3380CC4-5D6E-409C-BE32-E72D297353CC}">
              <c16:uniqueId val="{00000000-E7C0-4CD4-BE78-3E3B264E817F}"/>
            </c:ext>
          </c:extLst>
        </c:ser>
        <c:ser>
          <c:idx val="6"/>
          <c:order val="6"/>
          <c:tx>
            <c:strRef>
              <c:f>INGLES!$AE$201</c:f>
              <c:strCache>
                <c:ptCount val="1"/>
                <c:pt idx="0">
                  <c:v>2022</c:v>
                </c:pt>
              </c:strCache>
            </c:strRef>
          </c:tx>
          <c:cat>
            <c:strRef>
              <c:f>INGLES!$X$202:$X$207</c:f>
              <c:strCache>
                <c:ptCount val="6"/>
                <c:pt idx="0">
                  <c:v>COMUNA 1</c:v>
                </c:pt>
                <c:pt idx="1">
                  <c:v>COMUNA 2</c:v>
                </c:pt>
                <c:pt idx="2">
                  <c:v>COMUNA 3</c:v>
                </c:pt>
                <c:pt idx="3">
                  <c:v>COMUNA 4</c:v>
                </c:pt>
                <c:pt idx="4">
                  <c:v>COMUNA 5</c:v>
                </c:pt>
                <c:pt idx="5">
                  <c:v>COMUNA 6</c:v>
                </c:pt>
              </c:strCache>
            </c:strRef>
          </c:cat>
          <c:val>
            <c:numRef>
              <c:f>INGLES!$AE$202:$AE$207</c:f>
              <c:numCache>
                <c:formatCode>0</c:formatCode>
                <c:ptCount val="6"/>
                <c:pt idx="0">
                  <c:v>52.92307692307692</c:v>
                </c:pt>
                <c:pt idx="1">
                  <c:v>55.80952380952381</c:v>
                </c:pt>
                <c:pt idx="2">
                  <c:v>55.375</c:v>
                </c:pt>
                <c:pt idx="3">
                  <c:v>50.875</c:v>
                </c:pt>
                <c:pt idx="4">
                  <c:v>57.8</c:v>
                </c:pt>
                <c:pt idx="5">
                  <c:v>54.1875</c:v>
                </c:pt>
              </c:numCache>
            </c:numRef>
          </c:val>
          <c:extLst>
            <c:ext xmlns:c16="http://schemas.microsoft.com/office/drawing/2014/chart" uri="{C3380CC4-5D6E-409C-BE32-E72D297353CC}">
              <c16:uniqueId val="{00000000-C332-41EA-BBF0-50D9F6BAF867}"/>
            </c:ext>
          </c:extLst>
        </c:ser>
        <c:ser>
          <c:idx val="7"/>
          <c:order val="7"/>
          <c:tx>
            <c:strRef>
              <c:f>INGLES!$AF$201</c:f>
              <c:strCache>
                <c:ptCount val="1"/>
                <c:pt idx="0">
                  <c:v>2023</c:v>
                </c:pt>
              </c:strCache>
            </c:strRef>
          </c:tx>
          <c:cat>
            <c:strRef>
              <c:f>INGLES!$X$202:$X$207</c:f>
              <c:strCache>
                <c:ptCount val="6"/>
                <c:pt idx="0">
                  <c:v>COMUNA 1</c:v>
                </c:pt>
                <c:pt idx="1">
                  <c:v>COMUNA 2</c:v>
                </c:pt>
                <c:pt idx="2">
                  <c:v>COMUNA 3</c:v>
                </c:pt>
                <c:pt idx="3">
                  <c:v>COMUNA 4</c:v>
                </c:pt>
                <c:pt idx="4">
                  <c:v>COMUNA 5</c:v>
                </c:pt>
                <c:pt idx="5">
                  <c:v>COMUNA 6</c:v>
                </c:pt>
              </c:strCache>
            </c:strRef>
          </c:cat>
          <c:val>
            <c:numRef>
              <c:f>INGLES!$AF$202:$AF$207</c:f>
              <c:numCache>
                <c:formatCode>0</c:formatCode>
                <c:ptCount val="6"/>
                <c:pt idx="0">
                  <c:v>54.416666666666664</c:v>
                </c:pt>
                <c:pt idx="1">
                  <c:v>55.045454545454547</c:v>
                </c:pt>
                <c:pt idx="2">
                  <c:v>55.5625</c:v>
                </c:pt>
                <c:pt idx="3">
                  <c:v>50.333333333333336</c:v>
                </c:pt>
                <c:pt idx="4">
                  <c:v>58.2</c:v>
                </c:pt>
                <c:pt idx="5">
                  <c:v>54.352941176470587</c:v>
                </c:pt>
              </c:numCache>
            </c:numRef>
          </c:val>
          <c:extLst>
            <c:ext xmlns:c16="http://schemas.microsoft.com/office/drawing/2014/chart" uri="{C3380CC4-5D6E-409C-BE32-E72D297353CC}">
              <c16:uniqueId val="{00000000-5C6A-4C73-97DA-3FB97BD91DC8}"/>
            </c:ext>
          </c:extLst>
        </c:ser>
        <c:ser>
          <c:idx val="8"/>
          <c:order val="8"/>
          <c:tx>
            <c:strRef>
              <c:f>INGLES!$AG$201</c:f>
              <c:strCache>
                <c:ptCount val="1"/>
                <c:pt idx="0">
                  <c:v>2024</c:v>
                </c:pt>
              </c:strCache>
            </c:strRef>
          </c:tx>
          <c:cat>
            <c:strRef>
              <c:f>INGLES!$X$202:$X$207</c:f>
              <c:strCache>
                <c:ptCount val="6"/>
                <c:pt idx="0">
                  <c:v>COMUNA 1</c:v>
                </c:pt>
                <c:pt idx="1">
                  <c:v>COMUNA 2</c:v>
                </c:pt>
                <c:pt idx="2">
                  <c:v>COMUNA 3</c:v>
                </c:pt>
                <c:pt idx="3">
                  <c:v>COMUNA 4</c:v>
                </c:pt>
                <c:pt idx="4">
                  <c:v>COMUNA 5</c:v>
                </c:pt>
                <c:pt idx="5">
                  <c:v>COMUNA 6</c:v>
                </c:pt>
              </c:strCache>
            </c:strRef>
          </c:cat>
          <c:val>
            <c:numRef>
              <c:f>INGLES!$AG$202:$AG$207</c:f>
              <c:numCache>
                <c:formatCode>0</c:formatCode>
                <c:ptCount val="6"/>
                <c:pt idx="0">
                  <c:v>55.307692307692307</c:v>
                </c:pt>
                <c:pt idx="1">
                  <c:v>56.65</c:v>
                </c:pt>
                <c:pt idx="2">
                  <c:v>56.3125</c:v>
                </c:pt>
                <c:pt idx="3">
                  <c:v>53.142857142857146</c:v>
                </c:pt>
                <c:pt idx="4">
                  <c:v>56.533333333333331</c:v>
                </c:pt>
                <c:pt idx="5">
                  <c:v>55.714285714285715</c:v>
                </c:pt>
              </c:numCache>
            </c:numRef>
          </c:val>
          <c:extLst>
            <c:ext xmlns:c16="http://schemas.microsoft.com/office/drawing/2014/chart" uri="{C3380CC4-5D6E-409C-BE32-E72D297353CC}">
              <c16:uniqueId val="{00000000-D301-44FF-8E12-7A2BD107BA17}"/>
            </c:ext>
          </c:extLst>
        </c:ser>
        <c:dLbls>
          <c:showLegendKey val="0"/>
          <c:showVal val="0"/>
          <c:showCatName val="0"/>
          <c:showSerName val="0"/>
          <c:showPercent val="0"/>
          <c:showBubbleSize val="0"/>
        </c:dLbls>
        <c:axId val="39422208"/>
        <c:axId val="39428096"/>
      </c:radarChart>
      <c:catAx>
        <c:axId val="39422208"/>
        <c:scaling>
          <c:orientation val="minMax"/>
        </c:scaling>
        <c:delete val="0"/>
        <c:axPos val="b"/>
        <c:majorGridlines/>
        <c:numFmt formatCode="General" sourceLinked="0"/>
        <c:majorTickMark val="none"/>
        <c:minorTickMark val="none"/>
        <c:tickLblPos val="nextTo"/>
        <c:spPr>
          <a:ln w="9525">
            <a:noFill/>
          </a:ln>
        </c:spPr>
        <c:txPr>
          <a:bodyPr/>
          <a:lstStyle/>
          <a:p>
            <a:pPr>
              <a:defRPr>
                <a:latin typeface="Arial" panose="020B0604020202020204" pitchFamily="34" charset="0"/>
                <a:cs typeface="Arial" panose="020B0604020202020204" pitchFamily="34" charset="0"/>
              </a:defRPr>
            </a:pPr>
            <a:endParaRPr lang="es-CO"/>
          </a:p>
        </c:txPr>
        <c:crossAx val="39428096"/>
        <c:crosses val="autoZero"/>
        <c:auto val="1"/>
        <c:lblAlgn val="ctr"/>
        <c:lblOffset val="100"/>
        <c:noMultiLvlLbl val="0"/>
      </c:catAx>
      <c:valAx>
        <c:axId val="39428096"/>
        <c:scaling>
          <c:orientation val="minMax"/>
          <c:max val="58"/>
          <c:min val="46"/>
        </c:scaling>
        <c:delete val="0"/>
        <c:axPos val="l"/>
        <c:majorGridlines/>
        <c:numFmt formatCode="0" sourceLinked="1"/>
        <c:majorTickMark val="none"/>
        <c:minorTickMark val="none"/>
        <c:tickLblPos val="nextTo"/>
        <c:txPr>
          <a:bodyPr/>
          <a:lstStyle/>
          <a:p>
            <a:pPr>
              <a:defRPr>
                <a:latin typeface="Arial" panose="020B0604020202020204" pitchFamily="34" charset="0"/>
                <a:cs typeface="Arial" panose="020B0604020202020204" pitchFamily="34" charset="0"/>
              </a:defRPr>
            </a:pPr>
            <a:endParaRPr lang="es-CO"/>
          </a:p>
        </c:txPr>
        <c:crossAx val="39422208"/>
        <c:crosses val="autoZero"/>
        <c:crossBetween val="between"/>
      </c:valAx>
    </c:plotArea>
    <c:legend>
      <c:legendPos val="r"/>
      <c:overlay val="0"/>
      <c:txPr>
        <a:bodyPr/>
        <a:lstStyle/>
        <a:p>
          <a:pPr>
            <a:defRPr>
              <a:latin typeface="Arial" panose="020B0604020202020204" pitchFamily="34" charset="0"/>
              <a:cs typeface="Arial" panose="020B0604020202020204" pitchFamily="34" charset="0"/>
            </a:defRPr>
          </a:pPr>
          <a:endParaRPr lang="es-CO"/>
        </a:p>
      </c:txPr>
    </c:legend>
    <c:plotVisOnly val="1"/>
    <c:dispBlanksAs val="gap"/>
    <c:showDLblsOverMax val="0"/>
  </c:chart>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Niveles</a:t>
            </a:r>
            <a:r>
              <a:rPr lang="es-CO" baseline="0"/>
              <a:t> de Desempeño Inglés Saber 11 2016 - 2024 </a:t>
            </a:r>
            <a:endParaRPr lang="es-CO"/>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stacked"/>
        <c:varyColors val="0"/>
        <c:ser>
          <c:idx val="0"/>
          <c:order val="0"/>
          <c:tx>
            <c:strRef>
              <c:f>INGLES!$F$251</c:f>
              <c:strCache>
                <c:ptCount val="1"/>
                <c:pt idx="0">
                  <c:v>A-</c:v>
                </c:pt>
              </c:strCache>
            </c:strRef>
          </c:tx>
          <c:spPr>
            <a:solidFill>
              <a:srgbClr val="FF0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INGLES!$H$249:$AP$250</c:f>
              <c:multiLvlStrCache>
                <c:ptCount val="35"/>
                <c:lvl>
                  <c:pt idx="0">
                    <c:v>SOACHA</c:v>
                  </c:pt>
                  <c:pt idx="1">
                    <c:v>SOACHA OFICIAL</c:v>
                  </c:pt>
                  <c:pt idx="2">
                    <c:v>SOACHA NO OFICIAL</c:v>
                  </c:pt>
                  <c:pt idx="3">
                    <c:v>COLOMBIA</c:v>
                  </c:pt>
                  <c:pt idx="4">
                    <c:v>SOACHA</c:v>
                  </c:pt>
                  <c:pt idx="5">
                    <c:v>SOACHA OFICIAL</c:v>
                  </c:pt>
                  <c:pt idx="6">
                    <c:v>SOACHA NO OFICIAL</c:v>
                  </c:pt>
                  <c:pt idx="7">
                    <c:v>COLOMBIA</c:v>
                  </c:pt>
                  <c:pt idx="8">
                    <c:v>SOACHA</c:v>
                  </c:pt>
                  <c:pt idx="9">
                    <c:v>SOACHA OFICIAL</c:v>
                  </c:pt>
                  <c:pt idx="10">
                    <c:v>SOACHA NO OFICIAL</c:v>
                  </c:pt>
                  <c:pt idx="11">
                    <c:v>COLOMBIA</c:v>
                  </c:pt>
                  <c:pt idx="12">
                    <c:v>SOACHA</c:v>
                  </c:pt>
                  <c:pt idx="13">
                    <c:v>SOACHA OFICIAL</c:v>
                  </c:pt>
                  <c:pt idx="14">
                    <c:v>SOACHA NO OFICIAL</c:v>
                  </c:pt>
                  <c:pt idx="15">
                    <c:v>COLOMBIA</c:v>
                  </c:pt>
                  <c:pt idx="16">
                    <c:v>SOACHA</c:v>
                  </c:pt>
                  <c:pt idx="17">
                    <c:v>SOACHA OFICIAL</c:v>
                  </c:pt>
                  <c:pt idx="18">
                    <c:v>SOACHA NO OFICIAL</c:v>
                  </c:pt>
                  <c:pt idx="19">
                    <c:v>COLOMBIA</c:v>
                  </c:pt>
                  <c:pt idx="20">
                    <c:v>SOACHA</c:v>
                  </c:pt>
                  <c:pt idx="21">
                    <c:v>SOACHA OFICIAL</c:v>
                  </c:pt>
                  <c:pt idx="22">
                    <c:v>SOACHA NO OFICIAL</c:v>
                  </c:pt>
                  <c:pt idx="23">
                    <c:v>COLOMBIA</c:v>
                  </c:pt>
                  <c:pt idx="24">
                    <c:v>SOACHA</c:v>
                  </c:pt>
                  <c:pt idx="25">
                    <c:v>SOACHA OFICIAL</c:v>
                  </c:pt>
                  <c:pt idx="26">
                    <c:v>SOACHA NO OFICIAL</c:v>
                  </c:pt>
                  <c:pt idx="27">
                    <c:v>COLOMBIA</c:v>
                  </c:pt>
                  <c:pt idx="28">
                    <c:v>SOACHA</c:v>
                  </c:pt>
                  <c:pt idx="29">
                    <c:v>SOACHA OFICIAL</c:v>
                  </c:pt>
                  <c:pt idx="30">
                    <c:v>SOACHA NO OFICIAL</c:v>
                  </c:pt>
                  <c:pt idx="31">
                    <c:v>COLOMBIA</c:v>
                  </c:pt>
                  <c:pt idx="32">
                    <c:v>SOACHA</c:v>
                  </c:pt>
                  <c:pt idx="33">
                    <c:v>SOACHA OFICIAL</c:v>
                  </c:pt>
                  <c:pt idx="34">
                    <c:v>SOACHA NO OFICIAL</c:v>
                  </c:pt>
                </c:lvl>
                <c:lvl>
                  <c:pt idx="3">
                    <c:v>2017</c:v>
                  </c:pt>
                  <c:pt idx="7">
                    <c:v>2018</c:v>
                  </c:pt>
                  <c:pt idx="11">
                    <c:v>2019</c:v>
                  </c:pt>
                  <c:pt idx="15">
                    <c:v>2020</c:v>
                  </c:pt>
                  <c:pt idx="19">
                    <c:v>2021</c:v>
                  </c:pt>
                  <c:pt idx="23">
                    <c:v>2022</c:v>
                  </c:pt>
                  <c:pt idx="27">
                    <c:v>2023</c:v>
                  </c:pt>
                  <c:pt idx="31">
                    <c:v>2024</c:v>
                  </c:pt>
                </c:lvl>
              </c:multiLvlStrCache>
            </c:multiLvlStrRef>
          </c:cat>
          <c:val>
            <c:numRef>
              <c:f>INGLES!$H$251:$AP$251</c:f>
              <c:numCache>
                <c:formatCode>0%</c:formatCode>
                <c:ptCount val="35"/>
                <c:pt idx="0">
                  <c:v>0.28999999999999998</c:v>
                </c:pt>
                <c:pt idx="1">
                  <c:v>0.35</c:v>
                </c:pt>
                <c:pt idx="2">
                  <c:v>0.22</c:v>
                </c:pt>
                <c:pt idx="3">
                  <c:v>0.44</c:v>
                </c:pt>
                <c:pt idx="4">
                  <c:v>0.38</c:v>
                </c:pt>
                <c:pt idx="5">
                  <c:v>0.45</c:v>
                </c:pt>
                <c:pt idx="6">
                  <c:v>0.3</c:v>
                </c:pt>
                <c:pt idx="7">
                  <c:v>0.37</c:v>
                </c:pt>
                <c:pt idx="8">
                  <c:v>0.31</c:v>
                </c:pt>
                <c:pt idx="9">
                  <c:v>0.37</c:v>
                </c:pt>
                <c:pt idx="10">
                  <c:v>0.23</c:v>
                </c:pt>
                <c:pt idx="11">
                  <c:v>0.44</c:v>
                </c:pt>
                <c:pt idx="12">
                  <c:v>0.35</c:v>
                </c:pt>
                <c:pt idx="13">
                  <c:v>0.43</c:v>
                </c:pt>
                <c:pt idx="14">
                  <c:v>0.26</c:v>
                </c:pt>
                <c:pt idx="15">
                  <c:v>0.56999999999999995</c:v>
                </c:pt>
                <c:pt idx="16">
                  <c:v>0.51</c:v>
                </c:pt>
                <c:pt idx="17">
                  <c:v>0.59</c:v>
                </c:pt>
                <c:pt idx="18">
                  <c:v>0.43</c:v>
                </c:pt>
                <c:pt idx="19">
                  <c:v>0.47</c:v>
                </c:pt>
                <c:pt idx="20">
                  <c:v>0.35</c:v>
                </c:pt>
                <c:pt idx="21">
                  <c:v>0.44</c:v>
                </c:pt>
                <c:pt idx="22">
                  <c:v>0.24</c:v>
                </c:pt>
                <c:pt idx="23">
                  <c:v>0.44</c:v>
                </c:pt>
                <c:pt idx="24">
                  <c:v>0.3</c:v>
                </c:pt>
                <c:pt idx="25">
                  <c:v>0.39</c:v>
                </c:pt>
                <c:pt idx="26">
                  <c:v>0.21</c:v>
                </c:pt>
                <c:pt idx="27">
                  <c:v>0.42</c:v>
                </c:pt>
                <c:pt idx="28">
                  <c:v>0.31</c:v>
                </c:pt>
                <c:pt idx="29">
                  <c:v>0.39</c:v>
                </c:pt>
                <c:pt idx="30">
                  <c:v>0.22</c:v>
                </c:pt>
                <c:pt idx="31">
                  <c:v>0.39</c:v>
                </c:pt>
                <c:pt idx="32">
                  <c:v>0.28999999999999998</c:v>
                </c:pt>
                <c:pt idx="33">
                  <c:v>0.36</c:v>
                </c:pt>
                <c:pt idx="34">
                  <c:v>0.2</c:v>
                </c:pt>
              </c:numCache>
            </c:numRef>
          </c:val>
          <c:extLst>
            <c:ext xmlns:c16="http://schemas.microsoft.com/office/drawing/2014/chart" uri="{C3380CC4-5D6E-409C-BE32-E72D297353CC}">
              <c16:uniqueId val="{00000000-4DBF-499F-837D-79AD55BDDAA7}"/>
            </c:ext>
          </c:extLst>
        </c:ser>
        <c:ser>
          <c:idx val="1"/>
          <c:order val="1"/>
          <c:tx>
            <c:strRef>
              <c:f>INGLES!$F$252</c:f>
              <c:strCache>
                <c:ptCount val="1"/>
                <c:pt idx="0">
                  <c:v>A1</c:v>
                </c:pt>
              </c:strCache>
            </c:strRef>
          </c:tx>
          <c:spPr>
            <a:solidFill>
              <a:srgbClr val="FFFF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INGLES!$H$249:$AP$250</c:f>
              <c:multiLvlStrCache>
                <c:ptCount val="35"/>
                <c:lvl>
                  <c:pt idx="0">
                    <c:v>SOACHA</c:v>
                  </c:pt>
                  <c:pt idx="1">
                    <c:v>SOACHA OFICIAL</c:v>
                  </c:pt>
                  <c:pt idx="2">
                    <c:v>SOACHA NO OFICIAL</c:v>
                  </c:pt>
                  <c:pt idx="3">
                    <c:v>COLOMBIA</c:v>
                  </c:pt>
                  <c:pt idx="4">
                    <c:v>SOACHA</c:v>
                  </c:pt>
                  <c:pt idx="5">
                    <c:v>SOACHA OFICIAL</c:v>
                  </c:pt>
                  <c:pt idx="6">
                    <c:v>SOACHA NO OFICIAL</c:v>
                  </c:pt>
                  <c:pt idx="7">
                    <c:v>COLOMBIA</c:v>
                  </c:pt>
                  <c:pt idx="8">
                    <c:v>SOACHA</c:v>
                  </c:pt>
                  <c:pt idx="9">
                    <c:v>SOACHA OFICIAL</c:v>
                  </c:pt>
                  <c:pt idx="10">
                    <c:v>SOACHA NO OFICIAL</c:v>
                  </c:pt>
                  <c:pt idx="11">
                    <c:v>COLOMBIA</c:v>
                  </c:pt>
                  <c:pt idx="12">
                    <c:v>SOACHA</c:v>
                  </c:pt>
                  <c:pt idx="13">
                    <c:v>SOACHA OFICIAL</c:v>
                  </c:pt>
                  <c:pt idx="14">
                    <c:v>SOACHA NO OFICIAL</c:v>
                  </c:pt>
                  <c:pt idx="15">
                    <c:v>COLOMBIA</c:v>
                  </c:pt>
                  <c:pt idx="16">
                    <c:v>SOACHA</c:v>
                  </c:pt>
                  <c:pt idx="17">
                    <c:v>SOACHA OFICIAL</c:v>
                  </c:pt>
                  <c:pt idx="18">
                    <c:v>SOACHA NO OFICIAL</c:v>
                  </c:pt>
                  <c:pt idx="19">
                    <c:v>COLOMBIA</c:v>
                  </c:pt>
                  <c:pt idx="20">
                    <c:v>SOACHA</c:v>
                  </c:pt>
                  <c:pt idx="21">
                    <c:v>SOACHA OFICIAL</c:v>
                  </c:pt>
                  <c:pt idx="22">
                    <c:v>SOACHA NO OFICIAL</c:v>
                  </c:pt>
                  <c:pt idx="23">
                    <c:v>COLOMBIA</c:v>
                  </c:pt>
                  <c:pt idx="24">
                    <c:v>SOACHA</c:v>
                  </c:pt>
                  <c:pt idx="25">
                    <c:v>SOACHA OFICIAL</c:v>
                  </c:pt>
                  <c:pt idx="26">
                    <c:v>SOACHA NO OFICIAL</c:v>
                  </c:pt>
                  <c:pt idx="27">
                    <c:v>COLOMBIA</c:v>
                  </c:pt>
                  <c:pt idx="28">
                    <c:v>SOACHA</c:v>
                  </c:pt>
                  <c:pt idx="29">
                    <c:v>SOACHA OFICIAL</c:v>
                  </c:pt>
                  <c:pt idx="30">
                    <c:v>SOACHA NO OFICIAL</c:v>
                  </c:pt>
                  <c:pt idx="31">
                    <c:v>COLOMBIA</c:v>
                  </c:pt>
                  <c:pt idx="32">
                    <c:v>SOACHA</c:v>
                  </c:pt>
                  <c:pt idx="33">
                    <c:v>SOACHA OFICIAL</c:v>
                  </c:pt>
                  <c:pt idx="34">
                    <c:v>SOACHA NO OFICIAL</c:v>
                  </c:pt>
                </c:lvl>
                <c:lvl>
                  <c:pt idx="3">
                    <c:v>2017</c:v>
                  </c:pt>
                  <c:pt idx="7">
                    <c:v>2018</c:v>
                  </c:pt>
                  <c:pt idx="11">
                    <c:v>2019</c:v>
                  </c:pt>
                  <c:pt idx="15">
                    <c:v>2020</c:v>
                  </c:pt>
                  <c:pt idx="19">
                    <c:v>2021</c:v>
                  </c:pt>
                  <c:pt idx="23">
                    <c:v>2022</c:v>
                  </c:pt>
                  <c:pt idx="27">
                    <c:v>2023</c:v>
                  </c:pt>
                  <c:pt idx="31">
                    <c:v>2024</c:v>
                  </c:pt>
                </c:lvl>
              </c:multiLvlStrCache>
            </c:multiLvlStrRef>
          </c:cat>
          <c:val>
            <c:numRef>
              <c:f>INGLES!$H$252:$AP$252</c:f>
              <c:numCache>
                <c:formatCode>0%</c:formatCode>
                <c:ptCount val="35"/>
                <c:pt idx="0">
                  <c:v>0.4</c:v>
                </c:pt>
                <c:pt idx="1">
                  <c:v>0.41</c:v>
                </c:pt>
                <c:pt idx="2">
                  <c:v>0.38</c:v>
                </c:pt>
                <c:pt idx="3">
                  <c:v>0.3</c:v>
                </c:pt>
                <c:pt idx="4">
                  <c:v>0.36</c:v>
                </c:pt>
                <c:pt idx="5">
                  <c:v>0.36</c:v>
                </c:pt>
                <c:pt idx="6">
                  <c:v>0.36</c:v>
                </c:pt>
                <c:pt idx="7">
                  <c:v>0.34</c:v>
                </c:pt>
                <c:pt idx="8">
                  <c:v>0.42</c:v>
                </c:pt>
                <c:pt idx="9">
                  <c:v>0.43</c:v>
                </c:pt>
                <c:pt idx="10">
                  <c:v>0.4</c:v>
                </c:pt>
                <c:pt idx="11">
                  <c:v>0.3</c:v>
                </c:pt>
                <c:pt idx="12">
                  <c:v>0.39</c:v>
                </c:pt>
                <c:pt idx="13">
                  <c:v>0.38</c:v>
                </c:pt>
                <c:pt idx="14">
                  <c:v>0.4</c:v>
                </c:pt>
                <c:pt idx="15">
                  <c:v>0.27</c:v>
                </c:pt>
                <c:pt idx="16">
                  <c:v>0.34</c:v>
                </c:pt>
                <c:pt idx="17">
                  <c:v>0.32</c:v>
                </c:pt>
                <c:pt idx="18">
                  <c:v>0.37</c:v>
                </c:pt>
                <c:pt idx="19">
                  <c:v>0.28000000000000003</c:v>
                </c:pt>
                <c:pt idx="20">
                  <c:v>0.37</c:v>
                </c:pt>
                <c:pt idx="21">
                  <c:v>0.37</c:v>
                </c:pt>
                <c:pt idx="22">
                  <c:v>0.37</c:v>
                </c:pt>
                <c:pt idx="23">
                  <c:v>0.28000000000000003</c:v>
                </c:pt>
                <c:pt idx="24">
                  <c:v>0.36</c:v>
                </c:pt>
                <c:pt idx="25">
                  <c:v>0.36</c:v>
                </c:pt>
                <c:pt idx="26">
                  <c:v>0.35</c:v>
                </c:pt>
                <c:pt idx="27">
                  <c:v>0.31</c:v>
                </c:pt>
                <c:pt idx="28">
                  <c:v>0.37</c:v>
                </c:pt>
                <c:pt idx="29">
                  <c:v>0.39</c:v>
                </c:pt>
                <c:pt idx="30">
                  <c:v>0.35</c:v>
                </c:pt>
                <c:pt idx="31">
                  <c:v>0.3</c:v>
                </c:pt>
                <c:pt idx="32">
                  <c:v>0.36</c:v>
                </c:pt>
                <c:pt idx="33">
                  <c:v>0.38</c:v>
                </c:pt>
                <c:pt idx="34">
                  <c:v>0.34</c:v>
                </c:pt>
              </c:numCache>
            </c:numRef>
          </c:val>
          <c:extLst>
            <c:ext xmlns:c16="http://schemas.microsoft.com/office/drawing/2014/chart" uri="{C3380CC4-5D6E-409C-BE32-E72D297353CC}">
              <c16:uniqueId val="{00000001-4DBF-499F-837D-79AD55BDDAA7}"/>
            </c:ext>
          </c:extLst>
        </c:ser>
        <c:ser>
          <c:idx val="2"/>
          <c:order val="2"/>
          <c:tx>
            <c:strRef>
              <c:f>INGLES!$F$253</c:f>
              <c:strCache>
                <c:ptCount val="1"/>
                <c:pt idx="0">
                  <c:v>A2</c:v>
                </c:pt>
              </c:strCache>
            </c:strRef>
          </c:tx>
          <c:spPr>
            <a:solidFill>
              <a:srgbClr val="FFC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INGLES!$H$249:$AP$250</c:f>
              <c:multiLvlStrCache>
                <c:ptCount val="35"/>
                <c:lvl>
                  <c:pt idx="0">
                    <c:v>SOACHA</c:v>
                  </c:pt>
                  <c:pt idx="1">
                    <c:v>SOACHA OFICIAL</c:v>
                  </c:pt>
                  <c:pt idx="2">
                    <c:v>SOACHA NO OFICIAL</c:v>
                  </c:pt>
                  <c:pt idx="3">
                    <c:v>COLOMBIA</c:v>
                  </c:pt>
                  <c:pt idx="4">
                    <c:v>SOACHA</c:v>
                  </c:pt>
                  <c:pt idx="5">
                    <c:v>SOACHA OFICIAL</c:v>
                  </c:pt>
                  <c:pt idx="6">
                    <c:v>SOACHA NO OFICIAL</c:v>
                  </c:pt>
                  <c:pt idx="7">
                    <c:v>COLOMBIA</c:v>
                  </c:pt>
                  <c:pt idx="8">
                    <c:v>SOACHA</c:v>
                  </c:pt>
                  <c:pt idx="9">
                    <c:v>SOACHA OFICIAL</c:v>
                  </c:pt>
                  <c:pt idx="10">
                    <c:v>SOACHA NO OFICIAL</c:v>
                  </c:pt>
                  <c:pt idx="11">
                    <c:v>COLOMBIA</c:v>
                  </c:pt>
                  <c:pt idx="12">
                    <c:v>SOACHA</c:v>
                  </c:pt>
                  <c:pt idx="13">
                    <c:v>SOACHA OFICIAL</c:v>
                  </c:pt>
                  <c:pt idx="14">
                    <c:v>SOACHA NO OFICIAL</c:v>
                  </c:pt>
                  <c:pt idx="15">
                    <c:v>COLOMBIA</c:v>
                  </c:pt>
                  <c:pt idx="16">
                    <c:v>SOACHA</c:v>
                  </c:pt>
                  <c:pt idx="17">
                    <c:v>SOACHA OFICIAL</c:v>
                  </c:pt>
                  <c:pt idx="18">
                    <c:v>SOACHA NO OFICIAL</c:v>
                  </c:pt>
                  <c:pt idx="19">
                    <c:v>COLOMBIA</c:v>
                  </c:pt>
                  <c:pt idx="20">
                    <c:v>SOACHA</c:v>
                  </c:pt>
                  <c:pt idx="21">
                    <c:v>SOACHA OFICIAL</c:v>
                  </c:pt>
                  <c:pt idx="22">
                    <c:v>SOACHA NO OFICIAL</c:v>
                  </c:pt>
                  <c:pt idx="23">
                    <c:v>COLOMBIA</c:v>
                  </c:pt>
                  <c:pt idx="24">
                    <c:v>SOACHA</c:v>
                  </c:pt>
                  <c:pt idx="25">
                    <c:v>SOACHA OFICIAL</c:v>
                  </c:pt>
                  <c:pt idx="26">
                    <c:v>SOACHA NO OFICIAL</c:v>
                  </c:pt>
                  <c:pt idx="27">
                    <c:v>COLOMBIA</c:v>
                  </c:pt>
                  <c:pt idx="28">
                    <c:v>SOACHA</c:v>
                  </c:pt>
                  <c:pt idx="29">
                    <c:v>SOACHA OFICIAL</c:v>
                  </c:pt>
                  <c:pt idx="30">
                    <c:v>SOACHA NO OFICIAL</c:v>
                  </c:pt>
                  <c:pt idx="31">
                    <c:v>COLOMBIA</c:v>
                  </c:pt>
                  <c:pt idx="32">
                    <c:v>SOACHA</c:v>
                  </c:pt>
                  <c:pt idx="33">
                    <c:v>SOACHA OFICIAL</c:v>
                  </c:pt>
                  <c:pt idx="34">
                    <c:v>SOACHA NO OFICIAL</c:v>
                  </c:pt>
                </c:lvl>
                <c:lvl>
                  <c:pt idx="3">
                    <c:v>2017</c:v>
                  </c:pt>
                  <c:pt idx="7">
                    <c:v>2018</c:v>
                  </c:pt>
                  <c:pt idx="11">
                    <c:v>2019</c:v>
                  </c:pt>
                  <c:pt idx="15">
                    <c:v>2020</c:v>
                  </c:pt>
                  <c:pt idx="19">
                    <c:v>2021</c:v>
                  </c:pt>
                  <c:pt idx="23">
                    <c:v>2022</c:v>
                  </c:pt>
                  <c:pt idx="27">
                    <c:v>2023</c:v>
                  </c:pt>
                  <c:pt idx="31">
                    <c:v>2024</c:v>
                  </c:pt>
                </c:lvl>
              </c:multiLvlStrCache>
            </c:multiLvlStrRef>
          </c:cat>
          <c:val>
            <c:numRef>
              <c:f>INGLES!$H$253:$AP$253</c:f>
              <c:numCache>
                <c:formatCode>0%</c:formatCode>
                <c:ptCount val="35"/>
                <c:pt idx="0">
                  <c:v>0.24</c:v>
                </c:pt>
                <c:pt idx="1">
                  <c:v>0.2</c:v>
                </c:pt>
                <c:pt idx="2">
                  <c:v>0.28000000000000003</c:v>
                </c:pt>
                <c:pt idx="3">
                  <c:v>0.16</c:v>
                </c:pt>
                <c:pt idx="4">
                  <c:v>0.2</c:v>
                </c:pt>
                <c:pt idx="5">
                  <c:v>0.16</c:v>
                </c:pt>
                <c:pt idx="6">
                  <c:v>0.25</c:v>
                </c:pt>
                <c:pt idx="7">
                  <c:v>0.19</c:v>
                </c:pt>
                <c:pt idx="8">
                  <c:v>0.21</c:v>
                </c:pt>
                <c:pt idx="9">
                  <c:v>0.16</c:v>
                </c:pt>
                <c:pt idx="10">
                  <c:v>0.28000000000000003</c:v>
                </c:pt>
                <c:pt idx="11">
                  <c:v>0.17</c:v>
                </c:pt>
                <c:pt idx="12">
                  <c:v>0.2</c:v>
                </c:pt>
                <c:pt idx="13">
                  <c:v>0.15</c:v>
                </c:pt>
                <c:pt idx="14">
                  <c:v>0.25</c:v>
                </c:pt>
                <c:pt idx="15">
                  <c:v>0.09</c:v>
                </c:pt>
                <c:pt idx="16">
                  <c:v>0.1</c:v>
                </c:pt>
                <c:pt idx="17">
                  <c:v>7.0000000000000007E-2</c:v>
                </c:pt>
                <c:pt idx="18">
                  <c:v>0.14000000000000001</c:v>
                </c:pt>
                <c:pt idx="19">
                  <c:v>0.15</c:v>
                </c:pt>
                <c:pt idx="20">
                  <c:v>0.2</c:v>
                </c:pt>
                <c:pt idx="21">
                  <c:v>0.15</c:v>
                </c:pt>
                <c:pt idx="22">
                  <c:v>0.27</c:v>
                </c:pt>
                <c:pt idx="23">
                  <c:v>0.17</c:v>
                </c:pt>
                <c:pt idx="24">
                  <c:v>0.24</c:v>
                </c:pt>
                <c:pt idx="25">
                  <c:v>0.19</c:v>
                </c:pt>
                <c:pt idx="26">
                  <c:v>0.28999999999999998</c:v>
                </c:pt>
                <c:pt idx="27">
                  <c:v>0.16</c:v>
                </c:pt>
                <c:pt idx="28">
                  <c:v>0.22</c:v>
                </c:pt>
                <c:pt idx="29">
                  <c:v>0.17</c:v>
                </c:pt>
                <c:pt idx="30">
                  <c:v>0.27</c:v>
                </c:pt>
                <c:pt idx="31">
                  <c:v>0.17</c:v>
                </c:pt>
                <c:pt idx="32">
                  <c:v>0.23</c:v>
                </c:pt>
                <c:pt idx="33">
                  <c:v>0.18</c:v>
                </c:pt>
                <c:pt idx="34">
                  <c:v>0.28000000000000003</c:v>
                </c:pt>
              </c:numCache>
            </c:numRef>
          </c:val>
          <c:extLst>
            <c:ext xmlns:c16="http://schemas.microsoft.com/office/drawing/2014/chart" uri="{C3380CC4-5D6E-409C-BE32-E72D297353CC}">
              <c16:uniqueId val="{00000002-4DBF-499F-837D-79AD55BDDAA7}"/>
            </c:ext>
          </c:extLst>
        </c:ser>
        <c:ser>
          <c:idx val="3"/>
          <c:order val="3"/>
          <c:tx>
            <c:strRef>
              <c:f>INGLES!$F$254</c:f>
              <c:strCache>
                <c:ptCount val="1"/>
                <c:pt idx="0">
                  <c:v>B1</c:v>
                </c:pt>
              </c:strCache>
            </c:strRef>
          </c:tx>
          <c:spPr>
            <a:solidFill>
              <a:srgbClr val="00B05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INGLES!$H$249:$AP$250</c:f>
              <c:multiLvlStrCache>
                <c:ptCount val="35"/>
                <c:lvl>
                  <c:pt idx="0">
                    <c:v>SOACHA</c:v>
                  </c:pt>
                  <c:pt idx="1">
                    <c:v>SOACHA OFICIAL</c:v>
                  </c:pt>
                  <c:pt idx="2">
                    <c:v>SOACHA NO OFICIAL</c:v>
                  </c:pt>
                  <c:pt idx="3">
                    <c:v>COLOMBIA</c:v>
                  </c:pt>
                  <c:pt idx="4">
                    <c:v>SOACHA</c:v>
                  </c:pt>
                  <c:pt idx="5">
                    <c:v>SOACHA OFICIAL</c:v>
                  </c:pt>
                  <c:pt idx="6">
                    <c:v>SOACHA NO OFICIAL</c:v>
                  </c:pt>
                  <c:pt idx="7">
                    <c:v>COLOMBIA</c:v>
                  </c:pt>
                  <c:pt idx="8">
                    <c:v>SOACHA</c:v>
                  </c:pt>
                  <c:pt idx="9">
                    <c:v>SOACHA OFICIAL</c:v>
                  </c:pt>
                  <c:pt idx="10">
                    <c:v>SOACHA NO OFICIAL</c:v>
                  </c:pt>
                  <c:pt idx="11">
                    <c:v>COLOMBIA</c:v>
                  </c:pt>
                  <c:pt idx="12">
                    <c:v>SOACHA</c:v>
                  </c:pt>
                  <c:pt idx="13">
                    <c:v>SOACHA OFICIAL</c:v>
                  </c:pt>
                  <c:pt idx="14">
                    <c:v>SOACHA NO OFICIAL</c:v>
                  </c:pt>
                  <c:pt idx="15">
                    <c:v>COLOMBIA</c:v>
                  </c:pt>
                  <c:pt idx="16">
                    <c:v>SOACHA</c:v>
                  </c:pt>
                  <c:pt idx="17">
                    <c:v>SOACHA OFICIAL</c:v>
                  </c:pt>
                  <c:pt idx="18">
                    <c:v>SOACHA NO OFICIAL</c:v>
                  </c:pt>
                  <c:pt idx="19">
                    <c:v>COLOMBIA</c:v>
                  </c:pt>
                  <c:pt idx="20">
                    <c:v>SOACHA</c:v>
                  </c:pt>
                  <c:pt idx="21">
                    <c:v>SOACHA OFICIAL</c:v>
                  </c:pt>
                  <c:pt idx="22">
                    <c:v>SOACHA NO OFICIAL</c:v>
                  </c:pt>
                  <c:pt idx="23">
                    <c:v>COLOMBIA</c:v>
                  </c:pt>
                  <c:pt idx="24">
                    <c:v>SOACHA</c:v>
                  </c:pt>
                  <c:pt idx="25">
                    <c:v>SOACHA OFICIAL</c:v>
                  </c:pt>
                  <c:pt idx="26">
                    <c:v>SOACHA NO OFICIAL</c:v>
                  </c:pt>
                  <c:pt idx="27">
                    <c:v>COLOMBIA</c:v>
                  </c:pt>
                  <c:pt idx="28">
                    <c:v>SOACHA</c:v>
                  </c:pt>
                  <c:pt idx="29">
                    <c:v>SOACHA OFICIAL</c:v>
                  </c:pt>
                  <c:pt idx="30">
                    <c:v>SOACHA NO OFICIAL</c:v>
                  </c:pt>
                  <c:pt idx="31">
                    <c:v>COLOMBIA</c:v>
                  </c:pt>
                  <c:pt idx="32">
                    <c:v>SOACHA</c:v>
                  </c:pt>
                  <c:pt idx="33">
                    <c:v>SOACHA OFICIAL</c:v>
                  </c:pt>
                  <c:pt idx="34">
                    <c:v>SOACHA NO OFICIAL</c:v>
                  </c:pt>
                </c:lvl>
                <c:lvl>
                  <c:pt idx="3">
                    <c:v>2017</c:v>
                  </c:pt>
                  <c:pt idx="7">
                    <c:v>2018</c:v>
                  </c:pt>
                  <c:pt idx="11">
                    <c:v>2019</c:v>
                  </c:pt>
                  <c:pt idx="15">
                    <c:v>2020</c:v>
                  </c:pt>
                  <c:pt idx="19">
                    <c:v>2021</c:v>
                  </c:pt>
                  <c:pt idx="23">
                    <c:v>2022</c:v>
                  </c:pt>
                  <c:pt idx="27">
                    <c:v>2023</c:v>
                  </c:pt>
                  <c:pt idx="31">
                    <c:v>2024</c:v>
                  </c:pt>
                </c:lvl>
              </c:multiLvlStrCache>
            </c:multiLvlStrRef>
          </c:cat>
          <c:val>
            <c:numRef>
              <c:f>INGLES!$H$254:$AP$254</c:f>
              <c:numCache>
                <c:formatCode>0%</c:formatCode>
                <c:ptCount val="35"/>
                <c:pt idx="0">
                  <c:v>0.08</c:v>
                </c:pt>
                <c:pt idx="1">
                  <c:v>0.04</c:v>
                </c:pt>
                <c:pt idx="2">
                  <c:v>0.11</c:v>
                </c:pt>
                <c:pt idx="3">
                  <c:v>0.08</c:v>
                </c:pt>
                <c:pt idx="4">
                  <c:v>0.05</c:v>
                </c:pt>
                <c:pt idx="5">
                  <c:v>0.03</c:v>
                </c:pt>
                <c:pt idx="6">
                  <c:v>7.0000000000000007E-2</c:v>
                </c:pt>
                <c:pt idx="7">
                  <c:v>0.08</c:v>
                </c:pt>
                <c:pt idx="8">
                  <c:v>0.06</c:v>
                </c:pt>
                <c:pt idx="9">
                  <c:v>0.03</c:v>
                </c:pt>
                <c:pt idx="10">
                  <c:v>0.08</c:v>
                </c:pt>
                <c:pt idx="11">
                  <c:v>7.0000000000000007E-2</c:v>
                </c:pt>
                <c:pt idx="12">
                  <c:v>0.06</c:v>
                </c:pt>
                <c:pt idx="13">
                  <c:v>0.03</c:v>
                </c:pt>
                <c:pt idx="14">
                  <c:v>0.08</c:v>
                </c:pt>
                <c:pt idx="15">
                  <c:v>0.06</c:v>
                </c:pt>
                <c:pt idx="16">
                  <c:v>0.04</c:v>
                </c:pt>
                <c:pt idx="17">
                  <c:v>0.02</c:v>
                </c:pt>
                <c:pt idx="18">
                  <c:v>0.06</c:v>
                </c:pt>
                <c:pt idx="19">
                  <c:v>0.08</c:v>
                </c:pt>
                <c:pt idx="20">
                  <c:v>7.0000000000000007E-2</c:v>
                </c:pt>
                <c:pt idx="21">
                  <c:v>0.04</c:v>
                </c:pt>
                <c:pt idx="22">
                  <c:v>0.11</c:v>
                </c:pt>
                <c:pt idx="23">
                  <c:v>0.09</c:v>
                </c:pt>
                <c:pt idx="24">
                  <c:v>0.09</c:v>
                </c:pt>
                <c:pt idx="25">
                  <c:v>0.05</c:v>
                </c:pt>
                <c:pt idx="26">
                  <c:v>0.13</c:v>
                </c:pt>
                <c:pt idx="27">
                  <c:v>0.09</c:v>
                </c:pt>
                <c:pt idx="28">
                  <c:v>0.09</c:v>
                </c:pt>
                <c:pt idx="29">
                  <c:v>0.05</c:v>
                </c:pt>
                <c:pt idx="30">
                  <c:v>0.15</c:v>
                </c:pt>
                <c:pt idx="31">
                  <c:v>0.1</c:v>
                </c:pt>
                <c:pt idx="32">
                  <c:v>0.1</c:v>
                </c:pt>
                <c:pt idx="33">
                  <c:v>7.0000000000000007E-2</c:v>
                </c:pt>
                <c:pt idx="34">
                  <c:v>0.15</c:v>
                </c:pt>
              </c:numCache>
            </c:numRef>
          </c:val>
          <c:extLst>
            <c:ext xmlns:c16="http://schemas.microsoft.com/office/drawing/2014/chart" uri="{C3380CC4-5D6E-409C-BE32-E72D297353CC}">
              <c16:uniqueId val="{00000003-4DBF-499F-837D-79AD55BDDAA7}"/>
            </c:ext>
          </c:extLst>
        </c:ser>
        <c:ser>
          <c:idx val="4"/>
          <c:order val="4"/>
          <c:tx>
            <c:strRef>
              <c:f>INGLES!$F$255</c:f>
              <c:strCache>
                <c:ptCount val="1"/>
                <c:pt idx="0">
                  <c:v>B+</c:v>
                </c:pt>
              </c:strCache>
            </c:strRef>
          </c:tx>
          <c:spPr>
            <a:solidFill>
              <a:schemeClr val="accent5"/>
            </a:solidFill>
            <a:ln>
              <a:noFill/>
            </a:ln>
            <a:effectLst/>
          </c:spPr>
          <c:invertIfNegative val="0"/>
          <c:dLbls>
            <c:dLbl>
              <c:idx val="2"/>
              <c:layout>
                <c:manualLayout>
                  <c:x val="-2.2807299535614145E-17"/>
                  <c:y val="-7.709750750435975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4DBF-499F-837D-79AD55BDDAA7}"/>
                </c:ext>
              </c:extLst>
            </c:dLbl>
            <c:dLbl>
              <c:idx val="5"/>
              <c:layout>
                <c:manualLayout>
                  <c:x val="0"/>
                  <c:y val="-7.709750750435975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4DBF-499F-837D-79AD55BDDAA7}"/>
                </c:ext>
              </c:extLst>
            </c:dLbl>
            <c:dLbl>
              <c:idx val="6"/>
              <c:layout>
                <c:manualLayout>
                  <c:x val="0"/>
                  <c:y val="-1.28495845840599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DBF-499F-837D-79AD55BDDAA7}"/>
                </c:ext>
              </c:extLst>
            </c:dLbl>
            <c:dLbl>
              <c:idx val="10"/>
              <c:layout>
                <c:manualLayout>
                  <c:x val="0"/>
                  <c:y val="-7.709750750435975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4DBF-499F-837D-79AD55BDDAA7}"/>
                </c:ext>
              </c:extLst>
            </c:dLbl>
            <c:dLbl>
              <c:idx val="13"/>
              <c:layout>
                <c:manualLayout>
                  <c:x val="0"/>
                  <c:y val="-7.709750750435975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4DBF-499F-837D-79AD55BDDAA7}"/>
                </c:ext>
              </c:extLst>
            </c:dLbl>
            <c:dLbl>
              <c:idx val="14"/>
              <c:layout>
                <c:manualLayout>
                  <c:x val="0"/>
                  <c:y val="-1.027966766724796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4DBF-499F-837D-79AD55BDDAA7}"/>
                </c:ext>
              </c:extLst>
            </c:dLbl>
            <c:dLbl>
              <c:idx val="17"/>
              <c:layout>
                <c:manualLayout>
                  <c:x val="0"/>
                  <c:y val="-1.027966766724796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4DBF-499F-837D-79AD55BDDAA7}"/>
                </c:ext>
              </c:extLst>
            </c:dLbl>
            <c:dLbl>
              <c:idx val="18"/>
              <c:layout>
                <c:manualLayout>
                  <c:x val="-1.8245839628491316E-16"/>
                  <c:y val="-1.027966766724796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4DBF-499F-837D-79AD55BDDAA7}"/>
                </c:ext>
              </c:extLst>
            </c:dLbl>
            <c:dLbl>
              <c:idx val="19"/>
              <c:layout>
                <c:manualLayout>
                  <c:x val="1.244048891317342E-3"/>
                  <c:y val="-7.709750750435975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4DBF-499F-837D-79AD55BDDAA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INGLES!$H$249:$AP$250</c:f>
              <c:multiLvlStrCache>
                <c:ptCount val="35"/>
                <c:lvl>
                  <c:pt idx="0">
                    <c:v>SOACHA</c:v>
                  </c:pt>
                  <c:pt idx="1">
                    <c:v>SOACHA OFICIAL</c:v>
                  </c:pt>
                  <c:pt idx="2">
                    <c:v>SOACHA NO OFICIAL</c:v>
                  </c:pt>
                  <c:pt idx="3">
                    <c:v>COLOMBIA</c:v>
                  </c:pt>
                  <c:pt idx="4">
                    <c:v>SOACHA</c:v>
                  </c:pt>
                  <c:pt idx="5">
                    <c:v>SOACHA OFICIAL</c:v>
                  </c:pt>
                  <c:pt idx="6">
                    <c:v>SOACHA NO OFICIAL</c:v>
                  </c:pt>
                  <c:pt idx="7">
                    <c:v>COLOMBIA</c:v>
                  </c:pt>
                  <c:pt idx="8">
                    <c:v>SOACHA</c:v>
                  </c:pt>
                  <c:pt idx="9">
                    <c:v>SOACHA OFICIAL</c:v>
                  </c:pt>
                  <c:pt idx="10">
                    <c:v>SOACHA NO OFICIAL</c:v>
                  </c:pt>
                  <c:pt idx="11">
                    <c:v>COLOMBIA</c:v>
                  </c:pt>
                  <c:pt idx="12">
                    <c:v>SOACHA</c:v>
                  </c:pt>
                  <c:pt idx="13">
                    <c:v>SOACHA OFICIAL</c:v>
                  </c:pt>
                  <c:pt idx="14">
                    <c:v>SOACHA NO OFICIAL</c:v>
                  </c:pt>
                  <c:pt idx="15">
                    <c:v>COLOMBIA</c:v>
                  </c:pt>
                  <c:pt idx="16">
                    <c:v>SOACHA</c:v>
                  </c:pt>
                  <c:pt idx="17">
                    <c:v>SOACHA OFICIAL</c:v>
                  </c:pt>
                  <c:pt idx="18">
                    <c:v>SOACHA NO OFICIAL</c:v>
                  </c:pt>
                  <c:pt idx="19">
                    <c:v>COLOMBIA</c:v>
                  </c:pt>
                  <c:pt idx="20">
                    <c:v>SOACHA</c:v>
                  </c:pt>
                  <c:pt idx="21">
                    <c:v>SOACHA OFICIAL</c:v>
                  </c:pt>
                  <c:pt idx="22">
                    <c:v>SOACHA NO OFICIAL</c:v>
                  </c:pt>
                  <c:pt idx="23">
                    <c:v>COLOMBIA</c:v>
                  </c:pt>
                  <c:pt idx="24">
                    <c:v>SOACHA</c:v>
                  </c:pt>
                  <c:pt idx="25">
                    <c:v>SOACHA OFICIAL</c:v>
                  </c:pt>
                  <c:pt idx="26">
                    <c:v>SOACHA NO OFICIAL</c:v>
                  </c:pt>
                  <c:pt idx="27">
                    <c:v>COLOMBIA</c:v>
                  </c:pt>
                  <c:pt idx="28">
                    <c:v>SOACHA</c:v>
                  </c:pt>
                  <c:pt idx="29">
                    <c:v>SOACHA OFICIAL</c:v>
                  </c:pt>
                  <c:pt idx="30">
                    <c:v>SOACHA NO OFICIAL</c:v>
                  </c:pt>
                  <c:pt idx="31">
                    <c:v>COLOMBIA</c:v>
                  </c:pt>
                  <c:pt idx="32">
                    <c:v>SOACHA</c:v>
                  </c:pt>
                  <c:pt idx="33">
                    <c:v>SOACHA OFICIAL</c:v>
                  </c:pt>
                  <c:pt idx="34">
                    <c:v>SOACHA NO OFICIAL</c:v>
                  </c:pt>
                </c:lvl>
                <c:lvl>
                  <c:pt idx="3">
                    <c:v>2017</c:v>
                  </c:pt>
                  <c:pt idx="7">
                    <c:v>2018</c:v>
                  </c:pt>
                  <c:pt idx="11">
                    <c:v>2019</c:v>
                  </c:pt>
                  <c:pt idx="15">
                    <c:v>2020</c:v>
                  </c:pt>
                  <c:pt idx="19">
                    <c:v>2021</c:v>
                  </c:pt>
                  <c:pt idx="23">
                    <c:v>2022</c:v>
                  </c:pt>
                  <c:pt idx="27">
                    <c:v>2023</c:v>
                  </c:pt>
                  <c:pt idx="31">
                    <c:v>2024</c:v>
                  </c:pt>
                </c:lvl>
              </c:multiLvlStrCache>
            </c:multiLvlStrRef>
          </c:cat>
          <c:val>
            <c:numRef>
              <c:f>INGLES!$H$255:$AP$255</c:f>
              <c:numCache>
                <c:formatCode>0%</c:formatCode>
                <c:ptCount val="35"/>
                <c:pt idx="0">
                  <c:v>0</c:v>
                </c:pt>
                <c:pt idx="1">
                  <c:v>0</c:v>
                </c:pt>
                <c:pt idx="2">
                  <c:v>0</c:v>
                </c:pt>
                <c:pt idx="3">
                  <c:v>0.02</c:v>
                </c:pt>
                <c:pt idx="4">
                  <c:v>0</c:v>
                </c:pt>
                <c:pt idx="5">
                  <c:v>0</c:v>
                </c:pt>
                <c:pt idx="6">
                  <c:v>0.01</c:v>
                </c:pt>
                <c:pt idx="7">
                  <c:v>0.02</c:v>
                </c:pt>
                <c:pt idx="8">
                  <c:v>0.01</c:v>
                </c:pt>
                <c:pt idx="9">
                  <c:v>0</c:v>
                </c:pt>
                <c:pt idx="10">
                  <c:v>0.01</c:v>
                </c:pt>
                <c:pt idx="11">
                  <c:v>0.02</c:v>
                </c:pt>
                <c:pt idx="12">
                  <c:v>0</c:v>
                </c:pt>
                <c:pt idx="13">
                  <c:v>0</c:v>
                </c:pt>
                <c:pt idx="14">
                  <c:v>0.01</c:v>
                </c:pt>
                <c:pt idx="15">
                  <c:v>0.01</c:v>
                </c:pt>
                <c:pt idx="16">
                  <c:v>0</c:v>
                </c:pt>
                <c:pt idx="17">
                  <c:v>0</c:v>
                </c:pt>
                <c:pt idx="18">
                  <c:v>0</c:v>
                </c:pt>
                <c:pt idx="19">
                  <c:v>0.02</c:v>
                </c:pt>
                <c:pt idx="20">
                  <c:v>0.01</c:v>
                </c:pt>
                <c:pt idx="21">
                  <c:v>0</c:v>
                </c:pt>
                <c:pt idx="22">
                  <c:v>0.01</c:v>
                </c:pt>
                <c:pt idx="23">
                  <c:v>0.02</c:v>
                </c:pt>
                <c:pt idx="24">
                  <c:v>0.01</c:v>
                </c:pt>
                <c:pt idx="25">
                  <c:v>0</c:v>
                </c:pt>
                <c:pt idx="26">
                  <c:v>0.01</c:v>
                </c:pt>
                <c:pt idx="27">
                  <c:v>0.03</c:v>
                </c:pt>
                <c:pt idx="28">
                  <c:v>0.01</c:v>
                </c:pt>
                <c:pt idx="29">
                  <c:v>0</c:v>
                </c:pt>
                <c:pt idx="30">
                  <c:v>0.02</c:v>
                </c:pt>
                <c:pt idx="31">
                  <c:v>0.03</c:v>
                </c:pt>
                <c:pt idx="32">
                  <c:v>0.02</c:v>
                </c:pt>
                <c:pt idx="33">
                  <c:v>0.01</c:v>
                </c:pt>
                <c:pt idx="34">
                  <c:v>0.03</c:v>
                </c:pt>
              </c:numCache>
            </c:numRef>
          </c:val>
          <c:extLst>
            <c:ext xmlns:c16="http://schemas.microsoft.com/office/drawing/2014/chart" uri="{C3380CC4-5D6E-409C-BE32-E72D297353CC}">
              <c16:uniqueId val="{00000004-4DBF-499F-837D-79AD55BDDAA7}"/>
            </c:ext>
          </c:extLst>
        </c:ser>
        <c:dLbls>
          <c:showLegendKey val="0"/>
          <c:showVal val="0"/>
          <c:showCatName val="0"/>
          <c:showSerName val="0"/>
          <c:showPercent val="0"/>
          <c:showBubbleSize val="0"/>
        </c:dLbls>
        <c:gapWidth val="150"/>
        <c:overlap val="100"/>
        <c:axId val="744346207"/>
        <c:axId val="634479663"/>
      </c:barChart>
      <c:catAx>
        <c:axId val="74434620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634479663"/>
        <c:crosses val="autoZero"/>
        <c:auto val="1"/>
        <c:lblAlgn val="ctr"/>
        <c:lblOffset val="100"/>
        <c:noMultiLvlLbl val="0"/>
      </c:catAx>
      <c:valAx>
        <c:axId val="634479663"/>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74434620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345086275525454E-2"/>
          <c:y val="2.7173406527340772E-2"/>
          <c:w val="0.89561227704510671"/>
          <c:h val="0.58570676603889571"/>
        </c:manualLayout>
      </c:layout>
      <c:lineChart>
        <c:grouping val="standard"/>
        <c:varyColors val="0"/>
        <c:ser>
          <c:idx val="0"/>
          <c:order val="0"/>
          <c:tx>
            <c:strRef>
              <c:f>'4 AprenLectura'!$I$13</c:f>
              <c:strCache>
                <c:ptCount val="1"/>
                <c:pt idx="0">
                  <c:v>Identifica y entiende los contenidos locales que conforman un texto.
(25% de las preguntas)</c:v>
                </c:pt>
              </c:strCache>
            </c:strRef>
          </c:tx>
          <c:spPr>
            <a:ln w="57150" cap="rnd">
              <a:solidFill>
                <a:schemeClr val="accent1"/>
              </a:solidFill>
              <a:round/>
            </a:ln>
            <a:effectLst/>
          </c:spPr>
          <c:marker>
            <c:symbol val="none"/>
          </c:marker>
          <c:dLbls>
            <c:spPr>
              <a:noFill/>
              <a:ln>
                <a:noFill/>
              </a:ln>
              <a:effectLst/>
            </c:spPr>
            <c:txPr>
              <a:bodyPr rot="0" spcFirstLastPara="1" vertOverflow="ellipsis" vert="horz" wrap="square" anchor="ctr" anchorCtr="1"/>
              <a:lstStyle/>
              <a:p>
                <a:pPr>
                  <a:defRPr sz="105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'4 AprenLectura'!$H$16:$H$25</c:f>
              <c:numCache>
                <c:formatCode>General</c:formatCode>
                <c:ptCount val="10"/>
                <c:pt idx="0">
                  <c:v>2017</c:v>
                </c:pt>
                <c:pt idx="1">
                  <c:v>2018</c:v>
                </c:pt>
                <c:pt idx="2">
                  <c:v>2019</c:v>
                </c:pt>
                <c:pt idx="3">
                  <c:v>2020</c:v>
                </c:pt>
                <c:pt idx="4">
                  <c:v>2021</c:v>
                </c:pt>
                <c:pt idx="5">
                  <c:v>2022</c:v>
                </c:pt>
                <c:pt idx="6">
                  <c:v>2023</c:v>
                </c:pt>
                <c:pt idx="7">
                  <c:v>2024</c:v>
                </c:pt>
                <c:pt idx="8">
                  <c:v>2025</c:v>
                </c:pt>
              </c:numCache>
            </c:numRef>
          </c:cat>
          <c:val>
            <c:numRef>
              <c:f>'4 AprenLectura'!$I$16:$I$25</c:f>
              <c:numCache>
                <c:formatCode>0%</c:formatCode>
                <c:ptCount val="10"/>
                <c:pt idx="0">
                  <c:v>0.43</c:v>
                </c:pt>
                <c:pt idx="1">
                  <c:v>0.47</c:v>
                </c:pt>
                <c:pt idx="2">
                  <c:v>0.37</c:v>
                </c:pt>
                <c:pt idx="3">
                  <c:v>0.43</c:v>
                </c:pt>
                <c:pt idx="4">
                  <c:v>0.36</c:v>
                </c:pt>
                <c:pt idx="5">
                  <c:v>0.36</c:v>
                </c:pt>
                <c:pt idx="6">
                  <c:v>0.37</c:v>
                </c:pt>
                <c:pt idx="7">
                  <c:v>0.44</c:v>
                </c:pt>
                <c:pt idx="8">
                  <c:v>0.44</c:v>
                </c:pt>
              </c:numCache>
            </c:numRef>
          </c:val>
          <c:smooth val="0"/>
          <c:extLst xmlns:c15="http://schemas.microsoft.com/office/drawing/2012/chart">
            <c:ext xmlns:c16="http://schemas.microsoft.com/office/drawing/2014/chart" uri="{C3380CC4-5D6E-409C-BE32-E72D297353CC}">
              <c16:uniqueId val="{00000001-18C9-431E-AA7B-F13BAAF7FBC8}"/>
            </c:ext>
          </c:extLst>
        </c:ser>
        <c:ser>
          <c:idx val="1"/>
          <c:order val="1"/>
          <c:tx>
            <c:strRef>
              <c:f>'4 AprenLectura'!$J$13</c:f>
              <c:strCache>
                <c:ptCount val="1"/>
                <c:pt idx="0">
                  <c:v>Comprende cómo se articulan las partes de un texto para darle un sentido global.
(42% de las preguntas)</c:v>
                </c:pt>
              </c:strCache>
            </c:strRef>
          </c:tx>
          <c:spPr>
            <a:ln w="57150" cap="rnd">
              <a:solidFill>
                <a:schemeClr val="accent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ysClr val="windowText" lastClr="000000"/>
                    </a:solidFill>
                    <a:latin typeface="+mn-lt"/>
                    <a:ea typeface="+mn-ea"/>
                    <a:cs typeface="+mn-cs"/>
                  </a:defRPr>
                </a:pPr>
                <a:endParaRPr lang="es-CO"/>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'4 AprenLectura'!$H$16:$H$25</c:f>
              <c:numCache>
                <c:formatCode>General</c:formatCode>
                <c:ptCount val="10"/>
                <c:pt idx="0">
                  <c:v>2017</c:v>
                </c:pt>
                <c:pt idx="1">
                  <c:v>2018</c:v>
                </c:pt>
                <c:pt idx="2">
                  <c:v>2019</c:v>
                </c:pt>
                <c:pt idx="3">
                  <c:v>2020</c:v>
                </c:pt>
                <c:pt idx="4">
                  <c:v>2021</c:v>
                </c:pt>
                <c:pt idx="5">
                  <c:v>2022</c:v>
                </c:pt>
                <c:pt idx="6">
                  <c:v>2023</c:v>
                </c:pt>
                <c:pt idx="7">
                  <c:v>2024</c:v>
                </c:pt>
                <c:pt idx="8">
                  <c:v>2025</c:v>
                </c:pt>
              </c:numCache>
            </c:numRef>
          </c:cat>
          <c:val>
            <c:numRef>
              <c:f>'4 AprenLectura'!$J$16:$J$25</c:f>
              <c:numCache>
                <c:formatCode>0%</c:formatCode>
                <c:ptCount val="10"/>
                <c:pt idx="0">
                  <c:v>0.47</c:v>
                </c:pt>
                <c:pt idx="1">
                  <c:v>0.44</c:v>
                </c:pt>
                <c:pt idx="2">
                  <c:v>0.43</c:v>
                </c:pt>
                <c:pt idx="3">
                  <c:v>0.48</c:v>
                </c:pt>
                <c:pt idx="4">
                  <c:v>0.45</c:v>
                </c:pt>
                <c:pt idx="5">
                  <c:v>0.47</c:v>
                </c:pt>
                <c:pt idx="6">
                  <c:v>0.48</c:v>
                </c:pt>
                <c:pt idx="7">
                  <c:v>0.45</c:v>
                </c:pt>
                <c:pt idx="8">
                  <c:v>0.33</c:v>
                </c:pt>
              </c:numCache>
            </c:numRef>
          </c:val>
          <c:smooth val="0"/>
          <c:extLst>
            <c:ext xmlns:c16="http://schemas.microsoft.com/office/drawing/2014/chart" uri="{C3380CC4-5D6E-409C-BE32-E72D297353CC}">
              <c16:uniqueId val="{00000000-F488-4893-9F84-D6C7887A7062}"/>
            </c:ext>
          </c:extLst>
        </c:ser>
        <c:ser>
          <c:idx val="2"/>
          <c:order val="2"/>
          <c:tx>
            <c:strRef>
              <c:f>'4 AprenLectura'!$K$13</c:f>
              <c:strCache>
                <c:ptCount val="1"/>
                <c:pt idx="0">
                  <c:v>Reflexiona a partir de un texto y evalúa su contenido.
(33% de las preguntas)</c:v>
                </c:pt>
              </c:strCache>
            </c:strRef>
          </c:tx>
          <c:spPr>
            <a:ln w="57150" cap="rnd">
              <a:solidFill>
                <a:schemeClr val="accent3"/>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ysClr val="windowText" lastClr="000000"/>
                    </a:solidFill>
                    <a:latin typeface="+mn-lt"/>
                    <a:ea typeface="+mn-ea"/>
                    <a:cs typeface="+mn-cs"/>
                  </a:defRPr>
                </a:pPr>
                <a:endParaRPr lang="es-CO"/>
              </a:p>
            </c:txPr>
            <c:dLblPos val="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'4 AprenLectura'!$H$16:$H$25</c:f>
              <c:numCache>
                <c:formatCode>General</c:formatCode>
                <c:ptCount val="10"/>
                <c:pt idx="0">
                  <c:v>2017</c:v>
                </c:pt>
                <c:pt idx="1">
                  <c:v>2018</c:v>
                </c:pt>
                <c:pt idx="2">
                  <c:v>2019</c:v>
                </c:pt>
                <c:pt idx="3">
                  <c:v>2020</c:v>
                </c:pt>
                <c:pt idx="4">
                  <c:v>2021</c:v>
                </c:pt>
                <c:pt idx="5">
                  <c:v>2022</c:v>
                </c:pt>
                <c:pt idx="6">
                  <c:v>2023</c:v>
                </c:pt>
                <c:pt idx="7">
                  <c:v>2024</c:v>
                </c:pt>
                <c:pt idx="8">
                  <c:v>2025</c:v>
                </c:pt>
              </c:numCache>
            </c:numRef>
          </c:cat>
          <c:val>
            <c:numRef>
              <c:f>'4 AprenLectura'!$K$16:$K$25</c:f>
              <c:numCache>
                <c:formatCode>0%</c:formatCode>
                <c:ptCount val="10"/>
                <c:pt idx="0">
                  <c:v>0.46</c:v>
                </c:pt>
                <c:pt idx="1">
                  <c:v>0.51</c:v>
                </c:pt>
                <c:pt idx="2">
                  <c:v>0.43</c:v>
                </c:pt>
                <c:pt idx="3">
                  <c:v>0.39</c:v>
                </c:pt>
                <c:pt idx="4">
                  <c:v>0.55000000000000004</c:v>
                </c:pt>
                <c:pt idx="5">
                  <c:v>0.47</c:v>
                </c:pt>
                <c:pt idx="6">
                  <c:v>0.5</c:v>
                </c:pt>
                <c:pt idx="7">
                  <c:v>0.35</c:v>
                </c:pt>
                <c:pt idx="8">
                  <c:v>0.51</c:v>
                </c:pt>
              </c:numCache>
            </c:numRef>
          </c:val>
          <c:smooth val="0"/>
          <c:extLst>
            <c:ext xmlns:c16="http://schemas.microsoft.com/office/drawing/2014/chart" uri="{C3380CC4-5D6E-409C-BE32-E72D297353CC}">
              <c16:uniqueId val="{00000001-F488-4893-9F84-D6C7887A7062}"/>
            </c:ext>
          </c:extLst>
        </c:ser>
        <c:dLbls>
          <c:showLegendKey val="0"/>
          <c:showVal val="1"/>
          <c:showCatName val="0"/>
          <c:showSerName val="0"/>
          <c:showPercent val="0"/>
          <c:showBubbleSize val="0"/>
        </c:dLbls>
        <c:smooth val="0"/>
        <c:axId val="-2031620336"/>
        <c:axId val="-2031625232"/>
        <c:extLst/>
      </c:lineChart>
      <c:catAx>
        <c:axId val="-20316203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1" i="0" u="none" strike="noStrike" kern="1200" baseline="0">
                <a:solidFill>
                  <a:sysClr val="windowText" lastClr="000000"/>
                </a:solidFill>
                <a:latin typeface="+mn-lt"/>
                <a:ea typeface="+mn-ea"/>
                <a:cs typeface="+mn-cs"/>
              </a:defRPr>
            </a:pPr>
            <a:endParaRPr lang="es-CO"/>
          </a:p>
        </c:txPr>
        <c:crossAx val="-2031625232"/>
        <c:crosses val="autoZero"/>
        <c:auto val="1"/>
        <c:lblAlgn val="ctr"/>
        <c:lblOffset val="100"/>
        <c:noMultiLvlLbl val="0"/>
      </c:catAx>
      <c:valAx>
        <c:axId val="-2031625232"/>
        <c:scaling>
          <c:orientation val="minMax"/>
          <c:max val="1"/>
          <c:min val="0"/>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ysClr val="windowText" lastClr="000000"/>
                </a:solidFill>
                <a:latin typeface="+mn-lt"/>
                <a:ea typeface="+mn-ea"/>
                <a:cs typeface="+mn-cs"/>
              </a:defRPr>
            </a:pPr>
            <a:endParaRPr lang="es-CO"/>
          </a:p>
        </c:txPr>
        <c:crossAx val="-2031620336"/>
        <c:crosses val="autoZero"/>
        <c:crossBetween val="between"/>
        <c:majorUnit val="0.1"/>
      </c:valAx>
      <c:spPr>
        <a:noFill/>
        <a:ln>
          <a:noFill/>
        </a:ln>
        <a:effectLst/>
      </c:spPr>
    </c:plotArea>
    <c:legend>
      <c:legendPos val="b"/>
      <c:layout>
        <c:manualLayout>
          <c:xMode val="edge"/>
          <c:yMode val="edge"/>
          <c:x val="1.3319799658976464E-2"/>
          <c:y val="0.71291848353087939"/>
          <c:w val="0.86165928408796966"/>
          <c:h val="0.24695064036317971"/>
        </c:manualLayout>
      </c:layout>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legend>
    <c:plotVisOnly val="1"/>
    <c:dispBlanksAs val="gap"/>
    <c:showDLblsOverMax val="0"/>
  </c:chart>
  <c:spPr>
    <a:solidFill>
      <a:schemeClr val="bg1"/>
    </a:solidFill>
    <a:ln w="9525" cap="flat" cmpd="sng" algn="ctr">
      <a:solidFill>
        <a:schemeClr val="tx1"/>
      </a:solidFill>
      <a:round/>
    </a:ln>
    <a:effectLst/>
  </c:spPr>
  <c:txPr>
    <a:bodyPr/>
    <a:lstStyle/>
    <a:p>
      <a:pPr>
        <a:defRPr sz="1050" b="1">
          <a:solidFill>
            <a:sysClr val="windowText" lastClr="000000"/>
          </a:solidFill>
        </a:defRPr>
      </a:pPr>
      <a:endParaRPr lang="es-CO"/>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257835099610394E-2"/>
          <c:y val="3.0503583734818148E-2"/>
          <c:w val="0.88344462878190955"/>
          <c:h val="0.630119918130568"/>
        </c:manualLayout>
      </c:layout>
      <c:lineChart>
        <c:grouping val="standard"/>
        <c:varyColors val="0"/>
        <c:ser>
          <c:idx val="0"/>
          <c:order val="0"/>
          <c:tx>
            <c:strRef>
              <c:f>'5 AprenMate'!$J$13</c:f>
              <c:strCache>
                <c:ptCount val="1"/>
                <c:pt idx="0">
                  <c:v>Comprende y transforma la información cuantitativa y esquemática presentada en distintos formatos</c:v>
                </c:pt>
              </c:strCache>
            </c:strRef>
          </c:tx>
          <c:spPr>
            <a:ln w="57150" cap="rnd">
              <a:solidFill>
                <a:schemeClr val="accent1"/>
              </a:solidFill>
              <a:round/>
            </a:ln>
            <a:effectLst/>
          </c:spPr>
          <c:marker>
            <c:symbol val="none"/>
          </c:marker>
          <c:dLbls>
            <c:spPr>
              <a:noFill/>
              <a:ln>
                <a:noFill/>
              </a:ln>
              <a:effectLst/>
            </c:spPr>
            <c:txPr>
              <a:bodyPr rot="0" spcFirstLastPara="1" vertOverflow="ellipsis" vert="horz" wrap="square" anchor="ctr" anchorCtr="1"/>
              <a:lstStyle/>
              <a:p>
                <a:pPr>
                  <a:defRPr sz="105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'5 AprenMate'!$I$15:$I$24</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'5 AprenMate'!$J$15:$J$24</c:f>
              <c:numCache>
                <c:formatCode>0%</c:formatCode>
                <c:ptCount val="10"/>
                <c:pt idx="0">
                  <c:v>0</c:v>
                </c:pt>
                <c:pt idx="1">
                  <c:v>0</c:v>
                </c:pt>
                <c:pt idx="2">
                  <c:v>0</c:v>
                </c:pt>
                <c:pt idx="3">
                  <c:v>0</c:v>
                </c:pt>
                <c:pt idx="4">
                  <c:v>0</c:v>
                </c:pt>
                <c:pt idx="5">
                  <c:v>0</c:v>
                </c:pt>
                <c:pt idx="6">
                  <c:v>0</c:v>
                </c:pt>
                <c:pt idx="7">
                  <c:v>0</c:v>
                </c:pt>
                <c:pt idx="8">
                  <c:v>0.35</c:v>
                </c:pt>
                <c:pt idx="9">
                  <c:v>0.41</c:v>
                </c:pt>
              </c:numCache>
            </c:numRef>
          </c:val>
          <c:smooth val="0"/>
          <c:extLst xmlns:c15="http://schemas.microsoft.com/office/drawing/2012/chart">
            <c:ext xmlns:c16="http://schemas.microsoft.com/office/drawing/2014/chart" uri="{C3380CC4-5D6E-409C-BE32-E72D297353CC}">
              <c16:uniqueId val="{00000001-5F44-49FB-8072-86A7C9DD1ADF}"/>
            </c:ext>
          </c:extLst>
        </c:ser>
        <c:ser>
          <c:idx val="1"/>
          <c:order val="1"/>
          <c:tx>
            <c:strRef>
              <c:f>'5 AprenMate'!$K$13</c:f>
              <c:strCache>
                <c:ptCount val="1"/>
                <c:pt idx="0">
                  <c:v>Frente a un problema que involucre información cuantitativa, plantea e implementa estrategias que lleven a soluciones adecuadas.</c:v>
                </c:pt>
              </c:strCache>
            </c:strRef>
          </c:tx>
          <c:spPr>
            <a:ln w="57150" cap="rnd">
              <a:solidFill>
                <a:schemeClr val="accent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ysClr val="windowText" lastClr="000000"/>
                    </a:solidFill>
                    <a:latin typeface="+mn-lt"/>
                    <a:ea typeface="+mn-ea"/>
                    <a:cs typeface="+mn-cs"/>
                  </a:defRPr>
                </a:pPr>
                <a:endParaRPr lang="es-CO"/>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'5 AprenMate'!$I$15:$I$24</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'5 AprenMate'!$K$15:$K$24</c:f>
              <c:numCache>
                <c:formatCode>0%</c:formatCode>
                <c:ptCount val="10"/>
                <c:pt idx="0">
                  <c:v>0</c:v>
                </c:pt>
                <c:pt idx="1">
                  <c:v>0</c:v>
                </c:pt>
                <c:pt idx="2">
                  <c:v>0</c:v>
                </c:pt>
                <c:pt idx="3">
                  <c:v>0</c:v>
                </c:pt>
                <c:pt idx="4">
                  <c:v>0</c:v>
                </c:pt>
                <c:pt idx="5">
                  <c:v>0</c:v>
                </c:pt>
                <c:pt idx="6">
                  <c:v>0</c:v>
                </c:pt>
                <c:pt idx="7">
                  <c:v>0</c:v>
                </c:pt>
                <c:pt idx="8">
                  <c:v>0.56000000000000005</c:v>
                </c:pt>
                <c:pt idx="9">
                  <c:v>0.56000000000000005</c:v>
                </c:pt>
              </c:numCache>
            </c:numRef>
          </c:val>
          <c:smooth val="0"/>
          <c:extLst>
            <c:ext xmlns:c16="http://schemas.microsoft.com/office/drawing/2014/chart" uri="{C3380CC4-5D6E-409C-BE32-E72D297353CC}">
              <c16:uniqueId val="{00000000-F67B-47E1-882F-5130B5C37ADB}"/>
            </c:ext>
          </c:extLst>
        </c:ser>
        <c:ser>
          <c:idx val="2"/>
          <c:order val="2"/>
          <c:tx>
            <c:strRef>
              <c:f>'5 AprenMate'!$L$13</c:f>
              <c:strCache>
                <c:ptCount val="1"/>
                <c:pt idx="0">
                  <c:v>Valida procedimientos y  estrategias matemáticas utilizadas para dar solución a problemas.</c:v>
                </c:pt>
              </c:strCache>
            </c:strRef>
          </c:tx>
          <c:spPr>
            <a:ln w="57150" cap="rnd">
              <a:solidFill>
                <a:schemeClr val="accent3"/>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ysClr val="windowText" lastClr="000000"/>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'5 AprenMate'!$I$15:$I$24</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'5 AprenMate'!$L$15:$L$24</c:f>
              <c:numCache>
                <c:formatCode>0%</c:formatCode>
                <c:ptCount val="10"/>
                <c:pt idx="0">
                  <c:v>0</c:v>
                </c:pt>
                <c:pt idx="1">
                  <c:v>0</c:v>
                </c:pt>
                <c:pt idx="2">
                  <c:v>0</c:v>
                </c:pt>
                <c:pt idx="3">
                  <c:v>0</c:v>
                </c:pt>
                <c:pt idx="4">
                  <c:v>0</c:v>
                </c:pt>
                <c:pt idx="5">
                  <c:v>0</c:v>
                </c:pt>
                <c:pt idx="6">
                  <c:v>0</c:v>
                </c:pt>
                <c:pt idx="7">
                  <c:v>0</c:v>
                </c:pt>
                <c:pt idx="8">
                  <c:v>0.45</c:v>
                </c:pt>
                <c:pt idx="9">
                  <c:v>0.68</c:v>
                </c:pt>
              </c:numCache>
            </c:numRef>
          </c:val>
          <c:smooth val="0"/>
          <c:extLst>
            <c:ext xmlns:c16="http://schemas.microsoft.com/office/drawing/2014/chart" uri="{C3380CC4-5D6E-409C-BE32-E72D297353CC}">
              <c16:uniqueId val="{00000001-F67B-47E1-882F-5130B5C37ADB}"/>
            </c:ext>
          </c:extLst>
        </c:ser>
        <c:dLbls>
          <c:showLegendKey val="0"/>
          <c:showVal val="1"/>
          <c:showCatName val="0"/>
          <c:showSerName val="0"/>
          <c:showPercent val="0"/>
          <c:showBubbleSize val="0"/>
        </c:dLbls>
        <c:smooth val="0"/>
        <c:axId val="-2031613264"/>
        <c:axId val="-2031612720"/>
        <c:extLst/>
      </c:lineChart>
      <c:catAx>
        <c:axId val="-20316132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1" i="0" u="none" strike="noStrike" kern="1200" baseline="0">
                <a:solidFill>
                  <a:sysClr val="windowText" lastClr="000000"/>
                </a:solidFill>
                <a:latin typeface="+mn-lt"/>
                <a:ea typeface="+mn-ea"/>
                <a:cs typeface="+mn-cs"/>
              </a:defRPr>
            </a:pPr>
            <a:endParaRPr lang="es-CO"/>
          </a:p>
        </c:txPr>
        <c:crossAx val="-2031612720"/>
        <c:crosses val="autoZero"/>
        <c:auto val="1"/>
        <c:lblAlgn val="ctr"/>
        <c:lblOffset val="100"/>
        <c:noMultiLvlLbl val="0"/>
      </c:catAx>
      <c:valAx>
        <c:axId val="-2031612720"/>
        <c:scaling>
          <c:orientation val="minMax"/>
          <c:max val="1"/>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ysClr val="windowText" lastClr="000000"/>
                </a:solidFill>
                <a:latin typeface="+mn-lt"/>
                <a:ea typeface="+mn-ea"/>
                <a:cs typeface="+mn-cs"/>
              </a:defRPr>
            </a:pPr>
            <a:endParaRPr lang="es-CO"/>
          </a:p>
        </c:txPr>
        <c:crossAx val="-2031613264"/>
        <c:crosses val="autoZero"/>
        <c:crossBetween val="between"/>
        <c:majorUnit val="0.2"/>
      </c:valAx>
      <c:spPr>
        <a:noFill/>
        <a:ln>
          <a:noFill/>
        </a:ln>
        <a:effectLst/>
      </c:spPr>
    </c:plotArea>
    <c:legend>
      <c:legendPos val="b"/>
      <c:layout>
        <c:manualLayout>
          <c:xMode val="edge"/>
          <c:yMode val="edge"/>
          <c:x val="5.9807983826773069E-2"/>
          <c:y val="0.74037588956594169"/>
          <c:w val="0.91406882206781082"/>
          <c:h val="0.25922855970036474"/>
        </c:manualLayout>
      </c:layout>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legend>
    <c:plotVisOnly val="1"/>
    <c:dispBlanksAs val="gap"/>
    <c:showDLblsOverMax val="0"/>
  </c:chart>
  <c:spPr>
    <a:solidFill>
      <a:schemeClr val="bg1"/>
    </a:solidFill>
    <a:ln w="9525" cap="flat" cmpd="sng" algn="ctr">
      <a:solidFill>
        <a:schemeClr val="tx1"/>
      </a:solidFill>
      <a:round/>
    </a:ln>
    <a:effectLst/>
  </c:spPr>
  <c:txPr>
    <a:bodyPr/>
    <a:lstStyle/>
    <a:p>
      <a:pPr>
        <a:defRPr sz="1050" b="1">
          <a:solidFill>
            <a:sysClr val="windowText" lastClr="000000"/>
          </a:solidFill>
        </a:defRPr>
      </a:pPr>
      <a:endParaRPr lang="es-CO"/>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875756764773159"/>
          <c:y val="5.1543602362086757E-2"/>
          <c:w val="0.84862851890460544"/>
          <c:h val="0.53799528253832041"/>
        </c:manualLayout>
      </c:layout>
      <c:lineChart>
        <c:grouping val="standard"/>
        <c:varyColors val="0"/>
        <c:ser>
          <c:idx val="0"/>
          <c:order val="0"/>
          <c:tx>
            <c:strRef>
              <c:f>'6 AprenSyC'!$D$13</c:f>
              <c:strCache>
                <c:ptCount val="1"/>
                <c:pt idx="0">
                  <c:v>Comprende modelos conceptuales, sus características y contextos de aplicación.</c:v>
                </c:pt>
              </c:strCache>
            </c:strRef>
          </c:tx>
          <c:spPr>
            <a:ln w="28575" cap="rnd">
              <a:solidFill>
                <a:schemeClr val="accent1"/>
              </a:solidFill>
              <a:round/>
            </a:ln>
            <a:effectLst/>
          </c:spPr>
          <c:marker>
            <c:symbol val="none"/>
          </c:marker>
          <c:dLbls>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'6 AprenSyC'!$C$15:$C$24</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'6 AprenSyC'!$D$15:$D$24</c:f>
              <c:numCache>
                <c:formatCode>0%</c:formatCode>
                <c:ptCount val="10"/>
                <c:pt idx="0">
                  <c:v>0</c:v>
                </c:pt>
                <c:pt idx="1">
                  <c:v>0</c:v>
                </c:pt>
                <c:pt idx="2">
                  <c:v>0</c:v>
                </c:pt>
                <c:pt idx="3">
                  <c:v>0</c:v>
                </c:pt>
                <c:pt idx="4">
                  <c:v>0.31</c:v>
                </c:pt>
                <c:pt idx="5">
                  <c:v>0.73</c:v>
                </c:pt>
                <c:pt idx="6">
                  <c:v>0.67</c:v>
                </c:pt>
                <c:pt idx="7">
                  <c:v>0.33</c:v>
                </c:pt>
                <c:pt idx="8">
                  <c:v>0.67</c:v>
                </c:pt>
                <c:pt idx="9">
                  <c:v>0.63</c:v>
                </c:pt>
              </c:numCache>
            </c:numRef>
          </c:val>
          <c:smooth val="0"/>
          <c:extLst>
            <c:ext xmlns:c16="http://schemas.microsoft.com/office/drawing/2014/chart" uri="{C3380CC4-5D6E-409C-BE32-E72D297353CC}">
              <c16:uniqueId val="{00000001-6C4C-4FB4-98EE-2A6883D7E8AF}"/>
            </c:ext>
          </c:extLst>
        </c:ser>
        <c:ser>
          <c:idx val="1"/>
          <c:order val="1"/>
          <c:tx>
            <c:strRef>
              <c:f>'6 AprenSyC'!$E$13</c:f>
              <c:strCache>
                <c:ptCount val="1"/>
                <c:pt idx="0">
                  <c:v>Comprende dimensiones espaciales y temporales de eventos, problemáticas y prácticas sociales.</c:v>
                </c:pt>
              </c:strCache>
            </c:strRef>
          </c:tx>
          <c:spPr>
            <a:ln w="28575" cap="rnd">
              <a:solidFill>
                <a:schemeClr val="accent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'6 AprenSyC'!$C$15:$C$24</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'6 AprenSyC'!$E$15:$E$24</c:f>
              <c:numCache>
                <c:formatCode>0%</c:formatCode>
                <c:ptCount val="10"/>
                <c:pt idx="0">
                  <c:v>0</c:v>
                </c:pt>
                <c:pt idx="1">
                  <c:v>0</c:v>
                </c:pt>
                <c:pt idx="2">
                  <c:v>0</c:v>
                </c:pt>
                <c:pt idx="3">
                  <c:v>0</c:v>
                </c:pt>
                <c:pt idx="4">
                  <c:v>1</c:v>
                </c:pt>
                <c:pt idx="5">
                  <c:v>0.5</c:v>
                </c:pt>
                <c:pt idx="6">
                  <c:v>0.74</c:v>
                </c:pt>
                <c:pt idx="7">
                  <c:v>0.67</c:v>
                </c:pt>
                <c:pt idx="8">
                  <c:v>0</c:v>
                </c:pt>
                <c:pt idx="9">
                  <c:v>0.67</c:v>
                </c:pt>
              </c:numCache>
            </c:numRef>
          </c:val>
          <c:smooth val="0"/>
          <c:extLst>
            <c:ext xmlns:c16="http://schemas.microsoft.com/office/drawing/2014/chart" uri="{C3380CC4-5D6E-409C-BE32-E72D297353CC}">
              <c16:uniqueId val="{00000000-B373-45BF-B07D-ED277193D878}"/>
            </c:ext>
          </c:extLst>
        </c:ser>
        <c:dLbls>
          <c:showLegendKey val="0"/>
          <c:showVal val="1"/>
          <c:showCatName val="0"/>
          <c:showSerName val="0"/>
          <c:showPercent val="0"/>
          <c:showBubbleSize val="0"/>
        </c:dLbls>
        <c:smooth val="0"/>
        <c:axId val="-2012189584"/>
        <c:axId val="-2012181968"/>
      </c:lineChart>
      <c:catAx>
        <c:axId val="-20121895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endParaRPr lang="es-CO"/>
          </a:p>
        </c:txPr>
        <c:crossAx val="-2012181968"/>
        <c:crosses val="autoZero"/>
        <c:auto val="1"/>
        <c:lblAlgn val="ctr"/>
        <c:lblOffset val="100"/>
        <c:noMultiLvlLbl val="0"/>
      </c:catAx>
      <c:valAx>
        <c:axId val="-2012181968"/>
        <c:scaling>
          <c:orientation val="minMax"/>
          <c:max val="0.70000000000000007"/>
          <c:min val="0.30000000000000004"/>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endParaRPr lang="es-CO"/>
          </a:p>
        </c:txPr>
        <c:crossAx val="-2012189584"/>
        <c:crosses val="autoZero"/>
        <c:crossBetween val="between"/>
        <c:majorUnit val="0.1"/>
      </c:valAx>
      <c:spPr>
        <a:noFill/>
        <a:ln>
          <a:noFill/>
        </a:ln>
        <a:effectLst/>
      </c:spPr>
    </c:plotArea>
    <c:legend>
      <c:legendPos val="b"/>
      <c:layout>
        <c:manualLayout>
          <c:xMode val="edge"/>
          <c:yMode val="edge"/>
          <c:x val="5.7334452747520435E-2"/>
          <c:y val="0.78542650719664597"/>
          <c:w val="0.91794482452228798"/>
          <c:h val="0.19174126592412988"/>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legend>
    <c:plotVisOnly val="1"/>
    <c:dispBlanksAs val="gap"/>
    <c:showDLblsOverMax val="0"/>
  </c:chart>
  <c:spPr>
    <a:solidFill>
      <a:schemeClr val="bg1"/>
    </a:solidFill>
    <a:ln w="9525" cap="flat" cmpd="sng" algn="ctr">
      <a:solidFill>
        <a:schemeClr val="tx1"/>
      </a:solidFill>
      <a:round/>
    </a:ln>
    <a:effectLst/>
  </c:spPr>
  <c:txPr>
    <a:bodyPr/>
    <a:lstStyle/>
    <a:p>
      <a:pPr>
        <a:defRPr sz="1400" b="1">
          <a:solidFill>
            <a:sysClr val="windowText" lastClr="000000"/>
          </a:solidFill>
        </a:defRPr>
      </a:pPr>
      <a:endParaRPr lang="es-CO"/>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7239072803803582E-2"/>
          <c:y val="9.0943013416734539E-2"/>
          <c:w val="0.95182643515955268"/>
          <c:h val="0.61093640000971028"/>
        </c:manualLayout>
      </c:layout>
      <c:lineChart>
        <c:grouping val="standard"/>
        <c:varyColors val="0"/>
        <c:ser>
          <c:idx val="0"/>
          <c:order val="0"/>
          <c:tx>
            <c:strRef>
              <c:f>'6 AprenSyC'!$H$13</c:f>
              <c:strCache>
                <c:ptCount val="1"/>
                <c:pt idx="0">
                  <c:v>Evalúa usos sociales de las ciencias sociales.</c:v>
                </c:pt>
              </c:strCache>
            </c:strRef>
          </c:tx>
          <c:spPr>
            <a:ln w="28575" cap="rnd">
              <a:solidFill>
                <a:schemeClr val="accent5"/>
              </a:solidFill>
              <a:round/>
            </a:ln>
            <a:effectLst/>
          </c:spPr>
          <c:marker>
            <c:symbol val="none"/>
          </c:marker>
          <c:dLbls>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'6 AprenSyC'!$C$15:$C$24</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'6 AprenSyC'!$H$15:$H$24</c:f>
              <c:numCache>
                <c:formatCode>0%</c:formatCode>
                <c:ptCount val="10"/>
                <c:pt idx="0">
                  <c:v>0</c:v>
                </c:pt>
                <c:pt idx="1">
                  <c:v>0</c:v>
                </c:pt>
                <c:pt idx="2">
                  <c:v>0</c:v>
                </c:pt>
                <c:pt idx="3">
                  <c:v>0</c:v>
                </c:pt>
                <c:pt idx="4">
                  <c:v>0.5</c:v>
                </c:pt>
                <c:pt idx="5">
                  <c:v>0.75</c:v>
                </c:pt>
                <c:pt idx="6">
                  <c:v>0.7</c:v>
                </c:pt>
                <c:pt idx="7">
                  <c:v>0.25</c:v>
                </c:pt>
                <c:pt idx="8">
                  <c:v>0.86</c:v>
                </c:pt>
                <c:pt idx="9">
                  <c:v>1</c:v>
                </c:pt>
              </c:numCache>
            </c:numRef>
          </c:val>
          <c:smooth val="0"/>
          <c:extLst>
            <c:ext xmlns:c16="http://schemas.microsoft.com/office/drawing/2014/chart" uri="{C3380CC4-5D6E-409C-BE32-E72D297353CC}">
              <c16:uniqueId val="{00000001-BAFE-421F-B084-FECEFF804D71}"/>
            </c:ext>
          </c:extLst>
        </c:ser>
        <c:ser>
          <c:idx val="1"/>
          <c:order val="1"/>
          <c:tx>
            <c:strRef>
              <c:f>'6 AprenSyC'!$I$13</c:f>
              <c:strCache>
                <c:ptCount val="1"/>
                <c:pt idx="0">
                  <c:v>Comprende que los problemas y sus soluciones involucran distintas dimensiones y reconoce relaciones entre estas.</c:v>
                </c:pt>
              </c:strCache>
            </c:strRef>
          </c:tx>
          <c:spPr>
            <a:ln w="28575" cap="rnd">
              <a:solidFill>
                <a:schemeClr val="accent6"/>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'6 AprenSyC'!$C$15:$C$24</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'6 AprenSyC'!$I$15:$I$24</c:f>
              <c:numCache>
                <c:formatCode>0%</c:formatCode>
                <c:ptCount val="10"/>
                <c:pt idx="0">
                  <c:v>0</c:v>
                </c:pt>
                <c:pt idx="1">
                  <c:v>0</c:v>
                </c:pt>
                <c:pt idx="2">
                  <c:v>0</c:v>
                </c:pt>
                <c:pt idx="3">
                  <c:v>0</c:v>
                </c:pt>
                <c:pt idx="4">
                  <c:v>0.42</c:v>
                </c:pt>
                <c:pt idx="5">
                  <c:v>0.89</c:v>
                </c:pt>
                <c:pt idx="6">
                  <c:v>0.67</c:v>
                </c:pt>
                <c:pt idx="7">
                  <c:v>0</c:v>
                </c:pt>
                <c:pt idx="8">
                  <c:v>0.5</c:v>
                </c:pt>
                <c:pt idx="9">
                  <c:v>0.38</c:v>
                </c:pt>
              </c:numCache>
            </c:numRef>
          </c:val>
          <c:smooth val="0"/>
          <c:extLst>
            <c:ext xmlns:c16="http://schemas.microsoft.com/office/drawing/2014/chart" uri="{C3380CC4-5D6E-409C-BE32-E72D297353CC}">
              <c16:uniqueId val="{00000000-19E6-4E8E-8919-037C7C9F5B02}"/>
            </c:ext>
          </c:extLst>
        </c:ser>
        <c:dLbls>
          <c:showLegendKey val="0"/>
          <c:showVal val="1"/>
          <c:showCatName val="0"/>
          <c:showSerName val="0"/>
          <c:showPercent val="0"/>
          <c:showBubbleSize val="0"/>
        </c:dLbls>
        <c:smooth val="0"/>
        <c:axId val="-2012183056"/>
        <c:axId val="-2012184144"/>
      </c:lineChart>
      <c:catAx>
        <c:axId val="-20121830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mn-lt"/>
                <a:ea typeface="+mn-ea"/>
                <a:cs typeface="+mn-cs"/>
              </a:defRPr>
            </a:pPr>
            <a:endParaRPr lang="es-CO"/>
          </a:p>
        </c:txPr>
        <c:crossAx val="-2012184144"/>
        <c:crosses val="autoZero"/>
        <c:auto val="1"/>
        <c:lblAlgn val="ctr"/>
        <c:lblOffset val="100"/>
        <c:noMultiLvlLbl val="0"/>
      </c:catAx>
      <c:valAx>
        <c:axId val="-2012184144"/>
        <c:scaling>
          <c:orientation val="minMax"/>
          <c:min val="0.2"/>
        </c:scaling>
        <c:delete val="0"/>
        <c:axPos val="l"/>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endParaRPr lang="es-CO"/>
          </a:p>
        </c:txPr>
        <c:crossAx val="-2012183056"/>
        <c:crosses val="autoZero"/>
        <c:crossBetween val="between"/>
      </c:valAx>
      <c:spPr>
        <a:noFill/>
        <a:ln>
          <a:noFill/>
        </a:ln>
        <a:effectLst/>
      </c:spPr>
    </c:plotArea>
    <c:legend>
      <c:legendPos val="b"/>
      <c:layout>
        <c:manualLayout>
          <c:xMode val="edge"/>
          <c:yMode val="edge"/>
          <c:x val="9.1740918682274075E-2"/>
          <c:y val="0.80424093544783626"/>
          <c:w val="0.86674198719338102"/>
          <c:h val="0.16233893537152264"/>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legend>
    <c:plotVisOnly val="1"/>
    <c:dispBlanksAs val="gap"/>
    <c:showDLblsOverMax val="0"/>
  </c:chart>
  <c:spPr>
    <a:solidFill>
      <a:schemeClr val="bg1"/>
    </a:solidFill>
    <a:ln w="9525" cap="flat" cmpd="sng" algn="ctr">
      <a:solidFill>
        <a:schemeClr val="tx1"/>
      </a:solidFill>
      <a:round/>
    </a:ln>
    <a:effectLst/>
  </c:spPr>
  <c:txPr>
    <a:bodyPr/>
    <a:lstStyle/>
    <a:p>
      <a:pPr>
        <a:defRPr sz="1600" b="1">
          <a:solidFill>
            <a:sysClr val="windowText" lastClr="000000"/>
          </a:solidFill>
        </a:defRPr>
      </a:pPr>
      <a:endParaRPr lang="es-CO"/>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1527947583883005E-2"/>
          <c:y val="4.4393638858479516E-2"/>
          <c:w val="0.91979006425060261"/>
          <c:h val="0.65704306874723128"/>
        </c:manualLayout>
      </c:layout>
      <c:lineChart>
        <c:grouping val="standard"/>
        <c:varyColors val="0"/>
        <c:ser>
          <c:idx val="0"/>
          <c:order val="0"/>
          <c:tx>
            <c:strRef>
              <c:f>'6 AprenSyC'!$F$13</c:f>
              <c:strCache>
                <c:ptCount val="1"/>
                <c:pt idx="0">
                  <c:v>Contextualiza y evalúa usos de fuentes y argumentos.</c:v>
                </c:pt>
              </c:strCache>
            </c:strRef>
          </c:tx>
          <c:spPr>
            <a:ln w="28575" cap="rnd">
              <a:solidFill>
                <a:schemeClr val="accent3"/>
              </a:solidFill>
              <a:round/>
            </a:ln>
            <a:effectLst/>
          </c:spPr>
          <c:marker>
            <c:symbol val="none"/>
          </c:marker>
          <c:dLbls>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'6 AprenSyC'!$C$15:$C$24</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'6 AprenSyC'!$F$15:$F$24</c:f>
              <c:numCache>
                <c:formatCode>0%</c:formatCode>
                <c:ptCount val="10"/>
                <c:pt idx="0">
                  <c:v>0</c:v>
                </c:pt>
                <c:pt idx="1">
                  <c:v>0</c:v>
                </c:pt>
                <c:pt idx="2">
                  <c:v>0</c:v>
                </c:pt>
                <c:pt idx="3">
                  <c:v>0</c:v>
                </c:pt>
                <c:pt idx="4">
                  <c:v>0.5</c:v>
                </c:pt>
                <c:pt idx="5">
                  <c:v>0.67</c:v>
                </c:pt>
                <c:pt idx="6">
                  <c:v>0.64</c:v>
                </c:pt>
                <c:pt idx="7">
                  <c:v>0.6</c:v>
                </c:pt>
                <c:pt idx="8">
                  <c:v>0.56000000000000005</c:v>
                </c:pt>
                <c:pt idx="9">
                  <c:v>1</c:v>
                </c:pt>
              </c:numCache>
            </c:numRef>
          </c:val>
          <c:smooth val="0"/>
          <c:extLst>
            <c:ext xmlns:c16="http://schemas.microsoft.com/office/drawing/2014/chart" uri="{C3380CC4-5D6E-409C-BE32-E72D297353CC}">
              <c16:uniqueId val="{00000000-D184-43D1-AAAE-1AE7F022B472}"/>
            </c:ext>
          </c:extLst>
        </c:ser>
        <c:ser>
          <c:idx val="1"/>
          <c:order val="1"/>
          <c:tx>
            <c:strRef>
              <c:f>'6 AprenSyC'!$G$13</c:f>
              <c:strCache>
                <c:ptCount val="1"/>
                <c:pt idx="0">
                  <c:v>Comprende perspectivas de distintos actores y grupos sociales.</c:v>
                </c:pt>
              </c:strCache>
            </c:strRef>
          </c:tx>
          <c:spPr>
            <a:ln w="28575" cap="rnd">
              <a:solidFill>
                <a:schemeClr val="accent4"/>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'6 AprenSyC'!$C$15:$C$24</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'6 AprenSyC'!$G$15:$G$24</c:f>
              <c:numCache>
                <c:formatCode>0%</c:formatCode>
                <c:ptCount val="10"/>
                <c:pt idx="0">
                  <c:v>0</c:v>
                </c:pt>
                <c:pt idx="1">
                  <c:v>0</c:v>
                </c:pt>
                <c:pt idx="2">
                  <c:v>0</c:v>
                </c:pt>
                <c:pt idx="3">
                  <c:v>0</c:v>
                </c:pt>
                <c:pt idx="4">
                  <c:v>0.56000000000000005</c:v>
                </c:pt>
                <c:pt idx="5">
                  <c:v>0.82</c:v>
                </c:pt>
                <c:pt idx="6">
                  <c:v>0.71</c:v>
                </c:pt>
                <c:pt idx="7">
                  <c:v>0</c:v>
                </c:pt>
                <c:pt idx="8">
                  <c:v>0.75</c:v>
                </c:pt>
                <c:pt idx="9">
                  <c:v>0.83</c:v>
                </c:pt>
              </c:numCache>
            </c:numRef>
          </c:val>
          <c:smooth val="0"/>
          <c:extLst>
            <c:ext xmlns:c16="http://schemas.microsoft.com/office/drawing/2014/chart" uri="{C3380CC4-5D6E-409C-BE32-E72D297353CC}">
              <c16:uniqueId val="{00000001-D184-43D1-AAAE-1AE7F022B472}"/>
            </c:ext>
          </c:extLst>
        </c:ser>
        <c:dLbls>
          <c:showLegendKey val="0"/>
          <c:showVal val="1"/>
          <c:showCatName val="0"/>
          <c:showSerName val="0"/>
          <c:showPercent val="0"/>
          <c:showBubbleSize val="0"/>
        </c:dLbls>
        <c:smooth val="0"/>
        <c:axId val="-2012185232"/>
        <c:axId val="-2012195024"/>
      </c:lineChart>
      <c:catAx>
        <c:axId val="-20121852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endParaRPr lang="es-CO"/>
          </a:p>
        </c:txPr>
        <c:crossAx val="-2012195024"/>
        <c:crosses val="autoZero"/>
        <c:auto val="1"/>
        <c:lblAlgn val="ctr"/>
        <c:lblOffset val="100"/>
        <c:noMultiLvlLbl val="0"/>
      </c:catAx>
      <c:valAx>
        <c:axId val="-2012195024"/>
        <c:scaling>
          <c:orientation val="minMax"/>
          <c:max val="0.8"/>
          <c:min val="0.2"/>
        </c:scaling>
        <c:delete val="0"/>
        <c:axPos val="l"/>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endParaRPr lang="es-CO"/>
          </a:p>
        </c:txPr>
        <c:crossAx val="-2012185232"/>
        <c:crosses val="autoZero"/>
        <c:crossBetween val="between"/>
        <c:majorUnit val="0.1"/>
      </c:valAx>
      <c:spPr>
        <a:noFill/>
        <a:ln>
          <a:noFill/>
        </a:ln>
        <a:effectLst/>
      </c:spPr>
    </c:plotArea>
    <c:legend>
      <c:legendPos val="b"/>
      <c:layout>
        <c:manualLayout>
          <c:xMode val="edge"/>
          <c:yMode val="edge"/>
          <c:x val="7.5608434701634905E-2"/>
          <c:y val="0.81288300968643867"/>
          <c:w val="0.8103415254997175"/>
          <c:h val="0.1355800849084671"/>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legend>
    <c:plotVisOnly val="1"/>
    <c:dispBlanksAs val="gap"/>
    <c:showDLblsOverMax val="0"/>
  </c:chart>
  <c:spPr>
    <a:solidFill>
      <a:schemeClr val="bg1"/>
    </a:solidFill>
    <a:ln w="9525" cap="flat" cmpd="sng" algn="ctr">
      <a:solidFill>
        <a:schemeClr val="tx1"/>
      </a:solidFill>
      <a:round/>
    </a:ln>
    <a:effectLst/>
  </c:spPr>
  <c:txPr>
    <a:bodyPr/>
    <a:lstStyle/>
    <a:p>
      <a:pPr>
        <a:defRPr sz="1400" b="1">
          <a:solidFill>
            <a:sysClr val="windowText" lastClr="000000"/>
          </a:solidFill>
        </a:defRPr>
      </a:pPr>
      <a:endParaRPr lang="es-CO"/>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Promedio por Prueba y Sector Instituciones Oficiales </a:t>
            </a:r>
          </a:p>
          <a:p>
            <a:pPr>
              <a:defRPr/>
            </a:pPr>
            <a:r>
              <a:rPr lang="es-CO"/>
              <a:t>2016-2025</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radarChart>
        <c:radarStyle val="marker"/>
        <c:varyColors val="0"/>
        <c:ser>
          <c:idx val="0"/>
          <c:order val="0"/>
          <c:tx>
            <c:strRef>
              <c:f>PGLOBAL!$E$398</c:f>
              <c:strCache>
                <c:ptCount val="1"/>
                <c:pt idx="0">
                  <c:v>2016</c:v>
                </c:pt>
              </c:strCache>
            </c:strRef>
          </c:tx>
          <c:spPr>
            <a:ln w="28575" cap="rnd">
              <a:solidFill>
                <a:schemeClr val="accent1"/>
              </a:solidFill>
              <a:round/>
            </a:ln>
            <a:effectLst/>
          </c:spPr>
          <c:marker>
            <c:symbol val="none"/>
          </c:marker>
          <c:val>
            <c:numRef>
              <c:f>PGLOBAL!$E$399:$E$403</c:f>
              <c:numCache>
                <c:formatCode>General</c:formatCode>
                <c:ptCount val="5"/>
                <c:pt idx="0">
                  <c:v>53</c:v>
                </c:pt>
                <c:pt idx="1">
                  <c:v>51</c:v>
                </c:pt>
                <c:pt idx="2">
                  <c:v>51</c:v>
                </c:pt>
                <c:pt idx="3">
                  <c:v>53</c:v>
                </c:pt>
                <c:pt idx="4">
                  <c:v>52</c:v>
                </c:pt>
              </c:numCache>
            </c:numRef>
          </c:val>
          <c:extLst>
            <c:ext xmlns:c15="http://schemas.microsoft.com/office/drawing/2012/chart" uri="{02D57815-91ED-43cb-92C2-25804820EDAC}">
              <c15:filteredCategoryTitle>
                <c15:cat>
                  <c:strRef>
                    <c:extLst>
                      <c:ext uri="{02D57815-91ED-43cb-92C2-25804820EDAC}">
                        <c15:formulaRef>
                          <c15:sqref>PGLOBAL!$D$399:$D$403</c15:sqref>
                        </c15:formulaRef>
                      </c:ext>
                    </c:extLst>
                    <c:strCache>
                      <c:ptCount val="5"/>
                      <c:pt idx="0">
                        <c:v>LECTURA CRÍTICA</c:v>
                      </c:pt>
                      <c:pt idx="1">
                        <c:v>MATEMÁTICAS</c:v>
                      </c:pt>
                      <c:pt idx="2">
                        <c:v>SOCIALES Y CIUDADANAS</c:v>
                      </c:pt>
                      <c:pt idx="3">
                        <c:v>CIENCIAS NATURALES</c:v>
                      </c:pt>
                      <c:pt idx="4">
                        <c:v>INGLES</c:v>
                      </c:pt>
                    </c:strCache>
                  </c:strRef>
                </c15:cat>
              </c15:filteredCategoryTitle>
            </c:ext>
            <c:ext xmlns:c16="http://schemas.microsoft.com/office/drawing/2014/chart" uri="{C3380CC4-5D6E-409C-BE32-E72D297353CC}">
              <c16:uniqueId val="{00000000-8781-49DC-AFDA-ADB706527C94}"/>
            </c:ext>
          </c:extLst>
        </c:ser>
        <c:ser>
          <c:idx val="1"/>
          <c:order val="1"/>
          <c:tx>
            <c:strRef>
              <c:f>PGLOBAL!$F$398</c:f>
              <c:strCache>
                <c:ptCount val="1"/>
                <c:pt idx="0">
                  <c:v>2017</c:v>
                </c:pt>
              </c:strCache>
            </c:strRef>
          </c:tx>
          <c:spPr>
            <a:ln w="28575" cap="rnd">
              <a:solidFill>
                <a:schemeClr val="accent2"/>
              </a:solidFill>
              <a:round/>
            </a:ln>
            <a:effectLst/>
          </c:spPr>
          <c:marker>
            <c:symbol val="none"/>
          </c:marker>
          <c:val>
            <c:numRef>
              <c:f>PGLOBAL!$F$399:$F$403</c:f>
              <c:numCache>
                <c:formatCode>General</c:formatCode>
                <c:ptCount val="5"/>
                <c:pt idx="0">
                  <c:v>54</c:v>
                </c:pt>
                <c:pt idx="1">
                  <c:v>51</c:v>
                </c:pt>
                <c:pt idx="2">
                  <c:v>50</c:v>
                </c:pt>
                <c:pt idx="3">
                  <c:v>52</c:v>
                </c:pt>
                <c:pt idx="4">
                  <c:v>49</c:v>
                </c:pt>
              </c:numCache>
            </c:numRef>
          </c:val>
          <c:extLst>
            <c:ext xmlns:c15="http://schemas.microsoft.com/office/drawing/2012/chart" uri="{02D57815-91ED-43cb-92C2-25804820EDAC}">
              <c15:filteredCategoryTitle>
                <c15:cat>
                  <c:strRef>
                    <c:extLst>
                      <c:ext uri="{02D57815-91ED-43cb-92C2-25804820EDAC}">
                        <c15:formulaRef>
                          <c15:sqref>PGLOBAL!$D$399:$D$403</c15:sqref>
                        </c15:formulaRef>
                      </c:ext>
                    </c:extLst>
                    <c:strCache>
                      <c:ptCount val="5"/>
                      <c:pt idx="0">
                        <c:v>LECTURA CRÍTICA</c:v>
                      </c:pt>
                      <c:pt idx="1">
                        <c:v>MATEMÁTICAS</c:v>
                      </c:pt>
                      <c:pt idx="2">
                        <c:v>SOCIALES Y CIUDADANAS</c:v>
                      </c:pt>
                      <c:pt idx="3">
                        <c:v>CIENCIAS NATURALES</c:v>
                      </c:pt>
                      <c:pt idx="4">
                        <c:v>INGLES</c:v>
                      </c:pt>
                    </c:strCache>
                  </c:strRef>
                </c15:cat>
              </c15:filteredCategoryTitle>
            </c:ext>
            <c:ext xmlns:c16="http://schemas.microsoft.com/office/drawing/2014/chart" uri="{C3380CC4-5D6E-409C-BE32-E72D297353CC}">
              <c16:uniqueId val="{00000001-8781-49DC-AFDA-ADB706527C94}"/>
            </c:ext>
          </c:extLst>
        </c:ser>
        <c:ser>
          <c:idx val="2"/>
          <c:order val="2"/>
          <c:tx>
            <c:strRef>
              <c:f>PGLOBAL!$G$398</c:f>
              <c:strCache>
                <c:ptCount val="1"/>
                <c:pt idx="0">
                  <c:v>2018</c:v>
                </c:pt>
              </c:strCache>
            </c:strRef>
          </c:tx>
          <c:spPr>
            <a:ln w="28575" cap="rnd">
              <a:solidFill>
                <a:schemeClr val="accent3"/>
              </a:solidFill>
              <a:round/>
            </a:ln>
            <a:effectLst/>
          </c:spPr>
          <c:marker>
            <c:symbol val="none"/>
          </c:marker>
          <c:val>
            <c:numRef>
              <c:f>PGLOBAL!$G$399:$G$403</c:f>
              <c:numCache>
                <c:formatCode>General</c:formatCode>
                <c:ptCount val="5"/>
                <c:pt idx="0">
                  <c:v>53</c:v>
                </c:pt>
                <c:pt idx="1">
                  <c:v>51</c:v>
                </c:pt>
                <c:pt idx="2">
                  <c:v>48</c:v>
                </c:pt>
                <c:pt idx="3">
                  <c:v>50</c:v>
                </c:pt>
                <c:pt idx="4">
                  <c:v>50</c:v>
                </c:pt>
              </c:numCache>
            </c:numRef>
          </c:val>
          <c:extLst>
            <c:ext xmlns:c15="http://schemas.microsoft.com/office/drawing/2012/chart" uri="{02D57815-91ED-43cb-92C2-25804820EDAC}">
              <c15:filteredCategoryTitle>
                <c15:cat>
                  <c:strRef>
                    <c:extLst>
                      <c:ext uri="{02D57815-91ED-43cb-92C2-25804820EDAC}">
                        <c15:formulaRef>
                          <c15:sqref>PGLOBAL!$D$399:$D$403</c15:sqref>
                        </c15:formulaRef>
                      </c:ext>
                    </c:extLst>
                    <c:strCache>
                      <c:ptCount val="5"/>
                      <c:pt idx="0">
                        <c:v>LECTURA CRÍTICA</c:v>
                      </c:pt>
                      <c:pt idx="1">
                        <c:v>MATEMÁTICAS</c:v>
                      </c:pt>
                      <c:pt idx="2">
                        <c:v>SOCIALES Y CIUDADANAS</c:v>
                      </c:pt>
                      <c:pt idx="3">
                        <c:v>CIENCIAS NATURALES</c:v>
                      </c:pt>
                      <c:pt idx="4">
                        <c:v>INGLES</c:v>
                      </c:pt>
                    </c:strCache>
                  </c:strRef>
                </c15:cat>
              </c15:filteredCategoryTitle>
            </c:ext>
            <c:ext xmlns:c16="http://schemas.microsoft.com/office/drawing/2014/chart" uri="{C3380CC4-5D6E-409C-BE32-E72D297353CC}">
              <c16:uniqueId val="{00000002-8781-49DC-AFDA-ADB706527C94}"/>
            </c:ext>
          </c:extLst>
        </c:ser>
        <c:ser>
          <c:idx val="3"/>
          <c:order val="3"/>
          <c:tx>
            <c:strRef>
              <c:f>PGLOBAL!$H$398</c:f>
              <c:strCache>
                <c:ptCount val="1"/>
                <c:pt idx="0">
                  <c:v>2019</c:v>
                </c:pt>
              </c:strCache>
            </c:strRef>
          </c:tx>
          <c:spPr>
            <a:ln w="28575" cap="rnd">
              <a:solidFill>
                <a:schemeClr val="accent4"/>
              </a:solidFill>
              <a:round/>
            </a:ln>
            <a:effectLst/>
          </c:spPr>
          <c:marker>
            <c:symbol val="none"/>
          </c:marker>
          <c:val>
            <c:numRef>
              <c:f>PGLOBAL!$H$399:$H$403</c:f>
              <c:numCache>
                <c:formatCode>General</c:formatCode>
                <c:ptCount val="5"/>
                <c:pt idx="0">
                  <c:v>53</c:v>
                </c:pt>
                <c:pt idx="1">
                  <c:v>51</c:v>
                </c:pt>
                <c:pt idx="2">
                  <c:v>47</c:v>
                </c:pt>
                <c:pt idx="3">
                  <c:v>49</c:v>
                </c:pt>
                <c:pt idx="4">
                  <c:v>49</c:v>
                </c:pt>
              </c:numCache>
            </c:numRef>
          </c:val>
          <c:extLst>
            <c:ext xmlns:c15="http://schemas.microsoft.com/office/drawing/2012/chart" uri="{02D57815-91ED-43cb-92C2-25804820EDAC}">
              <c15:filteredCategoryTitle>
                <c15:cat>
                  <c:strRef>
                    <c:extLst>
                      <c:ext uri="{02D57815-91ED-43cb-92C2-25804820EDAC}">
                        <c15:formulaRef>
                          <c15:sqref>PGLOBAL!$D$399:$D$403</c15:sqref>
                        </c15:formulaRef>
                      </c:ext>
                    </c:extLst>
                    <c:strCache>
                      <c:ptCount val="5"/>
                      <c:pt idx="0">
                        <c:v>LECTURA CRÍTICA</c:v>
                      </c:pt>
                      <c:pt idx="1">
                        <c:v>MATEMÁTICAS</c:v>
                      </c:pt>
                      <c:pt idx="2">
                        <c:v>SOCIALES Y CIUDADANAS</c:v>
                      </c:pt>
                      <c:pt idx="3">
                        <c:v>CIENCIAS NATURALES</c:v>
                      </c:pt>
                      <c:pt idx="4">
                        <c:v>INGLES</c:v>
                      </c:pt>
                    </c:strCache>
                  </c:strRef>
                </c15:cat>
              </c15:filteredCategoryTitle>
            </c:ext>
            <c:ext xmlns:c16="http://schemas.microsoft.com/office/drawing/2014/chart" uri="{C3380CC4-5D6E-409C-BE32-E72D297353CC}">
              <c16:uniqueId val="{00000003-8781-49DC-AFDA-ADB706527C94}"/>
            </c:ext>
          </c:extLst>
        </c:ser>
        <c:ser>
          <c:idx val="4"/>
          <c:order val="4"/>
          <c:tx>
            <c:strRef>
              <c:f>PGLOBAL!$I$398</c:f>
              <c:strCache>
                <c:ptCount val="1"/>
                <c:pt idx="0">
                  <c:v>2020</c:v>
                </c:pt>
              </c:strCache>
            </c:strRef>
          </c:tx>
          <c:spPr>
            <a:ln w="28575" cap="rnd">
              <a:solidFill>
                <a:schemeClr val="accent5"/>
              </a:solidFill>
              <a:round/>
            </a:ln>
            <a:effectLst/>
          </c:spPr>
          <c:marker>
            <c:symbol val="none"/>
          </c:marker>
          <c:val>
            <c:numRef>
              <c:f>PGLOBAL!$I$399:$I$403</c:f>
              <c:numCache>
                <c:formatCode>General</c:formatCode>
                <c:ptCount val="5"/>
                <c:pt idx="0">
                  <c:v>53</c:v>
                </c:pt>
                <c:pt idx="1">
                  <c:v>52</c:v>
                </c:pt>
                <c:pt idx="2">
                  <c:v>49</c:v>
                </c:pt>
                <c:pt idx="3">
                  <c:v>49</c:v>
                </c:pt>
                <c:pt idx="4">
                  <c:v>46</c:v>
                </c:pt>
              </c:numCache>
            </c:numRef>
          </c:val>
          <c:extLst>
            <c:ext xmlns:c15="http://schemas.microsoft.com/office/drawing/2012/chart" uri="{02D57815-91ED-43cb-92C2-25804820EDAC}">
              <c15:filteredCategoryTitle>
                <c15:cat>
                  <c:strRef>
                    <c:extLst>
                      <c:ext uri="{02D57815-91ED-43cb-92C2-25804820EDAC}">
                        <c15:formulaRef>
                          <c15:sqref>PGLOBAL!$D$399:$D$403</c15:sqref>
                        </c15:formulaRef>
                      </c:ext>
                    </c:extLst>
                    <c:strCache>
                      <c:ptCount val="5"/>
                      <c:pt idx="0">
                        <c:v>LECTURA CRÍTICA</c:v>
                      </c:pt>
                      <c:pt idx="1">
                        <c:v>MATEMÁTICAS</c:v>
                      </c:pt>
                      <c:pt idx="2">
                        <c:v>SOCIALES Y CIUDADANAS</c:v>
                      </c:pt>
                      <c:pt idx="3">
                        <c:v>CIENCIAS NATURALES</c:v>
                      </c:pt>
                      <c:pt idx="4">
                        <c:v>INGLES</c:v>
                      </c:pt>
                    </c:strCache>
                  </c:strRef>
                </c15:cat>
              </c15:filteredCategoryTitle>
            </c:ext>
            <c:ext xmlns:c16="http://schemas.microsoft.com/office/drawing/2014/chart" uri="{C3380CC4-5D6E-409C-BE32-E72D297353CC}">
              <c16:uniqueId val="{00000004-8781-49DC-AFDA-ADB706527C94}"/>
            </c:ext>
          </c:extLst>
        </c:ser>
        <c:ser>
          <c:idx val="5"/>
          <c:order val="5"/>
          <c:tx>
            <c:strRef>
              <c:f>PGLOBAL!$J$398</c:f>
              <c:strCache>
                <c:ptCount val="1"/>
                <c:pt idx="0">
                  <c:v>2021</c:v>
                </c:pt>
              </c:strCache>
            </c:strRef>
          </c:tx>
          <c:spPr>
            <a:ln w="28575" cap="rnd">
              <a:solidFill>
                <a:schemeClr val="accent6"/>
              </a:solidFill>
              <a:round/>
            </a:ln>
            <a:effectLst/>
          </c:spPr>
          <c:marker>
            <c:symbol val="none"/>
          </c:marker>
          <c:val>
            <c:numRef>
              <c:f>PGLOBAL!$J$399:$J$403</c:f>
              <c:numCache>
                <c:formatCode>General</c:formatCode>
                <c:ptCount val="5"/>
                <c:pt idx="0">
                  <c:v>53</c:v>
                </c:pt>
                <c:pt idx="1">
                  <c:v>50</c:v>
                </c:pt>
                <c:pt idx="2">
                  <c:v>47</c:v>
                </c:pt>
                <c:pt idx="3">
                  <c:v>48</c:v>
                </c:pt>
                <c:pt idx="4">
                  <c:v>49</c:v>
                </c:pt>
              </c:numCache>
            </c:numRef>
          </c:val>
          <c:extLst>
            <c:ext xmlns:c15="http://schemas.microsoft.com/office/drawing/2012/chart" uri="{02D57815-91ED-43cb-92C2-25804820EDAC}">
              <c15:filteredCategoryTitle>
                <c15:cat>
                  <c:strRef>
                    <c:extLst>
                      <c:ext uri="{02D57815-91ED-43cb-92C2-25804820EDAC}">
                        <c15:formulaRef>
                          <c15:sqref>PGLOBAL!$D$399:$D$403</c15:sqref>
                        </c15:formulaRef>
                      </c:ext>
                    </c:extLst>
                    <c:strCache>
                      <c:ptCount val="5"/>
                      <c:pt idx="0">
                        <c:v>LECTURA CRÍTICA</c:v>
                      </c:pt>
                      <c:pt idx="1">
                        <c:v>MATEMÁTICAS</c:v>
                      </c:pt>
                      <c:pt idx="2">
                        <c:v>SOCIALES Y CIUDADANAS</c:v>
                      </c:pt>
                      <c:pt idx="3">
                        <c:v>CIENCIAS NATURALES</c:v>
                      </c:pt>
                      <c:pt idx="4">
                        <c:v>INGLES</c:v>
                      </c:pt>
                    </c:strCache>
                  </c:strRef>
                </c15:cat>
              </c15:filteredCategoryTitle>
            </c:ext>
            <c:ext xmlns:c16="http://schemas.microsoft.com/office/drawing/2014/chart" uri="{C3380CC4-5D6E-409C-BE32-E72D297353CC}">
              <c16:uniqueId val="{00000002-E9DF-43EB-A9B1-2DC09DC70C50}"/>
            </c:ext>
          </c:extLst>
        </c:ser>
        <c:ser>
          <c:idx val="6"/>
          <c:order val="6"/>
          <c:tx>
            <c:strRef>
              <c:f>PGLOBAL!$K$398</c:f>
              <c:strCache>
                <c:ptCount val="1"/>
                <c:pt idx="0">
                  <c:v>2022</c:v>
                </c:pt>
              </c:strCache>
            </c:strRef>
          </c:tx>
          <c:spPr>
            <a:ln w="28575" cap="rnd">
              <a:solidFill>
                <a:schemeClr val="accent1">
                  <a:lumMod val="60000"/>
                </a:schemeClr>
              </a:solidFill>
              <a:round/>
            </a:ln>
            <a:effectLst/>
          </c:spPr>
          <c:marker>
            <c:symbol val="none"/>
          </c:marker>
          <c:val>
            <c:numRef>
              <c:f>PGLOBAL!$K$399:$K$403</c:f>
              <c:numCache>
                <c:formatCode>General</c:formatCode>
                <c:ptCount val="5"/>
                <c:pt idx="0">
                  <c:v>53</c:v>
                </c:pt>
                <c:pt idx="1">
                  <c:v>51</c:v>
                </c:pt>
                <c:pt idx="2">
                  <c:v>48</c:v>
                </c:pt>
                <c:pt idx="3">
                  <c:v>49</c:v>
                </c:pt>
                <c:pt idx="4">
                  <c:v>51</c:v>
                </c:pt>
              </c:numCache>
            </c:numRef>
          </c:val>
          <c:extLst>
            <c:ext xmlns:c15="http://schemas.microsoft.com/office/drawing/2012/chart" uri="{02D57815-91ED-43cb-92C2-25804820EDAC}">
              <c15:filteredCategoryTitle>
                <c15:cat>
                  <c:strRef>
                    <c:extLst>
                      <c:ext uri="{02D57815-91ED-43cb-92C2-25804820EDAC}">
                        <c15:formulaRef>
                          <c15:sqref>PGLOBAL!$D$399:$D$403</c15:sqref>
                        </c15:formulaRef>
                      </c:ext>
                    </c:extLst>
                    <c:strCache>
                      <c:ptCount val="5"/>
                      <c:pt idx="0">
                        <c:v>LECTURA CRÍTICA</c:v>
                      </c:pt>
                      <c:pt idx="1">
                        <c:v>MATEMÁTICAS</c:v>
                      </c:pt>
                      <c:pt idx="2">
                        <c:v>SOCIALES Y CIUDADANAS</c:v>
                      </c:pt>
                      <c:pt idx="3">
                        <c:v>CIENCIAS NATURALES</c:v>
                      </c:pt>
                      <c:pt idx="4">
                        <c:v>INGLES</c:v>
                      </c:pt>
                    </c:strCache>
                  </c:strRef>
                </c15:cat>
              </c15:filteredCategoryTitle>
            </c:ext>
            <c:ext xmlns:c16="http://schemas.microsoft.com/office/drawing/2014/chart" uri="{C3380CC4-5D6E-409C-BE32-E72D297353CC}">
              <c16:uniqueId val="{00000003-E9DF-43EB-A9B1-2DC09DC70C50}"/>
            </c:ext>
          </c:extLst>
        </c:ser>
        <c:ser>
          <c:idx val="7"/>
          <c:order val="7"/>
          <c:tx>
            <c:strRef>
              <c:f>PGLOBAL!$L$398</c:f>
              <c:strCache>
                <c:ptCount val="1"/>
                <c:pt idx="0">
                  <c:v>2023</c:v>
                </c:pt>
              </c:strCache>
            </c:strRef>
          </c:tx>
          <c:spPr>
            <a:ln w="28575" cap="rnd">
              <a:solidFill>
                <a:schemeClr val="accent2">
                  <a:lumMod val="60000"/>
                </a:schemeClr>
              </a:solidFill>
              <a:round/>
            </a:ln>
            <a:effectLst/>
          </c:spPr>
          <c:marker>
            <c:symbol val="none"/>
          </c:marker>
          <c:val>
            <c:numRef>
              <c:f>PGLOBAL!$L$399:$L$403</c:f>
              <c:numCache>
                <c:formatCode>General</c:formatCode>
                <c:ptCount val="5"/>
                <c:pt idx="0">
                  <c:v>54</c:v>
                </c:pt>
                <c:pt idx="1">
                  <c:v>52</c:v>
                </c:pt>
                <c:pt idx="2">
                  <c:v>49</c:v>
                </c:pt>
                <c:pt idx="3">
                  <c:v>50</c:v>
                </c:pt>
                <c:pt idx="4">
                  <c:v>52</c:v>
                </c:pt>
              </c:numCache>
            </c:numRef>
          </c:val>
          <c:extLst>
            <c:ext xmlns:c15="http://schemas.microsoft.com/office/drawing/2012/chart" uri="{02D57815-91ED-43cb-92C2-25804820EDAC}">
              <c15:filteredCategoryTitle>
                <c15:cat>
                  <c:strRef>
                    <c:extLst>
                      <c:ext uri="{02D57815-91ED-43cb-92C2-25804820EDAC}">
                        <c15:formulaRef>
                          <c15:sqref>PGLOBAL!$D$399:$D$403</c15:sqref>
                        </c15:formulaRef>
                      </c:ext>
                    </c:extLst>
                    <c:strCache>
                      <c:ptCount val="5"/>
                      <c:pt idx="0">
                        <c:v>LECTURA CRÍTICA</c:v>
                      </c:pt>
                      <c:pt idx="1">
                        <c:v>MATEMÁTICAS</c:v>
                      </c:pt>
                      <c:pt idx="2">
                        <c:v>SOCIALES Y CIUDADANAS</c:v>
                      </c:pt>
                      <c:pt idx="3">
                        <c:v>CIENCIAS NATURALES</c:v>
                      </c:pt>
                      <c:pt idx="4">
                        <c:v>INGLES</c:v>
                      </c:pt>
                    </c:strCache>
                  </c:strRef>
                </c15:cat>
              </c15:filteredCategoryTitle>
            </c:ext>
            <c:ext xmlns:c16="http://schemas.microsoft.com/office/drawing/2014/chart" uri="{C3380CC4-5D6E-409C-BE32-E72D297353CC}">
              <c16:uniqueId val="{00000004-E9DF-43EB-A9B1-2DC09DC70C50}"/>
            </c:ext>
          </c:extLst>
        </c:ser>
        <c:ser>
          <c:idx val="8"/>
          <c:order val="8"/>
          <c:tx>
            <c:strRef>
              <c:f>PGLOBAL!$M$398</c:f>
              <c:strCache>
                <c:ptCount val="1"/>
                <c:pt idx="0">
                  <c:v>2024</c:v>
                </c:pt>
              </c:strCache>
            </c:strRef>
          </c:tx>
          <c:spPr>
            <a:ln w="28575" cap="rnd">
              <a:solidFill>
                <a:schemeClr val="accent3">
                  <a:lumMod val="60000"/>
                </a:schemeClr>
              </a:solidFill>
              <a:round/>
            </a:ln>
            <a:effectLst/>
          </c:spPr>
          <c:marker>
            <c:symbol val="none"/>
          </c:marker>
          <c:val>
            <c:numRef>
              <c:f>PGLOBAL!$M$399:$M$403</c:f>
              <c:numCache>
                <c:formatCode>General</c:formatCode>
                <c:ptCount val="5"/>
                <c:pt idx="0">
                  <c:v>54</c:v>
                </c:pt>
                <c:pt idx="1">
                  <c:v>52</c:v>
                </c:pt>
                <c:pt idx="2">
                  <c:v>49</c:v>
                </c:pt>
                <c:pt idx="3">
                  <c:v>50</c:v>
                </c:pt>
                <c:pt idx="4">
                  <c:v>52</c:v>
                </c:pt>
              </c:numCache>
            </c:numRef>
          </c:val>
          <c:extLst>
            <c:ext xmlns:c15="http://schemas.microsoft.com/office/drawing/2012/chart" uri="{02D57815-91ED-43cb-92C2-25804820EDAC}">
              <c15:filteredCategoryTitle>
                <c15:cat>
                  <c:strRef>
                    <c:extLst>
                      <c:ext uri="{02D57815-91ED-43cb-92C2-25804820EDAC}">
                        <c15:formulaRef>
                          <c15:sqref>PGLOBAL!$D$399:$D$403</c15:sqref>
                        </c15:formulaRef>
                      </c:ext>
                    </c:extLst>
                    <c:strCache>
                      <c:ptCount val="5"/>
                      <c:pt idx="0">
                        <c:v>LECTURA CRÍTICA</c:v>
                      </c:pt>
                      <c:pt idx="1">
                        <c:v>MATEMÁTICAS</c:v>
                      </c:pt>
                      <c:pt idx="2">
                        <c:v>SOCIALES Y CIUDADANAS</c:v>
                      </c:pt>
                      <c:pt idx="3">
                        <c:v>CIENCIAS NATURALES</c:v>
                      </c:pt>
                      <c:pt idx="4">
                        <c:v>INGLES</c:v>
                      </c:pt>
                    </c:strCache>
                  </c:strRef>
                </c15:cat>
              </c15:filteredCategoryTitle>
            </c:ext>
            <c:ext xmlns:c16="http://schemas.microsoft.com/office/drawing/2014/chart" uri="{C3380CC4-5D6E-409C-BE32-E72D297353CC}">
              <c16:uniqueId val="{00000005-E9DF-43EB-A9B1-2DC09DC70C50}"/>
            </c:ext>
          </c:extLst>
        </c:ser>
        <c:ser>
          <c:idx val="9"/>
          <c:order val="9"/>
          <c:tx>
            <c:strRef>
              <c:f>PGLOBAL!$N$398</c:f>
              <c:strCache>
                <c:ptCount val="1"/>
                <c:pt idx="0">
                  <c:v>2025</c:v>
                </c:pt>
              </c:strCache>
            </c:strRef>
          </c:tx>
          <c:spPr>
            <a:ln w="28575" cap="rnd">
              <a:solidFill>
                <a:schemeClr val="accent4">
                  <a:lumMod val="60000"/>
                </a:schemeClr>
              </a:solidFill>
              <a:round/>
            </a:ln>
            <a:effectLst/>
          </c:spPr>
          <c:marker>
            <c:symbol val="none"/>
          </c:marker>
          <c:val>
            <c:numRef>
              <c:f>PGLOBAL!$N$399:$N$403</c:f>
              <c:numCache>
                <c:formatCode>General</c:formatCode>
                <c:ptCount val="5"/>
                <c:pt idx="0">
                  <c:v>54</c:v>
                </c:pt>
                <c:pt idx="1">
                  <c:v>52</c:v>
                </c:pt>
                <c:pt idx="2">
                  <c:v>48</c:v>
                </c:pt>
                <c:pt idx="3">
                  <c:v>51</c:v>
                </c:pt>
                <c:pt idx="4">
                  <c:v>52</c:v>
                </c:pt>
              </c:numCache>
            </c:numRef>
          </c:val>
          <c:extLst>
            <c:ext xmlns:c15="http://schemas.microsoft.com/office/drawing/2012/chart" uri="{02D57815-91ED-43cb-92C2-25804820EDAC}">
              <c15:filteredCategoryTitle>
                <c15:cat>
                  <c:strRef>
                    <c:extLst>
                      <c:ext uri="{02D57815-91ED-43cb-92C2-25804820EDAC}">
                        <c15:formulaRef>
                          <c15:sqref>PGLOBAL!$D$399:$D$403</c15:sqref>
                        </c15:formulaRef>
                      </c:ext>
                    </c:extLst>
                    <c:strCache>
                      <c:ptCount val="5"/>
                      <c:pt idx="0">
                        <c:v>LECTURA CRÍTICA</c:v>
                      </c:pt>
                      <c:pt idx="1">
                        <c:v>MATEMÁTICAS</c:v>
                      </c:pt>
                      <c:pt idx="2">
                        <c:v>SOCIALES Y CIUDADANAS</c:v>
                      </c:pt>
                      <c:pt idx="3">
                        <c:v>CIENCIAS NATURALES</c:v>
                      </c:pt>
                      <c:pt idx="4">
                        <c:v>INGLES</c:v>
                      </c:pt>
                    </c:strCache>
                  </c:strRef>
                </c15:cat>
              </c15:filteredCategoryTitle>
            </c:ext>
            <c:ext xmlns:c16="http://schemas.microsoft.com/office/drawing/2014/chart" uri="{C3380CC4-5D6E-409C-BE32-E72D297353CC}">
              <c16:uniqueId val="{00000000-FBD4-43AE-8C08-64A1F7C0F048}"/>
            </c:ext>
          </c:extLst>
        </c:ser>
        <c:dLbls>
          <c:showLegendKey val="0"/>
          <c:showVal val="0"/>
          <c:showCatName val="0"/>
          <c:showSerName val="0"/>
          <c:showPercent val="0"/>
          <c:showBubbleSize val="0"/>
        </c:dLbls>
        <c:axId val="256971231"/>
        <c:axId val="186988671"/>
      </c:radarChart>
      <c:catAx>
        <c:axId val="25697123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86988671"/>
        <c:crosses val="autoZero"/>
        <c:auto val="1"/>
        <c:lblAlgn val="ctr"/>
        <c:lblOffset val="100"/>
        <c:noMultiLvlLbl val="0"/>
      </c:catAx>
      <c:valAx>
        <c:axId val="186988671"/>
        <c:scaling>
          <c:orientation val="minMax"/>
          <c:max val="55"/>
          <c:min val="43"/>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56971231"/>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195560464589006"/>
          <c:y val="5.4675121629348566E-2"/>
          <c:w val="0.79682451085615236"/>
          <c:h val="0.61562709581368957"/>
        </c:manualLayout>
      </c:layout>
      <c:lineChart>
        <c:grouping val="standard"/>
        <c:varyColors val="0"/>
        <c:ser>
          <c:idx val="0"/>
          <c:order val="0"/>
          <c:tx>
            <c:strRef>
              <c:f>'7 AprenCNProVivos'!$C$14</c:f>
              <c:strCache>
                <c:ptCount val="1"/>
                <c:pt idx="0">
                  <c:v>Modelar fenómenos de la naturaleza basado en el análisis de variables, la relación entre dos o más conceptos del conocimiento científico y de la evidencia derivada de investigaciones científicas. - Procesos vivos</c:v>
                </c:pt>
              </c:strCache>
            </c:strRef>
          </c:tx>
          <c:spPr>
            <a:ln w="28575" cap="rnd">
              <a:solidFill>
                <a:schemeClr val="accent1"/>
              </a:solidFill>
              <a:round/>
            </a:ln>
            <a:effectLst/>
          </c:spPr>
          <c:marker>
            <c:symbol val="none"/>
          </c:marker>
          <c:dLbls>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'7 AprenCNProVivos'!$B$16:$B$25</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'7 AprenCNProVivos'!$C$16:$C$25</c:f>
              <c:numCache>
                <c:formatCode>0%</c:formatCode>
                <c:ptCount val="10"/>
                <c:pt idx="0">
                  <c:v>0.39</c:v>
                </c:pt>
                <c:pt idx="1">
                  <c:v>0.27</c:v>
                </c:pt>
                <c:pt idx="2">
                  <c:v>0.45</c:v>
                </c:pt>
                <c:pt idx="3">
                  <c:v>0.51</c:v>
                </c:pt>
                <c:pt idx="4">
                  <c:v>0.46</c:v>
                </c:pt>
                <c:pt idx="5">
                  <c:v>0.39</c:v>
                </c:pt>
                <c:pt idx="6">
                  <c:v>0.43</c:v>
                </c:pt>
                <c:pt idx="7">
                  <c:v>0.51</c:v>
                </c:pt>
                <c:pt idx="8">
                  <c:v>0.46</c:v>
                </c:pt>
                <c:pt idx="9">
                  <c:v>0.49</c:v>
                </c:pt>
              </c:numCache>
            </c:numRef>
          </c:val>
          <c:smooth val="0"/>
          <c:extLst xmlns:c15="http://schemas.microsoft.com/office/drawing/2012/chart">
            <c:ext xmlns:c16="http://schemas.microsoft.com/office/drawing/2014/chart" uri="{C3380CC4-5D6E-409C-BE32-E72D297353CC}">
              <c16:uniqueId val="{00000002-B0BA-4C3F-837D-EA94EC7A71CB}"/>
            </c:ext>
          </c:extLst>
        </c:ser>
        <c:ser>
          <c:idx val="1"/>
          <c:order val="1"/>
          <c:tx>
            <c:strRef>
              <c:f>'7 AprenCNProVivos'!$D$14</c:f>
              <c:strCache>
                <c:ptCount val="1"/>
                <c:pt idx="0">
                  <c:v>Explicar cómo ocurren algunos fenómenos de la naturaleza basado en observaciones, en patrones y  en conceptos propios del conocimiento científico. - Procesos vivos</c:v>
                </c:pt>
              </c:strCache>
            </c:strRef>
          </c:tx>
          <c:spPr>
            <a:ln w="28575" cap="rnd">
              <a:solidFill>
                <a:schemeClr val="accent2"/>
              </a:solidFill>
              <a:round/>
            </a:ln>
            <a:effectLst/>
          </c:spPr>
          <c:marker>
            <c:symbol val="none"/>
          </c:marker>
          <c:dLbls>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'7 AprenCNProVivos'!$B$16:$B$25</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'7 AprenCNProVivos'!$D$16:$D$25</c:f>
              <c:numCache>
                <c:formatCode>0%</c:formatCode>
                <c:ptCount val="10"/>
                <c:pt idx="0">
                  <c:v>0.37</c:v>
                </c:pt>
                <c:pt idx="1">
                  <c:v>0.45</c:v>
                </c:pt>
                <c:pt idx="2">
                  <c:v>0.35</c:v>
                </c:pt>
                <c:pt idx="3">
                  <c:v>0.49</c:v>
                </c:pt>
                <c:pt idx="4">
                  <c:v>0.67</c:v>
                </c:pt>
                <c:pt idx="5">
                  <c:v>0.49</c:v>
                </c:pt>
                <c:pt idx="6">
                  <c:v>0.55000000000000004</c:v>
                </c:pt>
                <c:pt idx="7">
                  <c:v>0.52</c:v>
                </c:pt>
                <c:pt idx="8">
                  <c:v>0.44</c:v>
                </c:pt>
                <c:pt idx="9">
                  <c:v>0.26</c:v>
                </c:pt>
              </c:numCache>
            </c:numRef>
          </c:val>
          <c:smooth val="0"/>
          <c:extLst>
            <c:ext xmlns:c16="http://schemas.microsoft.com/office/drawing/2014/chart" uri="{C3380CC4-5D6E-409C-BE32-E72D297353CC}">
              <c16:uniqueId val="{00000000-B0BA-4C3F-837D-EA94EC7A71CB}"/>
            </c:ext>
          </c:extLst>
        </c:ser>
        <c:dLbls>
          <c:showLegendKey val="0"/>
          <c:showVal val="1"/>
          <c:showCatName val="0"/>
          <c:showSerName val="0"/>
          <c:showPercent val="0"/>
          <c:showBubbleSize val="0"/>
        </c:dLbls>
        <c:smooth val="0"/>
        <c:axId val="-2011121104"/>
        <c:axId val="-2011130352"/>
        <c:extLst/>
      </c:lineChart>
      <c:catAx>
        <c:axId val="-20111211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crossAx val="-2011130352"/>
        <c:crosses val="autoZero"/>
        <c:auto val="1"/>
        <c:lblAlgn val="ctr"/>
        <c:lblOffset val="100"/>
        <c:noMultiLvlLbl val="0"/>
      </c:catAx>
      <c:valAx>
        <c:axId val="-2011130352"/>
        <c:scaling>
          <c:orientation val="minMax"/>
          <c:max val="1"/>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crossAx val="-2011121104"/>
        <c:crosses val="autoZero"/>
        <c:crossBetween val="between"/>
      </c:valAx>
      <c:spPr>
        <a:noFill/>
        <a:ln>
          <a:noFill/>
        </a:ln>
        <a:effectLst/>
      </c:spPr>
    </c:plotArea>
    <c:legend>
      <c:legendPos val="b"/>
      <c:layout>
        <c:manualLayout>
          <c:xMode val="edge"/>
          <c:yMode val="edge"/>
          <c:x val="7.0251166131395468E-2"/>
          <c:y val="0.75527361667434689"/>
          <c:w val="0.89444671813817667"/>
          <c:h val="0.20852830112950321"/>
        </c:manualLayout>
      </c:layout>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legend>
    <c:plotVisOnly val="1"/>
    <c:dispBlanksAs val="gap"/>
    <c:showDLblsOverMax val="0"/>
  </c:chart>
  <c:spPr>
    <a:solidFill>
      <a:schemeClr val="bg1"/>
    </a:solidFill>
    <a:ln w="9525" cap="flat" cmpd="sng" algn="ctr">
      <a:solidFill>
        <a:schemeClr val="tx1"/>
      </a:solidFill>
      <a:round/>
    </a:ln>
    <a:effectLst/>
  </c:spPr>
  <c:txPr>
    <a:bodyPr/>
    <a:lstStyle/>
    <a:p>
      <a:pPr>
        <a:defRPr sz="1400" b="1">
          <a:solidFill>
            <a:sysClr val="windowText" lastClr="000000"/>
          </a:solidFill>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4"/>
          <c:order val="0"/>
          <c:tx>
            <c:strRef>
              <c:f>'7 AprenCNProVivos'!$E$14</c:f>
              <c:strCache>
                <c:ptCount val="1"/>
                <c:pt idx="0">
                  <c:v>Comprender que a partir de la investigación científica se construyen explicaciones sobre el mundo natural. - Procesos vivos</c:v>
                </c:pt>
              </c:strCache>
            </c:strRef>
          </c:tx>
          <c:marker>
            <c:symbol val="none"/>
          </c:marker>
          <c:dLbls>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'7 AprenCNProVivos'!$B$16:$B$25</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'7 AprenCNProVivos'!$E$16:$E$25</c:f>
              <c:numCache>
                <c:formatCode>0%</c:formatCode>
                <c:ptCount val="10"/>
                <c:pt idx="0">
                  <c:v>0.7</c:v>
                </c:pt>
                <c:pt idx="1">
                  <c:v>0.56000000000000005</c:v>
                </c:pt>
                <c:pt idx="2">
                  <c:v>0.55000000000000004</c:v>
                </c:pt>
                <c:pt idx="3">
                  <c:v>0.46</c:v>
                </c:pt>
                <c:pt idx="4">
                  <c:v>0.46</c:v>
                </c:pt>
                <c:pt idx="5">
                  <c:v>0.47</c:v>
                </c:pt>
                <c:pt idx="6">
                  <c:v>0</c:v>
                </c:pt>
                <c:pt idx="7">
                  <c:v>0.34</c:v>
                </c:pt>
                <c:pt idx="8">
                  <c:v>0.42</c:v>
                </c:pt>
                <c:pt idx="9">
                  <c:v>0.56999999999999995</c:v>
                </c:pt>
              </c:numCache>
            </c:numRef>
          </c:val>
          <c:smooth val="0"/>
          <c:extLst>
            <c:ext xmlns:c16="http://schemas.microsoft.com/office/drawing/2014/chart" uri="{C3380CC4-5D6E-409C-BE32-E72D297353CC}">
              <c16:uniqueId val="{00000000-CA9D-40E9-93A4-D9E1955F4A0E}"/>
            </c:ext>
          </c:extLst>
        </c:ser>
        <c:ser>
          <c:idx val="5"/>
          <c:order val="1"/>
          <c:tx>
            <c:strRef>
              <c:f>'7 AprenCNProVivos'!$F$14</c:f>
              <c:strCache>
                <c:ptCount val="1"/>
                <c:pt idx="0">
                  <c:v>Derivar conclusiones para algunos fenómenos de la naturaleza basándose en conocimientos científicos y en la evidencia de su propia investigación y de la de otros. - Procesos vivos</c:v>
                </c:pt>
              </c:strCache>
            </c:strRef>
          </c:tx>
          <c:marker>
            <c:symbol val="none"/>
          </c:marker>
          <c:dLbls>
            <c:spPr>
              <a:noFill/>
              <a:ln>
                <a:noFill/>
              </a:ln>
              <a:effectLst/>
            </c:spPr>
            <c:dLblPos val="l"/>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'7 AprenCNProVivos'!$B$16:$B$25</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'7 AprenCNProVivos'!$F$16:$F$25</c:f>
              <c:numCache>
                <c:formatCode>0%</c:formatCode>
                <c:ptCount val="10"/>
                <c:pt idx="0">
                  <c:v>0.21</c:v>
                </c:pt>
                <c:pt idx="1">
                  <c:v>0.37</c:v>
                </c:pt>
                <c:pt idx="2">
                  <c:v>0.3</c:v>
                </c:pt>
                <c:pt idx="3">
                  <c:v>0.36</c:v>
                </c:pt>
                <c:pt idx="4">
                  <c:v>0.38</c:v>
                </c:pt>
                <c:pt idx="5">
                  <c:v>0.46</c:v>
                </c:pt>
                <c:pt idx="6">
                  <c:v>0.48</c:v>
                </c:pt>
                <c:pt idx="7">
                  <c:v>0.49</c:v>
                </c:pt>
                <c:pt idx="8">
                  <c:v>0.47</c:v>
                </c:pt>
                <c:pt idx="9">
                  <c:v>0.46</c:v>
                </c:pt>
              </c:numCache>
            </c:numRef>
          </c:val>
          <c:smooth val="0"/>
          <c:extLst>
            <c:ext xmlns:c16="http://schemas.microsoft.com/office/drawing/2014/chart" uri="{C3380CC4-5D6E-409C-BE32-E72D297353CC}">
              <c16:uniqueId val="{00000001-CA9D-40E9-93A4-D9E1955F4A0E}"/>
            </c:ext>
          </c:extLst>
        </c:ser>
        <c:dLbls>
          <c:dLblPos val="r"/>
          <c:showLegendKey val="0"/>
          <c:showVal val="1"/>
          <c:showCatName val="0"/>
          <c:showSerName val="0"/>
          <c:showPercent val="0"/>
          <c:showBubbleSize val="0"/>
        </c:dLbls>
        <c:smooth val="0"/>
        <c:axId val="-2011125456"/>
        <c:axId val="-2011126544"/>
        <c:extLst/>
      </c:lineChart>
      <c:catAx>
        <c:axId val="-20111254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vert="horz"/>
          <a:lstStyle/>
          <a:p>
            <a:pPr>
              <a:defRPr/>
            </a:pPr>
            <a:endParaRPr lang="es-CO"/>
          </a:p>
        </c:txPr>
        <c:crossAx val="-2011126544"/>
        <c:crosses val="autoZero"/>
        <c:auto val="1"/>
        <c:lblAlgn val="ctr"/>
        <c:lblOffset val="100"/>
        <c:noMultiLvlLbl val="0"/>
      </c:catAx>
      <c:valAx>
        <c:axId val="-2011126544"/>
        <c:scaling>
          <c:orientation val="minMax"/>
          <c:max val="1"/>
        </c:scaling>
        <c:delete val="0"/>
        <c:axPos val="l"/>
        <c:numFmt formatCode="0%" sourceLinked="1"/>
        <c:majorTickMark val="none"/>
        <c:minorTickMark val="none"/>
        <c:tickLblPos val="nextTo"/>
        <c:spPr>
          <a:noFill/>
          <a:ln>
            <a:noFill/>
          </a:ln>
          <a:effectLst/>
        </c:spPr>
        <c:txPr>
          <a:bodyPr rot="-60000000" vert="horz"/>
          <a:lstStyle/>
          <a:p>
            <a:pPr>
              <a:defRPr/>
            </a:pPr>
            <a:endParaRPr lang="es-CO"/>
          </a:p>
        </c:txPr>
        <c:crossAx val="-2011125456"/>
        <c:crosses val="autoZero"/>
        <c:crossBetween val="between"/>
      </c:valAx>
    </c:plotArea>
    <c:legend>
      <c:legendPos val="r"/>
      <c:overlay val="0"/>
      <c:spPr>
        <a:noFill/>
        <a:ln>
          <a:noFill/>
        </a:ln>
        <a:effectLst/>
      </c:spPr>
      <c:txPr>
        <a:bodyPr rot="0" vert="horz"/>
        <a:lstStyle/>
        <a:p>
          <a:pPr>
            <a:defRPr sz="1100"/>
          </a:pPr>
          <a:endParaRPr lang="es-CO"/>
        </a:p>
      </c:txPr>
    </c:legend>
    <c:plotVisOnly val="1"/>
    <c:dispBlanksAs val="gap"/>
    <c:showDLblsOverMax val="0"/>
  </c:chart>
  <c:spPr>
    <a:solidFill>
      <a:schemeClr val="bg1"/>
    </a:solidFill>
    <a:ln w="9525" cap="flat" cmpd="sng" algn="ctr">
      <a:solidFill>
        <a:schemeClr val="tx1"/>
      </a:solidFill>
      <a:round/>
    </a:ln>
    <a:effectLst/>
  </c:spPr>
  <c:txPr>
    <a:bodyPr/>
    <a:lstStyle/>
    <a:p>
      <a:pPr>
        <a:defRPr sz="1400" b="1">
          <a:solidFill>
            <a:sysClr val="windowText" lastClr="000000"/>
          </a:solidFill>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802965466749243"/>
          <c:y val="5.7925814946674183E-2"/>
          <c:w val="0.79963138728663807"/>
          <c:h val="0.5859803686856595"/>
        </c:manualLayout>
      </c:layout>
      <c:lineChart>
        <c:grouping val="standard"/>
        <c:varyColors val="0"/>
        <c:ser>
          <c:idx val="0"/>
          <c:order val="0"/>
          <c:tx>
            <c:strRef>
              <c:f>'7 AprenCNProVivos'!$I$14</c:f>
              <c:strCache>
                <c:ptCount val="1"/>
                <c:pt idx="0">
                  <c:v>Asociar fenómenos naturales con conceptos propios del conocimiento científico. - Procesos vivos</c:v>
                </c:pt>
              </c:strCache>
            </c:strRef>
          </c:tx>
          <c:spPr>
            <a:ln w="28575" cap="rnd">
              <a:solidFill>
                <a:schemeClr val="accent1"/>
              </a:solidFill>
              <a:round/>
            </a:ln>
            <a:effectLst/>
          </c:spPr>
          <c:marker>
            <c:symbol val="none"/>
          </c:marker>
          <c:dLbls>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'7 AprenCNProVivos'!$B$16:$B$25</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'7 AprenCNProVivos'!$I$16:$I$25</c:f>
              <c:numCache>
                <c:formatCode>0%</c:formatCode>
                <c:ptCount val="10"/>
                <c:pt idx="0">
                  <c:v>0.31</c:v>
                </c:pt>
                <c:pt idx="1">
                  <c:v>0.5</c:v>
                </c:pt>
                <c:pt idx="2">
                  <c:v>0.44</c:v>
                </c:pt>
                <c:pt idx="3">
                  <c:v>0.56999999999999995</c:v>
                </c:pt>
                <c:pt idx="4">
                  <c:v>0.48</c:v>
                </c:pt>
                <c:pt idx="5">
                  <c:v>0.45</c:v>
                </c:pt>
                <c:pt idx="6">
                  <c:v>0.38</c:v>
                </c:pt>
                <c:pt idx="7">
                  <c:v>0.41</c:v>
                </c:pt>
                <c:pt idx="8">
                  <c:v>0.41</c:v>
                </c:pt>
                <c:pt idx="9">
                  <c:v>0.57999999999999996</c:v>
                </c:pt>
              </c:numCache>
            </c:numRef>
          </c:val>
          <c:smooth val="0"/>
          <c:extLst>
            <c:ext xmlns:c16="http://schemas.microsoft.com/office/drawing/2014/chart" uri="{C3380CC4-5D6E-409C-BE32-E72D297353CC}">
              <c16:uniqueId val="{00000000-C8CB-4157-B892-A9B109E0B5F5}"/>
            </c:ext>
          </c:extLst>
        </c:ser>
        <c:ser>
          <c:idx val="1"/>
          <c:order val="1"/>
          <c:tx>
            <c:strRef>
              <c:f>'7 AprenCNProVivos'!$J$14</c:f>
              <c:strCache>
                <c:ptCount val="1"/>
                <c:pt idx="0">
                  <c:v>Identificar las características  de algunos fenómenos de la naturaleza basado en el análisis de información  y  conceptos propios del conocimiento científico. - Procesos vivos</c:v>
                </c:pt>
              </c:strCache>
            </c:strRef>
          </c:tx>
          <c:spPr>
            <a:ln w="28575" cap="rnd">
              <a:solidFill>
                <a:schemeClr val="accent2"/>
              </a:solidFill>
              <a:round/>
            </a:ln>
            <a:effectLst/>
          </c:spPr>
          <c:marker>
            <c:symbol val="none"/>
          </c:marker>
          <c:dLbls>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'7 AprenCNProVivos'!$B$16:$B$25</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'7 AprenCNProVivos'!$J$16:$J$25</c:f>
              <c:numCache>
                <c:formatCode>0%</c:formatCode>
                <c:ptCount val="10"/>
                <c:pt idx="0">
                  <c:v>0.42</c:v>
                </c:pt>
                <c:pt idx="1">
                  <c:v>0.5</c:v>
                </c:pt>
                <c:pt idx="2">
                  <c:v>0.43</c:v>
                </c:pt>
                <c:pt idx="3">
                  <c:v>0.36</c:v>
                </c:pt>
                <c:pt idx="4">
                  <c:v>0.56999999999999995</c:v>
                </c:pt>
                <c:pt idx="5">
                  <c:v>0.28999999999999998</c:v>
                </c:pt>
                <c:pt idx="6">
                  <c:v>0.61</c:v>
                </c:pt>
                <c:pt idx="7">
                  <c:v>0.44</c:v>
                </c:pt>
                <c:pt idx="8">
                  <c:v>0.46</c:v>
                </c:pt>
                <c:pt idx="9">
                  <c:v>0.34</c:v>
                </c:pt>
              </c:numCache>
            </c:numRef>
          </c:val>
          <c:smooth val="0"/>
          <c:extLst>
            <c:ext xmlns:c16="http://schemas.microsoft.com/office/drawing/2014/chart" uri="{C3380CC4-5D6E-409C-BE32-E72D297353CC}">
              <c16:uniqueId val="{00000001-C8CB-4157-B892-A9B109E0B5F5}"/>
            </c:ext>
          </c:extLst>
        </c:ser>
        <c:dLbls>
          <c:showLegendKey val="0"/>
          <c:showVal val="1"/>
          <c:showCatName val="0"/>
          <c:showSerName val="0"/>
          <c:showPercent val="0"/>
          <c:showBubbleSize val="0"/>
        </c:dLbls>
        <c:smooth val="0"/>
        <c:axId val="-2022824784"/>
        <c:axId val="-2022817712"/>
      </c:lineChart>
      <c:catAx>
        <c:axId val="-20228247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crossAx val="-2022817712"/>
        <c:crosses val="autoZero"/>
        <c:auto val="1"/>
        <c:lblAlgn val="ctr"/>
        <c:lblOffset val="100"/>
        <c:noMultiLvlLbl val="0"/>
      </c:catAx>
      <c:valAx>
        <c:axId val="-2022817712"/>
        <c:scaling>
          <c:orientation val="minMax"/>
          <c:max val="1"/>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crossAx val="-2022824784"/>
        <c:crosses val="autoZero"/>
        <c:crossBetween val="between"/>
      </c:valAx>
      <c:spPr>
        <a:noFill/>
        <a:ln>
          <a:noFill/>
        </a:ln>
        <a:effectLst/>
      </c:spPr>
    </c:plotArea>
    <c:legend>
      <c:legendPos val="b"/>
      <c:layout>
        <c:manualLayout>
          <c:xMode val="edge"/>
          <c:yMode val="edge"/>
          <c:x val="7.6436000342970933E-2"/>
          <c:y val="0.76804096164093694"/>
          <c:w val="0.85851702193350932"/>
          <c:h val="0.16986827185275427"/>
        </c:manualLayout>
      </c:layout>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legend>
    <c:plotVisOnly val="1"/>
    <c:dispBlanksAs val="gap"/>
    <c:showDLblsOverMax val="0"/>
  </c:chart>
  <c:spPr>
    <a:solidFill>
      <a:schemeClr val="bg1"/>
    </a:solidFill>
    <a:ln w="9525" cap="flat" cmpd="sng" algn="ctr">
      <a:solidFill>
        <a:schemeClr val="tx1"/>
      </a:solidFill>
      <a:round/>
    </a:ln>
    <a:effectLst/>
  </c:spPr>
  <c:txPr>
    <a:bodyPr/>
    <a:lstStyle/>
    <a:p>
      <a:pPr>
        <a:defRPr sz="1600" b="1">
          <a:solidFill>
            <a:sysClr val="windowText" lastClr="000000"/>
          </a:solidFill>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4"/>
          <c:order val="0"/>
          <c:tx>
            <c:strRef>
              <c:f>'7 AprenCNProVivos'!$G$14</c:f>
              <c:strCache>
                <c:ptCount val="1"/>
                <c:pt idx="0">
                  <c:v>Observar y relacionar patrones en los datos para evaluar las predicciones. - Procesos vivos</c:v>
                </c:pt>
              </c:strCache>
            </c:strRef>
          </c:tx>
          <c:marker>
            <c:symbol val="none"/>
          </c:marker>
          <c:dLbls>
            <c:spPr>
              <a:noFill/>
              <a:ln>
                <a:noFill/>
              </a:ln>
              <a:effectLst/>
            </c:sp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ext>
            </c:extLst>
          </c:dLbls>
          <c:cat>
            <c:numRef>
              <c:f>'7 AprenCNProVivos'!$B$16:$B$25</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'7 AprenCNProVivos'!$G$16:$G$25</c:f>
              <c:numCache>
                <c:formatCode>0%</c:formatCode>
                <c:ptCount val="10"/>
                <c:pt idx="0">
                  <c:v>0.28999999999999998</c:v>
                </c:pt>
                <c:pt idx="1">
                  <c:v>0.54</c:v>
                </c:pt>
                <c:pt idx="2">
                  <c:v>0.35</c:v>
                </c:pt>
                <c:pt idx="3">
                  <c:v>0.28999999999999998</c:v>
                </c:pt>
                <c:pt idx="4">
                  <c:v>0.45</c:v>
                </c:pt>
                <c:pt idx="5">
                  <c:v>0.45</c:v>
                </c:pt>
                <c:pt idx="6">
                  <c:v>0.53</c:v>
                </c:pt>
                <c:pt idx="7">
                  <c:v>0.4</c:v>
                </c:pt>
                <c:pt idx="8">
                  <c:v>0.48</c:v>
                </c:pt>
                <c:pt idx="9">
                  <c:v>0.55000000000000004</c:v>
                </c:pt>
              </c:numCache>
            </c:numRef>
          </c:val>
          <c:smooth val="0"/>
          <c:extLst xmlns:c15="http://schemas.microsoft.com/office/drawing/2012/chart">
            <c:ext xmlns:c16="http://schemas.microsoft.com/office/drawing/2014/chart" uri="{C3380CC4-5D6E-409C-BE32-E72D297353CC}">
              <c16:uniqueId val="{00000002-1940-455C-9FA7-58440C4F0D88}"/>
            </c:ext>
          </c:extLst>
        </c:ser>
        <c:ser>
          <c:idx val="5"/>
          <c:order val="1"/>
          <c:tx>
            <c:strRef>
              <c:f>'7 AprenCNProVivos'!$H$14</c:f>
              <c:strCache>
                <c:ptCount val="1"/>
                <c:pt idx="0">
                  <c:v>Utilizar algunas habilidades de pensamiento y de procedimiento para  evaluar predicciones - Procesos vivos</c:v>
                </c:pt>
              </c:strCache>
            </c:strRef>
          </c:tx>
          <c:marker>
            <c:symbol val="none"/>
          </c:marker>
          <c:dLbls>
            <c:spPr>
              <a:noFill/>
              <a:ln>
                <a:noFill/>
              </a:ln>
              <a:effectLst/>
            </c:sp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ext>
            </c:extLst>
          </c:dLbls>
          <c:cat>
            <c:numRef>
              <c:f>'7 AprenCNProVivos'!$B$16:$B$25</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'7 AprenCNProVivos'!$H$16:$H$25</c:f>
              <c:numCache>
                <c:formatCode>0%</c:formatCode>
                <c:ptCount val="10"/>
                <c:pt idx="0">
                  <c:v>0.62</c:v>
                </c:pt>
                <c:pt idx="1">
                  <c:v>0</c:v>
                </c:pt>
                <c:pt idx="2">
                  <c:v>0.44</c:v>
                </c:pt>
                <c:pt idx="3">
                  <c:v>0.5</c:v>
                </c:pt>
                <c:pt idx="4">
                  <c:v>0</c:v>
                </c:pt>
                <c:pt idx="5">
                  <c:v>0.53</c:v>
                </c:pt>
                <c:pt idx="6">
                  <c:v>0.46</c:v>
                </c:pt>
                <c:pt idx="7">
                  <c:v>0.52</c:v>
                </c:pt>
                <c:pt idx="8">
                  <c:v>0.48</c:v>
                </c:pt>
                <c:pt idx="9">
                  <c:v>0.38</c:v>
                </c:pt>
              </c:numCache>
            </c:numRef>
          </c:val>
          <c:smooth val="0"/>
          <c:extLst xmlns:c15="http://schemas.microsoft.com/office/drawing/2012/chart">
            <c:ext xmlns:c16="http://schemas.microsoft.com/office/drawing/2014/chart" uri="{C3380CC4-5D6E-409C-BE32-E72D297353CC}">
              <c16:uniqueId val="{00000003-1940-455C-9FA7-58440C4F0D88}"/>
            </c:ext>
          </c:extLst>
        </c:ser>
        <c:dLbls>
          <c:showLegendKey val="0"/>
          <c:showVal val="1"/>
          <c:showCatName val="0"/>
          <c:showSerName val="0"/>
          <c:showPercent val="0"/>
          <c:showBubbleSize val="0"/>
        </c:dLbls>
        <c:smooth val="0"/>
        <c:axId val="-2011125456"/>
        <c:axId val="-2011126544"/>
        <c:extLst/>
      </c:lineChart>
      <c:catAx>
        <c:axId val="-20111254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vert="horz"/>
          <a:lstStyle/>
          <a:p>
            <a:pPr>
              <a:defRPr/>
            </a:pPr>
            <a:endParaRPr lang="es-CO"/>
          </a:p>
        </c:txPr>
        <c:crossAx val="-2011126544"/>
        <c:crosses val="autoZero"/>
        <c:auto val="1"/>
        <c:lblAlgn val="ctr"/>
        <c:lblOffset val="100"/>
        <c:noMultiLvlLbl val="0"/>
      </c:catAx>
      <c:valAx>
        <c:axId val="-2011126544"/>
        <c:scaling>
          <c:orientation val="minMax"/>
          <c:max val="1"/>
        </c:scaling>
        <c:delete val="0"/>
        <c:axPos val="l"/>
        <c:numFmt formatCode="0%" sourceLinked="1"/>
        <c:majorTickMark val="none"/>
        <c:minorTickMark val="none"/>
        <c:tickLblPos val="nextTo"/>
        <c:spPr>
          <a:noFill/>
          <a:ln>
            <a:noFill/>
          </a:ln>
          <a:effectLst/>
        </c:spPr>
        <c:txPr>
          <a:bodyPr rot="-60000000" vert="horz"/>
          <a:lstStyle/>
          <a:p>
            <a:pPr>
              <a:defRPr/>
            </a:pPr>
            <a:endParaRPr lang="es-CO"/>
          </a:p>
        </c:txPr>
        <c:crossAx val="-2011125456"/>
        <c:crosses val="autoZero"/>
        <c:crossBetween val="between"/>
      </c:valAx>
    </c:plotArea>
    <c:legend>
      <c:legendPos val="r"/>
      <c:layout>
        <c:manualLayout>
          <c:xMode val="edge"/>
          <c:yMode val="edge"/>
          <c:x val="0.67514699642061504"/>
          <c:y val="0.43499696889587025"/>
          <c:w val="0.32485300357938496"/>
          <c:h val="0.26960723156041683"/>
        </c:manualLayout>
      </c:layout>
      <c:overlay val="0"/>
      <c:spPr>
        <a:noFill/>
        <a:ln>
          <a:noFill/>
        </a:ln>
        <a:effectLst/>
      </c:spPr>
      <c:txPr>
        <a:bodyPr rot="0" vert="horz"/>
        <a:lstStyle/>
        <a:p>
          <a:pPr>
            <a:defRPr sz="1100"/>
          </a:pPr>
          <a:endParaRPr lang="es-CO"/>
        </a:p>
      </c:txPr>
    </c:legend>
    <c:plotVisOnly val="1"/>
    <c:dispBlanksAs val="gap"/>
    <c:showDLblsOverMax val="0"/>
  </c:chart>
  <c:spPr>
    <a:solidFill>
      <a:schemeClr val="bg1"/>
    </a:solidFill>
    <a:ln w="9525" cap="flat" cmpd="sng" algn="ctr">
      <a:solidFill>
        <a:schemeClr val="tx1"/>
      </a:solidFill>
      <a:round/>
    </a:ln>
    <a:effectLst/>
  </c:spPr>
  <c:txPr>
    <a:bodyPr/>
    <a:lstStyle/>
    <a:p>
      <a:pPr>
        <a:defRPr sz="1400" b="1">
          <a:solidFill>
            <a:sysClr val="windowText" lastClr="000000"/>
          </a:solidFill>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7934010750435009E-2"/>
          <c:y val="4.5398631820608625E-2"/>
          <c:w val="0.90274871962543546"/>
          <c:h val="0.62226773847140882"/>
        </c:manualLayout>
      </c:layout>
      <c:lineChart>
        <c:grouping val="standard"/>
        <c:varyColors val="0"/>
        <c:ser>
          <c:idx val="0"/>
          <c:order val="0"/>
          <c:tx>
            <c:strRef>
              <c:f>'8 AprenCNProQuímicos'!$C$13</c:f>
              <c:strCache>
                <c:ptCount val="1"/>
                <c:pt idx="0">
                  <c:v>Modelar fenómenos de la naturaleza basado en el análisis de variables, la relación entre dos o más conceptos del conocimiento científico y de la evidencia derivada de investigaciones científicas. - Procesos químicos</c:v>
                </c:pt>
              </c:strCache>
            </c:strRef>
          </c:tx>
          <c:spPr>
            <a:ln w="28575" cap="rnd">
              <a:solidFill>
                <a:schemeClr val="accent1"/>
              </a:solidFill>
              <a:round/>
            </a:ln>
            <a:effectLst/>
          </c:spPr>
          <c:marker>
            <c:symbol val="none"/>
          </c:marker>
          <c:dLbls>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'8 AprenCNProQuímicos'!$B$15:$B$24</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'8 AprenCNProQuímicos'!$C$15:$C$24</c:f>
              <c:numCache>
                <c:formatCode>0%</c:formatCode>
                <c:ptCount val="10"/>
                <c:pt idx="0">
                  <c:v>0</c:v>
                </c:pt>
                <c:pt idx="1">
                  <c:v>0</c:v>
                </c:pt>
                <c:pt idx="2">
                  <c:v>0</c:v>
                </c:pt>
                <c:pt idx="3">
                  <c:v>0</c:v>
                </c:pt>
                <c:pt idx="4">
                  <c:v>0</c:v>
                </c:pt>
                <c:pt idx="5">
                  <c:v>0</c:v>
                </c:pt>
                <c:pt idx="6">
                  <c:v>0</c:v>
                </c:pt>
                <c:pt idx="7">
                  <c:v>0</c:v>
                </c:pt>
                <c:pt idx="8">
                  <c:v>0.44</c:v>
                </c:pt>
                <c:pt idx="9">
                  <c:v>0.46</c:v>
                </c:pt>
              </c:numCache>
            </c:numRef>
          </c:val>
          <c:smooth val="0"/>
          <c:extLst>
            <c:ext xmlns:c16="http://schemas.microsoft.com/office/drawing/2014/chart" uri="{C3380CC4-5D6E-409C-BE32-E72D297353CC}">
              <c16:uniqueId val="{00000001-40E8-4211-B987-BCDAB507B584}"/>
            </c:ext>
          </c:extLst>
        </c:ser>
        <c:ser>
          <c:idx val="1"/>
          <c:order val="1"/>
          <c:tx>
            <c:strRef>
              <c:f>'8 AprenCNProQuímicos'!$D$13</c:f>
              <c:strCache>
                <c:ptCount val="1"/>
                <c:pt idx="0">
                  <c:v>Explicar cómo ocurren algunos fenómenos de la naturaleza basado en observaciones, en patrones y  en conceptos propios del conocimiento científico. - Procesos químicos</c:v>
                </c:pt>
              </c:strCache>
            </c:strRef>
          </c:tx>
          <c:spPr>
            <a:ln w="28575" cap="rnd">
              <a:solidFill>
                <a:schemeClr val="accent2"/>
              </a:solidFill>
              <a:round/>
            </a:ln>
            <a:effectLst/>
          </c:spPr>
          <c:marker>
            <c:symbol val="none"/>
          </c:marker>
          <c:dLbls>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'8 AprenCNProQuímicos'!$B$15:$B$24</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'8 AprenCNProQuímicos'!$D$15:$D$24</c:f>
              <c:numCache>
                <c:formatCode>0%</c:formatCode>
                <c:ptCount val="10"/>
                <c:pt idx="0">
                  <c:v>0</c:v>
                </c:pt>
                <c:pt idx="1">
                  <c:v>0</c:v>
                </c:pt>
                <c:pt idx="2">
                  <c:v>0</c:v>
                </c:pt>
                <c:pt idx="3">
                  <c:v>0</c:v>
                </c:pt>
                <c:pt idx="4">
                  <c:v>0</c:v>
                </c:pt>
                <c:pt idx="5">
                  <c:v>0</c:v>
                </c:pt>
                <c:pt idx="6">
                  <c:v>0</c:v>
                </c:pt>
                <c:pt idx="7">
                  <c:v>0</c:v>
                </c:pt>
                <c:pt idx="8">
                  <c:v>0.62</c:v>
                </c:pt>
                <c:pt idx="9">
                  <c:v>0.54</c:v>
                </c:pt>
              </c:numCache>
            </c:numRef>
          </c:val>
          <c:smooth val="0"/>
          <c:extLst>
            <c:ext xmlns:c16="http://schemas.microsoft.com/office/drawing/2014/chart" uri="{C3380CC4-5D6E-409C-BE32-E72D297353CC}">
              <c16:uniqueId val="{00000000-7F2E-48C1-906C-D45DBF92F648}"/>
            </c:ext>
          </c:extLst>
        </c:ser>
        <c:dLbls>
          <c:showLegendKey val="0"/>
          <c:showVal val="1"/>
          <c:showCatName val="0"/>
          <c:showSerName val="0"/>
          <c:showPercent val="0"/>
          <c:showBubbleSize val="0"/>
        </c:dLbls>
        <c:smooth val="0"/>
        <c:axId val="-2022810096"/>
        <c:axId val="-2022809552"/>
      </c:lineChart>
      <c:catAx>
        <c:axId val="-20228100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crossAx val="-2022809552"/>
        <c:crosses val="autoZero"/>
        <c:auto val="1"/>
        <c:lblAlgn val="ctr"/>
        <c:lblOffset val="100"/>
        <c:noMultiLvlLbl val="0"/>
      </c:catAx>
      <c:valAx>
        <c:axId val="-2022809552"/>
        <c:scaling>
          <c:orientation val="minMax"/>
          <c:max val="1"/>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crossAx val="-2022810096"/>
        <c:crosses val="autoZero"/>
        <c:crossBetween val="between"/>
      </c:valAx>
      <c:spPr>
        <a:noFill/>
        <a:ln>
          <a:noFill/>
        </a:ln>
        <a:effectLst/>
      </c:spPr>
    </c:plotArea>
    <c:legend>
      <c:legendPos val="b"/>
      <c:layout>
        <c:manualLayout>
          <c:xMode val="edge"/>
          <c:yMode val="edge"/>
          <c:x val="6.0322223445232491E-2"/>
          <c:y val="0.78084242712627694"/>
          <c:w val="0.87091356819489851"/>
          <c:h val="0.15456219121896653"/>
        </c:manualLayout>
      </c:layout>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legend>
    <c:plotVisOnly val="1"/>
    <c:dispBlanksAs val="gap"/>
    <c:showDLblsOverMax val="0"/>
  </c:chart>
  <c:spPr>
    <a:solidFill>
      <a:schemeClr val="bg1"/>
    </a:solidFill>
    <a:ln w="9525" cap="flat" cmpd="sng" algn="ctr">
      <a:solidFill>
        <a:schemeClr val="tx1"/>
      </a:solidFill>
      <a:round/>
    </a:ln>
    <a:effectLst/>
  </c:spPr>
  <c:txPr>
    <a:bodyPr/>
    <a:lstStyle/>
    <a:p>
      <a:pPr>
        <a:defRPr sz="1400" b="1">
          <a:solidFill>
            <a:sysClr val="windowText" lastClr="000000"/>
          </a:solidFill>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3755861270728057E-2"/>
          <c:y val="4.6640984720434986E-2"/>
          <c:w val="0.90743566842409851"/>
          <c:h val="0.58438357635200322"/>
        </c:manualLayout>
      </c:layout>
      <c:lineChart>
        <c:grouping val="standard"/>
        <c:varyColors val="0"/>
        <c:ser>
          <c:idx val="0"/>
          <c:order val="0"/>
          <c:tx>
            <c:strRef>
              <c:f>'8 AprenCNProQuímicos'!$I$13</c:f>
              <c:strCache>
                <c:ptCount val="1"/>
                <c:pt idx="0">
                  <c:v>Asociar fenómenos naturales con conceptos propios del conocimiento científico. - Procesos químicos</c:v>
                </c:pt>
              </c:strCache>
            </c:strRef>
          </c:tx>
          <c:spPr>
            <a:ln w="28575" cap="rnd">
              <a:solidFill>
                <a:schemeClr val="accent1"/>
              </a:solidFill>
              <a:round/>
            </a:ln>
            <a:effectLst/>
          </c:spPr>
          <c:marker>
            <c:symbol val="none"/>
          </c:marker>
          <c:dLbls>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'8 AprenCNProQuímicos'!$B$15:$B$24</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'8 AprenCNProQuímicos'!$I$15:$I$24</c:f>
              <c:numCache>
                <c:formatCode>0%</c:formatCode>
                <c:ptCount val="10"/>
                <c:pt idx="0">
                  <c:v>0</c:v>
                </c:pt>
                <c:pt idx="1">
                  <c:v>0</c:v>
                </c:pt>
                <c:pt idx="2">
                  <c:v>0</c:v>
                </c:pt>
                <c:pt idx="3">
                  <c:v>0</c:v>
                </c:pt>
                <c:pt idx="4">
                  <c:v>0</c:v>
                </c:pt>
                <c:pt idx="5">
                  <c:v>0</c:v>
                </c:pt>
                <c:pt idx="6">
                  <c:v>0</c:v>
                </c:pt>
                <c:pt idx="7">
                  <c:v>0</c:v>
                </c:pt>
                <c:pt idx="8">
                  <c:v>0.45</c:v>
                </c:pt>
                <c:pt idx="9">
                  <c:v>0.57999999999999996</c:v>
                </c:pt>
              </c:numCache>
            </c:numRef>
          </c:val>
          <c:smooth val="0"/>
          <c:extLst>
            <c:ext xmlns:c16="http://schemas.microsoft.com/office/drawing/2014/chart" uri="{C3380CC4-5D6E-409C-BE32-E72D297353CC}">
              <c16:uniqueId val="{00000001-00DF-48BC-9C13-65D4DC5E4F02}"/>
            </c:ext>
          </c:extLst>
        </c:ser>
        <c:ser>
          <c:idx val="1"/>
          <c:order val="1"/>
          <c:tx>
            <c:strRef>
              <c:f>'8 AprenCNProQuímicos'!$J$13</c:f>
              <c:strCache>
                <c:ptCount val="1"/>
                <c:pt idx="0">
                  <c:v>Identificar las características  de algunos fenómenos de la naturaleza basado en el análisis de información  y  conceptos propios del conocimiento científico. - Procesos químicos</c:v>
                </c:pt>
              </c:strCache>
            </c:strRef>
          </c:tx>
          <c:spPr>
            <a:ln w="28575" cap="rnd">
              <a:solidFill>
                <a:schemeClr val="accent2"/>
              </a:solidFill>
              <a:round/>
            </a:ln>
            <a:effectLst/>
          </c:spPr>
          <c:marker>
            <c:symbol val="none"/>
          </c:marker>
          <c:dLbls>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'8 AprenCNProQuímicos'!$B$15:$B$24</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'8 AprenCNProQuímicos'!$J$15:$J$24</c:f>
              <c:numCache>
                <c:formatCode>0%</c:formatCode>
                <c:ptCount val="10"/>
                <c:pt idx="0">
                  <c:v>0</c:v>
                </c:pt>
                <c:pt idx="1">
                  <c:v>0</c:v>
                </c:pt>
                <c:pt idx="2">
                  <c:v>0</c:v>
                </c:pt>
                <c:pt idx="3">
                  <c:v>0</c:v>
                </c:pt>
                <c:pt idx="4">
                  <c:v>0</c:v>
                </c:pt>
                <c:pt idx="5">
                  <c:v>0</c:v>
                </c:pt>
                <c:pt idx="6">
                  <c:v>0</c:v>
                </c:pt>
                <c:pt idx="7">
                  <c:v>0</c:v>
                </c:pt>
                <c:pt idx="8">
                  <c:v>0.62</c:v>
                </c:pt>
                <c:pt idx="9">
                  <c:v>0.49</c:v>
                </c:pt>
              </c:numCache>
            </c:numRef>
          </c:val>
          <c:smooth val="0"/>
          <c:extLst>
            <c:ext xmlns:c16="http://schemas.microsoft.com/office/drawing/2014/chart" uri="{C3380CC4-5D6E-409C-BE32-E72D297353CC}">
              <c16:uniqueId val="{00000000-B15E-4CF6-A30E-241188E59C0F}"/>
            </c:ext>
          </c:extLst>
        </c:ser>
        <c:dLbls>
          <c:showLegendKey val="0"/>
          <c:showVal val="1"/>
          <c:showCatName val="0"/>
          <c:showSerName val="0"/>
          <c:showPercent val="0"/>
          <c:showBubbleSize val="0"/>
        </c:dLbls>
        <c:smooth val="0"/>
        <c:axId val="-2022820432"/>
        <c:axId val="-2022816624"/>
      </c:lineChart>
      <c:catAx>
        <c:axId val="-20228204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crossAx val="-2022816624"/>
        <c:crosses val="autoZero"/>
        <c:auto val="1"/>
        <c:lblAlgn val="ctr"/>
        <c:lblOffset val="100"/>
        <c:noMultiLvlLbl val="0"/>
      </c:catAx>
      <c:valAx>
        <c:axId val="-2022816624"/>
        <c:scaling>
          <c:orientation val="minMax"/>
          <c:max val="1"/>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crossAx val="-2022820432"/>
        <c:crosses val="autoZero"/>
        <c:crossBetween val="between"/>
      </c:valAx>
      <c:spPr>
        <a:noFill/>
        <a:ln>
          <a:noFill/>
        </a:ln>
        <a:effectLst/>
      </c:spPr>
    </c:plotArea>
    <c:legend>
      <c:legendPos val="b"/>
      <c:layout>
        <c:manualLayout>
          <c:xMode val="edge"/>
          <c:yMode val="edge"/>
          <c:x val="5.6523497486887606E-2"/>
          <c:y val="0.74729772891556134"/>
          <c:w val="0.85818153001167363"/>
          <c:h val="0.1306519299577322"/>
        </c:manualLayout>
      </c:layout>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legend>
    <c:plotVisOnly val="1"/>
    <c:dispBlanksAs val="gap"/>
    <c:showDLblsOverMax val="0"/>
  </c:chart>
  <c:spPr>
    <a:solidFill>
      <a:schemeClr val="bg1"/>
    </a:solidFill>
    <a:ln w="9525" cap="flat" cmpd="sng" algn="ctr">
      <a:solidFill>
        <a:schemeClr val="tx1"/>
      </a:solidFill>
      <a:round/>
    </a:ln>
    <a:effectLst/>
  </c:spPr>
  <c:txPr>
    <a:bodyPr/>
    <a:lstStyle/>
    <a:p>
      <a:pPr>
        <a:defRPr sz="1400" b="1">
          <a:solidFill>
            <a:sysClr val="windowText" lastClr="000000"/>
          </a:solidFill>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5921787047822362E-2"/>
          <c:y val="3.6258228242976351E-2"/>
          <c:w val="0.89429236266172452"/>
          <c:h val="0.65281209359382675"/>
        </c:manualLayout>
      </c:layout>
      <c:lineChart>
        <c:grouping val="standard"/>
        <c:varyColors val="0"/>
        <c:ser>
          <c:idx val="0"/>
          <c:order val="0"/>
          <c:tx>
            <c:strRef>
              <c:f>'8 AprenCNProQuímicos'!$E$13</c:f>
              <c:strCache>
                <c:ptCount val="1"/>
                <c:pt idx="0">
                  <c:v>Comprender que a partir de la investigación científica se construyen explicaciones sobre el mundo natural. - Procesos químicos</c:v>
                </c:pt>
              </c:strCache>
            </c:strRef>
          </c:tx>
          <c:spPr>
            <a:ln w="28575" cap="rnd">
              <a:solidFill>
                <a:schemeClr val="accent1"/>
              </a:solidFill>
              <a:round/>
            </a:ln>
            <a:effectLst/>
          </c:spPr>
          <c:marker>
            <c:symbol val="none"/>
          </c:marker>
          <c:dLbls>
            <c:spPr>
              <a:noFill/>
              <a:ln>
                <a:noFill/>
              </a:ln>
              <a:effectLst/>
            </c:spPr>
            <c:txPr>
              <a:bodyPr rot="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'8 AprenCNProQuímicos'!$B$15:$B$24</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'8 AprenCNProQuímicos'!$E$15:$E$24</c:f>
              <c:numCache>
                <c:formatCode>0%</c:formatCode>
                <c:ptCount val="10"/>
                <c:pt idx="0">
                  <c:v>0</c:v>
                </c:pt>
                <c:pt idx="1">
                  <c:v>0</c:v>
                </c:pt>
                <c:pt idx="2">
                  <c:v>0</c:v>
                </c:pt>
                <c:pt idx="3">
                  <c:v>0</c:v>
                </c:pt>
                <c:pt idx="4">
                  <c:v>0</c:v>
                </c:pt>
                <c:pt idx="5">
                  <c:v>0</c:v>
                </c:pt>
                <c:pt idx="6">
                  <c:v>0</c:v>
                </c:pt>
                <c:pt idx="7">
                  <c:v>0</c:v>
                </c:pt>
                <c:pt idx="8">
                  <c:v>0.42</c:v>
                </c:pt>
                <c:pt idx="9">
                  <c:v>0.39</c:v>
                </c:pt>
              </c:numCache>
            </c:numRef>
          </c:val>
          <c:smooth val="0"/>
          <c:extLst>
            <c:ext xmlns:c16="http://schemas.microsoft.com/office/drawing/2014/chart" uri="{C3380CC4-5D6E-409C-BE32-E72D297353CC}">
              <c16:uniqueId val="{00000001-6F7D-407D-884D-2671FCFDC509}"/>
            </c:ext>
          </c:extLst>
        </c:ser>
        <c:ser>
          <c:idx val="1"/>
          <c:order val="1"/>
          <c:tx>
            <c:strRef>
              <c:f>'8 AprenCNProQuímicos'!$F$13</c:f>
              <c:strCache>
                <c:ptCount val="1"/>
                <c:pt idx="0">
                  <c:v>Derivar conclusiones para algunos fenómenos de la naturaleza basándose en conocimientos científicos y en la evidencia de su propia investigación y de la de otros. - Procesos químicos</c:v>
                </c:pt>
              </c:strCache>
            </c:strRef>
          </c:tx>
          <c:spPr>
            <a:ln w="28575" cap="rnd">
              <a:solidFill>
                <a:schemeClr val="accent2"/>
              </a:solidFill>
              <a:round/>
            </a:ln>
            <a:effectLst/>
          </c:spPr>
          <c:marker>
            <c:symbol val="none"/>
          </c:marker>
          <c:dLbls>
            <c:spPr>
              <a:noFill/>
              <a:ln>
                <a:noFill/>
              </a:ln>
              <a:effectLst/>
            </c:spPr>
            <c:txPr>
              <a:bodyPr rot="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'8 AprenCNProQuímicos'!$B$15:$B$24</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'8 AprenCNProQuímicos'!$F$15:$F$24</c:f>
              <c:numCache>
                <c:formatCode>0%</c:formatCode>
                <c:ptCount val="10"/>
                <c:pt idx="0">
                  <c:v>0</c:v>
                </c:pt>
                <c:pt idx="1">
                  <c:v>0</c:v>
                </c:pt>
                <c:pt idx="2">
                  <c:v>0</c:v>
                </c:pt>
                <c:pt idx="3">
                  <c:v>0</c:v>
                </c:pt>
                <c:pt idx="4">
                  <c:v>0</c:v>
                </c:pt>
                <c:pt idx="5">
                  <c:v>0</c:v>
                </c:pt>
                <c:pt idx="6">
                  <c:v>0</c:v>
                </c:pt>
                <c:pt idx="7">
                  <c:v>0</c:v>
                </c:pt>
                <c:pt idx="8">
                  <c:v>0.55000000000000004</c:v>
                </c:pt>
                <c:pt idx="9">
                  <c:v>0.44</c:v>
                </c:pt>
              </c:numCache>
            </c:numRef>
          </c:val>
          <c:smooth val="0"/>
          <c:extLst>
            <c:ext xmlns:c16="http://schemas.microsoft.com/office/drawing/2014/chart" uri="{C3380CC4-5D6E-409C-BE32-E72D297353CC}">
              <c16:uniqueId val="{00000000-35A4-4B78-85AC-3CB602EEB951}"/>
            </c:ext>
          </c:extLst>
        </c:ser>
        <c:dLbls>
          <c:showLegendKey val="0"/>
          <c:showVal val="1"/>
          <c:showCatName val="0"/>
          <c:showSerName val="0"/>
          <c:showPercent val="0"/>
          <c:showBubbleSize val="0"/>
        </c:dLbls>
        <c:smooth val="0"/>
        <c:axId val="-2022813904"/>
        <c:axId val="-2022812816"/>
      </c:lineChart>
      <c:catAx>
        <c:axId val="-20228139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crossAx val="-2022812816"/>
        <c:crosses val="autoZero"/>
        <c:auto val="1"/>
        <c:lblAlgn val="ctr"/>
        <c:lblOffset val="100"/>
        <c:noMultiLvlLbl val="0"/>
      </c:catAx>
      <c:valAx>
        <c:axId val="-2022812816"/>
        <c:scaling>
          <c:orientation val="minMax"/>
          <c:max val="1"/>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crossAx val="-2022813904"/>
        <c:crosses val="autoZero"/>
        <c:crossBetween val="between"/>
        <c:majorUnit val="0.2"/>
      </c:valAx>
      <c:spPr>
        <a:noFill/>
        <a:ln>
          <a:noFill/>
        </a:ln>
        <a:effectLst/>
      </c:spPr>
    </c:plotArea>
    <c:legend>
      <c:legendPos val="b"/>
      <c:layout>
        <c:manualLayout>
          <c:xMode val="edge"/>
          <c:yMode val="edge"/>
          <c:x val="6.5448777191168525E-2"/>
          <c:y val="0.81693621649421522"/>
          <c:w val="0.87967531618111483"/>
          <c:h val="0.12282496619763462"/>
        </c:manualLayout>
      </c:layout>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legend>
    <c:plotVisOnly val="1"/>
    <c:dispBlanksAs val="gap"/>
    <c:showDLblsOverMax val="0"/>
  </c:chart>
  <c:spPr>
    <a:solidFill>
      <a:schemeClr val="bg1"/>
    </a:solidFill>
    <a:ln w="9525" cap="flat" cmpd="sng" algn="ctr">
      <a:solidFill>
        <a:schemeClr val="tx1"/>
      </a:solidFill>
      <a:round/>
    </a:ln>
    <a:effectLst/>
  </c:spPr>
  <c:txPr>
    <a:bodyPr/>
    <a:lstStyle/>
    <a:p>
      <a:pPr>
        <a:defRPr sz="1600" b="1">
          <a:solidFill>
            <a:sysClr val="windowText" lastClr="000000"/>
          </a:solidFill>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'8 AprenCNProQuímicos'!$G$13</c:f>
              <c:strCache>
                <c:ptCount val="1"/>
                <c:pt idx="0">
                  <c:v>Observar y relacionar patrones en los datos para evaluar las predicciones. - Procesos químicos</c:v>
                </c:pt>
              </c:strCache>
            </c:strRef>
          </c:tx>
          <c:spPr>
            <a:ln w="28575" cap="rnd">
              <a:solidFill>
                <a:schemeClr val="accent1"/>
              </a:solidFill>
              <a:round/>
            </a:ln>
            <a:effectLst/>
          </c:spPr>
          <c:marker>
            <c:symbol val="none"/>
          </c:marker>
          <c:dLbls>
            <c:spPr>
              <a:noFill/>
              <a:ln>
                <a:noFill/>
              </a:ln>
              <a:effectLst/>
            </c:spPr>
            <c:txPr>
              <a:bodyPr rot="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'8 AprenCNProQuímicos'!$B$15:$B$24</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'8 AprenCNProQuímicos'!$G$15:$G$24</c:f>
              <c:numCache>
                <c:formatCode>0%</c:formatCode>
                <c:ptCount val="10"/>
                <c:pt idx="0">
                  <c:v>0</c:v>
                </c:pt>
                <c:pt idx="1">
                  <c:v>0</c:v>
                </c:pt>
                <c:pt idx="2">
                  <c:v>0</c:v>
                </c:pt>
                <c:pt idx="3">
                  <c:v>0</c:v>
                </c:pt>
                <c:pt idx="4">
                  <c:v>0</c:v>
                </c:pt>
                <c:pt idx="5">
                  <c:v>0</c:v>
                </c:pt>
                <c:pt idx="6">
                  <c:v>0</c:v>
                </c:pt>
                <c:pt idx="7">
                  <c:v>0</c:v>
                </c:pt>
                <c:pt idx="8">
                  <c:v>0.38</c:v>
                </c:pt>
                <c:pt idx="9">
                  <c:v>0.43</c:v>
                </c:pt>
              </c:numCache>
            </c:numRef>
          </c:val>
          <c:smooth val="0"/>
          <c:extLst>
            <c:ext xmlns:c16="http://schemas.microsoft.com/office/drawing/2014/chart" uri="{C3380CC4-5D6E-409C-BE32-E72D297353CC}">
              <c16:uniqueId val="{00000001-3A58-4A56-87F3-4BBA44ED23CD}"/>
            </c:ext>
          </c:extLst>
        </c:ser>
        <c:ser>
          <c:idx val="1"/>
          <c:order val="1"/>
          <c:tx>
            <c:strRef>
              <c:f>'8 AprenCNProQuímicos'!$H$13</c:f>
              <c:strCache>
                <c:ptCount val="1"/>
                <c:pt idx="0">
                  <c:v>Utilizar algunas habilidades de pensamiento y de procedimiento para  evaluar predicciones - Procesos químicos</c:v>
                </c:pt>
              </c:strCache>
            </c:strRef>
          </c:tx>
          <c:spPr>
            <a:ln w="28575" cap="rnd">
              <a:solidFill>
                <a:schemeClr val="accent2"/>
              </a:solidFill>
              <a:round/>
            </a:ln>
            <a:effectLst/>
          </c:spPr>
          <c:marker>
            <c:symbol val="none"/>
          </c:marker>
          <c:dLbls>
            <c:spPr>
              <a:noFill/>
              <a:ln>
                <a:noFill/>
              </a:ln>
              <a:effectLst/>
            </c:spPr>
            <c:txPr>
              <a:bodyPr rot="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'8 AprenCNProQuímicos'!$B$15:$B$24</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'8 AprenCNProQuímicos'!$H$15:$H$24</c:f>
              <c:numCache>
                <c:formatCode>0%</c:formatCode>
                <c:ptCount val="10"/>
                <c:pt idx="0">
                  <c:v>0</c:v>
                </c:pt>
                <c:pt idx="1">
                  <c:v>0</c:v>
                </c:pt>
                <c:pt idx="2">
                  <c:v>0</c:v>
                </c:pt>
                <c:pt idx="3">
                  <c:v>0</c:v>
                </c:pt>
                <c:pt idx="4">
                  <c:v>0</c:v>
                </c:pt>
                <c:pt idx="5">
                  <c:v>0</c:v>
                </c:pt>
                <c:pt idx="6">
                  <c:v>0</c:v>
                </c:pt>
                <c:pt idx="7">
                  <c:v>0</c:v>
                </c:pt>
                <c:pt idx="8">
                  <c:v>0.26</c:v>
                </c:pt>
                <c:pt idx="9">
                  <c:v>0.34</c:v>
                </c:pt>
              </c:numCache>
            </c:numRef>
          </c:val>
          <c:smooth val="0"/>
          <c:extLst>
            <c:ext xmlns:c16="http://schemas.microsoft.com/office/drawing/2014/chart" uri="{C3380CC4-5D6E-409C-BE32-E72D297353CC}">
              <c16:uniqueId val="{00000000-FC13-493E-96F6-345903081151}"/>
            </c:ext>
          </c:extLst>
        </c:ser>
        <c:dLbls>
          <c:showLegendKey val="0"/>
          <c:showVal val="1"/>
          <c:showCatName val="0"/>
          <c:showSerName val="0"/>
          <c:showPercent val="0"/>
          <c:showBubbleSize val="0"/>
        </c:dLbls>
        <c:smooth val="0"/>
        <c:axId val="-2022811728"/>
        <c:axId val="-2009386352"/>
      </c:lineChart>
      <c:catAx>
        <c:axId val="-20228117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crossAx val="-2009386352"/>
        <c:crosses val="autoZero"/>
        <c:auto val="1"/>
        <c:lblAlgn val="ctr"/>
        <c:lblOffset val="100"/>
        <c:noMultiLvlLbl val="0"/>
      </c:catAx>
      <c:valAx>
        <c:axId val="-2009386352"/>
        <c:scaling>
          <c:orientation val="minMax"/>
          <c:max val="1"/>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crossAx val="-202281172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legend>
    <c:plotVisOnly val="1"/>
    <c:dispBlanksAs val="gap"/>
    <c:showDLblsOverMax val="0"/>
  </c:chart>
  <c:spPr>
    <a:solidFill>
      <a:schemeClr val="bg1"/>
    </a:solidFill>
    <a:ln w="9525" cap="flat" cmpd="sng" algn="ctr">
      <a:solidFill>
        <a:schemeClr val="tx1"/>
      </a:solidFill>
      <a:round/>
    </a:ln>
    <a:effectLst/>
  </c:spPr>
  <c:txPr>
    <a:bodyPr/>
    <a:lstStyle/>
    <a:p>
      <a:pPr>
        <a:defRPr sz="1600" b="1">
          <a:solidFill>
            <a:sysClr val="windowText" lastClr="000000"/>
          </a:solidFill>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2808999883604744E-2"/>
          <c:y val="4.8991077877190946E-2"/>
          <c:w val="0.89148520908692708"/>
          <c:h val="0.57534221216698689"/>
        </c:manualLayout>
      </c:layout>
      <c:lineChart>
        <c:grouping val="standard"/>
        <c:varyColors val="0"/>
        <c:ser>
          <c:idx val="0"/>
          <c:order val="0"/>
          <c:tx>
            <c:strRef>
              <c:f>'9 AprenCNProFísicos'!$C$14</c:f>
              <c:strCache>
                <c:ptCount val="1"/>
                <c:pt idx="0">
                  <c:v>Modelar fenómenos de la naturaleza basado en el análisis de variables, la relación entre dos o más conceptos del conocimiento científico y de la evidencia derivada de investigaciones científicas. - Procesos físicos</c:v>
                </c:pt>
              </c:strCache>
            </c:strRef>
          </c:tx>
          <c:spPr>
            <a:ln w="28575" cap="rnd">
              <a:solidFill>
                <a:schemeClr val="accent1"/>
              </a:solidFill>
              <a:round/>
            </a:ln>
            <a:effectLst/>
          </c:spPr>
          <c:marker>
            <c:symbol val="none"/>
          </c:marker>
          <c:dLbls>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'9 AprenCNProFísicos'!$B$16:$B$25</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'9 AprenCNProFísicos'!$C$16:$C$25</c:f>
              <c:numCache>
                <c:formatCode>0%</c:formatCode>
                <c:ptCount val="10"/>
                <c:pt idx="0">
                  <c:v>0</c:v>
                </c:pt>
                <c:pt idx="1">
                  <c:v>0</c:v>
                </c:pt>
                <c:pt idx="2">
                  <c:v>0</c:v>
                </c:pt>
                <c:pt idx="3">
                  <c:v>0</c:v>
                </c:pt>
                <c:pt idx="4">
                  <c:v>0</c:v>
                </c:pt>
                <c:pt idx="5">
                  <c:v>0</c:v>
                </c:pt>
                <c:pt idx="6">
                  <c:v>0</c:v>
                </c:pt>
                <c:pt idx="7">
                  <c:v>0</c:v>
                </c:pt>
                <c:pt idx="8">
                  <c:v>0.38</c:v>
                </c:pt>
                <c:pt idx="9">
                  <c:v>0.28999999999999998</c:v>
                </c:pt>
              </c:numCache>
            </c:numRef>
          </c:val>
          <c:smooth val="0"/>
          <c:extLst>
            <c:ext xmlns:c16="http://schemas.microsoft.com/office/drawing/2014/chart" uri="{C3380CC4-5D6E-409C-BE32-E72D297353CC}">
              <c16:uniqueId val="{00000001-063A-4B16-8D93-4BCF9B3E8BCD}"/>
            </c:ext>
          </c:extLst>
        </c:ser>
        <c:ser>
          <c:idx val="1"/>
          <c:order val="1"/>
          <c:tx>
            <c:strRef>
              <c:f>'9 AprenCNProFísicos'!$D$14</c:f>
              <c:strCache>
                <c:ptCount val="1"/>
                <c:pt idx="0">
                  <c:v>Explicar cómo ocurren algunos fenómenos de la naturaleza basado en observaciones, en patrones y  en conceptos propios del conocimiento científico. - Procesos físicos</c:v>
                </c:pt>
              </c:strCache>
            </c:strRef>
          </c:tx>
          <c:spPr>
            <a:ln w="28575" cap="rnd">
              <a:solidFill>
                <a:schemeClr val="accent2"/>
              </a:solidFill>
              <a:round/>
            </a:ln>
            <a:effectLst/>
          </c:spPr>
          <c:marker>
            <c:symbol val="none"/>
          </c:marker>
          <c:dLbls>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'9 AprenCNProFísicos'!$B$16:$B$25</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'9 AprenCNProFísicos'!$D$16:$D$25</c:f>
              <c:numCache>
                <c:formatCode>0%</c:formatCode>
                <c:ptCount val="10"/>
                <c:pt idx="0">
                  <c:v>0</c:v>
                </c:pt>
                <c:pt idx="1">
                  <c:v>0</c:v>
                </c:pt>
                <c:pt idx="2">
                  <c:v>0</c:v>
                </c:pt>
                <c:pt idx="3">
                  <c:v>0</c:v>
                </c:pt>
                <c:pt idx="4">
                  <c:v>0</c:v>
                </c:pt>
                <c:pt idx="5">
                  <c:v>0</c:v>
                </c:pt>
                <c:pt idx="6">
                  <c:v>0</c:v>
                </c:pt>
                <c:pt idx="7">
                  <c:v>0</c:v>
                </c:pt>
                <c:pt idx="8">
                  <c:v>0.28999999999999998</c:v>
                </c:pt>
                <c:pt idx="9">
                  <c:v>0.57999999999999996</c:v>
                </c:pt>
              </c:numCache>
            </c:numRef>
          </c:val>
          <c:smooth val="0"/>
          <c:extLst>
            <c:ext xmlns:c16="http://schemas.microsoft.com/office/drawing/2014/chart" uri="{C3380CC4-5D6E-409C-BE32-E72D297353CC}">
              <c16:uniqueId val="{00000000-5468-42CC-9E33-A1E62548E5D7}"/>
            </c:ext>
          </c:extLst>
        </c:ser>
        <c:dLbls>
          <c:showLegendKey val="0"/>
          <c:showVal val="1"/>
          <c:showCatName val="0"/>
          <c:showSerName val="0"/>
          <c:showPercent val="0"/>
          <c:showBubbleSize val="0"/>
        </c:dLbls>
        <c:smooth val="0"/>
        <c:axId val="-2009538192"/>
        <c:axId val="-2009545264"/>
      </c:lineChart>
      <c:catAx>
        <c:axId val="-20095381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crossAx val="-2009545264"/>
        <c:crosses val="autoZero"/>
        <c:auto val="1"/>
        <c:lblAlgn val="ctr"/>
        <c:lblOffset val="100"/>
        <c:noMultiLvlLbl val="0"/>
      </c:catAx>
      <c:valAx>
        <c:axId val="-2009545264"/>
        <c:scaling>
          <c:orientation val="minMax"/>
          <c:max val="1"/>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crossAx val="-2009538192"/>
        <c:crosses val="autoZero"/>
        <c:crossBetween val="between"/>
        <c:majorUnit val="0.2"/>
      </c:valAx>
      <c:spPr>
        <a:noFill/>
        <a:ln>
          <a:noFill/>
        </a:ln>
        <a:effectLst/>
      </c:spPr>
    </c:plotArea>
    <c:legend>
      <c:legendPos val="b"/>
      <c:layout>
        <c:manualLayout>
          <c:xMode val="edge"/>
          <c:yMode val="edge"/>
          <c:x val="7.9430371739456815E-2"/>
          <c:y val="0.74541562146139628"/>
          <c:w val="0.89385382442759675"/>
          <c:h val="0.16999907725747251"/>
        </c:manualLayout>
      </c:layout>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legend>
    <c:plotVisOnly val="1"/>
    <c:dispBlanksAs val="gap"/>
    <c:showDLblsOverMax val="0"/>
  </c:chart>
  <c:spPr>
    <a:solidFill>
      <a:schemeClr val="bg1"/>
    </a:solidFill>
    <a:ln w="9525" cap="flat" cmpd="sng" algn="ctr">
      <a:solidFill>
        <a:schemeClr val="tx1"/>
      </a:solidFill>
      <a:round/>
    </a:ln>
    <a:effectLst/>
  </c:spPr>
  <c:txPr>
    <a:bodyPr/>
    <a:lstStyle/>
    <a:p>
      <a:pPr>
        <a:defRPr sz="1400" b="1">
          <a:solidFill>
            <a:sysClr val="windowText" lastClr="000000"/>
          </a:solidFill>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2032780371309497E-2"/>
          <c:y val="3.9401653567979714E-2"/>
          <c:w val="0.87130138753243036"/>
          <c:h val="0.63519232989267571"/>
        </c:manualLayout>
      </c:layout>
      <c:lineChart>
        <c:grouping val="standard"/>
        <c:varyColors val="0"/>
        <c:ser>
          <c:idx val="0"/>
          <c:order val="0"/>
          <c:tx>
            <c:strRef>
              <c:f>'9 AprenCNProFísicos'!$E$14</c:f>
              <c:strCache>
                <c:ptCount val="1"/>
                <c:pt idx="0">
                  <c:v>Comprender que a partir de la investigación científica se construyen explicaciones sobre el mundo natural. - Procesos físicos</c:v>
                </c:pt>
              </c:strCache>
            </c:strRef>
          </c:tx>
          <c:spPr>
            <a:ln w="28575" cap="rnd">
              <a:solidFill>
                <a:schemeClr val="accent1"/>
              </a:solidFill>
              <a:round/>
            </a:ln>
            <a:effectLst/>
          </c:spPr>
          <c:marker>
            <c:symbol val="none"/>
          </c:marker>
          <c:dLbls>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'9 AprenCNProFísicos'!$B$16:$B$25</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'9 AprenCNProFísicos'!$E$16:$E$25</c:f>
              <c:numCache>
                <c:formatCode>0%</c:formatCode>
                <c:ptCount val="10"/>
                <c:pt idx="0">
                  <c:v>0</c:v>
                </c:pt>
                <c:pt idx="1">
                  <c:v>0</c:v>
                </c:pt>
                <c:pt idx="2">
                  <c:v>0</c:v>
                </c:pt>
                <c:pt idx="3">
                  <c:v>0</c:v>
                </c:pt>
                <c:pt idx="4">
                  <c:v>0</c:v>
                </c:pt>
                <c:pt idx="5">
                  <c:v>0</c:v>
                </c:pt>
                <c:pt idx="6">
                  <c:v>0</c:v>
                </c:pt>
                <c:pt idx="7">
                  <c:v>0</c:v>
                </c:pt>
                <c:pt idx="8">
                  <c:v>0.42</c:v>
                </c:pt>
                <c:pt idx="9">
                  <c:v>0.57999999999999996</c:v>
                </c:pt>
              </c:numCache>
            </c:numRef>
          </c:val>
          <c:smooth val="0"/>
          <c:extLst>
            <c:ext xmlns:c16="http://schemas.microsoft.com/office/drawing/2014/chart" uri="{C3380CC4-5D6E-409C-BE32-E72D297353CC}">
              <c16:uniqueId val="{00000001-1B62-4A05-AEDE-4E887618E87B}"/>
            </c:ext>
          </c:extLst>
        </c:ser>
        <c:ser>
          <c:idx val="1"/>
          <c:order val="1"/>
          <c:tx>
            <c:strRef>
              <c:f>'9 AprenCNProFísicos'!$F$14</c:f>
              <c:strCache>
                <c:ptCount val="1"/>
                <c:pt idx="0">
                  <c:v>Derivar conclusiones para algunos fenómenos de la naturaleza basándose en conocimientos científicos y en la evidencia de su propia investigación y de la de otros. - Procesos físicos</c:v>
                </c:pt>
              </c:strCache>
            </c:strRef>
          </c:tx>
          <c:spPr>
            <a:ln w="28575" cap="rnd">
              <a:solidFill>
                <a:schemeClr val="accent2"/>
              </a:solidFill>
              <a:round/>
            </a:ln>
            <a:effectLst/>
          </c:spPr>
          <c:marker>
            <c:symbol val="none"/>
          </c:marker>
          <c:dLbls>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'9 AprenCNProFísicos'!$B$16:$B$25</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'9 AprenCNProFísicos'!$F$16:$F$25</c:f>
              <c:numCache>
                <c:formatCode>0%</c:formatCode>
                <c:ptCount val="10"/>
                <c:pt idx="0">
                  <c:v>0</c:v>
                </c:pt>
                <c:pt idx="1">
                  <c:v>0</c:v>
                </c:pt>
                <c:pt idx="2">
                  <c:v>0</c:v>
                </c:pt>
                <c:pt idx="3">
                  <c:v>0</c:v>
                </c:pt>
                <c:pt idx="4">
                  <c:v>0</c:v>
                </c:pt>
                <c:pt idx="5">
                  <c:v>0</c:v>
                </c:pt>
                <c:pt idx="6">
                  <c:v>0</c:v>
                </c:pt>
                <c:pt idx="7">
                  <c:v>0</c:v>
                </c:pt>
                <c:pt idx="8">
                  <c:v>0.48</c:v>
                </c:pt>
                <c:pt idx="9">
                  <c:v>0.52</c:v>
                </c:pt>
              </c:numCache>
            </c:numRef>
          </c:val>
          <c:smooth val="0"/>
          <c:extLst>
            <c:ext xmlns:c16="http://schemas.microsoft.com/office/drawing/2014/chart" uri="{C3380CC4-5D6E-409C-BE32-E72D297353CC}">
              <c16:uniqueId val="{00000000-2E29-482F-BA21-46049744E204}"/>
            </c:ext>
          </c:extLst>
        </c:ser>
        <c:dLbls>
          <c:showLegendKey val="0"/>
          <c:showVal val="1"/>
          <c:showCatName val="0"/>
          <c:showSerName val="0"/>
          <c:showPercent val="0"/>
          <c:showBubbleSize val="0"/>
        </c:dLbls>
        <c:smooth val="0"/>
        <c:axId val="-2009540368"/>
        <c:axId val="-2009544720"/>
      </c:lineChart>
      <c:catAx>
        <c:axId val="-20095403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crossAx val="-2009544720"/>
        <c:crosses val="autoZero"/>
        <c:auto val="1"/>
        <c:lblAlgn val="ctr"/>
        <c:lblOffset val="100"/>
        <c:noMultiLvlLbl val="0"/>
      </c:catAx>
      <c:valAx>
        <c:axId val="-2009544720"/>
        <c:scaling>
          <c:orientation val="minMax"/>
          <c:max val="1"/>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crossAx val="-2009540368"/>
        <c:crosses val="autoZero"/>
        <c:crossBetween val="between"/>
      </c:valAx>
      <c:spPr>
        <a:noFill/>
        <a:ln>
          <a:noFill/>
        </a:ln>
        <a:effectLst/>
      </c:spPr>
    </c:plotArea>
    <c:legend>
      <c:legendPos val="b"/>
      <c:layout>
        <c:manualLayout>
          <c:xMode val="edge"/>
          <c:yMode val="edge"/>
          <c:x val="6.2328851825403146E-2"/>
          <c:y val="0.78652064486219353"/>
          <c:w val="0.89089245586168098"/>
          <c:h val="0.14472260125512421"/>
        </c:manualLayout>
      </c:layout>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legend>
    <c:plotVisOnly val="1"/>
    <c:dispBlanksAs val="gap"/>
    <c:showDLblsOverMax val="0"/>
  </c:chart>
  <c:spPr>
    <a:solidFill>
      <a:schemeClr val="bg1"/>
    </a:solidFill>
    <a:ln w="9525" cap="flat" cmpd="sng" algn="ctr">
      <a:solidFill>
        <a:schemeClr val="tx1"/>
      </a:solidFill>
      <a:round/>
    </a:ln>
    <a:effectLst/>
  </c:spPr>
  <c:txPr>
    <a:bodyPr/>
    <a:lstStyle/>
    <a:p>
      <a:pPr>
        <a:defRPr sz="1400" b="1">
          <a:solidFill>
            <a:sysClr val="windowText" lastClr="000000"/>
          </a:solidFill>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r>
              <a:rPr lang="es-CO" sz="1100" b="0" i="0" baseline="0">
                <a:effectLst/>
              </a:rPr>
              <a:t>Promedio por Prueba y Sector Instituciones No Oficiales </a:t>
            </a:r>
          </a:p>
          <a:p>
            <a:pPr>
              <a:defRPr sz="1100"/>
            </a:pPr>
            <a:r>
              <a:rPr lang="es-CO" sz="1100" b="0" i="0" baseline="0">
                <a:effectLst/>
              </a:rPr>
              <a:t>2016-2025</a:t>
            </a:r>
            <a:endParaRPr lang="es-CO" sz="1100">
              <a:effectLst/>
            </a:endParaRPr>
          </a:p>
        </c:rich>
      </c:tx>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radarChart>
        <c:radarStyle val="marker"/>
        <c:varyColors val="0"/>
        <c:ser>
          <c:idx val="0"/>
          <c:order val="0"/>
          <c:tx>
            <c:strRef>
              <c:f>PGLOBAL!$Q$397</c:f>
              <c:strCache>
                <c:ptCount val="1"/>
                <c:pt idx="0">
                  <c:v>2016</c:v>
                </c:pt>
              </c:strCache>
            </c:strRef>
          </c:tx>
          <c:spPr>
            <a:ln w="28575" cap="rnd">
              <a:solidFill>
                <a:schemeClr val="accent1"/>
              </a:solidFill>
              <a:round/>
            </a:ln>
            <a:effectLst/>
          </c:spPr>
          <c:marker>
            <c:symbol val="none"/>
          </c:marker>
          <c:val>
            <c:numRef>
              <c:f>PGLOBAL!$Q$398:$Q$402</c:f>
              <c:numCache>
                <c:formatCode>General</c:formatCode>
                <c:ptCount val="5"/>
                <c:pt idx="0">
                  <c:v>55</c:v>
                </c:pt>
                <c:pt idx="1">
                  <c:v>54</c:v>
                </c:pt>
                <c:pt idx="2">
                  <c:v>53</c:v>
                </c:pt>
                <c:pt idx="3">
                  <c:v>55</c:v>
                </c:pt>
                <c:pt idx="4">
                  <c:v>56</c:v>
                </c:pt>
              </c:numCache>
            </c:numRef>
          </c:val>
          <c:extLst>
            <c:ext xmlns:c15="http://schemas.microsoft.com/office/drawing/2012/chart" uri="{02D57815-91ED-43cb-92C2-25804820EDAC}">
              <c15:filteredCategoryTitle>
                <c15:cat>
                  <c:strRef>
                    <c:extLst>
                      <c:ext uri="{02D57815-91ED-43cb-92C2-25804820EDAC}">
                        <c15:formulaRef>
                          <c15:sqref>PGLOBAL!$P$398:$P$402</c15:sqref>
                        </c15:formulaRef>
                      </c:ext>
                    </c:extLst>
                    <c:strCache>
                      <c:ptCount val="5"/>
                      <c:pt idx="0">
                        <c:v>LECTURA CRÍTICA</c:v>
                      </c:pt>
                      <c:pt idx="1">
                        <c:v>MATEMÁTICAS</c:v>
                      </c:pt>
                      <c:pt idx="2">
                        <c:v>SOCIALES Y CIUDADANAS</c:v>
                      </c:pt>
                      <c:pt idx="3">
                        <c:v>CIENCIAS NATURALES</c:v>
                      </c:pt>
                      <c:pt idx="4">
                        <c:v>INGLÉS</c:v>
                      </c:pt>
                    </c:strCache>
                  </c:strRef>
                </c15:cat>
              </c15:filteredCategoryTitle>
            </c:ext>
            <c:ext xmlns:c16="http://schemas.microsoft.com/office/drawing/2014/chart" uri="{C3380CC4-5D6E-409C-BE32-E72D297353CC}">
              <c16:uniqueId val="{00000000-3416-4D36-A2BF-75BF50D85281}"/>
            </c:ext>
          </c:extLst>
        </c:ser>
        <c:ser>
          <c:idx val="1"/>
          <c:order val="1"/>
          <c:tx>
            <c:strRef>
              <c:f>PGLOBAL!$R$397</c:f>
              <c:strCache>
                <c:ptCount val="1"/>
                <c:pt idx="0">
                  <c:v>2017</c:v>
                </c:pt>
              </c:strCache>
            </c:strRef>
          </c:tx>
          <c:spPr>
            <a:ln w="28575" cap="rnd">
              <a:solidFill>
                <a:schemeClr val="accent2"/>
              </a:solidFill>
              <a:round/>
            </a:ln>
            <a:effectLst/>
          </c:spPr>
          <c:marker>
            <c:symbol val="none"/>
          </c:marker>
          <c:val>
            <c:numRef>
              <c:f>PGLOBAL!$R$398:$R$402</c:f>
              <c:numCache>
                <c:formatCode>General</c:formatCode>
                <c:ptCount val="5"/>
                <c:pt idx="0">
                  <c:v>56</c:v>
                </c:pt>
                <c:pt idx="1">
                  <c:v>53</c:v>
                </c:pt>
                <c:pt idx="2">
                  <c:v>53</c:v>
                </c:pt>
                <c:pt idx="3">
                  <c:v>54</c:v>
                </c:pt>
                <c:pt idx="4">
                  <c:v>53</c:v>
                </c:pt>
              </c:numCache>
            </c:numRef>
          </c:val>
          <c:extLst>
            <c:ext xmlns:c15="http://schemas.microsoft.com/office/drawing/2012/chart" uri="{02D57815-91ED-43cb-92C2-25804820EDAC}">
              <c15:filteredCategoryTitle>
                <c15:cat>
                  <c:strRef>
                    <c:extLst>
                      <c:ext uri="{02D57815-91ED-43cb-92C2-25804820EDAC}">
                        <c15:formulaRef>
                          <c15:sqref>PGLOBAL!$P$398:$P$402</c15:sqref>
                        </c15:formulaRef>
                      </c:ext>
                    </c:extLst>
                    <c:strCache>
                      <c:ptCount val="5"/>
                      <c:pt idx="0">
                        <c:v>LECTURA CRÍTICA</c:v>
                      </c:pt>
                      <c:pt idx="1">
                        <c:v>MATEMÁTICAS</c:v>
                      </c:pt>
                      <c:pt idx="2">
                        <c:v>SOCIALES Y CIUDADANAS</c:v>
                      </c:pt>
                      <c:pt idx="3">
                        <c:v>CIENCIAS NATURALES</c:v>
                      </c:pt>
                      <c:pt idx="4">
                        <c:v>INGLÉS</c:v>
                      </c:pt>
                    </c:strCache>
                  </c:strRef>
                </c15:cat>
              </c15:filteredCategoryTitle>
            </c:ext>
            <c:ext xmlns:c16="http://schemas.microsoft.com/office/drawing/2014/chart" uri="{C3380CC4-5D6E-409C-BE32-E72D297353CC}">
              <c16:uniqueId val="{00000001-3416-4D36-A2BF-75BF50D85281}"/>
            </c:ext>
          </c:extLst>
        </c:ser>
        <c:ser>
          <c:idx val="2"/>
          <c:order val="2"/>
          <c:tx>
            <c:strRef>
              <c:f>PGLOBAL!$S$397</c:f>
              <c:strCache>
                <c:ptCount val="1"/>
                <c:pt idx="0">
                  <c:v>2018</c:v>
                </c:pt>
              </c:strCache>
            </c:strRef>
          </c:tx>
          <c:spPr>
            <a:ln w="28575" cap="rnd">
              <a:solidFill>
                <a:schemeClr val="accent3"/>
              </a:solidFill>
              <a:round/>
            </a:ln>
            <a:effectLst/>
          </c:spPr>
          <c:marker>
            <c:symbol val="none"/>
          </c:marker>
          <c:val>
            <c:numRef>
              <c:f>PGLOBAL!$S$398:$S$402</c:f>
              <c:numCache>
                <c:formatCode>General</c:formatCode>
                <c:ptCount val="5"/>
                <c:pt idx="0">
                  <c:v>56</c:v>
                </c:pt>
                <c:pt idx="1">
                  <c:v>54</c:v>
                </c:pt>
                <c:pt idx="2">
                  <c:v>52</c:v>
                </c:pt>
                <c:pt idx="3">
                  <c:v>53</c:v>
                </c:pt>
                <c:pt idx="4">
                  <c:v>55</c:v>
                </c:pt>
              </c:numCache>
            </c:numRef>
          </c:val>
          <c:extLst>
            <c:ext xmlns:c15="http://schemas.microsoft.com/office/drawing/2012/chart" uri="{02D57815-91ED-43cb-92C2-25804820EDAC}">
              <c15:filteredCategoryTitle>
                <c15:cat>
                  <c:strRef>
                    <c:extLst>
                      <c:ext uri="{02D57815-91ED-43cb-92C2-25804820EDAC}">
                        <c15:formulaRef>
                          <c15:sqref>PGLOBAL!$P$398:$P$402</c15:sqref>
                        </c15:formulaRef>
                      </c:ext>
                    </c:extLst>
                    <c:strCache>
                      <c:ptCount val="5"/>
                      <c:pt idx="0">
                        <c:v>LECTURA CRÍTICA</c:v>
                      </c:pt>
                      <c:pt idx="1">
                        <c:v>MATEMÁTICAS</c:v>
                      </c:pt>
                      <c:pt idx="2">
                        <c:v>SOCIALES Y CIUDADANAS</c:v>
                      </c:pt>
                      <c:pt idx="3">
                        <c:v>CIENCIAS NATURALES</c:v>
                      </c:pt>
                      <c:pt idx="4">
                        <c:v>INGLÉS</c:v>
                      </c:pt>
                    </c:strCache>
                  </c:strRef>
                </c15:cat>
              </c15:filteredCategoryTitle>
            </c:ext>
            <c:ext xmlns:c16="http://schemas.microsoft.com/office/drawing/2014/chart" uri="{C3380CC4-5D6E-409C-BE32-E72D297353CC}">
              <c16:uniqueId val="{00000002-3416-4D36-A2BF-75BF50D85281}"/>
            </c:ext>
          </c:extLst>
        </c:ser>
        <c:ser>
          <c:idx val="3"/>
          <c:order val="3"/>
          <c:tx>
            <c:strRef>
              <c:f>PGLOBAL!$T$397</c:f>
              <c:strCache>
                <c:ptCount val="1"/>
                <c:pt idx="0">
                  <c:v>2019</c:v>
                </c:pt>
              </c:strCache>
            </c:strRef>
          </c:tx>
          <c:spPr>
            <a:ln w="28575" cap="rnd">
              <a:solidFill>
                <a:schemeClr val="accent4"/>
              </a:solidFill>
              <a:round/>
            </a:ln>
            <a:effectLst/>
          </c:spPr>
          <c:marker>
            <c:symbol val="none"/>
          </c:marker>
          <c:val>
            <c:numRef>
              <c:f>PGLOBAL!$T$398:$T$402</c:f>
              <c:numCache>
                <c:formatCode>General</c:formatCode>
                <c:ptCount val="5"/>
                <c:pt idx="0">
                  <c:v>56</c:v>
                </c:pt>
                <c:pt idx="1">
                  <c:v>55</c:v>
                </c:pt>
                <c:pt idx="2">
                  <c:v>50</c:v>
                </c:pt>
                <c:pt idx="3">
                  <c:v>52</c:v>
                </c:pt>
                <c:pt idx="4">
                  <c:v>54</c:v>
                </c:pt>
              </c:numCache>
            </c:numRef>
          </c:val>
          <c:extLst>
            <c:ext xmlns:c15="http://schemas.microsoft.com/office/drawing/2012/chart" uri="{02D57815-91ED-43cb-92C2-25804820EDAC}">
              <c15:filteredCategoryTitle>
                <c15:cat>
                  <c:strRef>
                    <c:extLst>
                      <c:ext uri="{02D57815-91ED-43cb-92C2-25804820EDAC}">
                        <c15:formulaRef>
                          <c15:sqref>PGLOBAL!$P$398:$P$402</c15:sqref>
                        </c15:formulaRef>
                      </c:ext>
                    </c:extLst>
                    <c:strCache>
                      <c:ptCount val="5"/>
                      <c:pt idx="0">
                        <c:v>LECTURA CRÍTICA</c:v>
                      </c:pt>
                      <c:pt idx="1">
                        <c:v>MATEMÁTICAS</c:v>
                      </c:pt>
                      <c:pt idx="2">
                        <c:v>SOCIALES Y CIUDADANAS</c:v>
                      </c:pt>
                      <c:pt idx="3">
                        <c:v>CIENCIAS NATURALES</c:v>
                      </c:pt>
                      <c:pt idx="4">
                        <c:v>INGLÉS</c:v>
                      </c:pt>
                    </c:strCache>
                  </c:strRef>
                </c15:cat>
              </c15:filteredCategoryTitle>
            </c:ext>
            <c:ext xmlns:c16="http://schemas.microsoft.com/office/drawing/2014/chart" uri="{C3380CC4-5D6E-409C-BE32-E72D297353CC}">
              <c16:uniqueId val="{00000003-3416-4D36-A2BF-75BF50D85281}"/>
            </c:ext>
          </c:extLst>
        </c:ser>
        <c:ser>
          <c:idx val="4"/>
          <c:order val="4"/>
          <c:tx>
            <c:strRef>
              <c:f>PGLOBAL!$U$397</c:f>
              <c:strCache>
                <c:ptCount val="1"/>
                <c:pt idx="0">
                  <c:v>2020</c:v>
                </c:pt>
              </c:strCache>
            </c:strRef>
          </c:tx>
          <c:spPr>
            <a:ln w="28575" cap="rnd">
              <a:solidFill>
                <a:schemeClr val="accent5"/>
              </a:solidFill>
              <a:round/>
            </a:ln>
            <a:effectLst/>
          </c:spPr>
          <c:marker>
            <c:symbol val="none"/>
          </c:marker>
          <c:val>
            <c:numRef>
              <c:f>PGLOBAL!$U$398:$U$402</c:f>
              <c:numCache>
                <c:formatCode>General</c:formatCode>
                <c:ptCount val="5"/>
                <c:pt idx="0">
                  <c:v>55</c:v>
                </c:pt>
                <c:pt idx="1">
                  <c:v>55</c:v>
                </c:pt>
                <c:pt idx="2">
                  <c:v>52</c:v>
                </c:pt>
                <c:pt idx="3">
                  <c:v>51</c:v>
                </c:pt>
                <c:pt idx="4">
                  <c:v>50</c:v>
                </c:pt>
              </c:numCache>
            </c:numRef>
          </c:val>
          <c:extLst>
            <c:ext xmlns:c15="http://schemas.microsoft.com/office/drawing/2012/chart" uri="{02D57815-91ED-43cb-92C2-25804820EDAC}">
              <c15:filteredCategoryTitle>
                <c15:cat>
                  <c:strRef>
                    <c:extLst>
                      <c:ext uri="{02D57815-91ED-43cb-92C2-25804820EDAC}">
                        <c15:formulaRef>
                          <c15:sqref>PGLOBAL!$P$398:$P$402</c15:sqref>
                        </c15:formulaRef>
                      </c:ext>
                    </c:extLst>
                    <c:strCache>
                      <c:ptCount val="5"/>
                      <c:pt idx="0">
                        <c:v>LECTURA CRÍTICA</c:v>
                      </c:pt>
                      <c:pt idx="1">
                        <c:v>MATEMÁTICAS</c:v>
                      </c:pt>
                      <c:pt idx="2">
                        <c:v>SOCIALES Y CIUDADANAS</c:v>
                      </c:pt>
                      <c:pt idx="3">
                        <c:v>CIENCIAS NATURALES</c:v>
                      </c:pt>
                      <c:pt idx="4">
                        <c:v>INGLÉS</c:v>
                      </c:pt>
                    </c:strCache>
                  </c:strRef>
                </c15:cat>
              </c15:filteredCategoryTitle>
            </c:ext>
            <c:ext xmlns:c16="http://schemas.microsoft.com/office/drawing/2014/chart" uri="{C3380CC4-5D6E-409C-BE32-E72D297353CC}">
              <c16:uniqueId val="{00000004-3416-4D36-A2BF-75BF50D85281}"/>
            </c:ext>
          </c:extLst>
        </c:ser>
        <c:ser>
          <c:idx val="5"/>
          <c:order val="5"/>
          <c:tx>
            <c:strRef>
              <c:f>PGLOBAL!$V$397</c:f>
              <c:strCache>
                <c:ptCount val="1"/>
                <c:pt idx="0">
                  <c:v>2021</c:v>
                </c:pt>
              </c:strCache>
            </c:strRef>
          </c:tx>
          <c:spPr>
            <a:ln w="28575" cap="rnd">
              <a:solidFill>
                <a:schemeClr val="accent6"/>
              </a:solidFill>
              <a:round/>
            </a:ln>
            <a:effectLst/>
          </c:spPr>
          <c:marker>
            <c:symbol val="none"/>
          </c:marker>
          <c:val>
            <c:numRef>
              <c:f>PGLOBAL!$V$398:$V$402</c:f>
              <c:numCache>
                <c:formatCode>General</c:formatCode>
                <c:ptCount val="5"/>
                <c:pt idx="0">
                  <c:v>56</c:v>
                </c:pt>
                <c:pt idx="1">
                  <c:v>54</c:v>
                </c:pt>
                <c:pt idx="2">
                  <c:v>51</c:v>
                </c:pt>
                <c:pt idx="3">
                  <c:v>51</c:v>
                </c:pt>
                <c:pt idx="4">
                  <c:v>55</c:v>
                </c:pt>
              </c:numCache>
            </c:numRef>
          </c:val>
          <c:extLst>
            <c:ext xmlns:c15="http://schemas.microsoft.com/office/drawing/2012/chart" uri="{02D57815-91ED-43cb-92C2-25804820EDAC}">
              <c15:filteredCategoryTitle>
                <c15:cat>
                  <c:strRef>
                    <c:extLst>
                      <c:ext uri="{02D57815-91ED-43cb-92C2-25804820EDAC}">
                        <c15:formulaRef>
                          <c15:sqref>PGLOBAL!$P$398:$P$402</c15:sqref>
                        </c15:formulaRef>
                      </c:ext>
                    </c:extLst>
                    <c:strCache>
                      <c:ptCount val="5"/>
                      <c:pt idx="0">
                        <c:v>LECTURA CRÍTICA</c:v>
                      </c:pt>
                      <c:pt idx="1">
                        <c:v>MATEMÁTICAS</c:v>
                      </c:pt>
                      <c:pt idx="2">
                        <c:v>SOCIALES Y CIUDADANAS</c:v>
                      </c:pt>
                      <c:pt idx="3">
                        <c:v>CIENCIAS NATURALES</c:v>
                      </c:pt>
                      <c:pt idx="4">
                        <c:v>INGLÉS</c:v>
                      </c:pt>
                    </c:strCache>
                  </c:strRef>
                </c15:cat>
              </c15:filteredCategoryTitle>
            </c:ext>
            <c:ext xmlns:c16="http://schemas.microsoft.com/office/drawing/2014/chart" uri="{C3380CC4-5D6E-409C-BE32-E72D297353CC}">
              <c16:uniqueId val="{00000005-3416-4D36-A2BF-75BF50D85281}"/>
            </c:ext>
          </c:extLst>
        </c:ser>
        <c:ser>
          <c:idx val="6"/>
          <c:order val="6"/>
          <c:tx>
            <c:strRef>
              <c:f>PGLOBAL!$W$397</c:f>
              <c:strCache>
                <c:ptCount val="1"/>
                <c:pt idx="0">
                  <c:v>2022</c:v>
                </c:pt>
              </c:strCache>
            </c:strRef>
          </c:tx>
          <c:spPr>
            <a:ln w="28575" cap="rnd">
              <a:solidFill>
                <a:schemeClr val="accent1">
                  <a:lumMod val="60000"/>
                </a:schemeClr>
              </a:solidFill>
              <a:round/>
            </a:ln>
            <a:effectLst/>
          </c:spPr>
          <c:marker>
            <c:symbol val="circle"/>
            <c:size val="5"/>
            <c:spPr>
              <a:solidFill>
                <a:schemeClr val="accent1">
                  <a:lumMod val="60000"/>
                </a:schemeClr>
              </a:solidFill>
              <a:ln w="9525">
                <a:solidFill>
                  <a:schemeClr val="accent1">
                    <a:lumMod val="60000"/>
                  </a:schemeClr>
                </a:solidFill>
              </a:ln>
              <a:effectLst/>
            </c:spPr>
          </c:marker>
          <c:dLbls>
            <c:dLbl>
              <c:idx val="0"/>
              <c:layout>
                <c:manualLayout>
                  <c:x val="6.9494629943831557E-3"/>
                  <c:y val="3.1432803719465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3416-4D36-A2BF-75BF50D85281}"/>
                </c:ext>
              </c:extLst>
            </c:dLbl>
            <c:dLbl>
              <c:idx val="4"/>
              <c:layout>
                <c:manualLayout>
                  <c:x val="1.389892598876627E-2"/>
                  <c:y val="-5.7626141116921277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3416-4D36-A2BF-75BF50D8528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PGLOBAL!$W$398:$W$402</c:f>
              <c:numCache>
                <c:formatCode>General</c:formatCode>
                <c:ptCount val="5"/>
                <c:pt idx="0">
                  <c:v>57</c:v>
                </c:pt>
                <c:pt idx="1">
                  <c:v>55</c:v>
                </c:pt>
                <c:pt idx="2">
                  <c:v>52</c:v>
                </c:pt>
                <c:pt idx="3">
                  <c:v>52</c:v>
                </c:pt>
                <c:pt idx="4">
                  <c:v>56</c:v>
                </c:pt>
              </c:numCache>
            </c:numRef>
          </c:val>
          <c:extLst>
            <c:ext xmlns:c15="http://schemas.microsoft.com/office/drawing/2012/chart" uri="{02D57815-91ED-43cb-92C2-25804820EDAC}">
              <c15:filteredCategoryTitle>
                <c15:cat>
                  <c:strRef>
                    <c:extLst>
                      <c:ext uri="{02D57815-91ED-43cb-92C2-25804820EDAC}">
                        <c15:formulaRef>
                          <c15:sqref>PGLOBAL!$P$398:$P$402</c15:sqref>
                        </c15:formulaRef>
                      </c:ext>
                    </c:extLst>
                    <c:strCache>
                      <c:ptCount val="5"/>
                      <c:pt idx="0">
                        <c:v>LECTURA CRÍTICA</c:v>
                      </c:pt>
                      <c:pt idx="1">
                        <c:v>MATEMÁTICAS</c:v>
                      </c:pt>
                      <c:pt idx="2">
                        <c:v>SOCIALES Y CIUDADANAS</c:v>
                      </c:pt>
                      <c:pt idx="3">
                        <c:v>CIENCIAS NATURALES</c:v>
                      </c:pt>
                      <c:pt idx="4">
                        <c:v>INGLÉS</c:v>
                      </c:pt>
                    </c:strCache>
                  </c:strRef>
                </c15:cat>
              </c15:filteredCategoryTitle>
            </c:ext>
            <c:ext xmlns:c16="http://schemas.microsoft.com/office/drawing/2014/chart" uri="{C3380CC4-5D6E-409C-BE32-E72D297353CC}">
              <c16:uniqueId val="{00000006-3416-4D36-A2BF-75BF50D85281}"/>
            </c:ext>
          </c:extLst>
        </c:ser>
        <c:ser>
          <c:idx val="7"/>
          <c:order val="7"/>
          <c:tx>
            <c:strRef>
              <c:f>PGLOBAL!$X$397</c:f>
              <c:strCache>
                <c:ptCount val="1"/>
                <c:pt idx="0">
                  <c:v>2023</c:v>
                </c:pt>
              </c:strCache>
            </c:strRef>
          </c:tx>
          <c:spPr>
            <a:ln w="28575" cap="rnd">
              <a:solidFill>
                <a:schemeClr val="accent2">
                  <a:lumMod val="60000"/>
                </a:schemeClr>
              </a:solidFill>
              <a:round/>
            </a:ln>
            <a:effectLst/>
          </c:spPr>
          <c:marker>
            <c:symbol val="none"/>
          </c:marker>
          <c:val>
            <c:numRef>
              <c:f>PGLOBAL!$X$398:$X$402</c:f>
              <c:numCache>
                <c:formatCode>0</c:formatCode>
                <c:ptCount val="5"/>
                <c:pt idx="0">
                  <c:v>57</c:v>
                </c:pt>
                <c:pt idx="1">
                  <c:v>55</c:v>
                </c:pt>
                <c:pt idx="2">
                  <c:v>53</c:v>
                </c:pt>
                <c:pt idx="3">
                  <c:v>53</c:v>
                </c:pt>
                <c:pt idx="4">
                  <c:v>56</c:v>
                </c:pt>
              </c:numCache>
            </c:numRef>
          </c:val>
          <c:extLst>
            <c:ext xmlns:c15="http://schemas.microsoft.com/office/drawing/2012/chart" uri="{02D57815-91ED-43cb-92C2-25804820EDAC}">
              <c15:filteredCategoryTitle>
                <c15:cat>
                  <c:strRef>
                    <c:extLst>
                      <c:ext uri="{02D57815-91ED-43cb-92C2-25804820EDAC}">
                        <c15:formulaRef>
                          <c15:sqref>PGLOBAL!$P$398:$P$402</c15:sqref>
                        </c15:formulaRef>
                      </c:ext>
                    </c:extLst>
                    <c:strCache>
                      <c:ptCount val="5"/>
                      <c:pt idx="0">
                        <c:v>LECTURA CRÍTICA</c:v>
                      </c:pt>
                      <c:pt idx="1">
                        <c:v>MATEMÁTICAS</c:v>
                      </c:pt>
                      <c:pt idx="2">
                        <c:v>SOCIALES Y CIUDADANAS</c:v>
                      </c:pt>
                      <c:pt idx="3">
                        <c:v>CIENCIAS NATURALES</c:v>
                      </c:pt>
                      <c:pt idx="4">
                        <c:v>INGLÉS</c:v>
                      </c:pt>
                    </c:strCache>
                  </c:strRef>
                </c15:cat>
              </c15:filteredCategoryTitle>
            </c:ext>
            <c:ext xmlns:c16="http://schemas.microsoft.com/office/drawing/2014/chart" uri="{C3380CC4-5D6E-409C-BE32-E72D297353CC}">
              <c16:uniqueId val="{00000000-9342-48E9-84AC-9D12AE2A2884}"/>
            </c:ext>
          </c:extLst>
        </c:ser>
        <c:ser>
          <c:idx val="8"/>
          <c:order val="8"/>
          <c:tx>
            <c:strRef>
              <c:f>PGLOBAL!$Y$397</c:f>
              <c:strCache>
                <c:ptCount val="1"/>
                <c:pt idx="0">
                  <c:v>2024</c:v>
                </c:pt>
              </c:strCache>
            </c:strRef>
          </c:tx>
          <c:spPr>
            <a:ln w="28575" cap="rnd">
              <a:solidFill>
                <a:schemeClr val="accent3">
                  <a:lumMod val="60000"/>
                </a:schemeClr>
              </a:solidFill>
              <a:round/>
            </a:ln>
            <a:effectLst/>
          </c:spPr>
          <c:marker>
            <c:symbol val="none"/>
          </c:marker>
          <c:val>
            <c:numRef>
              <c:f>PGLOBAL!$Y$398:$Y$402</c:f>
              <c:numCache>
                <c:formatCode>General</c:formatCode>
                <c:ptCount val="5"/>
                <c:pt idx="0">
                  <c:v>58</c:v>
                </c:pt>
                <c:pt idx="1">
                  <c:v>56</c:v>
                </c:pt>
                <c:pt idx="2">
                  <c:v>53</c:v>
                </c:pt>
                <c:pt idx="3">
                  <c:v>54</c:v>
                </c:pt>
                <c:pt idx="4">
                  <c:v>57</c:v>
                </c:pt>
              </c:numCache>
            </c:numRef>
          </c:val>
          <c:extLst>
            <c:ext xmlns:c15="http://schemas.microsoft.com/office/drawing/2012/chart" uri="{02D57815-91ED-43cb-92C2-25804820EDAC}">
              <c15:filteredCategoryTitle>
                <c15:cat>
                  <c:strRef>
                    <c:extLst>
                      <c:ext uri="{02D57815-91ED-43cb-92C2-25804820EDAC}">
                        <c15:formulaRef>
                          <c15:sqref>PGLOBAL!$P$398:$P$402</c15:sqref>
                        </c15:formulaRef>
                      </c:ext>
                    </c:extLst>
                    <c:strCache>
                      <c:ptCount val="5"/>
                      <c:pt idx="0">
                        <c:v>LECTURA CRÍTICA</c:v>
                      </c:pt>
                      <c:pt idx="1">
                        <c:v>MATEMÁTICAS</c:v>
                      </c:pt>
                      <c:pt idx="2">
                        <c:v>SOCIALES Y CIUDADANAS</c:v>
                      </c:pt>
                      <c:pt idx="3">
                        <c:v>CIENCIAS NATURALES</c:v>
                      </c:pt>
                      <c:pt idx="4">
                        <c:v>INGLÉS</c:v>
                      </c:pt>
                    </c:strCache>
                  </c:strRef>
                </c15:cat>
              </c15:filteredCategoryTitle>
            </c:ext>
            <c:ext xmlns:c16="http://schemas.microsoft.com/office/drawing/2014/chart" uri="{C3380CC4-5D6E-409C-BE32-E72D297353CC}">
              <c16:uniqueId val="{00000001-9342-48E9-84AC-9D12AE2A2884}"/>
            </c:ext>
          </c:extLst>
        </c:ser>
        <c:ser>
          <c:idx val="9"/>
          <c:order val="9"/>
          <c:tx>
            <c:strRef>
              <c:f>PGLOBAL!$Z$397</c:f>
              <c:strCache>
                <c:ptCount val="1"/>
                <c:pt idx="0">
                  <c:v>2025</c:v>
                </c:pt>
              </c:strCache>
            </c:strRef>
          </c:tx>
          <c:spPr>
            <a:ln w="28575" cap="rnd">
              <a:solidFill>
                <a:schemeClr val="accent4">
                  <a:lumMod val="60000"/>
                </a:schemeClr>
              </a:solidFill>
              <a:round/>
            </a:ln>
            <a:effectLst/>
          </c:spPr>
          <c:marker>
            <c:symbol val="none"/>
          </c:marker>
          <c:val>
            <c:numRef>
              <c:f>PGLOBAL!$Z$398:$Z$402</c:f>
              <c:numCache>
                <c:formatCode>0</c:formatCode>
                <c:ptCount val="5"/>
                <c:pt idx="0">
                  <c:v>58</c:v>
                </c:pt>
                <c:pt idx="1">
                  <c:v>56</c:v>
                </c:pt>
                <c:pt idx="2">
                  <c:v>53</c:v>
                </c:pt>
                <c:pt idx="3">
                  <c:v>54</c:v>
                </c:pt>
                <c:pt idx="4">
                  <c:v>57</c:v>
                </c:pt>
              </c:numCache>
            </c:numRef>
          </c:val>
          <c:extLst>
            <c:ext xmlns:c15="http://schemas.microsoft.com/office/drawing/2012/chart" uri="{02D57815-91ED-43cb-92C2-25804820EDAC}">
              <c15:filteredCategoryTitle>
                <c15:cat>
                  <c:strRef>
                    <c:extLst>
                      <c:ext uri="{02D57815-91ED-43cb-92C2-25804820EDAC}">
                        <c15:formulaRef>
                          <c15:sqref>PGLOBAL!$P$398:$P$402</c15:sqref>
                        </c15:formulaRef>
                      </c:ext>
                    </c:extLst>
                    <c:strCache>
                      <c:ptCount val="5"/>
                      <c:pt idx="0">
                        <c:v>LECTURA CRÍTICA</c:v>
                      </c:pt>
                      <c:pt idx="1">
                        <c:v>MATEMÁTICAS</c:v>
                      </c:pt>
                      <c:pt idx="2">
                        <c:v>SOCIALES Y CIUDADANAS</c:v>
                      </c:pt>
                      <c:pt idx="3">
                        <c:v>CIENCIAS NATURALES</c:v>
                      </c:pt>
                      <c:pt idx="4">
                        <c:v>INGLÉS</c:v>
                      </c:pt>
                    </c:strCache>
                  </c:strRef>
                </c15:cat>
              </c15:filteredCategoryTitle>
            </c:ext>
            <c:ext xmlns:c16="http://schemas.microsoft.com/office/drawing/2014/chart" uri="{C3380CC4-5D6E-409C-BE32-E72D297353CC}">
              <c16:uniqueId val="{00000000-6278-4F8F-B6FF-603C39B05605}"/>
            </c:ext>
          </c:extLst>
        </c:ser>
        <c:dLbls>
          <c:showLegendKey val="0"/>
          <c:showVal val="0"/>
          <c:showCatName val="0"/>
          <c:showSerName val="0"/>
          <c:showPercent val="0"/>
          <c:showBubbleSize val="0"/>
        </c:dLbls>
        <c:axId val="257008031"/>
        <c:axId val="122873423"/>
      </c:radarChart>
      <c:catAx>
        <c:axId val="25700803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22873423"/>
        <c:crosses val="autoZero"/>
        <c:auto val="1"/>
        <c:lblAlgn val="ctr"/>
        <c:lblOffset val="100"/>
        <c:noMultiLvlLbl val="0"/>
      </c:catAx>
      <c:valAx>
        <c:axId val="122873423"/>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57008031"/>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4939575593273855E-2"/>
          <c:y val="4.7194984773244811E-2"/>
          <c:w val="0.8853697408831519"/>
          <c:h val="0.65465883837691019"/>
        </c:manualLayout>
      </c:layout>
      <c:lineChart>
        <c:grouping val="standard"/>
        <c:varyColors val="0"/>
        <c:ser>
          <c:idx val="0"/>
          <c:order val="0"/>
          <c:tx>
            <c:strRef>
              <c:f>'9 AprenCNProFísicos'!$G$14</c:f>
              <c:strCache>
                <c:ptCount val="1"/>
                <c:pt idx="0">
                  <c:v>Observar y relacionar patrones en los datos para evaluar las predicciones. - Procesos físicos</c:v>
                </c:pt>
              </c:strCache>
            </c:strRef>
          </c:tx>
          <c:spPr>
            <a:ln w="28575" cap="rnd">
              <a:solidFill>
                <a:schemeClr val="accent1"/>
              </a:solidFill>
              <a:round/>
            </a:ln>
            <a:effectLst/>
          </c:spPr>
          <c:marker>
            <c:symbol val="none"/>
          </c:marker>
          <c:dLbls>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'9 AprenCNProFísicos'!$B$16:$B$25</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'9 AprenCNProFísicos'!$G$16:$G$25</c:f>
              <c:numCache>
                <c:formatCode>0%</c:formatCode>
                <c:ptCount val="10"/>
                <c:pt idx="0">
                  <c:v>0</c:v>
                </c:pt>
                <c:pt idx="1">
                  <c:v>0</c:v>
                </c:pt>
                <c:pt idx="2">
                  <c:v>0</c:v>
                </c:pt>
                <c:pt idx="3">
                  <c:v>0</c:v>
                </c:pt>
                <c:pt idx="4">
                  <c:v>0</c:v>
                </c:pt>
                <c:pt idx="5">
                  <c:v>0</c:v>
                </c:pt>
                <c:pt idx="6">
                  <c:v>0</c:v>
                </c:pt>
                <c:pt idx="7">
                  <c:v>0</c:v>
                </c:pt>
                <c:pt idx="8">
                  <c:v>0.42</c:v>
                </c:pt>
                <c:pt idx="9">
                  <c:v>0.33</c:v>
                </c:pt>
              </c:numCache>
            </c:numRef>
          </c:val>
          <c:smooth val="0"/>
          <c:extLst>
            <c:ext xmlns:c16="http://schemas.microsoft.com/office/drawing/2014/chart" uri="{C3380CC4-5D6E-409C-BE32-E72D297353CC}">
              <c16:uniqueId val="{00000001-1A78-4CCF-AAAF-2AF887F2B7C2}"/>
            </c:ext>
          </c:extLst>
        </c:ser>
        <c:ser>
          <c:idx val="1"/>
          <c:order val="1"/>
          <c:tx>
            <c:strRef>
              <c:f>'9 AprenCNProFísicos'!$H$14</c:f>
              <c:strCache>
                <c:ptCount val="1"/>
                <c:pt idx="0">
                  <c:v>Utilizar algunas habilidades de pensamiento y de procedimiento para  evaluar predicciones - Procesos físicos</c:v>
                </c:pt>
              </c:strCache>
            </c:strRef>
          </c:tx>
          <c:spPr>
            <a:ln w="28575" cap="rnd">
              <a:solidFill>
                <a:schemeClr val="accent2"/>
              </a:solidFill>
              <a:round/>
            </a:ln>
            <a:effectLst/>
          </c:spPr>
          <c:marker>
            <c:symbol val="none"/>
          </c:marker>
          <c:dLbls>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'9 AprenCNProFísicos'!$B$16:$B$25</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'9 AprenCNProFísicos'!$H$16:$H$25</c:f>
              <c:numCache>
                <c:formatCode>0%</c:formatCode>
                <c:ptCount val="10"/>
                <c:pt idx="0">
                  <c:v>0</c:v>
                </c:pt>
                <c:pt idx="1">
                  <c:v>0</c:v>
                </c:pt>
                <c:pt idx="2">
                  <c:v>0</c:v>
                </c:pt>
                <c:pt idx="3">
                  <c:v>0</c:v>
                </c:pt>
                <c:pt idx="4">
                  <c:v>0</c:v>
                </c:pt>
                <c:pt idx="5">
                  <c:v>0</c:v>
                </c:pt>
                <c:pt idx="6">
                  <c:v>0</c:v>
                </c:pt>
                <c:pt idx="7">
                  <c:v>0</c:v>
                </c:pt>
                <c:pt idx="8">
                  <c:v>0.4</c:v>
                </c:pt>
                <c:pt idx="9">
                  <c:v>0.61</c:v>
                </c:pt>
              </c:numCache>
            </c:numRef>
          </c:val>
          <c:smooth val="0"/>
          <c:extLst>
            <c:ext xmlns:c16="http://schemas.microsoft.com/office/drawing/2014/chart" uri="{C3380CC4-5D6E-409C-BE32-E72D297353CC}">
              <c16:uniqueId val="{00000000-7ACC-4DD5-8376-AC58D6C8FF14}"/>
            </c:ext>
          </c:extLst>
        </c:ser>
        <c:dLbls>
          <c:showLegendKey val="0"/>
          <c:showVal val="1"/>
          <c:showCatName val="0"/>
          <c:showSerName val="0"/>
          <c:showPercent val="0"/>
          <c:showBubbleSize val="0"/>
        </c:dLbls>
        <c:smooth val="0"/>
        <c:axId val="-2009549072"/>
        <c:axId val="-2009544176"/>
      </c:lineChart>
      <c:catAx>
        <c:axId val="-20095490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crossAx val="-2009544176"/>
        <c:crosses val="autoZero"/>
        <c:auto val="1"/>
        <c:lblAlgn val="ctr"/>
        <c:lblOffset val="100"/>
        <c:noMultiLvlLbl val="0"/>
      </c:catAx>
      <c:valAx>
        <c:axId val="-2009544176"/>
        <c:scaling>
          <c:orientation val="minMax"/>
          <c:max val="1"/>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crossAx val="-2009549072"/>
        <c:crosses val="autoZero"/>
        <c:crossBetween val="between"/>
      </c:valAx>
      <c:spPr>
        <a:noFill/>
        <a:ln>
          <a:noFill/>
        </a:ln>
        <a:effectLst/>
      </c:spPr>
    </c:plotArea>
    <c:legend>
      <c:legendPos val="b"/>
      <c:layout>
        <c:manualLayout>
          <c:xMode val="edge"/>
          <c:yMode val="edge"/>
          <c:x val="0.12643562046821916"/>
          <c:y val="0.78879333561565679"/>
          <c:w val="0.80972512349118919"/>
          <c:h val="0.18124089923542167"/>
        </c:manualLayout>
      </c:layout>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legend>
    <c:plotVisOnly val="1"/>
    <c:dispBlanksAs val="gap"/>
    <c:showDLblsOverMax val="0"/>
  </c:chart>
  <c:spPr>
    <a:solidFill>
      <a:schemeClr val="bg1"/>
    </a:solidFill>
    <a:ln w="9525" cap="flat" cmpd="sng" algn="ctr">
      <a:solidFill>
        <a:schemeClr val="tx1"/>
      </a:solidFill>
      <a:round/>
    </a:ln>
    <a:effectLst/>
  </c:spPr>
  <c:txPr>
    <a:bodyPr/>
    <a:lstStyle/>
    <a:p>
      <a:pPr>
        <a:defRPr sz="1100" b="0">
          <a:solidFill>
            <a:sysClr val="windowText" lastClr="000000"/>
          </a:solidFill>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5156962290609433E-2"/>
          <c:y val="5.4298491412491739E-2"/>
          <c:w val="0.88322559061138017"/>
          <c:h val="0.6142471947372784"/>
        </c:manualLayout>
      </c:layout>
      <c:lineChart>
        <c:grouping val="standard"/>
        <c:varyColors val="0"/>
        <c:ser>
          <c:idx val="0"/>
          <c:order val="0"/>
          <c:tx>
            <c:strRef>
              <c:f>'9 AprenCNProFísicos'!$I$14</c:f>
              <c:strCache>
                <c:ptCount val="1"/>
                <c:pt idx="0">
                  <c:v>Asociar fenómenos naturales con conceptos propios del conocimiento científico. - Procesos físicos</c:v>
                </c:pt>
              </c:strCache>
            </c:strRef>
          </c:tx>
          <c:spPr>
            <a:ln w="28575" cap="rnd">
              <a:solidFill>
                <a:schemeClr val="accent1"/>
              </a:solidFill>
              <a:round/>
            </a:ln>
            <a:effectLst/>
          </c:spPr>
          <c:marker>
            <c:symbol val="none"/>
          </c:marker>
          <c:dLbls>
            <c:spPr>
              <a:noFill/>
              <a:ln>
                <a:noFill/>
              </a:ln>
              <a:effectLst/>
            </c:spPr>
            <c:txPr>
              <a:bodyPr rot="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'9 AprenCNProFísicos'!$B$16:$B$25</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'9 AprenCNProFísicos'!$I$16:$I$25</c:f>
              <c:numCache>
                <c:formatCode>0%</c:formatCode>
                <c:ptCount val="10"/>
                <c:pt idx="0">
                  <c:v>0</c:v>
                </c:pt>
                <c:pt idx="1">
                  <c:v>0</c:v>
                </c:pt>
                <c:pt idx="2">
                  <c:v>0</c:v>
                </c:pt>
                <c:pt idx="3">
                  <c:v>0</c:v>
                </c:pt>
                <c:pt idx="4">
                  <c:v>0</c:v>
                </c:pt>
                <c:pt idx="5">
                  <c:v>0</c:v>
                </c:pt>
                <c:pt idx="6">
                  <c:v>0</c:v>
                </c:pt>
                <c:pt idx="7">
                  <c:v>0</c:v>
                </c:pt>
                <c:pt idx="8">
                  <c:v>0.51</c:v>
                </c:pt>
                <c:pt idx="9">
                  <c:v>0</c:v>
                </c:pt>
              </c:numCache>
            </c:numRef>
          </c:val>
          <c:smooth val="0"/>
          <c:extLst>
            <c:ext xmlns:c16="http://schemas.microsoft.com/office/drawing/2014/chart" uri="{C3380CC4-5D6E-409C-BE32-E72D297353CC}">
              <c16:uniqueId val="{00000001-0605-47B6-8006-8F6D2E120AD3}"/>
            </c:ext>
          </c:extLst>
        </c:ser>
        <c:ser>
          <c:idx val="1"/>
          <c:order val="1"/>
          <c:tx>
            <c:strRef>
              <c:f>'9 AprenCNProFísicos'!$J$14</c:f>
              <c:strCache>
                <c:ptCount val="1"/>
                <c:pt idx="0">
                  <c:v>Identificar las características  de algunos fenómenos de la naturaleza basado en el análisis de información  y  conceptos propios del conocimiento científico. - Procesos físicos</c:v>
                </c:pt>
              </c:strCache>
            </c:strRef>
          </c:tx>
          <c:spPr>
            <a:ln w="28575" cap="rnd">
              <a:solidFill>
                <a:schemeClr val="accent2"/>
              </a:solidFill>
              <a:round/>
            </a:ln>
            <a:effectLst/>
          </c:spPr>
          <c:marker>
            <c:symbol val="none"/>
          </c:marker>
          <c:dLbls>
            <c:spPr>
              <a:noFill/>
              <a:ln>
                <a:noFill/>
              </a:ln>
              <a:effectLst/>
            </c:spPr>
            <c:txPr>
              <a:bodyPr rot="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'9 AprenCNProFísicos'!$B$16:$B$25</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'9 AprenCNProFísicos'!$J$16:$J$25</c:f>
              <c:numCache>
                <c:formatCode>0%</c:formatCode>
                <c:ptCount val="10"/>
                <c:pt idx="0">
                  <c:v>0</c:v>
                </c:pt>
                <c:pt idx="1">
                  <c:v>0</c:v>
                </c:pt>
                <c:pt idx="2">
                  <c:v>0</c:v>
                </c:pt>
                <c:pt idx="3">
                  <c:v>0</c:v>
                </c:pt>
                <c:pt idx="4">
                  <c:v>0</c:v>
                </c:pt>
                <c:pt idx="5">
                  <c:v>0</c:v>
                </c:pt>
                <c:pt idx="6">
                  <c:v>0</c:v>
                </c:pt>
                <c:pt idx="7">
                  <c:v>0</c:v>
                </c:pt>
                <c:pt idx="8">
                  <c:v>0.55000000000000004</c:v>
                </c:pt>
                <c:pt idx="9">
                  <c:v>0.59</c:v>
                </c:pt>
              </c:numCache>
            </c:numRef>
          </c:val>
          <c:smooth val="0"/>
          <c:extLst>
            <c:ext xmlns:c16="http://schemas.microsoft.com/office/drawing/2014/chart" uri="{C3380CC4-5D6E-409C-BE32-E72D297353CC}">
              <c16:uniqueId val="{00000000-FCE9-4D0E-BEBE-F858696F21C5}"/>
            </c:ext>
          </c:extLst>
        </c:ser>
        <c:dLbls>
          <c:showLegendKey val="0"/>
          <c:showVal val="1"/>
          <c:showCatName val="0"/>
          <c:showSerName val="0"/>
          <c:showPercent val="0"/>
          <c:showBubbleSize val="0"/>
        </c:dLbls>
        <c:smooth val="0"/>
        <c:axId val="-2031361936"/>
        <c:axId val="-2031348880"/>
      </c:lineChart>
      <c:catAx>
        <c:axId val="-20313619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crossAx val="-2031348880"/>
        <c:crosses val="autoZero"/>
        <c:auto val="1"/>
        <c:lblAlgn val="ctr"/>
        <c:lblOffset val="100"/>
        <c:noMultiLvlLbl val="0"/>
      </c:catAx>
      <c:valAx>
        <c:axId val="-2031348880"/>
        <c:scaling>
          <c:orientation val="minMax"/>
          <c:max val="1"/>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crossAx val="-2031361936"/>
        <c:crosses val="autoZero"/>
        <c:crossBetween val="between"/>
      </c:valAx>
      <c:spPr>
        <a:noFill/>
        <a:ln>
          <a:noFill/>
        </a:ln>
        <a:effectLst/>
      </c:spPr>
    </c:plotArea>
    <c:legend>
      <c:legendPos val="b"/>
      <c:layout>
        <c:manualLayout>
          <c:xMode val="edge"/>
          <c:yMode val="edge"/>
          <c:x val="5.4390856028668035E-2"/>
          <c:y val="0.77810164611382127"/>
          <c:w val="0.87253872942571642"/>
          <c:h val="0.13981011627947829"/>
        </c:manualLayout>
      </c:layout>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legend>
    <c:plotVisOnly val="1"/>
    <c:dispBlanksAs val="gap"/>
    <c:showDLblsOverMax val="0"/>
  </c:chart>
  <c:spPr>
    <a:solidFill>
      <a:schemeClr val="bg1"/>
    </a:solidFill>
    <a:ln w="9525" cap="flat" cmpd="sng" algn="ctr">
      <a:solidFill>
        <a:schemeClr val="tx1"/>
      </a:solidFill>
      <a:round/>
    </a:ln>
    <a:effectLst/>
  </c:spPr>
  <c:txPr>
    <a:bodyPr/>
    <a:lstStyle/>
    <a:p>
      <a:pPr>
        <a:defRPr sz="1600" b="1">
          <a:solidFill>
            <a:sysClr val="windowText" lastClr="000000"/>
          </a:solidFill>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12419766840708858"/>
          <c:y val="3.6117517766147238E-2"/>
        </c:manualLayout>
      </c:layout>
      <c:overlay val="0"/>
      <c:spPr>
        <a:noFill/>
        <a:ln>
          <a:noFill/>
        </a:ln>
        <a:effectLst/>
      </c:spPr>
      <c:txPr>
        <a:bodyPr rot="0" spcFirstLastPara="1" vertOverflow="ellipsis" vert="horz" wrap="square" anchor="ctr" anchorCtr="1"/>
        <a:lstStyle/>
        <a:p>
          <a:pPr>
            <a:defRPr sz="12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CO"/>
        </a:p>
      </c:txPr>
    </c:title>
    <c:autoTitleDeleted val="0"/>
    <c:plotArea>
      <c:layout/>
      <c:lineChart>
        <c:grouping val="standard"/>
        <c:varyColors val="0"/>
        <c:ser>
          <c:idx val="0"/>
          <c:order val="0"/>
          <c:tx>
            <c:strRef>
              <c:f>'10 AprenCNCTS'!$D$15</c:f>
              <c:strCache>
                <c:ptCount val="1"/>
                <c:pt idx="0">
                  <c:v>Identificar las características  de algunos fenómenos de la naturaleza basado en el análisis de información  y  conceptos propios del conocimiento científico. - CTS</c:v>
                </c:pt>
              </c:strCache>
            </c:strRef>
          </c:tx>
          <c:spPr>
            <a:ln w="28575" cap="rnd">
              <a:solidFill>
                <a:schemeClr val="accent1"/>
              </a:solidFill>
              <a:round/>
            </a:ln>
            <a:effectLst/>
          </c:spPr>
          <c:marker>
            <c:symbol val="none"/>
          </c:marker>
          <c:dLbls>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'10 AprenCNCTS'!$C$17:$C$26</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'10 AprenCNCTS'!$D$17:$D$26</c:f>
              <c:numCache>
                <c:formatCode>0%</c:formatCode>
                <c:ptCount val="10"/>
                <c:pt idx="0">
                  <c:v>0</c:v>
                </c:pt>
                <c:pt idx="1">
                  <c:v>0</c:v>
                </c:pt>
                <c:pt idx="2">
                  <c:v>0</c:v>
                </c:pt>
                <c:pt idx="3">
                  <c:v>0</c:v>
                </c:pt>
                <c:pt idx="4">
                  <c:v>0</c:v>
                </c:pt>
                <c:pt idx="5">
                  <c:v>0</c:v>
                </c:pt>
                <c:pt idx="6">
                  <c:v>0</c:v>
                </c:pt>
                <c:pt idx="7">
                  <c:v>0</c:v>
                </c:pt>
                <c:pt idx="8">
                  <c:v>0.56000000000000005</c:v>
                </c:pt>
                <c:pt idx="9">
                  <c:v>0.72</c:v>
                </c:pt>
              </c:numCache>
            </c:numRef>
          </c:val>
          <c:smooth val="0"/>
          <c:extLst>
            <c:ext xmlns:c16="http://schemas.microsoft.com/office/drawing/2014/chart" uri="{C3380CC4-5D6E-409C-BE32-E72D297353CC}">
              <c16:uniqueId val="{00000001-7AEB-47C5-8360-4A34E655C0FB}"/>
            </c:ext>
          </c:extLst>
        </c:ser>
        <c:dLbls>
          <c:showLegendKey val="0"/>
          <c:showVal val="1"/>
          <c:showCatName val="0"/>
          <c:showSerName val="0"/>
          <c:showPercent val="0"/>
          <c:showBubbleSize val="0"/>
        </c:dLbls>
        <c:smooth val="0"/>
        <c:axId val="-2031348336"/>
        <c:axId val="-2031347792"/>
      </c:lineChart>
      <c:catAx>
        <c:axId val="-20313483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crossAx val="-2031347792"/>
        <c:crosses val="autoZero"/>
        <c:auto val="1"/>
        <c:lblAlgn val="ctr"/>
        <c:lblOffset val="100"/>
        <c:noMultiLvlLbl val="0"/>
      </c:catAx>
      <c:valAx>
        <c:axId val="-2031347792"/>
        <c:scaling>
          <c:orientation val="minMax"/>
          <c:max val="1"/>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crossAx val="-2031348336"/>
        <c:crosses val="autoZero"/>
        <c:crossBetween val="between"/>
        <c:majorUnit val="0.2"/>
      </c:valAx>
      <c:spPr>
        <a:noFill/>
        <a:ln>
          <a:noFill/>
        </a:ln>
        <a:effectLst/>
      </c:spPr>
    </c:plotArea>
    <c:plotVisOnly val="1"/>
    <c:dispBlanksAs val="gap"/>
    <c:showDLblsOverMax val="0"/>
  </c:chart>
  <c:spPr>
    <a:solidFill>
      <a:schemeClr val="bg1"/>
    </a:solidFill>
    <a:ln w="9525" cap="flat" cmpd="sng" algn="ctr">
      <a:solidFill>
        <a:schemeClr val="tx1"/>
      </a:solidFill>
      <a:round/>
    </a:ln>
    <a:effectLst/>
  </c:spPr>
  <c:txPr>
    <a:bodyPr/>
    <a:lstStyle/>
    <a:p>
      <a:pPr>
        <a:defRPr sz="1400" b="1">
          <a:solidFill>
            <a:sysClr val="windowText" lastClr="000000"/>
          </a:solidFill>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13507367238344323"/>
          <c:y val="4.4592641331649918E-2"/>
        </c:manualLayout>
      </c:layout>
      <c:overlay val="0"/>
      <c:spPr>
        <a:noFill/>
        <a:ln>
          <a:noFill/>
        </a:ln>
        <a:effectLst/>
      </c:spPr>
      <c:txPr>
        <a:bodyPr rot="0" spcFirstLastPara="1" vertOverflow="ellipsis" vert="horz" wrap="square" anchor="ctr" anchorCtr="1"/>
        <a:lstStyle/>
        <a:p>
          <a:pPr>
            <a:defRPr sz="12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CO"/>
        </a:p>
      </c:txPr>
    </c:title>
    <c:autoTitleDeleted val="0"/>
    <c:plotArea>
      <c:layout/>
      <c:lineChart>
        <c:grouping val="standard"/>
        <c:varyColors val="0"/>
        <c:ser>
          <c:idx val="0"/>
          <c:order val="0"/>
          <c:tx>
            <c:strRef>
              <c:f>'10 AprenCNCTS'!$E$15</c:f>
              <c:strCache>
                <c:ptCount val="1"/>
                <c:pt idx="0">
                  <c:v>Analizar  el potencial del uso de recursos  naturales  o artefactos  y sus efectos sobre el entorno y la salud , así como las posibilidades de desarrollo para las comunidades. - CTS</c:v>
                </c:pt>
              </c:strCache>
            </c:strRef>
          </c:tx>
          <c:spPr>
            <a:ln w="28575" cap="rnd">
              <a:solidFill>
                <a:schemeClr val="accent2"/>
              </a:solidFill>
              <a:round/>
            </a:ln>
            <a:effectLst/>
          </c:spPr>
          <c:marker>
            <c:symbol val="none"/>
          </c:marker>
          <c:dLbls>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'10 AprenCNCTS'!$C$17:$C$26</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'10 AprenCNCTS'!$E$17:$E$26</c:f>
              <c:numCache>
                <c:formatCode>0%</c:formatCode>
                <c:ptCount val="10"/>
                <c:pt idx="0">
                  <c:v>0</c:v>
                </c:pt>
                <c:pt idx="1">
                  <c:v>0</c:v>
                </c:pt>
                <c:pt idx="2">
                  <c:v>0</c:v>
                </c:pt>
                <c:pt idx="3">
                  <c:v>0</c:v>
                </c:pt>
                <c:pt idx="4">
                  <c:v>0</c:v>
                </c:pt>
                <c:pt idx="5">
                  <c:v>0</c:v>
                </c:pt>
                <c:pt idx="6">
                  <c:v>0</c:v>
                </c:pt>
                <c:pt idx="7">
                  <c:v>0</c:v>
                </c:pt>
                <c:pt idx="8">
                  <c:v>0.38</c:v>
                </c:pt>
                <c:pt idx="9">
                  <c:v>0.48</c:v>
                </c:pt>
              </c:numCache>
            </c:numRef>
          </c:val>
          <c:smooth val="0"/>
          <c:extLst>
            <c:ext xmlns:c16="http://schemas.microsoft.com/office/drawing/2014/chart" uri="{C3380CC4-5D6E-409C-BE32-E72D297353CC}">
              <c16:uniqueId val="{00000001-933F-42B1-A744-254664DA681B}"/>
            </c:ext>
          </c:extLst>
        </c:ser>
        <c:dLbls>
          <c:showLegendKey val="0"/>
          <c:showVal val="1"/>
          <c:showCatName val="0"/>
          <c:showSerName val="0"/>
          <c:showPercent val="0"/>
          <c:showBubbleSize val="0"/>
        </c:dLbls>
        <c:smooth val="0"/>
        <c:axId val="-2031346704"/>
        <c:axId val="-2031361392"/>
      </c:lineChart>
      <c:catAx>
        <c:axId val="-20313467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crossAx val="-2031361392"/>
        <c:crosses val="autoZero"/>
        <c:auto val="1"/>
        <c:lblAlgn val="ctr"/>
        <c:lblOffset val="100"/>
        <c:noMultiLvlLbl val="0"/>
      </c:catAx>
      <c:valAx>
        <c:axId val="-2031361392"/>
        <c:scaling>
          <c:orientation val="minMax"/>
          <c:max val="1"/>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crossAx val="-2031346704"/>
        <c:crosses val="autoZero"/>
        <c:crossBetween val="between"/>
        <c:majorUnit val="0.2"/>
      </c:valAx>
      <c:spPr>
        <a:noFill/>
        <a:ln>
          <a:noFill/>
        </a:ln>
        <a:effectLst/>
      </c:spPr>
    </c:plotArea>
    <c:plotVisOnly val="1"/>
    <c:dispBlanksAs val="gap"/>
    <c:showDLblsOverMax val="0"/>
  </c:chart>
  <c:spPr>
    <a:solidFill>
      <a:schemeClr val="bg1"/>
    </a:solidFill>
    <a:ln w="9525" cap="flat" cmpd="sng" algn="ctr">
      <a:solidFill>
        <a:schemeClr val="tx1"/>
      </a:solidFill>
      <a:round/>
    </a:ln>
    <a:effectLst/>
  </c:spPr>
  <c:txPr>
    <a:bodyPr/>
    <a:lstStyle/>
    <a:p>
      <a:pPr>
        <a:defRPr sz="1400" b="1">
          <a:solidFill>
            <a:sysClr val="windowText" lastClr="000000"/>
          </a:solidFill>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0" i="0" u="none" strike="noStrike" kern="1200" cap="all" spc="0" baseline="0">
                <a:gradFill>
                  <a:gsLst>
                    <a:gs pos="0">
                      <a:schemeClr val="dk1">
                        <a:lumMod val="50000"/>
                        <a:lumOff val="50000"/>
                      </a:schemeClr>
                    </a:gs>
                    <a:gs pos="100000">
                      <a:schemeClr val="dk1">
                        <a:lumMod val="85000"/>
                        <a:lumOff val="15000"/>
                      </a:schemeClr>
                    </a:gs>
                  </a:gsLst>
                  <a:lin ang="5400000" scaled="0"/>
                </a:gradFill>
                <a:latin typeface="+mn-lt"/>
                <a:ea typeface="+mn-ea"/>
                <a:cs typeface="+mn-cs"/>
              </a:defRPr>
            </a:pPr>
            <a:r>
              <a:rPr lang="es-CO"/>
              <a:t>PROMEDIO POR PRUEBA OFICIALES 2016-2025</a:t>
            </a:r>
          </a:p>
        </c:rich>
      </c:tx>
      <c:overlay val="0"/>
      <c:spPr>
        <a:noFill/>
        <a:ln>
          <a:noFill/>
        </a:ln>
        <a:effectLst/>
      </c:spPr>
      <c:txPr>
        <a:bodyPr rot="0" spcFirstLastPara="1" vertOverflow="ellipsis" vert="horz" wrap="square" anchor="ctr" anchorCtr="1"/>
        <a:lstStyle/>
        <a:p>
          <a:pPr>
            <a:defRPr sz="1440" b="0" i="0" u="none" strike="noStrike" kern="1200" cap="all" spc="0" baseline="0">
              <a:gradFill>
                <a:gsLst>
                  <a:gs pos="0">
                    <a:schemeClr val="dk1">
                      <a:lumMod val="50000"/>
                      <a:lumOff val="50000"/>
                    </a:schemeClr>
                  </a:gs>
                  <a:gs pos="100000">
                    <a:schemeClr val="dk1">
                      <a:lumMod val="85000"/>
                      <a:lumOff val="15000"/>
                    </a:schemeClr>
                  </a:gs>
                </a:gsLst>
                <a:lin ang="5400000" scaled="0"/>
              </a:gradFill>
              <a:latin typeface="+mn-lt"/>
              <a:ea typeface="+mn-ea"/>
              <a:cs typeface="+mn-cs"/>
            </a:defRPr>
          </a:pPr>
          <a:endParaRPr lang="es-CO"/>
        </a:p>
      </c:txPr>
    </c:title>
    <c:autoTitleDeleted val="0"/>
    <c:plotArea>
      <c:layout>
        <c:manualLayout>
          <c:layoutTarget val="inner"/>
          <c:xMode val="edge"/>
          <c:yMode val="edge"/>
          <c:x val="1.5240991426492293E-2"/>
          <c:y val="0.12787989227285518"/>
          <c:w val="0.95808727357714618"/>
          <c:h val="0.70900995538166767"/>
        </c:manualLayout>
      </c:layout>
      <c:lineChart>
        <c:grouping val="standard"/>
        <c:varyColors val="0"/>
        <c:ser>
          <c:idx val="0"/>
          <c:order val="0"/>
          <c:tx>
            <c:strRef>
              <c:f>PGLOBAL!$D$399</c:f>
              <c:strCache>
                <c:ptCount val="1"/>
                <c:pt idx="0">
                  <c:v>LECTURA CRÍTICA</c:v>
                </c:pt>
              </c:strCache>
            </c:strRef>
          </c:tx>
          <c:spPr>
            <a:ln w="19050" cap="rnd" cmpd="sng" algn="ctr">
              <a:solidFill>
                <a:schemeClr val="accent1">
                  <a:shade val="95000"/>
                  <a:satMod val="105000"/>
                </a:schemeClr>
              </a:solidFill>
              <a:round/>
            </a:ln>
            <a:effectLst/>
          </c:spPr>
          <c:marker>
            <c:symbol val="circle"/>
            <c:size val="17"/>
            <c:spPr>
              <a:solidFill>
                <a:schemeClr val="lt1"/>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1"/>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35000"/>
                          <a:lumOff val="65000"/>
                        </a:schemeClr>
                      </a:solidFill>
                    </a:ln>
                    <a:effectLst/>
                  </c:spPr>
                </c15:leaderLines>
              </c:ext>
            </c:extLst>
          </c:dLbls>
          <c:cat>
            <c:strRef>
              <c:f>PGLOBAL!$E$398:$N$398</c:f>
              <c:strCache>
                <c:ptCount val="10"/>
                <c:pt idx="0">
                  <c:v>2016</c:v>
                </c:pt>
                <c:pt idx="1">
                  <c:v>2017</c:v>
                </c:pt>
                <c:pt idx="2">
                  <c:v>2018</c:v>
                </c:pt>
                <c:pt idx="3">
                  <c:v>2019</c:v>
                </c:pt>
                <c:pt idx="4">
                  <c:v>2020</c:v>
                </c:pt>
                <c:pt idx="5">
                  <c:v>2021</c:v>
                </c:pt>
                <c:pt idx="6">
                  <c:v>2022</c:v>
                </c:pt>
                <c:pt idx="7">
                  <c:v>2023</c:v>
                </c:pt>
                <c:pt idx="8">
                  <c:v>2024</c:v>
                </c:pt>
                <c:pt idx="9">
                  <c:v>2025</c:v>
                </c:pt>
              </c:strCache>
            </c:strRef>
          </c:cat>
          <c:val>
            <c:numRef>
              <c:f>PGLOBAL!$E$399:$N$399</c:f>
              <c:numCache>
                <c:formatCode>General</c:formatCode>
                <c:ptCount val="10"/>
                <c:pt idx="0">
                  <c:v>53</c:v>
                </c:pt>
                <c:pt idx="1">
                  <c:v>54</c:v>
                </c:pt>
                <c:pt idx="2">
                  <c:v>53</c:v>
                </c:pt>
                <c:pt idx="3">
                  <c:v>53</c:v>
                </c:pt>
                <c:pt idx="4">
                  <c:v>53</c:v>
                </c:pt>
                <c:pt idx="5">
                  <c:v>53</c:v>
                </c:pt>
                <c:pt idx="6">
                  <c:v>53</c:v>
                </c:pt>
                <c:pt idx="7">
                  <c:v>54</c:v>
                </c:pt>
                <c:pt idx="8">
                  <c:v>54</c:v>
                </c:pt>
                <c:pt idx="9">
                  <c:v>54</c:v>
                </c:pt>
              </c:numCache>
            </c:numRef>
          </c:val>
          <c:smooth val="0"/>
          <c:extLst>
            <c:ext xmlns:c16="http://schemas.microsoft.com/office/drawing/2014/chart" uri="{C3380CC4-5D6E-409C-BE32-E72D297353CC}">
              <c16:uniqueId val="{00000000-69F9-4002-9BD2-9C39050CF672}"/>
            </c:ext>
          </c:extLst>
        </c:ser>
        <c:ser>
          <c:idx val="1"/>
          <c:order val="1"/>
          <c:tx>
            <c:strRef>
              <c:f>PGLOBAL!$D$400</c:f>
              <c:strCache>
                <c:ptCount val="1"/>
                <c:pt idx="0">
                  <c:v>MATEMÁTICAS</c:v>
                </c:pt>
              </c:strCache>
            </c:strRef>
          </c:tx>
          <c:spPr>
            <a:ln w="19050" cap="rnd" cmpd="sng" algn="ctr">
              <a:solidFill>
                <a:schemeClr val="accent2">
                  <a:shade val="95000"/>
                  <a:satMod val="105000"/>
                </a:schemeClr>
              </a:solidFill>
              <a:round/>
            </a:ln>
            <a:effectLst/>
          </c:spPr>
          <c:marker>
            <c:symbol val="circle"/>
            <c:size val="17"/>
            <c:spPr>
              <a:solidFill>
                <a:schemeClr val="lt1"/>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2"/>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35000"/>
                          <a:lumOff val="65000"/>
                        </a:schemeClr>
                      </a:solidFill>
                    </a:ln>
                    <a:effectLst/>
                  </c:spPr>
                </c15:leaderLines>
              </c:ext>
            </c:extLst>
          </c:dLbls>
          <c:cat>
            <c:strRef>
              <c:f>PGLOBAL!$E$398:$N$398</c:f>
              <c:strCache>
                <c:ptCount val="10"/>
                <c:pt idx="0">
                  <c:v>2016</c:v>
                </c:pt>
                <c:pt idx="1">
                  <c:v>2017</c:v>
                </c:pt>
                <c:pt idx="2">
                  <c:v>2018</c:v>
                </c:pt>
                <c:pt idx="3">
                  <c:v>2019</c:v>
                </c:pt>
                <c:pt idx="4">
                  <c:v>2020</c:v>
                </c:pt>
                <c:pt idx="5">
                  <c:v>2021</c:v>
                </c:pt>
                <c:pt idx="6">
                  <c:v>2022</c:v>
                </c:pt>
                <c:pt idx="7">
                  <c:v>2023</c:v>
                </c:pt>
                <c:pt idx="8">
                  <c:v>2024</c:v>
                </c:pt>
                <c:pt idx="9">
                  <c:v>2025</c:v>
                </c:pt>
              </c:strCache>
            </c:strRef>
          </c:cat>
          <c:val>
            <c:numRef>
              <c:f>PGLOBAL!$E$400:$N$400</c:f>
              <c:numCache>
                <c:formatCode>General</c:formatCode>
                <c:ptCount val="10"/>
                <c:pt idx="0">
                  <c:v>51</c:v>
                </c:pt>
                <c:pt idx="1">
                  <c:v>51</c:v>
                </c:pt>
                <c:pt idx="2">
                  <c:v>51</c:v>
                </c:pt>
                <c:pt idx="3">
                  <c:v>51</c:v>
                </c:pt>
                <c:pt idx="4">
                  <c:v>52</c:v>
                </c:pt>
                <c:pt idx="5">
                  <c:v>50</c:v>
                </c:pt>
                <c:pt idx="6">
                  <c:v>51</c:v>
                </c:pt>
                <c:pt idx="7">
                  <c:v>52</c:v>
                </c:pt>
                <c:pt idx="8">
                  <c:v>52</c:v>
                </c:pt>
                <c:pt idx="9">
                  <c:v>52</c:v>
                </c:pt>
              </c:numCache>
            </c:numRef>
          </c:val>
          <c:smooth val="0"/>
          <c:extLst>
            <c:ext xmlns:c16="http://schemas.microsoft.com/office/drawing/2014/chart" uri="{C3380CC4-5D6E-409C-BE32-E72D297353CC}">
              <c16:uniqueId val="{00000001-69F9-4002-9BD2-9C39050CF672}"/>
            </c:ext>
          </c:extLst>
        </c:ser>
        <c:ser>
          <c:idx val="2"/>
          <c:order val="2"/>
          <c:tx>
            <c:strRef>
              <c:f>PGLOBAL!$D$401</c:f>
              <c:strCache>
                <c:ptCount val="1"/>
                <c:pt idx="0">
                  <c:v>SOCIALES Y CIUDADANAS</c:v>
                </c:pt>
              </c:strCache>
            </c:strRef>
          </c:tx>
          <c:spPr>
            <a:ln w="19050" cap="rnd" cmpd="sng" algn="ctr">
              <a:solidFill>
                <a:srgbClr val="FFC000"/>
              </a:solidFill>
              <a:round/>
            </a:ln>
            <a:effectLst/>
          </c:spPr>
          <c:marker>
            <c:symbol val="circle"/>
            <c:size val="17"/>
            <c:spPr>
              <a:solidFill>
                <a:schemeClr val="lt1"/>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FFC000"/>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35000"/>
                          <a:lumOff val="65000"/>
                        </a:schemeClr>
                      </a:solidFill>
                    </a:ln>
                    <a:effectLst/>
                  </c:spPr>
                </c15:leaderLines>
              </c:ext>
            </c:extLst>
          </c:dLbls>
          <c:cat>
            <c:strRef>
              <c:f>PGLOBAL!$E$398:$N$398</c:f>
              <c:strCache>
                <c:ptCount val="10"/>
                <c:pt idx="0">
                  <c:v>2016</c:v>
                </c:pt>
                <c:pt idx="1">
                  <c:v>2017</c:v>
                </c:pt>
                <c:pt idx="2">
                  <c:v>2018</c:v>
                </c:pt>
                <c:pt idx="3">
                  <c:v>2019</c:v>
                </c:pt>
                <c:pt idx="4">
                  <c:v>2020</c:v>
                </c:pt>
                <c:pt idx="5">
                  <c:v>2021</c:v>
                </c:pt>
                <c:pt idx="6">
                  <c:v>2022</c:v>
                </c:pt>
                <c:pt idx="7">
                  <c:v>2023</c:v>
                </c:pt>
                <c:pt idx="8">
                  <c:v>2024</c:v>
                </c:pt>
                <c:pt idx="9">
                  <c:v>2025</c:v>
                </c:pt>
              </c:strCache>
            </c:strRef>
          </c:cat>
          <c:val>
            <c:numRef>
              <c:f>PGLOBAL!$E$401:$N$401</c:f>
              <c:numCache>
                <c:formatCode>General</c:formatCode>
                <c:ptCount val="10"/>
                <c:pt idx="0">
                  <c:v>51</c:v>
                </c:pt>
                <c:pt idx="1">
                  <c:v>50</c:v>
                </c:pt>
                <c:pt idx="2">
                  <c:v>48</c:v>
                </c:pt>
                <c:pt idx="3">
                  <c:v>47</c:v>
                </c:pt>
                <c:pt idx="4">
                  <c:v>49</c:v>
                </c:pt>
                <c:pt idx="5">
                  <c:v>47</c:v>
                </c:pt>
                <c:pt idx="6">
                  <c:v>48</c:v>
                </c:pt>
                <c:pt idx="7">
                  <c:v>49</c:v>
                </c:pt>
                <c:pt idx="8">
                  <c:v>49</c:v>
                </c:pt>
                <c:pt idx="9">
                  <c:v>48</c:v>
                </c:pt>
              </c:numCache>
            </c:numRef>
          </c:val>
          <c:smooth val="0"/>
          <c:extLst>
            <c:ext xmlns:c16="http://schemas.microsoft.com/office/drawing/2014/chart" uri="{C3380CC4-5D6E-409C-BE32-E72D297353CC}">
              <c16:uniqueId val="{00000002-69F9-4002-9BD2-9C39050CF672}"/>
            </c:ext>
          </c:extLst>
        </c:ser>
        <c:ser>
          <c:idx val="3"/>
          <c:order val="3"/>
          <c:tx>
            <c:strRef>
              <c:f>PGLOBAL!$D$402</c:f>
              <c:strCache>
                <c:ptCount val="1"/>
                <c:pt idx="0">
                  <c:v>CIENCIAS NATURALES</c:v>
                </c:pt>
              </c:strCache>
            </c:strRef>
          </c:tx>
          <c:spPr>
            <a:ln w="19050" cap="rnd" cmpd="sng" algn="ctr">
              <a:solidFill>
                <a:schemeClr val="accent3"/>
              </a:solidFill>
              <a:round/>
            </a:ln>
            <a:effectLst/>
          </c:spPr>
          <c:marker>
            <c:symbol val="circle"/>
            <c:size val="17"/>
            <c:spPr>
              <a:solidFill>
                <a:schemeClr val="lt1"/>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3"/>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35000"/>
                          <a:lumOff val="65000"/>
                        </a:schemeClr>
                      </a:solidFill>
                    </a:ln>
                    <a:effectLst/>
                  </c:spPr>
                </c15:leaderLines>
              </c:ext>
            </c:extLst>
          </c:dLbls>
          <c:cat>
            <c:strRef>
              <c:f>PGLOBAL!$E$398:$N$398</c:f>
              <c:strCache>
                <c:ptCount val="10"/>
                <c:pt idx="0">
                  <c:v>2016</c:v>
                </c:pt>
                <c:pt idx="1">
                  <c:v>2017</c:v>
                </c:pt>
                <c:pt idx="2">
                  <c:v>2018</c:v>
                </c:pt>
                <c:pt idx="3">
                  <c:v>2019</c:v>
                </c:pt>
                <c:pt idx="4">
                  <c:v>2020</c:v>
                </c:pt>
                <c:pt idx="5">
                  <c:v>2021</c:v>
                </c:pt>
                <c:pt idx="6">
                  <c:v>2022</c:v>
                </c:pt>
                <c:pt idx="7">
                  <c:v>2023</c:v>
                </c:pt>
                <c:pt idx="8">
                  <c:v>2024</c:v>
                </c:pt>
                <c:pt idx="9">
                  <c:v>2025</c:v>
                </c:pt>
              </c:strCache>
            </c:strRef>
          </c:cat>
          <c:val>
            <c:numRef>
              <c:f>PGLOBAL!$E$402:$N$402</c:f>
              <c:numCache>
                <c:formatCode>General</c:formatCode>
                <c:ptCount val="10"/>
                <c:pt idx="0">
                  <c:v>53</c:v>
                </c:pt>
                <c:pt idx="1">
                  <c:v>52</c:v>
                </c:pt>
                <c:pt idx="2">
                  <c:v>50</c:v>
                </c:pt>
                <c:pt idx="3">
                  <c:v>49</c:v>
                </c:pt>
                <c:pt idx="4">
                  <c:v>49</c:v>
                </c:pt>
                <c:pt idx="5">
                  <c:v>48</c:v>
                </c:pt>
                <c:pt idx="6">
                  <c:v>49</c:v>
                </c:pt>
                <c:pt idx="7">
                  <c:v>50</c:v>
                </c:pt>
                <c:pt idx="8">
                  <c:v>50</c:v>
                </c:pt>
                <c:pt idx="9">
                  <c:v>51</c:v>
                </c:pt>
              </c:numCache>
            </c:numRef>
          </c:val>
          <c:smooth val="0"/>
          <c:extLst>
            <c:ext xmlns:c16="http://schemas.microsoft.com/office/drawing/2014/chart" uri="{C3380CC4-5D6E-409C-BE32-E72D297353CC}">
              <c16:uniqueId val="{00000003-69F9-4002-9BD2-9C39050CF672}"/>
            </c:ext>
          </c:extLst>
        </c:ser>
        <c:ser>
          <c:idx val="4"/>
          <c:order val="4"/>
          <c:tx>
            <c:strRef>
              <c:f>PGLOBAL!$D$403</c:f>
              <c:strCache>
                <c:ptCount val="1"/>
                <c:pt idx="0">
                  <c:v>INGLES</c:v>
                </c:pt>
              </c:strCache>
            </c:strRef>
          </c:tx>
          <c:spPr>
            <a:ln w="19050" cap="rnd" cmpd="sng" algn="ctr">
              <a:solidFill>
                <a:schemeClr val="accent5">
                  <a:shade val="95000"/>
                  <a:satMod val="105000"/>
                </a:schemeClr>
              </a:solidFill>
              <a:round/>
            </a:ln>
            <a:effectLst/>
          </c:spPr>
          <c:marker>
            <c:symbol val="circle"/>
            <c:size val="17"/>
            <c:spPr>
              <a:solidFill>
                <a:schemeClr val="lt1"/>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5"/>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35000"/>
                          <a:lumOff val="65000"/>
                        </a:schemeClr>
                      </a:solidFill>
                    </a:ln>
                    <a:effectLst/>
                  </c:spPr>
                </c15:leaderLines>
              </c:ext>
            </c:extLst>
          </c:dLbls>
          <c:cat>
            <c:strRef>
              <c:f>PGLOBAL!$E$398:$N$398</c:f>
              <c:strCache>
                <c:ptCount val="10"/>
                <c:pt idx="0">
                  <c:v>2016</c:v>
                </c:pt>
                <c:pt idx="1">
                  <c:v>2017</c:v>
                </c:pt>
                <c:pt idx="2">
                  <c:v>2018</c:v>
                </c:pt>
                <c:pt idx="3">
                  <c:v>2019</c:v>
                </c:pt>
                <c:pt idx="4">
                  <c:v>2020</c:v>
                </c:pt>
                <c:pt idx="5">
                  <c:v>2021</c:v>
                </c:pt>
                <c:pt idx="6">
                  <c:v>2022</c:v>
                </c:pt>
                <c:pt idx="7">
                  <c:v>2023</c:v>
                </c:pt>
                <c:pt idx="8">
                  <c:v>2024</c:v>
                </c:pt>
                <c:pt idx="9">
                  <c:v>2025</c:v>
                </c:pt>
              </c:strCache>
            </c:strRef>
          </c:cat>
          <c:val>
            <c:numRef>
              <c:f>PGLOBAL!$E$403:$N$403</c:f>
              <c:numCache>
                <c:formatCode>General</c:formatCode>
                <c:ptCount val="10"/>
                <c:pt idx="0">
                  <c:v>52</c:v>
                </c:pt>
                <c:pt idx="1">
                  <c:v>49</c:v>
                </c:pt>
                <c:pt idx="2">
                  <c:v>50</c:v>
                </c:pt>
                <c:pt idx="3">
                  <c:v>49</c:v>
                </c:pt>
                <c:pt idx="4">
                  <c:v>46</c:v>
                </c:pt>
                <c:pt idx="5">
                  <c:v>49</c:v>
                </c:pt>
                <c:pt idx="6">
                  <c:v>51</c:v>
                </c:pt>
                <c:pt idx="7">
                  <c:v>52</c:v>
                </c:pt>
                <c:pt idx="8">
                  <c:v>52</c:v>
                </c:pt>
                <c:pt idx="9">
                  <c:v>52</c:v>
                </c:pt>
              </c:numCache>
            </c:numRef>
          </c:val>
          <c:smooth val="0"/>
          <c:extLst>
            <c:ext xmlns:c16="http://schemas.microsoft.com/office/drawing/2014/chart" uri="{C3380CC4-5D6E-409C-BE32-E72D297353CC}">
              <c16:uniqueId val="{00000004-69F9-4002-9BD2-9C39050CF672}"/>
            </c:ext>
          </c:extLst>
        </c:ser>
        <c:dLbls>
          <c:dLblPos val="ctr"/>
          <c:showLegendKey val="0"/>
          <c:showVal val="1"/>
          <c:showCatName val="0"/>
          <c:showSerName val="0"/>
          <c:showPercent val="0"/>
          <c:showBubbleSize val="0"/>
        </c:dLbls>
        <c:marker val="1"/>
        <c:smooth val="0"/>
        <c:axId val="1902223727"/>
        <c:axId val="1895645535"/>
      </c:lineChart>
      <c:catAx>
        <c:axId val="1902223727"/>
        <c:scaling>
          <c:orientation val="minMax"/>
        </c:scaling>
        <c:delete val="0"/>
        <c:axPos val="b"/>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dk1">
                    <a:lumMod val="65000"/>
                    <a:lumOff val="35000"/>
                  </a:schemeClr>
                </a:solidFill>
                <a:latin typeface="+mn-lt"/>
                <a:ea typeface="+mn-ea"/>
                <a:cs typeface="+mn-cs"/>
              </a:defRPr>
            </a:pPr>
            <a:endParaRPr lang="es-CO"/>
          </a:p>
        </c:txPr>
        <c:crossAx val="1895645535"/>
        <c:crosses val="autoZero"/>
        <c:auto val="1"/>
        <c:lblAlgn val="ctr"/>
        <c:lblOffset val="100"/>
        <c:noMultiLvlLbl val="0"/>
      </c:catAx>
      <c:valAx>
        <c:axId val="1895645535"/>
        <c:scaling>
          <c:orientation val="minMax"/>
        </c:scaling>
        <c:delete val="1"/>
        <c:axPos val="l"/>
        <c:numFmt formatCode="General" sourceLinked="1"/>
        <c:majorTickMark val="none"/>
        <c:minorTickMark val="none"/>
        <c:tickLblPos val="nextTo"/>
        <c:crossAx val="190222372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0" i="0" u="none" strike="noStrike" kern="1200" cap="all" spc="0" baseline="0">
                <a:gradFill>
                  <a:gsLst>
                    <a:gs pos="0">
                      <a:schemeClr val="dk1">
                        <a:lumMod val="50000"/>
                        <a:lumOff val="50000"/>
                      </a:schemeClr>
                    </a:gs>
                    <a:gs pos="100000">
                      <a:schemeClr val="dk1">
                        <a:lumMod val="85000"/>
                        <a:lumOff val="15000"/>
                      </a:schemeClr>
                    </a:gs>
                  </a:gsLst>
                  <a:lin ang="5400000" scaled="0"/>
                </a:gradFill>
                <a:latin typeface="+mn-lt"/>
                <a:ea typeface="+mn-ea"/>
                <a:cs typeface="+mn-cs"/>
              </a:defRPr>
            </a:pPr>
            <a:r>
              <a:rPr lang="es-CO"/>
              <a:t>PROMEDIO POR PRUEBA NO OFICIALES 2016-2024</a:t>
            </a:r>
          </a:p>
        </c:rich>
      </c:tx>
      <c:overlay val="0"/>
      <c:spPr>
        <a:noFill/>
        <a:ln>
          <a:noFill/>
        </a:ln>
        <a:effectLst/>
      </c:spPr>
      <c:txPr>
        <a:bodyPr rot="0" spcFirstLastPara="1" vertOverflow="ellipsis" vert="horz" wrap="square" anchor="ctr" anchorCtr="1"/>
        <a:lstStyle/>
        <a:p>
          <a:pPr>
            <a:defRPr sz="1440" b="0" i="0" u="none" strike="noStrike" kern="1200" cap="all" spc="0" baseline="0">
              <a:gradFill>
                <a:gsLst>
                  <a:gs pos="0">
                    <a:schemeClr val="dk1">
                      <a:lumMod val="50000"/>
                      <a:lumOff val="50000"/>
                    </a:schemeClr>
                  </a:gs>
                  <a:gs pos="100000">
                    <a:schemeClr val="dk1">
                      <a:lumMod val="85000"/>
                      <a:lumOff val="15000"/>
                    </a:schemeClr>
                  </a:gs>
                </a:gsLst>
                <a:lin ang="5400000" scaled="0"/>
              </a:gradFill>
              <a:latin typeface="+mn-lt"/>
              <a:ea typeface="+mn-ea"/>
              <a:cs typeface="+mn-cs"/>
            </a:defRPr>
          </a:pPr>
          <a:endParaRPr lang="es-CO"/>
        </a:p>
      </c:txPr>
    </c:title>
    <c:autoTitleDeleted val="0"/>
    <c:plotArea>
      <c:layout>
        <c:manualLayout>
          <c:layoutTarget val="inner"/>
          <c:xMode val="edge"/>
          <c:yMode val="edge"/>
          <c:x val="1.5240991426492293E-2"/>
          <c:y val="0.12787989227285518"/>
          <c:w val="0.95808727357714618"/>
          <c:h val="0.70900995538166767"/>
        </c:manualLayout>
      </c:layout>
      <c:lineChart>
        <c:grouping val="standard"/>
        <c:varyColors val="0"/>
        <c:ser>
          <c:idx val="0"/>
          <c:order val="0"/>
          <c:tx>
            <c:strRef>
              <c:f>PGLOBAL!$P$398</c:f>
              <c:strCache>
                <c:ptCount val="1"/>
                <c:pt idx="0">
                  <c:v>LECTURA CRÍTICA</c:v>
                </c:pt>
              </c:strCache>
            </c:strRef>
          </c:tx>
          <c:spPr>
            <a:ln w="19050" cap="rnd" cmpd="sng" algn="ctr">
              <a:solidFill>
                <a:schemeClr val="accent1">
                  <a:shade val="95000"/>
                  <a:satMod val="105000"/>
                </a:schemeClr>
              </a:solidFill>
              <a:round/>
            </a:ln>
            <a:effectLst/>
          </c:spPr>
          <c:marker>
            <c:symbol val="circle"/>
            <c:size val="17"/>
            <c:spPr>
              <a:solidFill>
                <a:schemeClr val="lt1"/>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1"/>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35000"/>
                          <a:lumOff val="65000"/>
                        </a:schemeClr>
                      </a:solidFill>
                    </a:ln>
                    <a:effectLst/>
                  </c:spPr>
                </c15:leaderLines>
              </c:ext>
            </c:extLst>
          </c:dLbls>
          <c:cat>
            <c:strRef>
              <c:f>PGLOBAL!$Q$397:$Y$397</c:f>
              <c:strCache>
                <c:ptCount val="9"/>
                <c:pt idx="0">
                  <c:v>2016</c:v>
                </c:pt>
                <c:pt idx="1">
                  <c:v>2017</c:v>
                </c:pt>
                <c:pt idx="2">
                  <c:v>2018</c:v>
                </c:pt>
                <c:pt idx="3">
                  <c:v>2019</c:v>
                </c:pt>
                <c:pt idx="4">
                  <c:v>2020</c:v>
                </c:pt>
                <c:pt idx="5">
                  <c:v>2021</c:v>
                </c:pt>
                <c:pt idx="6">
                  <c:v>2022</c:v>
                </c:pt>
                <c:pt idx="7">
                  <c:v>2023</c:v>
                </c:pt>
                <c:pt idx="8">
                  <c:v>2024</c:v>
                </c:pt>
              </c:strCache>
            </c:strRef>
          </c:cat>
          <c:val>
            <c:numRef>
              <c:f>PGLOBAL!$Q$398:$Y$398</c:f>
              <c:numCache>
                <c:formatCode>General</c:formatCode>
                <c:ptCount val="9"/>
                <c:pt idx="0">
                  <c:v>55</c:v>
                </c:pt>
                <c:pt idx="1">
                  <c:v>56</c:v>
                </c:pt>
                <c:pt idx="2">
                  <c:v>56</c:v>
                </c:pt>
                <c:pt idx="3">
                  <c:v>56</c:v>
                </c:pt>
                <c:pt idx="4">
                  <c:v>55</c:v>
                </c:pt>
                <c:pt idx="5">
                  <c:v>56</c:v>
                </c:pt>
                <c:pt idx="6">
                  <c:v>57</c:v>
                </c:pt>
                <c:pt idx="7" formatCode="0">
                  <c:v>57</c:v>
                </c:pt>
                <c:pt idx="8">
                  <c:v>58</c:v>
                </c:pt>
              </c:numCache>
            </c:numRef>
          </c:val>
          <c:smooth val="0"/>
          <c:extLst>
            <c:ext xmlns:c16="http://schemas.microsoft.com/office/drawing/2014/chart" uri="{C3380CC4-5D6E-409C-BE32-E72D297353CC}">
              <c16:uniqueId val="{00000000-17B9-44C3-B712-45E782E54357}"/>
            </c:ext>
          </c:extLst>
        </c:ser>
        <c:ser>
          <c:idx val="1"/>
          <c:order val="1"/>
          <c:tx>
            <c:strRef>
              <c:f>PGLOBAL!$D$400</c:f>
              <c:strCache>
                <c:ptCount val="1"/>
                <c:pt idx="0">
                  <c:v>MATEMÁTICAS</c:v>
                </c:pt>
              </c:strCache>
            </c:strRef>
          </c:tx>
          <c:spPr>
            <a:ln w="19050" cap="rnd" cmpd="sng" algn="ctr">
              <a:solidFill>
                <a:schemeClr val="accent2">
                  <a:shade val="95000"/>
                  <a:satMod val="105000"/>
                </a:schemeClr>
              </a:solidFill>
              <a:round/>
            </a:ln>
            <a:effectLst/>
          </c:spPr>
          <c:marker>
            <c:symbol val="circle"/>
            <c:size val="17"/>
            <c:spPr>
              <a:solidFill>
                <a:schemeClr val="lt1"/>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2"/>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35000"/>
                          <a:lumOff val="65000"/>
                        </a:schemeClr>
                      </a:solidFill>
                    </a:ln>
                    <a:effectLst/>
                  </c:spPr>
                </c15:leaderLines>
              </c:ext>
            </c:extLst>
          </c:dLbls>
          <c:cat>
            <c:strRef>
              <c:f>PGLOBAL!$Q$397:$Y$397</c:f>
              <c:strCache>
                <c:ptCount val="9"/>
                <c:pt idx="0">
                  <c:v>2016</c:v>
                </c:pt>
                <c:pt idx="1">
                  <c:v>2017</c:v>
                </c:pt>
                <c:pt idx="2">
                  <c:v>2018</c:v>
                </c:pt>
                <c:pt idx="3">
                  <c:v>2019</c:v>
                </c:pt>
                <c:pt idx="4">
                  <c:v>2020</c:v>
                </c:pt>
                <c:pt idx="5">
                  <c:v>2021</c:v>
                </c:pt>
                <c:pt idx="6">
                  <c:v>2022</c:v>
                </c:pt>
                <c:pt idx="7">
                  <c:v>2023</c:v>
                </c:pt>
                <c:pt idx="8">
                  <c:v>2024</c:v>
                </c:pt>
              </c:strCache>
            </c:strRef>
          </c:cat>
          <c:val>
            <c:numRef>
              <c:f>PGLOBAL!$Q$399:$Y$399</c:f>
              <c:numCache>
                <c:formatCode>General</c:formatCode>
                <c:ptCount val="9"/>
                <c:pt idx="0">
                  <c:v>54</c:v>
                </c:pt>
                <c:pt idx="1">
                  <c:v>53</c:v>
                </c:pt>
                <c:pt idx="2">
                  <c:v>54</c:v>
                </c:pt>
                <c:pt idx="3">
                  <c:v>55</c:v>
                </c:pt>
                <c:pt idx="4">
                  <c:v>55</c:v>
                </c:pt>
                <c:pt idx="5">
                  <c:v>54</c:v>
                </c:pt>
                <c:pt idx="6">
                  <c:v>55</c:v>
                </c:pt>
                <c:pt idx="7" formatCode="0">
                  <c:v>55</c:v>
                </c:pt>
                <c:pt idx="8">
                  <c:v>56</c:v>
                </c:pt>
              </c:numCache>
            </c:numRef>
          </c:val>
          <c:smooth val="0"/>
          <c:extLst>
            <c:ext xmlns:c16="http://schemas.microsoft.com/office/drawing/2014/chart" uri="{C3380CC4-5D6E-409C-BE32-E72D297353CC}">
              <c16:uniqueId val="{00000001-17B9-44C3-B712-45E782E54357}"/>
            </c:ext>
          </c:extLst>
        </c:ser>
        <c:ser>
          <c:idx val="2"/>
          <c:order val="2"/>
          <c:tx>
            <c:strRef>
              <c:f>PGLOBAL!$D$401</c:f>
              <c:strCache>
                <c:ptCount val="1"/>
                <c:pt idx="0">
                  <c:v>SOCIALES Y CIUDADANAS</c:v>
                </c:pt>
              </c:strCache>
            </c:strRef>
          </c:tx>
          <c:spPr>
            <a:ln w="19050" cap="rnd" cmpd="sng" algn="ctr">
              <a:solidFill>
                <a:srgbClr val="FFC000"/>
              </a:solidFill>
              <a:round/>
            </a:ln>
            <a:effectLst/>
          </c:spPr>
          <c:marker>
            <c:symbol val="circle"/>
            <c:size val="17"/>
            <c:spPr>
              <a:solidFill>
                <a:schemeClr val="lt1"/>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FFC000"/>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35000"/>
                          <a:lumOff val="65000"/>
                        </a:schemeClr>
                      </a:solidFill>
                    </a:ln>
                    <a:effectLst/>
                  </c:spPr>
                </c15:leaderLines>
              </c:ext>
            </c:extLst>
          </c:dLbls>
          <c:cat>
            <c:strRef>
              <c:f>PGLOBAL!$Q$397:$Y$397</c:f>
              <c:strCache>
                <c:ptCount val="9"/>
                <c:pt idx="0">
                  <c:v>2016</c:v>
                </c:pt>
                <c:pt idx="1">
                  <c:v>2017</c:v>
                </c:pt>
                <c:pt idx="2">
                  <c:v>2018</c:v>
                </c:pt>
                <c:pt idx="3">
                  <c:v>2019</c:v>
                </c:pt>
                <c:pt idx="4">
                  <c:v>2020</c:v>
                </c:pt>
                <c:pt idx="5">
                  <c:v>2021</c:v>
                </c:pt>
                <c:pt idx="6">
                  <c:v>2022</c:v>
                </c:pt>
                <c:pt idx="7">
                  <c:v>2023</c:v>
                </c:pt>
                <c:pt idx="8">
                  <c:v>2024</c:v>
                </c:pt>
              </c:strCache>
            </c:strRef>
          </c:cat>
          <c:val>
            <c:numRef>
              <c:f>PGLOBAL!$Q$400:$Y$400</c:f>
              <c:numCache>
                <c:formatCode>General</c:formatCode>
                <c:ptCount val="9"/>
                <c:pt idx="0">
                  <c:v>53</c:v>
                </c:pt>
                <c:pt idx="1">
                  <c:v>53</c:v>
                </c:pt>
                <c:pt idx="2">
                  <c:v>52</c:v>
                </c:pt>
                <c:pt idx="3">
                  <c:v>50</c:v>
                </c:pt>
                <c:pt idx="4">
                  <c:v>52</c:v>
                </c:pt>
                <c:pt idx="5">
                  <c:v>51</c:v>
                </c:pt>
                <c:pt idx="6">
                  <c:v>52</c:v>
                </c:pt>
                <c:pt idx="7" formatCode="0">
                  <c:v>53</c:v>
                </c:pt>
                <c:pt idx="8">
                  <c:v>53</c:v>
                </c:pt>
              </c:numCache>
            </c:numRef>
          </c:val>
          <c:smooth val="0"/>
          <c:extLst>
            <c:ext xmlns:c16="http://schemas.microsoft.com/office/drawing/2014/chart" uri="{C3380CC4-5D6E-409C-BE32-E72D297353CC}">
              <c16:uniqueId val="{00000002-17B9-44C3-B712-45E782E54357}"/>
            </c:ext>
          </c:extLst>
        </c:ser>
        <c:ser>
          <c:idx val="3"/>
          <c:order val="3"/>
          <c:tx>
            <c:strRef>
              <c:f>PGLOBAL!$D$402</c:f>
              <c:strCache>
                <c:ptCount val="1"/>
                <c:pt idx="0">
                  <c:v>CIENCIAS NATURALES</c:v>
                </c:pt>
              </c:strCache>
            </c:strRef>
          </c:tx>
          <c:spPr>
            <a:ln w="19050" cap="rnd" cmpd="sng" algn="ctr">
              <a:solidFill>
                <a:schemeClr val="accent3"/>
              </a:solidFill>
              <a:round/>
            </a:ln>
            <a:effectLst/>
          </c:spPr>
          <c:marker>
            <c:symbol val="circle"/>
            <c:size val="17"/>
            <c:spPr>
              <a:solidFill>
                <a:schemeClr val="lt1"/>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3"/>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35000"/>
                          <a:lumOff val="65000"/>
                        </a:schemeClr>
                      </a:solidFill>
                    </a:ln>
                    <a:effectLst/>
                  </c:spPr>
                </c15:leaderLines>
              </c:ext>
            </c:extLst>
          </c:dLbls>
          <c:cat>
            <c:strRef>
              <c:f>PGLOBAL!$Q$397:$Y$397</c:f>
              <c:strCache>
                <c:ptCount val="9"/>
                <c:pt idx="0">
                  <c:v>2016</c:v>
                </c:pt>
                <c:pt idx="1">
                  <c:v>2017</c:v>
                </c:pt>
                <c:pt idx="2">
                  <c:v>2018</c:v>
                </c:pt>
                <c:pt idx="3">
                  <c:v>2019</c:v>
                </c:pt>
                <c:pt idx="4">
                  <c:v>2020</c:v>
                </c:pt>
                <c:pt idx="5">
                  <c:v>2021</c:v>
                </c:pt>
                <c:pt idx="6">
                  <c:v>2022</c:v>
                </c:pt>
                <c:pt idx="7">
                  <c:v>2023</c:v>
                </c:pt>
                <c:pt idx="8">
                  <c:v>2024</c:v>
                </c:pt>
              </c:strCache>
            </c:strRef>
          </c:cat>
          <c:val>
            <c:numRef>
              <c:f>PGLOBAL!$Q$401:$Y$401</c:f>
              <c:numCache>
                <c:formatCode>General</c:formatCode>
                <c:ptCount val="9"/>
                <c:pt idx="0">
                  <c:v>55</c:v>
                </c:pt>
                <c:pt idx="1">
                  <c:v>54</c:v>
                </c:pt>
                <c:pt idx="2">
                  <c:v>53</c:v>
                </c:pt>
                <c:pt idx="3">
                  <c:v>52</c:v>
                </c:pt>
                <c:pt idx="4">
                  <c:v>51</c:v>
                </c:pt>
                <c:pt idx="5">
                  <c:v>51</c:v>
                </c:pt>
                <c:pt idx="6">
                  <c:v>52</c:v>
                </c:pt>
                <c:pt idx="7" formatCode="0">
                  <c:v>53</c:v>
                </c:pt>
                <c:pt idx="8">
                  <c:v>54</c:v>
                </c:pt>
              </c:numCache>
            </c:numRef>
          </c:val>
          <c:smooth val="0"/>
          <c:extLst>
            <c:ext xmlns:c16="http://schemas.microsoft.com/office/drawing/2014/chart" uri="{C3380CC4-5D6E-409C-BE32-E72D297353CC}">
              <c16:uniqueId val="{00000003-17B9-44C3-B712-45E782E54357}"/>
            </c:ext>
          </c:extLst>
        </c:ser>
        <c:ser>
          <c:idx val="4"/>
          <c:order val="4"/>
          <c:tx>
            <c:strRef>
              <c:f>PGLOBAL!$D$403</c:f>
              <c:strCache>
                <c:ptCount val="1"/>
                <c:pt idx="0">
                  <c:v>INGLES</c:v>
                </c:pt>
              </c:strCache>
            </c:strRef>
          </c:tx>
          <c:spPr>
            <a:ln w="19050" cap="rnd" cmpd="sng" algn="ctr">
              <a:solidFill>
                <a:schemeClr val="accent5">
                  <a:shade val="95000"/>
                  <a:satMod val="105000"/>
                </a:schemeClr>
              </a:solidFill>
              <a:round/>
            </a:ln>
            <a:effectLst/>
          </c:spPr>
          <c:marker>
            <c:symbol val="circle"/>
            <c:size val="17"/>
            <c:spPr>
              <a:solidFill>
                <a:schemeClr val="lt1"/>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5"/>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35000"/>
                          <a:lumOff val="65000"/>
                        </a:schemeClr>
                      </a:solidFill>
                    </a:ln>
                    <a:effectLst/>
                  </c:spPr>
                </c15:leaderLines>
              </c:ext>
            </c:extLst>
          </c:dLbls>
          <c:cat>
            <c:strRef>
              <c:f>PGLOBAL!$Q$397:$Y$397</c:f>
              <c:strCache>
                <c:ptCount val="9"/>
                <c:pt idx="0">
                  <c:v>2016</c:v>
                </c:pt>
                <c:pt idx="1">
                  <c:v>2017</c:v>
                </c:pt>
                <c:pt idx="2">
                  <c:v>2018</c:v>
                </c:pt>
                <c:pt idx="3">
                  <c:v>2019</c:v>
                </c:pt>
                <c:pt idx="4">
                  <c:v>2020</c:v>
                </c:pt>
                <c:pt idx="5">
                  <c:v>2021</c:v>
                </c:pt>
                <c:pt idx="6">
                  <c:v>2022</c:v>
                </c:pt>
                <c:pt idx="7">
                  <c:v>2023</c:v>
                </c:pt>
                <c:pt idx="8">
                  <c:v>2024</c:v>
                </c:pt>
              </c:strCache>
            </c:strRef>
          </c:cat>
          <c:val>
            <c:numRef>
              <c:f>PGLOBAL!$Q$402:$Y$402</c:f>
              <c:numCache>
                <c:formatCode>General</c:formatCode>
                <c:ptCount val="9"/>
                <c:pt idx="0">
                  <c:v>56</c:v>
                </c:pt>
                <c:pt idx="1">
                  <c:v>53</c:v>
                </c:pt>
                <c:pt idx="2">
                  <c:v>55</c:v>
                </c:pt>
                <c:pt idx="3">
                  <c:v>54</c:v>
                </c:pt>
                <c:pt idx="4">
                  <c:v>50</c:v>
                </c:pt>
                <c:pt idx="5">
                  <c:v>55</c:v>
                </c:pt>
                <c:pt idx="6">
                  <c:v>56</c:v>
                </c:pt>
                <c:pt idx="7" formatCode="0">
                  <c:v>56</c:v>
                </c:pt>
                <c:pt idx="8">
                  <c:v>57</c:v>
                </c:pt>
              </c:numCache>
            </c:numRef>
          </c:val>
          <c:smooth val="0"/>
          <c:extLst>
            <c:ext xmlns:c16="http://schemas.microsoft.com/office/drawing/2014/chart" uri="{C3380CC4-5D6E-409C-BE32-E72D297353CC}">
              <c16:uniqueId val="{00000004-17B9-44C3-B712-45E782E54357}"/>
            </c:ext>
          </c:extLst>
        </c:ser>
        <c:dLbls>
          <c:dLblPos val="ctr"/>
          <c:showLegendKey val="0"/>
          <c:showVal val="1"/>
          <c:showCatName val="0"/>
          <c:showSerName val="0"/>
          <c:showPercent val="0"/>
          <c:showBubbleSize val="0"/>
        </c:dLbls>
        <c:marker val="1"/>
        <c:smooth val="0"/>
        <c:axId val="1902223727"/>
        <c:axId val="1895645535"/>
      </c:lineChart>
      <c:catAx>
        <c:axId val="1902223727"/>
        <c:scaling>
          <c:orientation val="minMax"/>
        </c:scaling>
        <c:delete val="0"/>
        <c:axPos val="b"/>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dk1">
                    <a:lumMod val="65000"/>
                    <a:lumOff val="35000"/>
                  </a:schemeClr>
                </a:solidFill>
                <a:latin typeface="+mn-lt"/>
                <a:ea typeface="+mn-ea"/>
                <a:cs typeface="+mn-cs"/>
              </a:defRPr>
            </a:pPr>
            <a:endParaRPr lang="es-CO"/>
          </a:p>
        </c:txPr>
        <c:crossAx val="1895645535"/>
        <c:crosses val="autoZero"/>
        <c:auto val="1"/>
        <c:lblAlgn val="ctr"/>
        <c:lblOffset val="100"/>
        <c:noMultiLvlLbl val="0"/>
      </c:catAx>
      <c:valAx>
        <c:axId val="1895645535"/>
        <c:scaling>
          <c:orientation val="minMax"/>
        </c:scaling>
        <c:delete val="1"/>
        <c:axPos val="l"/>
        <c:numFmt formatCode="General" sourceLinked="1"/>
        <c:majorTickMark val="none"/>
        <c:minorTickMark val="none"/>
        <c:tickLblPos val="nextTo"/>
        <c:crossAx val="1902223727"/>
        <c:crosses val="autoZero"/>
        <c:crossBetween val="between"/>
      </c:valAx>
      <c:spPr>
        <a:noFill/>
        <a:ln>
          <a:noFill/>
        </a:ln>
        <a:effectLst/>
      </c:spPr>
    </c:plotArea>
    <c:legend>
      <c:legendPos val="b"/>
      <c:layout>
        <c:manualLayout>
          <c:xMode val="edge"/>
          <c:yMode val="edge"/>
          <c:x val="0"/>
          <c:y val="0.88770490440104455"/>
          <c:w val="1"/>
          <c:h val="0.112295095598955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34">
  <cs:axisTitle>
    <cs:lnRef idx="0"/>
    <cs:fillRef idx="0"/>
    <cs:effectRef idx="0"/>
    <cs:fontRef idx="minor">
      <a:schemeClr val="dk1">
        <a:lumMod val="65000"/>
        <a:lumOff val="35000"/>
      </a:schemeClr>
    </cs:fontRef>
    <cs:defRPr sz="900"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1000" kern="120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cs:styleClr val="auto"/>
    </cs:fontRef>
    <cs:spPr/>
    <cs:defRPr sz="900" b="1" i="0" u="none" strike="noStrike" kern="1200" baseline="0"/>
  </cs:dataLabel>
  <cs:dataLabelCallout>
    <cs:lnRef idx="0"/>
    <cs:fillRef idx="0"/>
    <cs:effectRef idx="0"/>
    <cs:fontRef idx="minor">
      <a:schemeClr val="dk1">
        <a:lumMod val="65000"/>
        <a:lumOff val="35000"/>
      </a:schemeClr>
    </cs:fontRef>
    <cs:spPr>
      <a:solidFill>
        <a:schemeClr val="lt1"/>
      </a:solidFill>
      <a:ln w="9575">
        <a:solidFill>
          <a:schemeClr val="lt1">
            <a:lumMod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19050" cap="rnd" cmpd="sng" algn="ctr">
        <a:solidFill>
          <a:schemeClr val="phClr">
            <a:shade val="95000"/>
            <a:satMod val="105000"/>
          </a:schemeClr>
        </a:solidFill>
        <a:round/>
      </a:ln>
    </cs:spPr>
  </cs:dataPointLine>
  <cs:dataPointMarker>
    <cs:lnRef idx="0"/>
    <cs:fillRef idx="0"/>
    <cs:effectRef idx="0"/>
    <cs:fontRef idx="minor">
      <a:schemeClr val="dk1"/>
    </cs:fontRef>
    <cs:spPr>
      <a:solidFill>
        <a:schemeClr val="lt1"/>
      </a:solidFill>
    </cs:spPr>
  </cs:dataPointMarker>
  <cs:dataPointMarkerLayout symbol="circle" size="17"/>
  <cs:dataPointWireframe>
    <cs:lnRef idx="0">
      <cs:styleClr val="auto"/>
    </cs:lnRef>
    <cs:fillRef idx="1"/>
    <cs:effectRef idx="0"/>
    <cs:fontRef idx="minor">
      <a:schemeClr val="dk1"/>
    </cs:fontRef>
    <cs:spPr>
      <a:ln w="9525">
        <a:solidFill>
          <a:schemeClr val="phClr"/>
        </a:solidFill>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dk1">
            <a:lumMod val="50000"/>
            <a:lumOff val="50000"/>
          </a:schemeClr>
        </a:solidFill>
      </a:ln>
    </cs:spPr>
  </cs:downBar>
  <cs:dropLine>
    <cs:lnRef idx="0"/>
    <cs:fillRef idx="0"/>
    <cs:effectRef idx="0"/>
    <cs:fontRef idx="minor">
      <a:schemeClr val="dk1"/>
    </cs:fontRef>
    <cs:spPr>
      <a:ln w="9525">
        <a:solidFill>
          <a:schemeClr val="dk1">
            <a:lumMod val="35000"/>
            <a:lumOff val="65000"/>
          </a:schemeClr>
        </a:solidFill>
      </a:ln>
    </cs:spPr>
  </cs:dropLine>
  <cs:errorBar>
    <cs:lnRef idx="0"/>
    <cs:fillRef idx="0"/>
    <cs:effectRef idx="0"/>
    <cs:fontRef idx="minor">
      <a:schemeClr val="dk1"/>
    </cs:fontRef>
    <cs:spPr>
      <a:ln w="9525">
        <a:solidFill>
          <a:schemeClr val="dk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a:solidFill>
          <a:schemeClr val="dk1">
            <a:lumMod val="15000"/>
            <a:lumOff val="85000"/>
          </a:schemeClr>
        </a:solidFill>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35000"/>
            <a:lumOff val="65000"/>
          </a:schemeClr>
        </a:solidFill>
      </a:ln>
    </cs:spPr>
  </cs:hiLoLine>
  <cs:leaderLine>
    <cs:lnRef idx="0"/>
    <cs:fillRef idx="0"/>
    <cs:effectRef idx="0"/>
    <cs:fontRef idx="minor">
      <a:schemeClr val="dk1"/>
    </cs:fontRef>
    <cs:spPr>
      <a:ln w="9525">
        <a:solidFill>
          <a:schemeClr val="dk1">
            <a:lumMod val="35000"/>
            <a:lumOff val="65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35000"/>
            <a:lumOff val="65000"/>
          </a:schemeClr>
        </a:solidFill>
      </a:ln>
    </cs:spPr>
  </cs:seriesLine>
  <cs:title>
    <cs:lnRef idx="0"/>
    <cs:fillRef idx="0"/>
    <cs:effectRef idx="0"/>
    <cs:fontRef idx="minor">
      <a:schemeClr val="dk1"/>
    </cs:fontRef>
    <cs:defRPr sz="1440" b="0" kern="1200" cap="all" spc="0" baseline="0">
      <a:gradFill>
        <a:gsLst>
          <a:gs pos="0">
            <a:schemeClr val="dk1">
              <a:lumMod val="50000"/>
              <a:lumOff val="50000"/>
            </a:schemeClr>
          </a:gs>
          <a:gs pos="100000">
            <a:schemeClr val="dk1">
              <a:lumMod val="85000"/>
              <a:lumOff val="15000"/>
            </a:schemeClr>
          </a:gs>
        </a:gsLst>
        <a:lin ang="5400000" scaled="0"/>
      </a:gradFill>
    </cs:defRPr>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dk1">
            <a:lumMod val="50000"/>
            <a:lumOff val="50000"/>
          </a:schemeClr>
        </a:solidFill>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34">
  <cs:axisTitle>
    <cs:lnRef idx="0"/>
    <cs:fillRef idx="0"/>
    <cs:effectRef idx="0"/>
    <cs:fontRef idx="minor">
      <a:schemeClr val="dk1">
        <a:lumMod val="65000"/>
        <a:lumOff val="35000"/>
      </a:schemeClr>
    </cs:fontRef>
    <cs:defRPr sz="900"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1000" kern="120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cs:styleClr val="auto"/>
    </cs:fontRef>
    <cs:spPr/>
    <cs:defRPr sz="900" b="1" i="0" u="none" strike="noStrike" kern="1200" baseline="0"/>
  </cs:dataLabel>
  <cs:dataLabelCallout>
    <cs:lnRef idx="0"/>
    <cs:fillRef idx="0"/>
    <cs:effectRef idx="0"/>
    <cs:fontRef idx="minor">
      <a:schemeClr val="dk1">
        <a:lumMod val="65000"/>
        <a:lumOff val="35000"/>
      </a:schemeClr>
    </cs:fontRef>
    <cs:spPr>
      <a:solidFill>
        <a:schemeClr val="lt1"/>
      </a:solidFill>
      <a:ln w="9575">
        <a:solidFill>
          <a:schemeClr val="lt1">
            <a:lumMod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19050" cap="rnd" cmpd="sng" algn="ctr">
        <a:solidFill>
          <a:schemeClr val="phClr">
            <a:shade val="95000"/>
            <a:satMod val="105000"/>
          </a:schemeClr>
        </a:solidFill>
        <a:round/>
      </a:ln>
    </cs:spPr>
  </cs:dataPointLine>
  <cs:dataPointMarker>
    <cs:lnRef idx="0"/>
    <cs:fillRef idx="0"/>
    <cs:effectRef idx="0"/>
    <cs:fontRef idx="minor">
      <a:schemeClr val="dk1"/>
    </cs:fontRef>
    <cs:spPr>
      <a:solidFill>
        <a:schemeClr val="lt1"/>
      </a:solidFill>
    </cs:spPr>
  </cs:dataPointMarker>
  <cs:dataPointMarkerLayout symbol="circle" size="17"/>
  <cs:dataPointWireframe>
    <cs:lnRef idx="0">
      <cs:styleClr val="auto"/>
    </cs:lnRef>
    <cs:fillRef idx="1"/>
    <cs:effectRef idx="0"/>
    <cs:fontRef idx="minor">
      <a:schemeClr val="dk1"/>
    </cs:fontRef>
    <cs:spPr>
      <a:ln w="9525">
        <a:solidFill>
          <a:schemeClr val="phClr"/>
        </a:solidFill>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dk1">
            <a:lumMod val="50000"/>
            <a:lumOff val="50000"/>
          </a:schemeClr>
        </a:solidFill>
      </a:ln>
    </cs:spPr>
  </cs:downBar>
  <cs:dropLine>
    <cs:lnRef idx="0"/>
    <cs:fillRef idx="0"/>
    <cs:effectRef idx="0"/>
    <cs:fontRef idx="minor">
      <a:schemeClr val="dk1"/>
    </cs:fontRef>
    <cs:spPr>
      <a:ln w="9525">
        <a:solidFill>
          <a:schemeClr val="dk1">
            <a:lumMod val="35000"/>
            <a:lumOff val="65000"/>
          </a:schemeClr>
        </a:solidFill>
      </a:ln>
    </cs:spPr>
  </cs:dropLine>
  <cs:errorBar>
    <cs:lnRef idx="0"/>
    <cs:fillRef idx="0"/>
    <cs:effectRef idx="0"/>
    <cs:fontRef idx="minor">
      <a:schemeClr val="dk1"/>
    </cs:fontRef>
    <cs:spPr>
      <a:ln w="9525">
        <a:solidFill>
          <a:schemeClr val="dk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a:solidFill>
          <a:schemeClr val="dk1">
            <a:lumMod val="15000"/>
            <a:lumOff val="85000"/>
          </a:schemeClr>
        </a:solidFill>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35000"/>
            <a:lumOff val="65000"/>
          </a:schemeClr>
        </a:solidFill>
      </a:ln>
    </cs:spPr>
  </cs:hiLoLine>
  <cs:leaderLine>
    <cs:lnRef idx="0"/>
    <cs:fillRef idx="0"/>
    <cs:effectRef idx="0"/>
    <cs:fontRef idx="minor">
      <a:schemeClr val="dk1"/>
    </cs:fontRef>
    <cs:spPr>
      <a:ln w="9525">
        <a:solidFill>
          <a:schemeClr val="dk1">
            <a:lumMod val="35000"/>
            <a:lumOff val="65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35000"/>
            <a:lumOff val="65000"/>
          </a:schemeClr>
        </a:solidFill>
      </a:ln>
    </cs:spPr>
  </cs:seriesLine>
  <cs:title>
    <cs:lnRef idx="0"/>
    <cs:fillRef idx="0"/>
    <cs:effectRef idx="0"/>
    <cs:fontRef idx="minor">
      <a:schemeClr val="dk1"/>
    </cs:fontRef>
    <cs:defRPr sz="1440" b="0" kern="1200" cap="all" spc="0" baseline="0">
      <a:gradFill>
        <a:gsLst>
          <a:gs pos="0">
            <a:schemeClr val="dk1">
              <a:lumMod val="50000"/>
              <a:lumOff val="50000"/>
            </a:schemeClr>
          </a:gs>
          <a:gs pos="100000">
            <a:schemeClr val="dk1">
              <a:lumMod val="85000"/>
              <a:lumOff val="15000"/>
            </a:schemeClr>
          </a:gs>
        </a:gsLst>
        <a:lin ang="5400000" scaled="0"/>
      </a:gradFill>
    </cs:defRPr>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dk1">
            <a:lumMod val="50000"/>
            <a:lumOff val="50000"/>
          </a:schemeClr>
        </a:solidFill>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4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34">
  <cs:axisTitle>
    <cs:lnRef idx="0"/>
    <cs:fillRef idx="0"/>
    <cs:effectRef idx="0"/>
    <cs:fontRef idx="minor">
      <a:schemeClr val="dk1">
        <a:lumMod val="65000"/>
        <a:lumOff val="35000"/>
      </a:schemeClr>
    </cs:fontRef>
    <cs:defRPr sz="900"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1000" kern="120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cs:styleClr val="auto"/>
    </cs:fontRef>
    <cs:spPr/>
    <cs:defRPr sz="900" b="1" i="0" u="none" strike="noStrike" kern="1200" baseline="0"/>
  </cs:dataLabel>
  <cs:dataLabelCallout>
    <cs:lnRef idx="0"/>
    <cs:fillRef idx="0"/>
    <cs:effectRef idx="0"/>
    <cs:fontRef idx="minor">
      <a:schemeClr val="dk1">
        <a:lumMod val="65000"/>
        <a:lumOff val="35000"/>
      </a:schemeClr>
    </cs:fontRef>
    <cs:spPr>
      <a:solidFill>
        <a:schemeClr val="lt1"/>
      </a:solidFill>
      <a:ln w="9575">
        <a:solidFill>
          <a:schemeClr val="lt1">
            <a:lumMod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19050" cap="rnd" cmpd="sng" algn="ctr">
        <a:solidFill>
          <a:schemeClr val="phClr">
            <a:shade val="95000"/>
            <a:satMod val="105000"/>
          </a:schemeClr>
        </a:solidFill>
        <a:round/>
      </a:ln>
    </cs:spPr>
  </cs:dataPointLine>
  <cs:dataPointMarker>
    <cs:lnRef idx="0"/>
    <cs:fillRef idx="0"/>
    <cs:effectRef idx="0"/>
    <cs:fontRef idx="minor">
      <a:schemeClr val="dk1"/>
    </cs:fontRef>
    <cs:spPr>
      <a:solidFill>
        <a:schemeClr val="lt1"/>
      </a:solidFill>
    </cs:spPr>
  </cs:dataPointMarker>
  <cs:dataPointMarkerLayout symbol="circle" size="17"/>
  <cs:dataPointWireframe>
    <cs:lnRef idx="0">
      <cs:styleClr val="auto"/>
    </cs:lnRef>
    <cs:fillRef idx="1"/>
    <cs:effectRef idx="0"/>
    <cs:fontRef idx="minor">
      <a:schemeClr val="dk1"/>
    </cs:fontRef>
    <cs:spPr>
      <a:ln w="9525">
        <a:solidFill>
          <a:schemeClr val="phClr"/>
        </a:solidFill>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dk1">
            <a:lumMod val="50000"/>
            <a:lumOff val="50000"/>
          </a:schemeClr>
        </a:solidFill>
      </a:ln>
    </cs:spPr>
  </cs:downBar>
  <cs:dropLine>
    <cs:lnRef idx="0"/>
    <cs:fillRef idx="0"/>
    <cs:effectRef idx="0"/>
    <cs:fontRef idx="minor">
      <a:schemeClr val="dk1"/>
    </cs:fontRef>
    <cs:spPr>
      <a:ln w="9525">
        <a:solidFill>
          <a:schemeClr val="dk1">
            <a:lumMod val="35000"/>
            <a:lumOff val="65000"/>
          </a:schemeClr>
        </a:solidFill>
      </a:ln>
    </cs:spPr>
  </cs:dropLine>
  <cs:errorBar>
    <cs:lnRef idx="0"/>
    <cs:fillRef idx="0"/>
    <cs:effectRef idx="0"/>
    <cs:fontRef idx="minor">
      <a:schemeClr val="dk1"/>
    </cs:fontRef>
    <cs:spPr>
      <a:ln w="9525">
        <a:solidFill>
          <a:schemeClr val="dk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a:solidFill>
          <a:schemeClr val="dk1">
            <a:lumMod val="15000"/>
            <a:lumOff val="85000"/>
          </a:schemeClr>
        </a:solidFill>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35000"/>
            <a:lumOff val="65000"/>
          </a:schemeClr>
        </a:solidFill>
      </a:ln>
    </cs:spPr>
  </cs:hiLoLine>
  <cs:leaderLine>
    <cs:lnRef idx="0"/>
    <cs:fillRef idx="0"/>
    <cs:effectRef idx="0"/>
    <cs:fontRef idx="minor">
      <a:schemeClr val="dk1"/>
    </cs:fontRef>
    <cs:spPr>
      <a:ln w="9525">
        <a:solidFill>
          <a:schemeClr val="dk1">
            <a:lumMod val="35000"/>
            <a:lumOff val="65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35000"/>
            <a:lumOff val="65000"/>
          </a:schemeClr>
        </a:solidFill>
      </a:ln>
    </cs:spPr>
  </cs:seriesLine>
  <cs:title>
    <cs:lnRef idx="0"/>
    <cs:fillRef idx="0"/>
    <cs:effectRef idx="0"/>
    <cs:fontRef idx="minor">
      <a:schemeClr val="dk1"/>
    </cs:fontRef>
    <cs:defRPr sz="1440" b="0" kern="1200" cap="all" spc="0" baseline="0">
      <a:gradFill>
        <a:gsLst>
          <a:gs pos="0">
            <a:schemeClr val="dk1">
              <a:lumMod val="50000"/>
              <a:lumOff val="50000"/>
            </a:schemeClr>
          </a:gs>
          <a:gs pos="100000">
            <a:schemeClr val="dk1">
              <a:lumMod val="85000"/>
              <a:lumOff val="15000"/>
            </a:schemeClr>
          </a:gs>
        </a:gsLst>
        <a:lin ang="5400000" scaled="0"/>
      </a:gradFill>
    </cs:defRPr>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dk1">
            <a:lumMod val="50000"/>
            <a:lumOff val="50000"/>
          </a:schemeClr>
        </a:solidFill>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5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hyperlink" Target="#'3 Promediosyniveles'!A1"/><Relationship Id="rId13" Type="http://schemas.openxmlformats.org/officeDocument/2006/relationships/image" Target="../media/image9.svg"/><Relationship Id="rId18" Type="http://schemas.openxmlformats.org/officeDocument/2006/relationships/image" Target="../media/image12.png"/><Relationship Id="rId3" Type="http://schemas.openxmlformats.org/officeDocument/2006/relationships/image" Target="../media/image2.png"/><Relationship Id="rId21" Type="http://schemas.openxmlformats.org/officeDocument/2006/relationships/hyperlink" Target="#'9 AprenCNProF&#237;sicos'!A1"/><Relationship Id="rId7" Type="http://schemas.openxmlformats.org/officeDocument/2006/relationships/image" Target="../media/image5.svg"/><Relationship Id="rId12" Type="http://schemas.openxmlformats.org/officeDocument/2006/relationships/image" Target="../media/image8.png"/><Relationship Id="rId17" Type="http://schemas.openxmlformats.org/officeDocument/2006/relationships/hyperlink" Target="#'7 AprenCNProVivos'!A1"/><Relationship Id="rId2" Type="http://schemas.openxmlformats.org/officeDocument/2006/relationships/hyperlink" Target="#'2 PuntajeGlobal'!A1"/><Relationship Id="rId16" Type="http://schemas.openxmlformats.org/officeDocument/2006/relationships/image" Target="../media/image11.svg"/><Relationship Id="rId20" Type="http://schemas.openxmlformats.org/officeDocument/2006/relationships/hyperlink" Target="#'8 AprenCNProQu&#237;micos'!A1"/><Relationship Id="rId1" Type="http://schemas.openxmlformats.org/officeDocument/2006/relationships/image" Target="../media/image1.png"/><Relationship Id="rId6" Type="http://schemas.openxmlformats.org/officeDocument/2006/relationships/image" Target="../media/image4.png"/><Relationship Id="rId11" Type="http://schemas.openxmlformats.org/officeDocument/2006/relationships/hyperlink" Target="#'5 AprenMate'!A1"/><Relationship Id="rId5" Type="http://schemas.openxmlformats.org/officeDocument/2006/relationships/hyperlink" Target="#'4 AprenLectura'!A1"/><Relationship Id="rId15" Type="http://schemas.openxmlformats.org/officeDocument/2006/relationships/image" Target="../media/image10.png"/><Relationship Id="rId23" Type="http://schemas.openxmlformats.org/officeDocument/2006/relationships/image" Target="../media/image14.png"/><Relationship Id="rId10" Type="http://schemas.openxmlformats.org/officeDocument/2006/relationships/image" Target="../media/image7.svg"/><Relationship Id="rId19" Type="http://schemas.openxmlformats.org/officeDocument/2006/relationships/image" Target="../media/image13.svg"/><Relationship Id="rId4" Type="http://schemas.openxmlformats.org/officeDocument/2006/relationships/image" Target="../media/image3.svg"/><Relationship Id="rId9" Type="http://schemas.openxmlformats.org/officeDocument/2006/relationships/image" Target="../media/image6.png"/><Relationship Id="rId14" Type="http://schemas.openxmlformats.org/officeDocument/2006/relationships/hyperlink" Target="#'6 AprenSyC'!A1"/><Relationship Id="rId22" Type="http://schemas.openxmlformats.org/officeDocument/2006/relationships/hyperlink" Target="#'10 AprenCNCTS'!A1"/></Relationships>
</file>

<file path=xl/drawings/_rels/drawing10.xml.rels><?xml version="1.0" encoding="UTF-8" standalone="yes"?>
<Relationships xmlns="http://schemas.openxmlformats.org/package/2006/relationships"><Relationship Id="rId3" Type="http://schemas.openxmlformats.org/officeDocument/2006/relationships/hyperlink" Target="#'GU&#205;A DE USO'!A1"/><Relationship Id="rId2" Type="http://schemas.openxmlformats.org/officeDocument/2006/relationships/image" Target="../media/image1.png"/><Relationship Id="rId1" Type="http://schemas.openxmlformats.org/officeDocument/2006/relationships/chart" Target="../charts/chart55.xml"/><Relationship Id="rId6" Type="http://schemas.openxmlformats.org/officeDocument/2006/relationships/image" Target="../media/image14.png"/><Relationship Id="rId5" Type="http://schemas.openxmlformats.org/officeDocument/2006/relationships/image" Target="../media/image17.svg"/><Relationship Id="rId4" Type="http://schemas.openxmlformats.org/officeDocument/2006/relationships/image" Target="../media/image16.png"/></Relationships>
</file>

<file path=xl/drawings/_rels/drawing11.xml.rels><?xml version="1.0" encoding="UTF-8" standalone="yes"?>
<Relationships xmlns="http://schemas.openxmlformats.org/package/2006/relationships"><Relationship Id="rId3" Type="http://schemas.openxmlformats.org/officeDocument/2006/relationships/hyperlink" Target="#'GU&#205;A DE USO'!A1"/><Relationship Id="rId2" Type="http://schemas.openxmlformats.org/officeDocument/2006/relationships/image" Target="../media/image1.png"/><Relationship Id="rId1" Type="http://schemas.openxmlformats.org/officeDocument/2006/relationships/chart" Target="../charts/chart56.xml"/><Relationship Id="rId6" Type="http://schemas.openxmlformats.org/officeDocument/2006/relationships/image" Target="../media/image14.png"/><Relationship Id="rId5" Type="http://schemas.openxmlformats.org/officeDocument/2006/relationships/image" Target="../media/image17.svg"/><Relationship Id="rId4" Type="http://schemas.openxmlformats.org/officeDocument/2006/relationships/image" Target="../media/image16.png"/></Relationships>
</file>

<file path=xl/drawings/_rels/drawing12.xml.rels><?xml version="1.0" encoding="UTF-8" standalone="yes"?>
<Relationships xmlns="http://schemas.openxmlformats.org/package/2006/relationships"><Relationship Id="rId8" Type="http://schemas.openxmlformats.org/officeDocument/2006/relationships/image" Target="../media/image14.png"/><Relationship Id="rId3" Type="http://schemas.openxmlformats.org/officeDocument/2006/relationships/image" Target="../media/image1.png"/><Relationship Id="rId7" Type="http://schemas.openxmlformats.org/officeDocument/2006/relationships/image" Target="../media/image17.svg"/><Relationship Id="rId2" Type="http://schemas.openxmlformats.org/officeDocument/2006/relationships/chart" Target="../charts/chart58.xml"/><Relationship Id="rId1" Type="http://schemas.openxmlformats.org/officeDocument/2006/relationships/chart" Target="../charts/chart57.xml"/><Relationship Id="rId6" Type="http://schemas.openxmlformats.org/officeDocument/2006/relationships/image" Target="../media/image16.png"/><Relationship Id="rId5" Type="http://schemas.openxmlformats.org/officeDocument/2006/relationships/hyperlink" Target="#'GU&#205;A DE USO'!A1"/><Relationship Id="rId4" Type="http://schemas.openxmlformats.org/officeDocument/2006/relationships/chart" Target="../charts/chart59.xml"/></Relationships>
</file>

<file path=xl/drawings/_rels/drawing13.xml.rels><?xml version="1.0" encoding="UTF-8" standalone="yes"?>
<Relationships xmlns="http://schemas.openxmlformats.org/package/2006/relationships"><Relationship Id="rId8" Type="http://schemas.openxmlformats.org/officeDocument/2006/relationships/chart" Target="../charts/chart63.xml"/><Relationship Id="rId3" Type="http://schemas.openxmlformats.org/officeDocument/2006/relationships/chart" Target="../charts/chart62.xml"/><Relationship Id="rId7" Type="http://schemas.openxmlformats.org/officeDocument/2006/relationships/image" Target="../media/image17.svg"/><Relationship Id="rId2" Type="http://schemas.openxmlformats.org/officeDocument/2006/relationships/chart" Target="../charts/chart61.xml"/><Relationship Id="rId1" Type="http://schemas.openxmlformats.org/officeDocument/2006/relationships/chart" Target="../charts/chart60.xml"/><Relationship Id="rId6" Type="http://schemas.openxmlformats.org/officeDocument/2006/relationships/image" Target="../media/image16.png"/><Relationship Id="rId5" Type="http://schemas.openxmlformats.org/officeDocument/2006/relationships/hyperlink" Target="#'GU&#205;A DE USO'!A1"/><Relationship Id="rId4" Type="http://schemas.openxmlformats.org/officeDocument/2006/relationships/image" Target="../media/image1.png"/><Relationship Id="rId9" Type="http://schemas.openxmlformats.org/officeDocument/2006/relationships/image" Target="../media/image14.png"/></Relationships>
</file>

<file path=xl/drawings/_rels/drawing14.xml.rels><?xml version="1.0" encoding="UTF-8" standalone="yes"?>
<Relationships xmlns="http://schemas.openxmlformats.org/package/2006/relationships"><Relationship Id="rId8" Type="http://schemas.openxmlformats.org/officeDocument/2006/relationships/image" Target="../media/image17.svg"/><Relationship Id="rId3" Type="http://schemas.openxmlformats.org/officeDocument/2006/relationships/chart" Target="../charts/chart66.xml"/><Relationship Id="rId7" Type="http://schemas.openxmlformats.org/officeDocument/2006/relationships/image" Target="../media/image16.png"/><Relationship Id="rId2" Type="http://schemas.openxmlformats.org/officeDocument/2006/relationships/chart" Target="../charts/chart65.xml"/><Relationship Id="rId1" Type="http://schemas.openxmlformats.org/officeDocument/2006/relationships/chart" Target="../charts/chart64.xml"/><Relationship Id="rId6" Type="http://schemas.openxmlformats.org/officeDocument/2006/relationships/hyperlink" Target="#'GU&#205;A DE USO'!A1"/><Relationship Id="rId5" Type="http://schemas.openxmlformats.org/officeDocument/2006/relationships/image" Target="../media/image1.png"/><Relationship Id="rId4" Type="http://schemas.openxmlformats.org/officeDocument/2006/relationships/chart" Target="../charts/chart67.xml"/><Relationship Id="rId9" Type="http://schemas.openxmlformats.org/officeDocument/2006/relationships/image" Target="../media/image14.png"/></Relationships>
</file>

<file path=xl/drawings/_rels/drawing15.xml.rels><?xml version="1.0" encoding="UTF-8" standalone="yes"?>
<Relationships xmlns="http://schemas.openxmlformats.org/package/2006/relationships"><Relationship Id="rId8" Type="http://schemas.openxmlformats.org/officeDocument/2006/relationships/image" Target="../media/image17.svg"/><Relationship Id="rId3" Type="http://schemas.openxmlformats.org/officeDocument/2006/relationships/chart" Target="../charts/chart70.xml"/><Relationship Id="rId7" Type="http://schemas.openxmlformats.org/officeDocument/2006/relationships/image" Target="../media/image16.png"/><Relationship Id="rId2" Type="http://schemas.openxmlformats.org/officeDocument/2006/relationships/chart" Target="../charts/chart69.xml"/><Relationship Id="rId1" Type="http://schemas.openxmlformats.org/officeDocument/2006/relationships/chart" Target="../charts/chart68.xml"/><Relationship Id="rId6" Type="http://schemas.openxmlformats.org/officeDocument/2006/relationships/hyperlink" Target="#'GU&#205;A DE USO'!A1"/><Relationship Id="rId5" Type="http://schemas.openxmlformats.org/officeDocument/2006/relationships/image" Target="../media/image1.png"/><Relationship Id="rId4" Type="http://schemas.openxmlformats.org/officeDocument/2006/relationships/chart" Target="../charts/chart71.xml"/><Relationship Id="rId9" Type="http://schemas.openxmlformats.org/officeDocument/2006/relationships/image" Target="../media/image14.png"/></Relationships>
</file>

<file path=xl/drawings/_rels/drawing16.xml.rels><?xml version="1.0" encoding="UTF-8" standalone="yes"?>
<Relationships xmlns="http://schemas.openxmlformats.org/package/2006/relationships"><Relationship Id="rId3" Type="http://schemas.openxmlformats.org/officeDocument/2006/relationships/image" Target="../media/image1.png"/><Relationship Id="rId7" Type="http://schemas.openxmlformats.org/officeDocument/2006/relationships/image" Target="../media/image14.png"/><Relationship Id="rId2" Type="http://schemas.openxmlformats.org/officeDocument/2006/relationships/chart" Target="../charts/chart73.xml"/><Relationship Id="rId1" Type="http://schemas.openxmlformats.org/officeDocument/2006/relationships/chart" Target="../charts/chart72.xml"/><Relationship Id="rId6" Type="http://schemas.openxmlformats.org/officeDocument/2006/relationships/image" Target="../media/image17.svg"/><Relationship Id="rId5" Type="http://schemas.openxmlformats.org/officeDocument/2006/relationships/image" Target="../media/image16.png"/><Relationship Id="rId4" Type="http://schemas.openxmlformats.org/officeDocument/2006/relationships/hyperlink" Target="#'GU&#205;A DE USO'!A1"/></Relationships>
</file>

<file path=xl/drawings/_rels/drawing2.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 Id="rId9" Type="http://schemas.openxmlformats.org/officeDocument/2006/relationships/chart" Target="../charts/chart9.xml"/></Relationships>
</file>

<file path=xl/drawings/_rels/drawing3.xml.rels><?xml version="1.0" encoding="UTF-8" standalone="yes"?>
<Relationships xmlns="http://schemas.openxmlformats.org/package/2006/relationships"><Relationship Id="rId8" Type="http://schemas.openxmlformats.org/officeDocument/2006/relationships/image" Target="../media/image18.png"/><Relationship Id="rId3" Type="http://schemas.openxmlformats.org/officeDocument/2006/relationships/chart" Target="../charts/chart11.xml"/><Relationship Id="rId7" Type="http://schemas.openxmlformats.org/officeDocument/2006/relationships/image" Target="../media/image17.svg"/><Relationship Id="rId2" Type="http://schemas.openxmlformats.org/officeDocument/2006/relationships/chart" Target="../charts/chart10.xml"/><Relationship Id="rId1" Type="http://schemas.openxmlformats.org/officeDocument/2006/relationships/image" Target="../media/image15.png"/><Relationship Id="rId6" Type="http://schemas.openxmlformats.org/officeDocument/2006/relationships/image" Target="../media/image16.png"/><Relationship Id="rId5" Type="http://schemas.openxmlformats.org/officeDocument/2006/relationships/hyperlink" Target="#'GU&#205;A DE USO'!A1"/><Relationship Id="rId10" Type="http://schemas.openxmlformats.org/officeDocument/2006/relationships/image" Target="../media/image14.png"/><Relationship Id="rId4" Type="http://schemas.openxmlformats.org/officeDocument/2006/relationships/image" Target="../media/image1.png"/><Relationship Id="rId9" Type="http://schemas.openxmlformats.org/officeDocument/2006/relationships/image" Target="../media/image19.svg"/></Relationships>
</file>

<file path=xl/drawings/_rels/drawing4.xml.rels><?xml version="1.0" encoding="UTF-8" standalone="yes"?>
<Relationships xmlns="http://schemas.openxmlformats.org/package/2006/relationships"><Relationship Id="rId8" Type="http://schemas.openxmlformats.org/officeDocument/2006/relationships/chart" Target="../charts/chart19.xml"/><Relationship Id="rId13" Type="http://schemas.openxmlformats.org/officeDocument/2006/relationships/image" Target="../media/image16.png"/><Relationship Id="rId3" Type="http://schemas.openxmlformats.org/officeDocument/2006/relationships/chart" Target="../charts/chart14.xml"/><Relationship Id="rId7" Type="http://schemas.openxmlformats.org/officeDocument/2006/relationships/chart" Target="../charts/chart18.xml"/><Relationship Id="rId12" Type="http://schemas.openxmlformats.org/officeDocument/2006/relationships/hyperlink" Target="#'GU&#205;A DE USO'!A1"/><Relationship Id="rId2" Type="http://schemas.openxmlformats.org/officeDocument/2006/relationships/chart" Target="../charts/chart13.xml"/><Relationship Id="rId1" Type="http://schemas.openxmlformats.org/officeDocument/2006/relationships/chart" Target="../charts/chart12.xml"/><Relationship Id="rId6" Type="http://schemas.openxmlformats.org/officeDocument/2006/relationships/chart" Target="../charts/chart17.xml"/><Relationship Id="rId11" Type="http://schemas.openxmlformats.org/officeDocument/2006/relationships/image" Target="../media/image1.png"/><Relationship Id="rId5" Type="http://schemas.openxmlformats.org/officeDocument/2006/relationships/chart" Target="../charts/chart16.xml"/><Relationship Id="rId15" Type="http://schemas.openxmlformats.org/officeDocument/2006/relationships/image" Target="../media/image14.png"/><Relationship Id="rId10" Type="http://schemas.openxmlformats.org/officeDocument/2006/relationships/chart" Target="../charts/chart21.xml"/><Relationship Id="rId4" Type="http://schemas.openxmlformats.org/officeDocument/2006/relationships/chart" Target="../charts/chart15.xml"/><Relationship Id="rId9" Type="http://schemas.openxmlformats.org/officeDocument/2006/relationships/chart" Target="../charts/chart20.xml"/><Relationship Id="rId14" Type="http://schemas.openxmlformats.org/officeDocument/2006/relationships/image" Target="../media/image17.svg"/></Relationships>
</file>

<file path=xl/drawings/_rels/drawing5.xml.rels><?xml version="1.0" encoding="UTF-8" standalone="yes"?>
<Relationships xmlns="http://schemas.openxmlformats.org/package/2006/relationships"><Relationship Id="rId8" Type="http://schemas.openxmlformats.org/officeDocument/2006/relationships/chart" Target="../charts/chart29.xml"/><Relationship Id="rId13" Type="http://schemas.openxmlformats.org/officeDocument/2006/relationships/chart" Target="../charts/chart34.xml"/><Relationship Id="rId3" Type="http://schemas.openxmlformats.org/officeDocument/2006/relationships/chart" Target="../charts/chart24.xml"/><Relationship Id="rId7" Type="http://schemas.openxmlformats.org/officeDocument/2006/relationships/chart" Target="../charts/chart28.xml"/><Relationship Id="rId12" Type="http://schemas.openxmlformats.org/officeDocument/2006/relationships/chart" Target="../charts/chart33.xml"/><Relationship Id="rId2" Type="http://schemas.openxmlformats.org/officeDocument/2006/relationships/chart" Target="../charts/chart23.xml"/><Relationship Id="rId1" Type="http://schemas.openxmlformats.org/officeDocument/2006/relationships/chart" Target="../charts/chart22.xml"/><Relationship Id="rId6" Type="http://schemas.openxmlformats.org/officeDocument/2006/relationships/chart" Target="../charts/chart27.xml"/><Relationship Id="rId11" Type="http://schemas.openxmlformats.org/officeDocument/2006/relationships/chart" Target="../charts/chart32.xml"/><Relationship Id="rId5" Type="http://schemas.openxmlformats.org/officeDocument/2006/relationships/chart" Target="../charts/chart26.xml"/><Relationship Id="rId15" Type="http://schemas.openxmlformats.org/officeDocument/2006/relationships/chart" Target="../charts/chart36.xml"/><Relationship Id="rId10" Type="http://schemas.openxmlformats.org/officeDocument/2006/relationships/chart" Target="../charts/chart31.xml"/><Relationship Id="rId4" Type="http://schemas.openxmlformats.org/officeDocument/2006/relationships/chart" Target="../charts/chart25.xml"/><Relationship Id="rId9" Type="http://schemas.openxmlformats.org/officeDocument/2006/relationships/chart" Target="../charts/chart30.xml"/><Relationship Id="rId14" Type="http://schemas.openxmlformats.org/officeDocument/2006/relationships/chart" Target="../charts/chart35.xml"/></Relationships>
</file>

<file path=xl/drawings/_rels/drawing6.xml.rels><?xml version="1.0" encoding="UTF-8" standalone="yes"?>
<Relationships xmlns="http://schemas.openxmlformats.org/package/2006/relationships"><Relationship Id="rId3" Type="http://schemas.openxmlformats.org/officeDocument/2006/relationships/chart" Target="../charts/chart39.xml"/><Relationship Id="rId2" Type="http://schemas.openxmlformats.org/officeDocument/2006/relationships/chart" Target="../charts/chart38.xml"/><Relationship Id="rId1" Type="http://schemas.openxmlformats.org/officeDocument/2006/relationships/chart" Target="../charts/chart37.xml"/><Relationship Id="rId6" Type="http://schemas.openxmlformats.org/officeDocument/2006/relationships/chart" Target="../charts/chart42.xml"/><Relationship Id="rId5" Type="http://schemas.openxmlformats.org/officeDocument/2006/relationships/chart" Target="../charts/chart41.xml"/><Relationship Id="rId4" Type="http://schemas.openxmlformats.org/officeDocument/2006/relationships/chart" Target="../charts/chart40.xml"/></Relationships>
</file>

<file path=xl/drawings/_rels/drawing7.xml.rels><?xml version="1.0" encoding="UTF-8" standalone="yes"?>
<Relationships xmlns="http://schemas.openxmlformats.org/package/2006/relationships"><Relationship Id="rId3" Type="http://schemas.openxmlformats.org/officeDocument/2006/relationships/chart" Target="../charts/chart45.xml"/><Relationship Id="rId2" Type="http://schemas.openxmlformats.org/officeDocument/2006/relationships/chart" Target="../charts/chart44.xml"/><Relationship Id="rId1" Type="http://schemas.openxmlformats.org/officeDocument/2006/relationships/chart" Target="../charts/chart43.xml"/><Relationship Id="rId4" Type="http://schemas.openxmlformats.org/officeDocument/2006/relationships/chart" Target="../charts/chart46.xml"/></Relationships>
</file>

<file path=xl/drawings/_rels/drawing8.xml.rels><?xml version="1.0" encoding="UTF-8" standalone="yes"?>
<Relationships xmlns="http://schemas.openxmlformats.org/package/2006/relationships"><Relationship Id="rId3" Type="http://schemas.openxmlformats.org/officeDocument/2006/relationships/chart" Target="../charts/chart49.xml"/><Relationship Id="rId2" Type="http://schemas.openxmlformats.org/officeDocument/2006/relationships/chart" Target="../charts/chart48.xml"/><Relationship Id="rId1" Type="http://schemas.openxmlformats.org/officeDocument/2006/relationships/chart" Target="../charts/chart47.xml"/><Relationship Id="rId4" Type="http://schemas.openxmlformats.org/officeDocument/2006/relationships/chart" Target="../charts/chart50.xml"/></Relationships>
</file>

<file path=xl/drawings/_rels/drawing9.xml.rels><?xml version="1.0" encoding="UTF-8" standalone="yes"?>
<Relationships xmlns="http://schemas.openxmlformats.org/package/2006/relationships"><Relationship Id="rId3" Type="http://schemas.openxmlformats.org/officeDocument/2006/relationships/chart" Target="../charts/chart53.xml"/><Relationship Id="rId2" Type="http://schemas.openxmlformats.org/officeDocument/2006/relationships/chart" Target="../charts/chart52.xml"/><Relationship Id="rId1" Type="http://schemas.openxmlformats.org/officeDocument/2006/relationships/chart" Target="../charts/chart51.xml"/><Relationship Id="rId4" Type="http://schemas.openxmlformats.org/officeDocument/2006/relationships/chart" Target="../charts/chart54.xml"/></Relationships>
</file>

<file path=xl/drawings/drawing1.xml><?xml version="1.0" encoding="utf-8"?>
<xdr:wsDr xmlns:xdr="http://schemas.openxmlformats.org/drawingml/2006/spreadsheetDrawing" xmlns:a="http://schemas.openxmlformats.org/drawingml/2006/main">
  <xdr:twoCellAnchor editAs="oneCell">
    <xdr:from>
      <xdr:col>15</xdr:col>
      <xdr:colOff>276306</xdr:colOff>
      <xdr:row>0</xdr:row>
      <xdr:rowOff>0</xdr:rowOff>
    </xdr:from>
    <xdr:to>
      <xdr:col>16</xdr:col>
      <xdr:colOff>796216</xdr:colOff>
      <xdr:row>6</xdr:row>
      <xdr:rowOff>71075</xdr:rowOff>
    </xdr:to>
    <xdr:pic>
      <xdr:nvPicPr>
        <xdr:cNvPr id="6" name="Imagen 5">
          <a:extLst>
            <a:ext uri="{FF2B5EF4-FFF2-40B4-BE49-F238E27FC236}">
              <a16:creationId xmlns:a16="http://schemas.microsoft.com/office/drawing/2014/main" id="{CD0C5813-7508-4F5F-8B1C-ED08939586B4}"/>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77704"/>
        <a:stretch/>
      </xdr:blipFill>
      <xdr:spPr>
        <a:xfrm>
          <a:off x="16758366" y="0"/>
          <a:ext cx="1380970" cy="1412195"/>
        </a:xfrm>
        <a:prstGeom prst="rect">
          <a:avLst/>
        </a:prstGeom>
      </xdr:spPr>
    </xdr:pic>
    <xdr:clientData/>
  </xdr:twoCellAnchor>
  <xdr:twoCellAnchor editAs="oneCell">
    <xdr:from>
      <xdr:col>3</xdr:col>
      <xdr:colOff>62916</xdr:colOff>
      <xdr:row>9</xdr:row>
      <xdr:rowOff>378599</xdr:rowOff>
    </xdr:from>
    <xdr:to>
      <xdr:col>3</xdr:col>
      <xdr:colOff>977316</xdr:colOff>
      <xdr:row>11</xdr:row>
      <xdr:rowOff>355467</xdr:rowOff>
    </xdr:to>
    <xdr:pic>
      <xdr:nvPicPr>
        <xdr:cNvPr id="10" name="Gráfico 9" descr="Flecha lineal: curva ligera">
          <a:hlinkClick xmlns:r="http://schemas.openxmlformats.org/officeDocument/2006/relationships" r:id="rId2"/>
          <a:extLst>
            <a:ext uri="{FF2B5EF4-FFF2-40B4-BE49-F238E27FC236}">
              <a16:creationId xmlns:a16="http://schemas.microsoft.com/office/drawing/2014/main" id="{C1855657-64AC-4A5A-935A-0688E925C19C}"/>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3208887" y="2947628"/>
          <a:ext cx="914400" cy="914400"/>
        </a:xfrm>
        <a:prstGeom prst="rect">
          <a:avLst/>
        </a:prstGeom>
      </xdr:spPr>
    </xdr:pic>
    <xdr:clientData/>
  </xdr:twoCellAnchor>
  <xdr:twoCellAnchor editAs="oneCell">
    <xdr:from>
      <xdr:col>2</xdr:col>
      <xdr:colOff>1924373</xdr:colOff>
      <xdr:row>13</xdr:row>
      <xdr:rowOff>356829</xdr:rowOff>
    </xdr:from>
    <xdr:to>
      <xdr:col>3</xdr:col>
      <xdr:colOff>803145</xdr:colOff>
      <xdr:row>15</xdr:row>
      <xdr:rowOff>182657</xdr:rowOff>
    </xdr:to>
    <xdr:pic>
      <xdr:nvPicPr>
        <xdr:cNvPr id="11" name="Gráfico 10" descr="Flecha lineal: curva ligera">
          <a:hlinkClick xmlns:r="http://schemas.openxmlformats.org/officeDocument/2006/relationships" r:id="rId5"/>
          <a:extLst>
            <a:ext uri="{FF2B5EF4-FFF2-40B4-BE49-F238E27FC236}">
              <a16:creationId xmlns:a16="http://schemas.microsoft.com/office/drawing/2014/main" id="{716AE701-FAD0-4668-A1A2-AD0B74A538AE}"/>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 uri="{96DAC541-7B7A-43D3-8B79-37D633B846F1}">
              <asvg:svgBlip xmlns:asvg="http://schemas.microsoft.com/office/drawing/2016/SVG/main" r:embed="rId7"/>
            </a:ext>
          </a:extLst>
        </a:blip>
        <a:stretch>
          <a:fillRect/>
        </a:stretch>
      </xdr:blipFill>
      <xdr:spPr>
        <a:xfrm>
          <a:off x="3034716" y="5146543"/>
          <a:ext cx="914400" cy="914400"/>
        </a:xfrm>
        <a:prstGeom prst="rect">
          <a:avLst/>
        </a:prstGeom>
      </xdr:spPr>
    </xdr:pic>
    <xdr:clientData/>
  </xdr:twoCellAnchor>
  <xdr:twoCellAnchor editAs="oneCell">
    <xdr:from>
      <xdr:col>3</xdr:col>
      <xdr:colOff>443916</xdr:colOff>
      <xdr:row>11</xdr:row>
      <xdr:rowOff>672514</xdr:rowOff>
    </xdr:from>
    <xdr:to>
      <xdr:col>4</xdr:col>
      <xdr:colOff>269744</xdr:colOff>
      <xdr:row>13</xdr:row>
      <xdr:rowOff>313286</xdr:rowOff>
    </xdr:to>
    <xdr:pic>
      <xdr:nvPicPr>
        <xdr:cNvPr id="12" name="Gráfico 11" descr="Flecha lineal: curva ligera">
          <a:hlinkClick xmlns:r="http://schemas.openxmlformats.org/officeDocument/2006/relationships" r:id="rId8"/>
          <a:extLst>
            <a:ext uri="{FF2B5EF4-FFF2-40B4-BE49-F238E27FC236}">
              <a16:creationId xmlns:a16="http://schemas.microsoft.com/office/drawing/2014/main" id="{BDBCF594-DFB8-485F-8AAB-049BA0B6BAAD}"/>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 uri="{96DAC541-7B7A-43D3-8B79-37D633B846F1}">
              <asvg:svgBlip xmlns:asvg="http://schemas.microsoft.com/office/drawing/2016/SVG/main" r:embed="rId10"/>
            </a:ext>
          </a:extLst>
        </a:blip>
        <a:stretch>
          <a:fillRect/>
        </a:stretch>
      </xdr:blipFill>
      <xdr:spPr>
        <a:xfrm>
          <a:off x="3589887" y="4188600"/>
          <a:ext cx="914400" cy="914400"/>
        </a:xfrm>
        <a:prstGeom prst="rect">
          <a:avLst/>
        </a:prstGeom>
      </xdr:spPr>
    </xdr:pic>
    <xdr:clientData/>
  </xdr:twoCellAnchor>
  <xdr:twoCellAnchor editAs="oneCell">
    <xdr:from>
      <xdr:col>2</xdr:col>
      <xdr:colOff>1739316</xdr:colOff>
      <xdr:row>16</xdr:row>
      <xdr:rowOff>378601</xdr:rowOff>
    </xdr:from>
    <xdr:to>
      <xdr:col>3</xdr:col>
      <xdr:colOff>618088</xdr:colOff>
      <xdr:row>18</xdr:row>
      <xdr:rowOff>313287</xdr:rowOff>
    </xdr:to>
    <xdr:pic>
      <xdr:nvPicPr>
        <xdr:cNvPr id="7" name="Gráfico 6" descr="Flecha lineal: curva ligera">
          <a:hlinkClick xmlns:r="http://schemas.openxmlformats.org/officeDocument/2006/relationships" r:id="rId11"/>
          <a:extLst>
            <a:ext uri="{FF2B5EF4-FFF2-40B4-BE49-F238E27FC236}">
              <a16:creationId xmlns:a16="http://schemas.microsoft.com/office/drawing/2014/main" id="{8310A7AE-96E0-4B25-96D3-C20C387CEB1E}"/>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 uri="{96DAC541-7B7A-43D3-8B79-37D633B846F1}">
              <asvg:svgBlip xmlns:asvg="http://schemas.microsoft.com/office/drawing/2016/SVG/main" r:embed="rId13"/>
            </a:ext>
          </a:extLst>
        </a:blip>
        <a:stretch>
          <a:fillRect/>
        </a:stretch>
      </xdr:blipFill>
      <xdr:spPr>
        <a:xfrm>
          <a:off x="2849659" y="6126258"/>
          <a:ext cx="914400" cy="914400"/>
        </a:xfrm>
        <a:prstGeom prst="rect">
          <a:avLst/>
        </a:prstGeom>
      </xdr:spPr>
    </xdr:pic>
    <xdr:clientData/>
  </xdr:twoCellAnchor>
  <xdr:twoCellAnchor editAs="oneCell">
    <xdr:from>
      <xdr:col>2</xdr:col>
      <xdr:colOff>1619574</xdr:colOff>
      <xdr:row>18</xdr:row>
      <xdr:rowOff>226201</xdr:rowOff>
    </xdr:from>
    <xdr:to>
      <xdr:col>3</xdr:col>
      <xdr:colOff>498346</xdr:colOff>
      <xdr:row>20</xdr:row>
      <xdr:rowOff>237087</xdr:rowOff>
    </xdr:to>
    <xdr:pic>
      <xdr:nvPicPr>
        <xdr:cNvPr id="8" name="Gráfico 7" descr="Flecha lineal: curva ligera">
          <a:hlinkClick xmlns:r="http://schemas.openxmlformats.org/officeDocument/2006/relationships" r:id="rId14"/>
          <a:extLst>
            <a:ext uri="{FF2B5EF4-FFF2-40B4-BE49-F238E27FC236}">
              <a16:creationId xmlns:a16="http://schemas.microsoft.com/office/drawing/2014/main" id="{271349B9-3099-4E95-9F3A-721C9A093BAC}"/>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 uri="{96DAC541-7B7A-43D3-8B79-37D633B846F1}">
              <asvg:svgBlip xmlns:asvg="http://schemas.microsoft.com/office/drawing/2016/SVG/main" r:embed="rId16"/>
            </a:ext>
          </a:extLst>
        </a:blip>
        <a:stretch>
          <a:fillRect/>
        </a:stretch>
      </xdr:blipFill>
      <xdr:spPr>
        <a:xfrm>
          <a:off x="2729917" y="6953572"/>
          <a:ext cx="914400" cy="914400"/>
        </a:xfrm>
        <a:prstGeom prst="rect">
          <a:avLst/>
        </a:prstGeom>
      </xdr:spPr>
    </xdr:pic>
    <xdr:clientData/>
  </xdr:twoCellAnchor>
  <xdr:twoCellAnchor editAs="oneCell">
    <xdr:from>
      <xdr:col>3</xdr:col>
      <xdr:colOff>182660</xdr:colOff>
      <xdr:row>20</xdr:row>
      <xdr:rowOff>291514</xdr:rowOff>
    </xdr:from>
    <xdr:to>
      <xdr:col>4</xdr:col>
      <xdr:colOff>8488</xdr:colOff>
      <xdr:row>22</xdr:row>
      <xdr:rowOff>215314</xdr:rowOff>
    </xdr:to>
    <xdr:pic>
      <xdr:nvPicPr>
        <xdr:cNvPr id="9" name="Gráfico 8" descr="Flecha lineal: curva ligera">
          <a:hlinkClick xmlns:r="http://schemas.openxmlformats.org/officeDocument/2006/relationships" r:id="rId17"/>
          <a:extLst>
            <a:ext uri="{FF2B5EF4-FFF2-40B4-BE49-F238E27FC236}">
              <a16:creationId xmlns:a16="http://schemas.microsoft.com/office/drawing/2014/main" id="{56C3E9B6-F953-4F23-B966-EEF02B335CDA}"/>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 uri="{96DAC541-7B7A-43D3-8B79-37D633B846F1}">
              <asvg:svgBlip xmlns:asvg="http://schemas.microsoft.com/office/drawing/2016/SVG/main" r:embed="rId19"/>
            </a:ext>
          </a:extLst>
        </a:blip>
        <a:stretch>
          <a:fillRect/>
        </a:stretch>
      </xdr:blipFill>
      <xdr:spPr>
        <a:xfrm>
          <a:off x="3328631" y="7922400"/>
          <a:ext cx="914400" cy="914400"/>
        </a:xfrm>
        <a:prstGeom prst="rect">
          <a:avLst/>
        </a:prstGeom>
      </xdr:spPr>
    </xdr:pic>
    <xdr:clientData/>
  </xdr:twoCellAnchor>
  <xdr:twoCellAnchor editAs="oneCell">
    <xdr:from>
      <xdr:col>3</xdr:col>
      <xdr:colOff>476574</xdr:colOff>
      <xdr:row>22</xdr:row>
      <xdr:rowOff>237085</xdr:rowOff>
    </xdr:from>
    <xdr:to>
      <xdr:col>4</xdr:col>
      <xdr:colOff>302402</xdr:colOff>
      <xdr:row>24</xdr:row>
      <xdr:rowOff>298317</xdr:rowOff>
    </xdr:to>
    <xdr:pic>
      <xdr:nvPicPr>
        <xdr:cNvPr id="13" name="Gráfico 12" descr="Flecha lineal: curva ligera">
          <a:hlinkClick xmlns:r="http://schemas.openxmlformats.org/officeDocument/2006/relationships" r:id="rId20"/>
          <a:extLst>
            <a:ext uri="{FF2B5EF4-FFF2-40B4-BE49-F238E27FC236}">
              <a16:creationId xmlns:a16="http://schemas.microsoft.com/office/drawing/2014/main" id="{84AEC6C5-62DA-4CFD-BEDA-A1D2A1454FF5}"/>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 uri="{96DAC541-7B7A-43D3-8B79-37D633B846F1}">
              <asvg:svgBlip xmlns:asvg="http://schemas.microsoft.com/office/drawing/2016/SVG/main" r:embed="rId19"/>
            </a:ext>
          </a:extLst>
        </a:blip>
        <a:stretch>
          <a:fillRect/>
        </a:stretch>
      </xdr:blipFill>
      <xdr:spPr>
        <a:xfrm>
          <a:off x="3622545" y="8858571"/>
          <a:ext cx="914400" cy="914400"/>
        </a:xfrm>
        <a:prstGeom prst="rect">
          <a:avLst/>
        </a:prstGeom>
      </xdr:spPr>
    </xdr:pic>
    <xdr:clientData/>
  </xdr:twoCellAnchor>
  <xdr:twoCellAnchor editAs="oneCell">
    <xdr:from>
      <xdr:col>3</xdr:col>
      <xdr:colOff>313288</xdr:colOff>
      <xdr:row>24</xdr:row>
      <xdr:rowOff>237085</xdr:rowOff>
    </xdr:from>
    <xdr:to>
      <xdr:col>4</xdr:col>
      <xdr:colOff>139116</xdr:colOff>
      <xdr:row>26</xdr:row>
      <xdr:rowOff>19371</xdr:rowOff>
    </xdr:to>
    <xdr:pic>
      <xdr:nvPicPr>
        <xdr:cNvPr id="14" name="Gráfico 13" descr="Flecha lineal: curva ligera">
          <a:hlinkClick xmlns:r="http://schemas.openxmlformats.org/officeDocument/2006/relationships" r:id="rId21"/>
          <a:extLst>
            <a:ext uri="{FF2B5EF4-FFF2-40B4-BE49-F238E27FC236}">
              <a16:creationId xmlns:a16="http://schemas.microsoft.com/office/drawing/2014/main" id="{30B967D7-3D81-45DC-9982-5750EA09DF5A}"/>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 uri="{96DAC541-7B7A-43D3-8B79-37D633B846F1}">
              <asvg:svgBlip xmlns:asvg="http://schemas.microsoft.com/office/drawing/2016/SVG/main" r:embed="rId19"/>
            </a:ext>
          </a:extLst>
        </a:blip>
        <a:stretch>
          <a:fillRect/>
        </a:stretch>
      </xdr:blipFill>
      <xdr:spPr>
        <a:xfrm>
          <a:off x="3459259" y="9816514"/>
          <a:ext cx="914400" cy="914400"/>
        </a:xfrm>
        <a:prstGeom prst="rect">
          <a:avLst/>
        </a:prstGeom>
      </xdr:spPr>
    </xdr:pic>
    <xdr:clientData/>
  </xdr:twoCellAnchor>
  <xdr:twoCellAnchor editAs="oneCell">
    <xdr:from>
      <xdr:col>2</xdr:col>
      <xdr:colOff>1924374</xdr:colOff>
      <xdr:row>26</xdr:row>
      <xdr:rowOff>302400</xdr:rowOff>
    </xdr:from>
    <xdr:to>
      <xdr:col>3</xdr:col>
      <xdr:colOff>803146</xdr:colOff>
      <xdr:row>28</xdr:row>
      <xdr:rowOff>226200</xdr:rowOff>
    </xdr:to>
    <xdr:pic>
      <xdr:nvPicPr>
        <xdr:cNvPr id="15" name="Gráfico 14" descr="Flecha lineal: curva ligera">
          <a:hlinkClick xmlns:r="http://schemas.openxmlformats.org/officeDocument/2006/relationships" r:id="rId22"/>
          <a:extLst>
            <a:ext uri="{FF2B5EF4-FFF2-40B4-BE49-F238E27FC236}">
              <a16:creationId xmlns:a16="http://schemas.microsoft.com/office/drawing/2014/main" id="{6762E9D9-E113-4091-AD7B-D12CF45BE609}"/>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 uri="{96DAC541-7B7A-43D3-8B79-37D633B846F1}">
              <asvg:svgBlip xmlns:asvg="http://schemas.microsoft.com/office/drawing/2016/SVG/main" r:embed="rId19"/>
            </a:ext>
          </a:extLst>
        </a:blip>
        <a:stretch>
          <a:fillRect/>
        </a:stretch>
      </xdr:blipFill>
      <xdr:spPr>
        <a:xfrm>
          <a:off x="3034717" y="10785343"/>
          <a:ext cx="914400" cy="914400"/>
        </a:xfrm>
        <a:prstGeom prst="rect">
          <a:avLst/>
        </a:prstGeom>
      </xdr:spPr>
    </xdr:pic>
    <xdr:clientData/>
  </xdr:twoCellAnchor>
  <xdr:twoCellAnchor editAs="oneCell">
    <xdr:from>
      <xdr:col>1</xdr:col>
      <xdr:colOff>0</xdr:colOff>
      <xdr:row>0</xdr:row>
      <xdr:rowOff>0</xdr:rowOff>
    </xdr:from>
    <xdr:to>
      <xdr:col>4</xdr:col>
      <xdr:colOff>367116</xdr:colOff>
      <xdr:row>4</xdr:row>
      <xdr:rowOff>123825</xdr:rowOff>
    </xdr:to>
    <xdr:pic>
      <xdr:nvPicPr>
        <xdr:cNvPr id="2" name="Imagen 1">
          <a:extLst>
            <a:ext uri="{FF2B5EF4-FFF2-40B4-BE49-F238E27FC236}">
              <a16:creationId xmlns:a16="http://schemas.microsoft.com/office/drawing/2014/main" id="{DC603119-CCC4-4920-9754-0DEEDAE6C1A1}"/>
            </a:ext>
          </a:extLst>
        </xdr:cNvPr>
        <xdr:cNvPicPr>
          <a:picLocks noChangeAspect="1"/>
        </xdr:cNvPicPr>
      </xdr:nvPicPr>
      <xdr:blipFill>
        <a:blip xmlns:r="http://schemas.openxmlformats.org/officeDocument/2006/relationships" r:embed="rId23"/>
        <a:stretch>
          <a:fillRect/>
        </a:stretch>
      </xdr:blipFill>
      <xdr:spPr>
        <a:xfrm>
          <a:off x="247650" y="0"/>
          <a:ext cx="4243791" cy="92392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125392</xdr:colOff>
      <xdr:row>11</xdr:row>
      <xdr:rowOff>1323</xdr:rowOff>
    </xdr:from>
    <xdr:to>
      <xdr:col>7</xdr:col>
      <xdr:colOff>9524</xdr:colOff>
      <xdr:row>23</xdr:row>
      <xdr:rowOff>323850</xdr:rowOff>
    </xdr:to>
    <xdr:graphicFrame macro="">
      <xdr:nvGraphicFramePr>
        <xdr:cNvPr id="2" name="Gráfico 1">
          <a:extLst>
            <a:ext uri="{FF2B5EF4-FFF2-40B4-BE49-F238E27FC236}">
              <a16:creationId xmlns:a16="http://schemas.microsoft.com/office/drawing/2014/main" id="{4177D548-A7A5-4FAC-AF27-6DB154D7660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10</xdr:col>
      <xdr:colOff>2705124</xdr:colOff>
      <xdr:row>0</xdr:row>
      <xdr:rowOff>19290</xdr:rowOff>
    </xdr:from>
    <xdr:to>
      <xdr:col>11</xdr:col>
      <xdr:colOff>827684</xdr:colOff>
      <xdr:row>4</xdr:row>
      <xdr:rowOff>678905</xdr:rowOff>
    </xdr:to>
    <xdr:pic>
      <xdr:nvPicPr>
        <xdr:cNvPr id="9" name="Imagen 8">
          <a:extLst>
            <a:ext uri="{FF2B5EF4-FFF2-40B4-BE49-F238E27FC236}">
              <a16:creationId xmlns:a16="http://schemas.microsoft.com/office/drawing/2014/main" id="{CCBE0791-61C3-438D-8C22-569423A0617F}"/>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77704"/>
        <a:stretch/>
      </xdr:blipFill>
      <xdr:spPr>
        <a:xfrm>
          <a:off x="16681554" y="19290"/>
          <a:ext cx="1392408" cy="1469843"/>
        </a:xfrm>
        <a:prstGeom prst="rect">
          <a:avLst/>
        </a:prstGeom>
      </xdr:spPr>
    </xdr:pic>
    <xdr:clientData/>
  </xdr:twoCellAnchor>
  <xdr:twoCellAnchor>
    <xdr:from>
      <xdr:col>10</xdr:col>
      <xdr:colOff>1639746</xdr:colOff>
      <xdr:row>2</xdr:row>
      <xdr:rowOff>192911</xdr:rowOff>
    </xdr:from>
    <xdr:to>
      <xdr:col>12</xdr:col>
      <xdr:colOff>15157</xdr:colOff>
      <xdr:row>4</xdr:row>
      <xdr:rowOff>451826</xdr:rowOff>
    </xdr:to>
    <xdr:grpSp>
      <xdr:nvGrpSpPr>
        <xdr:cNvPr id="13" name="Grupo 12">
          <a:hlinkClick xmlns:r="http://schemas.openxmlformats.org/officeDocument/2006/relationships" r:id="rId3"/>
          <a:extLst>
            <a:ext uri="{FF2B5EF4-FFF2-40B4-BE49-F238E27FC236}">
              <a16:creationId xmlns:a16="http://schemas.microsoft.com/office/drawing/2014/main" id="{828605B3-E45E-4C5D-BE80-DD1A169479A9}"/>
            </a:ext>
          </a:extLst>
        </xdr:cNvPr>
        <xdr:cNvGrpSpPr/>
      </xdr:nvGrpSpPr>
      <xdr:grpSpPr>
        <a:xfrm>
          <a:off x="15231921" y="592961"/>
          <a:ext cx="2394961" cy="658965"/>
          <a:chOff x="15620999" y="402771"/>
          <a:chExt cx="2503715" cy="664029"/>
        </a:xfrm>
      </xdr:grpSpPr>
      <xdr:pic>
        <xdr:nvPicPr>
          <xdr:cNvPr id="14" name="Gráfico 13" descr="Flecha lineal: giro a la izquierda">
            <a:extLst>
              <a:ext uri="{FF2B5EF4-FFF2-40B4-BE49-F238E27FC236}">
                <a16:creationId xmlns:a16="http://schemas.microsoft.com/office/drawing/2014/main" id="{3B56B269-AD74-4FA7-BDB1-B3EA12979069}"/>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 uri="{96DAC541-7B7A-43D3-8B79-37D633B846F1}">
                <asvg:svgBlip xmlns:asvg="http://schemas.microsoft.com/office/drawing/2016/SVG/main" r:embed="rId5"/>
              </a:ext>
            </a:extLst>
          </a:blip>
          <a:stretch>
            <a:fillRect/>
          </a:stretch>
        </xdr:blipFill>
        <xdr:spPr>
          <a:xfrm>
            <a:off x="15620999" y="402771"/>
            <a:ext cx="664029" cy="664029"/>
          </a:xfrm>
          <a:prstGeom prst="rect">
            <a:avLst/>
          </a:prstGeom>
        </xdr:spPr>
      </xdr:pic>
      <xdr:sp macro="" textlink="">
        <xdr:nvSpPr>
          <xdr:cNvPr id="15" name="CuadroTexto 14">
            <a:extLst>
              <a:ext uri="{FF2B5EF4-FFF2-40B4-BE49-F238E27FC236}">
                <a16:creationId xmlns:a16="http://schemas.microsoft.com/office/drawing/2014/main" id="{ED6DC450-55EC-485F-8BA5-19E2FDA0188A}"/>
              </a:ext>
            </a:extLst>
          </xdr:cNvPr>
          <xdr:cNvSpPr txBox="1"/>
        </xdr:nvSpPr>
        <xdr:spPr>
          <a:xfrm>
            <a:off x="16306800" y="598714"/>
            <a:ext cx="1817914" cy="2830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200" b="1">
                <a:solidFill>
                  <a:srgbClr val="C00000"/>
                </a:solidFill>
                <a:latin typeface="Arial" panose="020B0604020202020204" pitchFamily="34" charset="0"/>
                <a:cs typeface="Arial" panose="020B0604020202020204" pitchFamily="34" charset="0"/>
              </a:rPr>
              <a:t>Volver a Guía</a:t>
            </a:r>
            <a:r>
              <a:rPr lang="es-CO" sz="1200" b="1" baseline="0">
                <a:solidFill>
                  <a:srgbClr val="C00000"/>
                </a:solidFill>
                <a:latin typeface="Arial" panose="020B0604020202020204" pitchFamily="34" charset="0"/>
                <a:cs typeface="Arial" panose="020B0604020202020204" pitchFamily="34" charset="0"/>
              </a:rPr>
              <a:t> de Uso</a:t>
            </a:r>
            <a:endParaRPr lang="es-CO" sz="1200" b="1">
              <a:solidFill>
                <a:srgbClr val="C00000"/>
              </a:solidFill>
              <a:latin typeface="Arial" panose="020B0604020202020204" pitchFamily="34" charset="0"/>
              <a:cs typeface="Arial" panose="020B0604020202020204" pitchFamily="34" charset="0"/>
            </a:endParaRPr>
          </a:p>
        </xdr:txBody>
      </xdr:sp>
    </xdr:grpSp>
    <xdr:clientData/>
  </xdr:twoCellAnchor>
  <xdr:twoCellAnchor editAs="oneCell">
    <xdr:from>
      <xdr:col>0</xdr:col>
      <xdr:colOff>0</xdr:colOff>
      <xdr:row>0</xdr:row>
      <xdr:rowOff>66676</xdr:rowOff>
    </xdr:from>
    <xdr:to>
      <xdr:col>5</xdr:col>
      <xdr:colOff>285750</xdr:colOff>
      <xdr:row>4</xdr:row>
      <xdr:rowOff>152050</xdr:rowOff>
    </xdr:to>
    <xdr:pic>
      <xdr:nvPicPr>
        <xdr:cNvPr id="3" name="Imagen 2">
          <a:extLst>
            <a:ext uri="{FF2B5EF4-FFF2-40B4-BE49-F238E27FC236}">
              <a16:creationId xmlns:a16="http://schemas.microsoft.com/office/drawing/2014/main" id="{18B8DAF6-66B3-4D2C-8E17-C055B5D5D72F}"/>
            </a:ext>
          </a:extLst>
        </xdr:cNvPr>
        <xdr:cNvPicPr>
          <a:picLocks noChangeAspect="1"/>
        </xdr:cNvPicPr>
      </xdr:nvPicPr>
      <xdr:blipFill>
        <a:blip xmlns:r="http://schemas.openxmlformats.org/officeDocument/2006/relationships" r:embed="rId6"/>
        <a:stretch>
          <a:fillRect/>
        </a:stretch>
      </xdr:blipFill>
      <xdr:spPr>
        <a:xfrm>
          <a:off x="0" y="66676"/>
          <a:ext cx="4067175" cy="885474"/>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201705</xdr:colOff>
      <xdr:row>10</xdr:row>
      <xdr:rowOff>92728</xdr:rowOff>
    </xdr:from>
    <xdr:to>
      <xdr:col>7</xdr:col>
      <xdr:colOff>1097797</xdr:colOff>
      <xdr:row>22</xdr:row>
      <xdr:rowOff>90407</xdr:rowOff>
    </xdr:to>
    <xdr:graphicFrame macro="">
      <xdr:nvGraphicFramePr>
        <xdr:cNvPr id="2" name="Gráfico 1">
          <a:extLst>
            <a:ext uri="{FF2B5EF4-FFF2-40B4-BE49-F238E27FC236}">
              <a16:creationId xmlns:a16="http://schemas.microsoft.com/office/drawing/2014/main" id="{4BB9043C-F2BE-40C3-AD74-F678EFD7AC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11</xdr:col>
      <xdr:colOff>1617651</xdr:colOff>
      <xdr:row>0</xdr:row>
      <xdr:rowOff>0</xdr:rowOff>
    </xdr:from>
    <xdr:to>
      <xdr:col>12</xdr:col>
      <xdr:colOff>200064</xdr:colOff>
      <xdr:row>4</xdr:row>
      <xdr:rowOff>633610</xdr:rowOff>
    </xdr:to>
    <xdr:pic>
      <xdr:nvPicPr>
        <xdr:cNvPr id="7" name="Imagen 6">
          <a:extLst>
            <a:ext uri="{FF2B5EF4-FFF2-40B4-BE49-F238E27FC236}">
              <a16:creationId xmlns:a16="http://schemas.microsoft.com/office/drawing/2014/main" id="{99AF8E12-D244-42D4-B176-21957CE357C1}"/>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77704"/>
        <a:stretch/>
      </xdr:blipFill>
      <xdr:spPr>
        <a:xfrm>
          <a:off x="14724051" y="0"/>
          <a:ext cx="1382763" cy="1433710"/>
        </a:xfrm>
        <a:prstGeom prst="rect">
          <a:avLst/>
        </a:prstGeom>
      </xdr:spPr>
    </xdr:pic>
    <xdr:clientData/>
  </xdr:twoCellAnchor>
  <xdr:twoCellAnchor>
    <xdr:from>
      <xdr:col>11</xdr:col>
      <xdr:colOff>447675</xdr:colOff>
      <xdr:row>3</xdr:row>
      <xdr:rowOff>180975</xdr:rowOff>
    </xdr:from>
    <xdr:to>
      <xdr:col>12</xdr:col>
      <xdr:colOff>151040</xdr:colOff>
      <xdr:row>4</xdr:row>
      <xdr:rowOff>576399</xdr:rowOff>
    </xdr:to>
    <xdr:grpSp>
      <xdr:nvGrpSpPr>
        <xdr:cNvPr id="8" name="Grupo 7">
          <a:hlinkClick xmlns:r="http://schemas.openxmlformats.org/officeDocument/2006/relationships" r:id="rId3"/>
          <a:extLst>
            <a:ext uri="{FF2B5EF4-FFF2-40B4-BE49-F238E27FC236}">
              <a16:creationId xmlns:a16="http://schemas.microsoft.com/office/drawing/2014/main" id="{B42995CB-BAF9-48D5-8B73-A52B52A9370B}"/>
            </a:ext>
          </a:extLst>
        </xdr:cNvPr>
        <xdr:cNvGrpSpPr/>
      </xdr:nvGrpSpPr>
      <xdr:grpSpPr>
        <a:xfrm>
          <a:off x="14030325" y="781050"/>
          <a:ext cx="2417990" cy="595449"/>
          <a:chOff x="15620999" y="402771"/>
          <a:chExt cx="2503715" cy="664029"/>
        </a:xfrm>
      </xdr:grpSpPr>
      <xdr:pic>
        <xdr:nvPicPr>
          <xdr:cNvPr id="9" name="Gráfico 8" descr="Flecha lineal: giro a la izquierda">
            <a:extLst>
              <a:ext uri="{FF2B5EF4-FFF2-40B4-BE49-F238E27FC236}">
                <a16:creationId xmlns:a16="http://schemas.microsoft.com/office/drawing/2014/main" id="{D065B931-DBB5-498D-82F2-6246FADE9615}"/>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 uri="{96DAC541-7B7A-43D3-8B79-37D633B846F1}">
                <asvg:svgBlip xmlns:asvg="http://schemas.microsoft.com/office/drawing/2016/SVG/main" r:embed="rId5"/>
              </a:ext>
            </a:extLst>
          </a:blip>
          <a:stretch>
            <a:fillRect/>
          </a:stretch>
        </xdr:blipFill>
        <xdr:spPr>
          <a:xfrm>
            <a:off x="15620999" y="402771"/>
            <a:ext cx="664029" cy="664029"/>
          </a:xfrm>
          <a:prstGeom prst="rect">
            <a:avLst/>
          </a:prstGeom>
        </xdr:spPr>
      </xdr:pic>
      <xdr:sp macro="" textlink="">
        <xdr:nvSpPr>
          <xdr:cNvPr id="10" name="CuadroTexto 9">
            <a:extLst>
              <a:ext uri="{FF2B5EF4-FFF2-40B4-BE49-F238E27FC236}">
                <a16:creationId xmlns:a16="http://schemas.microsoft.com/office/drawing/2014/main" id="{5A60C1A2-8B72-411B-9535-F4CFFA0B8ED9}"/>
              </a:ext>
            </a:extLst>
          </xdr:cNvPr>
          <xdr:cNvSpPr txBox="1"/>
        </xdr:nvSpPr>
        <xdr:spPr>
          <a:xfrm>
            <a:off x="16306800" y="598714"/>
            <a:ext cx="1817914" cy="2830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200" b="1">
                <a:solidFill>
                  <a:srgbClr val="C00000"/>
                </a:solidFill>
                <a:latin typeface="Arial" panose="020B0604020202020204" pitchFamily="34" charset="0"/>
                <a:cs typeface="Arial" panose="020B0604020202020204" pitchFamily="34" charset="0"/>
              </a:rPr>
              <a:t>Volver a Guía</a:t>
            </a:r>
            <a:r>
              <a:rPr lang="es-CO" sz="1200" b="1" baseline="0">
                <a:solidFill>
                  <a:srgbClr val="C00000"/>
                </a:solidFill>
                <a:latin typeface="Arial" panose="020B0604020202020204" pitchFamily="34" charset="0"/>
                <a:cs typeface="Arial" panose="020B0604020202020204" pitchFamily="34" charset="0"/>
              </a:rPr>
              <a:t> de Uso</a:t>
            </a:r>
            <a:endParaRPr lang="es-CO" sz="1200" b="1">
              <a:solidFill>
                <a:srgbClr val="C00000"/>
              </a:solidFill>
              <a:latin typeface="Arial" panose="020B0604020202020204" pitchFamily="34" charset="0"/>
              <a:cs typeface="Arial" panose="020B0604020202020204" pitchFamily="34" charset="0"/>
            </a:endParaRPr>
          </a:p>
        </xdr:txBody>
      </xdr:sp>
    </xdr:grpSp>
    <xdr:clientData/>
  </xdr:twoCellAnchor>
  <xdr:twoCellAnchor editAs="oneCell">
    <xdr:from>
      <xdr:col>0</xdr:col>
      <xdr:colOff>0</xdr:colOff>
      <xdr:row>0</xdr:row>
      <xdr:rowOff>66676</xdr:rowOff>
    </xdr:from>
    <xdr:to>
      <xdr:col>5</xdr:col>
      <xdr:colOff>219075</xdr:colOff>
      <xdr:row>4</xdr:row>
      <xdr:rowOff>176934</xdr:rowOff>
    </xdr:to>
    <xdr:pic>
      <xdr:nvPicPr>
        <xdr:cNvPr id="3" name="Imagen 2">
          <a:extLst>
            <a:ext uri="{FF2B5EF4-FFF2-40B4-BE49-F238E27FC236}">
              <a16:creationId xmlns:a16="http://schemas.microsoft.com/office/drawing/2014/main" id="{4976D81E-343B-4E7A-98DC-78F4FBAFD62B}"/>
            </a:ext>
          </a:extLst>
        </xdr:cNvPr>
        <xdr:cNvPicPr>
          <a:picLocks noChangeAspect="1"/>
        </xdr:cNvPicPr>
      </xdr:nvPicPr>
      <xdr:blipFill>
        <a:blip xmlns:r="http://schemas.openxmlformats.org/officeDocument/2006/relationships" r:embed="rId6"/>
        <a:stretch>
          <a:fillRect/>
        </a:stretch>
      </xdr:blipFill>
      <xdr:spPr>
        <a:xfrm>
          <a:off x="0" y="66676"/>
          <a:ext cx="4181475" cy="910358"/>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1</xdr:col>
      <xdr:colOff>26204</xdr:colOff>
      <xdr:row>26</xdr:row>
      <xdr:rowOff>54890</xdr:rowOff>
    </xdr:from>
    <xdr:to>
      <xdr:col>4</xdr:col>
      <xdr:colOff>2505559</xdr:colOff>
      <xdr:row>49</xdr:row>
      <xdr:rowOff>38747</xdr:rowOff>
    </xdr:to>
    <xdr:graphicFrame macro="">
      <xdr:nvGraphicFramePr>
        <xdr:cNvPr id="2" name="Gráfico 1">
          <a:extLst>
            <a:ext uri="{FF2B5EF4-FFF2-40B4-BE49-F238E27FC236}">
              <a16:creationId xmlns:a16="http://schemas.microsoft.com/office/drawing/2014/main" id="{B2997635-5026-4863-818C-95DB1B54458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360920</xdr:colOff>
      <xdr:row>82</xdr:row>
      <xdr:rowOff>193005</xdr:rowOff>
    </xdr:from>
    <xdr:to>
      <xdr:col>5</xdr:col>
      <xdr:colOff>154982</xdr:colOff>
      <xdr:row>102</xdr:row>
      <xdr:rowOff>193729</xdr:rowOff>
    </xdr:to>
    <xdr:graphicFrame macro="">
      <xdr:nvGraphicFramePr>
        <xdr:cNvPr id="6" name="Gráfico 5">
          <a:extLst>
            <a:ext uri="{FF2B5EF4-FFF2-40B4-BE49-F238E27FC236}">
              <a16:creationId xmlns:a16="http://schemas.microsoft.com/office/drawing/2014/main" id="{672325E0-45B1-45E6-B3AB-1B094DF0E52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8</xdr:col>
      <xdr:colOff>2479564</xdr:colOff>
      <xdr:row>0</xdr:row>
      <xdr:rowOff>103322</xdr:rowOff>
    </xdr:from>
    <xdr:to>
      <xdr:col>11</xdr:col>
      <xdr:colOff>723920</xdr:colOff>
      <xdr:row>4</xdr:row>
      <xdr:rowOff>716417</xdr:rowOff>
    </xdr:to>
    <xdr:pic>
      <xdr:nvPicPr>
        <xdr:cNvPr id="10" name="Imagen 9">
          <a:extLst>
            <a:ext uri="{FF2B5EF4-FFF2-40B4-BE49-F238E27FC236}">
              <a16:creationId xmlns:a16="http://schemas.microsoft.com/office/drawing/2014/main" id="{19ADA632-9212-4657-AE53-A11C8FB326A1}"/>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77704"/>
        <a:stretch/>
      </xdr:blipFill>
      <xdr:spPr>
        <a:xfrm>
          <a:off x="17357937" y="103322"/>
          <a:ext cx="1382763" cy="1388010"/>
        </a:xfrm>
        <a:prstGeom prst="rect">
          <a:avLst/>
        </a:prstGeom>
      </xdr:spPr>
    </xdr:pic>
    <xdr:clientData/>
  </xdr:twoCellAnchor>
  <xdr:twoCellAnchor>
    <xdr:from>
      <xdr:col>1</xdr:col>
      <xdr:colOff>43298</xdr:colOff>
      <xdr:row>54</xdr:row>
      <xdr:rowOff>160970</xdr:rowOff>
    </xdr:from>
    <xdr:to>
      <xdr:col>5</xdr:col>
      <xdr:colOff>103322</xdr:colOff>
      <xdr:row>75</xdr:row>
      <xdr:rowOff>167898</xdr:rowOff>
    </xdr:to>
    <xdr:graphicFrame macro="">
      <xdr:nvGraphicFramePr>
        <xdr:cNvPr id="14" name="Gráfico 13">
          <a:extLst>
            <a:ext uri="{FF2B5EF4-FFF2-40B4-BE49-F238E27FC236}">
              <a16:creationId xmlns:a16="http://schemas.microsoft.com/office/drawing/2014/main" id="{922D6FF2-45B4-4C66-9A39-F858105571C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1356100</xdr:colOff>
      <xdr:row>4</xdr:row>
      <xdr:rowOff>51662</xdr:rowOff>
    </xdr:from>
    <xdr:to>
      <xdr:col>11</xdr:col>
      <xdr:colOff>723668</xdr:colOff>
      <xdr:row>4</xdr:row>
      <xdr:rowOff>640815</xdr:rowOff>
    </xdr:to>
    <xdr:grpSp>
      <xdr:nvGrpSpPr>
        <xdr:cNvPr id="15" name="Grupo 14">
          <a:hlinkClick xmlns:r="http://schemas.openxmlformats.org/officeDocument/2006/relationships" r:id="rId5"/>
          <a:extLst>
            <a:ext uri="{FF2B5EF4-FFF2-40B4-BE49-F238E27FC236}">
              <a16:creationId xmlns:a16="http://schemas.microsoft.com/office/drawing/2014/main" id="{A2B00CA5-E425-4D51-8C08-A58117A533CC}"/>
            </a:ext>
          </a:extLst>
        </xdr:cNvPr>
        <xdr:cNvGrpSpPr/>
      </xdr:nvGrpSpPr>
      <xdr:grpSpPr>
        <a:xfrm>
          <a:off x="15815050" y="851762"/>
          <a:ext cx="2415568" cy="589153"/>
          <a:chOff x="15620999" y="402771"/>
          <a:chExt cx="2503715" cy="664029"/>
        </a:xfrm>
      </xdr:grpSpPr>
      <xdr:pic>
        <xdr:nvPicPr>
          <xdr:cNvPr id="16" name="Gráfico 15" descr="Flecha lineal: giro a la izquierda">
            <a:extLst>
              <a:ext uri="{FF2B5EF4-FFF2-40B4-BE49-F238E27FC236}">
                <a16:creationId xmlns:a16="http://schemas.microsoft.com/office/drawing/2014/main" id="{807286DE-EAA5-40B0-A3B5-800646FB36EA}"/>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 uri="{96DAC541-7B7A-43D3-8B79-37D633B846F1}">
                <asvg:svgBlip xmlns:asvg="http://schemas.microsoft.com/office/drawing/2016/SVG/main" r:embed="rId7"/>
              </a:ext>
            </a:extLst>
          </a:blip>
          <a:stretch>
            <a:fillRect/>
          </a:stretch>
        </xdr:blipFill>
        <xdr:spPr>
          <a:xfrm>
            <a:off x="15620999" y="402771"/>
            <a:ext cx="664029" cy="664029"/>
          </a:xfrm>
          <a:prstGeom prst="rect">
            <a:avLst/>
          </a:prstGeom>
        </xdr:spPr>
      </xdr:pic>
      <xdr:sp macro="" textlink="">
        <xdr:nvSpPr>
          <xdr:cNvPr id="17" name="CuadroTexto 16">
            <a:extLst>
              <a:ext uri="{FF2B5EF4-FFF2-40B4-BE49-F238E27FC236}">
                <a16:creationId xmlns:a16="http://schemas.microsoft.com/office/drawing/2014/main" id="{CA005C28-9CBB-4F3E-B5C8-AEED4BD36157}"/>
              </a:ext>
            </a:extLst>
          </xdr:cNvPr>
          <xdr:cNvSpPr txBox="1"/>
        </xdr:nvSpPr>
        <xdr:spPr>
          <a:xfrm>
            <a:off x="16306800" y="598714"/>
            <a:ext cx="1817914" cy="2830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200" b="1">
                <a:solidFill>
                  <a:srgbClr val="C00000"/>
                </a:solidFill>
                <a:latin typeface="Arial" panose="020B0604020202020204" pitchFamily="34" charset="0"/>
                <a:cs typeface="Arial" panose="020B0604020202020204" pitchFamily="34" charset="0"/>
              </a:rPr>
              <a:t>Volver a Guía</a:t>
            </a:r>
            <a:r>
              <a:rPr lang="es-CO" sz="1200" b="1" baseline="0">
                <a:solidFill>
                  <a:srgbClr val="C00000"/>
                </a:solidFill>
                <a:latin typeface="Arial" panose="020B0604020202020204" pitchFamily="34" charset="0"/>
                <a:cs typeface="Arial" panose="020B0604020202020204" pitchFamily="34" charset="0"/>
              </a:rPr>
              <a:t> de Uso</a:t>
            </a:r>
            <a:endParaRPr lang="es-CO" sz="1200" b="1">
              <a:solidFill>
                <a:srgbClr val="C00000"/>
              </a:solidFill>
              <a:latin typeface="Arial" panose="020B0604020202020204" pitchFamily="34" charset="0"/>
              <a:cs typeface="Arial" panose="020B0604020202020204" pitchFamily="34" charset="0"/>
            </a:endParaRPr>
          </a:p>
        </xdr:txBody>
      </xdr:sp>
    </xdr:grpSp>
    <xdr:clientData/>
  </xdr:twoCellAnchor>
  <xdr:twoCellAnchor editAs="oneCell">
    <xdr:from>
      <xdr:col>0</xdr:col>
      <xdr:colOff>0</xdr:colOff>
      <xdr:row>0</xdr:row>
      <xdr:rowOff>28575</xdr:rowOff>
    </xdr:from>
    <xdr:to>
      <xdr:col>3</xdr:col>
      <xdr:colOff>1586962</xdr:colOff>
      <xdr:row>4</xdr:row>
      <xdr:rowOff>57150</xdr:rowOff>
    </xdr:to>
    <xdr:pic>
      <xdr:nvPicPr>
        <xdr:cNvPr id="3" name="Imagen 2">
          <a:extLst>
            <a:ext uri="{FF2B5EF4-FFF2-40B4-BE49-F238E27FC236}">
              <a16:creationId xmlns:a16="http://schemas.microsoft.com/office/drawing/2014/main" id="{A290013D-E9AC-4907-A3C6-86F956F4903B}"/>
            </a:ext>
          </a:extLst>
        </xdr:cNvPr>
        <xdr:cNvPicPr>
          <a:picLocks noChangeAspect="1"/>
        </xdr:cNvPicPr>
      </xdr:nvPicPr>
      <xdr:blipFill>
        <a:blip xmlns:r="http://schemas.openxmlformats.org/officeDocument/2006/relationships" r:embed="rId8"/>
        <a:stretch>
          <a:fillRect/>
        </a:stretch>
      </xdr:blipFill>
      <xdr:spPr>
        <a:xfrm>
          <a:off x="0" y="28575"/>
          <a:ext cx="3806287" cy="828675"/>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1</xdr:col>
      <xdr:colOff>40094</xdr:colOff>
      <xdr:row>26</xdr:row>
      <xdr:rowOff>65908</xdr:rowOff>
    </xdr:from>
    <xdr:to>
      <xdr:col>5</xdr:col>
      <xdr:colOff>254000</xdr:colOff>
      <xdr:row>49</xdr:row>
      <xdr:rowOff>112888</xdr:rowOff>
    </xdr:to>
    <xdr:graphicFrame macro="">
      <xdr:nvGraphicFramePr>
        <xdr:cNvPr id="3" name="Gráfico 2">
          <a:extLst>
            <a:ext uri="{FF2B5EF4-FFF2-40B4-BE49-F238E27FC236}">
              <a16:creationId xmlns:a16="http://schemas.microsoft.com/office/drawing/2014/main" id="{0B9C02C1-6B8B-43A1-B9E9-3802FF804CC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342119</xdr:colOff>
      <xdr:row>51</xdr:row>
      <xdr:rowOff>85531</xdr:rowOff>
    </xdr:from>
    <xdr:to>
      <xdr:col>5</xdr:col>
      <xdr:colOff>205618</xdr:colOff>
      <xdr:row>70</xdr:row>
      <xdr:rowOff>193523</xdr:rowOff>
    </xdr:to>
    <xdr:graphicFrame macro="">
      <xdr:nvGraphicFramePr>
        <xdr:cNvPr id="4" name="Gráfico 3">
          <a:extLst>
            <a:ext uri="{FF2B5EF4-FFF2-40B4-BE49-F238E27FC236}">
              <a16:creationId xmlns:a16="http://schemas.microsoft.com/office/drawing/2014/main" id="{32ED9940-ADAC-4EA9-8EAB-8F5D7A5E998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60294</xdr:colOff>
      <xdr:row>26</xdr:row>
      <xdr:rowOff>74328</xdr:rowOff>
    </xdr:from>
    <xdr:to>
      <xdr:col>9</xdr:col>
      <xdr:colOff>1838478</xdr:colOff>
      <xdr:row>50</xdr:row>
      <xdr:rowOff>120951</xdr:rowOff>
    </xdr:to>
    <xdr:graphicFrame macro="">
      <xdr:nvGraphicFramePr>
        <xdr:cNvPr id="5" name="Gráfico 4">
          <a:extLst>
            <a:ext uri="{FF2B5EF4-FFF2-40B4-BE49-F238E27FC236}">
              <a16:creationId xmlns:a16="http://schemas.microsoft.com/office/drawing/2014/main" id="{FE9245E8-B085-424A-95F5-95B7D48BB3C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9</xdr:col>
      <xdr:colOff>852609</xdr:colOff>
      <xdr:row>0</xdr:row>
      <xdr:rowOff>0</xdr:rowOff>
    </xdr:from>
    <xdr:to>
      <xdr:col>10</xdr:col>
      <xdr:colOff>3600</xdr:colOff>
      <xdr:row>4</xdr:row>
      <xdr:rowOff>611317</xdr:rowOff>
    </xdr:to>
    <xdr:pic>
      <xdr:nvPicPr>
        <xdr:cNvPr id="6" name="Imagen 5">
          <a:extLst>
            <a:ext uri="{FF2B5EF4-FFF2-40B4-BE49-F238E27FC236}">
              <a16:creationId xmlns:a16="http://schemas.microsoft.com/office/drawing/2014/main" id="{AF216915-B44A-48A5-B960-DF34D4CEECAE}"/>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77704"/>
        <a:stretch/>
      </xdr:blipFill>
      <xdr:spPr>
        <a:xfrm>
          <a:off x="17919321" y="0"/>
          <a:ext cx="1373491" cy="1404632"/>
        </a:xfrm>
        <a:prstGeom prst="rect">
          <a:avLst/>
        </a:prstGeom>
      </xdr:spPr>
    </xdr:pic>
    <xdr:clientData/>
  </xdr:twoCellAnchor>
  <xdr:twoCellAnchor>
    <xdr:from>
      <xdr:col>8</xdr:col>
      <xdr:colOff>1866383</xdr:colOff>
      <xdr:row>4</xdr:row>
      <xdr:rowOff>117426</xdr:rowOff>
    </xdr:from>
    <xdr:to>
      <xdr:col>9</xdr:col>
      <xdr:colOff>2118490</xdr:colOff>
      <xdr:row>5</xdr:row>
      <xdr:rowOff>137354</xdr:rowOff>
    </xdr:to>
    <xdr:grpSp>
      <xdr:nvGrpSpPr>
        <xdr:cNvPr id="7" name="Grupo 6">
          <a:hlinkClick xmlns:r="http://schemas.openxmlformats.org/officeDocument/2006/relationships" r:id="rId5"/>
          <a:extLst>
            <a:ext uri="{FF2B5EF4-FFF2-40B4-BE49-F238E27FC236}">
              <a16:creationId xmlns:a16="http://schemas.microsoft.com/office/drawing/2014/main" id="{A81190EF-847C-44C6-A455-9AD183BA24EA}"/>
            </a:ext>
          </a:extLst>
        </xdr:cNvPr>
        <xdr:cNvGrpSpPr/>
      </xdr:nvGrpSpPr>
      <xdr:grpSpPr>
        <a:xfrm>
          <a:off x="16258658" y="917526"/>
          <a:ext cx="2433332" cy="667628"/>
          <a:chOff x="15620999" y="402771"/>
          <a:chExt cx="2503715" cy="664029"/>
        </a:xfrm>
      </xdr:grpSpPr>
      <xdr:pic>
        <xdr:nvPicPr>
          <xdr:cNvPr id="8" name="Gráfico 7" descr="Flecha lineal: giro a la izquierda">
            <a:extLst>
              <a:ext uri="{FF2B5EF4-FFF2-40B4-BE49-F238E27FC236}">
                <a16:creationId xmlns:a16="http://schemas.microsoft.com/office/drawing/2014/main" id="{1E9F5339-20F9-4758-A754-844099BA38A2}"/>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 uri="{96DAC541-7B7A-43D3-8B79-37D633B846F1}">
                <asvg:svgBlip xmlns:asvg="http://schemas.microsoft.com/office/drawing/2016/SVG/main" r:embed="rId7"/>
              </a:ext>
            </a:extLst>
          </a:blip>
          <a:stretch>
            <a:fillRect/>
          </a:stretch>
        </xdr:blipFill>
        <xdr:spPr>
          <a:xfrm>
            <a:off x="15620999" y="402771"/>
            <a:ext cx="664029" cy="664029"/>
          </a:xfrm>
          <a:prstGeom prst="rect">
            <a:avLst/>
          </a:prstGeom>
        </xdr:spPr>
      </xdr:pic>
      <xdr:sp macro="" textlink="">
        <xdr:nvSpPr>
          <xdr:cNvPr id="9" name="CuadroTexto 8">
            <a:extLst>
              <a:ext uri="{FF2B5EF4-FFF2-40B4-BE49-F238E27FC236}">
                <a16:creationId xmlns:a16="http://schemas.microsoft.com/office/drawing/2014/main" id="{FA8161FF-D303-4EE9-B762-BDF7A60010CE}"/>
              </a:ext>
            </a:extLst>
          </xdr:cNvPr>
          <xdr:cNvSpPr txBox="1"/>
        </xdr:nvSpPr>
        <xdr:spPr>
          <a:xfrm>
            <a:off x="16306800" y="598714"/>
            <a:ext cx="1817914" cy="2830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200" b="1">
                <a:solidFill>
                  <a:srgbClr val="C00000"/>
                </a:solidFill>
                <a:latin typeface="Arial" panose="020B0604020202020204" pitchFamily="34" charset="0"/>
                <a:cs typeface="Arial" panose="020B0604020202020204" pitchFamily="34" charset="0"/>
              </a:rPr>
              <a:t>Volver a Guía</a:t>
            </a:r>
            <a:r>
              <a:rPr lang="es-CO" sz="1200" b="1" baseline="0">
                <a:solidFill>
                  <a:srgbClr val="C00000"/>
                </a:solidFill>
                <a:latin typeface="Arial" panose="020B0604020202020204" pitchFamily="34" charset="0"/>
                <a:cs typeface="Arial" panose="020B0604020202020204" pitchFamily="34" charset="0"/>
              </a:rPr>
              <a:t> de Uso</a:t>
            </a:r>
            <a:endParaRPr lang="es-CO" sz="1200" b="1">
              <a:solidFill>
                <a:srgbClr val="C00000"/>
              </a:solidFill>
              <a:latin typeface="Arial" panose="020B0604020202020204" pitchFamily="34" charset="0"/>
              <a:cs typeface="Arial" panose="020B0604020202020204" pitchFamily="34" charset="0"/>
            </a:endParaRPr>
          </a:p>
        </xdr:txBody>
      </xdr:sp>
    </xdr:grpSp>
    <xdr:clientData/>
  </xdr:twoCellAnchor>
  <xdr:twoCellAnchor>
    <xdr:from>
      <xdr:col>1</xdr:col>
      <xdr:colOff>4320</xdr:colOff>
      <xdr:row>72</xdr:row>
      <xdr:rowOff>55293</xdr:rowOff>
    </xdr:from>
    <xdr:to>
      <xdr:col>5</xdr:col>
      <xdr:colOff>205619</xdr:colOff>
      <xdr:row>95</xdr:row>
      <xdr:rowOff>120953</xdr:rowOff>
    </xdr:to>
    <xdr:graphicFrame macro="">
      <xdr:nvGraphicFramePr>
        <xdr:cNvPr id="10" name="Gráfico 9">
          <a:extLst>
            <a:ext uri="{FF2B5EF4-FFF2-40B4-BE49-F238E27FC236}">
              <a16:creationId xmlns:a16="http://schemas.microsoft.com/office/drawing/2014/main" id="{D44BD4D9-D738-46E0-80E6-3368396D5C4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1</xdr:col>
      <xdr:colOff>1171576</xdr:colOff>
      <xdr:row>0</xdr:row>
      <xdr:rowOff>0</xdr:rowOff>
    </xdr:from>
    <xdr:to>
      <xdr:col>3</xdr:col>
      <xdr:colOff>1819276</xdr:colOff>
      <xdr:row>4</xdr:row>
      <xdr:rowOff>75005</xdr:rowOff>
    </xdr:to>
    <xdr:pic>
      <xdr:nvPicPr>
        <xdr:cNvPr id="11" name="Imagen 10">
          <a:extLst>
            <a:ext uri="{FF2B5EF4-FFF2-40B4-BE49-F238E27FC236}">
              <a16:creationId xmlns:a16="http://schemas.microsoft.com/office/drawing/2014/main" id="{99E1DC4A-0097-4FB1-ACA5-22ED5B002C99}"/>
            </a:ext>
          </a:extLst>
        </xdr:cNvPr>
        <xdr:cNvPicPr>
          <a:picLocks noChangeAspect="1"/>
        </xdr:cNvPicPr>
      </xdr:nvPicPr>
      <xdr:blipFill>
        <a:blip xmlns:r="http://schemas.openxmlformats.org/officeDocument/2006/relationships" r:embed="rId9"/>
        <a:stretch>
          <a:fillRect/>
        </a:stretch>
      </xdr:blipFill>
      <xdr:spPr>
        <a:xfrm>
          <a:off x="1285876" y="0"/>
          <a:ext cx="4019550" cy="87510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313151</xdr:colOff>
      <xdr:row>25</xdr:row>
      <xdr:rowOff>93945</xdr:rowOff>
    </xdr:from>
    <xdr:to>
      <xdr:col>4</xdr:col>
      <xdr:colOff>2755726</xdr:colOff>
      <xdr:row>43</xdr:row>
      <xdr:rowOff>10438</xdr:rowOff>
    </xdr:to>
    <xdr:graphicFrame macro="">
      <xdr:nvGraphicFramePr>
        <xdr:cNvPr id="2" name="Gráfico 1">
          <a:extLst>
            <a:ext uri="{FF2B5EF4-FFF2-40B4-BE49-F238E27FC236}">
              <a16:creationId xmlns:a16="http://schemas.microsoft.com/office/drawing/2014/main" id="{A7038DB9-BC82-46E7-BB11-B0248D6857D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95107</xdr:colOff>
      <xdr:row>25</xdr:row>
      <xdr:rowOff>189540</xdr:rowOff>
    </xdr:from>
    <xdr:to>
      <xdr:col>9</xdr:col>
      <xdr:colOff>931332</xdr:colOff>
      <xdr:row>46</xdr:row>
      <xdr:rowOff>203200</xdr:rowOff>
    </xdr:to>
    <xdr:graphicFrame macro="">
      <xdr:nvGraphicFramePr>
        <xdr:cNvPr id="4" name="Gráfico 3">
          <a:extLst>
            <a:ext uri="{FF2B5EF4-FFF2-40B4-BE49-F238E27FC236}">
              <a16:creationId xmlns:a16="http://schemas.microsoft.com/office/drawing/2014/main" id="{C943436F-1A3D-4086-A50B-682E91538A4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345527</xdr:colOff>
      <xdr:row>48</xdr:row>
      <xdr:rowOff>67733</xdr:rowOff>
    </xdr:from>
    <xdr:to>
      <xdr:col>5</xdr:col>
      <xdr:colOff>118533</xdr:colOff>
      <xdr:row>71</xdr:row>
      <xdr:rowOff>152400</xdr:rowOff>
    </xdr:to>
    <xdr:graphicFrame macro="">
      <xdr:nvGraphicFramePr>
        <xdr:cNvPr id="5" name="Gráfico 4">
          <a:extLst>
            <a:ext uri="{FF2B5EF4-FFF2-40B4-BE49-F238E27FC236}">
              <a16:creationId xmlns:a16="http://schemas.microsoft.com/office/drawing/2014/main" id="{7330F28C-85F2-48A5-BE9E-2A0DD7D5024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345801</xdr:colOff>
      <xdr:row>72</xdr:row>
      <xdr:rowOff>195285</xdr:rowOff>
    </xdr:from>
    <xdr:to>
      <xdr:col>5</xdr:col>
      <xdr:colOff>118534</xdr:colOff>
      <xdr:row>96</xdr:row>
      <xdr:rowOff>50800</xdr:rowOff>
    </xdr:to>
    <xdr:graphicFrame macro="">
      <xdr:nvGraphicFramePr>
        <xdr:cNvPr id="6" name="Gráfico 5">
          <a:extLst>
            <a:ext uri="{FF2B5EF4-FFF2-40B4-BE49-F238E27FC236}">
              <a16:creationId xmlns:a16="http://schemas.microsoft.com/office/drawing/2014/main" id="{9FD14AD6-9E80-4629-90E9-ABDA0D8A5E7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9</xdr:col>
      <xdr:colOff>1410073</xdr:colOff>
      <xdr:row>0</xdr:row>
      <xdr:rowOff>96497</xdr:rowOff>
    </xdr:from>
    <xdr:to>
      <xdr:col>10</xdr:col>
      <xdr:colOff>334023</xdr:colOff>
      <xdr:row>4</xdr:row>
      <xdr:rowOff>736892</xdr:rowOff>
    </xdr:to>
    <xdr:pic>
      <xdr:nvPicPr>
        <xdr:cNvPr id="13" name="Imagen 12">
          <a:extLst>
            <a:ext uri="{FF2B5EF4-FFF2-40B4-BE49-F238E27FC236}">
              <a16:creationId xmlns:a16="http://schemas.microsoft.com/office/drawing/2014/main" id="{B446EAAB-577A-4EBE-BCA9-4160AD354680}"/>
            </a:ext>
          </a:extLst>
        </xdr:cNvPr>
        <xdr:cNvPicPr>
          <a:picLocks noChangeAspect="1"/>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l="77704"/>
        <a:stretch/>
      </xdr:blipFill>
      <xdr:spPr>
        <a:xfrm>
          <a:off x="20104473" y="96497"/>
          <a:ext cx="1379283" cy="1453195"/>
        </a:xfrm>
        <a:prstGeom prst="rect">
          <a:avLst/>
        </a:prstGeom>
      </xdr:spPr>
    </xdr:pic>
    <xdr:clientData/>
  </xdr:twoCellAnchor>
  <xdr:twoCellAnchor>
    <xdr:from>
      <xdr:col>9</xdr:col>
      <xdr:colOff>266759</xdr:colOff>
      <xdr:row>4</xdr:row>
      <xdr:rowOff>595682</xdr:rowOff>
    </xdr:from>
    <xdr:to>
      <xdr:col>9</xdr:col>
      <xdr:colOff>2426599</xdr:colOff>
      <xdr:row>5</xdr:row>
      <xdr:rowOff>506421</xdr:rowOff>
    </xdr:to>
    <xdr:grpSp>
      <xdr:nvGrpSpPr>
        <xdr:cNvPr id="17" name="Grupo 16">
          <a:hlinkClick xmlns:r="http://schemas.openxmlformats.org/officeDocument/2006/relationships" r:id="rId6"/>
          <a:extLst>
            <a:ext uri="{FF2B5EF4-FFF2-40B4-BE49-F238E27FC236}">
              <a16:creationId xmlns:a16="http://schemas.microsoft.com/office/drawing/2014/main" id="{EBF7A35A-D4E4-4D1D-A711-E39C2682A4F8}"/>
            </a:ext>
          </a:extLst>
        </xdr:cNvPr>
        <xdr:cNvGrpSpPr/>
      </xdr:nvGrpSpPr>
      <xdr:grpSpPr>
        <a:xfrm>
          <a:off x="18388072" y="1405307"/>
          <a:ext cx="2112215" cy="648927"/>
          <a:chOff x="15620999" y="402771"/>
          <a:chExt cx="2503715" cy="664029"/>
        </a:xfrm>
      </xdr:grpSpPr>
      <xdr:pic>
        <xdr:nvPicPr>
          <xdr:cNvPr id="18" name="Gráfico 17" descr="Flecha lineal: giro a la izquierda">
            <a:extLst>
              <a:ext uri="{FF2B5EF4-FFF2-40B4-BE49-F238E27FC236}">
                <a16:creationId xmlns:a16="http://schemas.microsoft.com/office/drawing/2014/main" id="{FE024972-1E62-45A5-9E90-3DC90425764E}"/>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 uri="{96DAC541-7B7A-43D3-8B79-37D633B846F1}">
                <asvg:svgBlip xmlns:asvg="http://schemas.microsoft.com/office/drawing/2016/SVG/main" r:embed="rId8"/>
              </a:ext>
            </a:extLst>
          </a:blip>
          <a:stretch>
            <a:fillRect/>
          </a:stretch>
        </xdr:blipFill>
        <xdr:spPr>
          <a:xfrm>
            <a:off x="15620999" y="402771"/>
            <a:ext cx="664029" cy="664029"/>
          </a:xfrm>
          <a:prstGeom prst="rect">
            <a:avLst/>
          </a:prstGeom>
        </xdr:spPr>
      </xdr:pic>
      <xdr:sp macro="" textlink="">
        <xdr:nvSpPr>
          <xdr:cNvPr id="19" name="CuadroTexto 18">
            <a:extLst>
              <a:ext uri="{FF2B5EF4-FFF2-40B4-BE49-F238E27FC236}">
                <a16:creationId xmlns:a16="http://schemas.microsoft.com/office/drawing/2014/main" id="{6735E656-2C23-44E5-B4DD-9924A4228696}"/>
              </a:ext>
            </a:extLst>
          </xdr:cNvPr>
          <xdr:cNvSpPr txBox="1"/>
        </xdr:nvSpPr>
        <xdr:spPr>
          <a:xfrm>
            <a:off x="16306800" y="598714"/>
            <a:ext cx="1817914" cy="2830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200" b="1">
                <a:solidFill>
                  <a:srgbClr val="C00000"/>
                </a:solidFill>
                <a:latin typeface="Arial" panose="020B0604020202020204" pitchFamily="34" charset="0"/>
                <a:cs typeface="Arial" panose="020B0604020202020204" pitchFamily="34" charset="0"/>
              </a:rPr>
              <a:t>Volver a Guía</a:t>
            </a:r>
            <a:r>
              <a:rPr lang="es-CO" sz="1200" b="1" baseline="0">
                <a:solidFill>
                  <a:srgbClr val="C00000"/>
                </a:solidFill>
                <a:latin typeface="Arial" panose="020B0604020202020204" pitchFamily="34" charset="0"/>
                <a:cs typeface="Arial" panose="020B0604020202020204" pitchFamily="34" charset="0"/>
              </a:rPr>
              <a:t> de Uso</a:t>
            </a:r>
            <a:endParaRPr lang="es-CO" sz="1200" b="1">
              <a:solidFill>
                <a:srgbClr val="C00000"/>
              </a:solidFill>
              <a:latin typeface="Arial" panose="020B0604020202020204" pitchFamily="34" charset="0"/>
              <a:cs typeface="Arial" panose="020B0604020202020204" pitchFamily="34" charset="0"/>
            </a:endParaRPr>
          </a:p>
        </xdr:txBody>
      </xdr:sp>
    </xdr:grpSp>
    <xdr:clientData/>
  </xdr:twoCellAnchor>
  <xdr:twoCellAnchor editAs="oneCell">
    <xdr:from>
      <xdr:col>0</xdr:col>
      <xdr:colOff>35720</xdr:colOff>
      <xdr:row>0</xdr:row>
      <xdr:rowOff>47626</xdr:rowOff>
    </xdr:from>
    <xdr:to>
      <xdr:col>3</xdr:col>
      <xdr:colOff>1014453</xdr:colOff>
      <xdr:row>4</xdr:row>
      <xdr:rowOff>285751</xdr:rowOff>
    </xdr:to>
    <xdr:pic>
      <xdr:nvPicPr>
        <xdr:cNvPr id="3" name="Imagen 2">
          <a:extLst>
            <a:ext uri="{FF2B5EF4-FFF2-40B4-BE49-F238E27FC236}">
              <a16:creationId xmlns:a16="http://schemas.microsoft.com/office/drawing/2014/main" id="{B7EBC8CD-7ED3-4984-B7D6-AA1136E74525}"/>
            </a:ext>
          </a:extLst>
        </xdr:cNvPr>
        <xdr:cNvPicPr>
          <a:picLocks noChangeAspect="1"/>
        </xdr:cNvPicPr>
      </xdr:nvPicPr>
      <xdr:blipFill>
        <a:blip xmlns:r="http://schemas.openxmlformats.org/officeDocument/2006/relationships" r:embed="rId9"/>
        <a:stretch>
          <a:fillRect/>
        </a:stretch>
      </xdr:blipFill>
      <xdr:spPr>
        <a:xfrm>
          <a:off x="35720" y="47626"/>
          <a:ext cx="4812546" cy="104775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xdr:from>
      <xdr:col>0</xdr:col>
      <xdr:colOff>328085</xdr:colOff>
      <xdr:row>26</xdr:row>
      <xdr:rowOff>120928</xdr:rowOff>
    </xdr:from>
    <xdr:to>
      <xdr:col>5</xdr:col>
      <xdr:colOff>25400</xdr:colOff>
      <xdr:row>43</xdr:row>
      <xdr:rowOff>25400</xdr:rowOff>
    </xdr:to>
    <xdr:graphicFrame macro="">
      <xdr:nvGraphicFramePr>
        <xdr:cNvPr id="2" name="Gráfico 1">
          <a:extLst>
            <a:ext uri="{FF2B5EF4-FFF2-40B4-BE49-F238E27FC236}">
              <a16:creationId xmlns:a16="http://schemas.microsoft.com/office/drawing/2014/main" id="{6BD98B67-A21D-475D-9483-F12156BEC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19816</xdr:colOff>
      <xdr:row>46</xdr:row>
      <xdr:rowOff>168068</xdr:rowOff>
    </xdr:from>
    <xdr:to>
      <xdr:col>4</xdr:col>
      <xdr:colOff>2400300</xdr:colOff>
      <xdr:row>66</xdr:row>
      <xdr:rowOff>101600</xdr:rowOff>
    </xdr:to>
    <xdr:graphicFrame macro="">
      <xdr:nvGraphicFramePr>
        <xdr:cNvPr id="4" name="Gráfico 3">
          <a:extLst>
            <a:ext uri="{FF2B5EF4-FFF2-40B4-BE49-F238E27FC236}">
              <a16:creationId xmlns:a16="http://schemas.microsoft.com/office/drawing/2014/main" id="{23243C06-B0BB-46F0-8D9D-12BDD15B3DC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34793</xdr:colOff>
      <xdr:row>67</xdr:row>
      <xdr:rowOff>127000</xdr:rowOff>
    </xdr:from>
    <xdr:to>
      <xdr:col>4</xdr:col>
      <xdr:colOff>2311400</xdr:colOff>
      <xdr:row>89</xdr:row>
      <xdr:rowOff>38100</xdr:rowOff>
    </xdr:to>
    <xdr:graphicFrame macro="">
      <xdr:nvGraphicFramePr>
        <xdr:cNvPr id="6" name="Gráfico 5">
          <a:extLst>
            <a:ext uri="{FF2B5EF4-FFF2-40B4-BE49-F238E27FC236}">
              <a16:creationId xmlns:a16="http://schemas.microsoft.com/office/drawing/2014/main" id="{C9BEF138-9622-4813-ABCE-5CEFCC857FE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26710</xdr:colOff>
      <xdr:row>26</xdr:row>
      <xdr:rowOff>124745</xdr:rowOff>
    </xdr:from>
    <xdr:to>
      <xdr:col>9</xdr:col>
      <xdr:colOff>2387600</xdr:colOff>
      <xdr:row>46</xdr:row>
      <xdr:rowOff>88900</xdr:rowOff>
    </xdr:to>
    <xdr:graphicFrame macro="">
      <xdr:nvGraphicFramePr>
        <xdr:cNvPr id="9" name="Gráfico 8">
          <a:extLst>
            <a:ext uri="{FF2B5EF4-FFF2-40B4-BE49-F238E27FC236}">
              <a16:creationId xmlns:a16="http://schemas.microsoft.com/office/drawing/2014/main" id="{62B0FD0F-85BC-4B22-9A41-BEA040690F9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9</xdr:col>
      <xdr:colOff>1661821</xdr:colOff>
      <xdr:row>0</xdr:row>
      <xdr:rowOff>98323</xdr:rowOff>
    </xdr:from>
    <xdr:to>
      <xdr:col>11</xdr:col>
      <xdr:colOff>175623</xdr:colOff>
      <xdr:row>5</xdr:row>
      <xdr:rowOff>599104</xdr:rowOff>
    </xdr:to>
    <xdr:pic>
      <xdr:nvPicPr>
        <xdr:cNvPr id="13" name="Imagen 12">
          <a:extLst>
            <a:ext uri="{FF2B5EF4-FFF2-40B4-BE49-F238E27FC236}">
              <a16:creationId xmlns:a16="http://schemas.microsoft.com/office/drawing/2014/main" id="{8D67E9FE-CD94-443D-9726-EC15EFD06B18}"/>
            </a:ext>
          </a:extLst>
        </xdr:cNvPr>
        <xdr:cNvPicPr>
          <a:picLocks noChangeAspect="1"/>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l="77704"/>
        <a:stretch/>
      </xdr:blipFill>
      <xdr:spPr>
        <a:xfrm>
          <a:off x="22776595" y="98323"/>
          <a:ext cx="1379496" cy="1484007"/>
        </a:xfrm>
        <a:prstGeom prst="rect">
          <a:avLst/>
        </a:prstGeom>
      </xdr:spPr>
    </xdr:pic>
    <xdr:clientData/>
  </xdr:twoCellAnchor>
  <xdr:twoCellAnchor>
    <xdr:from>
      <xdr:col>9</xdr:col>
      <xdr:colOff>626807</xdr:colOff>
      <xdr:row>5</xdr:row>
      <xdr:rowOff>36871</xdr:rowOff>
    </xdr:from>
    <xdr:to>
      <xdr:col>10</xdr:col>
      <xdr:colOff>326600</xdr:colOff>
      <xdr:row>6</xdr:row>
      <xdr:rowOff>84656</xdr:rowOff>
    </xdr:to>
    <xdr:grpSp>
      <xdr:nvGrpSpPr>
        <xdr:cNvPr id="17" name="Grupo 16">
          <a:hlinkClick xmlns:r="http://schemas.openxmlformats.org/officeDocument/2006/relationships" r:id="rId6"/>
          <a:extLst>
            <a:ext uri="{FF2B5EF4-FFF2-40B4-BE49-F238E27FC236}">
              <a16:creationId xmlns:a16="http://schemas.microsoft.com/office/drawing/2014/main" id="{939EB4C3-55ED-468B-B5A1-7B922BEBD455}"/>
            </a:ext>
          </a:extLst>
        </xdr:cNvPr>
        <xdr:cNvGrpSpPr/>
      </xdr:nvGrpSpPr>
      <xdr:grpSpPr>
        <a:xfrm>
          <a:off x="19084140" y="1042288"/>
          <a:ext cx="2081043" cy="661618"/>
          <a:chOff x="15620999" y="402771"/>
          <a:chExt cx="2503715" cy="664029"/>
        </a:xfrm>
      </xdr:grpSpPr>
      <xdr:pic>
        <xdr:nvPicPr>
          <xdr:cNvPr id="18" name="Gráfico 17" descr="Flecha lineal: giro a la izquierda">
            <a:extLst>
              <a:ext uri="{FF2B5EF4-FFF2-40B4-BE49-F238E27FC236}">
                <a16:creationId xmlns:a16="http://schemas.microsoft.com/office/drawing/2014/main" id="{2477FEC7-F05E-42BE-9831-A910CA67F2BD}"/>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 uri="{96DAC541-7B7A-43D3-8B79-37D633B846F1}">
                <asvg:svgBlip xmlns:asvg="http://schemas.microsoft.com/office/drawing/2016/SVG/main" r:embed="rId8"/>
              </a:ext>
            </a:extLst>
          </a:blip>
          <a:stretch>
            <a:fillRect/>
          </a:stretch>
        </xdr:blipFill>
        <xdr:spPr>
          <a:xfrm>
            <a:off x="15620999" y="402771"/>
            <a:ext cx="664029" cy="664029"/>
          </a:xfrm>
          <a:prstGeom prst="rect">
            <a:avLst/>
          </a:prstGeom>
        </xdr:spPr>
      </xdr:pic>
      <xdr:sp macro="" textlink="">
        <xdr:nvSpPr>
          <xdr:cNvPr id="19" name="CuadroTexto 18">
            <a:extLst>
              <a:ext uri="{FF2B5EF4-FFF2-40B4-BE49-F238E27FC236}">
                <a16:creationId xmlns:a16="http://schemas.microsoft.com/office/drawing/2014/main" id="{B21174BF-875D-42D0-8069-445EA9FAA9C8}"/>
              </a:ext>
            </a:extLst>
          </xdr:cNvPr>
          <xdr:cNvSpPr txBox="1"/>
        </xdr:nvSpPr>
        <xdr:spPr>
          <a:xfrm>
            <a:off x="16306800" y="598714"/>
            <a:ext cx="1817914" cy="2830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200" b="1">
                <a:solidFill>
                  <a:srgbClr val="C00000"/>
                </a:solidFill>
                <a:latin typeface="Arial" panose="020B0604020202020204" pitchFamily="34" charset="0"/>
                <a:cs typeface="Arial" panose="020B0604020202020204" pitchFamily="34" charset="0"/>
              </a:rPr>
              <a:t>Volver a Guía</a:t>
            </a:r>
            <a:r>
              <a:rPr lang="es-CO" sz="1200" b="1" baseline="0">
                <a:solidFill>
                  <a:srgbClr val="C00000"/>
                </a:solidFill>
                <a:latin typeface="Arial" panose="020B0604020202020204" pitchFamily="34" charset="0"/>
                <a:cs typeface="Arial" panose="020B0604020202020204" pitchFamily="34" charset="0"/>
              </a:rPr>
              <a:t> de Uso</a:t>
            </a:r>
            <a:endParaRPr lang="es-CO" sz="1200" b="1">
              <a:solidFill>
                <a:srgbClr val="C00000"/>
              </a:solidFill>
              <a:latin typeface="Arial" panose="020B0604020202020204" pitchFamily="34" charset="0"/>
              <a:cs typeface="Arial" panose="020B0604020202020204" pitchFamily="34" charset="0"/>
            </a:endParaRPr>
          </a:p>
        </xdr:txBody>
      </xdr:sp>
    </xdr:grpSp>
    <xdr:clientData/>
  </xdr:twoCellAnchor>
  <xdr:twoCellAnchor editAs="oneCell">
    <xdr:from>
      <xdr:col>0</xdr:col>
      <xdr:colOff>0</xdr:colOff>
      <xdr:row>0</xdr:row>
      <xdr:rowOff>66676</xdr:rowOff>
    </xdr:from>
    <xdr:to>
      <xdr:col>3</xdr:col>
      <xdr:colOff>552450</xdr:colOff>
      <xdr:row>5</xdr:row>
      <xdr:rowOff>20457</xdr:rowOff>
    </xdr:to>
    <xdr:pic>
      <xdr:nvPicPr>
        <xdr:cNvPr id="5" name="Imagen 4">
          <a:extLst>
            <a:ext uri="{FF2B5EF4-FFF2-40B4-BE49-F238E27FC236}">
              <a16:creationId xmlns:a16="http://schemas.microsoft.com/office/drawing/2014/main" id="{3EBC60AA-CFD8-4686-8D89-2174CFA694FB}"/>
            </a:ext>
          </a:extLst>
        </xdr:cNvPr>
        <xdr:cNvPicPr>
          <a:picLocks noChangeAspect="1"/>
        </xdr:cNvPicPr>
      </xdr:nvPicPr>
      <xdr:blipFill>
        <a:blip xmlns:r="http://schemas.openxmlformats.org/officeDocument/2006/relationships" r:embed="rId9"/>
        <a:stretch>
          <a:fillRect/>
        </a:stretch>
      </xdr:blipFill>
      <xdr:spPr>
        <a:xfrm>
          <a:off x="0" y="66676"/>
          <a:ext cx="4381500" cy="953906"/>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xdr:from>
      <xdr:col>2</xdr:col>
      <xdr:colOff>1097280</xdr:colOff>
      <xdr:row>27</xdr:row>
      <xdr:rowOff>172068</xdr:rowOff>
    </xdr:from>
    <xdr:to>
      <xdr:col>4</xdr:col>
      <xdr:colOff>2971800</xdr:colOff>
      <xdr:row>41</xdr:row>
      <xdr:rowOff>106680</xdr:rowOff>
    </xdr:to>
    <xdr:graphicFrame macro="">
      <xdr:nvGraphicFramePr>
        <xdr:cNvPr id="2" name="Gráfico 1">
          <a:extLst>
            <a:ext uri="{FF2B5EF4-FFF2-40B4-BE49-F238E27FC236}">
              <a16:creationId xmlns:a16="http://schemas.microsoft.com/office/drawing/2014/main" id="{22CE9912-AF96-41C2-948A-36764B32DEC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1112520</xdr:colOff>
      <xdr:row>43</xdr:row>
      <xdr:rowOff>118263</xdr:rowOff>
    </xdr:from>
    <xdr:to>
      <xdr:col>4</xdr:col>
      <xdr:colOff>3063240</xdr:colOff>
      <xdr:row>62</xdr:row>
      <xdr:rowOff>137160</xdr:rowOff>
    </xdr:to>
    <xdr:graphicFrame macro="">
      <xdr:nvGraphicFramePr>
        <xdr:cNvPr id="3" name="Gráfico 2">
          <a:extLst>
            <a:ext uri="{FF2B5EF4-FFF2-40B4-BE49-F238E27FC236}">
              <a16:creationId xmlns:a16="http://schemas.microsoft.com/office/drawing/2014/main" id="{DE45DA78-AA80-4126-BE5D-17FC1A27945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5</xdr:col>
      <xdr:colOff>367553</xdr:colOff>
      <xdr:row>0</xdr:row>
      <xdr:rowOff>0</xdr:rowOff>
    </xdr:from>
    <xdr:to>
      <xdr:col>6</xdr:col>
      <xdr:colOff>283824</xdr:colOff>
      <xdr:row>6</xdr:row>
      <xdr:rowOff>272205</xdr:rowOff>
    </xdr:to>
    <xdr:pic>
      <xdr:nvPicPr>
        <xdr:cNvPr id="9" name="Imagen 8">
          <a:extLst>
            <a:ext uri="{FF2B5EF4-FFF2-40B4-BE49-F238E27FC236}">
              <a16:creationId xmlns:a16="http://schemas.microsoft.com/office/drawing/2014/main" id="{74608233-3A7E-4B24-8EE5-A7F6FC44453E}"/>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77704"/>
        <a:stretch/>
      </xdr:blipFill>
      <xdr:spPr>
        <a:xfrm>
          <a:off x="9762565" y="0"/>
          <a:ext cx="1386483" cy="1455546"/>
        </a:xfrm>
        <a:prstGeom prst="rect">
          <a:avLst/>
        </a:prstGeom>
      </xdr:spPr>
    </xdr:pic>
    <xdr:clientData/>
  </xdr:twoCellAnchor>
  <xdr:twoCellAnchor>
    <xdr:from>
      <xdr:col>4</xdr:col>
      <xdr:colOff>2788920</xdr:colOff>
      <xdr:row>3</xdr:row>
      <xdr:rowOff>30480</xdr:rowOff>
    </xdr:from>
    <xdr:to>
      <xdr:col>6</xdr:col>
      <xdr:colOff>322667</xdr:colOff>
      <xdr:row>6</xdr:row>
      <xdr:rowOff>98421</xdr:rowOff>
    </xdr:to>
    <xdr:grpSp>
      <xdr:nvGrpSpPr>
        <xdr:cNvPr id="11" name="Grupo 10">
          <a:hlinkClick xmlns:r="http://schemas.openxmlformats.org/officeDocument/2006/relationships" r:id="rId4"/>
          <a:extLst>
            <a:ext uri="{FF2B5EF4-FFF2-40B4-BE49-F238E27FC236}">
              <a16:creationId xmlns:a16="http://schemas.microsoft.com/office/drawing/2014/main" id="{04821972-E2FC-41AE-B16E-667CF475C57F}"/>
            </a:ext>
          </a:extLst>
        </xdr:cNvPr>
        <xdr:cNvGrpSpPr/>
      </xdr:nvGrpSpPr>
      <xdr:grpSpPr>
        <a:xfrm>
          <a:off x="9418320" y="630555"/>
          <a:ext cx="2353397" cy="668016"/>
          <a:chOff x="15620999" y="402771"/>
          <a:chExt cx="2503715" cy="664029"/>
        </a:xfrm>
      </xdr:grpSpPr>
      <xdr:pic>
        <xdr:nvPicPr>
          <xdr:cNvPr id="12" name="Gráfico 11" descr="Flecha lineal: giro a la izquierda">
            <a:extLst>
              <a:ext uri="{FF2B5EF4-FFF2-40B4-BE49-F238E27FC236}">
                <a16:creationId xmlns:a16="http://schemas.microsoft.com/office/drawing/2014/main" id="{23BAE00E-58AF-4B73-BBA8-322D1E398A98}"/>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a:off x="15620999" y="402771"/>
            <a:ext cx="664029" cy="664029"/>
          </a:xfrm>
          <a:prstGeom prst="rect">
            <a:avLst/>
          </a:prstGeom>
        </xdr:spPr>
      </xdr:pic>
      <xdr:sp macro="" textlink="">
        <xdr:nvSpPr>
          <xdr:cNvPr id="13" name="CuadroTexto 12">
            <a:extLst>
              <a:ext uri="{FF2B5EF4-FFF2-40B4-BE49-F238E27FC236}">
                <a16:creationId xmlns:a16="http://schemas.microsoft.com/office/drawing/2014/main" id="{9CDCBE75-D9FC-4E2A-BF39-B8B4D9FDA14D}"/>
              </a:ext>
            </a:extLst>
          </xdr:cNvPr>
          <xdr:cNvSpPr txBox="1"/>
        </xdr:nvSpPr>
        <xdr:spPr>
          <a:xfrm>
            <a:off x="16306800" y="598714"/>
            <a:ext cx="1817914" cy="2830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200" b="1">
                <a:solidFill>
                  <a:srgbClr val="C00000"/>
                </a:solidFill>
                <a:latin typeface="Arial" panose="020B0604020202020204" pitchFamily="34" charset="0"/>
                <a:cs typeface="Arial" panose="020B0604020202020204" pitchFamily="34" charset="0"/>
              </a:rPr>
              <a:t>Volver a Guía</a:t>
            </a:r>
            <a:r>
              <a:rPr lang="es-CO" sz="1200" b="1" baseline="0">
                <a:solidFill>
                  <a:srgbClr val="C00000"/>
                </a:solidFill>
                <a:latin typeface="Arial" panose="020B0604020202020204" pitchFamily="34" charset="0"/>
                <a:cs typeface="Arial" panose="020B0604020202020204" pitchFamily="34" charset="0"/>
              </a:rPr>
              <a:t> de Uso</a:t>
            </a:r>
            <a:endParaRPr lang="es-CO" sz="1200" b="1">
              <a:solidFill>
                <a:srgbClr val="C00000"/>
              </a:solidFill>
              <a:latin typeface="Arial" panose="020B0604020202020204" pitchFamily="34" charset="0"/>
              <a:cs typeface="Arial" panose="020B0604020202020204" pitchFamily="34" charset="0"/>
            </a:endParaRPr>
          </a:p>
        </xdr:txBody>
      </xdr:sp>
    </xdr:grpSp>
    <xdr:clientData/>
  </xdr:twoCellAnchor>
  <xdr:twoCellAnchor editAs="oneCell">
    <xdr:from>
      <xdr:col>0</xdr:col>
      <xdr:colOff>1</xdr:colOff>
      <xdr:row>0</xdr:row>
      <xdr:rowOff>57150</xdr:rowOff>
    </xdr:from>
    <xdr:to>
      <xdr:col>3</xdr:col>
      <xdr:colOff>781051</xdr:colOff>
      <xdr:row>4</xdr:row>
      <xdr:rowOff>132155</xdr:rowOff>
    </xdr:to>
    <xdr:pic>
      <xdr:nvPicPr>
        <xdr:cNvPr id="4" name="Imagen 3">
          <a:extLst>
            <a:ext uri="{FF2B5EF4-FFF2-40B4-BE49-F238E27FC236}">
              <a16:creationId xmlns:a16="http://schemas.microsoft.com/office/drawing/2014/main" id="{7EE678F9-37C1-460A-8839-386D4E84929A}"/>
            </a:ext>
          </a:extLst>
        </xdr:cNvPr>
        <xdr:cNvPicPr>
          <a:picLocks noChangeAspect="1"/>
        </xdr:cNvPicPr>
      </xdr:nvPicPr>
      <xdr:blipFill>
        <a:blip xmlns:r="http://schemas.openxmlformats.org/officeDocument/2006/relationships" r:embed="rId7"/>
        <a:stretch>
          <a:fillRect/>
        </a:stretch>
      </xdr:blipFill>
      <xdr:spPr>
        <a:xfrm>
          <a:off x="1" y="57150"/>
          <a:ext cx="4019550" cy="8751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26</xdr:col>
      <xdr:colOff>552450</xdr:colOff>
      <xdr:row>187</xdr:row>
      <xdr:rowOff>156582</xdr:rowOff>
    </xdr:from>
    <xdr:to>
      <xdr:col>39</xdr:col>
      <xdr:colOff>46464</xdr:colOff>
      <xdr:row>213</xdr:row>
      <xdr:rowOff>6275</xdr:rowOff>
    </xdr:to>
    <xdr:graphicFrame macro="">
      <xdr:nvGraphicFramePr>
        <xdr:cNvPr id="9" name="8 Gráfico" title="Resultados Soacha por Comunas">
          <a:extLst>
            <a:ext uri="{FF2B5EF4-FFF2-40B4-BE49-F238E27FC236}">
              <a16:creationId xmlns:a16="http://schemas.microsoft.com/office/drawing/2014/main" id="{00000000-0008-0000-02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634225</xdr:colOff>
      <xdr:row>242</xdr:row>
      <xdr:rowOff>15566</xdr:rowOff>
    </xdr:from>
    <xdr:to>
      <xdr:col>17</xdr:col>
      <xdr:colOff>314325</xdr:colOff>
      <xdr:row>268</xdr:row>
      <xdr:rowOff>27183</xdr:rowOff>
    </xdr:to>
    <xdr:graphicFrame macro="">
      <xdr:nvGraphicFramePr>
        <xdr:cNvPr id="10" name="9 Gráfico" title="Resultados Soacha por Comunas">
          <a:extLst>
            <a:ext uri="{FF2B5EF4-FFF2-40B4-BE49-F238E27FC236}">
              <a16:creationId xmlns:a16="http://schemas.microsoft.com/office/drawing/2014/main" id="{00000000-0008-0000-02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778495</xdr:colOff>
      <xdr:row>243</xdr:row>
      <xdr:rowOff>27180</xdr:rowOff>
    </xdr:from>
    <xdr:to>
      <xdr:col>31</xdr:col>
      <xdr:colOff>336164</xdr:colOff>
      <xdr:row>269</xdr:row>
      <xdr:rowOff>38100</xdr:rowOff>
    </xdr:to>
    <xdr:graphicFrame macro="">
      <xdr:nvGraphicFramePr>
        <xdr:cNvPr id="11" name="10 Gráfico">
          <a:extLst>
            <a:ext uri="{FF2B5EF4-FFF2-40B4-BE49-F238E27FC236}">
              <a16:creationId xmlns:a16="http://schemas.microsoft.com/office/drawing/2014/main" id="{00000000-0008-0000-02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17</xdr:col>
      <xdr:colOff>281801</xdr:colOff>
      <xdr:row>286</xdr:row>
      <xdr:rowOff>51110</xdr:rowOff>
    </xdr:from>
    <xdr:to>
      <xdr:col>26</xdr:col>
      <xdr:colOff>38101</xdr:colOff>
      <xdr:row>311</xdr:row>
      <xdr:rowOff>152401</xdr:rowOff>
    </xdr:to>
    <xdr:graphicFrame macro="">
      <xdr:nvGraphicFramePr>
        <xdr:cNvPr id="3" name="2 Gráfico">
          <a:extLst>
            <a:ext uri="{FF2B5EF4-FFF2-40B4-BE49-F238E27FC236}">
              <a16:creationId xmlns:a16="http://schemas.microsoft.com/office/drawing/2014/main" id="{00000000-0008-0000-02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808074</xdr:colOff>
      <xdr:row>362</xdr:row>
      <xdr:rowOff>38100</xdr:rowOff>
    </xdr:from>
    <xdr:to>
      <xdr:col>15</xdr:col>
      <xdr:colOff>261257</xdr:colOff>
      <xdr:row>387</xdr:row>
      <xdr:rowOff>35663</xdr:rowOff>
    </xdr:to>
    <xdr:graphicFrame macro="">
      <xdr:nvGraphicFramePr>
        <xdr:cNvPr id="4" name="Gráfico 3">
          <a:extLst>
            <a:ext uri="{FF2B5EF4-FFF2-40B4-BE49-F238E27FC236}">
              <a16:creationId xmlns:a16="http://schemas.microsoft.com/office/drawing/2014/main" id="{39236EEF-240C-4CAD-B860-4171EC2BA01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4</xdr:col>
      <xdr:colOff>693965</xdr:colOff>
      <xdr:row>404</xdr:row>
      <xdr:rowOff>108855</xdr:rowOff>
    </xdr:from>
    <xdr:to>
      <xdr:col>10</xdr:col>
      <xdr:colOff>554126</xdr:colOff>
      <xdr:row>431</xdr:row>
      <xdr:rowOff>13606</xdr:rowOff>
    </xdr:to>
    <xdr:graphicFrame macro="">
      <xdr:nvGraphicFramePr>
        <xdr:cNvPr id="5" name="Gráfico 4">
          <a:extLst>
            <a:ext uri="{FF2B5EF4-FFF2-40B4-BE49-F238E27FC236}">
              <a16:creationId xmlns:a16="http://schemas.microsoft.com/office/drawing/2014/main" id="{EE98B1D4-9D56-4183-8287-BA60DDB1D79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13</xdr:col>
      <xdr:colOff>971768</xdr:colOff>
      <xdr:row>405</xdr:row>
      <xdr:rowOff>25754</xdr:rowOff>
    </xdr:from>
    <xdr:to>
      <xdr:col>20</xdr:col>
      <xdr:colOff>408214</xdr:colOff>
      <xdr:row>431</xdr:row>
      <xdr:rowOff>13606</xdr:rowOff>
    </xdr:to>
    <xdr:graphicFrame macro="">
      <xdr:nvGraphicFramePr>
        <xdr:cNvPr id="6" name="Gráfico 5">
          <a:extLst>
            <a:ext uri="{FF2B5EF4-FFF2-40B4-BE49-F238E27FC236}">
              <a16:creationId xmlns:a16="http://schemas.microsoft.com/office/drawing/2014/main" id="{EAE0D14B-DB53-48AC-B166-7A7C2B79BF3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xdr:col>
      <xdr:colOff>0</xdr:colOff>
      <xdr:row>435</xdr:row>
      <xdr:rowOff>0</xdr:rowOff>
    </xdr:from>
    <xdr:to>
      <xdr:col>11</xdr:col>
      <xdr:colOff>673837</xdr:colOff>
      <xdr:row>461</xdr:row>
      <xdr:rowOff>52025</xdr:rowOff>
    </xdr:to>
    <xdr:graphicFrame macro="">
      <xdr:nvGraphicFramePr>
        <xdr:cNvPr id="7" name="Gráfico 6">
          <a:extLst>
            <a:ext uri="{FF2B5EF4-FFF2-40B4-BE49-F238E27FC236}">
              <a16:creationId xmlns:a16="http://schemas.microsoft.com/office/drawing/2014/main" id="{9539899B-644F-415B-8256-C2F1BDEBB17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13</xdr:col>
      <xdr:colOff>742950</xdr:colOff>
      <xdr:row>435</xdr:row>
      <xdr:rowOff>19050</xdr:rowOff>
    </xdr:from>
    <xdr:to>
      <xdr:col>22</xdr:col>
      <xdr:colOff>235687</xdr:colOff>
      <xdr:row>461</xdr:row>
      <xdr:rowOff>71075</xdr:rowOff>
    </xdr:to>
    <xdr:graphicFrame macro="">
      <xdr:nvGraphicFramePr>
        <xdr:cNvPr id="2" name="Gráfico 1">
          <a:extLst>
            <a:ext uri="{FF2B5EF4-FFF2-40B4-BE49-F238E27FC236}">
              <a16:creationId xmlns:a16="http://schemas.microsoft.com/office/drawing/2014/main" id="{CB735144-BD59-4BD5-A9C3-A94DEB8BB70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13</xdr:col>
      <xdr:colOff>285446</xdr:colOff>
      <xdr:row>23</xdr:row>
      <xdr:rowOff>199268</xdr:rowOff>
    </xdr:from>
    <xdr:to>
      <xdr:col>16</xdr:col>
      <xdr:colOff>332651</xdr:colOff>
      <xdr:row>31</xdr:row>
      <xdr:rowOff>255252</xdr:rowOff>
    </xdr:to>
    <xdr:pic>
      <xdr:nvPicPr>
        <xdr:cNvPr id="3" name="Imagen 2">
          <a:extLst>
            <a:ext uri="{FF2B5EF4-FFF2-40B4-BE49-F238E27FC236}">
              <a16:creationId xmlns:a16="http://schemas.microsoft.com/office/drawing/2014/main" id="{FD0D18DA-92EC-4B88-81B1-2421FD26C8D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55571" y="7311268"/>
          <a:ext cx="2571330" cy="2060203"/>
        </a:xfrm>
        <a:prstGeom prst="rect">
          <a:avLst/>
        </a:prstGeom>
        <a:noFill/>
        <a:ln w="3175">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xdr:from>
      <xdr:col>5</xdr:col>
      <xdr:colOff>728427</xdr:colOff>
      <xdr:row>11</xdr:row>
      <xdr:rowOff>119547</xdr:rowOff>
    </xdr:from>
    <xdr:to>
      <xdr:col>12</xdr:col>
      <xdr:colOff>552701</xdr:colOff>
      <xdr:row>23</xdr:row>
      <xdr:rowOff>54118</xdr:rowOff>
    </xdr:to>
    <xdr:graphicFrame macro="">
      <xdr:nvGraphicFramePr>
        <xdr:cNvPr id="7" name="Gráfico 6">
          <a:extLst>
            <a:ext uri="{FF2B5EF4-FFF2-40B4-BE49-F238E27FC236}">
              <a16:creationId xmlns:a16="http://schemas.microsoft.com/office/drawing/2014/main" id="{D1EF9E40-E0F1-4428-AC6C-F4256509385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75234</xdr:colOff>
      <xdr:row>25</xdr:row>
      <xdr:rowOff>111105</xdr:rowOff>
    </xdr:from>
    <xdr:to>
      <xdr:col>8</xdr:col>
      <xdr:colOff>382360</xdr:colOff>
      <xdr:row>41</xdr:row>
      <xdr:rowOff>127907</xdr:rowOff>
    </xdr:to>
    <xdr:graphicFrame macro="">
      <xdr:nvGraphicFramePr>
        <xdr:cNvPr id="4" name="Gráfico 3">
          <a:extLst>
            <a:ext uri="{FF2B5EF4-FFF2-40B4-BE49-F238E27FC236}">
              <a16:creationId xmlns:a16="http://schemas.microsoft.com/office/drawing/2014/main" id="{2423D020-CCBA-4DB0-A784-710351AE48C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15</xdr:col>
      <xdr:colOff>276306</xdr:colOff>
      <xdr:row>0</xdr:row>
      <xdr:rowOff>0</xdr:rowOff>
    </xdr:from>
    <xdr:to>
      <xdr:col>16</xdr:col>
      <xdr:colOff>796216</xdr:colOff>
      <xdr:row>6</xdr:row>
      <xdr:rowOff>223475</xdr:rowOff>
    </xdr:to>
    <xdr:pic>
      <xdr:nvPicPr>
        <xdr:cNvPr id="11" name="Imagen 10">
          <a:extLst>
            <a:ext uri="{FF2B5EF4-FFF2-40B4-BE49-F238E27FC236}">
              <a16:creationId xmlns:a16="http://schemas.microsoft.com/office/drawing/2014/main" id="{C4E1D69D-B025-4AE9-8FF0-AFE0A433F486}"/>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77704"/>
        <a:stretch/>
      </xdr:blipFill>
      <xdr:spPr>
        <a:xfrm>
          <a:off x="16748953" y="0"/>
          <a:ext cx="1382763" cy="1433710"/>
        </a:xfrm>
        <a:prstGeom prst="rect">
          <a:avLst/>
        </a:prstGeom>
      </xdr:spPr>
    </xdr:pic>
    <xdr:clientData/>
  </xdr:twoCellAnchor>
  <xdr:twoCellAnchor>
    <xdr:from>
      <xdr:col>13</xdr:col>
      <xdr:colOff>805541</xdr:colOff>
      <xdr:row>3</xdr:row>
      <xdr:rowOff>87084</xdr:rowOff>
    </xdr:from>
    <xdr:to>
      <xdr:col>16</xdr:col>
      <xdr:colOff>729342</xdr:colOff>
      <xdr:row>6</xdr:row>
      <xdr:rowOff>163285</xdr:rowOff>
    </xdr:to>
    <xdr:grpSp>
      <xdr:nvGrpSpPr>
        <xdr:cNvPr id="12" name="Grupo 11">
          <a:hlinkClick xmlns:r="http://schemas.openxmlformats.org/officeDocument/2006/relationships" r:id="rId5"/>
          <a:extLst>
            <a:ext uri="{FF2B5EF4-FFF2-40B4-BE49-F238E27FC236}">
              <a16:creationId xmlns:a16="http://schemas.microsoft.com/office/drawing/2014/main" id="{708907F8-617F-4D59-8456-4830650AFEBC}"/>
            </a:ext>
          </a:extLst>
        </xdr:cNvPr>
        <xdr:cNvGrpSpPr/>
      </xdr:nvGrpSpPr>
      <xdr:grpSpPr>
        <a:xfrm>
          <a:off x="15759791" y="694303"/>
          <a:ext cx="2424114" cy="683420"/>
          <a:chOff x="15620999" y="402771"/>
          <a:chExt cx="2503715" cy="664029"/>
        </a:xfrm>
      </xdr:grpSpPr>
      <xdr:pic>
        <xdr:nvPicPr>
          <xdr:cNvPr id="5" name="Gráfico 4" descr="Flecha lineal: giro a la izquierda">
            <a:extLst>
              <a:ext uri="{FF2B5EF4-FFF2-40B4-BE49-F238E27FC236}">
                <a16:creationId xmlns:a16="http://schemas.microsoft.com/office/drawing/2014/main" id="{9FB191DE-F551-4E3F-9987-69A87D4ADF7F}"/>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 uri="{96DAC541-7B7A-43D3-8B79-37D633B846F1}">
                <asvg:svgBlip xmlns:asvg="http://schemas.microsoft.com/office/drawing/2016/SVG/main" r:embed="rId7"/>
              </a:ext>
            </a:extLst>
          </a:blip>
          <a:stretch>
            <a:fillRect/>
          </a:stretch>
        </xdr:blipFill>
        <xdr:spPr>
          <a:xfrm>
            <a:off x="15620999" y="402771"/>
            <a:ext cx="664029" cy="664029"/>
          </a:xfrm>
          <a:prstGeom prst="rect">
            <a:avLst/>
          </a:prstGeom>
        </xdr:spPr>
      </xdr:pic>
      <xdr:sp macro="" textlink="">
        <xdr:nvSpPr>
          <xdr:cNvPr id="9" name="CuadroTexto 8">
            <a:extLst>
              <a:ext uri="{FF2B5EF4-FFF2-40B4-BE49-F238E27FC236}">
                <a16:creationId xmlns:a16="http://schemas.microsoft.com/office/drawing/2014/main" id="{F97A0B23-CC9E-433A-9310-6877E141A466}"/>
              </a:ext>
            </a:extLst>
          </xdr:cNvPr>
          <xdr:cNvSpPr txBox="1"/>
        </xdr:nvSpPr>
        <xdr:spPr>
          <a:xfrm>
            <a:off x="16306800" y="598714"/>
            <a:ext cx="1817914" cy="2830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200" b="1">
                <a:solidFill>
                  <a:srgbClr val="C00000"/>
                </a:solidFill>
                <a:latin typeface="Arial" panose="020B0604020202020204" pitchFamily="34" charset="0"/>
                <a:cs typeface="Arial" panose="020B0604020202020204" pitchFamily="34" charset="0"/>
              </a:rPr>
              <a:t>Volver a Guía</a:t>
            </a:r>
            <a:r>
              <a:rPr lang="es-CO" sz="1200" b="1" baseline="0">
                <a:solidFill>
                  <a:srgbClr val="C00000"/>
                </a:solidFill>
                <a:latin typeface="Arial" panose="020B0604020202020204" pitchFamily="34" charset="0"/>
                <a:cs typeface="Arial" panose="020B0604020202020204" pitchFamily="34" charset="0"/>
              </a:rPr>
              <a:t> de Uso</a:t>
            </a:r>
            <a:endParaRPr lang="es-CO" sz="1200" b="1">
              <a:solidFill>
                <a:srgbClr val="C00000"/>
              </a:solidFill>
              <a:latin typeface="Arial" panose="020B0604020202020204" pitchFamily="34" charset="0"/>
              <a:cs typeface="Arial" panose="020B0604020202020204" pitchFamily="34" charset="0"/>
            </a:endParaRPr>
          </a:p>
        </xdr:txBody>
      </xdr:sp>
    </xdr:grpSp>
    <xdr:clientData/>
  </xdr:twoCellAnchor>
  <xdr:twoCellAnchor editAs="oneCell">
    <xdr:from>
      <xdr:col>12</xdr:col>
      <xdr:colOff>163286</xdr:colOff>
      <xdr:row>7</xdr:row>
      <xdr:rowOff>239486</xdr:rowOff>
    </xdr:from>
    <xdr:to>
      <xdr:col>12</xdr:col>
      <xdr:colOff>1077686</xdr:colOff>
      <xdr:row>9</xdr:row>
      <xdr:rowOff>228600</xdr:rowOff>
    </xdr:to>
    <xdr:pic>
      <xdr:nvPicPr>
        <xdr:cNvPr id="14" name="Gráfico 13" descr="Flecha recta">
          <a:extLst>
            <a:ext uri="{FF2B5EF4-FFF2-40B4-BE49-F238E27FC236}">
              <a16:creationId xmlns:a16="http://schemas.microsoft.com/office/drawing/2014/main" id="{BBA13B79-EC77-42D8-9D12-561E9BC5DB73}"/>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 uri="{96DAC541-7B7A-43D3-8B79-37D633B846F1}">
              <asvg:svgBlip xmlns:asvg="http://schemas.microsoft.com/office/drawing/2016/SVG/main" r:embed="rId9"/>
            </a:ext>
          </a:extLst>
        </a:blip>
        <a:stretch>
          <a:fillRect/>
        </a:stretch>
      </xdr:blipFill>
      <xdr:spPr>
        <a:xfrm>
          <a:off x="14434457" y="1992086"/>
          <a:ext cx="914400" cy="914400"/>
        </a:xfrm>
        <a:prstGeom prst="rect">
          <a:avLst/>
        </a:prstGeom>
      </xdr:spPr>
    </xdr:pic>
    <xdr:clientData/>
  </xdr:twoCellAnchor>
  <xdr:twoCellAnchor editAs="oneCell">
    <xdr:from>
      <xdr:col>0</xdr:col>
      <xdr:colOff>35719</xdr:colOff>
      <xdr:row>0</xdr:row>
      <xdr:rowOff>119063</xdr:rowOff>
    </xdr:from>
    <xdr:to>
      <xdr:col>4</xdr:col>
      <xdr:colOff>757959</xdr:colOff>
      <xdr:row>6</xdr:row>
      <xdr:rowOff>28732</xdr:rowOff>
    </xdr:to>
    <xdr:pic>
      <xdr:nvPicPr>
        <xdr:cNvPr id="6" name="Imagen 5">
          <a:extLst>
            <a:ext uri="{FF2B5EF4-FFF2-40B4-BE49-F238E27FC236}">
              <a16:creationId xmlns:a16="http://schemas.microsoft.com/office/drawing/2014/main" id="{123504AE-8F67-4890-BB18-C11F23333AF7}"/>
            </a:ext>
          </a:extLst>
        </xdr:cNvPr>
        <xdr:cNvPicPr>
          <a:picLocks noChangeAspect="1"/>
        </xdr:cNvPicPr>
      </xdr:nvPicPr>
      <xdr:blipFill>
        <a:blip xmlns:r="http://schemas.openxmlformats.org/officeDocument/2006/relationships" r:embed="rId10"/>
        <a:stretch>
          <a:fillRect/>
        </a:stretch>
      </xdr:blipFill>
      <xdr:spPr>
        <a:xfrm>
          <a:off x="35719" y="119063"/>
          <a:ext cx="5163271" cy="112410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329272</xdr:colOff>
      <xdr:row>25</xdr:row>
      <xdr:rowOff>46870</xdr:rowOff>
    </xdr:from>
    <xdr:to>
      <xdr:col>6</xdr:col>
      <xdr:colOff>1477131</xdr:colOff>
      <xdr:row>40</xdr:row>
      <xdr:rowOff>243416</xdr:rowOff>
    </xdr:to>
    <xdr:graphicFrame macro="">
      <xdr:nvGraphicFramePr>
        <xdr:cNvPr id="2" name="Gráfico 1">
          <a:extLst>
            <a:ext uri="{FF2B5EF4-FFF2-40B4-BE49-F238E27FC236}">
              <a16:creationId xmlns:a16="http://schemas.microsoft.com/office/drawing/2014/main" id="{0F847F52-908E-4D2C-BD48-5B83B637D9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268537</xdr:colOff>
      <xdr:row>85</xdr:row>
      <xdr:rowOff>249552</xdr:rowOff>
    </xdr:from>
    <xdr:to>
      <xdr:col>6</xdr:col>
      <xdr:colOff>1482272</xdr:colOff>
      <xdr:row>101</xdr:row>
      <xdr:rowOff>231624</xdr:rowOff>
    </xdr:to>
    <xdr:graphicFrame macro="">
      <xdr:nvGraphicFramePr>
        <xdr:cNvPr id="3" name="Gráfico 2">
          <a:extLst>
            <a:ext uri="{FF2B5EF4-FFF2-40B4-BE49-F238E27FC236}">
              <a16:creationId xmlns:a16="http://schemas.microsoft.com/office/drawing/2014/main" id="{408A83CA-D293-4809-B1A2-DDF016444CD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381851</xdr:colOff>
      <xdr:row>165</xdr:row>
      <xdr:rowOff>192847</xdr:rowOff>
    </xdr:from>
    <xdr:to>
      <xdr:col>7</xdr:col>
      <xdr:colOff>13607</xdr:colOff>
      <xdr:row>182</xdr:row>
      <xdr:rowOff>190500</xdr:rowOff>
    </xdr:to>
    <xdr:graphicFrame macro="">
      <xdr:nvGraphicFramePr>
        <xdr:cNvPr id="4" name="Gráfico 3">
          <a:extLst>
            <a:ext uri="{FF2B5EF4-FFF2-40B4-BE49-F238E27FC236}">
              <a16:creationId xmlns:a16="http://schemas.microsoft.com/office/drawing/2014/main" id="{A0349B7F-5895-485A-AF20-7ACFD0429C3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233</xdr:row>
      <xdr:rowOff>168561</xdr:rowOff>
    </xdr:from>
    <xdr:to>
      <xdr:col>6</xdr:col>
      <xdr:colOff>1109124</xdr:colOff>
      <xdr:row>249</xdr:row>
      <xdr:rowOff>200782</xdr:rowOff>
    </xdr:to>
    <xdr:graphicFrame macro="">
      <xdr:nvGraphicFramePr>
        <xdr:cNvPr id="5" name="Gráfico 4">
          <a:extLst>
            <a:ext uri="{FF2B5EF4-FFF2-40B4-BE49-F238E27FC236}">
              <a16:creationId xmlns:a16="http://schemas.microsoft.com/office/drawing/2014/main" id="{9204A1F2-2E9B-4AD4-B9DA-E395395A445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239573</xdr:colOff>
      <xdr:row>294</xdr:row>
      <xdr:rowOff>57148</xdr:rowOff>
    </xdr:from>
    <xdr:to>
      <xdr:col>6</xdr:col>
      <xdr:colOff>1437518</xdr:colOff>
      <xdr:row>308</xdr:row>
      <xdr:rowOff>149678</xdr:rowOff>
    </xdr:to>
    <xdr:graphicFrame macro="">
      <xdr:nvGraphicFramePr>
        <xdr:cNvPr id="6" name="Gráfico 5">
          <a:extLst>
            <a:ext uri="{FF2B5EF4-FFF2-40B4-BE49-F238E27FC236}">
              <a16:creationId xmlns:a16="http://schemas.microsoft.com/office/drawing/2014/main" id="{B6A736FD-1DF9-4EE8-8ABC-268101EFED6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76894</xdr:colOff>
      <xdr:row>45</xdr:row>
      <xdr:rowOff>53577</xdr:rowOff>
    </xdr:from>
    <xdr:to>
      <xdr:col>11</xdr:col>
      <xdr:colOff>907426</xdr:colOff>
      <xdr:row>72</xdr:row>
      <xdr:rowOff>34868</xdr:rowOff>
    </xdr:to>
    <xdr:graphicFrame macro="">
      <xdr:nvGraphicFramePr>
        <xdr:cNvPr id="8" name="Gráfico 7">
          <a:extLst>
            <a:ext uri="{FF2B5EF4-FFF2-40B4-BE49-F238E27FC236}">
              <a16:creationId xmlns:a16="http://schemas.microsoft.com/office/drawing/2014/main" id="{CD3BC0B8-0CB7-4859-8BD4-F6ECE7445B7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xdr:col>
      <xdr:colOff>943994</xdr:colOff>
      <xdr:row>109</xdr:row>
      <xdr:rowOff>81028</xdr:rowOff>
    </xdr:from>
    <xdr:to>
      <xdr:col>15</xdr:col>
      <xdr:colOff>232833</xdr:colOff>
      <xdr:row>135</xdr:row>
      <xdr:rowOff>31750</xdr:rowOff>
    </xdr:to>
    <xdr:graphicFrame macro="">
      <xdr:nvGraphicFramePr>
        <xdr:cNvPr id="9" name="Gráfico 8">
          <a:extLst>
            <a:ext uri="{FF2B5EF4-FFF2-40B4-BE49-F238E27FC236}">
              <a16:creationId xmlns:a16="http://schemas.microsoft.com/office/drawing/2014/main" id="{405E5EC8-B69B-4277-A804-5EB6E0CCF8F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269889</xdr:colOff>
      <xdr:row>187</xdr:row>
      <xdr:rowOff>67193</xdr:rowOff>
    </xdr:from>
    <xdr:to>
      <xdr:col>13</xdr:col>
      <xdr:colOff>878416</xdr:colOff>
      <xdr:row>218</xdr:row>
      <xdr:rowOff>365881</xdr:rowOff>
    </xdr:to>
    <xdr:graphicFrame macro="">
      <xdr:nvGraphicFramePr>
        <xdr:cNvPr id="10" name="Gráfico 9">
          <a:extLst>
            <a:ext uri="{FF2B5EF4-FFF2-40B4-BE49-F238E27FC236}">
              <a16:creationId xmlns:a16="http://schemas.microsoft.com/office/drawing/2014/main" id="{38335704-F297-4E0E-9869-7B3570CE15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368003</xdr:colOff>
      <xdr:row>252</xdr:row>
      <xdr:rowOff>78798</xdr:rowOff>
    </xdr:from>
    <xdr:to>
      <xdr:col>12</xdr:col>
      <xdr:colOff>695425</xdr:colOff>
      <xdr:row>280</xdr:row>
      <xdr:rowOff>190023</xdr:rowOff>
    </xdr:to>
    <xdr:graphicFrame macro="">
      <xdr:nvGraphicFramePr>
        <xdr:cNvPr id="11" name="Gráfico 10">
          <a:extLst>
            <a:ext uri="{FF2B5EF4-FFF2-40B4-BE49-F238E27FC236}">
              <a16:creationId xmlns:a16="http://schemas.microsoft.com/office/drawing/2014/main" id="{8CAEE1D5-387E-4626-AB85-6BE14A66A3F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3828</xdr:colOff>
      <xdr:row>315</xdr:row>
      <xdr:rowOff>28913</xdr:rowOff>
    </xdr:from>
    <xdr:to>
      <xdr:col>14</xdr:col>
      <xdr:colOff>781655</xdr:colOff>
      <xdr:row>356</xdr:row>
      <xdr:rowOff>61989</xdr:rowOff>
    </xdr:to>
    <xdr:graphicFrame macro="">
      <xdr:nvGraphicFramePr>
        <xdr:cNvPr id="12" name="Gráfico 11">
          <a:extLst>
            <a:ext uri="{FF2B5EF4-FFF2-40B4-BE49-F238E27FC236}">
              <a16:creationId xmlns:a16="http://schemas.microsoft.com/office/drawing/2014/main" id="{260D33CB-A0B2-4A77-B4E2-4D7DDD874C7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oneCell">
    <xdr:from>
      <xdr:col>24</xdr:col>
      <xdr:colOff>195710</xdr:colOff>
      <xdr:row>1</xdr:row>
      <xdr:rowOff>42012</xdr:rowOff>
    </xdr:from>
    <xdr:to>
      <xdr:col>25</xdr:col>
      <xdr:colOff>718438</xdr:colOff>
      <xdr:row>5</xdr:row>
      <xdr:rowOff>359141</xdr:rowOff>
    </xdr:to>
    <xdr:pic>
      <xdr:nvPicPr>
        <xdr:cNvPr id="14" name="Imagen 13">
          <a:extLst>
            <a:ext uri="{FF2B5EF4-FFF2-40B4-BE49-F238E27FC236}">
              <a16:creationId xmlns:a16="http://schemas.microsoft.com/office/drawing/2014/main" id="{E7EACE38-D0D6-4050-90B1-1145A3B23F46}"/>
            </a:ext>
          </a:extLst>
        </xdr:cNvPr>
        <xdr:cNvPicPr>
          <a:picLocks noChangeAspect="1"/>
        </xdr:cNvPicPr>
      </xdr:nvPicPr>
      <xdr:blipFill rotWithShape="1">
        <a:blip xmlns:r="http://schemas.openxmlformats.org/officeDocument/2006/relationships" r:embed="rId11">
          <a:extLst>
            <a:ext uri="{28A0092B-C50C-407E-A947-70E740481C1C}">
              <a14:useLocalDpi xmlns:a14="http://schemas.microsoft.com/office/drawing/2010/main" val="0"/>
            </a:ext>
          </a:extLst>
        </a:blip>
        <a:srcRect l="77704"/>
        <a:stretch/>
      </xdr:blipFill>
      <xdr:spPr>
        <a:xfrm>
          <a:off x="27458377" y="235536"/>
          <a:ext cx="1381490" cy="1417795"/>
        </a:xfrm>
        <a:prstGeom prst="rect">
          <a:avLst/>
        </a:prstGeom>
      </xdr:spPr>
    </xdr:pic>
    <xdr:clientData/>
  </xdr:twoCellAnchor>
  <xdr:twoCellAnchor>
    <xdr:from>
      <xdr:col>23</xdr:col>
      <xdr:colOff>229812</xdr:colOff>
      <xdr:row>4</xdr:row>
      <xdr:rowOff>193523</xdr:rowOff>
    </xdr:from>
    <xdr:to>
      <xdr:col>26</xdr:col>
      <xdr:colOff>36288</xdr:colOff>
      <xdr:row>5</xdr:row>
      <xdr:rowOff>410029</xdr:rowOff>
    </xdr:to>
    <xdr:grpSp>
      <xdr:nvGrpSpPr>
        <xdr:cNvPr id="15" name="Grupo 14">
          <a:hlinkClick xmlns:r="http://schemas.openxmlformats.org/officeDocument/2006/relationships" r:id="rId12"/>
          <a:extLst>
            <a:ext uri="{FF2B5EF4-FFF2-40B4-BE49-F238E27FC236}">
              <a16:creationId xmlns:a16="http://schemas.microsoft.com/office/drawing/2014/main" id="{6B6DF5D6-D53D-471A-9C0D-1F0B1350A949}"/>
            </a:ext>
          </a:extLst>
        </xdr:cNvPr>
        <xdr:cNvGrpSpPr/>
      </xdr:nvGrpSpPr>
      <xdr:grpSpPr>
        <a:xfrm>
          <a:off x="29226633" y="1064380"/>
          <a:ext cx="2555119" cy="665542"/>
          <a:chOff x="15620999" y="402771"/>
          <a:chExt cx="2503715" cy="664029"/>
        </a:xfrm>
      </xdr:grpSpPr>
      <xdr:pic>
        <xdr:nvPicPr>
          <xdr:cNvPr id="16" name="Gráfico 15" descr="Flecha lineal: giro a la izquierda">
            <a:extLst>
              <a:ext uri="{FF2B5EF4-FFF2-40B4-BE49-F238E27FC236}">
                <a16:creationId xmlns:a16="http://schemas.microsoft.com/office/drawing/2014/main" id="{9841EFCC-11F5-4D52-B646-DE323F2E0387}"/>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 uri="{96DAC541-7B7A-43D3-8B79-37D633B846F1}">
                <asvg:svgBlip xmlns:asvg="http://schemas.microsoft.com/office/drawing/2016/SVG/main" r:embed="rId14"/>
              </a:ext>
            </a:extLst>
          </a:blip>
          <a:stretch>
            <a:fillRect/>
          </a:stretch>
        </xdr:blipFill>
        <xdr:spPr>
          <a:xfrm>
            <a:off x="15620999" y="402771"/>
            <a:ext cx="664029" cy="664029"/>
          </a:xfrm>
          <a:prstGeom prst="rect">
            <a:avLst/>
          </a:prstGeom>
        </xdr:spPr>
      </xdr:pic>
      <xdr:sp macro="" textlink="">
        <xdr:nvSpPr>
          <xdr:cNvPr id="17" name="CuadroTexto 16">
            <a:extLst>
              <a:ext uri="{FF2B5EF4-FFF2-40B4-BE49-F238E27FC236}">
                <a16:creationId xmlns:a16="http://schemas.microsoft.com/office/drawing/2014/main" id="{0E9AAA90-C189-4552-9684-20FC17F42022}"/>
              </a:ext>
            </a:extLst>
          </xdr:cNvPr>
          <xdr:cNvSpPr txBox="1"/>
        </xdr:nvSpPr>
        <xdr:spPr>
          <a:xfrm>
            <a:off x="16306800" y="598714"/>
            <a:ext cx="1817914" cy="2830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200" b="1">
                <a:solidFill>
                  <a:srgbClr val="C00000"/>
                </a:solidFill>
                <a:latin typeface="Arial" panose="020B0604020202020204" pitchFamily="34" charset="0"/>
                <a:cs typeface="Arial" panose="020B0604020202020204" pitchFamily="34" charset="0"/>
              </a:rPr>
              <a:t>Volver a Guía</a:t>
            </a:r>
            <a:r>
              <a:rPr lang="es-CO" sz="1200" b="1" baseline="0">
                <a:solidFill>
                  <a:srgbClr val="C00000"/>
                </a:solidFill>
                <a:latin typeface="Arial" panose="020B0604020202020204" pitchFamily="34" charset="0"/>
                <a:cs typeface="Arial" panose="020B0604020202020204" pitchFamily="34" charset="0"/>
              </a:rPr>
              <a:t> de Uso</a:t>
            </a:r>
            <a:endParaRPr lang="es-CO" sz="1200" b="1">
              <a:solidFill>
                <a:srgbClr val="C00000"/>
              </a:solidFill>
              <a:latin typeface="Arial" panose="020B0604020202020204" pitchFamily="34" charset="0"/>
              <a:cs typeface="Arial" panose="020B0604020202020204" pitchFamily="34" charset="0"/>
            </a:endParaRPr>
          </a:p>
        </xdr:txBody>
      </xdr:sp>
    </xdr:grpSp>
    <xdr:clientData/>
  </xdr:twoCellAnchor>
  <xdr:twoCellAnchor editAs="oneCell">
    <xdr:from>
      <xdr:col>0</xdr:col>
      <xdr:colOff>0</xdr:colOff>
      <xdr:row>1</xdr:row>
      <xdr:rowOff>68035</xdr:rowOff>
    </xdr:from>
    <xdr:to>
      <xdr:col>4</xdr:col>
      <xdr:colOff>713735</xdr:colOff>
      <xdr:row>5</xdr:row>
      <xdr:rowOff>76356</xdr:rowOff>
    </xdr:to>
    <xdr:pic>
      <xdr:nvPicPr>
        <xdr:cNvPr id="7" name="Imagen 6">
          <a:extLst>
            <a:ext uri="{FF2B5EF4-FFF2-40B4-BE49-F238E27FC236}">
              <a16:creationId xmlns:a16="http://schemas.microsoft.com/office/drawing/2014/main" id="{2CA125B1-14A4-4ACB-A8CE-528973E1E77C}"/>
            </a:ext>
          </a:extLst>
        </xdr:cNvPr>
        <xdr:cNvPicPr>
          <a:picLocks noChangeAspect="1"/>
        </xdr:cNvPicPr>
      </xdr:nvPicPr>
      <xdr:blipFill>
        <a:blip xmlns:r="http://schemas.openxmlformats.org/officeDocument/2006/relationships" r:embed="rId15"/>
        <a:stretch>
          <a:fillRect/>
        </a:stretch>
      </xdr:blipFill>
      <xdr:spPr>
        <a:xfrm>
          <a:off x="0" y="272142"/>
          <a:ext cx="5163271" cy="112410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1219200</xdr:colOff>
      <xdr:row>215</xdr:row>
      <xdr:rowOff>89102</xdr:rowOff>
    </xdr:from>
    <xdr:to>
      <xdr:col>4</xdr:col>
      <xdr:colOff>533400</xdr:colOff>
      <xdr:row>243</xdr:row>
      <xdr:rowOff>63500</xdr:rowOff>
    </xdr:to>
    <xdr:graphicFrame macro="">
      <xdr:nvGraphicFramePr>
        <xdr:cNvPr id="2" name="1 Gráfico">
          <a:extLst>
            <a:ext uri="{FF2B5EF4-FFF2-40B4-BE49-F238E27FC236}">
              <a16:creationId xmlns:a16="http://schemas.microsoft.com/office/drawing/2014/main" id="{00000000-0008-0000-03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736798</xdr:colOff>
      <xdr:row>213</xdr:row>
      <xdr:rowOff>66241</xdr:rowOff>
    </xdr:from>
    <xdr:to>
      <xdr:col>23</xdr:col>
      <xdr:colOff>342900</xdr:colOff>
      <xdr:row>242</xdr:row>
      <xdr:rowOff>152400</xdr:rowOff>
    </xdr:to>
    <xdr:graphicFrame macro="">
      <xdr:nvGraphicFramePr>
        <xdr:cNvPr id="3" name="2 Gráfico">
          <a:extLst>
            <a:ext uri="{FF2B5EF4-FFF2-40B4-BE49-F238E27FC236}">
              <a16:creationId xmlns:a16="http://schemas.microsoft.com/office/drawing/2014/main" id="{00000000-0008-0000-03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315912</xdr:colOff>
      <xdr:row>212</xdr:row>
      <xdr:rowOff>143438</xdr:rowOff>
    </xdr:from>
    <xdr:to>
      <xdr:col>14</xdr:col>
      <xdr:colOff>294340</xdr:colOff>
      <xdr:row>242</xdr:row>
      <xdr:rowOff>116681</xdr:rowOff>
    </xdr:to>
    <xdr:graphicFrame macro="">
      <xdr:nvGraphicFramePr>
        <xdr:cNvPr id="4" name="3 Gráfico">
          <a:extLst>
            <a:ext uri="{FF2B5EF4-FFF2-40B4-BE49-F238E27FC236}">
              <a16:creationId xmlns:a16="http://schemas.microsoft.com/office/drawing/2014/main" id="{00000000-0008-0000-03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25</xdr:col>
      <xdr:colOff>100550</xdr:colOff>
      <xdr:row>202</xdr:row>
      <xdr:rowOff>53242</xdr:rowOff>
    </xdr:from>
    <xdr:to>
      <xdr:col>37</xdr:col>
      <xdr:colOff>564653</xdr:colOff>
      <xdr:row>222</xdr:row>
      <xdr:rowOff>67789</xdr:rowOff>
    </xdr:to>
    <xdr:graphicFrame macro="">
      <xdr:nvGraphicFramePr>
        <xdr:cNvPr id="5" name="Gráfico 4">
          <a:extLst>
            <a:ext uri="{FF2B5EF4-FFF2-40B4-BE49-F238E27FC236}">
              <a16:creationId xmlns:a16="http://schemas.microsoft.com/office/drawing/2014/main" id="{13A5482A-3C7E-40FC-8192-4A7BFF12DD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61</xdr:col>
      <xdr:colOff>541018</xdr:colOff>
      <xdr:row>176</xdr:row>
      <xdr:rowOff>65647</xdr:rowOff>
    </xdr:from>
    <xdr:to>
      <xdr:col>76</xdr:col>
      <xdr:colOff>54427</xdr:colOff>
      <xdr:row>197</xdr:row>
      <xdr:rowOff>149679</xdr:rowOff>
    </xdr:to>
    <xdr:graphicFrame macro="">
      <xdr:nvGraphicFramePr>
        <xdr:cNvPr id="6" name="Gráfico 5">
          <a:extLst>
            <a:ext uri="{FF2B5EF4-FFF2-40B4-BE49-F238E27FC236}">
              <a16:creationId xmlns:a16="http://schemas.microsoft.com/office/drawing/2014/main" id="{DEF481E8-EBA8-48C5-AC58-9A95CDF254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41</xdr:col>
      <xdr:colOff>756780</xdr:colOff>
      <xdr:row>213</xdr:row>
      <xdr:rowOff>156574</xdr:rowOff>
    </xdr:from>
    <xdr:to>
      <xdr:col>59</xdr:col>
      <xdr:colOff>548013</xdr:colOff>
      <xdr:row>244</xdr:row>
      <xdr:rowOff>13047</xdr:rowOff>
    </xdr:to>
    <xdr:graphicFrame macro="">
      <xdr:nvGraphicFramePr>
        <xdr:cNvPr id="7" name="Gráfico 6">
          <a:extLst>
            <a:ext uri="{FF2B5EF4-FFF2-40B4-BE49-F238E27FC236}">
              <a16:creationId xmlns:a16="http://schemas.microsoft.com/office/drawing/2014/main" id="{6113A689-B5CC-4DE1-A485-10410852F17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16</xdr:col>
      <xdr:colOff>581414</xdr:colOff>
      <xdr:row>319</xdr:row>
      <xdr:rowOff>111779</xdr:rowOff>
    </xdr:from>
    <xdr:to>
      <xdr:col>27</xdr:col>
      <xdr:colOff>815914</xdr:colOff>
      <xdr:row>344</xdr:row>
      <xdr:rowOff>90580</xdr:rowOff>
    </xdr:to>
    <xdr:graphicFrame macro="">
      <xdr:nvGraphicFramePr>
        <xdr:cNvPr id="11" name="Gráfico 10">
          <a:extLst>
            <a:ext uri="{FF2B5EF4-FFF2-40B4-BE49-F238E27FC236}">
              <a16:creationId xmlns:a16="http://schemas.microsoft.com/office/drawing/2014/main" id="{DEE6D90B-8455-4308-B48E-A5AB6D586E9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28</xdr:col>
      <xdr:colOff>202237</xdr:colOff>
      <xdr:row>319</xdr:row>
      <xdr:rowOff>138630</xdr:rowOff>
    </xdr:from>
    <xdr:to>
      <xdr:col>40</xdr:col>
      <xdr:colOff>246237</xdr:colOff>
      <xdr:row>344</xdr:row>
      <xdr:rowOff>126032</xdr:rowOff>
    </xdr:to>
    <xdr:graphicFrame macro="">
      <xdr:nvGraphicFramePr>
        <xdr:cNvPr id="12" name="Gráfico 11">
          <a:extLst>
            <a:ext uri="{FF2B5EF4-FFF2-40B4-BE49-F238E27FC236}">
              <a16:creationId xmlns:a16="http://schemas.microsoft.com/office/drawing/2014/main" id="{800DD522-F5CB-43F1-824E-BD9A14FA486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41</xdr:col>
      <xdr:colOff>121278</xdr:colOff>
      <xdr:row>322</xdr:row>
      <xdr:rowOff>15875</xdr:rowOff>
    </xdr:from>
    <xdr:to>
      <xdr:col>51</xdr:col>
      <xdr:colOff>164496</xdr:colOff>
      <xdr:row>344</xdr:row>
      <xdr:rowOff>146890</xdr:rowOff>
    </xdr:to>
    <xdr:graphicFrame macro="">
      <xdr:nvGraphicFramePr>
        <xdr:cNvPr id="13" name="Gráfico 12">
          <a:extLst>
            <a:ext uri="{FF2B5EF4-FFF2-40B4-BE49-F238E27FC236}">
              <a16:creationId xmlns:a16="http://schemas.microsoft.com/office/drawing/2014/main" id="{597E74C9-0B4C-48B4-8E6F-74F68B5D845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17</xdr:col>
      <xdr:colOff>174625</xdr:colOff>
      <xdr:row>350</xdr:row>
      <xdr:rowOff>47625</xdr:rowOff>
    </xdr:from>
    <xdr:to>
      <xdr:col>27</xdr:col>
      <xdr:colOff>670694</xdr:colOff>
      <xdr:row>375</xdr:row>
      <xdr:rowOff>11289</xdr:rowOff>
    </xdr:to>
    <xdr:graphicFrame macro="">
      <xdr:nvGraphicFramePr>
        <xdr:cNvPr id="14" name="Gráfico 13">
          <a:extLst>
            <a:ext uri="{FF2B5EF4-FFF2-40B4-BE49-F238E27FC236}">
              <a16:creationId xmlns:a16="http://schemas.microsoft.com/office/drawing/2014/main" id="{A906082E-BD4A-458F-828C-20B0C495B0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28</xdr:col>
      <xdr:colOff>587375</xdr:colOff>
      <xdr:row>350</xdr:row>
      <xdr:rowOff>15875</xdr:rowOff>
    </xdr:from>
    <xdr:to>
      <xdr:col>40</xdr:col>
      <xdr:colOff>226194</xdr:colOff>
      <xdr:row>374</xdr:row>
      <xdr:rowOff>138290</xdr:rowOff>
    </xdr:to>
    <xdr:graphicFrame macro="">
      <xdr:nvGraphicFramePr>
        <xdr:cNvPr id="15" name="Gráfico 14">
          <a:extLst>
            <a:ext uri="{FF2B5EF4-FFF2-40B4-BE49-F238E27FC236}">
              <a16:creationId xmlns:a16="http://schemas.microsoft.com/office/drawing/2014/main" id="{30AD1887-3C17-44FD-A266-27543CB9F8C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41</xdr:col>
      <xdr:colOff>174625</xdr:colOff>
      <xdr:row>350</xdr:row>
      <xdr:rowOff>15875</xdr:rowOff>
    </xdr:from>
    <xdr:to>
      <xdr:col>50</xdr:col>
      <xdr:colOff>448444</xdr:colOff>
      <xdr:row>372</xdr:row>
      <xdr:rowOff>138291</xdr:rowOff>
    </xdr:to>
    <xdr:graphicFrame macro="">
      <xdr:nvGraphicFramePr>
        <xdr:cNvPr id="16" name="Gráfico 15">
          <a:extLst>
            <a:ext uri="{FF2B5EF4-FFF2-40B4-BE49-F238E27FC236}">
              <a16:creationId xmlns:a16="http://schemas.microsoft.com/office/drawing/2014/main" id="{356B9B2C-1D47-4632-929D-C8D4E5E9B28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17</xdr:col>
      <xdr:colOff>67064</xdr:colOff>
      <xdr:row>290</xdr:row>
      <xdr:rowOff>41929</xdr:rowOff>
    </xdr:from>
    <xdr:to>
      <xdr:col>27</xdr:col>
      <xdr:colOff>968314</xdr:colOff>
      <xdr:row>315</xdr:row>
      <xdr:rowOff>20730</xdr:rowOff>
    </xdr:to>
    <xdr:graphicFrame macro="">
      <xdr:nvGraphicFramePr>
        <xdr:cNvPr id="8" name="Gráfico 7">
          <a:extLst>
            <a:ext uri="{FF2B5EF4-FFF2-40B4-BE49-F238E27FC236}">
              <a16:creationId xmlns:a16="http://schemas.microsoft.com/office/drawing/2014/main" id="{9BD3E43A-6012-48CC-9B9F-0EEB2B83E2C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28</xdr:col>
      <xdr:colOff>354637</xdr:colOff>
      <xdr:row>290</xdr:row>
      <xdr:rowOff>68780</xdr:rowOff>
    </xdr:from>
    <xdr:to>
      <xdr:col>40</xdr:col>
      <xdr:colOff>398637</xdr:colOff>
      <xdr:row>315</xdr:row>
      <xdr:rowOff>56182</xdr:rowOff>
    </xdr:to>
    <xdr:graphicFrame macro="">
      <xdr:nvGraphicFramePr>
        <xdr:cNvPr id="9" name="Gráfico 8">
          <a:extLst>
            <a:ext uri="{FF2B5EF4-FFF2-40B4-BE49-F238E27FC236}">
              <a16:creationId xmlns:a16="http://schemas.microsoft.com/office/drawing/2014/main" id="{D8DA544C-CF66-4020-B4C7-4979CEEE640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41</xdr:col>
      <xdr:colOff>273678</xdr:colOff>
      <xdr:row>292</xdr:row>
      <xdr:rowOff>104775</xdr:rowOff>
    </xdr:from>
    <xdr:to>
      <xdr:col>51</xdr:col>
      <xdr:colOff>316896</xdr:colOff>
      <xdr:row>315</xdr:row>
      <xdr:rowOff>77040</xdr:rowOff>
    </xdr:to>
    <xdr:graphicFrame macro="">
      <xdr:nvGraphicFramePr>
        <xdr:cNvPr id="10" name="Gráfico 9">
          <a:extLst>
            <a:ext uri="{FF2B5EF4-FFF2-40B4-BE49-F238E27FC236}">
              <a16:creationId xmlns:a16="http://schemas.microsoft.com/office/drawing/2014/main" id="{DCD2E88C-D83C-4473-A968-05B7045FEFF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41</xdr:col>
      <xdr:colOff>25400</xdr:colOff>
      <xdr:row>178</xdr:row>
      <xdr:rowOff>12736</xdr:rowOff>
    </xdr:from>
    <xdr:to>
      <xdr:col>49</xdr:col>
      <xdr:colOff>76200</xdr:colOff>
      <xdr:row>211</xdr:row>
      <xdr:rowOff>-1</xdr:rowOff>
    </xdr:to>
    <xdr:graphicFrame macro="">
      <xdr:nvGraphicFramePr>
        <xdr:cNvPr id="2" name="1 Gráfico">
          <a:extLst>
            <a:ext uri="{FF2B5EF4-FFF2-40B4-BE49-F238E27FC236}">
              <a16:creationId xmlns:a16="http://schemas.microsoft.com/office/drawing/2014/main" id="{00000000-0008-0000-04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610894</xdr:colOff>
      <xdr:row>213</xdr:row>
      <xdr:rowOff>4669</xdr:rowOff>
    </xdr:from>
    <xdr:to>
      <xdr:col>15</xdr:col>
      <xdr:colOff>335547</xdr:colOff>
      <xdr:row>235</xdr:row>
      <xdr:rowOff>0</xdr:rowOff>
    </xdr:to>
    <xdr:graphicFrame macro="">
      <xdr:nvGraphicFramePr>
        <xdr:cNvPr id="5" name="4 Gráfico">
          <a:extLst>
            <a:ext uri="{FF2B5EF4-FFF2-40B4-BE49-F238E27FC236}">
              <a16:creationId xmlns:a16="http://schemas.microsoft.com/office/drawing/2014/main" id="{00000000-0008-0000-04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829141</xdr:colOff>
      <xdr:row>212</xdr:row>
      <xdr:rowOff>84344</xdr:rowOff>
    </xdr:from>
    <xdr:to>
      <xdr:col>8</xdr:col>
      <xdr:colOff>655052</xdr:colOff>
      <xdr:row>234</xdr:row>
      <xdr:rowOff>104941</xdr:rowOff>
    </xdr:to>
    <xdr:graphicFrame macro="">
      <xdr:nvGraphicFramePr>
        <xdr:cNvPr id="4" name="3 Gráfico">
          <a:extLst>
            <a:ext uri="{FF2B5EF4-FFF2-40B4-BE49-F238E27FC236}">
              <a16:creationId xmlns:a16="http://schemas.microsoft.com/office/drawing/2014/main" id="{00000000-0008-0000-04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57</xdr:col>
      <xdr:colOff>460663</xdr:colOff>
      <xdr:row>202</xdr:row>
      <xdr:rowOff>6196</xdr:rowOff>
    </xdr:from>
    <xdr:to>
      <xdr:col>72</xdr:col>
      <xdr:colOff>628650</xdr:colOff>
      <xdr:row>233</xdr:row>
      <xdr:rowOff>114299</xdr:rowOff>
    </xdr:to>
    <xdr:graphicFrame macro="">
      <xdr:nvGraphicFramePr>
        <xdr:cNvPr id="6" name="Gráfico 5">
          <a:extLst>
            <a:ext uri="{FF2B5EF4-FFF2-40B4-BE49-F238E27FC236}">
              <a16:creationId xmlns:a16="http://schemas.microsoft.com/office/drawing/2014/main" id="{2754AF51-3BC3-4EF8-A734-5896F1BFB51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57</xdr:col>
      <xdr:colOff>25400</xdr:colOff>
      <xdr:row>253</xdr:row>
      <xdr:rowOff>34882</xdr:rowOff>
    </xdr:from>
    <xdr:to>
      <xdr:col>84</xdr:col>
      <xdr:colOff>222250</xdr:colOff>
      <xdr:row>284</xdr:row>
      <xdr:rowOff>63500</xdr:rowOff>
    </xdr:to>
    <xdr:graphicFrame macro="">
      <xdr:nvGraphicFramePr>
        <xdr:cNvPr id="8" name="Gráfico 7">
          <a:extLst>
            <a:ext uri="{FF2B5EF4-FFF2-40B4-BE49-F238E27FC236}">
              <a16:creationId xmlns:a16="http://schemas.microsoft.com/office/drawing/2014/main" id="{518812F8-5C26-422B-ACBF-D353D1A9053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57</xdr:col>
      <xdr:colOff>19049</xdr:colOff>
      <xdr:row>303</xdr:row>
      <xdr:rowOff>100011</xdr:rowOff>
    </xdr:from>
    <xdr:to>
      <xdr:col>84</xdr:col>
      <xdr:colOff>357187</xdr:colOff>
      <xdr:row>340</xdr:row>
      <xdr:rowOff>119061</xdr:rowOff>
    </xdr:to>
    <xdr:graphicFrame macro="">
      <xdr:nvGraphicFramePr>
        <xdr:cNvPr id="9" name="Gráfico 8">
          <a:extLst>
            <a:ext uri="{FF2B5EF4-FFF2-40B4-BE49-F238E27FC236}">
              <a16:creationId xmlns:a16="http://schemas.microsoft.com/office/drawing/2014/main" id="{10F446FF-3767-4629-97B6-06647C5973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5</xdr:col>
      <xdr:colOff>84963</xdr:colOff>
      <xdr:row>293</xdr:row>
      <xdr:rowOff>18746</xdr:rowOff>
    </xdr:from>
    <xdr:to>
      <xdr:col>12</xdr:col>
      <xdr:colOff>55563</xdr:colOff>
      <xdr:row>321</xdr:row>
      <xdr:rowOff>95250</xdr:rowOff>
    </xdr:to>
    <xdr:graphicFrame macro="">
      <xdr:nvGraphicFramePr>
        <xdr:cNvPr id="2" name="1 Gráfico">
          <a:extLst>
            <a:ext uri="{FF2B5EF4-FFF2-40B4-BE49-F238E27FC236}">
              <a16:creationId xmlns:a16="http://schemas.microsoft.com/office/drawing/2014/main" id="{00000000-0008-0000-05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12061</xdr:colOff>
      <xdr:row>210</xdr:row>
      <xdr:rowOff>59070</xdr:rowOff>
    </xdr:from>
    <xdr:to>
      <xdr:col>18</xdr:col>
      <xdr:colOff>46089</xdr:colOff>
      <xdr:row>230</xdr:row>
      <xdr:rowOff>15363</xdr:rowOff>
    </xdr:to>
    <xdr:graphicFrame macro="">
      <xdr:nvGraphicFramePr>
        <xdr:cNvPr id="3" name="2 Gráfico">
          <a:extLst>
            <a:ext uri="{FF2B5EF4-FFF2-40B4-BE49-F238E27FC236}">
              <a16:creationId xmlns:a16="http://schemas.microsoft.com/office/drawing/2014/main" id="{00000000-0008-0000-05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128522</xdr:colOff>
      <xdr:row>210</xdr:row>
      <xdr:rowOff>16805</xdr:rowOff>
    </xdr:from>
    <xdr:to>
      <xdr:col>11</xdr:col>
      <xdr:colOff>-1</xdr:colOff>
      <xdr:row>230</xdr:row>
      <xdr:rowOff>107540</xdr:rowOff>
    </xdr:to>
    <xdr:graphicFrame macro="">
      <xdr:nvGraphicFramePr>
        <xdr:cNvPr id="4" name="3 Gráfico">
          <a:extLst>
            <a:ext uri="{FF2B5EF4-FFF2-40B4-BE49-F238E27FC236}">
              <a16:creationId xmlns:a16="http://schemas.microsoft.com/office/drawing/2014/main" id="{00000000-0008-0000-05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30727</xdr:colOff>
      <xdr:row>244</xdr:row>
      <xdr:rowOff>30726</xdr:rowOff>
    </xdr:from>
    <xdr:to>
      <xdr:col>15</xdr:col>
      <xdr:colOff>727996</xdr:colOff>
      <xdr:row>274</xdr:row>
      <xdr:rowOff>12350</xdr:rowOff>
    </xdr:to>
    <xdr:graphicFrame macro="">
      <xdr:nvGraphicFramePr>
        <xdr:cNvPr id="8" name="Gráfico 7">
          <a:extLst>
            <a:ext uri="{FF2B5EF4-FFF2-40B4-BE49-F238E27FC236}">
              <a16:creationId xmlns:a16="http://schemas.microsoft.com/office/drawing/2014/main" id="{1282E5EB-D9F2-418A-9635-35D1DEF84F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41</xdr:col>
      <xdr:colOff>657707</xdr:colOff>
      <xdr:row>177</xdr:row>
      <xdr:rowOff>85512</xdr:rowOff>
    </xdr:from>
    <xdr:to>
      <xdr:col>50</xdr:col>
      <xdr:colOff>831271</xdr:colOff>
      <xdr:row>204</xdr:row>
      <xdr:rowOff>86591</xdr:rowOff>
    </xdr:to>
    <xdr:graphicFrame macro="">
      <xdr:nvGraphicFramePr>
        <xdr:cNvPr id="2" name="1 Gráfico">
          <a:extLst>
            <a:ext uri="{FF2B5EF4-FFF2-40B4-BE49-F238E27FC236}">
              <a16:creationId xmlns:a16="http://schemas.microsoft.com/office/drawing/2014/main" id="{00000000-0008-0000-06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131530</xdr:colOff>
      <xdr:row>210</xdr:row>
      <xdr:rowOff>70340</xdr:rowOff>
    </xdr:from>
    <xdr:to>
      <xdr:col>10</xdr:col>
      <xdr:colOff>351293</xdr:colOff>
      <xdr:row>234</xdr:row>
      <xdr:rowOff>161174</xdr:rowOff>
    </xdr:to>
    <xdr:graphicFrame macro="">
      <xdr:nvGraphicFramePr>
        <xdr:cNvPr id="4" name="3 Gráfico">
          <a:extLst>
            <a:ext uri="{FF2B5EF4-FFF2-40B4-BE49-F238E27FC236}">
              <a16:creationId xmlns:a16="http://schemas.microsoft.com/office/drawing/2014/main" id="{00000000-0008-0000-06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19</xdr:col>
      <xdr:colOff>776376</xdr:colOff>
      <xdr:row>210</xdr:row>
      <xdr:rowOff>102331</xdr:rowOff>
    </xdr:from>
    <xdr:to>
      <xdr:col>26</xdr:col>
      <xdr:colOff>232963</xdr:colOff>
      <xdr:row>234</xdr:row>
      <xdr:rowOff>112453</xdr:rowOff>
    </xdr:to>
    <xdr:graphicFrame macro="">
      <xdr:nvGraphicFramePr>
        <xdr:cNvPr id="3" name="2 Gráfico">
          <a:extLst>
            <a:ext uri="{FF2B5EF4-FFF2-40B4-BE49-F238E27FC236}">
              <a16:creationId xmlns:a16="http://schemas.microsoft.com/office/drawing/2014/main" id="{00000000-0008-0000-06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0</xdr:colOff>
      <xdr:row>247</xdr:row>
      <xdr:rowOff>0</xdr:rowOff>
    </xdr:from>
    <xdr:to>
      <xdr:col>17</xdr:col>
      <xdr:colOff>762959</xdr:colOff>
      <xdr:row>276</xdr:row>
      <xdr:rowOff>135253</xdr:rowOff>
    </xdr:to>
    <xdr:graphicFrame macro="">
      <xdr:nvGraphicFramePr>
        <xdr:cNvPr id="5" name="Gráfico 4">
          <a:extLst>
            <a:ext uri="{FF2B5EF4-FFF2-40B4-BE49-F238E27FC236}">
              <a16:creationId xmlns:a16="http://schemas.microsoft.com/office/drawing/2014/main" id="{4412E5DD-7F44-4BF8-A9C4-A107529A8ED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27</xdr:col>
      <xdr:colOff>748414</xdr:colOff>
      <xdr:row>219</xdr:row>
      <xdr:rowOff>111794</xdr:rowOff>
    </xdr:from>
    <xdr:to>
      <xdr:col>34</xdr:col>
      <xdr:colOff>775655</xdr:colOff>
      <xdr:row>244</xdr:row>
      <xdr:rowOff>30982</xdr:rowOff>
    </xdr:to>
    <xdr:graphicFrame macro="">
      <xdr:nvGraphicFramePr>
        <xdr:cNvPr id="2" name="1 Gráfico">
          <a:extLst>
            <a:ext uri="{FF2B5EF4-FFF2-40B4-BE49-F238E27FC236}">
              <a16:creationId xmlns:a16="http://schemas.microsoft.com/office/drawing/2014/main" id="{00000000-0008-0000-0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399473</xdr:colOff>
      <xdr:row>212</xdr:row>
      <xdr:rowOff>96696</xdr:rowOff>
    </xdr:from>
    <xdr:to>
      <xdr:col>16</xdr:col>
      <xdr:colOff>408214</xdr:colOff>
      <xdr:row>243</xdr:row>
      <xdr:rowOff>136071</xdr:rowOff>
    </xdr:to>
    <xdr:graphicFrame macro="">
      <xdr:nvGraphicFramePr>
        <xdr:cNvPr id="3" name="2 Gráfico">
          <a:extLst>
            <a:ext uri="{FF2B5EF4-FFF2-40B4-BE49-F238E27FC236}">
              <a16:creationId xmlns:a16="http://schemas.microsoft.com/office/drawing/2014/main" id="{00000000-0008-0000-0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17</xdr:col>
      <xdr:colOff>181428</xdr:colOff>
      <xdr:row>212</xdr:row>
      <xdr:rowOff>119376</xdr:rowOff>
    </xdr:from>
    <xdr:to>
      <xdr:col>26</xdr:col>
      <xdr:colOff>612321</xdr:colOff>
      <xdr:row>244</xdr:row>
      <xdr:rowOff>22679</xdr:rowOff>
    </xdr:to>
    <xdr:graphicFrame macro="">
      <xdr:nvGraphicFramePr>
        <xdr:cNvPr id="4" name="3 Gráfico">
          <a:extLst>
            <a:ext uri="{FF2B5EF4-FFF2-40B4-BE49-F238E27FC236}">
              <a16:creationId xmlns:a16="http://schemas.microsoft.com/office/drawing/2014/main" id="{00000000-0008-0000-07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0</xdr:colOff>
      <xdr:row>258</xdr:row>
      <xdr:rowOff>0</xdr:rowOff>
    </xdr:from>
    <xdr:to>
      <xdr:col>18</xdr:col>
      <xdr:colOff>265668</xdr:colOff>
      <xdr:row>287</xdr:row>
      <xdr:rowOff>150136</xdr:rowOff>
    </xdr:to>
    <xdr:graphicFrame macro="">
      <xdr:nvGraphicFramePr>
        <xdr:cNvPr id="5" name="Gráfico 4">
          <a:extLst>
            <a:ext uri="{FF2B5EF4-FFF2-40B4-BE49-F238E27FC236}">
              <a16:creationId xmlns:a16="http://schemas.microsoft.com/office/drawing/2014/main" id="{7E4AEE11-EBBA-445F-9566-703A555CDD7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featurePropertyBag/featurePropertyBag.xml><?xml version="1.0" encoding="utf-8"?>
<FeaturePropertyBags xmlns="http://schemas.microsoft.com/office/spreadsheetml/2022/featurepropertybag">
  <bag type="Checkbox"/>
  <bag type="XFControls">
    <bagId k="CellControl">0</bagId>
  </bag>
  <bag type="XFComplement">
    <bagId k="XFControls">1</bagId>
  </bag>
  <bag type="XFComplements" extRef="XFComplementsMapperExtRef">
    <a k="MappedFeaturePropertyBags">
      <bagId>2</bagId>
    </a>
  </bag>
</FeaturePropertyBag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63E6A883-EBAB-44D4-A990-A8A9CA13B2B0}" name="Tabla1" displayName="Tabla1" ref="D398:N403" totalsRowShown="0" dataDxfId="112">
  <tableColumns count="11">
    <tableColumn id="1" xr3:uid="{7F079F1A-C4A0-48A7-97FC-E1F61E745075}" name=" " dataDxfId="111"/>
    <tableColumn id="2" xr3:uid="{8E4F83F7-B195-41B1-AF9F-BCC2F43AD0A3}" name="2016" dataDxfId="110"/>
    <tableColumn id="3" xr3:uid="{CE2768BF-5F3D-4DE2-9776-941EBA1E90BF}" name="2017" dataDxfId="109"/>
    <tableColumn id="4" xr3:uid="{58F42CF1-24AA-4D45-A6F7-7E7D988ABDAF}" name="2018" dataDxfId="108"/>
    <tableColumn id="5" xr3:uid="{1106D694-F953-497F-8769-0F3275BF0174}" name="2019" dataDxfId="107"/>
    <tableColumn id="6" xr3:uid="{8B4ECCD1-4D57-4586-9A24-1CAA5E3E6632}" name="2020" dataDxfId="106"/>
    <tableColumn id="7" xr3:uid="{C11EA575-1007-45F1-A6D2-39F86F77F8BC}" name="2021" dataDxfId="105"/>
    <tableColumn id="8" xr3:uid="{0855E71D-E927-47F7-8F93-439560F6994B}" name="2022" dataDxfId="104"/>
    <tableColumn id="9" xr3:uid="{E831925C-5601-4FB0-8663-D7AF1B5A4133}" name="2023" dataDxfId="103"/>
    <tableColumn id="10" xr3:uid="{3030DCE8-FDEC-425C-B51A-3931E2BF7D9A}" name="2024" dataDxfId="102"/>
    <tableColumn id="11" xr3:uid="{47E32C41-B6E3-431E-96CF-4D519470A4C6}" name="2025" dataDxfId="101"/>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D71DAAA1-24BE-410E-9341-66F90FA9DB16}" name="Tabla13" displayName="Tabla13" ref="P397:Z402" totalsRowShown="0" dataDxfId="100">
  <tableColumns count="11">
    <tableColumn id="1" xr3:uid="{38FDFD3D-685E-4158-803D-D6516868C94D}" name=" " dataDxfId="99"/>
    <tableColumn id="2" xr3:uid="{DE40C34C-63E5-4B49-87D1-9950FD46086A}" name="2016" dataDxfId="98"/>
    <tableColumn id="3" xr3:uid="{912ADDBE-E7AC-494D-9A57-AD93CDBD60E9}" name="2017" dataDxfId="97"/>
    <tableColumn id="4" xr3:uid="{366856BC-14CE-45BF-8214-DFBB355D39B7}" name="2018" dataDxfId="96"/>
    <tableColumn id="5" xr3:uid="{0EE54EDB-432D-4C02-AAD0-40CDE40D092C}" name="2019" dataDxfId="95"/>
    <tableColumn id="6" xr3:uid="{1D15ADFF-E3A6-43F7-9E01-4820EE58A06E}" name="2020" dataDxfId="94"/>
    <tableColumn id="7" xr3:uid="{9383A0EB-07D9-4E69-9D9A-FF95C262E07E}" name="2021" dataDxfId="93"/>
    <tableColumn id="8" xr3:uid="{C8D190E3-5204-4ED4-803F-AC1BE495A477}" name="2022" dataDxfId="92"/>
    <tableColumn id="9" xr3:uid="{B630AC4E-F5B8-4DA6-A900-20A303621F43}" name="2023" dataDxfId="91"/>
    <tableColumn id="10" xr3:uid="{4F404861-F596-4E57-B45A-AB33E985D69D}" name="2024" dataDxfId="90"/>
    <tableColumn id="11" xr3:uid="{B780AA93-E559-4C1D-876E-83D5DFFC3153}" name="2025" dataDxfId="89"/>
  </tableColumns>
  <tableStyleInfo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8.xml"/><Relationship Id="rId1" Type="http://schemas.openxmlformats.org/officeDocument/2006/relationships/printerSettings" Target="../printerSettings/printerSettings10.bin"/><Relationship Id="rId4" Type="http://schemas.openxmlformats.org/officeDocument/2006/relationships/comments" Target="../comments4.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table" Target="../tables/table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5.xml"/><Relationship Id="rId1" Type="http://schemas.openxmlformats.org/officeDocument/2006/relationships/printerSettings" Target="../printerSettings/printerSettings7.bin"/><Relationship Id="rId4" Type="http://schemas.openxmlformats.org/officeDocument/2006/relationships/comments" Target="../comments1.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6.xml"/><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7.xml"/><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704CA1-B909-4AFE-8AD7-70BDFB88276F}">
  <sheetPr>
    <tabColor rgb="FFC00000"/>
  </sheetPr>
  <dimension ref="A1:Q52"/>
  <sheetViews>
    <sheetView tabSelected="1" workbookViewId="0">
      <selection activeCell="C30" sqref="C30"/>
    </sheetView>
  </sheetViews>
  <sheetFormatPr baseColWidth="10" defaultColWidth="12.5703125" defaultRowHeight="15.75" x14ac:dyDescent="0.25"/>
  <cols>
    <col min="1" max="1" width="3.7109375" style="116" customWidth="1"/>
    <col min="2" max="2" width="12.5703125" style="116"/>
    <col min="3" max="3" width="29.7109375" style="116" customWidth="1"/>
    <col min="4" max="4" width="15.85546875" style="116" customWidth="1"/>
    <col min="5" max="5" width="22.140625" style="116" customWidth="1"/>
    <col min="6" max="6" width="14" style="116" customWidth="1"/>
    <col min="7" max="7" width="23.42578125" style="116" customWidth="1"/>
    <col min="8" max="8" width="16.85546875" style="116" customWidth="1"/>
    <col min="9" max="9" width="8.140625" style="116" customWidth="1"/>
    <col min="10" max="10" width="3.7109375" style="116" customWidth="1"/>
    <col min="11" max="11" width="12.85546875" style="116" customWidth="1"/>
    <col min="12" max="12" width="36" style="116" bestFit="1" customWidth="1"/>
    <col min="13" max="13" width="16.28515625" style="116" customWidth="1"/>
    <col min="14" max="16384" width="12.5703125" style="116"/>
  </cols>
  <sheetData>
    <row r="1" spans="1:17" x14ac:dyDescent="0.25">
      <c r="A1" s="98"/>
      <c r="B1" s="98"/>
      <c r="C1" s="98"/>
      <c r="D1" s="98"/>
      <c r="E1" s="98"/>
      <c r="F1" s="98"/>
      <c r="G1" s="98"/>
      <c r="H1" s="98"/>
      <c r="I1" s="98"/>
      <c r="J1" s="98"/>
      <c r="K1" s="98"/>
      <c r="L1" s="98"/>
      <c r="M1" s="98"/>
      <c r="N1" s="98"/>
      <c r="O1" s="98"/>
      <c r="P1" s="98"/>
      <c r="Q1" s="98"/>
    </row>
    <row r="2" spans="1:17" x14ac:dyDescent="0.25">
      <c r="A2" s="98"/>
      <c r="B2" s="98"/>
      <c r="C2" s="98"/>
      <c r="D2" s="98"/>
      <c r="E2" s="98"/>
      <c r="F2" s="98"/>
      <c r="G2" s="98"/>
      <c r="H2" s="98"/>
      <c r="I2" s="98"/>
      <c r="J2" s="98"/>
      <c r="K2" s="98"/>
      <c r="L2" s="98"/>
      <c r="M2" s="98"/>
      <c r="N2" s="98"/>
      <c r="O2" s="98"/>
      <c r="P2" s="98"/>
      <c r="Q2" s="98"/>
    </row>
    <row r="3" spans="1:17" x14ac:dyDescent="0.25">
      <c r="A3" s="98"/>
      <c r="B3" s="98"/>
      <c r="C3" s="98"/>
      <c r="D3" s="98"/>
      <c r="E3" s="98"/>
      <c r="F3" s="98"/>
      <c r="G3" s="98"/>
      <c r="H3" s="98"/>
      <c r="I3" s="98"/>
      <c r="J3" s="98"/>
      <c r="K3" s="98"/>
      <c r="L3" s="98"/>
      <c r="M3" s="98"/>
      <c r="N3" s="98"/>
      <c r="O3" s="98"/>
      <c r="P3" s="98"/>
      <c r="Q3" s="98"/>
    </row>
    <row r="4" spans="1:17" x14ac:dyDescent="0.25">
      <c r="A4" s="98"/>
      <c r="B4" s="98"/>
      <c r="C4" s="98"/>
      <c r="D4" s="98"/>
      <c r="E4" s="98"/>
      <c r="F4" s="98"/>
      <c r="G4" s="98"/>
      <c r="H4" s="98"/>
      <c r="I4" s="98"/>
      <c r="J4" s="98"/>
      <c r="K4" s="98"/>
      <c r="L4" s="98"/>
      <c r="M4" s="98"/>
      <c r="N4" s="98"/>
      <c r="O4" s="98"/>
      <c r="P4" s="98"/>
      <c r="Q4" s="98"/>
    </row>
    <row r="5" spans="1:17" ht="20.25" x14ac:dyDescent="0.3">
      <c r="A5" s="98"/>
      <c r="B5" s="98"/>
      <c r="C5" s="98"/>
      <c r="D5" s="98"/>
      <c r="E5" s="1030" t="s">
        <v>849</v>
      </c>
      <c r="F5" s="1030"/>
      <c r="G5" s="1030"/>
      <c r="H5" s="1030"/>
      <c r="I5" s="1030"/>
      <c r="J5" s="1030"/>
      <c r="K5" s="1030"/>
      <c r="L5" s="1030"/>
      <c r="M5" s="98"/>
      <c r="N5" s="98"/>
      <c r="O5" s="98"/>
      <c r="P5" s="98"/>
      <c r="Q5" s="98"/>
    </row>
    <row r="6" spans="1:17" ht="20.25" x14ac:dyDescent="0.3">
      <c r="A6" s="98"/>
      <c r="B6" s="98"/>
      <c r="C6" s="98"/>
      <c r="D6" s="98"/>
      <c r="E6" s="1030" t="s">
        <v>951</v>
      </c>
      <c r="F6" s="1030"/>
      <c r="G6" s="1030"/>
      <c r="H6" s="1030"/>
      <c r="I6" s="1030"/>
      <c r="J6" s="1030"/>
      <c r="K6" s="1030"/>
      <c r="L6" s="1030"/>
      <c r="M6" s="98"/>
      <c r="N6" s="98"/>
      <c r="O6" s="98"/>
      <c r="P6" s="98"/>
      <c r="Q6" s="98"/>
    </row>
    <row r="7" spans="1:17" ht="20.25" x14ac:dyDescent="0.25">
      <c r="A7" s="98"/>
      <c r="B7" s="1031"/>
      <c r="C7" s="1031"/>
      <c r="D7" s="1031"/>
      <c r="E7" s="1031"/>
      <c r="F7" s="1031"/>
      <c r="G7" s="1031"/>
      <c r="H7" s="1031"/>
      <c r="I7" s="1031"/>
      <c r="J7" s="1031"/>
      <c r="K7" s="1031"/>
      <c r="L7" s="1031"/>
      <c r="M7" s="1031"/>
      <c r="N7" s="1031"/>
      <c r="O7" s="1031"/>
      <c r="P7" s="1031"/>
      <c r="Q7" s="98"/>
    </row>
    <row r="8" spans="1:17" ht="3.6" customHeight="1" x14ac:dyDescent="0.25">
      <c r="A8" s="98"/>
      <c r="B8" s="98"/>
      <c r="C8" s="98"/>
      <c r="D8" s="98"/>
      <c r="E8" s="98"/>
      <c r="F8" s="98"/>
      <c r="G8" s="98"/>
      <c r="H8" s="98"/>
      <c r="I8" s="98"/>
      <c r="J8" s="98"/>
      <c r="K8" s="98"/>
      <c r="L8" s="98"/>
      <c r="M8" s="98"/>
      <c r="N8" s="98"/>
      <c r="O8" s="98"/>
      <c r="P8" s="98"/>
      <c r="Q8" s="98"/>
    </row>
    <row r="9" spans="1:17" ht="72.599999999999994" customHeight="1" x14ac:dyDescent="0.25">
      <c r="A9" s="98"/>
      <c r="B9" s="380"/>
      <c r="C9" s="1032" t="s">
        <v>965</v>
      </c>
      <c r="D9" s="1032"/>
      <c r="E9" s="1032"/>
      <c r="F9" s="1032"/>
      <c r="G9" s="1032"/>
      <c r="H9" s="1032"/>
      <c r="I9" s="1032"/>
      <c r="J9" s="1032"/>
      <c r="K9" s="1032"/>
      <c r="L9" s="1032"/>
      <c r="M9" s="1032"/>
      <c r="N9" s="1032"/>
      <c r="O9" s="1032"/>
      <c r="P9" s="1032"/>
      <c r="Q9" s="98"/>
    </row>
    <row r="10" spans="1:17" ht="45" customHeight="1" x14ac:dyDescent="0.25">
      <c r="A10" s="98"/>
      <c r="B10" s="238"/>
      <c r="C10" s="1032" t="s">
        <v>874</v>
      </c>
      <c r="D10" s="1032"/>
      <c r="E10" s="1032"/>
      <c r="F10" s="1032"/>
      <c r="G10" s="1032"/>
      <c r="H10" s="1032"/>
      <c r="I10" s="1032"/>
      <c r="J10" s="1032"/>
      <c r="K10" s="1032"/>
      <c r="L10" s="1032"/>
      <c r="M10" s="1032"/>
      <c r="N10" s="1032"/>
      <c r="O10" s="1032"/>
      <c r="P10" s="380"/>
      <c r="Q10" s="98"/>
    </row>
    <row r="11" spans="1:17" ht="27.75" customHeight="1" x14ac:dyDescent="0.25">
      <c r="A11" s="98"/>
      <c r="B11" s="238"/>
      <c r="C11" s="382" t="s">
        <v>875</v>
      </c>
      <c r="D11" s="380"/>
      <c r="E11" s="380"/>
      <c r="F11" s="380"/>
      <c r="G11" s="380"/>
      <c r="H11" s="380"/>
      <c r="I11" s="380"/>
      <c r="J11" s="380"/>
      <c r="K11" s="380"/>
      <c r="L11" s="380"/>
      <c r="M11" s="380"/>
      <c r="N11" s="380"/>
      <c r="O11" s="380"/>
      <c r="P11" s="98"/>
      <c r="Q11" s="98"/>
    </row>
    <row r="12" spans="1:17" ht="66.75" customHeight="1" x14ac:dyDescent="0.25">
      <c r="A12" s="98"/>
      <c r="B12" s="238"/>
      <c r="C12" s="1034" t="s">
        <v>966</v>
      </c>
      <c r="D12" s="1034"/>
      <c r="E12" s="1034"/>
      <c r="F12" s="1034"/>
      <c r="G12" s="1034"/>
      <c r="H12" s="1034"/>
      <c r="I12" s="1034"/>
      <c r="J12" s="1034"/>
      <c r="K12" s="1034"/>
      <c r="L12" s="1034"/>
      <c r="M12" s="1034"/>
      <c r="N12" s="1034"/>
      <c r="O12" s="1034"/>
      <c r="P12" s="1034"/>
      <c r="Q12" s="98"/>
    </row>
    <row r="13" spans="1:17" ht="32.25" customHeight="1" x14ac:dyDescent="0.25">
      <c r="A13" s="98"/>
      <c r="B13" s="238"/>
      <c r="C13" s="1037" t="s">
        <v>876</v>
      </c>
      <c r="D13" s="1032"/>
      <c r="E13" s="1032"/>
      <c r="F13" s="1032"/>
      <c r="G13" s="1032"/>
      <c r="H13" s="1032"/>
      <c r="I13" s="1032"/>
      <c r="J13" s="1032"/>
      <c r="K13" s="1032"/>
      <c r="L13" s="1032"/>
      <c r="M13" s="1032"/>
      <c r="N13" s="1032"/>
      <c r="O13" s="1032"/>
      <c r="P13" s="98"/>
      <c r="Q13" s="98"/>
    </row>
    <row r="14" spans="1:17" ht="50.45" customHeight="1" x14ac:dyDescent="0.3">
      <c r="A14" s="98"/>
      <c r="B14" s="101"/>
      <c r="C14" s="1032" t="s">
        <v>967</v>
      </c>
      <c r="D14" s="1032"/>
      <c r="E14" s="1032"/>
      <c r="F14" s="1032"/>
      <c r="G14" s="1032"/>
      <c r="H14" s="1032"/>
      <c r="I14" s="1032"/>
      <c r="J14" s="1032"/>
      <c r="K14" s="1032"/>
      <c r="L14" s="1032"/>
      <c r="M14" s="1032"/>
      <c r="N14" s="1032"/>
      <c r="O14" s="1032"/>
      <c r="P14" s="1032"/>
      <c r="Q14" s="98"/>
    </row>
    <row r="15" spans="1:17" ht="35.25" customHeight="1" x14ac:dyDescent="0.3">
      <c r="A15" s="98"/>
      <c r="B15" s="101"/>
      <c r="C15" s="1004"/>
      <c r="D15" s="1004"/>
      <c r="E15" s="1004"/>
      <c r="F15" s="1004"/>
      <c r="G15" s="1004"/>
      <c r="H15" s="1004"/>
      <c r="I15" s="1004"/>
      <c r="J15" s="1004"/>
      <c r="K15" s="1004"/>
      <c r="L15" s="1004"/>
      <c r="M15" s="1004"/>
      <c r="N15" s="1004"/>
      <c r="O15" s="1004"/>
      <c r="P15" s="1004"/>
      <c r="Q15" s="98"/>
    </row>
    <row r="16" spans="1:17" ht="29.45" customHeight="1" x14ac:dyDescent="0.25">
      <c r="A16" s="98"/>
      <c r="B16" s="381"/>
      <c r="C16" s="1033" t="s">
        <v>877</v>
      </c>
      <c r="D16" s="1032"/>
      <c r="E16" s="1032"/>
      <c r="F16" s="1032"/>
      <c r="G16" s="1032"/>
      <c r="H16" s="1032"/>
      <c r="I16" s="1032"/>
      <c r="J16" s="1032"/>
      <c r="K16" s="1032"/>
      <c r="L16" s="1032"/>
      <c r="M16" s="1032"/>
      <c r="N16" s="1032"/>
      <c r="O16" s="1032"/>
      <c r="P16" s="98"/>
      <c r="Q16" s="98"/>
    </row>
    <row r="17" spans="1:17" ht="45" customHeight="1" x14ac:dyDescent="0.25">
      <c r="A17" s="98"/>
      <c r="B17" s="381"/>
      <c r="C17" s="1032" t="s">
        <v>968</v>
      </c>
      <c r="D17" s="1032"/>
      <c r="E17" s="1032"/>
      <c r="F17" s="1032"/>
      <c r="G17" s="1032"/>
      <c r="H17" s="1032"/>
      <c r="I17" s="1032"/>
      <c r="J17" s="1032"/>
      <c r="K17" s="1032"/>
      <c r="L17" s="1032"/>
      <c r="M17" s="1032"/>
      <c r="N17" s="1032"/>
      <c r="O17" s="1032"/>
      <c r="P17" s="1032"/>
      <c r="Q17" s="98"/>
    </row>
    <row r="18" spans="1:17" ht="31.9" customHeight="1" x14ac:dyDescent="0.25">
      <c r="A18" s="98"/>
      <c r="B18" s="378"/>
      <c r="C18" s="1038" t="s">
        <v>878</v>
      </c>
      <c r="D18" s="1032"/>
      <c r="E18" s="1032"/>
      <c r="F18" s="1032"/>
      <c r="G18" s="1032"/>
      <c r="H18" s="1032"/>
      <c r="I18" s="1032"/>
      <c r="J18" s="1032"/>
      <c r="K18" s="1032"/>
      <c r="L18" s="1032"/>
      <c r="M18" s="1032"/>
      <c r="N18" s="1032"/>
      <c r="O18" s="1032"/>
      <c r="P18" s="98"/>
      <c r="Q18" s="98"/>
    </row>
    <row r="19" spans="1:17" ht="31.9" customHeight="1" x14ac:dyDescent="0.25">
      <c r="A19" s="98"/>
      <c r="B19" s="378"/>
      <c r="C19" s="1032" t="s">
        <v>969</v>
      </c>
      <c r="D19" s="1032"/>
      <c r="E19" s="1032"/>
      <c r="F19" s="1032"/>
      <c r="G19" s="1032"/>
      <c r="H19" s="1032"/>
      <c r="I19" s="1032"/>
      <c r="J19" s="1032"/>
      <c r="K19" s="1032"/>
      <c r="L19" s="1032"/>
      <c r="M19" s="1032"/>
      <c r="N19" s="1032"/>
      <c r="O19" s="1032"/>
      <c r="P19" s="1032"/>
      <c r="Q19" s="98"/>
    </row>
    <row r="20" spans="1:17" ht="39" customHeight="1" x14ac:dyDescent="0.25">
      <c r="A20" s="98"/>
      <c r="B20" s="188"/>
      <c r="C20" s="1039" t="s">
        <v>879</v>
      </c>
      <c r="D20" s="1032"/>
      <c r="E20" s="1032"/>
      <c r="F20" s="1032"/>
      <c r="G20" s="1032"/>
      <c r="H20" s="1032"/>
      <c r="I20" s="1032"/>
      <c r="J20" s="1032"/>
      <c r="K20" s="1032"/>
      <c r="L20" s="1032"/>
      <c r="M20" s="1032"/>
      <c r="N20" s="1032"/>
      <c r="O20" s="1032"/>
      <c r="P20" s="98"/>
      <c r="Q20" s="98"/>
    </row>
    <row r="21" spans="1:17" ht="39" customHeight="1" x14ac:dyDescent="0.25">
      <c r="A21" s="98"/>
      <c r="B21" s="188"/>
      <c r="C21" s="1032" t="s">
        <v>970</v>
      </c>
      <c r="D21" s="1032"/>
      <c r="E21" s="1032"/>
      <c r="F21" s="1032"/>
      <c r="G21" s="1032"/>
      <c r="H21" s="1032"/>
      <c r="I21" s="1032"/>
      <c r="J21" s="1032"/>
      <c r="K21" s="1032"/>
      <c r="L21" s="1032"/>
      <c r="M21" s="1032"/>
      <c r="N21" s="1032"/>
      <c r="O21" s="1032"/>
      <c r="P21" s="1032"/>
      <c r="Q21" s="98"/>
    </row>
    <row r="22" spans="1:17" ht="38.450000000000003" customHeight="1" x14ac:dyDescent="0.25">
      <c r="A22" s="98"/>
      <c r="B22" s="188"/>
      <c r="C22" s="1036" t="s">
        <v>880</v>
      </c>
      <c r="D22" s="1032"/>
      <c r="E22" s="1032"/>
      <c r="F22" s="1032"/>
      <c r="G22" s="1032"/>
      <c r="H22" s="1032"/>
      <c r="I22" s="1032"/>
      <c r="J22" s="1032"/>
      <c r="K22" s="1032"/>
      <c r="L22" s="1032"/>
      <c r="M22" s="1032"/>
      <c r="N22" s="1032"/>
      <c r="O22" s="1032"/>
      <c r="P22" s="98"/>
      <c r="Q22" s="98"/>
    </row>
    <row r="23" spans="1:17" ht="44.45" customHeight="1" x14ac:dyDescent="0.25">
      <c r="A23" s="98"/>
      <c r="B23" s="188"/>
      <c r="C23" s="1032" t="s">
        <v>971</v>
      </c>
      <c r="D23" s="1032"/>
      <c r="E23" s="1032"/>
      <c r="F23" s="1032"/>
      <c r="G23" s="1032"/>
      <c r="H23" s="1032"/>
      <c r="I23" s="1032"/>
      <c r="J23" s="1032"/>
      <c r="K23" s="1032"/>
      <c r="L23" s="1032"/>
      <c r="M23" s="1032"/>
      <c r="N23" s="1032"/>
      <c r="O23" s="1032"/>
      <c r="P23" s="1032"/>
      <c r="Q23" s="98"/>
    </row>
    <row r="24" spans="1:17" s="1020" customFormat="1" ht="21.75" customHeight="1" x14ac:dyDescent="0.2">
      <c r="A24" s="1018"/>
      <c r="B24" s="1019"/>
      <c r="C24" s="1035" t="s">
        <v>881</v>
      </c>
      <c r="D24" s="1034"/>
      <c r="E24" s="1034"/>
      <c r="F24" s="1034"/>
      <c r="G24" s="1034"/>
      <c r="H24" s="1034"/>
      <c r="I24" s="1034"/>
      <c r="J24" s="1034"/>
      <c r="K24" s="1034"/>
      <c r="L24" s="1034"/>
      <c r="M24" s="1034"/>
      <c r="N24" s="1034"/>
      <c r="O24" s="1034"/>
      <c r="P24" s="1018"/>
      <c r="Q24" s="1018"/>
    </row>
    <row r="25" spans="1:17" ht="44.45" customHeight="1" x14ac:dyDescent="0.25">
      <c r="A25" s="98"/>
      <c r="B25" s="188"/>
      <c r="C25" s="1032" t="s">
        <v>972</v>
      </c>
      <c r="D25" s="1032"/>
      <c r="E25" s="1032"/>
      <c r="F25" s="1032"/>
      <c r="G25" s="1032"/>
      <c r="H25" s="1032"/>
      <c r="I25" s="1032"/>
      <c r="J25" s="1032"/>
      <c r="K25" s="1032"/>
      <c r="L25" s="1032"/>
      <c r="M25" s="1032"/>
      <c r="N25" s="1032"/>
      <c r="O25" s="1032"/>
      <c r="P25" s="1032"/>
      <c r="Q25" s="98"/>
    </row>
    <row r="26" spans="1:17" ht="44.45" customHeight="1" x14ac:dyDescent="0.25">
      <c r="A26" s="98"/>
      <c r="B26" s="1005"/>
      <c r="C26" s="1036" t="s">
        <v>975</v>
      </c>
      <c r="D26" s="1032"/>
      <c r="E26" s="1032"/>
      <c r="F26" s="1032"/>
      <c r="G26" s="1032"/>
      <c r="H26" s="1032"/>
      <c r="I26" s="1032"/>
      <c r="J26" s="1032"/>
      <c r="K26" s="1032"/>
      <c r="L26" s="1032"/>
      <c r="M26" s="1032"/>
      <c r="N26" s="1032"/>
      <c r="O26" s="1032"/>
      <c r="P26" s="1004"/>
      <c r="Q26" s="98"/>
    </row>
    <row r="27" spans="1:17" ht="39" customHeight="1" x14ac:dyDescent="0.3">
      <c r="A27" s="101"/>
      <c r="B27" s="188"/>
      <c r="C27" s="1032" t="s">
        <v>973</v>
      </c>
      <c r="D27" s="1032"/>
      <c r="E27" s="1032"/>
      <c r="F27" s="1032"/>
      <c r="G27" s="1032"/>
      <c r="H27" s="1032"/>
      <c r="I27" s="1032"/>
      <c r="J27" s="1032"/>
      <c r="K27" s="1032"/>
      <c r="L27" s="1032"/>
      <c r="M27" s="1032"/>
      <c r="N27" s="1032"/>
      <c r="O27" s="1032"/>
      <c r="P27" s="1032"/>
      <c r="Q27" s="98"/>
    </row>
    <row r="28" spans="1:17" ht="38.450000000000003" customHeight="1" x14ac:dyDescent="0.25">
      <c r="A28" s="98"/>
      <c r="B28" s="188"/>
      <c r="C28" s="1036" t="s">
        <v>882</v>
      </c>
      <c r="D28" s="1032"/>
      <c r="E28" s="1032"/>
      <c r="F28" s="1032"/>
      <c r="G28" s="1032"/>
      <c r="H28" s="1032"/>
      <c r="I28" s="1032"/>
      <c r="J28" s="1032"/>
      <c r="K28" s="1032"/>
      <c r="L28" s="1032"/>
      <c r="M28" s="1032"/>
      <c r="N28" s="1032"/>
      <c r="O28" s="1032"/>
      <c r="P28" s="98"/>
      <c r="Q28" s="98"/>
    </row>
    <row r="29" spans="1:17" ht="39" customHeight="1" x14ac:dyDescent="0.25">
      <c r="A29" s="98"/>
      <c r="B29" s="188"/>
      <c r="C29" s="1032" t="s">
        <v>974</v>
      </c>
      <c r="D29" s="1032"/>
      <c r="E29" s="1032"/>
      <c r="F29" s="1032"/>
      <c r="G29" s="1032"/>
      <c r="H29" s="1032"/>
      <c r="I29" s="1032"/>
      <c r="J29" s="1032"/>
      <c r="K29" s="1032"/>
      <c r="L29" s="1032"/>
      <c r="M29" s="1032"/>
      <c r="N29" s="1032"/>
      <c r="O29" s="1032"/>
      <c r="P29" s="1032"/>
      <c r="Q29" s="98"/>
    </row>
    <row r="30" spans="1:17" ht="18" customHeight="1" x14ac:dyDescent="0.25">
      <c r="A30" s="98"/>
      <c r="B30" s="188"/>
      <c r="C30" s="379"/>
      <c r="D30" s="379"/>
      <c r="E30" s="379"/>
      <c r="F30" s="98"/>
      <c r="G30" s="98"/>
      <c r="H30" s="117"/>
      <c r="I30" s="117"/>
      <c r="J30" s="117"/>
      <c r="K30" s="98"/>
      <c r="L30" s="98"/>
      <c r="M30" s="98"/>
      <c r="N30" s="98"/>
      <c r="O30" s="98"/>
      <c r="P30" s="98"/>
      <c r="Q30" s="98"/>
    </row>
    <row r="31" spans="1:17" ht="20.25" x14ac:dyDescent="0.25">
      <c r="A31" s="98"/>
      <c r="B31" s="188"/>
      <c r="C31" s="379"/>
      <c r="D31" s="379"/>
      <c r="E31" s="379"/>
      <c r="F31" s="98"/>
      <c r="G31" s="98"/>
      <c r="H31" s="98"/>
      <c r="I31" s="98"/>
      <c r="J31" s="98"/>
      <c r="K31" s="98"/>
      <c r="L31" s="98"/>
      <c r="M31" s="98"/>
      <c r="N31" s="98"/>
      <c r="O31" s="98"/>
      <c r="P31" s="98"/>
      <c r="Q31" s="98"/>
    </row>
    <row r="32" spans="1:17" ht="20.25" x14ac:dyDescent="0.25">
      <c r="A32" s="98"/>
      <c r="B32" s="188"/>
      <c r="C32" s="379"/>
      <c r="D32" s="379"/>
      <c r="E32" s="379"/>
      <c r="F32" s="98"/>
      <c r="G32" s="98"/>
      <c r="H32" s="98"/>
      <c r="I32" s="98"/>
      <c r="J32" s="98"/>
      <c r="K32" s="98"/>
      <c r="L32" s="98"/>
      <c r="M32" s="98"/>
      <c r="N32" s="98"/>
      <c r="O32" s="98"/>
      <c r="P32" s="98"/>
      <c r="Q32" s="98"/>
    </row>
    <row r="33" spans="1:17" x14ac:dyDescent="0.25">
      <c r="A33" s="98"/>
      <c r="B33" s="98"/>
      <c r="C33" s="98"/>
      <c r="D33" s="98"/>
      <c r="E33" s="98"/>
      <c r="F33" s="98"/>
      <c r="G33" s="98"/>
      <c r="H33" s="1040"/>
      <c r="I33" s="1040"/>
      <c r="J33" s="1040"/>
      <c r="K33" s="98"/>
      <c r="L33" s="98"/>
      <c r="M33" s="98"/>
      <c r="N33" s="98"/>
      <c r="O33" s="98"/>
      <c r="P33" s="98"/>
      <c r="Q33" s="98"/>
    </row>
    <row r="34" spans="1:17" ht="15.75" customHeight="1" x14ac:dyDescent="0.25">
      <c r="A34" s="98"/>
      <c r="B34" s="98"/>
      <c r="C34" s="98"/>
      <c r="D34" s="98"/>
      <c r="E34" s="98"/>
      <c r="F34" s="98"/>
      <c r="G34" s="98"/>
      <c r="H34" s="1040"/>
      <c r="I34" s="1040"/>
      <c r="J34" s="1040"/>
      <c r="K34" s="1041"/>
      <c r="L34" s="1041"/>
      <c r="M34" s="1041"/>
      <c r="N34" s="98"/>
      <c r="O34" s="98"/>
      <c r="P34" s="98"/>
      <c r="Q34" s="98"/>
    </row>
    <row r="35" spans="1:17" ht="20.25" customHeight="1" x14ac:dyDescent="0.25">
      <c r="A35" s="98"/>
      <c r="B35" s="98"/>
      <c r="C35" s="98"/>
      <c r="D35" s="98"/>
      <c r="E35" s="98"/>
      <c r="F35" s="98"/>
      <c r="G35" s="98"/>
      <c r="H35" s="1040"/>
      <c r="I35" s="1040"/>
      <c r="J35" s="1040"/>
      <c r="K35" s="376"/>
      <c r="L35" s="376"/>
      <c r="M35" s="376"/>
      <c r="N35" s="98"/>
      <c r="O35" s="98"/>
      <c r="P35" s="98"/>
      <c r="Q35" s="98"/>
    </row>
    <row r="36" spans="1:17" ht="21.75" customHeight="1" x14ac:dyDescent="0.25">
      <c r="A36" s="98"/>
      <c r="B36" s="376"/>
      <c r="C36" s="376"/>
      <c r="D36" s="98"/>
      <c r="E36" s="98"/>
      <c r="F36" s="98"/>
      <c r="G36" s="98"/>
      <c r="H36" s="1040"/>
      <c r="I36" s="1040"/>
      <c r="J36" s="1040"/>
      <c r="K36" s="188"/>
      <c r="L36" s="187"/>
      <c r="M36" s="187"/>
      <c r="N36" s="98"/>
      <c r="O36" s="98"/>
      <c r="P36" s="98"/>
      <c r="Q36" s="98"/>
    </row>
    <row r="37" spans="1:17" ht="19.5" customHeight="1" x14ac:dyDescent="0.25">
      <c r="A37" s="98"/>
      <c r="B37" s="1041"/>
      <c r="C37" s="1041"/>
      <c r="D37" s="376"/>
      <c r="E37" s="98"/>
      <c r="F37" s="98"/>
      <c r="G37" s="98"/>
      <c r="H37" s="1040"/>
      <c r="I37" s="1040"/>
      <c r="J37" s="1040"/>
      <c r="K37" s="188"/>
      <c r="L37" s="187"/>
      <c r="M37" s="187"/>
      <c r="N37" s="98"/>
      <c r="O37" s="98"/>
      <c r="P37" s="98"/>
      <c r="Q37" s="98"/>
    </row>
    <row r="38" spans="1:17" ht="20.25" x14ac:dyDescent="0.25">
      <c r="A38" s="98"/>
      <c r="B38" s="376"/>
      <c r="C38" s="376"/>
      <c r="D38" s="376"/>
      <c r="E38" s="98"/>
      <c r="F38" s="98"/>
      <c r="G38" s="98"/>
      <c r="H38" s="1040"/>
      <c r="I38" s="1040"/>
      <c r="J38" s="1040"/>
      <c r="K38" s="188"/>
      <c r="L38" s="187"/>
      <c r="M38" s="187"/>
      <c r="N38" s="98"/>
      <c r="O38" s="98"/>
      <c r="P38" s="98"/>
      <c r="Q38" s="98"/>
    </row>
    <row r="39" spans="1:17" ht="20.25" x14ac:dyDescent="0.25">
      <c r="A39" s="98"/>
      <c r="B39" s="188"/>
      <c r="C39" s="187"/>
      <c r="D39" s="187"/>
      <c r="E39" s="98"/>
      <c r="F39" s="98"/>
      <c r="G39" s="98"/>
      <c r="H39" s="1040"/>
      <c r="I39" s="1040"/>
      <c r="J39" s="1040"/>
      <c r="K39" s="188"/>
      <c r="L39" s="187"/>
      <c r="M39" s="187"/>
      <c r="N39" s="98"/>
      <c r="O39" s="98"/>
      <c r="P39" s="98"/>
      <c r="Q39" s="98"/>
    </row>
    <row r="40" spans="1:17" ht="20.25" x14ac:dyDescent="0.25">
      <c r="A40" s="98"/>
      <c r="B40" s="188"/>
      <c r="C40" s="188"/>
      <c r="D40" s="187"/>
      <c r="E40" s="98"/>
      <c r="F40" s="98"/>
      <c r="G40" s="98"/>
      <c r="H40" s="98"/>
      <c r="I40" s="98"/>
      <c r="J40" s="98"/>
      <c r="K40" s="188"/>
      <c r="L40" s="187"/>
      <c r="M40" s="187"/>
      <c r="N40" s="98"/>
      <c r="O40" s="98"/>
      <c r="P40" s="98"/>
      <c r="Q40" s="98"/>
    </row>
    <row r="41" spans="1:17" ht="20.25" x14ac:dyDescent="0.25">
      <c r="A41" s="98"/>
      <c r="B41" s="188"/>
      <c r="C41" s="187"/>
      <c r="D41" s="187"/>
      <c r="E41" s="98"/>
      <c r="F41" s="98"/>
      <c r="G41" s="98"/>
      <c r="H41" s="98"/>
      <c r="I41" s="98"/>
      <c r="J41" s="98"/>
      <c r="K41" s="188"/>
      <c r="L41" s="187"/>
      <c r="M41" s="187"/>
      <c r="N41" s="98"/>
      <c r="O41" s="98"/>
      <c r="P41" s="98"/>
      <c r="Q41" s="98"/>
    </row>
    <row r="42" spans="1:17" ht="20.25" x14ac:dyDescent="0.25">
      <c r="A42" s="98"/>
      <c r="B42" s="188"/>
      <c r="C42" s="188"/>
      <c r="D42" s="187"/>
      <c r="E42" s="98"/>
      <c r="F42" s="98"/>
      <c r="G42" s="98"/>
      <c r="H42" s="98"/>
      <c r="I42" s="98"/>
      <c r="J42" s="98"/>
      <c r="K42" s="188"/>
      <c r="L42" s="187"/>
      <c r="M42" s="187"/>
      <c r="N42" s="98"/>
      <c r="O42" s="98"/>
      <c r="P42" s="98"/>
      <c r="Q42" s="98"/>
    </row>
    <row r="43" spans="1:17" ht="20.25" x14ac:dyDescent="0.25">
      <c r="A43" s="98"/>
      <c r="B43" s="188"/>
      <c r="C43" s="187"/>
      <c r="D43" s="187"/>
      <c r="E43" s="98"/>
      <c r="F43" s="98"/>
      <c r="G43" s="98"/>
      <c r="H43" s="98"/>
      <c r="I43" s="98"/>
      <c r="J43" s="98"/>
      <c r="K43" s="188"/>
      <c r="L43" s="187"/>
      <c r="M43" s="187"/>
      <c r="N43" s="98"/>
      <c r="O43" s="98"/>
      <c r="P43" s="98"/>
      <c r="Q43" s="98"/>
    </row>
    <row r="44" spans="1:17" ht="20.25" x14ac:dyDescent="0.25">
      <c r="A44" s="98"/>
      <c r="B44" s="188"/>
      <c r="C44" s="187"/>
      <c r="D44" s="187"/>
      <c r="E44" s="98"/>
      <c r="F44" s="98"/>
      <c r="G44" s="98"/>
      <c r="H44" s="98"/>
      <c r="I44" s="98"/>
      <c r="J44" s="98"/>
      <c r="K44" s="188"/>
      <c r="L44" s="187"/>
      <c r="M44" s="187"/>
      <c r="N44" s="98"/>
      <c r="O44" s="98"/>
      <c r="P44" s="98"/>
      <c r="Q44" s="98"/>
    </row>
    <row r="45" spans="1:17" ht="20.25" x14ac:dyDescent="0.25">
      <c r="A45" s="98"/>
      <c r="B45" s="188"/>
      <c r="C45" s="187"/>
      <c r="D45" s="187"/>
      <c r="E45" s="98"/>
      <c r="F45" s="98"/>
      <c r="G45" s="98"/>
      <c r="H45" s="98"/>
      <c r="I45" s="98"/>
      <c r="J45" s="98"/>
      <c r="K45" s="98"/>
      <c r="L45" s="98"/>
      <c r="M45" s="98"/>
      <c r="N45" s="98"/>
      <c r="O45" s="98"/>
      <c r="P45" s="98"/>
      <c r="Q45" s="98"/>
    </row>
    <row r="46" spans="1:17" ht="20.25" x14ac:dyDescent="0.25">
      <c r="A46" s="98"/>
      <c r="B46" s="188"/>
      <c r="C46" s="187"/>
      <c r="D46" s="187"/>
      <c r="E46" s="98"/>
      <c r="F46" s="98"/>
      <c r="G46" s="98"/>
      <c r="H46" s="98"/>
      <c r="I46" s="98"/>
      <c r="J46" s="98"/>
      <c r="K46" s="98"/>
      <c r="L46" s="98"/>
      <c r="M46" s="98"/>
      <c r="N46" s="98"/>
      <c r="O46" s="98"/>
      <c r="P46" s="98"/>
      <c r="Q46" s="98"/>
    </row>
    <row r="47" spans="1:17" x14ac:dyDescent="0.25">
      <c r="A47" s="98"/>
      <c r="B47" s="98"/>
      <c r="C47" s="98"/>
      <c r="D47" s="98"/>
      <c r="E47" s="98"/>
      <c r="F47" s="98"/>
      <c r="G47" s="98"/>
      <c r="H47" s="98"/>
      <c r="I47" s="98"/>
      <c r="J47" s="98"/>
      <c r="K47" s="98"/>
      <c r="L47" s="98"/>
      <c r="M47" s="98"/>
      <c r="N47" s="98"/>
      <c r="O47" s="98"/>
      <c r="P47" s="98"/>
      <c r="Q47" s="98"/>
    </row>
    <row r="48" spans="1:17" x14ac:dyDescent="0.25">
      <c r="A48" s="98"/>
      <c r="B48" s="98"/>
      <c r="C48" s="98"/>
      <c r="D48" s="98"/>
      <c r="E48" s="98"/>
      <c r="F48" s="98"/>
      <c r="G48" s="98"/>
      <c r="H48" s="98"/>
      <c r="I48" s="98"/>
      <c r="J48" s="98"/>
      <c r="K48" s="98"/>
      <c r="L48" s="98"/>
      <c r="M48" s="98"/>
      <c r="N48" s="98"/>
      <c r="O48" s="98"/>
      <c r="P48" s="98"/>
      <c r="Q48" s="98"/>
    </row>
    <row r="49" spans="1:17" x14ac:dyDescent="0.25">
      <c r="A49" s="98"/>
      <c r="B49" s="98"/>
      <c r="C49" s="98"/>
      <c r="D49" s="98"/>
      <c r="E49" s="98"/>
      <c r="F49" s="98"/>
      <c r="G49" s="98"/>
      <c r="H49" s="98"/>
      <c r="I49" s="98"/>
      <c r="J49" s="98"/>
      <c r="K49" s="98"/>
      <c r="L49" s="98"/>
      <c r="M49" s="98"/>
      <c r="N49" s="98"/>
      <c r="O49" s="98"/>
      <c r="P49" s="98"/>
      <c r="Q49" s="98"/>
    </row>
    <row r="50" spans="1:17" x14ac:dyDescent="0.25">
      <c r="A50" s="98"/>
      <c r="B50" s="98"/>
      <c r="C50" s="98"/>
      <c r="D50" s="98"/>
      <c r="E50" s="98"/>
      <c r="F50" s="98"/>
      <c r="G50" s="98"/>
      <c r="H50" s="98"/>
      <c r="I50" s="98"/>
      <c r="J50" s="98"/>
      <c r="K50" s="98"/>
      <c r="L50" s="98"/>
      <c r="M50" s="98"/>
      <c r="N50" s="98"/>
      <c r="O50" s="98"/>
      <c r="P50" s="98"/>
      <c r="Q50" s="98"/>
    </row>
    <row r="51" spans="1:17" x14ac:dyDescent="0.25">
      <c r="A51" s="98"/>
      <c r="B51" s="98"/>
      <c r="C51" s="98"/>
      <c r="D51" s="98"/>
      <c r="E51" s="98"/>
      <c r="F51" s="98"/>
      <c r="G51" s="98"/>
      <c r="H51" s="98"/>
      <c r="I51" s="98"/>
      <c r="J51" s="98"/>
      <c r="K51" s="98"/>
      <c r="L51" s="98"/>
      <c r="M51" s="98"/>
      <c r="N51" s="98"/>
      <c r="O51" s="98"/>
      <c r="P51" s="98"/>
      <c r="Q51" s="98"/>
    </row>
    <row r="52" spans="1:17" ht="20.25" customHeight="1" x14ac:dyDescent="0.25">
      <c r="A52" s="98"/>
      <c r="B52" s="1029" t="s">
        <v>152</v>
      </c>
      <c r="C52" s="1029"/>
      <c r="D52" s="1029"/>
      <c r="E52" s="1029"/>
      <c r="F52" s="1029"/>
      <c r="G52" s="1029"/>
      <c r="H52" s="1029"/>
      <c r="I52" s="1029"/>
      <c r="J52" s="1029"/>
      <c r="K52" s="1029"/>
      <c r="L52" s="1029"/>
      <c r="M52" s="1029"/>
      <c r="N52" s="1029"/>
      <c r="O52" s="1029"/>
      <c r="P52" s="1029"/>
      <c r="Q52" s="1029"/>
    </row>
  </sheetData>
  <mergeCells count="26">
    <mergeCell ref="C18:O18"/>
    <mergeCell ref="C20:O20"/>
    <mergeCell ref="C22:O22"/>
    <mergeCell ref="H33:J39"/>
    <mergeCell ref="K34:M34"/>
    <mergeCell ref="B37:C37"/>
    <mergeCell ref="C25:P25"/>
    <mergeCell ref="C27:P27"/>
    <mergeCell ref="C29:P29"/>
    <mergeCell ref="C26:O26"/>
    <mergeCell ref="B52:Q52"/>
    <mergeCell ref="E6:L6"/>
    <mergeCell ref="E5:L5"/>
    <mergeCell ref="B7:P7"/>
    <mergeCell ref="C10:O10"/>
    <mergeCell ref="C16:O16"/>
    <mergeCell ref="C9:P9"/>
    <mergeCell ref="C12:P12"/>
    <mergeCell ref="C14:P14"/>
    <mergeCell ref="C17:P17"/>
    <mergeCell ref="C19:P19"/>
    <mergeCell ref="C21:P21"/>
    <mergeCell ref="C23:P23"/>
    <mergeCell ref="C24:O24"/>
    <mergeCell ref="C28:O28"/>
    <mergeCell ref="C13:O13"/>
  </mergeCells>
  <pageMargins left="0.39370078740157483" right="0.39370078740157483" top="0.39370078740157483" bottom="0.39370078740157483" header="0.31496062992125984" footer="0.31496062992125984"/>
  <pageSetup scale="75"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9">
    <pageSetUpPr autoPageBreaks="0"/>
  </sheetPr>
  <dimension ref="A1:LT244"/>
  <sheetViews>
    <sheetView topLeftCell="KJ5" zoomScale="80" zoomScaleNormal="80" workbookViewId="0">
      <pane ySplit="1" topLeftCell="A6" activePane="bottomLeft" state="frozen"/>
      <selection activeCell="A5" sqref="A5"/>
      <selection pane="bottomLeft" activeCell="LI11" sqref="LI11:LJ11"/>
    </sheetView>
  </sheetViews>
  <sheetFormatPr baseColWidth="10" defaultColWidth="9.140625" defaultRowHeight="12.75" x14ac:dyDescent="0.2"/>
  <cols>
    <col min="1" max="1" width="40.7109375" customWidth="1"/>
    <col min="2" max="2" width="6.7109375" customWidth="1"/>
    <col min="3" max="3" width="13.140625" customWidth="1"/>
    <col min="4" max="4" width="12.140625" customWidth="1"/>
    <col min="5" max="33" width="11.85546875" customWidth="1"/>
    <col min="34" max="34" width="12.140625" customWidth="1"/>
    <col min="35" max="64" width="12.42578125" customWidth="1"/>
    <col min="65" max="65" width="11.28515625" customWidth="1"/>
    <col min="66" max="96" width="11.85546875" customWidth="1"/>
    <col min="97" max="97" width="11" customWidth="1"/>
    <col min="98" max="127" width="11.7109375" customWidth="1"/>
    <col min="128" max="128" width="12.5703125" customWidth="1"/>
    <col min="129" max="130" width="12" customWidth="1"/>
    <col min="131" max="132" width="11.5703125" customWidth="1"/>
    <col min="133" max="133" width="12" customWidth="1"/>
    <col min="134" max="134" width="11.42578125" customWidth="1"/>
    <col min="135" max="135" width="12.42578125" customWidth="1"/>
    <col min="136" max="136" width="13.85546875" customWidth="1"/>
    <col min="137" max="137" width="13.140625" customWidth="1"/>
    <col min="138" max="206" width="9.140625" customWidth="1"/>
    <col min="207" max="207" width="12.5703125" customWidth="1"/>
    <col min="208" max="223" width="9.140625" customWidth="1"/>
    <col min="224" max="224" width="12" customWidth="1"/>
    <col min="225" max="298" width="9.140625" customWidth="1"/>
    <col min="299" max="299" width="12" customWidth="1"/>
    <col min="300" max="323" width="9.140625" customWidth="1"/>
    <col min="324" max="324" width="15.28515625" customWidth="1"/>
    <col min="325" max="327" width="9.140625" customWidth="1"/>
    <col min="328" max="328" width="16.140625" style="921" customWidth="1"/>
    <col min="329" max="329" width="47.85546875" customWidth="1"/>
    <col min="330" max="330" width="24.85546875" customWidth="1"/>
    <col min="331" max="331" width="48.42578125" customWidth="1"/>
  </cols>
  <sheetData>
    <row r="1" spans="1:327" ht="7.5" hidden="1" customHeight="1" x14ac:dyDescent="0.2">
      <c r="A1" s="1057"/>
      <c r="B1" s="1057"/>
      <c r="C1" s="1057"/>
      <c r="D1" s="1057"/>
      <c r="E1" s="1057"/>
      <c r="F1" s="1057"/>
      <c r="G1" s="1057"/>
      <c r="H1" s="1057"/>
      <c r="I1" s="1057"/>
      <c r="J1" s="1057"/>
      <c r="K1" s="1057"/>
      <c r="L1" s="1057"/>
      <c r="M1" s="1057"/>
      <c r="N1" s="1057"/>
      <c r="O1" s="1057"/>
      <c r="P1" s="1057"/>
      <c r="Q1" s="1057"/>
      <c r="R1" s="1057"/>
      <c r="S1" s="1057"/>
      <c r="T1" s="1057"/>
      <c r="U1" s="1057"/>
      <c r="V1" s="1057"/>
      <c r="W1" s="1057"/>
      <c r="X1" s="1057"/>
      <c r="Y1" s="1057"/>
      <c r="Z1" s="1057"/>
      <c r="AA1" s="1057"/>
      <c r="AB1" s="1057"/>
      <c r="AC1" s="1057"/>
      <c r="AD1" s="1057"/>
      <c r="AE1" s="1057"/>
      <c r="AF1" s="1057"/>
      <c r="AG1" s="1057"/>
      <c r="AH1" s="1057"/>
      <c r="AI1" s="1057"/>
    </row>
    <row r="2" spans="1:327" ht="3.75" hidden="1" customHeight="1" x14ac:dyDescent="0.2">
      <c r="A2" s="1057"/>
      <c r="B2" s="1057"/>
      <c r="C2" s="1057"/>
      <c r="D2" s="1057"/>
      <c r="E2" s="1057"/>
      <c r="F2" s="1057"/>
      <c r="G2" s="1057"/>
      <c r="H2" s="1057"/>
      <c r="I2" s="1057"/>
      <c r="J2" s="1057"/>
      <c r="K2" s="1057"/>
      <c r="L2" s="1057"/>
      <c r="M2" s="1057"/>
      <c r="N2" s="1057"/>
      <c r="O2" s="1057"/>
      <c r="P2" s="1057"/>
      <c r="Q2" s="1057"/>
      <c r="R2" s="1057"/>
      <c r="S2" s="1057"/>
      <c r="T2" s="1057"/>
      <c r="U2" s="1057"/>
      <c r="V2" s="1057"/>
      <c r="W2" s="1057"/>
      <c r="X2" s="1057"/>
      <c r="Y2" s="1057"/>
      <c r="Z2" s="1057"/>
      <c r="AA2" s="1057"/>
      <c r="AB2" s="1057"/>
      <c r="AC2" s="1057"/>
      <c r="AD2" s="1057"/>
      <c r="AE2" s="1057"/>
      <c r="AF2" s="1057"/>
      <c r="AG2" s="1057"/>
      <c r="AH2" s="1057"/>
      <c r="AI2" s="1057"/>
    </row>
    <row r="3" spans="1:327" ht="6.75" hidden="1" customHeight="1" x14ac:dyDescent="0.2">
      <c r="A3" s="1057"/>
      <c r="B3" s="1057"/>
      <c r="C3" s="1057"/>
      <c r="D3" s="1057"/>
      <c r="E3" s="1057"/>
      <c r="F3" s="1057"/>
      <c r="G3" s="1057"/>
      <c r="H3" s="1057"/>
      <c r="I3" s="1057"/>
      <c r="J3" s="1057"/>
      <c r="K3" s="1057"/>
      <c r="L3" s="1057"/>
      <c r="M3" s="1057"/>
      <c r="N3" s="1057"/>
      <c r="O3" s="1057"/>
      <c r="P3" s="1057"/>
      <c r="Q3" s="1057"/>
      <c r="R3" s="1057"/>
      <c r="S3" s="1057"/>
      <c r="T3" s="1057"/>
      <c r="U3" s="1057"/>
      <c r="V3" s="1057"/>
      <c r="W3" s="1057"/>
      <c r="X3" s="1057"/>
      <c r="Y3" s="1057"/>
      <c r="Z3" s="1057"/>
      <c r="AA3" s="1057"/>
      <c r="AB3" s="1057"/>
      <c r="AC3" s="1057"/>
      <c r="AD3" s="1057"/>
      <c r="AE3" s="1057"/>
      <c r="AF3" s="1057"/>
      <c r="AG3" s="1057"/>
      <c r="AH3" s="1057"/>
      <c r="AI3" s="1057"/>
    </row>
    <row r="4" spans="1:327" ht="8.25" hidden="1" customHeight="1" x14ac:dyDescent="0.2"/>
    <row r="5" spans="1:327" ht="12" customHeight="1" x14ac:dyDescent="0.2">
      <c r="A5">
        <v>1</v>
      </c>
      <c r="B5">
        <v>2</v>
      </c>
      <c r="C5">
        <v>3</v>
      </c>
      <c r="D5">
        <v>4</v>
      </c>
      <c r="E5">
        <v>5</v>
      </c>
      <c r="F5">
        <v>6</v>
      </c>
      <c r="G5">
        <v>7</v>
      </c>
      <c r="H5">
        <v>8</v>
      </c>
      <c r="I5">
        <v>9</v>
      </c>
      <c r="J5">
        <v>10</v>
      </c>
      <c r="K5">
        <v>11</v>
      </c>
      <c r="L5">
        <v>12</v>
      </c>
      <c r="M5">
        <v>13</v>
      </c>
      <c r="N5">
        <v>14</v>
      </c>
      <c r="O5">
        <v>15</v>
      </c>
      <c r="P5">
        <v>16</v>
      </c>
      <c r="Q5">
        <v>17</v>
      </c>
      <c r="R5">
        <v>18</v>
      </c>
      <c r="S5">
        <v>19</v>
      </c>
      <c r="T5">
        <v>20</v>
      </c>
      <c r="U5">
        <v>21</v>
      </c>
      <c r="V5">
        <v>22</v>
      </c>
      <c r="W5">
        <v>23</v>
      </c>
      <c r="X5">
        <v>24</v>
      </c>
      <c r="Y5">
        <v>25</v>
      </c>
      <c r="Z5">
        <v>26</v>
      </c>
      <c r="AA5">
        <v>27</v>
      </c>
      <c r="AB5">
        <v>28</v>
      </c>
      <c r="AC5">
        <v>29</v>
      </c>
      <c r="AD5">
        <v>30</v>
      </c>
      <c r="AE5">
        <v>31</v>
      </c>
      <c r="AF5">
        <v>32</v>
      </c>
      <c r="AG5">
        <v>33</v>
      </c>
      <c r="AH5">
        <v>34</v>
      </c>
      <c r="AI5">
        <v>35</v>
      </c>
      <c r="AJ5">
        <v>36</v>
      </c>
      <c r="AK5">
        <v>37</v>
      </c>
      <c r="AL5">
        <v>38</v>
      </c>
      <c r="AM5">
        <v>39</v>
      </c>
      <c r="AN5">
        <v>40</v>
      </c>
      <c r="AO5">
        <v>41</v>
      </c>
      <c r="AP5">
        <v>42</v>
      </c>
      <c r="AQ5">
        <v>43</v>
      </c>
      <c r="AR5">
        <v>44</v>
      </c>
      <c r="AS5">
        <v>45</v>
      </c>
      <c r="AT5">
        <v>46</v>
      </c>
      <c r="AU5">
        <v>47</v>
      </c>
      <c r="AV5">
        <v>48</v>
      </c>
      <c r="AW5">
        <v>49</v>
      </c>
      <c r="AX5">
        <v>50</v>
      </c>
      <c r="AY5">
        <v>51</v>
      </c>
      <c r="AZ5">
        <v>52</v>
      </c>
      <c r="BA5">
        <v>53</v>
      </c>
      <c r="BB5">
        <v>54</v>
      </c>
      <c r="BC5">
        <v>55</v>
      </c>
      <c r="BD5">
        <v>56</v>
      </c>
      <c r="BE5">
        <v>57</v>
      </c>
      <c r="BF5">
        <v>58</v>
      </c>
      <c r="BG5">
        <v>59</v>
      </c>
      <c r="BH5">
        <v>60</v>
      </c>
      <c r="BI5">
        <v>61</v>
      </c>
      <c r="BJ5">
        <v>62</v>
      </c>
      <c r="BK5">
        <v>63</v>
      </c>
      <c r="BL5">
        <v>64</v>
      </c>
      <c r="BM5">
        <v>65</v>
      </c>
      <c r="BN5">
        <v>66</v>
      </c>
      <c r="BO5">
        <v>67</v>
      </c>
      <c r="BP5">
        <v>68</v>
      </c>
      <c r="BQ5">
        <v>69</v>
      </c>
      <c r="BR5">
        <v>70</v>
      </c>
      <c r="BS5">
        <v>71</v>
      </c>
      <c r="BT5">
        <v>72</v>
      </c>
      <c r="BU5">
        <v>73</v>
      </c>
      <c r="BV5">
        <v>74</v>
      </c>
      <c r="BW5">
        <v>75</v>
      </c>
      <c r="BX5">
        <v>76</v>
      </c>
      <c r="BY5">
        <v>77</v>
      </c>
      <c r="BZ5">
        <v>78</v>
      </c>
      <c r="CA5">
        <v>79</v>
      </c>
      <c r="CB5">
        <v>80</v>
      </c>
      <c r="CC5">
        <v>81</v>
      </c>
      <c r="CD5">
        <v>82</v>
      </c>
      <c r="CE5">
        <v>83</v>
      </c>
      <c r="CF5">
        <v>84</v>
      </c>
      <c r="CG5">
        <v>85</v>
      </c>
      <c r="CH5">
        <v>86</v>
      </c>
      <c r="CI5">
        <v>87</v>
      </c>
      <c r="CJ5">
        <v>88</v>
      </c>
      <c r="CK5">
        <v>89</v>
      </c>
      <c r="CL5">
        <v>90</v>
      </c>
      <c r="CM5">
        <v>91</v>
      </c>
      <c r="CN5">
        <v>92</v>
      </c>
      <c r="CO5">
        <v>93</v>
      </c>
      <c r="CP5">
        <v>94</v>
      </c>
      <c r="CQ5">
        <v>95</v>
      </c>
      <c r="CR5">
        <v>96</v>
      </c>
      <c r="CS5">
        <v>97</v>
      </c>
      <c r="CT5">
        <v>98</v>
      </c>
      <c r="CU5">
        <v>99</v>
      </c>
      <c r="CV5">
        <v>100</v>
      </c>
      <c r="CW5">
        <v>101</v>
      </c>
      <c r="CX5">
        <v>102</v>
      </c>
      <c r="CY5">
        <v>103</v>
      </c>
      <c r="CZ5">
        <v>104</v>
      </c>
      <c r="DA5">
        <v>105</v>
      </c>
      <c r="DB5">
        <v>106</v>
      </c>
      <c r="DC5">
        <v>107</v>
      </c>
      <c r="DD5">
        <v>108</v>
      </c>
      <c r="DE5">
        <v>109</v>
      </c>
      <c r="DF5">
        <v>110</v>
      </c>
      <c r="DG5">
        <v>111</v>
      </c>
      <c r="DH5">
        <v>112</v>
      </c>
      <c r="DI5">
        <v>113</v>
      </c>
      <c r="DJ5">
        <v>114</v>
      </c>
      <c r="DK5">
        <v>115</v>
      </c>
      <c r="DL5">
        <v>116</v>
      </c>
      <c r="DM5">
        <v>117</v>
      </c>
      <c r="DN5">
        <v>118</v>
      </c>
      <c r="DO5">
        <v>119</v>
      </c>
      <c r="DP5">
        <v>120</v>
      </c>
      <c r="DQ5">
        <v>121</v>
      </c>
      <c r="DR5">
        <v>122</v>
      </c>
      <c r="DS5">
        <v>123</v>
      </c>
      <c r="DT5">
        <v>124</v>
      </c>
      <c r="DU5">
        <v>125</v>
      </c>
      <c r="DV5">
        <v>126</v>
      </c>
      <c r="DW5">
        <v>127</v>
      </c>
      <c r="DX5">
        <v>128</v>
      </c>
      <c r="DY5">
        <v>129</v>
      </c>
      <c r="DZ5">
        <v>130</v>
      </c>
      <c r="EA5">
        <v>131</v>
      </c>
      <c r="EB5">
        <v>132</v>
      </c>
      <c r="EC5">
        <v>133</v>
      </c>
      <c r="ED5">
        <v>134</v>
      </c>
      <c r="EE5">
        <v>135</v>
      </c>
      <c r="EF5">
        <v>136</v>
      </c>
      <c r="EG5">
        <v>137</v>
      </c>
      <c r="EH5">
        <v>138</v>
      </c>
      <c r="EI5">
        <v>139</v>
      </c>
      <c r="EJ5">
        <v>140</v>
      </c>
      <c r="EK5">
        <v>141</v>
      </c>
      <c r="EL5">
        <v>142</v>
      </c>
      <c r="EM5">
        <v>143</v>
      </c>
      <c r="EN5">
        <v>144</v>
      </c>
      <c r="EO5">
        <v>145</v>
      </c>
      <c r="EP5">
        <v>146</v>
      </c>
      <c r="EQ5">
        <v>147</v>
      </c>
      <c r="ER5">
        <v>148</v>
      </c>
      <c r="ES5">
        <v>149</v>
      </c>
      <c r="ET5">
        <v>150</v>
      </c>
      <c r="EU5">
        <v>151</v>
      </c>
      <c r="EV5">
        <v>152</v>
      </c>
      <c r="EW5">
        <v>153</v>
      </c>
      <c r="EX5">
        <v>154</v>
      </c>
      <c r="EY5">
        <v>155</v>
      </c>
      <c r="EZ5">
        <v>156</v>
      </c>
      <c r="FA5">
        <v>157</v>
      </c>
      <c r="FB5">
        <v>158</v>
      </c>
      <c r="FC5">
        <v>159</v>
      </c>
      <c r="FD5">
        <v>160</v>
      </c>
      <c r="FE5">
        <v>161</v>
      </c>
      <c r="FF5">
        <v>162</v>
      </c>
      <c r="FG5">
        <v>163</v>
      </c>
      <c r="FH5">
        <v>164</v>
      </c>
      <c r="FI5">
        <v>165</v>
      </c>
      <c r="FJ5">
        <v>166</v>
      </c>
      <c r="FK5">
        <v>167</v>
      </c>
      <c r="FL5">
        <v>168</v>
      </c>
      <c r="FM5">
        <v>169</v>
      </c>
      <c r="FN5">
        <v>170</v>
      </c>
      <c r="FO5">
        <v>171</v>
      </c>
      <c r="FP5">
        <v>172</v>
      </c>
      <c r="FQ5">
        <v>173</v>
      </c>
      <c r="FR5">
        <v>174</v>
      </c>
      <c r="FS5">
        <v>175</v>
      </c>
      <c r="FT5">
        <v>176</v>
      </c>
      <c r="FU5">
        <v>177</v>
      </c>
      <c r="FV5">
        <v>178</v>
      </c>
      <c r="FW5">
        <v>179</v>
      </c>
      <c r="FX5">
        <v>180</v>
      </c>
      <c r="FY5">
        <v>181</v>
      </c>
      <c r="FZ5">
        <v>182</v>
      </c>
      <c r="GA5">
        <v>183</v>
      </c>
      <c r="GB5">
        <v>184</v>
      </c>
      <c r="GC5">
        <v>185</v>
      </c>
      <c r="GD5">
        <v>186</v>
      </c>
      <c r="GE5">
        <v>187</v>
      </c>
      <c r="GF5">
        <v>188</v>
      </c>
      <c r="GG5">
        <v>189</v>
      </c>
      <c r="GH5">
        <v>190</v>
      </c>
      <c r="GI5">
        <v>191</v>
      </c>
      <c r="GJ5">
        <v>192</v>
      </c>
      <c r="GK5">
        <v>193</v>
      </c>
      <c r="GL5">
        <v>194</v>
      </c>
      <c r="GM5">
        <v>195</v>
      </c>
      <c r="GN5">
        <v>196</v>
      </c>
      <c r="GO5">
        <v>197</v>
      </c>
      <c r="GP5">
        <v>198</v>
      </c>
      <c r="GQ5">
        <v>199</v>
      </c>
      <c r="GR5">
        <v>200</v>
      </c>
      <c r="GS5">
        <v>201</v>
      </c>
      <c r="GT5">
        <v>202</v>
      </c>
      <c r="GU5">
        <v>203</v>
      </c>
      <c r="GV5">
        <v>204</v>
      </c>
      <c r="GW5">
        <v>205</v>
      </c>
      <c r="GX5">
        <v>206</v>
      </c>
      <c r="GY5">
        <v>207</v>
      </c>
      <c r="GZ5">
        <v>208</v>
      </c>
      <c r="HA5">
        <v>209</v>
      </c>
      <c r="HB5">
        <v>210</v>
      </c>
      <c r="HC5">
        <v>211</v>
      </c>
      <c r="HD5">
        <v>212</v>
      </c>
      <c r="HE5">
        <v>213</v>
      </c>
      <c r="HF5">
        <v>214</v>
      </c>
      <c r="HG5">
        <v>215</v>
      </c>
      <c r="HH5">
        <v>216</v>
      </c>
      <c r="HI5">
        <v>217</v>
      </c>
      <c r="HJ5">
        <v>218</v>
      </c>
      <c r="HK5">
        <v>219</v>
      </c>
      <c r="HL5">
        <v>220</v>
      </c>
      <c r="HM5">
        <v>221</v>
      </c>
      <c r="HN5">
        <v>222</v>
      </c>
      <c r="HO5">
        <v>223</v>
      </c>
      <c r="HP5">
        <v>224</v>
      </c>
      <c r="HQ5">
        <v>225</v>
      </c>
      <c r="HR5">
        <v>226</v>
      </c>
      <c r="HS5">
        <v>227</v>
      </c>
      <c r="HT5">
        <v>228</v>
      </c>
      <c r="HU5">
        <v>229</v>
      </c>
      <c r="HV5">
        <v>230</v>
      </c>
      <c r="HW5">
        <v>231</v>
      </c>
      <c r="HX5">
        <v>232</v>
      </c>
      <c r="HY5">
        <v>233</v>
      </c>
      <c r="HZ5">
        <v>234</v>
      </c>
      <c r="IA5">
        <v>235</v>
      </c>
      <c r="IB5">
        <v>236</v>
      </c>
      <c r="IC5">
        <v>237</v>
      </c>
      <c r="ID5">
        <v>238</v>
      </c>
      <c r="IE5">
        <v>239</v>
      </c>
      <c r="IF5">
        <v>240</v>
      </c>
      <c r="IG5">
        <v>241</v>
      </c>
      <c r="IH5">
        <v>242</v>
      </c>
      <c r="II5">
        <v>243</v>
      </c>
      <c r="IJ5">
        <v>244</v>
      </c>
      <c r="IK5">
        <v>245</v>
      </c>
      <c r="IL5">
        <v>246</v>
      </c>
      <c r="IM5">
        <v>247</v>
      </c>
      <c r="IN5">
        <v>248</v>
      </c>
      <c r="IO5">
        <v>249</v>
      </c>
      <c r="IP5">
        <v>250</v>
      </c>
      <c r="IQ5">
        <v>251</v>
      </c>
      <c r="IR5">
        <v>252</v>
      </c>
      <c r="IS5">
        <v>253</v>
      </c>
      <c r="IT5">
        <v>254</v>
      </c>
      <c r="IU5">
        <v>255</v>
      </c>
      <c r="IV5">
        <v>256</v>
      </c>
      <c r="IW5">
        <v>257</v>
      </c>
      <c r="IX5">
        <v>258</v>
      </c>
      <c r="IY5">
        <v>259</v>
      </c>
      <c r="IZ5">
        <v>260</v>
      </c>
      <c r="JA5">
        <v>261</v>
      </c>
      <c r="JB5">
        <v>262</v>
      </c>
      <c r="JC5">
        <v>263</v>
      </c>
      <c r="JD5">
        <v>264</v>
      </c>
      <c r="JE5">
        <v>265</v>
      </c>
      <c r="JF5">
        <v>266</v>
      </c>
      <c r="JG5">
        <v>267</v>
      </c>
      <c r="JH5">
        <v>268</v>
      </c>
      <c r="JI5">
        <v>269</v>
      </c>
      <c r="JJ5">
        <v>270</v>
      </c>
      <c r="JK5">
        <v>271</v>
      </c>
      <c r="JL5">
        <v>272</v>
      </c>
      <c r="JM5">
        <v>273</v>
      </c>
      <c r="JN5">
        <v>274</v>
      </c>
      <c r="JO5">
        <v>275</v>
      </c>
      <c r="JP5">
        <v>276</v>
      </c>
      <c r="JQ5">
        <v>277</v>
      </c>
      <c r="JR5">
        <v>278</v>
      </c>
      <c r="JS5">
        <v>279</v>
      </c>
      <c r="JT5">
        <v>280</v>
      </c>
      <c r="JU5">
        <v>281</v>
      </c>
      <c r="JV5">
        <v>282</v>
      </c>
      <c r="JW5">
        <v>283</v>
      </c>
      <c r="JX5">
        <v>284</v>
      </c>
      <c r="JY5">
        <v>285</v>
      </c>
      <c r="JZ5">
        <v>286</v>
      </c>
      <c r="KA5">
        <v>287</v>
      </c>
      <c r="KB5">
        <v>288</v>
      </c>
      <c r="KC5">
        <v>289</v>
      </c>
      <c r="KD5">
        <v>290</v>
      </c>
      <c r="KE5">
        <v>291</v>
      </c>
      <c r="KF5">
        <v>292</v>
      </c>
      <c r="KG5">
        <v>293</v>
      </c>
      <c r="KH5" s="960">
        <v>294</v>
      </c>
      <c r="KI5" s="960">
        <v>295</v>
      </c>
      <c r="KJ5" s="960">
        <v>296</v>
      </c>
      <c r="KK5" s="960">
        <v>297</v>
      </c>
      <c r="KL5" s="960">
        <v>298</v>
      </c>
      <c r="KM5" s="960">
        <v>299</v>
      </c>
      <c r="KN5" s="960">
        <v>300</v>
      </c>
      <c r="KO5" s="960">
        <v>301</v>
      </c>
      <c r="KP5" s="960">
        <v>302</v>
      </c>
      <c r="KQ5" s="960">
        <v>303</v>
      </c>
      <c r="KR5" s="960">
        <v>304</v>
      </c>
      <c r="KS5" s="960">
        <v>305</v>
      </c>
      <c r="KT5" s="960">
        <v>306</v>
      </c>
      <c r="KU5" s="960">
        <v>307</v>
      </c>
      <c r="KV5" s="960">
        <v>308</v>
      </c>
      <c r="KW5" s="960">
        <v>309</v>
      </c>
      <c r="KX5" s="960">
        <v>310</v>
      </c>
      <c r="KY5" s="960">
        <v>311</v>
      </c>
      <c r="KZ5" s="960">
        <v>312</v>
      </c>
      <c r="LA5" s="960">
        <v>313</v>
      </c>
      <c r="LB5" s="960">
        <v>314</v>
      </c>
      <c r="LC5" s="960">
        <v>315</v>
      </c>
      <c r="LD5" s="960">
        <v>316</v>
      </c>
      <c r="LE5" s="960">
        <v>317</v>
      </c>
      <c r="LF5" s="960">
        <v>318</v>
      </c>
      <c r="LG5" s="960">
        <v>319</v>
      </c>
      <c r="LH5" s="960">
        <v>320</v>
      </c>
      <c r="LI5" s="960">
        <v>321</v>
      </c>
      <c r="LJ5" s="960">
        <v>322</v>
      </c>
      <c r="LK5" s="960">
        <v>323</v>
      </c>
      <c r="LL5" s="960">
        <v>324</v>
      </c>
      <c r="LM5" s="960">
        <v>325</v>
      </c>
      <c r="LN5" s="960">
        <v>326</v>
      </c>
      <c r="LO5" s="960">
        <v>327</v>
      </c>
    </row>
    <row r="6" spans="1:327" x14ac:dyDescent="0.2">
      <c r="A6" s="1054" t="s">
        <v>5</v>
      </c>
      <c r="B6" s="1054" t="s">
        <v>138</v>
      </c>
      <c r="C6" s="1054" t="s">
        <v>139</v>
      </c>
      <c r="D6" s="1253">
        <v>2016</v>
      </c>
      <c r="E6" s="1253"/>
      <c r="F6" s="1253"/>
      <c r="G6" s="1253"/>
      <c r="H6" s="1253"/>
      <c r="I6" s="1253"/>
      <c r="J6" s="1253"/>
      <c r="K6" s="1253"/>
      <c r="L6" s="1253"/>
      <c r="M6" s="1253"/>
      <c r="N6" s="1253"/>
      <c r="O6" s="1253"/>
      <c r="P6" s="1253"/>
      <c r="Q6" s="1253"/>
      <c r="R6" s="1253"/>
      <c r="S6" s="1253"/>
      <c r="T6" s="1253"/>
      <c r="U6" s="1253"/>
      <c r="V6" s="1253"/>
      <c r="W6" s="1253"/>
      <c r="X6" s="1253"/>
      <c r="Y6" s="1253"/>
      <c r="Z6" s="1253"/>
      <c r="AA6" s="1253"/>
      <c r="AB6" s="1253"/>
      <c r="AC6" s="1253"/>
      <c r="AD6" s="1253"/>
      <c r="AE6" s="1253"/>
      <c r="AF6" s="1253"/>
      <c r="AG6" s="1253"/>
      <c r="AH6" s="1254">
        <v>2017</v>
      </c>
      <c r="AI6" s="1188"/>
      <c r="AJ6" s="1188"/>
      <c r="AK6" s="1188"/>
      <c r="AL6" s="1188"/>
      <c r="AM6" s="1188"/>
      <c r="AN6" s="1188"/>
      <c r="AO6" s="1188"/>
      <c r="AP6" s="1188"/>
      <c r="AQ6" s="1188"/>
      <c r="AR6" s="1188"/>
      <c r="AS6" s="1188"/>
      <c r="AT6" s="1188"/>
      <c r="AU6" s="1188"/>
      <c r="AV6" s="1188"/>
      <c r="AW6" s="1188"/>
      <c r="AX6" s="1188"/>
      <c r="AY6" s="1188"/>
      <c r="AZ6" s="1188"/>
      <c r="BA6" s="1188"/>
      <c r="BB6" s="1188"/>
      <c r="BC6" s="1188"/>
      <c r="BD6" s="1188"/>
      <c r="BE6" s="1188"/>
      <c r="BF6" s="1188"/>
      <c r="BG6" s="1188"/>
      <c r="BH6" s="1188"/>
      <c r="BI6" s="1188"/>
      <c r="BJ6" s="1188"/>
      <c r="BK6" s="1188"/>
      <c r="BL6" s="1188"/>
      <c r="BM6" s="1053">
        <v>2018</v>
      </c>
      <c r="BN6" s="1054"/>
      <c r="BO6" s="1054"/>
      <c r="BP6" s="1054"/>
      <c r="BQ6" s="1054"/>
      <c r="BR6" s="1054"/>
      <c r="BS6" s="1054"/>
      <c r="BT6" s="1054"/>
      <c r="BU6" s="1054"/>
      <c r="BV6" s="1054"/>
      <c r="BW6" s="1054"/>
      <c r="BX6" s="1054"/>
      <c r="BY6" s="1054"/>
      <c r="BZ6" s="1054"/>
      <c r="CA6" s="1054"/>
      <c r="CB6" s="1054"/>
      <c r="CC6" s="1054"/>
      <c r="CD6" s="1054"/>
      <c r="CE6" s="1054"/>
      <c r="CF6" s="1054"/>
      <c r="CG6" s="1054"/>
      <c r="CH6" s="1054"/>
      <c r="CI6" s="1054"/>
      <c r="CJ6" s="1054"/>
      <c r="CK6" s="1054"/>
      <c r="CL6" s="1054"/>
      <c r="CM6" s="1054"/>
      <c r="CN6" s="1054"/>
      <c r="CO6" s="1054"/>
      <c r="CP6" s="1054"/>
      <c r="CQ6" s="1054"/>
      <c r="CR6" s="1054"/>
      <c r="CS6" s="1053">
        <v>2019</v>
      </c>
      <c r="CT6" s="1054"/>
      <c r="CU6" s="1054"/>
      <c r="CV6" s="1054"/>
      <c r="CW6" s="1054"/>
      <c r="CX6" s="1054"/>
      <c r="CY6" s="1054"/>
      <c r="CZ6" s="1054"/>
      <c r="DA6" s="1054"/>
      <c r="DB6" s="1054"/>
      <c r="DC6" s="1054"/>
      <c r="DD6" s="1054"/>
      <c r="DE6" s="1054"/>
      <c r="DF6" s="1054"/>
      <c r="DG6" s="1054"/>
      <c r="DH6" s="1054"/>
      <c r="DI6" s="1054"/>
      <c r="DJ6" s="1054"/>
      <c r="DK6" s="1054"/>
      <c r="DL6" s="1054"/>
      <c r="DM6" s="1054"/>
      <c r="DN6" s="1054"/>
      <c r="DO6" s="1054"/>
      <c r="DP6" s="1054"/>
      <c r="DQ6" s="1054"/>
      <c r="DR6" s="1054"/>
      <c r="DS6" s="1054"/>
      <c r="DT6" s="1054"/>
      <c r="DU6" s="1054"/>
      <c r="DV6" s="1054"/>
      <c r="DW6" s="1054"/>
      <c r="DX6" s="1246">
        <v>2020</v>
      </c>
      <c r="DY6" s="1247"/>
      <c r="DZ6" s="1247"/>
      <c r="EA6" s="1247"/>
      <c r="EB6" s="1247"/>
      <c r="EC6" s="1247"/>
      <c r="ED6" s="1247"/>
      <c r="EE6" s="1247"/>
      <c r="EF6" s="1247"/>
      <c r="EG6" s="1247"/>
      <c r="EH6" s="1247"/>
      <c r="EI6" s="1247"/>
      <c r="EJ6" s="1247"/>
      <c r="EK6" s="1247"/>
      <c r="EL6" s="1247"/>
      <c r="EM6" s="1247"/>
      <c r="EN6" s="1247"/>
      <c r="EO6" s="1247"/>
      <c r="EP6" s="1247"/>
      <c r="EQ6" s="1247"/>
      <c r="ER6" s="1247"/>
      <c r="ES6" s="1247"/>
      <c r="ET6" s="1247"/>
      <c r="EU6" s="1247"/>
      <c r="EV6" s="1247"/>
      <c r="EW6" s="1247"/>
      <c r="EX6" s="1247"/>
      <c r="EY6" s="1247"/>
      <c r="EZ6" s="1247"/>
      <c r="FA6" s="1247"/>
      <c r="FB6" s="1246">
        <v>2021</v>
      </c>
      <c r="FC6" s="1247"/>
      <c r="FD6" s="1247"/>
      <c r="FE6" s="1247"/>
      <c r="FF6" s="1247"/>
      <c r="FG6" s="1247"/>
      <c r="FH6" s="1247"/>
      <c r="FI6" s="1247"/>
      <c r="FJ6" s="1247"/>
      <c r="FK6" s="1247"/>
      <c r="FL6" s="1247"/>
      <c r="FM6" s="1247"/>
      <c r="FN6" s="1247"/>
      <c r="FO6" s="1247"/>
      <c r="FP6" s="1247"/>
      <c r="FQ6" s="1247"/>
      <c r="FR6" s="1247"/>
      <c r="FS6" s="1247"/>
      <c r="FT6" s="1247"/>
      <c r="FU6" s="1247"/>
      <c r="FV6" s="1247"/>
      <c r="FW6" s="1247"/>
      <c r="FX6" s="1247"/>
      <c r="FY6" s="1247"/>
      <c r="FZ6" s="1247"/>
      <c r="GA6" s="1247"/>
      <c r="GB6" s="1247"/>
      <c r="GC6" s="1247"/>
      <c r="GD6" s="1247"/>
      <c r="GE6" s="1247"/>
      <c r="GF6" s="1247"/>
      <c r="GG6" s="1247"/>
      <c r="GH6" s="1247"/>
      <c r="GI6" s="1247"/>
      <c r="GJ6" s="1246">
        <v>2022</v>
      </c>
      <c r="GK6" s="1247"/>
      <c r="GL6" s="1247"/>
      <c r="GM6" s="1247"/>
      <c r="GN6" s="1247"/>
      <c r="GO6" s="1247"/>
      <c r="GP6" s="1247"/>
      <c r="GQ6" s="1247"/>
      <c r="GR6" s="1247"/>
      <c r="GS6" s="1247"/>
      <c r="GT6" s="1247"/>
      <c r="GU6" s="1247"/>
      <c r="GV6" s="1247"/>
      <c r="GW6" s="1247"/>
      <c r="GX6" s="1247"/>
      <c r="GY6" s="1247"/>
      <c r="GZ6" s="1247"/>
      <c r="HA6" s="1247"/>
      <c r="HB6" s="1247"/>
      <c r="HC6" s="1247"/>
      <c r="HD6" s="1247"/>
      <c r="HE6" s="1247"/>
      <c r="HF6" s="1247"/>
      <c r="HG6" s="1247"/>
      <c r="HH6" s="1247"/>
      <c r="HI6" s="1247"/>
      <c r="HJ6" s="1247"/>
      <c r="HK6" s="1247"/>
      <c r="HL6" s="1247"/>
      <c r="HM6" s="1247"/>
      <c r="HN6" s="1247"/>
      <c r="HO6" s="1247"/>
      <c r="HP6" s="1247"/>
      <c r="HQ6" s="1247"/>
      <c r="HR6" s="1257">
        <v>2023</v>
      </c>
      <c r="HS6" s="1258"/>
      <c r="HT6" s="1258"/>
      <c r="HU6" s="1258"/>
      <c r="HV6" s="1258"/>
      <c r="HW6" s="1258"/>
      <c r="HX6" s="1258"/>
      <c r="HY6" s="1258"/>
      <c r="HZ6" s="1258"/>
      <c r="IA6" s="1258"/>
      <c r="IB6" s="1258"/>
      <c r="IC6" s="1258"/>
      <c r="ID6" s="1258"/>
      <c r="IE6" s="1258"/>
      <c r="IF6" s="1258"/>
      <c r="IG6" s="1258"/>
      <c r="IH6" s="1258"/>
      <c r="II6" s="1258"/>
      <c r="IJ6" s="1258"/>
      <c r="IK6" s="1258"/>
      <c r="IL6" s="1258"/>
      <c r="IM6" s="1258"/>
      <c r="IN6" s="1258"/>
      <c r="IO6" s="1258"/>
      <c r="IP6" s="1258"/>
      <c r="IQ6" s="1258"/>
      <c r="IR6" s="1258"/>
      <c r="IS6" s="1258"/>
      <c r="IT6" s="1258"/>
      <c r="IU6" s="1258"/>
      <c r="IV6" s="1258"/>
      <c r="IW6" s="1258"/>
      <c r="IX6" s="1258"/>
      <c r="IY6" s="1258"/>
      <c r="IZ6" s="1256">
        <v>2024</v>
      </c>
      <c r="JA6" s="1247"/>
      <c r="JB6" s="1247"/>
      <c r="JC6" s="1247"/>
      <c r="JD6" s="1247"/>
      <c r="JE6" s="1247"/>
      <c r="JF6" s="1247"/>
      <c r="JG6" s="1247"/>
      <c r="JH6" s="1247"/>
      <c r="JI6" s="1247"/>
      <c r="JJ6" s="1247"/>
      <c r="JK6" s="1247"/>
      <c r="JL6" s="1247"/>
      <c r="JM6" s="1247"/>
      <c r="JN6" s="1247"/>
      <c r="JO6" s="1247"/>
      <c r="JP6" s="1247"/>
      <c r="JQ6" s="1247"/>
      <c r="JR6" s="1247"/>
      <c r="JS6" s="1247"/>
      <c r="JT6" s="1247"/>
      <c r="JU6" s="1247"/>
      <c r="JV6" s="1247"/>
      <c r="JW6" s="1247"/>
      <c r="JX6" s="1247"/>
      <c r="JY6" s="1247"/>
      <c r="JZ6" s="1247"/>
      <c r="KA6" s="1247"/>
      <c r="KB6" s="1247"/>
      <c r="KC6" s="1247"/>
      <c r="KD6" s="1247"/>
      <c r="KE6" s="1247"/>
      <c r="KF6" s="1247"/>
      <c r="KG6" s="1247"/>
      <c r="KH6" s="1242">
        <v>2025</v>
      </c>
      <c r="KI6" s="1243"/>
      <c r="KJ6" s="1243"/>
      <c r="KK6" s="1243"/>
      <c r="KL6" s="1243"/>
      <c r="KM6" s="1243"/>
      <c r="KN6" s="1243"/>
      <c r="KO6" s="1243"/>
      <c r="KP6" s="1243"/>
      <c r="KQ6" s="1243"/>
      <c r="KR6" s="1243"/>
      <c r="KS6" s="1243"/>
      <c r="KT6" s="1243"/>
      <c r="KU6" s="1243"/>
      <c r="KV6" s="1243"/>
      <c r="KW6" s="1243"/>
      <c r="KX6" s="1243"/>
      <c r="KY6" s="1243"/>
      <c r="KZ6" s="1243"/>
      <c r="LA6" s="1243"/>
      <c r="LB6" s="1243"/>
      <c r="LC6" s="1243"/>
      <c r="LD6" s="1243"/>
      <c r="LE6" s="1243"/>
      <c r="LF6" s="1243"/>
      <c r="LG6" s="1243"/>
      <c r="LH6" s="1243"/>
      <c r="LI6" s="1243"/>
      <c r="LJ6" s="1243"/>
      <c r="LK6" s="1243"/>
      <c r="LL6" s="1243"/>
      <c r="LM6" s="1243"/>
      <c r="LN6" s="1243"/>
      <c r="LO6" s="1243"/>
    </row>
    <row r="7" spans="1:327" x14ac:dyDescent="0.2">
      <c r="A7" s="1054"/>
      <c r="B7" s="1054"/>
      <c r="C7" s="1054"/>
      <c r="D7" s="1188" t="s">
        <v>120</v>
      </c>
      <c r="E7" s="1190" t="s">
        <v>119</v>
      </c>
      <c r="F7" s="1192" t="s">
        <v>168</v>
      </c>
      <c r="G7" s="1210"/>
      <c r="H7" s="1210"/>
      <c r="I7" s="1210"/>
      <c r="J7" s="1192" t="s">
        <v>169</v>
      </c>
      <c r="K7" s="1210"/>
      <c r="L7" s="1210"/>
      <c r="M7" s="1210"/>
      <c r="N7" s="1210"/>
      <c r="O7" s="1210"/>
      <c r="P7" s="1210"/>
      <c r="Q7" s="1210"/>
      <c r="R7" s="1210"/>
      <c r="S7" s="1210"/>
      <c r="T7" s="1210"/>
      <c r="U7" s="1210"/>
      <c r="V7" s="1210"/>
      <c r="W7" s="1210"/>
      <c r="X7" s="1210"/>
      <c r="Y7" s="1210"/>
      <c r="Z7" s="1210"/>
      <c r="AA7" s="1210"/>
      <c r="AB7" s="1210"/>
      <c r="AC7" s="1210"/>
      <c r="AD7" s="1210"/>
      <c r="AE7" s="1210"/>
      <c r="AF7" s="1210"/>
      <c r="AG7" s="1210"/>
      <c r="AH7" s="1188" t="s">
        <v>120</v>
      </c>
      <c r="AI7" s="1190" t="s">
        <v>119</v>
      </c>
      <c r="AJ7" s="1209" t="s">
        <v>168</v>
      </c>
      <c r="AK7" s="1057"/>
      <c r="AL7" s="1057"/>
      <c r="AM7" s="1057"/>
      <c r="AN7" s="1209" t="s">
        <v>169</v>
      </c>
      <c r="AO7" s="1057"/>
      <c r="AP7" s="1057"/>
      <c r="AQ7" s="1057"/>
      <c r="AR7" s="1057"/>
      <c r="AS7" s="1057"/>
      <c r="AT7" s="1057"/>
      <c r="AU7" s="1057"/>
      <c r="AV7" s="1057"/>
      <c r="AW7" s="1057"/>
      <c r="AX7" s="1057"/>
      <c r="AY7" s="1057"/>
      <c r="AZ7" s="1057"/>
      <c r="BA7" s="1057"/>
      <c r="BB7" s="1057"/>
      <c r="BC7" s="1057"/>
      <c r="BD7" s="1057"/>
      <c r="BE7" s="1057"/>
      <c r="BF7" s="1057"/>
      <c r="BG7" s="1057"/>
      <c r="BH7" s="1057"/>
      <c r="BI7" s="1057"/>
      <c r="BJ7" s="1057"/>
      <c r="BK7" s="1057"/>
      <c r="BL7" s="1057"/>
      <c r="BN7" s="7"/>
      <c r="BO7" s="1192" t="s">
        <v>168</v>
      </c>
      <c r="BP7" s="1210"/>
      <c r="BQ7" s="1210"/>
      <c r="BR7" s="1210"/>
      <c r="BS7" s="1192" t="s">
        <v>169</v>
      </c>
      <c r="BT7" s="1210"/>
      <c r="BU7" s="1210"/>
      <c r="BV7" s="1210"/>
      <c r="BW7" s="1210"/>
      <c r="BX7" s="1210"/>
      <c r="BY7" s="1210"/>
      <c r="BZ7" s="1210"/>
      <c r="CA7" s="1210"/>
      <c r="CB7" s="1210"/>
      <c r="CC7" s="1210"/>
      <c r="CD7" s="1210"/>
      <c r="CE7" s="1210"/>
      <c r="CF7" s="1210"/>
      <c r="CG7" s="1210"/>
      <c r="CH7" s="1210"/>
      <c r="CI7" s="1210"/>
      <c r="CJ7" s="1210"/>
      <c r="CK7" s="1210"/>
      <c r="CL7" s="1210"/>
      <c r="CM7" s="1210"/>
      <c r="CN7" s="1210"/>
      <c r="CO7" s="1210"/>
      <c r="CP7" s="1210"/>
      <c r="CQ7" s="1210"/>
      <c r="CR7" s="1210"/>
      <c r="CS7" s="1188" t="s">
        <v>120</v>
      </c>
      <c r="CT7" s="1190" t="s">
        <v>119</v>
      </c>
      <c r="CU7" s="1192" t="s">
        <v>168</v>
      </c>
      <c r="CV7" s="1057"/>
      <c r="CW7" s="1057"/>
      <c r="CX7" s="1057"/>
      <c r="CY7" s="1192" t="s">
        <v>169</v>
      </c>
      <c r="CZ7" s="1057"/>
      <c r="DA7" s="1057"/>
      <c r="DB7" s="1057"/>
      <c r="DC7" s="1057"/>
      <c r="DD7" s="1057"/>
      <c r="DE7" s="1057"/>
      <c r="DF7" s="1057"/>
      <c r="DG7" s="1057"/>
      <c r="DH7" s="1057"/>
      <c r="DI7" s="1057"/>
      <c r="DJ7" s="1057"/>
      <c r="DK7" s="1057"/>
      <c r="DL7" s="1057"/>
      <c r="DM7" s="1057"/>
      <c r="DN7" s="1057"/>
      <c r="DO7" s="1057"/>
      <c r="DP7" s="1057"/>
      <c r="DQ7" s="1057"/>
      <c r="DR7" s="1057"/>
      <c r="DS7" s="1057"/>
      <c r="DT7" s="1057"/>
      <c r="DU7" s="1057"/>
      <c r="DV7" s="1057"/>
      <c r="DW7" s="1057"/>
      <c r="DX7" s="1248" t="s">
        <v>120</v>
      </c>
      <c r="DY7" s="1248" t="s">
        <v>119</v>
      </c>
      <c r="DZ7" s="51" t="s">
        <v>168</v>
      </c>
      <c r="EA7" s="52"/>
      <c r="EB7" s="52"/>
      <c r="EC7" s="53"/>
      <c r="ED7" s="51" t="s">
        <v>169</v>
      </c>
      <c r="EE7" s="52"/>
      <c r="EF7" s="52"/>
      <c r="EG7" s="52"/>
      <c r="EH7" s="52"/>
      <c r="EI7" s="52"/>
      <c r="EJ7" s="52"/>
      <c r="EK7" s="52"/>
      <c r="EL7" s="52"/>
      <c r="EM7" s="52"/>
      <c r="EN7" s="52"/>
      <c r="EO7" s="52"/>
      <c r="EP7" s="52"/>
      <c r="EQ7" s="52"/>
      <c r="ER7" s="52"/>
      <c r="ES7" s="52"/>
      <c r="ET7" s="52"/>
      <c r="EU7" s="52"/>
      <c r="EV7" s="52"/>
      <c r="EW7" s="52"/>
      <c r="EX7" s="52"/>
      <c r="EY7" s="52"/>
      <c r="EZ7" s="52"/>
      <c r="FA7" s="53"/>
      <c r="FB7" s="1248" t="s">
        <v>120</v>
      </c>
      <c r="FC7" s="242"/>
      <c r="FD7" s="1248" t="s">
        <v>119</v>
      </c>
      <c r="FE7" s="241"/>
      <c r="FF7" s="1250" t="s">
        <v>168</v>
      </c>
      <c r="FG7" s="1251"/>
      <c r="FH7" s="1251"/>
      <c r="FI7" s="1252"/>
      <c r="FJ7" s="1246" t="s">
        <v>169</v>
      </c>
      <c r="FK7" s="1247"/>
      <c r="FL7" s="1247"/>
      <c r="FM7" s="1247"/>
      <c r="FN7" s="1247"/>
      <c r="FO7" s="1247"/>
      <c r="FP7" s="1247"/>
      <c r="FQ7" s="1247"/>
      <c r="FR7" s="1247"/>
      <c r="FS7" s="1247"/>
      <c r="FT7" s="1247"/>
      <c r="FU7" s="1247"/>
      <c r="FV7" s="1247"/>
      <c r="FW7" s="1247"/>
      <c r="FX7" s="1247"/>
      <c r="FY7" s="1247"/>
      <c r="FZ7" s="1247"/>
      <c r="GA7" s="1247"/>
      <c r="GB7" s="1247"/>
      <c r="GC7" s="1247"/>
      <c r="GD7" s="1247"/>
      <c r="GE7" s="1247"/>
      <c r="GF7" s="1247"/>
      <c r="GG7" s="1247"/>
      <c r="GH7" s="1247"/>
      <c r="GI7" s="1247"/>
      <c r="GJ7" s="1248" t="s">
        <v>120</v>
      </c>
      <c r="GK7" s="242"/>
      <c r="GL7" s="1248" t="s">
        <v>119</v>
      </c>
      <c r="GM7" s="241"/>
      <c r="GN7" s="1250" t="s">
        <v>168</v>
      </c>
      <c r="GO7" s="1251"/>
      <c r="GP7" s="1251"/>
      <c r="GQ7" s="1252"/>
      <c r="GR7" s="1246" t="s">
        <v>169</v>
      </c>
      <c r="GS7" s="1247"/>
      <c r="GT7" s="1247"/>
      <c r="GU7" s="1247"/>
      <c r="GV7" s="1247"/>
      <c r="GW7" s="1247"/>
      <c r="GX7" s="1247"/>
      <c r="GY7" s="1247"/>
      <c r="GZ7" s="1247"/>
      <c r="HA7" s="1247"/>
      <c r="HB7" s="1247"/>
      <c r="HC7" s="1247"/>
      <c r="HD7" s="1247"/>
      <c r="HE7" s="1247"/>
      <c r="HF7" s="1247"/>
      <c r="HG7" s="1247"/>
      <c r="HH7" s="1247"/>
      <c r="HI7" s="1247"/>
      <c r="HJ7" s="1247"/>
      <c r="HK7" s="1247"/>
      <c r="HL7" s="1247"/>
      <c r="HM7" s="1247"/>
      <c r="HN7" s="1247"/>
      <c r="HO7" s="1247"/>
      <c r="HP7" s="1247"/>
      <c r="HQ7" s="1247"/>
      <c r="HR7" s="1248" t="s">
        <v>120</v>
      </c>
      <c r="HS7" s="242"/>
      <c r="HT7" s="1248" t="s">
        <v>119</v>
      </c>
      <c r="HU7" s="241"/>
      <c r="HV7" s="1250" t="s">
        <v>168</v>
      </c>
      <c r="HW7" s="1251"/>
      <c r="HX7" s="1251"/>
      <c r="HY7" s="1252"/>
      <c r="HZ7" s="1246" t="s">
        <v>169</v>
      </c>
      <c r="IA7" s="1247"/>
      <c r="IB7" s="1247"/>
      <c r="IC7" s="1247"/>
      <c r="ID7" s="1247"/>
      <c r="IE7" s="1247"/>
      <c r="IF7" s="1247"/>
      <c r="IG7" s="1247"/>
      <c r="IH7" s="1247"/>
      <c r="II7" s="1247"/>
      <c r="IJ7" s="1247"/>
      <c r="IK7" s="1247"/>
      <c r="IL7" s="1247"/>
      <c r="IM7" s="1247"/>
      <c r="IN7" s="1247"/>
      <c r="IO7" s="1247"/>
      <c r="IP7" s="1247"/>
      <c r="IQ7" s="1247"/>
      <c r="IR7" s="1247"/>
      <c r="IS7" s="1247"/>
      <c r="IT7" s="1247"/>
      <c r="IU7" s="1247"/>
      <c r="IV7" s="1247"/>
      <c r="IW7" s="1247"/>
      <c r="IX7" s="1247"/>
      <c r="IY7" s="1247"/>
      <c r="IZ7" s="596" t="s">
        <v>120</v>
      </c>
      <c r="JA7" s="242"/>
      <c r="JB7" s="596" t="s">
        <v>119</v>
      </c>
      <c r="JC7" s="241"/>
      <c r="JD7" s="588" t="s">
        <v>168</v>
      </c>
      <c r="JE7" s="589"/>
      <c r="JF7" s="589"/>
      <c r="JG7" s="590"/>
      <c r="JH7" s="1256" t="s">
        <v>169</v>
      </c>
      <c r="JI7" s="1247"/>
      <c r="JJ7" s="1247"/>
      <c r="JK7" s="1247"/>
      <c r="JL7" s="1247"/>
      <c r="JM7" s="1247"/>
      <c r="JN7" s="1247"/>
      <c r="JO7" s="1247"/>
      <c r="JP7" s="1247"/>
      <c r="JQ7" s="1247"/>
      <c r="JR7" s="1247"/>
      <c r="JS7" s="1247"/>
      <c r="JT7" s="1247"/>
      <c r="JU7" s="1247"/>
      <c r="JV7" s="1247"/>
      <c r="JW7" s="1247"/>
      <c r="JX7" s="1247"/>
      <c r="JY7" s="1247"/>
      <c r="JZ7" s="1247"/>
      <c r="KA7" s="1247"/>
      <c r="KB7" s="1247"/>
      <c r="KC7" s="1247"/>
      <c r="KD7" s="1247"/>
      <c r="KE7" s="1247"/>
      <c r="KF7" s="1247"/>
      <c r="KG7" s="1247"/>
      <c r="KH7" s="596" t="s">
        <v>120</v>
      </c>
      <c r="KI7" s="1259" t="s">
        <v>963</v>
      </c>
      <c r="KJ7" s="596" t="s">
        <v>119</v>
      </c>
      <c r="KK7" s="1259" t="s">
        <v>964</v>
      </c>
      <c r="KL7" s="1260" t="s">
        <v>168</v>
      </c>
      <c r="KM7" s="1261"/>
      <c r="KN7" s="1261"/>
      <c r="KO7" s="1262"/>
      <c r="KP7" s="1256" t="s">
        <v>169</v>
      </c>
      <c r="KQ7" s="1247"/>
      <c r="KR7" s="1247"/>
      <c r="KS7" s="1247"/>
      <c r="KT7" s="1247"/>
      <c r="KU7" s="1247"/>
      <c r="KV7" s="1247"/>
      <c r="KW7" s="1247"/>
      <c r="KX7" s="1247"/>
      <c r="KY7" s="1247"/>
      <c r="KZ7" s="1247"/>
      <c r="LA7" s="1247"/>
      <c r="LB7" s="1247"/>
      <c r="LC7" s="1247"/>
      <c r="LD7" s="1247"/>
      <c r="LE7" s="1247"/>
      <c r="LF7" s="1247"/>
      <c r="LG7" s="1247"/>
      <c r="LH7" s="1247"/>
      <c r="LI7" s="1247"/>
      <c r="LJ7" s="1247"/>
      <c r="LK7" s="1247"/>
      <c r="LL7" s="1247"/>
      <c r="LM7" s="1247"/>
      <c r="LN7" s="1247"/>
      <c r="LO7" s="1247"/>
    </row>
    <row r="8" spans="1:327" ht="24.95" customHeight="1" x14ac:dyDescent="0.2">
      <c r="A8" s="1065"/>
      <c r="B8" s="1065"/>
      <c r="C8" s="1065"/>
      <c r="D8" s="1189"/>
      <c r="E8" s="1191"/>
      <c r="F8" s="7" t="s">
        <v>105</v>
      </c>
      <c r="G8" s="7" t="s">
        <v>48</v>
      </c>
      <c r="H8" s="7" t="s">
        <v>88</v>
      </c>
      <c r="I8" s="7" t="s">
        <v>57</v>
      </c>
      <c r="J8" s="7" t="s">
        <v>170</v>
      </c>
      <c r="K8" s="7" t="s">
        <v>171</v>
      </c>
      <c r="L8" s="7" t="s">
        <v>172</v>
      </c>
      <c r="M8" s="7" t="s">
        <v>178</v>
      </c>
      <c r="N8" s="7" t="s">
        <v>179</v>
      </c>
      <c r="O8" s="7" t="s">
        <v>180</v>
      </c>
      <c r="P8" s="7" t="s">
        <v>182</v>
      </c>
      <c r="Q8" s="7" t="s">
        <v>183</v>
      </c>
      <c r="R8" s="7" t="s">
        <v>184</v>
      </c>
      <c r="S8" s="7" t="s">
        <v>185</v>
      </c>
      <c r="T8" s="7" t="s">
        <v>186</v>
      </c>
      <c r="U8" s="7" t="s">
        <v>187</v>
      </c>
      <c r="V8" s="7" t="s">
        <v>188</v>
      </c>
      <c r="W8" s="7" t="s">
        <v>189</v>
      </c>
      <c r="X8" s="7" t="s">
        <v>190</v>
      </c>
      <c r="Y8" s="7" t="s">
        <v>191</v>
      </c>
      <c r="Z8" s="7" t="s">
        <v>192</v>
      </c>
      <c r="AA8" s="7" t="s">
        <v>193</v>
      </c>
      <c r="AB8" s="7" t="s">
        <v>194</v>
      </c>
      <c r="AC8" s="7" t="s">
        <v>195</v>
      </c>
      <c r="AD8" s="7" t="s">
        <v>196</v>
      </c>
      <c r="AE8" s="7" t="s">
        <v>197</v>
      </c>
      <c r="AF8" s="7" t="s">
        <v>198</v>
      </c>
      <c r="AG8" s="7" t="s">
        <v>199</v>
      </c>
      <c r="AH8" s="1189"/>
      <c r="AI8" s="1191"/>
      <c r="AJ8" s="16" t="s">
        <v>105</v>
      </c>
      <c r="AK8" s="16" t="s">
        <v>48</v>
      </c>
      <c r="AL8" s="16" t="s">
        <v>88</v>
      </c>
      <c r="AM8" s="16" t="s">
        <v>57</v>
      </c>
      <c r="AN8" s="16" t="s">
        <v>170</v>
      </c>
      <c r="AO8" s="16" t="s">
        <v>171</v>
      </c>
      <c r="AP8" s="16" t="s">
        <v>172</v>
      </c>
      <c r="AQ8" s="16" t="s">
        <v>178</v>
      </c>
      <c r="AR8" s="16" t="s">
        <v>179</v>
      </c>
      <c r="AS8" s="16" t="s">
        <v>180</v>
      </c>
      <c r="AT8" s="16" t="s">
        <v>182</v>
      </c>
      <c r="AU8" s="16" t="s">
        <v>183</v>
      </c>
      <c r="AV8" s="16" t="s">
        <v>184</v>
      </c>
      <c r="AW8" s="16" t="s">
        <v>185</v>
      </c>
      <c r="AX8" s="16" t="s">
        <v>186</v>
      </c>
      <c r="AY8" s="16" t="s">
        <v>187</v>
      </c>
      <c r="AZ8" s="16" t="s">
        <v>188</v>
      </c>
      <c r="BA8" s="16" t="s">
        <v>189</v>
      </c>
      <c r="BB8" s="16" t="s">
        <v>190</v>
      </c>
      <c r="BC8" s="16" t="s">
        <v>191</v>
      </c>
      <c r="BD8" s="16" t="s">
        <v>192</v>
      </c>
      <c r="BE8" s="16" t="s">
        <v>193</v>
      </c>
      <c r="BF8" s="16" t="s">
        <v>194</v>
      </c>
      <c r="BG8" s="16" t="s">
        <v>195</v>
      </c>
      <c r="BH8" s="16" t="s">
        <v>196</v>
      </c>
      <c r="BI8" s="16" t="s">
        <v>197</v>
      </c>
      <c r="BJ8" s="16" t="s">
        <v>198</v>
      </c>
      <c r="BK8" s="16" t="s">
        <v>199</v>
      </c>
      <c r="BL8" s="16" t="s">
        <v>205</v>
      </c>
      <c r="BM8" s="16" t="s">
        <v>120</v>
      </c>
      <c r="BN8" s="7" t="s">
        <v>119</v>
      </c>
      <c r="BO8" s="7" t="s">
        <v>105</v>
      </c>
      <c r="BP8" s="7" t="s">
        <v>48</v>
      </c>
      <c r="BQ8" s="7" t="s">
        <v>88</v>
      </c>
      <c r="BR8" s="7" t="s">
        <v>57</v>
      </c>
      <c r="BS8" s="7" t="s">
        <v>170</v>
      </c>
      <c r="BT8" s="7" t="s">
        <v>171</v>
      </c>
      <c r="BU8" s="7" t="s">
        <v>172</v>
      </c>
      <c r="BV8" s="7" t="s">
        <v>178</v>
      </c>
      <c r="BW8" s="7" t="s">
        <v>179</v>
      </c>
      <c r="BX8" s="7" t="s">
        <v>180</v>
      </c>
      <c r="BY8" s="7" t="s">
        <v>182</v>
      </c>
      <c r="BZ8" s="7" t="s">
        <v>183</v>
      </c>
      <c r="CA8" s="7" t="s">
        <v>184</v>
      </c>
      <c r="CB8" s="7" t="s">
        <v>185</v>
      </c>
      <c r="CC8" s="7" t="s">
        <v>186</v>
      </c>
      <c r="CD8" s="7" t="s">
        <v>187</v>
      </c>
      <c r="CE8" s="7" t="s">
        <v>188</v>
      </c>
      <c r="CF8" s="7" t="s">
        <v>189</v>
      </c>
      <c r="CG8" s="7" t="s">
        <v>190</v>
      </c>
      <c r="CH8" s="7" t="s">
        <v>191</v>
      </c>
      <c r="CI8" s="7" t="s">
        <v>192</v>
      </c>
      <c r="CJ8" s="7" t="s">
        <v>193</v>
      </c>
      <c r="CK8" s="7" t="s">
        <v>194</v>
      </c>
      <c r="CL8" s="7" t="s">
        <v>195</v>
      </c>
      <c r="CM8" s="7" t="s">
        <v>196</v>
      </c>
      <c r="CN8" s="7" t="s">
        <v>197</v>
      </c>
      <c r="CO8" s="7" t="s">
        <v>198</v>
      </c>
      <c r="CP8" s="7" t="s">
        <v>199</v>
      </c>
      <c r="CQ8" s="7" t="s">
        <v>205</v>
      </c>
      <c r="CR8" s="7" t="s">
        <v>206</v>
      </c>
      <c r="CS8" s="1189"/>
      <c r="CT8" s="1191"/>
      <c r="CU8" s="7">
        <v>1</v>
      </c>
      <c r="CV8" s="7">
        <v>2</v>
      </c>
      <c r="CW8" s="7">
        <v>3</v>
      </c>
      <c r="CX8" s="7">
        <v>4</v>
      </c>
      <c r="CY8" s="7" t="s">
        <v>170</v>
      </c>
      <c r="CZ8" s="7" t="s">
        <v>171</v>
      </c>
      <c r="DA8" s="7" t="s">
        <v>172</v>
      </c>
      <c r="DB8" s="7" t="s">
        <v>178</v>
      </c>
      <c r="DC8" s="7" t="s">
        <v>179</v>
      </c>
      <c r="DD8" s="7" t="s">
        <v>180</v>
      </c>
      <c r="DE8" s="7" t="s">
        <v>182</v>
      </c>
      <c r="DF8" s="7" t="s">
        <v>183</v>
      </c>
      <c r="DG8" s="7" t="s">
        <v>184</v>
      </c>
      <c r="DH8" s="7" t="s">
        <v>185</v>
      </c>
      <c r="DI8" s="7" t="s">
        <v>186</v>
      </c>
      <c r="DJ8" s="7" t="s">
        <v>187</v>
      </c>
      <c r="DK8" s="7" t="s">
        <v>188</v>
      </c>
      <c r="DL8" s="7" t="s">
        <v>189</v>
      </c>
      <c r="DM8" s="7" t="s">
        <v>190</v>
      </c>
      <c r="DN8" s="7" t="s">
        <v>191</v>
      </c>
      <c r="DO8" s="7" t="s">
        <v>192</v>
      </c>
      <c r="DP8" s="7" t="s">
        <v>193</v>
      </c>
      <c r="DQ8" s="7" t="s">
        <v>194</v>
      </c>
      <c r="DR8" s="7" t="s">
        <v>195</v>
      </c>
      <c r="DS8" s="7" t="s">
        <v>196</v>
      </c>
      <c r="DT8" s="7" t="s">
        <v>197</v>
      </c>
      <c r="DU8" s="7" t="s">
        <v>198</v>
      </c>
      <c r="DV8" s="7" t="s">
        <v>199</v>
      </c>
      <c r="DW8" s="7" t="s">
        <v>205</v>
      </c>
      <c r="DX8" s="1249"/>
      <c r="DY8" s="1249"/>
      <c r="DZ8" s="54" t="s">
        <v>105</v>
      </c>
      <c r="EA8" s="54" t="s">
        <v>48</v>
      </c>
      <c r="EB8" s="54" t="s">
        <v>88</v>
      </c>
      <c r="EC8" s="54" t="s">
        <v>57</v>
      </c>
      <c r="ED8" s="54" t="s">
        <v>170</v>
      </c>
      <c r="EE8" s="54" t="s">
        <v>171</v>
      </c>
      <c r="EF8" s="54" t="s">
        <v>172</v>
      </c>
      <c r="EG8" s="54" t="s">
        <v>178</v>
      </c>
      <c r="EH8" s="54" t="s">
        <v>179</v>
      </c>
      <c r="EI8" s="54" t="s">
        <v>180</v>
      </c>
      <c r="EJ8" s="54" t="s">
        <v>182</v>
      </c>
      <c r="EK8" s="54" t="s">
        <v>183</v>
      </c>
      <c r="EL8" s="54" t="s">
        <v>184</v>
      </c>
      <c r="EM8" s="54" t="s">
        <v>185</v>
      </c>
      <c r="EN8" s="54" t="s">
        <v>186</v>
      </c>
      <c r="EO8" s="54" t="s">
        <v>187</v>
      </c>
      <c r="EP8" s="54" t="s">
        <v>188</v>
      </c>
      <c r="EQ8" s="54" t="s">
        <v>189</v>
      </c>
      <c r="ER8" s="54" t="s">
        <v>190</v>
      </c>
      <c r="ES8" s="54" t="s">
        <v>191</v>
      </c>
      <c r="ET8" s="54" t="s">
        <v>192</v>
      </c>
      <c r="EU8" s="54" t="s">
        <v>193</v>
      </c>
      <c r="EV8" s="54" t="s">
        <v>194</v>
      </c>
      <c r="EW8" s="54" t="s">
        <v>195</v>
      </c>
      <c r="EX8" s="54" t="s">
        <v>196</v>
      </c>
      <c r="EY8" s="54" t="s">
        <v>197</v>
      </c>
      <c r="EZ8" s="54" t="s">
        <v>198</v>
      </c>
      <c r="FA8" s="54" t="s">
        <v>199</v>
      </c>
      <c r="FB8" s="1249"/>
      <c r="FC8" s="264"/>
      <c r="FD8" s="1249"/>
      <c r="FE8" s="242"/>
      <c r="FF8" s="54" t="s">
        <v>105</v>
      </c>
      <c r="FG8" s="54" t="s">
        <v>48</v>
      </c>
      <c r="FH8" s="54" t="s">
        <v>88</v>
      </c>
      <c r="FI8" s="54" t="s">
        <v>57</v>
      </c>
      <c r="FJ8" s="54" t="s">
        <v>170</v>
      </c>
      <c r="FK8" s="54" t="s">
        <v>171</v>
      </c>
      <c r="FL8" s="54" t="s">
        <v>172</v>
      </c>
      <c r="FM8" s="54" t="s">
        <v>178</v>
      </c>
      <c r="FN8" s="54" t="s">
        <v>179</v>
      </c>
      <c r="FO8" s="54" t="s">
        <v>180</v>
      </c>
      <c r="FP8" s="54" t="s">
        <v>182</v>
      </c>
      <c r="FQ8" s="54" t="s">
        <v>183</v>
      </c>
      <c r="FR8" s="54" t="s">
        <v>184</v>
      </c>
      <c r="FS8" s="54" t="s">
        <v>185</v>
      </c>
      <c r="FT8" s="54" t="s">
        <v>186</v>
      </c>
      <c r="FU8" s="54" t="s">
        <v>187</v>
      </c>
      <c r="FV8" s="54" t="s">
        <v>188</v>
      </c>
      <c r="FW8" s="54" t="s">
        <v>189</v>
      </c>
      <c r="FX8" s="54" t="s">
        <v>190</v>
      </c>
      <c r="FY8" s="54" t="s">
        <v>191</v>
      </c>
      <c r="FZ8" s="54" t="s">
        <v>192</v>
      </c>
      <c r="GA8" s="54" t="s">
        <v>193</v>
      </c>
      <c r="GB8" s="54" t="s">
        <v>194</v>
      </c>
      <c r="GC8" s="54" t="s">
        <v>195</v>
      </c>
      <c r="GD8" s="54" t="s">
        <v>196</v>
      </c>
      <c r="GE8" s="54" t="s">
        <v>197</v>
      </c>
      <c r="GF8" s="54" t="s">
        <v>198</v>
      </c>
      <c r="GG8" s="54" t="s">
        <v>199</v>
      </c>
      <c r="GH8" s="266" t="s">
        <v>205</v>
      </c>
      <c r="GI8" s="266" t="s">
        <v>206</v>
      </c>
      <c r="GJ8" s="1249"/>
      <c r="GK8" s="264"/>
      <c r="GL8" s="1249"/>
      <c r="GM8" s="242"/>
      <c r="GN8" s="54" t="s">
        <v>105</v>
      </c>
      <c r="GO8" s="54" t="s">
        <v>48</v>
      </c>
      <c r="GP8" s="54" t="s">
        <v>88</v>
      </c>
      <c r="GQ8" s="54" t="s">
        <v>57</v>
      </c>
      <c r="GR8" s="16" t="s">
        <v>170</v>
      </c>
      <c r="GS8" s="16" t="s">
        <v>171</v>
      </c>
      <c r="GT8" s="16" t="s">
        <v>172</v>
      </c>
      <c r="GU8" s="16" t="s">
        <v>178</v>
      </c>
      <c r="GV8" s="16" t="s">
        <v>179</v>
      </c>
      <c r="GW8" s="16" t="s">
        <v>180</v>
      </c>
      <c r="GX8" s="16" t="s">
        <v>182</v>
      </c>
      <c r="GY8" s="16" t="s">
        <v>183</v>
      </c>
      <c r="GZ8" s="16" t="s">
        <v>184</v>
      </c>
      <c r="HA8" s="16" t="s">
        <v>185</v>
      </c>
      <c r="HB8" s="16" t="s">
        <v>186</v>
      </c>
      <c r="HC8" s="16" t="s">
        <v>187</v>
      </c>
      <c r="HD8" s="16" t="s">
        <v>188</v>
      </c>
      <c r="HE8" s="16" t="s">
        <v>189</v>
      </c>
      <c r="HF8" s="16" t="s">
        <v>190</v>
      </c>
      <c r="HG8" s="16" t="s">
        <v>191</v>
      </c>
      <c r="HH8" s="16" t="s">
        <v>192</v>
      </c>
      <c r="HI8" s="16" t="s">
        <v>193</v>
      </c>
      <c r="HJ8" s="16" t="s">
        <v>194</v>
      </c>
      <c r="HK8" s="16" t="s">
        <v>195</v>
      </c>
      <c r="HL8" s="16" t="s">
        <v>196</v>
      </c>
      <c r="HM8" s="16" t="s">
        <v>197</v>
      </c>
      <c r="HN8" s="16" t="s">
        <v>198</v>
      </c>
      <c r="HO8" s="16" t="s">
        <v>199</v>
      </c>
      <c r="HP8" s="248" t="s">
        <v>205</v>
      </c>
      <c r="HQ8" s="248" t="s">
        <v>206</v>
      </c>
      <c r="HR8" s="1249"/>
      <c r="HS8" s="264"/>
      <c r="HT8" s="1249"/>
      <c r="HU8" s="242"/>
      <c r="HV8" s="54" t="s">
        <v>105</v>
      </c>
      <c r="HW8" s="54" t="s">
        <v>48</v>
      </c>
      <c r="HX8" s="54" t="s">
        <v>88</v>
      </c>
      <c r="HY8" s="54" t="s">
        <v>57</v>
      </c>
      <c r="HZ8" s="16" t="s">
        <v>170</v>
      </c>
      <c r="IA8" s="16" t="s">
        <v>171</v>
      </c>
      <c r="IB8" s="16" t="s">
        <v>172</v>
      </c>
      <c r="IC8" s="16" t="s">
        <v>178</v>
      </c>
      <c r="ID8" s="16" t="s">
        <v>179</v>
      </c>
      <c r="IE8" s="16" t="s">
        <v>180</v>
      </c>
      <c r="IF8" s="16" t="s">
        <v>182</v>
      </c>
      <c r="IG8" s="16" t="s">
        <v>183</v>
      </c>
      <c r="IH8" s="16" t="s">
        <v>184</v>
      </c>
      <c r="II8" s="16" t="s">
        <v>185</v>
      </c>
      <c r="IJ8" s="16" t="s">
        <v>186</v>
      </c>
      <c r="IK8" s="16" t="s">
        <v>187</v>
      </c>
      <c r="IL8" s="16" t="s">
        <v>188</v>
      </c>
      <c r="IM8" s="16" t="s">
        <v>189</v>
      </c>
      <c r="IN8" s="16" t="s">
        <v>190</v>
      </c>
      <c r="IO8" s="16" t="s">
        <v>191</v>
      </c>
      <c r="IP8" s="16" t="s">
        <v>192</v>
      </c>
      <c r="IQ8" s="16" t="s">
        <v>193</v>
      </c>
      <c r="IR8" s="16" t="s">
        <v>194</v>
      </c>
      <c r="IS8" s="16" t="s">
        <v>195</v>
      </c>
      <c r="IT8" s="16" t="s">
        <v>196</v>
      </c>
      <c r="IU8" s="16" t="s">
        <v>197</v>
      </c>
      <c r="IV8" s="16" t="s">
        <v>198</v>
      </c>
      <c r="IW8" s="16" t="s">
        <v>199</v>
      </c>
      <c r="IX8" s="248" t="s">
        <v>205</v>
      </c>
      <c r="IY8" s="248" t="s">
        <v>206</v>
      </c>
      <c r="IZ8" s="597"/>
      <c r="JA8" s="264"/>
      <c r="JB8" s="597"/>
      <c r="JC8" s="242"/>
      <c r="JD8" s="54" t="s">
        <v>105</v>
      </c>
      <c r="JE8" s="54" t="s">
        <v>48</v>
      </c>
      <c r="JF8" s="54" t="s">
        <v>88</v>
      </c>
      <c r="JG8" s="54" t="s">
        <v>57</v>
      </c>
      <c r="JH8" s="248" t="s">
        <v>170</v>
      </c>
      <c r="JI8" s="248" t="s">
        <v>171</v>
      </c>
      <c r="JJ8" s="248" t="s">
        <v>172</v>
      </c>
      <c r="JK8" s="248" t="s">
        <v>178</v>
      </c>
      <c r="JL8" s="248" t="s">
        <v>179</v>
      </c>
      <c r="JM8" s="248" t="s">
        <v>180</v>
      </c>
      <c r="JN8" s="248" t="s">
        <v>182</v>
      </c>
      <c r="JO8" s="248" t="s">
        <v>183</v>
      </c>
      <c r="JP8" s="248" t="s">
        <v>184</v>
      </c>
      <c r="JQ8" s="248" t="s">
        <v>185</v>
      </c>
      <c r="JR8" s="248" t="s">
        <v>186</v>
      </c>
      <c r="JS8" s="248" t="s">
        <v>187</v>
      </c>
      <c r="JT8" s="248" t="s">
        <v>188</v>
      </c>
      <c r="JU8" s="248" t="s">
        <v>189</v>
      </c>
      <c r="JV8" s="248" t="s">
        <v>190</v>
      </c>
      <c r="JW8" s="248" t="s">
        <v>191</v>
      </c>
      <c r="JX8" s="248" t="s">
        <v>192</v>
      </c>
      <c r="JY8" s="248" t="s">
        <v>193</v>
      </c>
      <c r="JZ8" s="248" t="s">
        <v>194</v>
      </c>
      <c r="KA8" s="248" t="s">
        <v>195</v>
      </c>
      <c r="KB8" s="248" t="s">
        <v>196</v>
      </c>
      <c r="KC8" s="248" t="s">
        <v>197</v>
      </c>
      <c r="KD8" s="248" t="s">
        <v>198</v>
      </c>
      <c r="KE8" s="248" t="s">
        <v>199</v>
      </c>
      <c r="KF8" s="248" t="s">
        <v>205</v>
      </c>
      <c r="KG8" s="248" t="s">
        <v>206</v>
      </c>
      <c r="KH8" s="597"/>
      <c r="KI8" s="1259" t="s">
        <v>11</v>
      </c>
      <c r="KJ8" s="597"/>
      <c r="KK8" s="1259" t="s">
        <v>11</v>
      </c>
      <c r="KL8" s="54" t="s">
        <v>105</v>
      </c>
      <c r="KM8" s="54" t="s">
        <v>48</v>
      </c>
      <c r="KN8" s="54" t="s">
        <v>88</v>
      </c>
      <c r="KO8" s="54" t="s">
        <v>57</v>
      </c>
      <c r="KP8" s="893" t="s">
        <v>170</v>
      </c>
      <c r="KQ8" s="893" t="s">
        <v>171</v>
      </c>
      <c r="KR8" s="893" t="s">
        <v>172</v>
      </c>
      <c r="KS8" s="893" t="s">
        <v>178</v>
      </c>
      <c r="KT8" s="893" t="s">
        <v>179</v>
      </c>
      <c r="KU8" s="893" t="s">
        <v>180</v>
      </c>
      <c r="KV8" s="893" t="s">
        <v>182</v>
      </c>
      <c r="KW8" s="893" t="s">
        <v>183</v>
      </c>
      <c r="KX8" s="893" t="s">
        <v>184</v>
      </c>
      <c r="KY8" s="893" t="s">
        <v>185</v>
      </c>
      <c r="KZ8" s="893" t="s">
        <v>186</v>
      </c>
      <c r="LA8" s="893" t="s">
        <v>187</v>
      </c>
      <c r="LB8" s="893" t="s">
        <v>188</v>
      </c>
      <c r="LC8" s="893" t="s">
        <v>189</v>
      </c>
      <c r="LD8" s="893" t="s">
        <v>190</v>
      </c>
      <c r="LE8" s="893" t="s">
        <v>191</v>
      </c>
      <c r="LF8" s="893" t="s">
        <v>192</v>
      </c>
      <c r="LG8" s="893" t="s">
        <v>193</v>
      </c>
      <c r="LH8" s="893" t="s">
        <v>194</v>
      </c>
      <c r="LI8" s="893" t="s">
        <v>195</v>
      </c>
      <c r="LJ8" s="893" t="s">
        <v>196</v>
      </c>
      <c r="LK8" s="893" t="s">
        <v>197</v>
      </c>
      <c r="LL8" s="893" t="s">
        <v>198</v>
      </c>
      <c r="LM8" s="893" t="s">
        <v>199</v>
      </c>
      <c r="LN8" s="893" t="s">
        <v>205</v>
      </c>
      <c r="LO8" s="893" t="s">
        <v>206</v>
      </c>
    </row>
    <row r="9" spans="1:327" ht="187.5" customHeight="1" x14ac:dyDescent="0.2">
      <c r="A9" s="29"/>
      <c r="B9" s="29"/>
      <c r="C9" s="29"/>
      <c r="D9" s="83"/>
      <c r="E9" s="29"/>
      <c r="F9" s="29"/>
      <c r="G9" s="29"/>
      <c r="H9" s="29"/>
      <c r="I9" s="29"/>
      <c r="J9" s="113" t="s">
        <v>262</v>
      </c>
      <c r="K9" s="113" t="s">
        <v>263</v>
      </c>
      <c r="L9" s="113" t="s">
        <v>264</v>
      </c>
      <c r="M9" s="113" t="s">
        <v>265</v>
      </c>
      <c r="N9" s="113" t="s">
        <v>266</v>
      </c>
      <c r="O9" s="113" t="s">
        <v>267</v>
      </c>
      <c r="P9" s="113" t="s">
        <v>268</v>
      </c>
      <c r="Q9" s="113" t="s">
        <v>269</v>
      </c>
      <c r="R9" s="111" t="s">
        <v>663</v>
      </c>
      <c r="S9" s="111" t="s">
        <v>286</v>
      </c>
      <c r="T9" s="111" t="s">
        <v>280</v>
      </c>
      <c r="U9" s="111" t="s">
        <v>281</v>
      </c>
      <c r="V9" s="111" t="s">
        <v>277</v>
      </c>
      <c r="W9" s="111" t="s">
        <v>271</v>
      </c>
      <c r="X9" s="111" t="s">
        <v>278</v>
      </c>
      <c r="Y9" s="111" t="s">
        <v>272</v>
      </c>
      <c r="Z9" s="112" t="s">
        <v>284</v>
      </c>
      <c r="AA9" s="112" t="s">
        <v>273</v>
      </c>
      <c r="AB9" s="112" t="s">
        <v>279</v>
      </c>
      <c r="AC9" s="112" t="s">
        <v>285</v>
      </c>
      <c r="AD9" s="112" t="s">
        <v>282</v>
      </c>
      <c r="AE9" s="112" t="s">
        <v>283</v>
      </c>
      <c r="AF9" s="112" t="s">
        <v>276</v>
      </c>
      <c r="AG9" s="110" t="s">
        <v>270</v>
      </c>
      <c r="AH9" s="83"/>
      <c r="AI9" s="29"/>
      <c r="AJ9" s="83"/>
      <c r="AK9" s="83"/>
      <c r="AL9" s="83"/>
      <c r="AM9" s="83"/>
      <c r="AN9" s="113" t="s">
        <v>262</v>
      </c>
      <c r="AO9" s="113" t="s">
        <v>263</v>
      </c>
      <c r="AP9" s="113" t="s">
        <v>264</v>
      </c>
      <c r="AQ9" s="113" t="s">
        <v>265</v>
      </c>
      <c r="AR9" s="113" t="s">
        <v>266</v>
      </c>
      <c r="AS9" s="113" t="s">
        <v>268</v>
      </c>
      <c r="AT9" s="113" t="s">
        <v>269</v>
      </c>
      <c r="AU9" s="111" t="s">
        <v>262</v>
      </c>
      <c r="AV9" s="111" t="s">
        <v>286</v>
      </c>
      <c r="AW9" s="111" t="s">
        <v>280</v>
      </c>
      <c r="AX9" s="111" t="s">
        <v>281</v>
      </c>
      <c r="AY9" s="111" t="s">
        <v>277</v>
      </c>
      <c r="AZ9" s="111" t="s">
        <v>271</v>
      </c>
      <c r="BA9" s="111" t="s">
        <v>278</v>
      </c>
      <c r="BB9" s="111" t="s">
        <v>272</v>
      </c>
      <c r="BC9" s="112" t="s">
        <v>284</v>
      </c>
      <c r="BD9" s="112" t="s">
        <v>273</v>
      </c>
      <c r="BE9" s="112" t="s">
        <v>279</v>
      </c>
      <c r="BF9" s="112" t="s">
        <v>275</v>
      </c>
      <c r="BG9" s="112" t="s">
        <v>285</v>
      </c>
      <c r="BH9" s="112" t="s">
        <v>282</v>
      </c>
      <c r="BI9" s="112" t="s">
        <v>283</v>
      </c>
      <c r="BJ9" s="112" t="s">
        <v>276</v>
      </c>
      <c r="BK9" s="110" t="s">
        <v>270</v>
      </c>
      <c r="BL9" s="110" t="s">
        <v>274</v>
      </c>
      <c r="BM9" s="83"/>
      <c r="BN9" s="29"/>
      <c r="BO9" s="29"/>
      <c r="BP9" s="29"/>
      <c r="BQ9" s="29"/>
      <c r="BR9" s="29"/>
      <c r="BS9" s="112" t="s">
        <v>283</v>
      </c>
      <c r="BT9" s="113" t="s">
        <v>264</v>
      </c>
      <c r="BU9" s="111" t="s">
        <v>663</v>
      </c>
      <c r="BV9" s="112" t="s">
        <v>279</v>
      </c>
      <c r="BW9" s="110" t="s">
        <v>274</v>
      </c>
      <c r="BX9" s="113" t="s">
        <v>266</v>
      </c>
      <c r="BY9" s="113" t="s">
        <v>269</v>
      </c>
      <c r="BZ9" s="112" t="s">
        <v>276</v>
      </c>
      <c r="CA9" s="113" t="s">
        <v>262</v>
      </c>
      <c r="CB9" s="111" t="s">
        <v>281</v>
      </c>
      <c r="CC9" s="111" t="s">
        <v>277</v>
      </c>
      <c r="CD9" s="110" t="s">
        <v>270</v>
      </c>
      <c r="CE9" s="111" t="s">
        <v>280</v>
      </c>
      <c r="CF9" s="111" t="s">
        <v>271</v>
      </c>
      <c r="CG9" s="112" t="s">
        <v>285</v>
      </c>
      <c r="CH9" s="113" t="s">
        <v>268</v>
      </c>
      <c r="CI9" s="112" t="s">
        <v>273</v>
      </c>
      <c r="CJ9" s="112" t="s">
        <v>275</v>
      </c>
      <c r="CK9" s="112" t="s">
        <v>282</v>
      </c>
      <c r="CL9" s="113" t="s">
        <v>265</v>
      </c>
      <c r="CM9" s="113" t="s">
        <v>267</v>
      </c>
      <c r="CN9" s="111" t="s">
        <v>278</v>
      </c>
      <c r="CO9" s="111" t="s">
        <v>272</v>
      </c>
      <c r="CP9" s="113" t="s">
        <v>263</v>
      </c>
      <c r="CQ9" s="111" t="s">
        <v>286</v>
      </c>
      <c r="CR9" s="112" t="s">
        <v>284</v>
      </c>
      <c r="CS9" s="83"/>
      <c r="CT9" s="29"/>
      <c r="CU9" s="29"/>
      <c r="CV9" s="29"/>
      <c r="CW9" s="29"/>
      <c r="CX9" s="29"/>
      <c r="CY9" s="112" t="s">
        <v>276</v>
      </c>
      <c r="CZ9" s="113" t="s">
        <v>266</v>
      </c>
      <c r="DA9" s="113" t="s">
        <v>268</v>
      </c>
      <c r="DB9" s="111" t="s">
        <v>281</v>
      </c>
      <c r="DC9" s="112" t="s">
        <v>282</v>
      </c>
      <c r="DD9" s="112" t="s">
        <v>283</v>
      </c>
      <c r="DE9" s="113" t="s">
        <v>264</v>
      </c>
      <c r="DF9" s="112" t="s">
        <v>284</v>
      </c>
      <c r="DG9" s="112" t="s">
        <v>285</v>
      </c>
      <c r="DH9" s="113" t="s">
        <v>269</v>
      </c>
      <c r="DI9" s="111" t="s">
        <v>277</v>
      </c>
      <c r="DJ9" s="111" t="s">
        <v>278</v>
      </c>
      <c r="DK9" s="113" t="s">
        <v>265</v>
      </c>
      <c r="DL9" s="112" t="s">
        <v>279</v>
      </c>
      <c r="DM9" s="113" t="s">
        <v>262</v>
      </c>
      <c r="DN9" s="113" t="s">
        <v>263</v>
      </c>
      <c r="DO9" s="111" t="s">
        <v>280</v>
      </c>
      <c r="DP9" s="110" t="s">
        <v>270</v>
      </c>
      <c r="DQ9" s="111" t="s">
        <v>286</v>
      </c>
      <c r="DR9" s="111" t="s">
        <v>271</v>
      </c>
      <c r="DS9" s="111" t="s">
        <v>272</v>
      </c>
      <c r="DT9" s="112" t="s">
        <v>273</v>
      </c>
      <c r="DU9" s="113" t="s">
        <v>267</v>
      </c>
      <c r="DV9" s="110" t="s">
        <v>274</v>
      </c>
      <c r="DW9" s="112" t="s">
        <v>275</v>
      </c>
      <c r="DX9" s="132"/>
      <c r="DY9" s="132"/>
      <c r="DZ9" s="84"/>
      <c r="EA9" s="84"/>
      <c r="EB9" s="84"/>
      <c r="EC9" s="84"/>
      <c r="ED9" s="598" t="s">
        <v>268</v>
      </c>
      <c r="EE9" s="598" t="s">
        <v>262</v>
      </c>
      <c r="EF9" s="599" t="s">
        <v>272</v>
      </c>
      <c r="EG9" s="600" t="s">
        <v>279</v>
      </c>
      <c r="EH9" s="600" t="s">
        <v>285</v>
      </c>
      <c r="EI9" s="601" t="s">
        <v>274</v>
      </c>
      <c r="EJ9" s="598" t="s">
        <v>269</v>
      </c>
      <c r="EK9" s="600" t="s">
        <v>283</v>
      </c>
      <c r="EL9" s="598" t="s">
        <v>266</v>
      </c>
      <c r="EM9" s="599" t="s">
        <v>277</v>
      </c>
      <c r="EN9" s="599" t="s">
        <v>278</v>
      </c>
      <c r="EO9" s="600" t="s">
        <v>276</v>
      </c>
      <c r="EP9" s="598" t="s">
        <v>265</v>
      </c>
      <c r="EQ9" s="599" t="s">
        <v>280</v>
      </c>
      <c r="ER9" s="600" t="s">
        <v>282</v>
      </c>
      <c r="ES9" s="598" t="s">
        <v>264</v>
      </c>
      <c r="ET9" s="599" t="s">
        <v>281</v>
      </c>
      <c r="EU9" s="600" t="s">
        <v>273</v>
      </c>
      <c r="EV9" s="600" t="s">
        <v>275</v>
      </c>
      <c r="EW9" s="601" t="s">
        <v>270</v>
      </c>
      <c r="EX9" s="598" t="s">
        <v>263</v>
      </c>
      <c r="EY9" s="599" t="s">
        <v>286</v>
      </c>
      <c r="EZ9" s="599" t="s">
        <v>271</v>
      </c>
      <c r="FA9" s="600" t="s">
        <v>284</v>
      </c>
      <c r="FB9" s="132"/>
      <c r="FC9" s="267"/>
      <c r="FD9" s="132"/>
      <c r="FE9" s="84"/>
      <c r="FF9" s="84"/>
      <c r="FG9" s="84"/>
      <c r="FH9" s="84"/>
      <c r="FI9" s="84"/>
      <c r="FJ9" s="112" t="s">
        <v>285</v>
      </c>
      <c r="FK9" s="112" t="s">
        <v>276</v>
      </c>
      <c r="FL9" s="113" t="s">
        <v>263</v>
      </c>
      <c r="FM9" s="111" t="s">
        <v>280</v>
      </c>
      <c r="FN9" s="112" t="s">
        <v>279</v>
      </c>
      <c r="FO9" s="112" t="s">
        <v>282</v>
      </c>
      <c r="FP9" s="113" t="s">
        <v>262</v>
      </c>
      <c r="FQ9" s="111" t="s">
        <v>271</v>
      </c>
      <c r="FR9" s="111" t="s">
        <v>278</v>
      </c>
      <c r="FS9" s="112" t="s">
        <v>273</v>
      </c>
      <c r="FT9" s="110" t="s">
        <v>274</v>
      </c>
      <c r="FU9" s="111" t="s">
        <v>281</v>
      </c>
      <c r="FV9" s="112" t="s">
        <v>275</v>
      </c>
      <c r="FW9" s="110" t="s">
        <v>270</v>
      </c>
      <c r="FX9" s="113" t="s">
        <v>265</v>
      </c>
      <c r="FY9" s="111" t="s">
        <v>277</v>
      </c>
      <c r="FZ9" s="111" t="s">
        <v>272</v>
      </c>
      <c r="GA9" s="112" t="s">
        <v>283</v>
      </c>
      <c r="GB9" s="265" t="s">
        <v>267</v>
      </c>
      <c r="GC9" s="113" t="s">
        <v>266</v>
      </c>
      <c r="GD9" s="111" t="s">
        <v>286</v>
      </c>
      <c r="GE9" s="112" t="s">
        <v>284</v>
      </c>
      <c r="GF9" s="113" t="s">
        <v>264</v>
      </c>
      <c r="GG9" s="113" t="s">
        <v>268</v>
      </c>
      <c r="GH9" s="111" t="s">
        <v>287</v>
      </c>
      <c r="GI9" s="113" t="s">
        <v>269</v>
      </c>
      <c r="GJ9" s="132"/>
      <c r="GK9" s="267"/>
      <c r="GL9" s="132"/>
      <c r="GM9" s="84"/>
      <c r="GN9" s="84"/>
      <c r="GO9" s="84"/>
      <c r="GP9" s="84"/>
      <c r="GQ9" s="84"/>
      <c r="GR9" s="337" t="s">
        <v>265</v>
      </c>
      <c r="GS9" s="337" t="s">
        <v>266</v>
      </c>
      <c r="GT9" s="337" t="s">
        <v>269</v>
      </c>
      <c r="GU9" s="338" t="s">
        <v>277</v>
      </c>
      <c r="GV9" s="337" t="s">
        <v>263</v>
      </c>
      <c r="GW9" s="338" t="s">
        <v>280</v>
      </c>
      <c r="GX9" s="339" t="s">
        <v>282</v>
      </c>
      <c r="GY9" s="339" t="s">
        <v>279</v>
      </c>
      <c r="GZ9" s="339" t="s">
        <v>285</v>
      </c>
      <c r="HA9" s="338" t="s">
        <v>281</v>
      </c>
      <c r="HB9" s="340" t="s">
        <v>267</v>
      </c>
      <c r="HC9" s="338" t="s">
        <v>287</v>
      </c>
      <c r="HD9" s="338" t="s">
        <v>286</v>
      </c>
      <c r="HE9" s="338" t="s">
        <v>278</v>
      </c>
      <c r="HF9" s="338" t="s">
        <v>271</v>
      </c>
      <c r="HG9" s="339" t="s">
        <v>276</v>
      </c>
      <c r="HH9" s="337" t="s">
        <v>268</v>
      </c>
      <c r="HI9" s="339" t="s">
        <v>283</v>
      </c>
      <c r="HJ9" s="339" t="s">
        <v>273</v>
      </c>
      <c r="HK9" s="339" t="s">
        <v>284</v>
      </c>
      <c r="HL9" s="341" t="s">
        <v>274</v>
      </c>
      <c r="HM9" s="338" t="s">
        <v>272</v>
      </c>
      <c r="HN9" s="341" t="s">
        <v>270</v>
      </c>
      <c r="HO9" s="337" t="s">
        <v>262</v>
      </c>
      <c r="HP9" s="337" t="s">
        <v>264</v>
      </c>
      <c r="HQ9" s="339" t="s">
        <v>275</v>
      </c>
      <c r="HZ9" s="341" t="s">
        <v>274</v>
      </c>
      <c r="IA9" s="337" t="s">
        <v>263</v>
      </c>
      <c r="IB9" s="337" t="s">
        <v>264</v>
      </c>
      <c r="IC9" s="337" t="s">
        <v>265</v>
      </c>
      <c r="ID9" s="339" t="s">
        <v>283</v>
      </c>
      <c r="IE9" s="341" t="s">
        <v>270</v>
      </c>
      <c r="IF9" s="337" t="s">
        <v>266</v>
      </c>
      <c r="IG9" s="338" t="s">
        <v>271</v>
      </c>
      <c r="IH9" s="339" t="s">
        <v>273</v>
      </c>
      <c r="II9" s="338" t="s">
        <v>280</v>
      </c>
      <c r="IJ9" s="338" t="s">
        <v>281</v>
      </c>
      <c r="IK9" s="339" t="s">
        <v>284</v>
      </c>
      <c r="IL9" s="338" t="s">
        <v>277</v>
      </c>
      <c r="IM9" s="339" t="s">
        <v>285</v>
      </c>
      <c r="IN9" s="337" t="s">
        <v>269</v>
      </c>
      <c r="IO9" s="338" t="s">
        <v>287</v>
      </c>
      <c r="IP9" s="337" t="s">
        <v>268</v>
      </c>
      <c r="IQ9" s="338" t="s">
        <v>286</v>
      </c>
      <c r="IR9" s="338" t="s">
        <v>278</v>
      </c>
      <c r="IS9" s="340" t="s">
        <v>267</v>
      </c>
      <c r="IT9" s="338" t="s">
        <v>272</v>
      </c>
      <c r="IU9" s="339" t="s">
        <v>279</v>
      </c>
      <c r="IV9" s="339" t="s">
        <v>276</v>
      </c>
      <c r="IW9" s="339" t="s">
        <v>275</v>
      </c>
      <c r="IX9" s="339" t="s">
        <v>282</v>
      </c>
      <c r="IY9" s="337" t="s">
        <v>262</v>
      </c>
      <c r="JH9" s="591" t="s">
        <v>262</v>
      </c>
      <c r="JI9" s="591" t="s">
        <v>263</v>
      </c>
      <c r="JJ9" s="591" t="s">
        <v>264</v>
      </c>
      <c r="JK9" s="591" t="s">
        <v>265</v>
      </c>
      <c r="JL9" s="591" t="s">
        <v>266</v>
      </c>
      <c r="JM9" s="595" t="s">
        <v>267</v>
      </c>
      <c r="JN9" s="591" t="s">
        <v>268</v>
      </c>
      <c r="JO9" s="591" t="s">
        <v>269</v>
      </c>
      <c r="JP9" s="594" t="s">
        <v>287</v>
      </c>
      <c r="JQ9" s="594" t="s">
        <v>286</v>
      </c>
      <c r="JR9" s="594" t="s">
        <v>280</v>
      </c>
      <c r="JS9" s="594" t="s">
        <v>281</v>
      </c>
      <c r="JT9" s="594" t="s">
        <v>277</v>
      </c>
      <c r="JU9" s="594" t="s">
        <v>271</v>
      </c>
      <c r="JV9" s="594" t="s">
        <v>278</v>
      </c>
      <c r="JW9" s="594" t="s">
        <v>272</v>
      </c>
      <c r="JX9" s="593" t="s">
        <v>284</v>
      </c>
      <c r="JY9" s="593" t="s">
        <v>273</v>
      </c>
      <c r="JZ9" s="593" t="s">
        <v>279</v>
      </c>
      <c r="KA9" s="593" t="s">
        <v>275</v>
      </c>
      <c r="KB9" s="593" t="s">
        <v>285</v>
      </c>
      <c r="KC9" s="593" t="s">
        <v>282</v>
      </c>
      <c r="KD9" s="593" t="s">
        <v>283</v>
      </c>
      <c r="KE9" s="593" t="s">
        <v>276</v>
      </c>
      <c r="KF9" s="592" t="s">
        <v>274</v>
      </c>
      <c r="KG9" s="592" t="s">
        <v>270</v>
      </c>
      <c r="KH9" s="892"/>
      <c r="KI9" s="892"/>
      <c r="KJ9" s="892"/>
      <c r="KK9" s="892"/>
      <c r="KL9" s="892"/>
      <c r="KM9" s="892"/>
      <c r="KN9" s="892"/>
      <c r="KO9" s="892"/>
      <c r="KP9" s="591" t="s">
        <v>262</v>
      </c>
      <c r="KQ9" s="591" t="s">
        <v>263</v>
      </c>
      <c r="KR9" s="591" t="s">
        <v>264</v>
      </c>
      <c r="KS9" s="591" t="s">
        <v>265</v>
      </c>
      <c r="KT9" s="591" t="s">
        <v>266</v>
      </c>
      <c r="KU9" s="595" t="s">
        <v>267</v>
      </c>
      <c r="KV9" s="591" t="s">
        <v>268</v>
      </c>
      <c r="KW9" s="591" t="s">
        <v>269</v>
      </c>
      <c r="KX9" s="594" t="s">
        <v>287</v>
      </c>
      <c r="KY9" s="594" t="s">
        <v>286</v>
      </c>
      <c r="KZ9" s="594" t="s">
        <v>280</v>
      </c>
      <c r="LA9" s="594" t="s">
        <v>281</v>
      </c>
      <c r="LB9" s="594" t="s">
        <v>277</v>
      </c>
      <c r="LC9" s="594" t="s">
        <v>271</v>
      </c>
      <c r="LD9" s="594" t="s">
        <v>278</v>
      </c>
      <c r="LE9" s="594" t="s">
        <v>272</v>
      </c>
      <c r="LF9" s="593" t="s">
        <v>284</v>
      </c>
      <c r="LG9" s="593" t="s">
        <v>273</v>
      </c>
      <c r="LH9" s="593" t="s">
        <v>279</v>
      </c>
      <c r="LI9" s="593" t="s">
        <v>275</v>
      </c>
      <c r="LJ9" s="593" t="s">
        <v>285</v>
      </c>
      <c r="LK9" s="593" t="s">
        <v>282</v>
      </c>
      <c r="LL9" s="593" t="s">
        <v>283</v>
      </c>
      <c r="LM9" s="593" t="s">
        <v>276</v>
      </c>
      <c r="LN9" s="592" t="s">
        <v>274</v>
      </c>
      <c r="LO9" s="592" t="s">
        <v>270</v>
      </c>
    </row>
    <row r="10" spans="1:327" ht="24.95" customHeight="1" x14ac:dyDescent="0.2">
      <c r="A10" s="3" t="s">
        <v>10</v>
      </c>
      <c r="B10" s="3"/>
      <c r="C10" s="3"/>
      <c r="D10" s="17">
        <v>54</v>
      </c>
      <c r="E10" s="17">
        <v>9</v>
      </c>
      <c r="F10" s="64">
        <v>0.09</v>
      </c>
      <c r="G10" s="64">
        <v>0.5</v>
      </c>
      <c r="H10" s="64">
        <v>0.38</v>
      </c>
      <c r="I10" s="64">
        <v>0.03</v>
      </c>
      <c r="J10" s="64">
        <v>0.38</v>
      </c>
      <c r="K10" s="64">
        <v>0.39</v>
      </c>
      <c r="L10" s="64">
        <v>0.73</v>
      </c>
      <c r="M10" s="64">
        <v>0.27</v>
      </c>
      <c r="N10" s="64">
        <v>0.33</v>
      </c>
      <c r="O10" s="64">
        <v>0.67</v>
      </c>
      <c r="P10" s="64">
        <v>0.39</v>
      </c>
      <c r="Q10" s="64">
        <v>0.41</v>
      </c>
      <c r="R10" s="64">
        <v>0.53</v>
      </c>
      <c r="S10" s="64">
        <v>0.6</v>
      </c>
      <c r="T10" s="64">
        <v>0.47</v>
      </c>
      <c r="U10" s="64">
        <v>0.6</v>
      </c>
      <c r="V10" s="64">
        <v>0.11</v>
      </c>
      <c r="W10" s="64">
        <v>0.2</v>
      </c>
      <c r="X10" s="64">
        <v>0.51</v>
      </c>
      <c r="Y10" s="64">
        <v>0.52</v>
      </c>
      <c r="Z10" s="64">
        <v>0.79</v>
      </c>
      <c r="AA10" s="64">
        <v>0.14000000000000001</v>
      </c>
      <c r="AB10" s="64">
        <v>0.45</v>
      </c>
      <c r="AC10" s="64">
        <v>0.31</v>
      </c>
      <c r="AD10" s="64">
        <v>0.47</v>
      </c>
      <c r="AE10" s="64">
        <v>0.44</v>
      </c>
      <c r="AF10" s="64">
        <v>0.5</v>
      </c>
      <c r="AG10" s="64">
        <v>0.52</v>
      </c>
      <c r="AH10" s="17">
        <v>52</v>
      </c>
      <c r="AI10" s="17">
        <v>10</v>
      </c>
      <c r="AJ10" s="55">
        <v>0.12</v>
      </c>
      <c r="AK10" s="55">
        <v>0.49</v>
      </c>
      <c r="AL10" s="55">
        <v>0.36</v>
      </c>
      <c r="AM10" s="55">
        <v>0.03</v>
      </c>
      <c r="AN10" s="55">
        <v>0.28000000000000003</v>
      </c>
      <c r="AO10" s="55">
        <v>0.45</v>
      </c>
      <c r="AP10" s="55">
        <v>0.56000000000000005</v>
      </c>
      <c r="AQ10" s="55">
        <v>0.38</v>
      </c>
      <c r="AR10" s="55">
        <v>0.54</v>
      </c>
      <c r="AS10" s="55">
        <v>0.51</v>
      </c>
      <c r="AT10" s="55">
        <v>0.51</v>
      </c>
      <c r="AU10" s="55">
        <v>0.51</v>
      </c>
      <c r="AV10" s="55">
        <v>0.57999999999999996</v>
      </c>
      <c r="AW10" s="55">
        <v>0.47</v>
      </c>
      <c r="AX10" s="55">
        <v>0.53</v>
      </c>
      <c r="AY10" s="55">
        <v>0.32</v>
      </c>
      <c r="AZ10" s="55">
        <v>0.28999999999999998</v>
      </c>
      <c r="BA10" s="55">
        <v>0.47</v>
      </c>
      <c r="BB10" s="55">
        <v>0.63</v>
      </c>
      <c r="BC10" s="55">
        <v>0.62</v>
      </c>
      <c r="BD10" s="55">
        <v>0.41</v>
      </c>
      <c r="BE10" s="55">
        <v>0.55000000000000004</v>
      </c>
      <c r="BF10" s="55">
        <v>0.59</v>
      </c>
      <c r="BG10" s="55">
        <v>0.49</v>
      </c>
      <c r="BH10" s="55">
        <v>0.42</v>
      </c>
      <c r="BI10" s="55">
        <v>0.41</v>
      </c>
      <c r="BJ10" s="55">
        <v>0.36</v>
      </c>
      <c r="BK10" s="55">
        <v>0.43</v>
      </c>
      <c r="BL10" s="55">
        <v>0.46</v>
      </c>
      <c r="BM10" s="17">
        <v>51</v>
      </c>
      <c r="BN10" s="17">
        <v>10</v>
      </c>
      <c r="BO10" s="64">
        <v>0.17</v>
      </c>
      <c r="BP10" s="64">
        <v>0.5</v>
      </c>
      <c r="BQ10" s="64">
        <v>0.31</v>
      </c>
      <c r="BR10" s="64">
        <v>0.03</v>
      </c>
      <c r="BS10" s="64">
        <v>0.36</v>
      </c>
      <c r="BT10" s="64">
        <v>0.53</v>
      </c>
      <c r="BU10" s="64">
        <v>0.64</v>
      </c>
      <c r="BV10" s="64">
        <v>0.37</v>
      </c>
      <c r="BW10" s="64">
        <v>0.61</v>
      </c>
      <c r="BX10" s="64">
        <v>0.36</v>
      </c>
      <c r="BY10" s="64">
        <v>0.44</v>
      </c>
      <c r="BZ10" s="64">
        <v>0.5</v>
      </c>
      <c r="CA10" s="64">
        <v>0.45</v>
      </c>
      <c r="CB10" s="64">
        <v>0.36</v>
      </c>
      <c r="CC10" s="64">
        <v>0.21</v>
      </c>
      <c r="CD10" s="64">
        <v>0.41</v>
      </c>
      <c r="CE10" s="64">
        <v>0.34</v>
      </c>
      <c r="CF10" s="64">
        <v>0.6</v>
      </c>
      <c r="CG10" s="64">
        <v>0.56999999999999995</v>
      </c>
      <c r="CH10" s="64">
        <v>0.45</v>
      </c>
      <c r="CI10" s="64">
        <v>0.56000000000000005</v>
      </c>
      <c r="CJ10" s="64">
        <v>0.34</v>
      </c>
      <c r="CK10" s="64">
        <v>0.64</v>
      </c>
      <c r="CL10" s="64">
        <v>0.33</v>
      </c>
      <c r="CM10" s="64">
        <v>0.44</v>
      </c>
      <c r="CN10" s="64">
        <v>0.45</v>
      </c>
      <c r="CO10" s="64">
        <v>0.45</v>
      </c>
      <c r="CP10" s="64">
        <v>0.36</v>
      </c>
      <c r="CQ10" s="64">
        <v>0.53</v>
      </c>
      <c r="CR10" s="64">
        <v>0.54</v>
      </c>
      <c r="CS10" s="17">
        <v>50</v>
      </c>
      <c r="CT10" s="17">
        <v>11</v>
      </c>
      <c r="CU10" s="37">
        <v>0.21</v>
      </c>
      <c r="CV10" s="37">
        <v>0.5</v>
      </c>
      <c r="CW10" s="37">
        <v>0.27</v>
      </c>
      <c r="CX10" s="37">
        <v>0.03</v>
      </c>
      <c r="CY10" s="37">
        <v>0.49</v>
      </c>
      <c r="CZ10" s="37">
        <v>0.31</v>
      </c>
      <c r="DA10" s="37">
        <v>0.55000000000000004</v>
      </c>
      <c r="DB10" s="37">
        <v>0.36</v>
      </c>
      <c r="DC10" s="37">
        <v>0.45</v>
      </c>
      <c r="DD10" s="37">
        <v>0.6</v>
      </c>
      <c r="DE10" s="37">
        <v>0.47</v>
      </c>
      <c r="DF10" s="37">
        <v>0.55000000000000004</v>
      </c>
      <c r="DG10" s="37">
        <v>0.45</v>
      </c>
      <c r="DH10" s="37">
        <v>0.37</v>
      </c>
      <c r="DI10" s="37">
        <v>0.53</v>
      </c>
      <c r="DJ10" s="37">
        <v>0.49</v>
      </c>
      <c r="DK10" s="37">
        <v>0.38</v>
      </c>
      <c r="DL10" s="37">
        <v>0.37</v>
      </c>
      <c r="DM10" s="37">
        <v>0.5</v>
      </c>
      <c r="DN10" s="37">
        <v>0.49</v>
      </c>
      <c r="DO10" s="37">
        <v>0.44</v>
      </c>
      <c r="DP10" s="37">
        <v>0.44</v>
      </c>
      <c r="DQ10" s="37">
        <v>0.55000000000000004</v>
      </c>
      <c r="DR10" s="37">
        <v>0.21</v>
      </c>
      <c r="DS10" s="37">
        <v>0.4</v>
      </c>
      <c r="DT10" s="37">
        <v>0.56999999999999995</v>
      </c>
      <c r="DU10" s="37">
        <v>0.51</v>
      </c>
      <c r="DV10" s="37">
        <v>0.56999999999999995</v>
      </c>
      <c r="DW10" s="37">
        <v>0.35</v>
      </c>
      <c r="DX10" s="18">
        <v>49</v>
      </c>
      <c r="DY10" s="18">
        <v>10</v>
      </c>
      <c r="DZ10" s="58">
        <v>0.23</v>
      </c>
      <c r="EA10" s="58">
        <v>0.5</v>
      </c>
      <c r="EB10" s="58">
        <v>0.25</v>
      </c>
      <c r="EC10" s="58">
        <v>0.02</v>
      </c>
      <c r="ED10" s="58">
        <v>0.5</v>
      </c>
      <c r="EE10" s="58">
        <v>0.46</v>
      </c>
      <c r="EF10" s="58">
        <v>0.51</v>
      </c>
      <c r="EG10" s="58">
        <v>0.37</v>
      </c>
      <c r="EH10" s="58">
        <v>0.45</v>
      </c>
      <c r="EI10" s="58">
        <v>0.51</v>
      </c>
      <c r="EJ10" s="58">
        <v>0.59</v>
      </c>
      <c r="EK10" s="58">
        <v>0.28999999999999998</v>
      </c>
      <c r="EL10" s="58">
        <v>0.47</v>
      </c>
      <c r="EM10" s="58">
        <v>0.65</v>
      </c>
      <c r="EN10" s="58">
        <v>0.46</v>
      </c>
      <c r="EO10" s="58">
        <v>0.56000000000000005</v>
      </c>
      <c r="EP10" s="58">
        <v>0.41</v>
      </c>
      <c r="EQ10" s="58">
        <v>0.31</v>
      </c>
      <c r="ER10" s="58">
        <v>0.6</v>
      </c>
      <c r="ES10" s="58">
        <v>0.48</v>
      </c>
      <c r="ET10" s="58">
        <v>0.36</v>
      </c>
      <c r="EU10" s="58">
        <v>0.56999999999999995</v>
      </c>
      <c r="EV10" s="58">
        <v>0.41</v>
      </c>
      <c r="EW10" s="58">
        <v>0.34</v>
      </c>
      <c r="EX10" s="58">
        <v>0.68</v>
      </c>
      <c r="EY10" s="58">
        <v>0.59</v>
      </c>
      <c r="EZ10" s="58">
        <v>0.26</v>
      </c>
      <c r="FA10" s="58">
        <v>0.61</v>
      </c>
      <c r="FB10" s="245">
        <v>49</v>
      </c>
      <c r="FC10" s="245" t="s">
        <v>758</v>
      </c>
      <c r="FD10" s="245">
        <v>10</v>
      </c>
      <c r="FE10" s="245" t="s">
        <v>758</v>
      </c>
      <c r="FF10" s="260">
        <v>0.22</v>
      </c>
      <c r="FG10" s="260">
        <v>0.53</v>
      </c>
      <c r="FH10" s="260">
        <v>0.23</v>
      </c>
      <c r="FI10" s="260">
        <v>0.02</v>
      </c>
      <c r="FJ10" s="260">
        <v>0.49</v>
      </c>
      <c r="FK10" s="260">
        <v>0.65</v>
      </c>
      <c r="FL10" s="260">
        <v>0.51</v>
      </c>
      <c r="FM10" s="260">
        <v>0.45</v>
      </c>
      <c r="FN10" s="260">
        <v>0.32</v>
      </c>
      <c r="FO10" s="260">
        <v>0.37</v>
      </c>
      <c r="FP10" s="260">
        <v>0.42</v>
      </c>
      <c r="FQ10" s="260">
        <v>0.43</v>
      </c>
      <c r="FR10" s="260">
        <v>0.61</v>
      </c>
      <c r="FS10" s="260">
        <v>0.51</v>
      </c>
      <c r="FT10" s="260">
        <v>0.51</v>
      </c>
      <c r="FU10" s="260">
        <v>0.43</v>
      </c>
      <c r="FV10" s="260">
        <v>0.59</v>
      </c>
      <c r="FW10" s="260">
        <v>0.56000000000000005</v>
      </c>
      <c r="FX10" s="260">
        <v>0.48</v>
      </c>
      <c r="FY10" s="260">
        <v>0.4</v>
      </c>
      <c r="FZ10" s="260">
        <v>0.43</v>
      </c>
      <c r="GA10" s="260">
        <v>0.51</v>
      </c>
      <c r="GB10" s="260">
        <v>0.54</v>
      </c>
      <c r="GC10" s="260">
        <v>0.46</v>
      </c>
      <c r="GD10" s="260">
        <v>0.6</v>
      </c>
      <c r="GE10" s="260">
        <v>0.55000000000000004</v>
      </c>
      <c r="GF10" s="260">
        <v>0.49</v>
      </c>
      <c r="GG10" s="260">
        <v>0.48</v>
      </c>
      <c r="GH10" s="260">
        <v>0.57999999999999996</v>
      </c>
      <c r="GI10" s="260">
        <v>0.31</v>
      </c>
      <c r="GJ10" s="313">
        <v>50</v>
      </c>
      <c r="GK10" s="313" t="s">
        <v>758</v>
      </c>
      <c r="GL10" s="313">
        <v>10</v>
      </c>
      <c r="GM10" s="313" t="s">
        <v>758</v>
      </c>
      <c r="GN10" s="287">
        <v>0.21</v>
      </c>
      <c r="GO10" s="287">
        <v>0.5</v>
      </c>
      <c r="GP10" s="287">
        <v>0.27</v>
      </c>
      <c r="GQ10" s="287">
        <v>0.03</v>
      </c>
      <c r="GR10" s="287">
        <v>0.5</v>
      </c>
      <c r="GS10" s="287">
        <v>0.55000000000000004</v>
      </c>
      <c r="GT10" s="287">
        <v>0.61</v>
      </c>
      <c r="GU10" s="287">
        <v>0.26</v>
      </c>
      <c r="GV10" s="287">
        <v>0.56000000000000005</v>
      </c>
      <c r="GW10" s="287">
        <v>0.5</v>
      </c>
      <c r="GX10" s="287">
        <v>0.48</v>
      </c>
      <c r="GY10" s="313" t="s">
        <v>173</v>
      </c>
      <c r="GZ10" s="287">
        <v>0.34</v>
      </c>
      <c r="HA10" s="287">
        <v>0.65</v>
      </c>
      <c r="HB10" s="287">
        <v>0.48</v>
      </c>
      <c r="HC10" s="287">
        <v>0.54</v>
      </c>
      <c r="HD10" s="287">
        <v>0.56999999999999995</v>
      </c>
      <c r="HE10" s="287">
        <v>0.47</v>
      </c>
      <c r="HF10" s="287">
        <v>0.5</v>
      </c>
      <c r="HG10" s="287">
        <v>0.65</v>
      </c>
      <c r="HH10" s="287">
        <v>0.4</v>
      </c>
      <c r="HI10" s="287">
        <v>0.54</v>
      </c>
      <c r="HJ10" s="287">
        <v>0.59</v>
      </c>
      <c r="HK10" s="287">
        <v>0.53</v>
      </c>
      <c r="HL10" s="287">
        <v>0.44</v>
      </c>
      <c r="HM10" s="287">
        <v>0.51</v>
      </c>
      <c r="HN10" s="287">
        <v>0.49</v>
      </c>
      <c r="HO10" s="287">
        <v>0.45</v>
      </c>
      <c r="HP10" s="313" t="s">
        <v>173</v>
      </c>
      <c r="HQ10" s="287">
        <v>0.44</v>
      </c>
      <c r="HR10" s="421">
        <v>50</v>
      </c>
      <c r="HS10" s="421" t="s">
        <v>758</v>
      </c>
      <c r="HT10" s="421">
        <v>10</v>
      </c>
      <c r="HU10" s="421" t="s">
        <v>758</v>
      </c>
      <c r="HV10" s="425">
        <v>0.19</v>
      </c>
      <c r="HW10" s="425">
        <v>0.49</v>
      </c>
      <c r="HX10" s="425">
        <v>0.28999999999999998</v>
      </c>
      <c r="HY10" s="425">
        <v>0.03</v>
      </c>
      <c r="HZ10" s="425">
        <v>0.41</v>
      </c>
      <c r="IA10" s="425">
        <v>0.52</v>
      </c>
      <c r="IB10" s="425">
        <v>0.36</v>
      </c>
      <c r="IC10" s="425">
        <v>0.51</v>
      </c>
      <c r="ID10" s="425">
        <v>0.63</v>
      </c>
      <c r="IE10" s="425">
        <v>0.38</v>
      </c>
      <c r="IF10" s="425">
        <v>0.42</v>
      </c>
      <c r="IG10" s="425">
        <v>0.55000000000000004</v>
      </c>
      <c r="IH10" s="425">
        <v>0.53</v>
      </c>
      <c r="II10" s="425">
        <v>0.37</v>
      </c>
      <c r="IJ10" s="425">
        <v>0.32</v>
      </c>
      <c r="IK10" s="425">
        <v>0.59</v>
      </c>
      <c r="IL10" s="425">
        <v>0.36</v>
      </c>
      <c r="IM10" s="425">
        <v>0.57999999999999996</v>
      </c>
      <c r="IN10" s="425">
        <v>0.47</v>
      </c>
      <c r="IO10" s="425">
        <v>0.52</v>
      </c>
      <c r="IP10" s="425">
        <v>0.44</v>
      </c>
      <c r="IQ10" s="425">
        <v>0.64</v>
      </c>
      <c r="IR10" s="425">
        <v>0.56999999999999995</v>
      </c>
      <c r="IS10" s="425">
        <v>0.53</v>
      </c>
      <c r="IT10" s="425">
        <v>0.45</v>
      </c>
      <c r="IU10" s="421" t="s">
        <v>173</v>
      </c>
      <c r="IV10" s="425">
        <v>0.63</v>
      </c>
      <c r="IW10" s="425">
        <v>0.43</v>
      </c>
      <c r="IX10" s="425">
        <v>0.49</v>
      </c>
      <c r="IY10" s="425">
        <v>0.52</v>
      </c>
      <c r="IZ10" s="570">
        <v>51</v>
      </c>
      <c r="JA10" s="570" t="s">
        <v>758</v>
      </c>
      <c r="JB10" s="570">
        <v>11</v>
      </c>
      <c r="JC10" s="570" t="s">
        <v>759</v>
      </c>
      <c r="JD10" s="665">
        <v>0.18</v>
      </c>
      <c r="JE10" s="665">
        <v>0.47</v>
      </c>
      <c r="JF10" s="665">
        <v>0.31</v>
      </c>
      <c r="JG10" s="665">
        <v>0.04</v>
      </c>
      <c r="JH10" s="665">
        <v>0.47</v>
      </c>
      <c r="JI10" s="665">
        <v>0.46</v>
      </c>
      <c r="JJ10" s="665">
        <v>0.43</v>
      </c>
      <c r="JK10" s="665">
        <v>0.49</v>
      </c>
      <c r="JL10" s="665">
        <v>0.5</v>
      </c>
      <c r="JM10" s="665">
        <v>0.48</v>
      </c>
      <c r="JN10" s="665">
        <v>0.43</v>
      </c>
      <c r="JO10" s="665">
        <v>0.48</v>
      </c>
      <c r="JP10" s="665">
        <v>0.56000000000000005</v>
      </c>
      <c r="JQ10" s="665">
        <v>0.28999999999999998</v>
      </c>
      <c r="JR10" s="665">
        <v>0.56999999999999995</v>
      </c>
      <c r="JS10" s="665">
        <v>0.53</v>
      </c>
      <c r="JT10" s="665">
        <v>0.44</v>
      </c>
      <c r="JU10" s="665">
        <v>0.52</v>
      </c>
      <c r="JV10" s="665">
        <v>0.48</v>
      </c>
      <c r="JW10" s="665">
        <v>0.46</v>
      </c>
      <c r="JX10" s="665">
        <v>0.42</v>
      </c>
      <c r="JY10" s="665">
        <v>0.5</v>
      </c>
      <c r="JZ10" s="665">
        <v>0.46</v>
      </c>
      <c r="KA10" s="665">
        <v>0.59</v>
      </c>
      <c r="KB10" s="665">
        <v>0.46</v>
      </c>
      <c r="KC10" s="665">
        <v>0.63</v>
      </c>
      <c r="KD10" s="665">
        <v>0.36</v>
      </c>
      <c r="KE10" s="665">
        <v>0.51</v>
      </c>
      <c r="KF10" s="665">
        <v>0.46</v>
      </c>
      <c r="KG10" s="665">
        <v>0.51</v>
      </c>
      <c r="KH10" s="953">
        <v>51</v>
      </c>
      <c r="KI10" s="953" t="s">
        <v>758</v>
      </c>
      <c r="KJ10" s="953">
        <v>11</v>
      </c>
      <c r="KK10" s="953" t="s">
        <v>759</v>
      </c>
      <c r="KL10" s="954">
        <v>0.18</v>
      </c>
      <c r="KM10" s="954">
        <v>0.46</v>
      </c>
      <c r="KN10" s="954">
        <v>0.31</v>
      </c>
      <c r="KO10" s="954">
        <v>0.04</v>
      </c>
      <c r="KP10" s="954">
        <v>0.5</v>
      </c>
      <c r="KQ10" s="954">
        <v>0.3</v>
      </c>
      <c r="KR10" s="954">
        <v>0.57999999999999996</v>
      </c>
      <c r="KS10" s="954">
        <v>0.48</v>
      </c>
      <c r="KT10" s="954">
        <v>0.56999999999999995</v>
      </c>
      <c r="KU10" s="954">
        <v>0.42</v>
      </c>
      <c r="KV10" s="954">
        <v>0.57999999999999996</v>
      </c>
      <c r="KW10" s="954">
        <v>0.38</v>
      </c>
      <c r="KX10" s="954">
        <v>0.36</v>
      </c>
      <c r="KY10" s="954">
        <v>0.52</v>
      </c>
      <c r="KZ10" s="954">
        <v>0.4</v>
      </c>
      <c r="LA10" s="954">
        <v>0.43</v>
      </c>
      <c r="LB10" s="954">
        <v>0.42</v>
      </c>
      <c r="LC10" s="954">
        <v>0.41</v>
      </c>
      <c r="LD10" s="954">
        <v>0.56000000000000005</v>
      </c>
      <c r="LE10" s="954">
        <v>0.49</v>
      </c>
      <c r="LF10" s="954">
        <v>0.35</v>
      </c>
      <c r="LG10" s="1003">
        <v>0.43</v>
      </c>
      <c r="LH10" s="954">
        <v>0.54</v>
      </c>
      <c r="LI10" s="954">
        <v>0.49</v>
      </c>
      <c r="LJ10" s="954">
        <v>0.43</v>
      </c>
      <c r="LK10" s="954">
        <v>0.54</v>
      </c>
      <c r="LL10" s="953" t="s">
        <v>173</v>
      </c>
      <c r="LM10" s="954">
        <v>0.56999999999999995</v>
      </c>
      <c r="LN10" s="954">
        <v>0.6</v>
      </c>
      <c r="LO10" s="954">
        <v>0.44</v>
      </c>
    </row>
    <row r="11" spans="1:327" ht="24.95" customHeight="1" x14ac:dyDescent="0.2">
      <c r="A11" s="4" t="s">
        <v>0</v>
      </c>
      <c r="B11" s="4"/>
      <c r="C11" s="4"/>
      <c r="D11" s="19">
        <v>54</v>
      </c>
      <c r="E11" s="19">
        <v>8</v>
      </c>
      <c r="F11" s="62">
        <v>0.05</v>
      </c>
      <c r="G11" s="62">
        <v>0.54</v>
      </c>
      <c r="H11" s="62">
        <v>0.4</v>
      </c>
      <c r="I11" s="62">
        <v>0.01</v>
      </c>
      <c r="J11" s="62">
        <v>0.39</v>
      </c>
      <c r="K11" s="62">
        <v>0.37</v>
      </c>
      <c r="L11" s="62">
        <v>0.7</v>
      </c>
      <c r="M11" s="62">
        <v>0.21</v>
      </c>
      <c r="N11" s="62">
        <v>0.28999999999999998</v>
      </c>
      <c r="O11" s="62">
        <v>0.62</v>
      </c>
      <c r="P11" s="62">
        <v>0.31</v>
      </c>
      <c r="Q11" s="62">
        <v>0.42</v>
      </c>
      <c r="R11" s="62">
        <v>0.52</v>
      </c>
      <c r="S11" s="62">
        <v>0.59</v>
      </c>
      <c r="T11" s="62">
        <v>0.45</v>
      </c>
      <c r="U11" s="62">
        <v>0.57999999999999996</v>
      </c>
      <c r="V11" s="62">
        <v>7.0000000000000007E-2</v>
      </c>
      <c r="W11" s="62">
        <v>0.15</v>
      </c>
      <c r="X11" s="62">
        <v>0.48</v>
      </c>
      <c r="Y11" s="62">
        <v>0.49</v>
      </c>
      <c r="Z11" s="62">
        <v>0.75</v>
      </c>
      <c r="AA11" s="62">
        <v>0.1</v>
      </c>
      <c r="AB11" s="62">
        <v>0.44</v>
      </c>
      <c r="AC11" s="62">
        <v>0.24</v>
      </c>
      <c r="AD11" s="62">
        <v>0.44</v>
      </c>
      <c r="AE11" s="62">
        <v>0.4</v>
      </c>
      <c r="AF11" s="62">
        <v>0.53</v>
      </c>
      <c r="AG11" s="62">
        <v>0.48</v>
      </c>
      <c r="AH11" s="19">
        <v>53</v>
      </c>
      <c r="AI11" s="19">
        <v>8</v>
      </c>
      <c r="AJ11" s="56">
        <v>0.08</v>
      </c>
      <c r="AK11" s="56">
        <v>0.53</v>
      </c>
      <c r="AL11" s="56">
        <v>0.38</v>
      </c>
      <c r="AM11" s="56">
        <v>0.01</v>
      </c>
      <c r="AN11" s="56">
        <v>0.27</v>
      </c>
      <c r="AO11" s="56">
        <v>0.45</v>
      </c>
      <c r="AP11" s="56">
        <v>0.56000000000000005</v>
      </c>
      <c r="AQ11" s="56">
        <v>0.37</v>
      </c>
      <c r="AR11" s="56">
        <v>0.54</v>
      </c>
      <c r="AS11" s="56">
        <v>0.5</v>
      </c>
      <c r="AT11" s="56">
        <v>0.5</v>
      </c>
      <c r="AU11" s="56">
        <v>0.5</v>
      </c>
      <c r="AV11" s="56">
        <v>0.59</v>
      </c>
      <c r="AW11" s="56">
        <v>0.46</v>
      </c>
      <c r="AX11" s="56">
        <v>0.54</v>
      </c>
      <c r="AY11" s="56">
        <v>0.3</v>
      </c>
      <c r="AZ11" s="56">
        <v>0.27</v>
      </c>
      <c r="BA11" s="56">
        <v>0.47</v>
      </c>
      <c r="BB11" s="56">
        <v>0.65</v>
      </c>
      <c r="BC11" s="56">
        <v>0.64</v>
      </c>
      <c r="BD11" s="56">
        <v>0.4</v>
      </c>
      <c r="BE11" s="56">
        <v>0.53</v>
      </c>
      <c r="BF11" s="56">
        <v>0.57999999999999996</v>
      </c>
      <c r="BG11" s="56">
        <v>0.48</v>
      </c>
      <c r="BH11" s="56">
        <v>0.42</v>
      </c>
      <c r="BI11" s="56">
        <v>0.39</v>
      </c>
      <c r="BJ11" s="56">
        <v>0.34</v>
      </c>
      <c r="BK11" s="56">
        <v>0.43</v>
      </c>
      <c r="BL11" s="56">
        <v>0.46</v>
      </c>
      <c r="BM11" s="19">
        <v>51</v>
      </c>
      <c r="BN11" s="19">
        <v>9</v>
      </c>
      <c r="BO11" s="62">
        <v>0.11</v>
      </c>
      <c r="BP11" s="62">
        <v>0.56999999999999995</v>
      </c>
      <c r="BQ11" s="62">
        <v>0.31</v>
      </c>
      <c r="BR11" s="62">
        <v>0.01</v>
      </c>
      <c r="BS11" s="62">
        <v>0.34</v>
      </c>
      <c r="BT11" s="62">
        <v>0.55000000000000004</v>
      </c>
      <c r="BU11" s="62">
        <v>0.64</v>
      </c>
      <c r="BV11" s="62">
        <v>0.32</v>
      </c>
      <c r="BW11" s="62">
        <v>0.63</v>
      </c>
      <c r="BX11" s="62">
        <v>0.35</v>
      </c>
      <c r="BY11" s="62">
        <v>0.43</v>
      </c>
      <c r="BZ11" s="62">
        <v>0.52</v>
      </c>
      <c r="CA11" s="62">
        <v>0.45</v>
      </c>
      <c r="CB11" s="62">
        <v>0.35</v>
      </c>
      <c r="CC11" s="62">
        <v>0.19</v>
      </c>
      <c r="CD11" s="62">
        <v>0.41</v>
      </c>
      <c r="CE11" s="62">
        <v>0.33</v>
      </c>
      <c r="CF11" s="62">
        <v>0.6</v>
      </c>
      <c r="CG11" s="62">
        <v>0.57999999999999996</v>
      </c>
      <c r="CH11" s="62">
        <v>0.44</v>
      </c>
      <c r="CI11" s="62">
        <v>0.56000000000000005</v>
      </c>
      <c r="CJ11" s="62">
        <v>0.34</v>
      </c>
      <c r="CK11" s="62">
        <v>0.67</v>
      </c>
      <c r="CL11" s="62">
        <v>0.3</v>
      </c>
      <c r="CM11" s="62">
        <v>0.44</v>
      </c>
      <c r="CN11" s="62">
        <v>0.45</v>
      </c>
      <c r="CO11" s="62">
        <v>0.43</v>
      </c>
      <c r="CP11" s="62">
        <v>0.35</v>
      </c>
      <c r="CQ11" s="62">
        <v>0.53</v>
      </c>
      <c r="CR11" s="62">
        <v>0.55000000000000004</v>
      </c>
      <c r="CS11" s="19">
        <v>50</v>
      </c>
      <c r="CT11" s="19">
        <v>9</v>
      </c>
      <c r="CU11" s="38">
        <v>0.14000000000000001</v>
      </c>
      <c r="CV11" s="38">
        <v>0.6</v>
      </c>
      <c r="CW11" s="38">
        <v>0.25</v>
      </c>
      <c r="CX11" s="38">
        <v>0.01</v>
      </c>
      <c r="CY11" s="38">
        <v>0.5</v>
      </c>
      <c r="CZ11" s="38">
        <v>0.28999999999999998</v>
      </c>
      <c r="DA11" s="38">
        <v>0.56999999999999995</v>
      </c>
      <c r="DB11" s="38">
        <v>0.35</v>
      </c>
      <c r="DC11" s="38">
        <v>0.45</v>
      </c>
      <c r="DD11" s="38">
        <v>0.62</v>
      </c>
      <c r="DE11" s="38">
        <v>0.46</v>
      </c>
      <c r="DF11" s="38">
        <v>0.54</v>
      </c>
      <c r="DG11" s="38">
        <v>0.44</v>
      </c>
      <c r="DH11" s="38">
        <v>0.36</v>
      </c>
      <c r="DI11" s="38">
        <v>0.52</v>
      </c>
      <c r="DJ11" s="38">
        <v>0.5</v>
      </c>
      <c r="DK11" s="38">
        <v>0.36</v>
      </c>
      <c r="DL11" s="38">
        <v>0.35</v>
      </c>
      <c r="DM11" s="38">
        <v>0.51</v>
      </c>
      <c r="DN11" s="38">
        <v>0.49</v>
      </c>
      <c r="DO11" s="38">
        <v>0.43</v>
      </c>
      <c r="DP11" s="38">
        <v>0.45</v>
      </c>
      <c r="DQ11" s="38">
        <v>0.56000000000000005</v>
      </c>
      <c r="DR11" s="38">
        <v>0.19</v>
      </c>
      <c r="DS11" s="38">
        <v>0.38</v>
      </c>
      <c r="DT11" s="38">
        <v>0.56999999999999995</v>
      </c>
      <c r="DU11" s="38">
        <v>0.5</v>
      </c>
      <c r="DV11" s="38">
        <v>0.59</v>
      </c>
      <c r="DW11" s="38">
        <v>0.34</v>
      </c>
      <c r="DX11" s="20">
        <v>50</v>
      </c>
      <c r="DY11" s="20">
        <v>9</v>
      </c>
      <c r="DZ11" s="59">
        <v>0.16</v>
      </c>
      <c r="EA11" s="59">
        <v>0.56000000000000005</v>
      </c>
      <c r="EB11" s="59">
        <v>0.27</v>
      </c>
      <c r="EC11" s="59">
        <v>0.01</v>
      </c>
      <c r="ED11" s="59">
        <v>0.48</v>
      </c>
      <c r="EE11" s="59">
        <v>0.46</v>
      </c>
      <c r="EF11" s="59">
        <v>0.5</v>
      </c>
      <c r="EG11" s="59">
        <v>0.35</v>
      </c>
      <c r="EH11" s="59">
        <v>0.42</v>
      </c>
      <c r="EI11" s="59">
        <v>0.5</v>
      </c>
      <c r="EJ11" s="59">
        <v>0.56999999999999995</v>
      </c>
      <c r="EK11" s="59">
        <v>0.27</v>
      </c>
      <c r="EL11" s="59">
        <v>0.45</v>
      </c>
      <c r="EM11" s="59">
        <v>0.64</v>
      </c>
      <c r="EN11" s="59">
        <v>0.44</v>
      </c>
      <c r="EO11" s="59">
        <v>0.56999999999999995</v>
      </c>
      <c r="EP11" s="59">
        <v>0.38</v>
      </c>
      <c r="EQ11" s="59">
        <v>0.28000000000000003</v>
      </c>
      <c r="ER11" s="59">
        <v>0.6</v>
      </c>
      <c r="ES11" s="59">
        <v>0.46</v>
      </c>
      <c r="ET11" s="59">
        <v>0.33</v>
      </c>
      <c r="EU11" s="59">
        <v>0.59</v>
      </c>
      <c r="EV11" s="59">
        <v>0.39</v>
      </c>
      <c r="EW11" s="59">
        <v>0.32</v>
      </c>
      <c r="EX11" s="59">
        <v>0.67</v>
      </c>
      <c r="EY11" s="59">
        <v>0.57999999999999996</v>
      </c>
      <c r="EZ11" s="59">
        <v>0.22</v>
      </c>
      <c r="FA11" s="59">
        <v>0.6</v>
      </c>
      <c r="FB11" s="243">
        <v>50</v>
      </c>
      <c r="FC11" s="243" t="s">
        <v>11</v>
      </c>
      <c r="FD11" s="243">
        <v>9</v>
      </c>
      <c r="FE11" s="243" t="s">
        <v>11</v>
      </c>
      <c r="FF11" s="261">
        <v>0.14000000000000001</v>
      </c>
      <c r="FG11" s="261">
        <v>0.6</v>
      </c>
      <c r="FH11" s="261">
        <v>0.25</v>
      </c>
      <c r="FI11" s="261">
        <v>0.01</v>
      </c>
      <c r="FJ11" s="261">
        <v>0.46</v>
      </c>
      <c r="FK11" s="261">
        <v>0.66</v>
      </c>
      <c r="FL11" s="261">
        <v>0.49</v>
      </c>
      <c r="FM11" s="261">
        <v>0.42</v>
      </c>
      <c r="FN11" s="261">
        <v>0.28999999999999998</v>
      </c>
      <c r="FO11" s="261">
        <v>0.33</v>
      </c>
      <c r="FP11" s="261">
        <v>0.39</v>
      </c>
      <c r="FQ11" s="261">
        <v>0.41</v>
      </c>
      <c r="FR11" s="261">
        <v>0.59</v>
      </c>
      <c r="FS11" s="261">
        <v>0.51</v>
      </c>
      <c r="FT11" s="261">
        <v>0.5</v>
      </c>
      <c r="FU11" s="261">
        <v>0.38</v>
      </c>
      <c r="FV11" s="261">
        <v>0.6</v>
      </c>
      <c r="FW11" s="261">
        <v>0.56000000000000005</v>
      </c>
      <c r="FX11" s="261">
        <v>0.46</v>
      </c>
      <c r="FY11" s="261">
        <v>0.37</v>
      </c>
      <c r="FZ11" s="261">
        <v>0.42</v>
      </c>
      <c r="GA11" s="261">
        <v>0.5</v>
      </c>
      <c r="GB11" s="261">
        <v>0.53</v>
      </c>
      <c r="GC11" s="261">
        <v>0.45</v>
      </c>
      <c r="GD11" s="261">
        <v>0.6</v>
      </c>
      <c r="GE11" s="261">
        <v>0.54</v>
      </c>
      <c r="GF11" s="261">
        <v>0.47</v>
      </c>
      <c r="GG11" s="261">
        <v>0.45</v>
      </c>
      <c r="GH11" s="261">
        <v>0.56000000000000005</v>
      </c>
      <c r="GI11" s="261">
        <v>0.28999999999999998</v>
      </c>
      <c r="GJ11" s="314">
        <v>51</v>
      </c>
      <c r="GK11" s="314" t="s">
        <v>11</v>
      </c>
      <c r="GL11" s="314">
        <v>9</v>
      </c>
      <c r="GM11" s="314" t="s">
        <v>11</v>
      </c>
      <c r="GN11" s="288">
        <v>0.14000000000000001</v>
      </c>
      <c r="GO11" s="288">
        <v>0.55000000000000004</v>
      </c>
      <c r="GP11" s="288">
        <v>0.28999999999999998</v>
      </c>
      <c r="GQ11" s="288">
        <v>0.01</v>
      </c>
      <c r="GR11" s="288">
        <v>0.48</v>
      </c>
      <c r="GS11" s="288">
        <v>0.53</v>
      </c>
      <c r="GT11" s="288">
        <v>0.61</v>
      </c>
      <c r="GU11" s="288">
        <v>0.24</v>
      </c>
      <c r="GV11" s="288">
        <v>0.55000000000000004</v>
      </c>
      <c r="GW11" s="288">
        <v>0.48</v>
      </c>
      <c r="GX11" s="288">
        <v>0.46</v>
      </c>
      <c r="GY11" s="314" t="s">
        <v>173</v>
      </c>
      <c r="GZ11" s="288">
        <v>0.32</v>
      </c>
      <c r="HA11" s="288">
        <v>0.67</v>
      </c>
      <c r="HB11" s="288">
        <v>0.46</v>
      </c>
      <c r="HC11" s="288">
        <v>0.52</v>
      </c>
      <c r="HD11" s="288">
        <v>0.56999999999999995</v>
      </c>
      <c r="HE11" s="288">
        <v>0.46</v>
      </c>
      <c r="HF11" s="288">
        <v>0.48</v>
      </c>
      <c r="HG11" s="288">
        <v>0.66</v>
      </c>
      <c r="HH11" s="288">
        <v>0.38</v>
      </c>
      <c r="HI11" s="288">
        <v>0.52</v>
      </c>
      <c r="HJ11" s="288">
        <v>0.57999999999999996</v>
      </c>
      <c r="HK11" s="288">
        <v>0.51</v>
      </c>
      <c r="HL11" s="288">
        <v>0.42</v>
      </c>
      <c r="HM11" s="288">
        <v>0.49</v>
      </c>
      <c r="HN11" s="288">
        <v>0.48</v>
      </c>
      <c r="HO11" s="288">
        <v>0.43</v>
      </c>
      <c r="HP11" s="314" t="s">
        <v>173</v>
      </c>
      <c r="HQ11" s="288">
        <v>0.41</v>
      </c>
      <c r="HR11" s="422">
        <v>51</v>
      </c>
      <c r="HS11" s="422" t="s">
        <v>11</v>
      </c>
      <c r="HT11" s="422">
        <v>9</v>
      </c>
      <c r="HU11" s="422" t="s">
        <v>11</v>
      </c>
      <c r="HV11" s="426">
        <v>0.13</v>
      </c>
      <c r="HW11" s="426">
        <v>0.54</v>
      </c>
      <c r="HX11" s="426">
        <v>0.32</v>
      </c>
      <c r="HY11" s="426">
        <v>0.02</v>
      </c>
      <c r="HZ11" s="426">
        <v>0.38</v>
      </c>
      <c r="IA11" s="426">
        <v>0.52</v>
      </c>
      <c r="IB11" s="426">
        <v>0.34</v>
      </c>
      <c r="IC11" s="426">
        <v>0.49</v>
      </c>
      <c r="ID11" s="426">
        <v>0.63</v>
      </c>
      <c r="IE11" s="426">
        <v>0.34</v>
      </c>
      <c r="IF11" s="426">
        <v>0.4</v>
      </c>
      <c r="IG11" s="426">
        <v>0.55000000000000004</v>
      </c>
      <c r="IH11" s="426">
        <v>0.51</v>
      </c>
      <c r="II11" s="426">
        <v>0.33</v>
      </c>
      <c r="IJ11" s="426">
        <v>0.28000000000000003</v>
      </c>
      <c r="IK11" s="426">
        <v>0.57999999999999996</v>
      </c>
      <c r="IL11" s="426">
        <v>0.34</v>
      </c>
      <c r="IM11" s="426">
        <v>0.56999999999999995</v>
      </c>
      <c r="IN11" s="426">
        <v>0.44</v>
      </c>
      <c r="IO11" s="426">
        <v>0.53</v>
      </c>
      <c r="IP11" s="426">
        <v>0.41</v>
      </c>
      <c r="IQ11" s="426">
        <v>0.64</v>
      </c>
      <c r="IR11" s="426">
        <v>0.55000000000000004</v>
      </c>
      <c r="IS11" s="426">
        <v>0.52</v>
      </c>
      <c r="IT11" s="426">
        <v>0.43</v>
      </c>
      <c r="IU11" s="422" t="s">
        <v>173</v>
      </c>
      <c r="IV11" s="426">
        <v>0.62</v>
      </c>
      <c r="IW11" s="426">
        <v>0.41</v>
      </c>
      <c r="IX11" s="426">
        <v>0.49</v>
      </c>
      <c r="IY11" s="426">
        <v>0.51</v>
      </c>
      <c r="IZ11" s="520">
        <v>52</v>
      </c>
      <c r="JA11" s="520" t="s">
        <v>11</v>
      </c>
      <c r="JB11" s="520">
        <v>9</v>
      </c>
      <c r="JC11" s="520" t="s">
        <v>11</v>
      </c>
      <c r="JD11" s="519">
        <v>0.12</v>
      </c>
      <c r="JE11" s="519">
        <v>0.52</v>
      </c>
      <c r="JF11" s="519">
        <v>0.34</v>
      </c>
      <c r="JG11" s="519">
        <v>0.02</v>
      </c>
      <c r="JH11" s="519">
        <v>0.46</v>
      </c>
      <c r="JI11" s="519">
        <v>0.44</v>
      </c>
      <c r="JJ11" s="519">
        <v>0.42</v>
      </c>
      <c r="JK11" s="519">
        <v>0.47</v>
      </c>
      <c r="JL11" s="519">
        <v>0.48</v>
      </c>
      <c r="JM11" s="519">
        <v>0.48</v>
      </c>
      <c r="JN11" s="519">
        <v>0.41</v>
      </c>
      <c r="JO11" s="519">
        <v>0.46</v>
      </c>
      <c r="JP11" s="519">
        <v>0.54</v>
      </c>
      <c r="JQ11" s="519">
        <v>0.27</v>
      </c>
      <c r="JR11" s="519">
        <v>0.57999999999999996</v>
      </c>
      <c r="JS11" s="519">
        <v>0.52</v>
      </c>
      <c r="JT11" s="519">
        <v>0.42</v>
      </c>
      <c r="JU11" s="519">
        <v>0.51</v>
      </c>
      <c r="JV11" s="519">
        <v>0.48</v>
      </c>
      <c r="JW11" s="519">
        <v>0.47</v>
      </c>
      <c r="JX11" s="519">
        <v>0.41</v>
      </c>
      <c r="JY11" s="519">
        <v>0.48</v>
      </c>
      <c r="JZ11" s="519">
        <v>0.45</v>
      </c>
      <c r="KA11" s="519">
        <v>0.6</v>
      </c>
      <c r="KB11" s="519">
        <v>0.45</v>
      </c>
      <c r="KC11" s="519">
        <v>0.65</v>
      </c>
      <c r="KD11" s="519">
        <v>0.34</v>
      </c>
      <c r="KE11" s="519">
        <v>0.48</v>
      </c>
      <c r="KF11" s="519">
        <v>0.45</v>
      </c>
      <c r="KG11" s="519">
        <v>0.51</v>
      </c>
      <c r="KH11" s="955">
        <v>53</v>
      </c>
      <c r="KI11" s="955" t="s">
        <v>11</v>
      </c>
      <c r="KJ11" s="955">
        <v>9</v>
      </c>
      <c r="KK11" s="955" t="s">
        <v>11</v>
      </c>
      <c r="KL11" s="956">
        <v>0.11</v>
      </c>
      <c r="KM11" s="956">
        <v>0.5</v>
      </c>
      <c r="KN11" s="956">
        <v>0.36</v>
      </c>
      <c r="KO11" s="956">
        <v>0.03</v>
      </c>
      <c r="KP11" s="956">
        <v>0.49</v>
      </c>
      <c r="KQ11" s="956">
        <v>0.26</v>
      </c>
      <c r="KR11" s="956">
        <v>0.56999999999999995</v>
      </c>
      <c r="KS11" s="956">
        <v>0.46</v>
      </c>
      <c r="KT11" s="956">
        <v>0.55000000000000004</v>
      </c>
      <c r="KU11" s="956">
        <v>0.38</v>
      </c>
      <c r="KV11" s="956">
        <v>0.57999999999999996</v>
      </c>
      <c r="KW11" s="956">
        <v>0.34</v>
      </c>
      <c r="KX11" s="956">
        <v>0.33</v>
      </c>
      <c r="KY11" s="956">
        <v>0.51</v>
      </c>
      <c r="KZ11" s="956">
        <v>0.37</v>
      </c>
      <c r="LA11" s="956">
        <v>0.38</v>
      </c>
      <c r="LB11" s="956">
        <v>0.4</v>
      </c>
      <c r="LC11" s="956">
        <v>0.37</v>
      </c>
      <c r="LD11" s="956">
        <v>0.54</v>
      </c>
      <c r="LE11" s="956">
        <v>0.48</v>
      </c>
      <c r="LF11" s="956">
        <v>0.31</v>
      </c>
      <c r="LG11" s="955">
        <v>0.42</v>
      </c>
      <c r="LH11" s="956">
        <v>0.54</v>
      </c>
      <c r="LI11" s="956">
        <v>0.47</v>
      </c>
      <c r="LJ11" s="956">
        <v>0.4</v>
      </c>
      <c r="LK11" s="956">
        <v>0.54</v>
      </c>
      <c r="LL11" s="955" t="s">
        <v>173</v>
      </c>
      <c r="LM11" s="956">
        <v>0.56999999999999995</v>
      </c>
      <c r="LN11" s="956">
        <v>0.6</v>
      </c>
      <c r="LO11" s="956">
        <v>0.42</v>
      </c>
    </row>
    <row r="12" spans="1:327" ht="24.95" customHeight="1" x14ac:dyDescent="0.2">
      <c r="A12" s="6" t="s">
        <v>12</v>
      </c>
      <c r="B12" s="6"/>
      <c r="C12" s="6"/>
      <c r="D12" s="21">
        <v>53</v>
      </c>
      <c r="E12" s="21">
        <v>7</v>
      </c>
      <c r="F12" s="65">
        <v>0.06</v>
      </c>
      <c r="G12" s="65">
        <v>0.59</v>
      </c>
      <c r="H12" s="65">
        <v>0.35</v>
      </c>
      <c r="I12" s="65">
        <v>0.01</v>
      </c>
      <c r="J12" s="39">
        <f>AVERAGEIFS(J$36:J$173,$B$36:$B$173,"=oficial")</f>
        <v>0.42040000000000005</v>
      </c>
      <c r="K12" s="39">
        <f t="shared" ref="K12:AG12" si="0">AVERAGEIFS(K$36:K$173,$B$36:$B$173,"=oficial")</f>
        <v>0.40639999999999993</v>
      </c>
      <c r="L12" s="39">
        <f t="shared" si="0"/>
        <v>0.74639999999999984</v>
      </c>
      <c r="M12" s="39">
        <f t="shared" si="0"/>
        <v>0.24520000000000003</v>
      </c>
      <c r="N12" s="39">
        <f t="shared" si="0"/>
        <v>0.3103999999999999</v>
      </c>
      <c r="O12" s="39">
        <f t="shared" si="0"/>
        <v>0.65359999999999996</v>
      </c>
      <c r="P12" s="39">
        <f t="shared" si="0"/>
        <v>0.34239999999999993</v>
      </c>
      <c r="Q12" s="39">
        <f t="shared" si="0"/>
        <v>0.42760000000000004</v>
      </c>
      <c r="R12" s="39">
        <f t="shared" si="0"/>
        <v>0.54199999999999993</v>
      </c>
      <c r="S12" s="39">
        <f t="shared" si="0"/>
        <v>0.60119999999999996</v>
      </c>
      <c r="T12" s="39">
        <f t="shared" si="0"/>
        <v>0.4708</v>
      </c>
      <c r="U12" s="39">
        <f t="shared" si="0"/>
        <v>0.60920000000000007</v>
      </c>
      <c r="V12" s="39">
        <f t="shared" si="0"/>
        <v>7.6800000000000035E-2</v>
      </c>
      <c r="W12" s="39">
        <f t="shared" si="0"/>
        <v>0.17120000000000002</v>
      </c>
      <c r="X12" s="39">
        <f t="shared" si="0"/>
        <v>0.51440000000000008</v>
      </c>
      <c r="Y12" s="39">
        <f t="shared" si="0"/>
        <v>0.49560000000000004</v>
      </c>
      <c r="Z12" s="39">
        <f t="shared" si="0"/>
        <v>0.80761904761904768</v>
      </c>
      <c r="AA12" s="39">
        <f t="shared" si="0"/>
        <v>0.11960000000000003</v>
      </c>
      <c r="AB12" s="39">
        <f t="shared" si="0"/>
        <v>0.45319999999999999</v>
      </c>
      <c r="AC12" s="39">
        <f t="shared" si="0"/>
        <v>0.27159999999999995</v>
      </c>
      <c r="AD12" s="39">
        <f t="shared" si="0"/>
        <v>0.45640000000000003</v>
      </c>
      <c r="AE12" s="39">
        <f t="shared" si="0"/>
        <v>0.44639999999999991</v>
      </c>
      <c r="AF12" s="39">
        <f t="shared" si="0"/>
        <v>0.55519999999999992</v>
      </c>
      <c r="AG12" s="39">
        <f t="shared" si="0"/>
        <v>0.50319999999999998</v>
      </c>
      <c r="AH12" s="21">
        <v>52</v>
      </c>
      <c r="AI12" s="21">
        <v>8</v>
      </c>
      <c r="AJ12" s="57">
        <v>0.09</v>
      </c>
      <c r="AK12" s="57">
        <v>0.56999999999999995</v>
      </c>
      <c r="AL12" s="57">
        <v>0.33</v>
      </c>
      <c r="AM12" s="57">
        <v>0.01</v>
      </c>
      <c r="AN12" s="39">
        <f>AVERAGEIFS(AN$36:AN$173,$B$36:$B$173,"=oficial")</f>
        <v>0.29720000000000002</v>
      </c>
      <c r="AO12" s="39">
        <f t="shared" ref="AO12:BL12" si="1">AVERAGEIFS(AO$36:AO$173,$B$36:$B$173,"=oficial")</f>
        <v>0.47080000000000005</v>
      </c>
      <c r="AP12" s="39">
        <f t="shared" si="1"/>
        <v>0.58839999999999992</v>
      </c>
      <c r="AQ12" s="39">
        <f t="shared" si="1"/>
        <v>0.40839999999999999</v>
      </c>
      <c r="AR12" s="39">
        <f t="shared" si="1"/>
        <v>0.56480000000000008</v>
      </c>
      <c r="AS12" s="39">
        <f t="shared" si="1"/>
        <v>0.51840000000000008</v>
      </c>
      <c r="AT12" s="39">
        <f t="shared" si="1"/>
        <v>0.52199999999999991</v>
      </c>
      <c r="AU12" s="39">
        <f t="shared" si="1"/>
        <v>0.52639999999999998</v>
      </c>
      <c r="AV12" s="39">
        <f t="shared" si="1"/>
        <v>0.61720000000000008</v>
      </c>
      <c r="AW12" s="39">
        <f t="shared" si="1"/>
        <v>0.49240000000000012</v>
      </c>
      <c r="AX12" s="39">
        <f t="shared" si="1"/>
        <v>0.58040000000000003</v>
      </c>
      <c r="AY12" s="39">
        <f t="shared" si="1"/>
        <v>0.31879999999999997</v>
      </c>
      <c r="AZ12" s="39">
        <f t="shared" si="1"/>
        <v>0.28520000000000001</v>
      </c>
      <c r="BA12" s="39">
        <f t="shared" si="1"/>
        <v>0.50120000000000009</v>
      </c>
      <c r="BB12" s="39">
        <f t="shared" si="1"/>
        <v>0.6631999999999999</v>
      </c>
      <c r="BC12" s="39">
        <f t="shared" si="1"/>
        <v>0.65560000000000007</v>
      </c>
      <c r="BD12" s="39">
        <f t="shared" si="1"/>
        <v>0.41720000000000007</v>
      </c>
      <c r="BE12" s="39">
        <f t="shared" si="1"/>
        <v>0.54679999999999984</v>
      </c>
      <c r="BF12" s="39">
        <f t="shared" si="1"/>
        <v>0.58599999999999997</v>
      </c>
      <c r="BG12" s="39">
        <f t="shared" si="1"/>
        <v>0.51319999999999988</v>
      </c>
      <c r="BH12" s="39">
        <f t="shared" si="1"/>
        <v>0.43920000000000009</v>
      </c>
      <c r="BI12" s="39">
        <f t="shared" si="1"/>
        <v>0.41120000000000012</v>
      </c>
      <c r="BJ12" s="39">
        <f t="shared" si="1"/>
        <v>0.36319999999999991</v>
      </c>
      <c r="BK12" s="39">
        <f t="shared" si="1"/>
        <v>0.45999999999999991</v>
      </c>
      <c r="BL12" s="39">
        <f t="shared" si="1"/>
        <v>0.48479999999999995</v>
      </c>
      <c r="BM12" s="21">
        <v>50</v>
      </c>
      <c r="BN12" s="21">
        <v>8</v>
      </c>
      <c r="BO12" s="65">
        <v>0.14000000000000001</v>
      </c>
      <c r="BP12" s="65">
        <v>0.6</v>
      </c>
      <c r="BQ12" s="65">
        <v>0.25</v>
      </c>
      <c r="BR12" s="65">
        <v>0.01</v>
      </c>
      <c r="BS12" s="39">
        <f>AVERAGEIFS(BS$36:BS$173,$B$36:$B$173,"=oficial")</f>
        <v>0.35359999999999997</v>
      </c>
      <c r="BT12" s="39">
        <f t="shared" ref="BT12:CR12" si="2">AVERAGEIFS(BT$36:BT$173,$B$36:$B$173,"=oficial")</f>
        <v>0.57679999999999987</v>
      </c>
      <c r="BU12" s="39">
        <f t="shared" si="2"/>
        <v>0.67320000000000024</v>
      </c>
      <c r="BV12" s="39">
        <f t="shared" si="2"/>
        <v>0.37800000000000011</v>
      </c>
      <c r="BW12" s="39">
        <f t="shared" si="2"/>
        <v>0.64680000000000004</v>
      </c>
      <c r="BX12" s="39">
        <f t="shared" si="2"/>
        <v>0.38520000000000004</v>
      </c>
      <c r="BY12" s="39">
        <f t="shared" si="2"/>
        <v>0.45360000000000006</v>
      </c>
      <c r="BZ12" s="39">
        <f t="shared" si="2"/>
        <v>0.5391999999999999</v>
      </c>
      <c r="CA12" s="39">
        <f t="shared" si="2"/>
        <v>0.48120000000000013</v>
      </c>
      <c r="CB12" s="39">
        <f t="shared" si="2"/>
        <v>0.39479999999999998</v>
      </c>
      <c r="CC12" s="39">
        <f t="shared" si="2"/>
        <v>0.22359999999999999</v>
      </c>
      <c r="CD12" s="39">
        <f t="shared" si="2"/>
        <v>0.45200000000000012</v>
      </c>
      <c r="CE12" s="39">
        <f t="shared" si="2"/>
        <v>0.36839999999999995</v>
      </c>
      <c r="CF12" s="39">
        <f t="shared" si="2"/>
        <v>0.62040000000000006</v>
      </c>
      <c r="CG12" s="39">
        <f t="shared" si="2"/>
        <v>0.61599999999999988</v>
      </c>
      <c r="CH12" s="39">
        <f t="shared" si="2"/>
        <v>0.47040000000000004</v>
      </c>
      <c r="CI12" s="39">
        <f t="shared" si="2"/>
        <v>0.59</v>
      </c>
      <c r="CJ12" s="39">
        <f t="shared" si="2"/>
        <v>0.36919999999999997</v>
      </c>
      <c r="CK12" s="39">
        <f t="shared" si="2"/>
        <v>0.70319999999999994</v>
      </c>
      <c r="CL12" s="39">
        <f t="shared" si="2"/>
        <v>0.34079999999999994</v>
      </c>
      <c r="CM12" s="39">
        <f t="shared" si="2"/>
        <v>0.47960000000000008</v>
      </c>
      <c r="CN12" s="39">
        <f t="shared" si="2"/>
        <v>0.48239999999999994</v>
      </c>
      <c r="CO12" s="39">
        <f t="shared" si="2"/>
        <v>0.45480000000000004</v>
      </c>
      <c r="CP12" s="39">
        <f t="shared" si="2"/>
        <v>0.38640000000000008</v>
      </c>
      <c r="CQ12" s="39">
        <f t="shared" si="2"/>
        <v>0.55080000000000007</v>
      </c>
      <c r="CR12" s="39">
        <f t="shared" si="2"/>
        <v>0.57800000000000007</v>
      </c>
      <c r="CS12" s="21">
        <v>49</v>
      </c>
      <c r="CT12" s="21">
        <v>9</v>
      </c>
      <c r="CU12" s="39">
        <v>0.18</v>
      </c>
      <c r="CV12" s="39">
        <v>0.61</v>
      </c>
      <c r="CW12" s="39">
        <v>0.2</v>
      </c>
      <c r="CX12" s="39">
        <v>0.01</v>
      </c>
      <c r="CY12" s="39">
        <f>AVERAGEIFS(CY$36:CY$173,$B$36:$B$173,"=oficial")</f>
        <v>0.52</v>
      </c>
      <c r="CZ12" s="39">
        <f t="shared" ref="CZ12:DW12" si="3">AVERAGEIFS(CZ$36:CZ$173,$B$36:$B$173,"=oficial")</f>
        <v>0.31879999999999997</v>
      </c>
      <c r="DA12" s="39">
        <f t="shared" si="3"/>
        <v>0.59439999999999993</v>
      </c>
      <c r="DB12" s="39">
        <f t="shared" si="3"/>
        <v>0.38640000000000002</v>
      </c>
      <c r="DC12" s="39">
        <f t="shared" si="3"/>
        <v>0.47360000000000013</v>
      </c>
      <c r="DD12" s="39">
        <f t="shared" si="3"/>
        <v>0.63599999999999979</v>
      </c>
      <c r="DE12" s="39">
        <f t="shared" si="3"/>
        <v>0.49640000000000006</v>
      </c>
      <c r="DF12" s="39">
        <f t="shared" si="3"/>
        <v>0.56240000000000012</v>
      </c>
      <c r="DG12" s="39">
        <f t="shared" si="3"/>
        <v>0.47040000000000004</v>
      </c>
      <c r="DH12" s="39">
        <f t="shared" si="3"/>
        <v>0.39280000000000004</v>
      </c>
      <c r="DI12" s="39">
        <f t="shared" si="3"/>
        <v>0.55280000000000018</v>
      </c>
      <c r="DJ12" s="39">
        <f t="shared" si="3"/>
        <v>0.53079999999999994</v>
      </c>
      <c r="DK12" s="39">
        <f t="shared" si="3"/>
        <v>0.40080000000000005</v>
      </c>
      <c r="DL12" s="39">
        <f t="shared" si="3"/>
        <v>0.38880000000000003</v>
      </c>
      <c r="DM12" s="39">
        <f t="shared" si="3"/>
        <v>0.53759999999999997</v>
      </c>
      <c r="DN12" s="39">
        <f t="shared" si="3"/>
        <v>0.50879999999999992</v>
      </c>
      <c r="DO12" s="39">
        <f t="shared" si="3"/>
        <v>0.46200000000000002</v>
      </c>
      <c r="DP12" s="39">
        <f t="shared" si="3"/>
        <v>0.47239999999999993</v>
      </c>
      <c r="DQ12" s="39">
        <f t="shared" si="3"/>
        <v>0.58319999999999983</v>
      </c>
      <c r="DR12" s="39">
        <f t="shared" si="3"/>
        <v>0.22120000000000004</v>
      </c>
      <c r="DS12" s="39">
        <f t="shared" si="3"/>
        <v>0.40360000000000013</v>
      </c>
      <c r="DT12" s="39">
        <f t="shared" si="3"/>
        <v>0.59360000000000002</v>
      </c>
      <c r="DU12" s="39">
        <f t="shared" si="3"/>
        <v>0.55080000000000007</v>
      </c>
      <c r="DV12" s="39">
        <f t="shared" si="3"/>
        <v>0.60919999999999996</v>
      </c>
      <c r="DW12" s="39">
        <f t="shared" si="3"/>
        <v>0.36799999999999988</v>
      </c>
      <c r="DX12" s="22">
        <v>49</v>
      </c>
      <c r="DY12" s="22">
        <v>9</v>
      </c>
      <c r="DZ12" s="60">
        <v>0.19</v>
      </c>
      <c r="EA12" s="60">
        <v>0.59</v>
      </c>
      <c r="EB12" s="60">
        <v>0.22</v>
      </c>
      <c r="EC12" s="60">
        <v>0.01</v>
      </c>
      <c r="ED12" s="39">
        <f t="shared" ref="ED12:FA12" si="4">AVERAGEIFS(ED$36:ED$173,$B$36:$B$173,"=oficial")</f>
        <v>0.49760000000000004</v>
      </c>
      <c r="EE12" s="39">
        <f t="shared" si="4"/>
        <v>0.47480000000000011</v>
      </c>
      <c r="EF12" s="39">
        <f t="shared" si="4"/>
        <v>0.51440000000000008</v>
      </c>
      <c r="EG12" s="39">
        <f t="shared" si="4"/>
        <v>0.37640000000000007</v>
      </c>
      <c r="EH12" s="39">
        <f t="shared" si="4"/>
        <v>0.45600000000000002</v>
      </c>
      <c r="EI12" s="39">
        <f t="shared" si="4"/>
        <v>0.52760000000000007</v>
      </c>
      <c r="EJ12" s="39">
        <f t="shared" si="4"/>
        <v>0.5928000000000001</v>
      </c>
      <c r="EK12" s="39">
        <f t="shared" si="4"/>
        <v>0.29920000000000002</v>
      </c>
      <c r="EL12" s="39">
        <f t="shared" si="4"/>
        <v>0.47440000000000004</v>
      </c>
      <c r="EM12" s="39">
        <f t="shared" si="4"/>
        <v>0.66279999999999983</v>
      </c>
      <c r="EN12" s="39">
        <f t="shared" si="4"/>
        <v>0.49959999999999999</v>
      </c>
      <c r="EO12" s="39">
        <f t="shared" si="4"/>
        <v>0.58560000000000001</v>
      </c>
      <c r="EP12" s="39">
        <f t="shared" si="4"/>
        <v>0.40640000000000009</v>
      </c>
      <c r="EQ12" s="39">
        <f t="shared" si="4"/>
        <v>0.32159999999999994</v>
      </c>
      <c r="ER12" s="39">
        <f t="shared" si="4"/>
        <v>0.62</v>
      </c>
      <c r="ES12" s="39">
        <f t="shared" si="4"/>
        <v>0.48919999999999997</v>
      </c>
      <c r="ET12" s="39">
        <f t="shared" si="4"/>
        <v>0.35799999999999998</v>
      </c>
      <c r="EU12" s="39">
        <f t="shared" si="4"/>
        <v>0.622</v>
      </c>
      <c r="EV12" s="39">
        <f t="shared" si="4"/>
        <v>0.43079999999999996</v>
      </c>
      <c r="EW12" s="39">
        <f t="shared" si="4"/>
        <v>0.34119999999999995</v>
      </c>
      <c r="EX12" s="39">
        <f t="shared" si="4"/>
        <v>0.67519999999999991</v>
      </c>
      <c r="EY12" s="39">
        <f t="shared" si="4"/>
        <v>0.60600000000000009</v>
      </c>
      <c r="EZ12" s="39">
        <f t="shared" si="4"/>
        <v>0.25960000000000005</v>
      </c>
      <c r="FA12" s="39">
        <f t="shared" si="4"/>
        <v>0.62519999999999987</v>
      </c>
      <c r="FB12" s="244">
        <v>48</v>
      </c>
      <c r="FC12" s="244" t="s">
        <v>758</v>
      </c>
      <c r="FD12" s="244">
        <v>8</v>
      </c>
      <c r="FE12" s="244" t="s">
        <v>758</v>
      </c>
      <c r="FF12" s="262">
        <v>0.17</v>
      </c>
      <c r="FG12" s="262">
        <v>0.64</v>
      </c>
      <c r="FH12" s="262">
        <v>0.18</v>
      </c>
      <c r="FI12" s="262">
        <v>0</v>
      </c>
      <c r="FJ12" s="39">
        <f>AVERAGEIFS(FJ$36:FJ$173,$B$36:$B$173,"=oficial")</f>
        <v>0.50880000000000003</v>
      </c>
      <c r="FK12" s="39">
        <f t="shared" ref="FK12:GI12" si="5">AVERAGEIFS(FK$36:FK$173,$B$36:$B$173,"=oficial")</f>
        <v>0.68559999999999988</v>
      </c>
      <c r="FL12" s="39">
        <f t="shared" si="5"/>
        <v>0.52600000000000013</v>
      </c>
      <c r="FM12" s="39">
        <f t="shared" si="5"/>
        <v>0.47039999999999998</v>
      </c>
      <c r="FN12" s="39">
        <f t="shared" si="5"/>
        <v>0.3236</v>
      </c>
      <c r="FO12" s="39">
        <f t="shared" si="5"/>
        <v>0.36799999999999999</v>
      </c>
      <c r="FP12" s="39">
        <f t="shared" si="5"/>
        <v>0.42919999999999997</v>
      </c>
      <c r="FQ12" s="39">
        <f t="shared" si="5"/>
        <v>0.4247999999999999</v>
      </c>
      <c r="FR12" s="39">
        <f t="shared" si="5"/>
        <v>0.61599999999999999</v>
      </c>
      <c r="FS12" s="39">
        <f t="shared" si="5"/>
        <v>0.5404000000000001</v>
      </c>
      <c r="FT12" s="39">
        <f t="shared" si="5"/>
        <v>0.54160000000000008</v>
      </c>
      <c r="FU12" s="39">
        <f t="shared" si="5"/>
        <v>0.42120000000000002</v>
      </c>
      <c r="FV12" s="39">
        <f t="shared" si="5"/>
        <v>0.64200000000000002</v>
      </c>
      <c r="FW12" s="39">
        <f t="shared" si="5"/>
        <v>0.5948</v>
      </c>
      <c r="FX12" s="39">
        <f t="shared" si="5"/>
        <v>0.51639999999999997</v>
      </c>
      <c r="FY12" s="39">
        <f t="shared" si="5"/>
        <v>0.39799999999999996</v>
      </c>
      <c r="FZ12" s="39">
        <f t="shared" si="5"/>
        <v>0.44519999999999987</v>
      </c>
      <c r="GA12" s="39">
        <f t="shared" si="5"/>
        <v>0.53</v>
      </c>
      <c r="GB12" s="39">
        <f t="shared" si="5"/>
        <v>0.56359999999999999</v>
      </c>
      <c r="GC12" s="39">
        <f t="shared" si="5"/>
        <v>0.48799999999999999</v>
      </c>
      <c r="GD12" s="39">
        <f t="shared" si="5"/>
        <v>0.62080000000000002</v>
      </c>
      <c r="GE12" s="39">
        <f t="shared" si="5"/>
        <v>0.57679999999999998</v>
      </c>
      <c r="GF12" s="39">
        <f t="shared" si="5"/>
        <v>0.5159999999999999</v>
      </c>
      <c r="GG12" s="39">
        <f t="shared" si="5"/>
        <v>0.49960000000000016</v>
      </c>
      <c r="GH12" s="39">
        <f t="shared" si="5"/>
        <v>0.59960000000000013</v>
      </c>
      <c r="GI12" s="39">
        <f t="shared" si="5"/>
        <v>0.31639999999999996</v>
      </c>
      <c r="GJ12" s="315">
        <v>49</v>
      </c>
      <c r="GK12" s="315" t="s">
        <v>758</v>
      </c>
      <c r="GL12" s="315">
        <v>9</v>
      </c>
      <c r="GM12" s="315" t="s">
        <v>758</v>
      </c>
      <c r="GN12" s="291">
        <v>0.17</v>
      </c>
      <c r="GO12" s="291">
        <v>0.59</v>
      </c>
      <c r="GP12" s="291">
        <v>0.23</v>
      </c>
      <c r="GQ12" s="291">
        <v>0.01</v>
      </c>
      <c r="GR12" s="39">
        <f>AVERAGEIFS(GR$36:GR$173,$B$36:$B$173,"=oficial")</f>
        <v>0.51241379310344815</v>
      </c>
      <c r="GS12" s="39">
        <f t="shared" ref="GS12:HQ12" si="6">AVERAGEIFS(GS$36:GS$173,$B$36:$B$173,"=oficial")</f>
        <v>0.57310344827586213</v>
      </c>
      <c r="GT12" s="39">
        <f t="shared" si="6"/>
        <v>0.64482758620689673</v>
      </c>
      <c r="GU12" s="39">
        <f t="shared" si="6"/>
        <v>0.26793103448275862</v>
      </c>
      <c r="GV12" s="39">
        <f t="shared" si="6"/>
        <v>0.58275862068965523</v>
      </c>
      <c r="GW12" s="39">
        <f t="shared" si="6"/>
        <v>0.51793103448275857</v>
      </c>
      <c r="GX12" s="39">
        <f t="shared" si="6"/>
        <v>0.5</v>
      </c>
      <c r="GY12" s="39" t="e">
        <f t="shared" si="6"/>
        <v>#DIV/0!</v>
      </c>
      <c r="GZ12" s="39">
        <f t="shared" si="6"/>
        <v>0.36999999999999994</v>
      </c>
      <c r="HA12" s="39">
        <f t="shared" si="6"/>
        <v>0.67</v>
      </c>
      <c r="HB12" s="39">
        <f t="shared" si="6"/>
        <v>0.49689655172413794</v>
      </c>
      <c r="HC12" s="39">
        <f t="shared" si="6"/>
        <v>0.54793103448275871</v>
      </c>
      <c r="HD12" s="39">
        <f t="shared" si="6"/>
        <v>0.59862068965517234</v>
      </c>
      <c r="HE12" s="39">
        <f t="shared" si="6"/>
        <v>0.49241379310344824</v>
      </c>
      <c r="HF12" s="39">
        <f t="shared" si="6"/>
        <v>0.51620689655172414</v>
      </c>
      <c r="HG12" s="39">
        <f t="shared" si="6"/>
        <v>0.67379310344827592</v>
      </c>
      <c r="HH12" s="39">
        <f t="shared" si="6"/>
        <v>0.42</v>
      </c>
      <c r="HI12" s="39">
        <f t="shared" si="6"/>
        <v>0.56103448275862067</v>
      </c>
      <c r="HJ12" s="39">
        <f t="shared" si="6"/>
        <v>0.61206896551724133</v>
      </c>
      <c r="HK12" s="39">
        <f t="shared" si="6"/>
        <v>0.53551724137931034</v>
      </c>
      <c r="HL12" s="39">
        <f t="shared" si="6"/>
        <v>0.45413793103448274</v>
      </c>
      <c r="HM12" s="39">
        <f t="shared" si="6"/>
        <v>0.51241379310344848</v>
      </c>
      <c r="HN12" s="39">
        <f t="shared" si="6"/>
        <v>0.51275862068965516</v>
      </c>
      <c r="HO12" s="39">
        <f t="shared" si="6"/>
        <v>0.46586206896551724</v>
      </c>
      <c r="HP12" s="39" t="e">
        <f t="shared" si="6"/>
        <v>#DIV/0!</v>
      </c>
      <c r="HQ12" s="39">
        <f t="shared" si="6"/>
        <v>0.44241379310344836</v>
      </c>
      <c r="HR12" s="423">
        <v>50</v>
      </c>
      <c r="HS12" s="423" t="s">
        <v>758</v>
      </c>
      <c r="HT12" s="423">
        <v>9</v>
      </c>
      <c r="HU12" s="423" t="s">
        <v>758</v>
      </c>
      <c r="HV12" s="427">
        <v>0.16</v>
      </c>
      <c r="HW12" s="427">
        <v>0.57999999999999996</v>
      </c>
      <c r="HX12" s="427">
        <v>0.25</v>
      </c>
      <c r="HY12" s="427">
        <v>0.01</v>
      </c>
      <c r="HZ12" s="423" t="s">
        <v>173</v>
      </c>
      <c r="IA12" s="423" t="s">
        <v>173</v>
      </c>
      <c r="IB12" s="423" t="s">
        <v>173</v>
      </c>
      <c r="IC12" s="423" t="s">
        <v>173</v>
      </c>
      <c r="ID12" s="423" t="s">
        <v>173</v>
      </c>
      <c r="IE12" s="423" t="s">
        <v>173</v>
      </c>
      <c r="IF12" s="423" t="s">
        <v>173</v>
      </c>
      <c r="IG12" s="423" t="s">
        <v>173</v>
      </c>
      <c r="IH12" s="423" t="s">
        <v>173</v>
      </c>
      <c r="II12" s="423" t="s">
        <v>173</v>
      </c>
      <c r="IJ12" s="423" t="s">
        <v>173</v>
      </c>
      <c r="IK12" s="423" t="s">
        <v>173</v>
      </c>
      <c r="IL12" s="423" t="s">
        <v>173</v>
      </c>
      <c r="IM12" s="423" t="s">
        <v>173</v>
      </c>
      <c r="IN12" s="423" t="s">
        <v>173</v>
      </c>
      <c r="IO12" s="423" t="s">
        <v>173</v>
      </c>
      <c r="IP12" s="423" t="s">
        <v>173</v>
      </c>
      <c r="IQ12" s="423" t="s">
        <v>173</v>
      </c>
      <c r="IR12" s="423" t="s">
        <v>173</v>
      </c>
      <c r="IS12" s="423" t="s">
        <v>173</v>
      </c>
      <c r="IT12" s="423" t="s">
        <v>173</v>
      </c>
      <c r="IU12" s="423" t="s">
        <v>173</v>
      </c>
      <c r="IV12" s="423" t="s">
        <v>173</v>
      </c>
      <c r="IW12" s="423" t="s">
        <v>173</v>
      </c>
      <c r="IX12" s="423" t="s">
        <v>173</v>
      </c>
      <c r="IY12" s="423" t="s">
        <v>173</v>
      </c>
      <c r="IZ12" s="521">
        <v>50</v>
      </c>
      <c r="JA12" s="521" t="s">
        <v>758</v>
      </c>
      <c r="JB12" s="521">
        <v>9</v>
      </c>
      <c r="JC12" s="521" t="s">
        <v>758</v>
      </c>
      <c r="JD12" s="486">
        <v>0.15</v>
      </c>
      <c r="JE12" s="486">
        <v>0.55000000000000004</v>
      </c>
      <c r="JF12" s="486">
        <v>0.28000000000000003</v>
      </c>
      <c r="JG12" s="486">
        <v>0.01</v>
      </c>
      <c r="JH12" s="521" t="s">
        <v>173</v>
      </c>
      <c r="JI12" s="521" t="s">
        <v>173</v>
      </c>
      <c r="JJ12" s="521" t="s">
        <v>173</v>
      </c>
      <c r="JK12" s="521" t="s">
        <v>173</v>
      </c>
      <c r="JL12" s="521" t="s">
        <v>173</v>
      </c>
      <c r="JM12" s="521" t="s">
        <v>173</v>
      </c>
      <c r="JN12" s="521" t="s">
        <v>173</v>
      </c>
      <c r="JO12" s="521" t="s">
        <v>173</v>
      </c>
      <c r="JP12" s="521" t="s">
        <v>173</v>
      </c>
      <c r="JQ12" s="521" t="s">
        <v>173</v>
      </c>
      <c r="JR12" s="521" t="s">
        <v>173</v>
      </c>
      <c r="JS12" s="521" t="s">
        <v>173</v>
      </c>
      <c r="JT12" s="521" t="s">
        <v>173</v>
      </c>
      <c r="JU12" s="521" t="s">
        <v>173</v>
      </c>
      <c r="JV12" s="521" t="s">
        <v>173</v>
      </c>
      <c r="JW12" s="521" t="s">
        <v>173</v>
      </c>
      <c r="JX12" s="521" t="s">
        <v>173</v>
      </c>
      <c r="JY12" s="521" t="s">
        <v>173</v>
      </c>
      <c r="JZ12" s="521" t="s">
        <v>173</v>
      </c>
      <c r="KA12" s="521" t="s">
        <v>173</v>
      </c>
      <c r="KB12" s="521" t="s">
        <v>173</v>
      </c>
      <c r="KC12" s="521" t="s">
        <v>173</v>
      </c>
      <c r="KD12" s="521" t="s">
        <v>173</v>
      </c>
      <c r="KE12" s="521" t="s">
        <v>173</v>
      </c>
      <c r="KF12" s="521" t="s">
        <v>173</v>
      </c>
      <c r="KG12" s="521" t="s">
        <v>173</v>
      </c>
      <c r="KH12" s="957">
        <v>51</v>
      </c>
      <c r="KI12" s="957" t="s">
        <v>758</v>
      </c>
      <c r="KJ12" s="957">
        <v>9</v>
      </c>
      <c r="KK12" s="957" t="s">
        <v>758</v>
      </c>
      <c r="KL12" s="958">
        <v>0.13</v>
      </c>
      <c r="KM12" s="958">
        <v>0.55000000000000004</v>
      </c>
      <c r="KN12" s="958">
        <v>0.3</v>
      </c>
      <c r="KO12" s="958">
        <v>0.02</v>
      </c>
      <c r="KP12" s="958" t="s">
        <v>173</v>
      </c>
      <c r="KQ12" s="958" t="s">
        <v>173</v>
      </c>
      <c r="KR12" s="958" t="s">
        <v>173</v>
      </c>
      <c r="KS12" s="958" t="s">
        <v>173</v>
      </c>
      <c r="KT12" s="958" t="s">
        <v>173</v>
      </c>
      <c r="KU12" s="958" t="s">
        <v>173</v>
      </c>
      <c r="KV12" s="958" t="s">
        <v>173</v>
      </c>
      <c r="KW12" s="958" t="s">
        <v>173</v>
      </c>
      <c r="KX12" s="958" t="s">
        <v>173</v>
      </c>
      <c r="KY12" s="958" t="s">
        <v>173</v>
      </c>
      <c r="KZ12" s="958" t="s">
        <v>173</v>
      </c>
      <c r="LA12" s="958" t="s">
        <v>173</v>
      </c>
      <c r="LB12" s="958" t="s">
        <v>173</v>
      </c>
      <c r="LC12" s="958" t="s">
        <v>173</v>
      </c>
      <c r="LD12" s="958" t="s">
        <v>173</v>
      </c>
      <c r="LE12" s="958" t="s">
        <v>173</v>
      </c>
      <c r="LF12" s="958" t="s">
        <v>173</v>
      </c>
      <c r="LG12" s="958" t="s">
        <v>173</v>
      </c>
      <c r="LH12" s="958" t="s">
        <v>173</v>
      </c>
      <c r="LI12" s="958" t="s">
        <v>173</v>
      </c>
      <c r="LJ12" s="958" t="s">
        <v>173</v>
      </c>
      <c r="LK12" s="958" t="s">
        <v>173</v>
      </c>
      <c r="LL12" s="957" t="s">
        <v>173</v>
      </c>
      <c r="LM12" s="958" t="s">
        <v>173</v>
      </c>
      <c r="LN12" s="957" t="s">
        <v>173</v>
      </c>
      <c r="LO12" s="957" t="s">
        <v>173</v>
      </c>
    </row>
    <row r="13" spans="1:327" ht="24.95" customHeight="1" x14ac:dyDescent="0.2">
      <c r="A13" s="6" t="s">
        <v>13</v>
      </c>
      <c r="B13" s="6"/>
      <c r="C13" s="6"/>
      <c r="D13" s="21">
        <v>54</v>
      </c>
      <c r="E13" s="21">
        <v>7</v>
      </c>
      <c r="F13" s="65">
        <v>0</v>
      </c>
      <c r="G13" s="65">
        <v>0.59</v>
      </c>
      <c r="H13" s="65">
        <v>0.41</v>
      </c>
      <c r="I13" s="65">
        <v>0</v>
      </c>
      <c r="J13" s="39">
        <f t="shared" ref="J13:O13" si="7">J100</f>
        <v>0</v>
      </c>
      <c r="K13" s="39">
        <f t="shared" si="7"/>
        <v>0</v>
      </c>
      <c r="L13" s="39">
        <f t="shared" si="7"/>
        <v>0</v>
      </c>
      <c r="M13" s="39">
        <f t="shared" si="7"/>
        <v>0</v>
      </c>
      <c r="N13" s="39">
        <f t="shared" si="7"/>
        <v>0</v>
      </c>
      <c r="O13" s="39">
        <f t="shared" si="7"/>
        <v>0</v>
      </c>
      <c r="P13" s="39">
        <f t="shared" ref="P13:AG13" si="8">P100</f>
        <v>0</v>
      </c>
      <c r="Q13" s="39">
        <f t="shared" si="8"/>
        <v>0</v>
      </c>
      <c r="R13" s="39">
        <f t="shared" si="8"/>
        <v>0</v>
      </c>
      <c r="S13" s="39">
        <f t="shared" si="8"/>
        <v>0</v>
      </c>
      <c r="T13" s="39">
        <f t="shared" si="8"/>
        <v>0</v>
      </c>
      <c r="U13" s="39">
        <f t="shared" si="8"/>
        <v>0</v>
      </c>
      <c r="V13" s="39">
        <f t="shared" si="8"/>
        <v>0</v>
      </c>
      <c r="W13" s="39">
        <f t="shared" si="8"/>
        <v>0</v>
      </c>
      <c r="X13" s="39">
        <f t="shared" si="8"/>
        <v>0</v>
      </c>
      <c r="Y13" s="39">
        <f t="shared" si="8"/>
        <v>0</v>
      </c>
      <c r="Z13" s="39">
        <f t="shared" si="8"/>
        <v>0</v>
      </c>
      <c r="AA13" s="39">
        <f t="shared" si="8"/>
        <v>0</v>
      </c>
      <c r="AB13" s="39">
        <f t="shared" si="8"/>
        <v>0</v>
      </c>
      <c r="AC13" s="39">
        <f t="shared" si="8"/>
        <v>0</v>
      </c>
      <c r="AD13" s="39">
        <f t="shared" si="8"/>
        <v>0</v>
      </c>
      <c r="AE13" s="39">
        <f t="shared" si="8"/>
        <v>0</v>
      </c>
      <c r="AF13" s="39">
        <f t="shared" si="8"/>
        <v>0</v>
      </c>
      <c r="AG13" s="39">
        <f t="shared" si="8"/>
        <v>0</v>
      </c>
      <c r="AH13" s="21">
        <v>51</v>
      </c>
      <c r="AI13" s="21">
        <v>7</v>
      </c>
      <c r="AJ13" s="57">
        <v>0.1</v>
      </c>
      <c r="AK13" s="57">
        <v>0.62</v>
      </c>
      <c r="AL13" s="57">
        <v>0.28999999999999998</v>
      </c>
      <c r="AM13" s="57">
        <v>0</v>
      </c>
      <c r="AN13" s="39">
        <f>AN100</f>
        <v>0</v>
      </c>
      <c r="AO13" s="39">
        <f t="shared" ref="AO13:BL13" si="9">AO100</f>
        <v>0</v>
      </c>
      <c r="AP13" s="39">
        <f t="shared" si="9"/>
        <v>1</v>
      </c>
      <c r="AQ13" s="39">
        <f t="shared" si="9"/>
        <v>0.33</v>
      </c>
      <c r="AR13" s="39">
        <f t="shared" si="9"/>
        <v>0.67</v>
      </c>
      <c r="AS13" s="39">
        <f t="shared" si="9"/>
        <v>0.5</v>
      </c>
      <c r="AT13" s="39">
        <f t="shared" si="9"/>
        <v>0.33</v>
      </c>
      <c r="AU13" s="39">
        <f t="shared" si="9"/>
        <v>0.5</v>
      </c>
      <c r="AV13" s="39">
        <f t="shared" si="9"/>
        <v>0.5</v>
      </c>
      <c r="AW13" s="39">
        <f t="shared" si="9"/>
        <v>0</v>
      </c>
      <c r="AX13" s="39" t="str">
        <f t="shared" si="9"/>
        <v>N.D.</v>
      </c>
      <c r="AY13" s="39">
        <f t="shared" si="9"/>
        <v>0.25</v>
      </c>
      <c r="AZ13" s="39">
        <f t="shared" si="9"/>
        <v>0.5</v>
      </c>
      <c r="BA13" s="39">
        <f t="shared" si="9"/>
        <v>0.5</v>
      </c>
      <c r="BB13" s="39">
        <f t="shared" si="9"/>
        <v>0</v>
      </c>
      <c r="BC13" s="39">
        <f t="shared" si="9"/>
        <v>0</v>
      </c>
      <c r="BD13" s="39">
        <f t="shared" si="9"/>
        <v>0</v>
      </c>
      <c r="BE13" s="39">
        <f t="shared" si="9"/>
        <v>0</v>
      </c>
      <c r="BF13" s="39" t="str">
        <f t="shared" si="9"/>
        <v>N.D.</v>
      </c>
      <c r="BG13" s="39">
        <f t="shared" si="9"/>
        <v>0</v>
      </c>
      <c r="BH13" s="39">
        <f t="shared" si="9"/>
        <v>0.2</v>
      </c>
      <c r="BI13" s="39">
        <f t="shared" si="9"/>
        <v>0.33</v>
      </c>
      <c r="BJ13" s="39">
        <f t="shared" si="9"/>
        <v>0.5</v>
      </c>
      <c r="BK13" s="39">
        <f t="shared" si="9"/>
        <v>0.5</v>
      </c>
      <c r="BL13" s="39" t="str">
        <f t="shared" si="9"/>
        <v>N.D.</v>
      </c>
      <c r="BM13" s="21">
        <v>50</v>
      </c>
      <c r="BN13" s="21">
        <v>9</v>
      </c>
      <c r="BO13" s="65">
        <v>0.12</v>
      </c>
      <c r="BP13" s="65">
        <v>0.62</v>
      </c>
      <c r="BQ13" s="65">
        <v>0.26</v>
      </c>
      <c r="BR13" s="65">
        <v>0</v>
      </c>
      <c r="BS13" s="39">
        <f>BS100</f>
        <v>0</v>
      </c>
      <c r="BT13" s="39">
        <f t="shared" ref="BT13:CR13" si="10">BT100</f>
        <v>0</v>
      </c>
      <c r="BU13" s="39">
        <f t="shared" si="10"/>
        <v>0</v>
      </c>
      <c r="BV13" s="39">
        <f t="shared" si="10"/>
        <v>0</v>
      </c>
      <c r="BW13" s="39">
        <f t="shared" si="10"/>
        <v>0</v>
      </c>
      <c r="BX13" s="39">
        <f t="shared" si="10"/>
        <v>0</v>
      </c>
      <c r="BY13" s="39">
        <f t="shared" si="10"/>
        <v>0</v>
      </c>
      <c r="BZ13" s="39">
        <f t="shared" si="10"/>
        <v>0</v>
      </c>
      <c r="CA13" s="39">
        <f t="shared" si="10"/>
        <v>0</v>
      </c>
      <c r="CB13" s="39">
        <f t="shared" si="10"/>
        <v>0</v>
      </c>
      <c r="CC13" s="39">
        <f t="shared" si="10"/>
        <v>0</v>
      </c>
      <c r="CD13" s="39">
        <f t="shared" si="10"/>
        <v>0</v>
      </c>
      <c r="CE13" s="39">
        <f t="shared" si="10"/>
        <v>0</v>
      </c>
      <c r="CF13" s="39">
        <f t="shared" si="10"/>
        <v>0</v>
      </c>
      <c r="CG13" s="39">
        <f t="shared" si="10"/>
        <v>0</v>
      </c>
      <c r="CH13" s="39">
        <f t="shared" si="10"/>
        <v>0</v>
      </c>
      <c r="CI13" s="39">
        <f t="shared" si="10"/>
        <v>0</v>
      </c>
      <c r="CJ13" s="39">
        <f t="shared" si="10"/>
        <v>0</v>
      </c>
      <c r="CK13" s="39">
        <f t="shared" si="10"/>
        <v>0</v>
      </c>
      <c r="CL13" s="39">
        <f t="shared" si="10"/>
        <v>0</v>
      </c>
      <c r="CM13" s="39">
        <f t="shared" si="10"/>
        <v>0</v>
      </c>
      <c r="CN13" s="39">
        <f t="shared" si="10"/>
        <v>0</v>
      </c>
      <c r="CO13" s="39">
        <f t="shared" si="10"/>
        <v>0</v>
      </c>
      <c r="CP13" s="39">
        <f t="shared" si="10"/>
        <v>0</v>
      </c>
      <c r="CQ13" s="39">
        <f t="shared" si="10"/>
        <v>0</v>
      </c>
      <c r="CR13" s="39">
        <f t="shared" si="10"/>
        <v>0</v>
      </c>
      <c r="CS13" s="21">
        <v>49</v>
      </c>
      <c r="CT13" s="21">
        <v>9</v>
      </c>
      <c r="CU13" s="39">
        <v>0.18</v>
      </c>
      <c r="CV13" s="39">
        <v>0.56999999999999995</v>
      </c>
      <c r="CW13" s="39">
        <v>0.25</v>
      </c>
      <c r="CX13" s="39">
        <v>0</v>
      </c>
      <c r="CY13" s="39">
        <f>CY100</f>
        <v>0</v>
      </c>
      <c r="CZ13" s="39">
        <f t="shared" ref="CZ13:DW13" si="11">CZ100</f>
        <v>0</v>
      </c>
      <c r="DA13" s="39">
        <f t="shared" si="11"/>
        <v>0</v>
      </c>
      <c r="DB13" s="39">
        <f t="shared" si="11"/>
        <v>0</v>
      </c>
      <c r="DC13" s="39">
        <f t="shared" si="11"/>
        <v>0</v>
      </c>
      <c r="DD13" s="39">
        <f t="shared" si="11"/>
        <v>0</v>
      </c>
      <c r="DE13" s="39">
        <f t="shared" si="11"/>
        <v>0</v>
      </c>
      <c r="DF13" s="39">
        <f t="shared" si="11"/>
        <v>0</v>
      </c>
      <c r="DG13" s="39">
        <f t="shared" si="11"/>
        <v>0</v>
      </c>
      <c r="DH13" s="39">
        <f t="shared" si="11"/>
        <v>0</v>
      </c>
      <c r="DI13" s="39">
        <f t="shared" si="11"/>
        <v>0</v>
      </c>
      <c r="DJ13" s="39">
        <f t="shared" si="11"/>
        <v>0</v>
      </c>
      <c r="DK13" s="39">
        <f t="shared" si="11"/>
        <v>0</v>
      </c>
      <c r="DL13" s="39">
        <f t="shared" si="11"/>
        <v>0</v>
      </c>
      <c r="DM13" s="39">
        <f t="shared" si="11"/>
        <v>0</v>
      </c>
      <c r="DN13" s="39">
        <f t="shared" si="11"/>
        <v>0</v>
      </c>
      <c r="DO13" s="39">
        <f t="shared" si="11"/>
        <v>0</v>
      </c>
      <c r="DP13" s="39">
        <f t="shared" si="11"/>
        <v>0</v>
      </c>
      <c r="DQ13" s="39">
        <f t="shared" si="11"/>
        <v>0</v>
      </c>
      <c r="DR13" s="39">
        <f t="shared" si="11"/>
        <v>0</v>
      </c>
      <c r="DS13" s="39">
        <f t="shared" si="11"/>
        <v>0</v>
      </c>
      <c r="DT13" s="39">
        <f t="shared" si="11"/>
        <v>0</v>
      </c>
      <c r="DU13" s="39">
        <f t="shared" si="11"/>
        <v>0</v>
      </c>
      <c r="DV13" s="39">
        <f t="shared" si="11"/>
        <v>0</v>
      </c>
      <c r="DW13" s="39">
        <f t="shared" si="11"/>
        <v>0</v>
      </c>
      <c r="DX13" s="22">
        <v>48</v>
      </c>
      <c r="DY13" s="22">
        <v>9</v>
      </c>
      <c r="DZ13" s="60">
        <v>0.21</v>
      </c>
      <c r="EA13" s="60">
        <v>0.61</v>
      </c>
      <c r="EB13" s="60">
        <v>0.18</v>
      </c>
      <c r="EC13" s="60">
        <v>0</v>
      </c>
      <c r="ED13" s="39">
        <f t="shared" ref="ED13:FA13" si="12">ED100</f>
        <v>0</v>
      </c>
      <c r="EE13" s="39">
        <f t="shared" si="12"/>
        <v>0</v>
      </c>
      <c r="EF13" s="39">
        <f t="shared" si="12"/>
        <v>0</v>
      </c>
      <c r="EG13" s="39">
        <f t="shared" si="12"/>
        <v>0</v>
      </c>
      <c r="EH13" s="39">
        <f t="shared" si="12"/>
        <v>0</v>
      </c>
      <c r="EI13" s="39">
        <f t="shared" si="12"/>
        <v>0</v>
      </c>
      <c r="EJ13" s="39">
        <f t="shared" si="12"/>
        <v>0</v>
      </c>
      <c r="EK13" s="39">
        <f t="shared" si="12"/>
        <v>0</v>
      </c>
      <c r="EL13" s="39">
        <f t="shared" si="12"/>
        <v>0</v>
      </c>
      <c r="EM13" s="39">
        <f t="shared" si="12"/>
        <v>0</v>
      </c>
      <c r="EN13" s="39">
        <f t="shared" si="12"/>
        <v>0</v>
      </c>
      <c r="EO13" s="39">
        <f t="shared" si="12"/>
        <v>0</v>
      </c>
      <c r="EP13" s="39">
        <f t="shared" si="12"/>
        <v>0</v>
      </c>
      <c r="EQ13" s="39">
        <f t="shared" si="12"/>
        <v>0</v>
      </c>
      <c r="ER13" s="39">
        <f t="shared" si="12"/>
        <v>0</v>
      </c>
      <c r="ES13" s="39">
        <f t="shared" si="12"/>
        <v>0</v>
      </c>
      <c r="ET13" s="39">
        <f t="shared" si="12"/>
        <v>0</v>
      </c>
      <c r="EU13" s="39">
        <f t="shared" si="12"/>
        <v>0</v>
      </c>
      <c r="EV13" s="39">
        <f t="shared" si="12"/>
        <v>0</v>
      </c>
      <c r="EW13" s="39">
        <f t="shared" si="12"/>
        <v>0</v>
      </c>
      <c r="EX13" s="39">
        <f t="shared" si="12"/>
        <v>0</v>
      </c>
      <c r="EY13" s="39">
        <f t="shared" si="12"/>
        <v>0</v>
      </c>
      <c r="EZ13" s="39">
        <f t="shared" si="12"/>
        <v>0</v>
      </c>
      <c r="FA13" s="39">
        <f t="shared" si="12"/>
        <v>0</v>
      </c>
      <c r="FB13" s="244">
        <v>48</v>
      </c>
      <c r="FC13" s="244" t="s">
        <v>758</v>
      </c>
      <c r="FD13" s="244">
        <v>9</v>
      </c>
      <c r="FE13" s="244" t="s">
        <v>758</v>
      </c>
      <c r="FF13" s="262">
        <v>0.25</v>
      </c>
      <c r="FG13" s="262">
        <v>0.55000000000000004</v>
      </c>
      <c r="FH13" s="262">
        <v>0.2</v>
      </c>
      <c r="FI13" s="262">
        <v>0</v>
      </c>
      <c r="FJ13" s="39">
        <f>FJ100</f>
        <v>0</v>
      </c>
      <c r="FK13" s="39">
        <f t="shared" ref="FK13:GG13" si="13">FK100</f>
        <v>0</v>
      </c>
      <c r="FL13" s="39">
        <f t="shared" si="13"/>
        <v>0</v>
      </c>
      <c r="FM13" s="39">
        <f t="shared" si="13"/>
        <v>0</v>
      </c>
      <c r="FN13" s="39">
        <f t="shared" si="13"/>
        <v>0</v>
      </c>
      <c r="FO13" s="39">
        <f t="shared" si="13"/>
        <v>0</v>
      </c>
      <c r="FP13" s="39">
        <f t="shared" si="13"/>
        <v>0</v>
      </c>
      <c r="FQ13" s="39">
        <f t="shared" si="13"/>
        <v>0</v>
      </c>
      <c r="FR13" s="39">
        <f t="shared" si="13"/>
        <v>0</v>
      </c>
      <c r="FS13" s="39">
        <f t="shared" si="13"/>
        <v>0</v>
      </c>
      <c r="FT13" s="39">
        <f t="shared" si="13"/>
        <v>0</v>
      </c>
      <c r="FU13" s="39">
        <f t="shared" si="13"/>
        <v>0</v>
      </c>
      <c r="FV13" s="39">
        <f t="shared" si="13"/>
        <v>0</v>
      </c>
      <c r="FW13" s="39">
        <f t="shared" si="13"/>
        <v>0</v>
      </c>
      <c r="FX13" s="39">
        <f t="shared" si="13"/>
        <v>0</v>
      </c>
      <c r="FY13" s="39">
        <f t="shared" si="13"/>
        <v>0</v>
      </c>
      <c r="FZ13" s="39">
        <f t="shared" si="13"/>
        <v>0</v>
      </c>
      <c r="GA13" s="39">
        <f t="shared" si="13"/>
        <v>0</v>
      </c>
      <c r="GB13" s="39">
        <f t="shared" si="13"/>
        <v>0</v>
      </c>
      <c r="GC13" s="39">
        <f t="shared" si="13"/>
        <v>0</v>
      </c>
      <c r="GD13" s="39">
        <f t="shared" si="13"/>
        <v>0</v>
      </c>
      <c r="GE13" s="39">
        <f t="shared" si="13"/>
        <v>0</v>
      </c>
      <c r="GF13" s="39">
        <f t="shared" si="13"/>
        <v>0</v>
      </c>
      <c r="GG13" s="39">
        <f t="shared" si="13"/>
        <v>0</v>
      </c>
      <c r="GH13" s="39">
        <f>GH100</f>
        <v>0</v>
      </c>
      <c r="GI13" s="39">
        <f>GI100</f>
        <v>0</v>
      </c>
      <c r="GJ13" s="315">
        <v>50</v>
      </c>
      <c r="GK13" s="315" t="s">
        <v>758</v>
      </c>
      <c r="GL13" s="315">
        <v>9</v>
      </c>
      <c r="GM13" s="315" t="s">
        <v>758</v>
      </c>
      <c r="GN13" s="291">
        <v>0.18</v>
      </c>
      <c r="GO13" s="291">
        <v>0.57999999999999996</v>
      </c>
      <c r="GP13" s="291">
        <v>0.25</v>
      </c>
      <c r="GQ13" s="291">
        <v>0</v>
      </c>
      <c r="GR13" s="39">
        <f>GR100</f>
        <v>0</v>
      </c>
      <c r="GS13" s="39">
        <f t="shared" ref="GS13:HQ13" si="14">GS100</f>
        <v>0</v>
      </c>
      <c r="GT13" s="39">
        <f t="shared" si="14"/>
        <v>0</v>
      </c>
      <c r="GU13" s="39">
        <f t="shared" si="14"/>
        <v>0</v>
      </c>
      <c r="GV13" s="39">
        <f t="shared" si="14"/>
        <v>0</v>
      </c>
      <c r="GW13" s="39">
        <f t="shared" si="14"/>
        <v>0</v>
      </c>
      <c r="GX13" s="39">
        <f t="shared" si="14"/>
        <v>0</v>
      </c>
      <c r="GY13" s="39">
        <f t="shared" si="14"/>
        <v>0</v>
      </c>
      <c r="GZ13" s="39">
        <f t="shared" si="14"/>
        <v>0</v>
      </c>
      <c r="HA13" s="39">
        <f t="shared" si="14"/>
        <v>0</v>
      </c>
      <c r="HB13" s="39">
        <f t="shared" si="14"/>
        <v>0</v>
      </c>
      <c r="HC13" s="39">
        <f t="shared" si="14"/>
        <v>0</v>
      </c>
      <c r="HD13" s="39">
        <f t="shared" si="14"/>
        <v>0</v>
      </c>
      <c r="HE13" s="39">
        <f t="shared" si="14"/>
        <v>0</v>
      </c>
      <c r="HF13" s="39">
        <f t="shared" si="14"/>
        <v>0</v>
      </c>
      <c r="HG13" s="39">
        <f t="shared" si="14"/>
        <v>0</v>
      </c>
      <c r="HH13" s="39">
        <f t="shared" si="14"/>
        <v>0</v>
      </c>
      <c r="HI13" s="39">
        <f t="shared" si="14"/>
        <v>0</v>
      </c>
      <c r="HJ13" s="39">
        <f t="shared" si="14"/>
        <v>0</v>
      </c>
      <c r="HK13" s="39">
        <f t="shared" si="14"/>
        <v>0</v>
      </c>
      <c r="HL13" s="39">
        <f t="shared" si="14"/>
        <v>0</v>
      </c>
      <c r="HM13" s="39">
        <f t="shared" si="14"/>
        <v>0</v>
      </c>
      <c r="HN13" s="39">
        <f t="shared" si="14"/>
        <v>0</v>
      </c>
      <c r="HO13" s="39">
        <f t="shared" si="14"/>
        <v>0</v>
      </c>
      <c r="HP13" s="39">
        <f t="shared" si="14"/>
        <v>0</v>
      </c>
      <c r="HQ13" s="39">
        <f t="shared" si="14"/>
        <v>0</v>
      </c>
      <c r="HR13" s="423">
        <v>47</v>
      </c>
      <c r="HS13" s="423" t="s">
        <v>760</v>
      </c>
      <c r="HT13" s="423">
        <v>8</v>
      </c>
      <c r="HU13" s="423" t="s">
        <v>758</v>
      </c>
      <c r="HV13" s="427">
        <v>0.24</v>
      </c>
      <c r="HW13" s="427">
        <v>0.6</v>
      </c>
      <c r="HX13" s="427">
        <v>0.16</v>
      </c>
      <c r="HY13" s="427">
        <v>0</v>
      </c>
      <c r="HZ13" s="423" t="s">
        <v>173</v>
      </c>
      <c r="IA13" s="423" t="s">
        <v>173</v>
      </c>
      <c r="IB13" s="423" t="s">
        <v>173</v>
      </c>
      <c r="IC13" s="423" t="s">
        <v>173</v>
      </c>
      <c r="ID13" s="423" t="s">
        <v>173</v>
      </c>
      <c r="IE13" s="423" t="s">
        <v>173</v>
      </c>
      <c r="IF13" s="423" t="s">
        <v>173</v>
      </c>
      <c r="IG13" s="423" t="s">
        <v>173</v>
      </c>
      <c r="IH13" s="423" t="s">
        <v>173</v>
      </c>
      <c r="II13" s="423" t="s">
        <v>173</v>
      </c>
      <c r="IJ13" s="423" t="s">
        <v>173</v>
      </c>
      <c r="IK13" s="423" t="s">
        <v>173</v>
      </c>
      <c r="IL13" s="423" t="s">
        <v>173</v>
      </c>
      <c r="IM13" s="423" t="s">
        <v>173</v>
      </c>
      <c r="IN13" s="423" t="s">
        <v>173</v>
      </c>
      <c r="IO13" s="423" t="s">
        <v>173</v>
      </c>
      <c r="IP13" s="423" t="s">
        <v>173</v>
      </c>
      <c r="IQ13" s="423" t="s">
        <v>173</v>
      </c>
      <c r="IR13" s="423" t="s">
        <v>173</v>
      </c>
      <c r="IS13" s="423" t="s">
        <v>173</v>
      </c>
      <c r="IT13" s="423" t="s">
        <v>173</v>
      </c>
      <c r="IU13" s="423" t="s">
        <v>173</v>
      </c>
      <c r="IV13" s="423" t="s">
        <v>173</v>
      </c>
      <c r="IW13" s="423" t="s">
        <v>173</v>
      </c>
      <c r="IX13" s="423" t="s">
        <v>173</v>
      </c>
      <c r="IY13" s="423" t="s">
        <v>173</v>
      </c>
      <c r="IZ13" s="521">
        <v>47</v>
      </c>
      <c r="JA13" s="521" t="s">
        <v>760</v>
      </c>
      <c r="JB13" s="521">
        <v>8</v>
      </c>
      <c r="JC13" s="521" t="s">
        <v>758</v>
      </c>
      <c r="JD13" s="486">
        <v>0.26</v>
      </c>
      <c r="JE13" s="486">
        <v>0.6</v>
      </c>
      <c r="JF13" s="486">
        <v>0.15</v>
      </c>
      <c r="JG13" s="486">
        <v>0</v>
      </c>
      <c r="JH13" s="521" t="s">
        <v>173</v>
      </c>
      <c r="JI13" s="521" t="s">
        <v>173</v>
      </c>
      <c r="JJ13" s="521" t="s">
        <v>173</v>
      </c>
      <c r="JK13" s="521" t="s">
        <v>173</v>
      </c>
      <c r="JL13" s="521" t="s">
        <v>173</v>
      </c>
      <c r="JM13" s="521" t="s">
        <v>173</v>
      </c>
      <c r="JN13" s="521" t="s">
        <v>173</v>
      </c>
      <c r="JO13" s="521" t="s">
        <v>173</v>
      </c>
      <c r="JP13" s="521" t="s">
        <v>173</v>
      </c>
      <c r="JQ13" s="521" t="s">
        <v>173</v>
      </c>
      <c r="JR13" s="521" t="s">
        <v>173</v>
      </c>
      <c r="JS13" s="521" t="s">
        <v>173</v>
      </c>
      <c r="JT13" s="521" t="s">
        <v>173</v>
      </c>
      <c r="JU13" s="521" t="s">
        <v>173</v>
      </c>
      <c r="JV13" s="521" t="s">
        <v>173</v>
      </c>
      <c r="JW13" s="521" t="s">
        <v>173</v>
      </c>
      <c r="JX13" s="521" t="s">
        <v>173</v>
      </c>
      <c r="JY13" s="521" t="s">
        <v>173</v>
      </c>
      <c r="JZ13" s="521" t="s">
        <v>173</v>
      </c>
      <c r="KA13" s="521" t="s">
        <v>173</v>
      </c>
      <c r="KB13" s="521" t="s">
        <v>173</v>
      </c>
      <c r="KC13" s="521" t="s">
        <v>173</v>
      </c>
      <c r="KD13" s="521" t="s">
        <v>173</v>
      </c>
      <c r="KE13" s="521" t="s">
        <v>173</v>
      </c>
      <c r="KF13" s="521" t="s">
        <v>173</v>
      </c>
      <c r="KG13" s="521" t="s">
        <v>173</v>
      </c>
      <c r="KH13" s="957">
        <v>51</v>
      </c>
      <c r="KI13" s="957" t="s">
        <v>758</v>
      </c>
      <c r="KJ13" s="957">
        <v>9</v>
      </c>
      <c r="KK13" s="957" t="s">
        <v>758</v>
      </c>
      <c r="KL13" s="958">
        <v>0.13</v>
      </c>
      <c r="KM13" s="958">
        <v>0.52</v>
      </c>
      <c r="KN13" s="958">
        <v>0.33</v>
      </c>
      <c r="KO13" s="958">
        <v>0.02</v>
      </c>
      <c r="KP13" s="958" t="s">
        <v>173</v>
      </c>
      <c r="KQ13" s="958" t="s">
        <v>173</v>
      </c>
      <c r="KR13" s="958" t="s">
        <v>173</v>
      </c>
      <c r="KS13" s="958" t="s">
        <v>173</v>
      </c>
      <c r="KT13" s="958" t="s">
        <v>173</v>
      </c>
      <c r="KU13" s="958" t="s">
        <v>173</v>
      </c>
      <c r="KV13" s="958" t="s">
        <v>173</v>
      </c>
      <c r="KW13" s="958" t="s">
        <v>173</v>
      </c>
      <c r="KX13" s="958" t="s">
        <v>173</v>
      </c>
      <c r="KY13" s="958" t="s">
        <v>173</v>
      </c>
      <c r="KZ13" s="958" t="s">
        <v>173</v>
      </c>
      <c r="LA13" s="958" t="s">
        <v>173</v>
      </c>
      <c r="LB13" s="958" t="s">
        <v>173</v>
      </c>
      <c r="LC13" s="958" t="s">
        <v>173</v>
      </c>
      <c r="LD13" s="958" t="s">
        <v>173</v>
      </c>
      <c r="LE13" s="958" t="s">
        <v>173</v>
      </c>
      <c r="LF13" s="958" t="s">
        <v>173</v>
      </c>
      <c r="LG13" s="958" t="s">
        <v>173</v>
      </c>
      <c r="LH13" s="958" t="s">
        <v>173</v>
      </c>
      <c r="LI13" s="958" t="s">
        <v>173</v>
      </c>
      <c r="LJ13" s="958" t="s">
        <v>173</v>
      </c>
      <c r="LK13" s="958" t="s">
        <v>173</v>
      </c>
      <c r="LL13" s="957" t="s">
        <v>173</v>
      </c>
      <c r="LM13" s="958" t="s">
        <v>173</v>
      </c>
      <c r="LN13" s="957" t="s">
        <v>173</v>
      </c>
      <c r="LO13" s="957" t="s">
        <v>173</v>
      </c>
    </row>
    <row r="14" spans="1:327" ht="24.95" customHeight="1" x14ac:dyDescent="0.2">
      <c r="A14" s="6" t="s">
        <v>14</v>
      </c>
      <c r="B14" s="6"/>
      <c r="C14" s="6"/>
      <c r="D14" s="21">
        <v>55</v>
      </c>
      <c r="E14" s="21">
        <v>8</v>
      </c>
      <c r="F14" s="65">
        <v>0.03</v>
      </c>
      <c r="G14" s="65">
        <v>0.5</v>
      </c>
      <c r="H14" s="65">
        <v>0.46</v>
      </c>
      <c r="I14" s="65">
        <v>0.01</v>
      </c>
      <c r="J14" s="39">
        <f>AVERAGEIFS(J$36:J$173,$B$36:$B$173,"=no oficial")</f>
        <v>0.3648051948051948</v>
      </c>
      <c r="K14" s="39">
        <f>AVERAGEIFS(K$36:K$173,$B$36:$B$173,"=no oficial")</f>
        <v>0.3403896103896103</v>
      </c>
      <c r="L14" s="39">
        <f>AVERAGEIFS(L$36:L$173,$B$36:$B$173,"=no oficial")</f>
        <v>0.71649350649350629</v>
      </c>
      <c r="M14" s="39">
        <f>AVERAGEIFS(M$36:M$173,$B$36:$B$173,"=no oficial")</f>
        <v>0.19623376623376623</v>
      </c>
      <c r="N14" s="39">
        <f t="shared" ref="N14:AG14" si="15">AVERAGEIFS(N$36:N$173,$B$36:$B$173,"=no oficial")</f>
        <v>0.27636363636363642</v>
      </c>
      <c r="O14" s="39">
        <f t="shared" si="15"/>
        <v>0.65129870129870138</v>
      </c>
      <c r="P14" s="39">
        <f t="shared" si="15"/>
        <v>0.33</v>
      </c>
      <c r="Q14" s="39">
        <f t="shared" si="15"/>
        <v>0.38753246753246756</v>
      </c>
      <c r="R14" s="39">
        <f t="shared" si="15"/>
        <v>0.50376623376623386</v>
      </c>
      <c r="S14" s="39">
        <f t="shared" si="15"/>
        <v>0.57545454545454544</v>
      </c>
      <c r="T14" s="39">
        <f t="shared" si="15"/>
        <v>0.44857142857142845</v>
      </c>
      <c r="U14" s="39">
        <f t="shared" si="15"/>
        <v>0.57454545454545447</v>
      </c>
      <c r="V14" s="39">
        <f t="shared" si="15"/>
        <v>6.545454545454546E-2</v>
      </c>
      <c r="W14" s="39">
        <f t="shared" si="15"/>
        <v>0.13740259740259744</v>
      </c>
      <c r="X14" s="39">
        <f t="shared" si="15"/>
        <v>0.48350649350649355</v>
      </c>
      <c r="Y14" s="39">
        <f t="shared" si="15"/>
        <v>0.47207792207792221</v>
      </c>
      <c r="Z14" s="39">
        <f t="shared" si="15"/>
        <v>0.72838709677419344</v>
      </c>
      <c r="AA14" s="39">
        <f t="shared" si="15"/>
        <v>9.6103896103896108E-2</v>
      </c>
      <c r="AB14" s="39">
        <f t="shared" si="15"/>
        <v>0.43506493506493515</v>
      </c>
      <c r="AC14" s="39">
        <f t="shared" si="15"/>
        <v>0.2397402597402597</v>
      </c>
      <c r="AD14" s="39">
        <f t="shared" si="15"/>
        <v>0.4309090909090908</v>
      </c>
      <c r="AE14" s="39">
        <f t="shared" si="15"/>
        <v>0.39779220779220775</v>
      </c>
      <c r="AF14" s="39">
        <f t="shared" si="15"/>
        <v>0.48142857142857154</v>
      </c>
      <c r="AG14" s="39">
        <f t="shared" si="15"/>
        <v>0.49675324675324684</v>
      </c>
      <c r="AH14" s="21">
        <v>54</v>
      </c>
      <c r="AI14" s="21">
        <v>8</v>
      </c>
      <c r="AJ14" s="57">
        <v>0.06</v>
      </c>
      <c r="AK14" s="57">
        <v>0.49</v>
      </c>
      <c r="AL14" s="57">
        <v>0.44</v>
      </c>
      <c r="AM14" s="57">
        <v>0.02</v>
      </c>
      <c r="AN14" s="39">
        <f>AVERAGEIFS(AN$36:AN$173,$B$36:$B$173,"=no oficial")</f>
        <v>0.25857142857142862</v>
      </c>
      <c r="AO14" s="39">
        <f t="shared" ref="AO14:BL14" si="16">AVERAGEIFS(AO$36:AO$173,$B$36:$B$173,"=no oficial")</f>
        <v>0.43701298701298702</v>
      </c>
      <c r="AP14" s="39">
        <f t="shared" si="16"/>
        <v>0.55272727272727273</v>
      </c>
      <c r="AQ14" s="39">
        <f t="shared" si="16"/>
        <v>0.35428571428571426</v>
      </c>
      <c r="AR14" s="39">
        <f t="shared" si="16"/>
        <v>0.53701298701298694</v>
      </c>
      <c r="AS14" s="39">
        <f t="shared" si="16"/>
        <v>0.49974025974025971</v>
      </c>
      <c r="AT14" s="39">
        <f t="shared" si="16"/>
        <v>0.4870129870129869</v>
      </c>
      <c r="AU14" s="39">
        <f t="shared" si="16"/>
        <v>0.49766233766233747</v>
      </c>
      <c r="AV14" s="39">
        <f t="shared" si="16"/>
        <v>0.57597402597402614</v>
      </c>
      <c r="AW14" s="39">
        <f t="shared" si="16"/>
        <v>0.46855263157894755</v>
      </c>
      <c r="AX14" s="39">
        <f t="shared" si="16"/>
        <v>0.52657894736842115</v>
      </c>
      <c r="AY14" s="39">
        <f t="shared" si="16"/>
        <v>0.30298701298701297</v>
      </c>
      <c r="AZ14" s="39">
        <f t="shared" si="16"/>
        <v>0.27402597402597417</v>
      </c>
      <c r="BA14" s="39">
        <f t="shared" si="16"/>
        <v>0.45727272727272744</v>
      </c>
      <c r="BB14" s="39">
        <f t="shared" si="16"/>
        <v>0.63467532467532461</v>
      </c>
      <c r="BC14" s="39">
        <f t="shared" si="16"/>
        <v>0.62337662337662347</v>
      </c>
      <c r="BD14" s="39">
        <f t="shared" si="16"/>
        <v>0.39519480519480521</v>
      </c>
      <c r="BE14" s="39">
        <f t="shared" si="16"/>
        <v>0.54792207792207792</v>
      </c>
      <c r="BF14" s="39">
        <f t="shared" si="16"/>
        <v>0.60921052631578954</v>
      </c>
      <c r="BG14" s="39">
        <f t="shared" si="16"/>
        <v>0.47246753246753248</v>
      </c>
      <c r="BH14" s="39">
        <f t="shared" si="16"/>
        <v>0.41662337662337662</v>
      </c>
      <c r="BI14" s="39">
        <f t="shared" si="16"/>
        <v>0.39181818181818173</v>
      </c>
      <c r="BJ14" s="39">
        <f t="shared" si="16"/>
        <v>0.34779220779220782</v>
      </c>
      <c r="BK14" s="39">
        <f t="shared" si="16"/>
        <v>0.41857142857142854</v>
      </c>
      <c r="BL14" s="39">
        <f t="shared" si="16"/>
        <v>0.44578947368421057</v>
      </c>
      <c r="BM14" s="21">
        <v>53</v>
      </c>
      <c r="BN14" s="21">
        <v>9</v>
      </c>
      <c r="BO14" s="65">
        <v>0.08</v>
      </c>
      <c r="BP14" s="65">
        <v>0.53</v>
      </c>
      <c r="BQ14" s="65">
        <v>0.38</v>
      </c>
      <c r="BR14" s="65">
        <v>0.02</v>
      </c>
      <c r="BS14" s="39">
        <f>AVERAGEIFS(BS$36:BS$173,$B$36:$B$173,"=no oficial")</f>
        <v>0.32217948717948713</v>
      </c>
      <c r="BT14" s="39">
        <f t="shared" ref="BT14:CR14" si="17">AVERAGEIFS(BT$36:BT$173,$B$36:$B$173,"=no oficial")</f>
        <v>0.55285714285714305</v>
      </c>
      <c r="BU14" s="39">
        <f t="shared" si="17"/>
        <v>0.617792207792208</v>
      </c>
      <c r="BV14" s="39">
        <f t="shared" si="17"/>
        <v>0.2976923076923077</v>
      </c>
      <c r="BW14" s="39">
        <f t="shared" si="17"/>
        <v>0.61897435897435893</v>
      </c>
      <c r="BX14" s="39">
        <f t="shared" si="17"/>
        <v>0.34269230769230763</v>
      </c>
      <c r="BY14" s="39">
        <f t="shared" si="17"/>
        <v>0.4187179487179486</v>
      </c>
      <c r="BZ14" s="39">
        <f t="shared" si="17"/>
        <v>0.50333333333333341</v>
      </c>
      <c r="CA14" s="39">
        <f t="shared" si="17"/>
        <v>0.43666666666666654</v>
      </c>
      <c r="CB14" s="39">
        <f t="shared" si="17"/>
        <v>0.3349999999999998</v>
      </c>
      <c r="CC14" s="39">
        <f t="shared" si="17"/>
        <v>0.17717948717948714</v>
      </c>
      <c r="CD14" s="39">
        <f t="shared" si="17"/>
        <v>0.38756410256410251</v>
      </c>
      <c r="CE14" s="39">
        <f t="shared" si="17"/>
        <v>0.3125641025641025</v>
      </c>
      <c r="CF14" s="39">
        <f t="shared" si="17"/>
        <v>0.58358974358974358</v>
      </c>
      <c r="CG14" s="39">
        <f t="shared" si="17"/>
        <v>0.57358974358974357</v>
      </c>
      <c r="CH14" s="39">
        <f t="shared" si="17"/>
        <v>0.42730769230769255</v>
      </c>
      <c r="CI14" s="39">
        <f t="shared" si="17"/>
        <v>0.55282051282051292</v>
      </c>
      <c r="CJ14" s="39">
        <f t="shared" si="17"/>
        <v>0.33923076923076917</v>
      </c>
      <c r="CK14" s="39">
        <f t="shared" si="17"/>
        <v>0.66153846153846174</v>
      </c>
      <c r="CL14" s="39">
        <f t="shared" si="17"/>
        <v>0.28576923076923078</v>
      </c>
      <c r="CM14" s="39">
        <f t="shared" si="17"/>
        <v>0.41730769230769238</v>
      </c>
      <c r="CN14" s="39">
        <f t="shared" si="17"/>
        <v>0.43474358974358979</v>
      </c>
      <c r="CO14" s="39">
        <f t="shared" si="17"/>
        <v>0.42320512820512818</v>
      </c>
      <c r="CP14" s="39">
        <f t="shared" si="17"/>
        <v>0.32282051282051272</v>
      </c>
      <c r="CQ14" s="39">
        <f t="shared" si="17"/>
        <v>0.52871794871794842</v>
      </c>
      <c r="CR14" s="39">
        <f t="shared" si="17"/>
        <v>0.51423076923076927</v>
      </c>
      <c r="CS14" s="21">
        <v>52</v>
      </c>
      <c r="CT14" s="21">
        <v>9</v>
      </c>
      <c r="CU14" s="39">
        <v>0.1</v>
      </c>
      <c r="CV14" s="39">
        <v>0.56999999999999995</v>
      </c>
      <c r="CW14" s="39">
        <v>0.31</v>
      </c>
      <c r="CX14" s="39">
        <v>0.02</v>
      </c>
      <c r="CY14" s="39">
        <f>AVERAGEIFS(CY$36:CY$173,$B$36:$B$173,"=no oficial")</f>
        <v>0.48437500000000017</v>
      </c>
      <c r="CZ14" s="39">
        <f t="shared" ref="CZ14:DW14" si="18">AVERAGEIFS(CZ$36:CZ$173,$B$36:$B$173,"=no oficial")</f>
        <v>0.28337499999999999</v>
      </c>
      <c r="DA14" s="39">
        <f t="shared" si="18"/>
        <v>0.54449999999999976</v>
      </c>
      <c r="DB14" s="39">
        <f t="shared" si="18"/>
        <v>0.34624999999999984</v>
      </c>
      <c r="DC14" s="39">
        <f t="shared" si="18"/>
        <v>0.42424999999999996</v>
      </c>
      <c r="DD14" s="39">
        <f t="shared" si="18"/>
        <v>0.61137499999999989</v>
      </c>
      <c r="DE14" s="39">
        <f t="shared" si="18"/>
        <v>0.43624999999999992</v>
      </c>
      <c r="DF14" s="39">
        <f t="shared" si="18"/>
        <v>0.52600000000000002</v>
      </c>
      <c r="DG14" s="39">
        <f t="shared" si="18"/>
        <v>0.41637500000000005</v>
      </c>
      <c r="DH14" s="39">
        <f t="shared" si="18"/>
        <v>0.35575000000000001</v>
      </c>
      <c r="DI14" s="39">
        <f t="shared" si="18"/>
        <v>0.49762500000000004</v>
      </c>
      <c r="DJ14" s="39">
        <f t="shared" si="18"/>
        <v>0.50537499999999991</v>
      </c>
      <c r="DK14" s="39">
        <f t="shared" si="18"/>
        <v>0.35712499999999997</v>
      </c>
      <c r="DL14" s="39">
        <f t="shared" si="18"/>
        <v>0.33278481012658223</v>
      </c>
      <c r="DM14" s="39">
        <f t="shared" si="18"/>
        <v>0.49862500000000037</v>
      </c>
      <c r="DN14" s="39">
        <f t="shared" si="18"/>
        <v>0.47337500000000016</v>
      </c>
      <c r="DO14" s="39">
        <f t="shared" si="18"/>
        <v>0.41549999999999992</v>
      </c>
      <c r="DP14" s="39">
        <f t="shared" si="18"/>
        <v>0.43974999999999997</v>
      </c>
      <c r="DQ14" s="39">
        <f t="shared" si="18"/>
        <v>0.53325</v>
      </c>
      <c r="DR14" s="39">
        <f t="shared" si="18"/>
        <v>0.17262499999999995</v>
      </c>
      <c r="DS14" s="39">
        <f t="shared" si="18"/>
        <v>0.36737500000000012</v>
      </c>
      <c r="DT14" s="39">
        <f t="shared" si="18"/>
        <v>0.56974999999999976</v>
      </c>
      <c r="DU14" s="39">
        <f t="shared" si="18"/>
        <v>0.4713750000000001</v>
      </c>
      <c r="DV14" s="39">
        <f t="shared" si="18"/>
        <v>0.56399999999999983</v>
      </c>
      <c r="DW14" s="39">
        <f t="shared" si="18"/>
        <v>0.31499999999999989</v>
      </c>
      <c r="DX14" s="22">
        <v>51</v>
      </c>
      <c r="DY14" s="22">
        <v>9</v>
      </c>
      <c r="DZ14" s="60">
        <v>0.14000000000000001</v>
      </c>
      <c r="EA14" s="60">
        <v>0.53</v>
      </c>
      <c r="EB14" s="60">
        <v>0.32</v>
      </c>
      <c r="EC14" s="60">
        <v>0.01</v>
      </c>
      <c r="ED14" s="39">
        <f t="shared" ref="ED14:FA14" si="19">AVERAGEIFS(ED$36:ED$173,$B$36:$B$173,"=no oficial")</f>
        <v>0.49505882352941183</v>
      </c>
      <c r="EE14" s="39">
        <f t="shared" si="19"/>
        <v>0.46317647058823519</v>
      </c>
      <c r="EF14" s="39">
        <f t="shared" si="19"/>
        <v>0.46576470588235297</v>
      </c>
      <c r="EG14" s="39">
        <f t="shared" si="19"/>
        <v>0.30964705882352928</v>
      </c>
      <c r="EH14" s="39">
        <f t="shared" si="19"/>
        <v>0.42058823529411754</v>
      </c>
      <c r="EI14" s="39">
        <f t="shared" si="19"/>
        <v>0.47776470588235276</v>
      </c>
      <c r="EJ14" s="39">
        <f t="shared" si="19"/>
        <v>0.55694117647058827</v>
      </c>
      <c r="EK14" s="39">
        <f t="shared" si="19"/>
        <v>0.27905882352941186</v>
      </c>
      <c r="EL14" s="39">
        <f t="shared" si="19"/>
        <v>0.45482352941176468</v>
      </c>
      <c r="EM14" s="39">
        <f t="shared" si="19"/>
        <v>0.63095238095238093</v>
      </c>
      <c r="EN14" s="39">
        <f t="shared" si="19"/>
        <v>0.3990588235294118</v>
      </c>
      <c r="EO14" s="39">
        <f t="shared" si="19"/>
        <v>0.55600000000000016</v>
      </c>
      <c r="EP14" s="39">
        <f t="shared" si="19"/>
        <v>0.38270588235294117</v>
      </c>
      <c r="EQ14" s="39">
        <f t="shared" si="19"/>
        <v>0.28095238095238095</v>
      </c>
      <c r="ER14" s="39">
        <f t="shared" si="19"/>
        <v>0.58376470588235319</v>
      </c>
      <c r="ES14" s="39">
        <f t="shared" si="19"/>
        <v>0.45117647058823512</v>
      </c>
      <c r="ET14" s="39">
        <f t="shared" si="19"/>
        <v>0.30917647058823527</v>
      </c>
      <c r="EU14" s="39">
        <f t="shared" si="19"/>
        <v>0.58988235294117652</v>
      </c>
      <c r="EV14" s="39">
        <f t="shared" si="19"/>
        <v>0.33560975609756083</v>
      </c>
      <c r="EW14" s="39">
        <f t="shared" si="19"/>
        <v>0.32141176470588234</v>
      </c>
      <c r="EX14" s="39">
        <f t="shared" si="19"/>
        <v>0.66604938271604963</v>
      </c>
      <c r="EY14" s="39">
        <f t="shared" si="19"/>
        <v>0.57211764705882351</v>
      </c>
      <c r="EZ14" s="39">
        <f t="shared" si="19"/>
        <v>0.21</v>
      </c>
      <c r="FA14" s="39">
        <f t="shared" si="19"/>
        <v>0.60482352941176443</v>
      </c>
      <c r="FB14" s="244">
        <v>51</v>
      </c>
      <c r="FC14" s="244" t="s">
        <v>758</v>
      </c>
      <c r="FD14" s="244">
        <v>9</v>
      </c>
      <c r="FE14" s="244" t="s">
        <v>758</v>
      </c>
      <c r="FF14" s="262">
        <v>0.1</v>
      </c>
      <c r="FG14" s="262">
        <v>0.56999999999999995</v>
      </c>
      <c r="FH14" s="262">
        <v>0.32</v>
      </c>
      <c r="FI14" s="262">
        <v>0.01</v>
      </c>
      <c r="FJ14" s="39">
        <f>AVERAGEIFS(FJ$36:FJ$173,$B$36:$B$173,"=no oficial")</f>
        <v>0.44035714285714289</v>
      </c>
      <c r="FK14" s="39">
        <f>AVERAGEIFS(FK$36:FK$173,$B$36:$B$173,"=no oficial")</f>
        <v>0.64071428571428568</v>
      </c>
      <c r="FL14" s="39">
        <f>AVERAGEIFS(FL$36:FL$173,$B$36:$B$173,"=no oficial")</f>
        <v>0.482261904761905</v>
      </c>
      <c r="FM14" s="39">
        <f>AVERAGEIFS(FM$36:FM$173,$B$36:$B$173,"=no oficial")</f>
        <v>0.41566265060240964</v>
      </c>
      <c r="FN14" s="39">
        <f t="shared" ref="FN14:GI14" si="20">AVERAGEIFS(FN$36:FN$173,$B$36:$B$173,"=no oficial")</f>
        <v>0.26843373493975908</v>
      </c>
      <c r="FO14" s="39">
        <f t="shared" si="20"/>
        <v>0.30797619047619051</v>
      </c>
      <c r="FP14" s="39">
        <f t="shared" si="20"/>
        <v>0.36464285714285716</v>
      </c>
      <c r="FQ14" s="39">
        <f t="shared" si="20"/>
        <v>0.39880952380952384</v>
      </c>
      <c r="FR14" s="39">
        <f t="shared" si="20"/>
        <v>0.56999999999999973</v>
      </c>
      <c r="FS14" s="39">
        <f t="shared" si="20"/>
        <v>0.50771084337349393</v>
      </c>
      <c r="FT14" s="39">
        <f t="shared" si="20"/>
        <v>0.49166666666666653</v>
      </c>
      <c r="FU14" s="39">
        <f t="shared" si="20"/>
        <v>0.35585365853658529</v>
      </c>
      <c r="FV14" s="39">
        <f t="shared" si="20"/>
        <v>0.58023809523809522</v>
      </c>
      <c r="FW14" s="39">
        <f t="shared" si="20"/>
        <v>0.52654761904761904</v>
      </c>
      <c r="FX14" s="39">
        <f t="shared" si="20"/>
        <v>0.45180722891566266</v>
      </c>
      <c r="FY14" s="39">
        <f t="shared" si="20"/>
        <v>0.35547619047619033</v>
      </c>
      <c r="FZ14" s="39">
        <f t="shared" si="20"/>
        <v>0.39511904761904776</v>
      </c>
      <c r="GA14" s="39">
        <f t="shared" si="20"/>
        <v>0.46590361445783107</v>
      </c>
      <c r="GB14" s="39">
        <f t="shared" si="20"/>
        <v>0.51809523809523805</v>
      </c>
      <c r="GC14" s="39">
        <f t="shared" si="20"/>
        <v>0.43142857142857138</v>
      </c>
      <c r="GD14" s="39">
        <f t="shared" si="20"/>
        <v>0.59059523809523806</v>
      </c>
      <c r="GE14" s="39">
        <f t="shared" si="20"/>
        <v>0.48428571428571437</v>
      </c>
      <c r="GF14" s="39">
        <f t="shared" si="20"/>
        <v>0.43096385542168686</v>
      </c>
      <c r="GG14" s="39">
        <f t="shared" si="20"/>
        <v>0.43904761904761902</v>
      </c>
      <c r="GH14" s="39">
        <f t="shared" si="20"/>
        <v>0.54202380952380969</v>
      </c>
      <c r="GI14" s="39">
        <f t="shared" si="20"/>
        <v>0.26178571428571429</v>
      </c>
      <c r="GJ14" s="315">
        <v>52</v>
      </c>
      <c r="GK14" s="315" t="s">
        <v>758</v>
      </c>
      <c r="GL14" s="315">
        <v>9</v>
      </c>
      <c r="GM14" s="315" t="s">
        <v>758</v>
      </c>
      <c r="GN14" s="291">
        <v>0.12</v>
      </c>
      <c r="GO14" s="291">
        <v>0.5</v>
      </c>
      <c r="GP14" s="291">
        <v>0.36</v>
      </c>
      <c r="GQ14" s="291">
        <v>0.02</v>
      </c>
      <c r="GR14" s="39">
        <f>AVERAGEIFS(GR$36:GR$173,$B$36:$B$173,"=no oficial")</f>
        <v>0.46218390804597709</v>
      </c>
      <c r="GS14" s="39">
        <f t="shared" ref="GS14:HQ14" si="21">AVERAGEIFS(GS$36:GS$173,$B$36:$B$173,"=no oficial")</f>
        <v>0.51206896551724135</v>
      </c>
      <c r="GT14" s="39">
        <f t="shared" si="21"/>
        <v>0.59770114942528774</v>
      </c>
      <c r="GU14" s="39">
        <f t="shared" si="21"/>
        <v>0.21517647058823527</v>
      </c>
      <c r="GV14" s="39">
        <f t="shared" si="21"/>
        <v>0.52873563218390773</v>
      </c>
      <c r="GW14" s="39">
        <f t="shared" si="21"/>
        <v>0.43678160919540249</v>
      </c>
      <c r="GX14" s="39">
        <f t="shared" si="21"/>
        <v>0.45000000000000007</v>
      </c>
      <c r="GY14" s="39" t="e">
        <f t="shared" si="21"/>
        <v>#DIV/0!</v>
      </c>
      <c r="GZ14" s="39">
        <f t="shared" si="21"/>
        <v>0.27965517241379306</v>
      </c>
      <c r="HA14" s="39">
        <f t="shared" si="21"/>
        <v>0.67209302325581433</v>
      </c>
      <c r="HB14" s="39">
        <f t="shared" si="21"/>
        <v>0.44758620689655171</v>
      </c>
      <c r="HC14" s="39">
        <f t="shared" si="21"/>
        <v>0.50252873563218381</v>
      </c>
      <c r="HD14" s="39">
        <f t="shared" si="21"/>
        <v>0.53689655172413786</v>
      </c>
      <c r="HE14" s="39">
        <f t="shared" si="21"/>
        <v>0.44804597701149429</v>
      </c>
      <c r="HF14" s="39">
        <f t="shared" si="21"/>
        <v>0.44827586206896541</v>
      </c>
      <c r="HG14" s="39">
        <f t="shared" si="21"/>
        <v>0.64839080459770082</v>
      </c>
      <c r="HH14" s="39">
        <f t="shared" si="21"/>
        <v>0.37356321839080442</v>
      </c>
      <c r="HI14" s="39">
        <f t="shared" si="21"/>
        <v>0.51942528735632176</v>
      </c>
      <c r="HJ14" s="39">
        <f t="shared" si="21"/>
        <v>0.58091954022988512</v>
      </c>
      <c r="HK14" s="39">
        <f t="shared" si="21"/>
        <v>0.50448275862068959</v>
      </c>
      <c r="HL14" s="39">
        <f t="shared" si="21"/>
        <v>0.38873563218390811</v>
      </c>
      <c r="HM14" s="39">
        <f t="shared" si="21"/>
        <v>0.47793103448275859</v>
      </c>
      <c r="HN14" s="39">
        <f t="shared" si="21"/>
        <v>0.4698850574712643</v>
      </c>
      <c r="HO14" s="39">
        <f t="shared" si="21"/>
        <v>0.40390804597701174</v>
      </c>
      <c r="HP14" s="39" t="e">
        <f t="shared" si="21"/>
        <v>#DIV/0!</v>
      </c>
      <c r="HQ14" s="39">
        <f t="shared" si="21"/>
        <v>0.40505747126436803</v>
      </c>
      <c r="HR14" s="423">
        <v>53</v>
      </c>
      <c r="HS14" s="423" t="s">
        <v>758</v>
      </c>
      <c r="HT14" s="423">
        <v>9</v>
      </c>
      <c r="HU14" s="423" t="s">
        <v>758</v>
      </c>
      <c r="HV14" s="427">
        <v>0.09</v>
      </c>
      <c r="HW14" s="427">
        <v>0.49</v>
      </c>
      <c r="HX14" s="427">
        <v>0.4</v>
      </c>
      <c r="HY14" s="427">
        <v>0.02</v>
      </c>
      <c r="HZ14" s="423" t="s">
        <v>173</v>
      </c>
      <c r="IA14" s="423" t="s">
        <v>173</v>
      </c>
      <c r="IB14" s="423" t="s">
        <v>173</v>
      </c>
      <c r="IC14" s="423" t="s">
        <v>173</v>
      </c>
      <c r="ID14" s="423" t="s">
        <v>173</v>
      </c>
      <c r="IE14" s="423" t="s">
        <v>173</v>
      </c>
      <c r="IF14" s="423" t="s">
        <v>173</v>
      </c>
      <c r="IG14" s="423" t="s">
        <v>173</v>
      </c>
      <c r="IH14" s="423" t="s">
        <v>173</v>
      </c>
      <c r="II14" s="423" t="s">
        <v>173</v>
      </c>
      <c r="IJ14" s="423" t="s">
        <v>173</v>
      </c>
      <c r="IK14" s="423" t="s">
        <v>173</v>
      </c>
      <c r="IL14" s="423" t="s">
        <v>173</v>
      </c>
      <c r="IM14" s="423" t="s">
        <v>173</v>
      </c>
      <c r="IN14" s="423" t="s">
        <v>173</v>
      </c>
      <c r="IO14" s="423" t="s">
        <v>173</v>
      </c>
      <c r="IP14" s="423" t="s">
        <v>173</v>
      </c>
      <c r="IQ14" s="423" t="s">
        <v>173</v>
      </c>
      <c r="IR14" s="423" t="s">
        <v>173</v>
      </c>
      <c r="IS14" s="423" t="s">
        <v>173</v>
      </c>
      <c r="IT14" s="423" t="s">
        <v>173</v>
      </c>
      <c r="IU14" s="423" t="s">
        <v>173</v>
      </c>
      <c r="IV14" s="423" t="s">
        <v>173</v>
      </c>
      <c r="IW14" s="423" t="s">
        <v>173</v>
      </c>
      <c r="IX14" s="423" t="s">
        <v>173</v>
      </c>
      <c r="IY14" s="423" t="s">
        <v>173</v>
      </c>
      <c r="IZ14" s="480">
        <v>54</v>
      </c>
      <c r="JA14" s="480" t="s">
        <v>758</v>
      </c>
      <c r="JB14" s="480">
        <v>9</v>
      </c>
      <c r="JC14" s="480" t="s">
        <v>758</v>
      </c>
      <c r="JD14" s="487">
        <v>0.09</v>
      </c>
      <c r="JE14" s="487">
        <v>0.47</v>
      </c>
      <c r="JF14" s="487">
        <v>0.41</v>
      </c>
      <c r="JG14" s="487">
        <v>0.02</v>
      </c>
      <c r="JH14" s="521" t="s">
        <v>173</v>
      </c>
      <c r="JI14" s="521" t="s">
        <v>173</v>
      </c>
      <c r="JJ14" s="521" t="s">
        <v>173</v>
      </c>
      <c r="JK14" s="521" t="s">
        <v>173</v>
      </c>
      <c r="JL14" s="521" t="s">
        <v>173</v>
      </c>
      <c r="JM14" s="521" t="s">
        <v>173</v>
      </c>
      <c r="JN14" s="521" t="s">
        <v>173</v>
      </c>
      <c r="JO14" s="521" t="s">
        <v>173</v>
      </c>
      <c r="JP14" s="521" t="s">
        <v>173</v>
      </c>
      <c r="JQ14" s="521" t="s">
        <v>173</v>
      </c>
      <c r="JR14" s="521" t="s">
        <v>173</v>
      </c>
      <c r="JS14" s="521" t="s">
        <v>173</v>
      </c>
      <c r="JT14" s="521" t="s">
        <v>173</v>
      </c>
      <c r="JU14" s="521" t="s">
        <v>173</v>
      </c>
      <c r="JV14" s="521" t="s">
        <v>173</v>
      </c>
      <c r="JW14" s="521" t="s">
        <v>173</v>
      </c>
      <c r="JX14" s="521" t="s">
        <v>173</v>
      </c>
      <c r="JY14" s="521" t="s">
        <v>173</v>
      </c>
      <c r="JZ14" s="521" t="s">
        <v>173</v>
      </c>
      <c r="KA14" s="521" t="s">
        <v>173</v>
      </c>
      <c r="KB14" s="521" t="s">
        <v>173</v>
      </c>
      <c r="KC14" s="521" t="s">
        <v>173</v>
      </c>
      <c r="KD14" s="521" t="s">
        <v>173</v>
      </c>
      <c r="KE14" s="521" t="s">
        <v>173</v>
      </c>
      <c r="KF14" s="521" t="s">
        <v>173</v>
      </c>
      <c r="KG14" s="521" t="s">
        <v>173</v>
      </c>
      <c r="KH14" s="957">
        <v>54</v>
      </c>
      <c r="KI14" s="957" t="s">
        <v>758</v>
      </c>
      <c r="KJ14" s="957">
        <v>10</v>
      </c>
      <c r="KK14" s="957" t="s">
        <v>758</v>
      </c>
      <c r="KL14" s="958">
        <v>0.08</v>
      </c>
      <c r="KM14" s="958">
        <v>0.45</v>
      </c>
      <c r="KN14" s="958">
        <v>0.43</v>
      </c>
      <c r="KO14" s="958">
        <v>0.03</v>
      </c>
      <c r="KP14" s="958" t="s">
        <v>173</v>
      </c>
      <c r="KQ14" s="958" t="s">
        <v>173</v>
      </c>
      <c r="KR14" s="958" t="s">
        <v>173</v>
      </c>
      <c r="KS14" s="958" t="s">
        <v>173</v>
      </c>
      <c r="KT14" s="958" t="s">
        <v>173</v>
      </c>
      <c r="KU14" s="958" t="s">
        <v>173</v>
      </c>
      <c r="KV14" s="958" t="s">
        <v>173</v>
      </c>
      <c r="KW14" s="958" t="s">
        <v>173</v>
      </c>
      <c r="KX14" s="958" t="s">
        <v>173</v>
      </c>
      <c r="KY14" s="958" t="s">
        <v>173</v>
      </c>
      <c r="KZ14" s="958" t="s">
        <v>173</v>
      </c>
      <c r="LA14" s="958" t="s">
        <v>173</v>
      </c>
      <c r="LB14" s="958" t="s">
        <v>173</v>
      </c>
      <c r="LC14" s="958" t="s">
        <v>173</v>
      </c>
      <c r="LD14" s="958" t="s">
        <v>173</v>
      </c>
      <c r="LE14" s="958" t="s">
        <v>173</v>
      </c>
      <c r="LF14" s="958" t="s">
        <v>173</v>
      </c>
      <c r="LG14" s="958" t="s">
        <v>173</v>
      </c>
      <c r="LH14" s="958" t="s">
        <v>173</v>
      </c>
      <c r="LI14" s="958" t="s">
        <v>173</v>
      </c>
      <c r="LJ14" s="958" t="s">
        <v>173</v>
      </c>
      <c r="LK14" s="958" t="s">
        <v>173</v>
      </c>
      <c r="LL14" s="957" t="s">
        <v>173</v>
      </c>
      <c r="LM14" s="958" t="s">
        <v>173</v>
      </c>
      <c r="LN14" s="957" t="s">
        <v>173</v>
      </c>
      <c r="LO14" s="957" t="s">
        <v>173</v>
      </c>
    </row>
    <row r="15" spans="1:327" ht="24.95" customHeight="1" x14ac:dyDescent="0.2">
      <c r="A15" s="6" t="s">
        <v>15</v>
      </c>
      <c r="B15" s="6"/>
      <c r="C15" s="6"/>
      <c r="D15" s="21">
        <v>52</v>
      </c>
      <c r="E15" s="21">
        <v>7</v>
      </c>
      <c r="F15" s="65">
        <v>0.06</v>
      </c>
      <c r="G15" s="65">
        <v>0.63</v>
      </c>
      <c r="H15" s="65">
        <v>0.31</v>
      </c>
      <c r="I15" s="65">
        <v>0</v>
      </c>
      <c r="J15" s="11" t="s">
        <v>173</v>
      </c>
      <c r="K15" s="11" t="s">
        <v>173</v>
      </c>
      <c r="L15" s="11" t="s">
        <v>173</v>
      </c>
      <c r="M15" s="21" t="s">
        <v>173</v>
      </c>
      <c r="N15" s="21" t="s">
        <v>173</v>
      </c>
      <c r="O15" s="21" t="s">
        <v>173</v>
      </c>
      <c r="P15" s="21" t="s">
        <v>173</v>
      </c>
      <c r="Q15" s="21" t="s">
        <v>173</v>
      </c>
      <c r="R15" s="21" t="s">
        <v>173</v>
      </c>
      <c r="S15" s="21" t="s">
        <v>173</v>
      </c>
      <c r="T15" s="21" t="s">
        <v>173</v>
      </c>
      <c r="U15" s="21" t="s">
        <v>173</v>
      </c>
      <c r="V15" s="21" t="s">
        <v>173</v>
      </c>
      <c r="W15" s="21" t="s">
        <v>173</v>
      </c>
      <c r="X15" s="21" t="s">
        <v>173</v>
      </c>
      <c r="Y15" s="21" t="s">
        <v>173</v>
      </c>
      <c r="Z15" s="21" t="s">
        <v>173</v>
      </c>
      <c r="AA15" s="21" t="s">
        <v>173</v>
      </c>
      <c r="AB15" s="21" t="s">
        <v>173</v>
      </c>
      <c r="AC15" s="21" t="s">
        <v>173</v>
      </c>
      <c r="AD15" s="21" t="s">
        <v>173</v>
      </c>
      <c r="AE15" s="21" t="s">
        <v>173</v>
      </c>
      <c r="AF15" s="21" t="s">
        <v>173</v>
      </c>
      <c r="AG15" s="21" t="s">
        <v>173</v>
      </c>
      <c r="AH15" s="21">
        <v>52</v>
      </c>
      <c r="AI15" s="21">
        <v>8</v>
      </c>
      <c r="AJ15" s="57">
        <v>0.09</v>
      </c>
      <c r="AK15" s="57">
        <v>0.57999999999999996</v>
      </c>
      <c r="AL15" s="57">
        <v>0.32</v>
      </c>
      <c r="AM15" s="57">
        <v>0.01</v>
      </c>
      <c r="AN15" s="11" t="s">
        <v>173</v>
      </c>
      <c r="AO15" s="11" t="s">
        <v>173</v>
      </c>
      <c r="AP15" s="11" t="s">
        <v>173</v>
      </c>
      <c r="AQ15" s="11" t="s">
        <v>173</v>
      </c>
      <c r="AR15" s="11" t="s">
        <v>173</v>
      </c>
      <c r="AS15" s="11" t="s">
        <v>173</v>
      </c>
      <c r="AT15" s="11" t="s">
        <v>173</v>
      </c>
      <c r="AU15" s="11" t="s">
        <v>173</v>
      </c>
      <c r="AV15" s="11" t="s">
        <v>173</v>
      </c>
      <c r="AW15" s="11" t="s">
        <v>173</v>
      </c>
      <c r="AX15" s="11" t="s">
        <v>173</v>
      </c>
      <c r="AY15" s="11" t="s">
        <v>173</v>
      </c>
      <c r="AZ15" s="11" t="s">
        <v>173</v>
      </c>
      <c r="BA15" s="11" t="s">
        <v>173</v>
      </c>
      <c r="BB15" s="11" t="s">
        <v>173</v>
      </c>
      <c r="BC15" s="11" t="s">
        <v>173</v>
      </c>
      <c r="BD15" s="11" t="s">
        <v>173</v>
      </c>
      <c r="BE15" s="11" t="s">
        <v>173</v>
      </c>
      <c r="BF15" s="11" t="s">
        <v>173</v>
      </c>
      <c r="BG15" s="11" t="s">
        <v>173</v>
      </c>
      <c r="BH15" s="11" t="s">
        <v>173</v>
      </c>
      <c r="BI15" s="11" t="s">
        <v>173</v>
      </c>
      <c r="BJ15" s="11" t="s">
        <v>173</v>
      </c>
      <c r="BK15" s="11" t="s">
        <v>173</v>
      </c>
      <c r="BL15" s="11" t="s">
        <v>173</v>
      </c>
      <c r="BM15" s="21">
        <v>50</v>
      </c>
      <c r="BN15" s="21">
        <v>8</v>
      </c>
      <c r="BO15" s="65">
        <v>0.15</v>
      </c>
      <c r="BP15" s="65">
        <v>0.6</v>
      </c>
      <c r="BQ15" s="65">
        <v>0.24</v>
      </c>
      <c r="BR15" s="65">
        <v>0</v>
      </c>
      <c r="BS15" s="11" t="s">
        <v>173</v>
      </c>
      <c r="BT15" s="11" t="s">
        <v>173</v>
      </c>
      <c r="BU15" s="11" t="s">
        <v>173</v>
      </c>
      <c r="BV15" s="11" t="s">
        <v>173</v>
      </c>
      <c r="BW15" s="11" t="s">
        <v>173</v>
      </c>
      <c r="BX15" s="11" t="s">
        <v>173</v>
      </c>
      <c r="BY15" s="11" t="s">
        <v>173</v>
      </c>
      <c r="BZ15" s="11" t="s">
        <v>173</v>
      </c>
      <c r="CA15" s="11" t="s">
        <v>173</v>
      </c>
      <c r="CB15" s="11" t="s">
        <v>173</v>
      </c>
      <c r="CC15" s="11" t="s">
        <v>173</v>
      </c>
      <c r="CD15" s="11" t="s">
        <v>173</v>
      </c>
      <c r="CE15" s="11" t="s">
        <v>173</v>
      </c>
      <c r="CF15" s="11" t="s">
        <v>173</v>
      </c>
      <c r="CG15" s="11" t="s">
        <v>173</v>
      </c>
      <c r="CH15" s="11" t="s">
        <v>173</v>
      </c>
      <c r="CI15" s="11" t="s">
        <v>173</v>
      </c>
      <c r="CJ15" s="11" t="s">
        <v>173</v>
      </c>
      <c r="CK15" s="11" t="s">
        <v>173</v>
      </c>
      <c r="CL15" s="11" t="s">
        <v>173</v>
      </c>
      <c r="CM15" s="11" t="s">
        <v>173</v>
      </c>
      <c r="CN15" s="11" t="s">
        <v>173</v>
      </c>
      <c r="CO15" s="11" t="s">
        <v>173</v>
      </c>
      <c r="CP15" s="11" t="s">
        <v>173</v>
      </c>
      <c r="CQ15" s="11" t="s">
        <v>173</v>
      </c>
      <c r="CR15" s="11" t="s">
        <v>173</v>
      </c>
      <c r="CS15" s="21">
        <v>48</v>
      </c>
      <c r="CT15" s="21">
        <v>9</v>
      </c>
      <c r="CU15" s="39">
        <v>0.18</v>
      </c>
      <c r="CV15" s="39">
        <v>0.61</v>
      </c>
      <c r="CW15" s="39">
        <v>0.2</v>
      </c>
      <c r="CX15" s="39">
        <v>0.01</v>
      </c>
      <c r="CY15" s="11" t="s">
        <v>173</v>
      </c>
      <c r="CZ15" s="11" t="s">
        <v>173</v>
      </c>
      <c r="DA15" s="11" t="s">
        <v>173</v>
      </c>
      <c r="DB15" s="11" t="s">
        <v>173</v>
      </c>
      <c r="DC15" s="11" t="s">
        <v>173</v>
      </c>
      <c r="DD15" s="11" t="s">
        <v>173</v>
      </c>
      <c r="DE15" s="11" t="s">
        <v>173</v>
      </c>
      <c r="DF15" s="11" t="s">
        <v>173</v>
      </c>
      <c r="DG15" s="11" t="s">
        <v>173</v>
      </c>
      <c r="DH15" s="11" t="s">
        <v>173</v>
      </c>
      <c r="DI15" s="11" t="s">
        <v>173</v>
      </c>
      <c r="DJ15" s="11" t="s">
        <v>173</v>
      </c>
      <c r="DK15" s="11" t="s">
        <v>173</v>
      </c>
      <c r="DL15" s="11" t="s">
        <v>173</v>
      </c>
      <c r="DM15" s="11" t="s">
        <v>173</v>
      </c>
      <c r="DN15" s="11" t="s">
        <v>173</v>
      </c>
      <c r="DO15" s="11" t="s">
        <v>173</v>
      </c>
      <c r="DP15" s="11" t="s">
        <v>173</v>
      </c>
      <c r="DQ15" s="11" t="s">
        <v>173</v>
      </c>
      <c r="DR15" s="11" t="s">
        <v>173</v>
      </c>
      <c r="DS15" s="11" t="s">
        <v>173</v>
      </c>
      <c r="DT15" s="11" t="s">
        <v>173</v>
      </c>
      <c r="DU15" s="11" t="s">
        <v>173</v>
      </c>
      <c r="DV15" s="11" t="s">
        <v>173</v>
      </c>
      <c r="DW15" s="11" t="s">
        <v>173</v>
      </c>
      <c r="DX15" s="22">
        <v>48</v>
      </c>
      <c r="DY15" s="22">
        <v>9</v>
      </c>
      <c r="DZ15" s="60">
        <v>0.21</v>
      </c>
      <c r="EA15" s="60">
        <v>0.59</v>
      </c>
      <c r="EB15" s="60">
        <v>0.19</v>
      </c>
      <c r="EC15" s="60">
        <v>0</v>
      </c>
      <c r="ED15" s="11" t="s">
        <v>173</v>
      </c>
      <c r="EE15" s="11" t="s">
        <v>173</v>
      </c>
      <c r="EF15" s="11" t="s">
        <v>173</v>
      </c>
      <c r="EG15" s="11" t="s">
        <v>173</v>
      </c>
      <c r="EH15" s="11" t="s">
        <v>173</v>
      </c>
      <c r="EI15" s="11" t="s">
        <v>173</v>
      </c>
      <c r="EJ15" s="11" t="s">
        <v>173</v>
      </c>
      <c r="EK15" s="11" t="s">
        <v>173</v>
      </c>
      <c r="EL15" s="11" t="s">
        <v>173</v>
      </c>
      <c r="EM15" s="11" t="s">
        <v>173</v>
      </c>
      <c r="EN15" s="11" t="s">
        <v>173</v>
      </c>
      <c r="EO15" s="11" t="s">
        <v>173</v>
      </c>
      <c r="EP15" s="11" t="s">
        <v>173</v>
      </c>
      <c r="EQ15" s="11" t="s">
        <v>173</v>
      </c>
      <c r="ER15" s="11" t="s">
        <v>173</v>
      </c>
      <c r="ES15" s="11" t="s">
        <v>173</v>
      </c>
      <c r="ET15" s="11" t="s">
        <v>173</v>
      </c>
      <c r="EU15" s="11" t="s">
        <v>173</v>
      </c>
      <c r="EV15" s="11" t="s">
        <v>173</v>
      </c>
      <c r="EW15" s="11" t="s">
        <v>173</v>
      </c>
      <c r="EX15" s="11" t="s">
        <v>173</v>
      </c>
      <c r="EY15" s="11" t="s">
        <v>173</v>
      </c>
      <c r="EZ15" s="11" t="s">
        <v>173</v>
      </c>
      <c r="FA15" s="11" t="s">
        <v>173</v>
      </c>
      <c r="FB15" s="244">
        <v>47</v>
      </c>
      <c r="FC15" s="244" t="s">
        <v>758</v>
      </c>
      <c r="FD15" s="244">
        <v>8</v>
      </c>
      <c r="FE15" s="244" t="s">
        <v>758</v>
      </c>
      <c r="FF15" s="262">
        <v>0.2</v>
      </c>
      <c r="FG15" s="262">
        <v>0.64</v>
      </c>
      <c r="FH15" s="262">
        <v>0.15</v>
      </c>
      <c r="FI15" s="262">
        <v>0</v>
      </c>
      <c r="FJ15" s="244" t="s">
        <v>173</v>
      </c>
      <c r="FK15" s="244" t="s">
        <v>173</v>
      </c>
      <c r="FL15" s="244" t="s">
        <v>173</v>
      </c>
      <c r="FM15" s="244" t="s">
        <v>173</v>
      </c>
      <c r="FN15" s="244" t="s">
        <v>173</v>
      </c>
      <c r="FO15" s="244" t="s">
        <v>173</v>
      </c>
      <c r="FP15" s="244" t="s">
        <v>173</v>
      </c>
      <c r="FQ15" s="244" t="s">
        <v>173</v>
      </c>
      <c r="FR15" s="244" t="s">
        <v>173</v>
      </c>
      <c r="FS15" s="244" t="s">
        <v>173</v>
      </c>
      <c r="FT15" s="244" t="s">
        <v>173</v>
      </c>
      <c r="FU15" s="244" t="s">
        <v>173</v>
      </c>
      <c r="FV15" s="244" t="s">
        <v>173</v>
      </c>
      <c r="FW15" s="244" t="s">
        <v>173</v>
      </c>
      <c r="FX15" s="244" t="s">
        <v>173</v>
      </c>
      <c r="FY15" s="244" t="s">
        <v>173</v>
      </c>
      <c r="FZ15" s="244" t="s">
        <v>173</v>
      </c>
      <c r="GA15" s="244" t="s">
        <v>173</v>
      </c>
      <c r="GB15" s="244" t="s">
        <v>173</v>
      </c>
      <c r="GC15" s="244" t="s">
        <v>173</v>
      </c>
      <c r="GD15" s="244" t="s">
        <v>173</v>
      </c>
      <c r="GE15" s="244" t="s">
        <v>173</v>
      </c>
      <c r="GF15" s="244" t="s">
        <v>173</v>
      </c>
      <c r="GG15" s="244" t="s">
        <v>173</v>
      </c>
      <c r="GH15" s="244" t="s">
        <v>173</v>
      </c>
      <c r="GI15" s="244" t="s">
        <v>173</v>
      </c>
      <c r="GJ15" s="315">
        <v>48</v>
      </c>
      <c r="GK15" s="315" t="s">
        <v>758</v>
      </c>
      <c r="GL15" s="315">
        <v>9</v>
      </c>
      <c r="GM15" s="315" t="s">
        <v>758</v>
      </c>
      <c r="GN15" s="291">
        <v>0.2</v>
      </c>
      <c r="GO15" s="291">
        <v>0.59</v>
      </c>
      <c r="GP15" s="291">
        <v>0.2</v>
      </c>
      <c r="GQ15" s="291">
        <v>0.01</v>
      </c>
      <c r="GR15" s="315" t="s">
        <v>173</v>
      </c>
      <c r="GS15" s="315" t="s">
        <v>173</v>
      </c>
      <c r="GT15" s="315" t="s">
        <v>173</v>
      </c>
      <c r="GU15" s="315" t="s">
        <v>173</v>
      </c>
      <c r="GV15" s="315" t="s">
        <v>173</v>
      </c>
      <c r="GW15" s="315" t="s">
        <v>173</v>
      </c>
      <c r="GX15" s="315" t="s">
        <v>173</v>
      </c>
      <c r="GY15" s="315" t="s">
        <v>173</v>
      </c>
      <c r="GZ15" s="315" t="s">
        <v>173</v>
      </c>
      <c r="HA15" s="315" t="s">
        <v>173</v>
      </c>
      <c r="HB15" s="315" t="s">
        <v>173</v>
      </c>
      <c r="HC15" s="315" t="s">
        <v>173</v>
      </c>
      <c r="HD15" s="315" t="s">
        <v>173</v>
      </c>
      <c r="HE15" s="315" t="s">
        <v>173</v>
      </c>
      <c r="HF15" s="315" t="s">
        <v>173</v>
      </c>
      <c r="HG15" s="315" t="s">
        <v>173</v>
      </c>
      <c r="HH15" s="315" t="s">
        <v>173</v>
      </c>
      <c r="HI15" s="315" t="s">
        <v>173</v>
      </c>
      <c r="HJ15" s="315" t="s">
        <v>173</v>
      </c>
      <c r="HK15" s="315" t="s">
        <v>173</v>
      </c>
      <c r="HL15" s="315" t="s">
        <v>173</v>
      </c>
      <c r="HM15" s="315" t="s">
        <v>173</v>
      </c>
      <c r="HN15" s="315" t="s">
        <v>173</v>
      </c>
      <c r="HO15" s="315" t="s">
        <v>173</v>
      </c>
      <c r="HP15" s="315" t="s">
        <v>173</v>
      </c>
      <c r="HQ15" s="315" t="s">
        <v>173</v>
      </c>
      <c r="HR15" s="423">
        <v>49</v>
      </c>
      <c r="HS15" s="423" t="s">
        <v>758</v>
      </c>
      <c r="HT15" s="423">
        <v>9</v>
      </c>
      <c r="HU15" s="423" t="s">
        <v>758</v>
      </c>
      <c r="HV15" s="427">
        <v>0.17</v>
      </c>
      <c r="HW15" s="427">
        <v>0.6</v>
      </c>
      <c r="HX15" s="427">
        <v>0.22</v>
      </c>
      <c r="HY15" s="427">
        <v>0.01</v>
      </c>
      <c r="HZ15" s="423" t="s">
        <v>173</v>
      </c>
      <c r="IA15" s="423" t="s">
        <v>173</v>
      </c>
      <c r="IB15" s="423" t="s">
        <v>173</v>
      </c>
      <c r="IC15" s="423" t="s">
        <v>173</v>
      </c>
      <c r="ID15" s="423" t="s">
        <v>173</v>
      </c>
      <c r="IE15" s="423" t="s">
        <v>173</v>
      </c>
      <c r="IF15" s="423" t="s">
        <v>173</v>
      </c>
      <c r="IG15" s="423" t="s">
        <v>173</v>
      </c>
      <c r="IH15" s="423" t="s">
        <v>173</v>
      </c>
      <c r="II15" s="423" t="s">
        <v>173</v>
      </c>
      <c r="IJ15" s="423" t="s">
        <v>173</v>
      </c>
      <c r="IK15" s="423" t="s">
        <v>173</v>
      </c>
      <c r="IL15" s="423" t="s">
        <v>173</v>
      </c>
      <c r="IM15" s="423" t="s">
        <v>173</v>
      </c>
      <c r="IN15" s="423" t="s">
        <v>173</v>
      </c>
      <c r="IO15" s="423" t="s">
        <v>173</v>
      </c>
      <c r="IP15" s="423" t="s">
        <v>173</v>
      </c>
      <c r="IQ15" s="423" t="s">
        <v>173</v>
      </c>
      <c r="IR15" s="423" t="s">
        <v>173</v>
      </c>
      <c r="IS15" s="423" t="s">
        <v>173</v>
      </c>
      <c r="IT15" s="423" t="s">
        <v>173</v>
      </c>
      <c r="IU15" s="423" t="s">
        <v>173</v>
      </c>
      <c r="IV15" s="423" t="s">
        <v>173</v>
      </c>
      <c r="IW15" s="423" t="s">
        <v>173</v>
      </c>
      <c r="IX15" s="423" t="s">
        <v>173</v>
      </c>
      <c r="IY15" s="423" t="s">
        <v>173</v>
      </c>
      <c r="IZ15" s="480">
        <v>49</v>
      </c>
      <c r="JA15" s="480" t="s">
        <v>758</v>
      </c>
      <c r="JB15" s="480">
        <v>9</v>
      </c>
      <c r="JC15" s="480" t="s">
        <v>758</v>
      </c>
      <c r="JD15" s="487">
        <v>0.19</v>
      </c>
      <c r="JE15" s="487">
        <v>0.57999999999999996</v>
      </c>
      <c r="JF15" s="487">
        <v>0.23</v>
      </c>
      <c r="JG15" s="487">
        <v>0</v>
      </c>
      <c r="JH15" s="521" t="s">
        <v>173</v>
      </c>
      <c r="JI15" s="521" t="s">
        <v>173</v>
      </c>
      <c r="JJ15" s="521" t="s">
        <v>173</v>
      </c>
      <c r="JK15" s="521" t="s">
        <v>173</v>
      </c>
      <c r="JL15" s="521" t="s">
        <v>173</v>
      </c>
      <c r="JM15" s="521" t="s">
        <v>173</v>
      </c>
      <c r="JN15" s="521" t="s">
        <v>173</v>
      </c>
      <c r="JO15" s="521" t="s">
        <v>173</v>
      </c>
      <c r="JP15" s="521" t="s">
        <v>173</v>
      </c>
      <c r="JQ15" s="521" t="s">
        <v>173</v>
      </c>
      <c r="JR15" s="521" t="s">
        <v>173</v>
      </c>
      <c r="JS15" s="521" t="s">
        <v>173</v>
      </c>
      <c r="JT15" s="521" t="s">
        <v>173</v>
      </c>
      <c r="JU15" s="521" t="s">
        <v>173</v>
      </c>
      <c r="JV15" s="521" t="s">
        <v>173</v>
      </c>
      <c r="JW15" s="521" t="s">
        <v>173</v>
      </c>
      <c r="JX15" s="521" t="s">
        <v>173</v>
      </c>
      <c r="JY15" s="521" t="s">
        <v>173</v>
      </c>
      <c r="JZ15" s="521" t="s">
        <v>173</v>
      </c>
      <c r="KA15" s="521" t="s">
        <v>173</v>
      </c>
      <c r="KB15" s="521" t="s">
        <v>173</v>
      </c>
      <c r="KC15" s="521" t="s">
        <v>173</v>
      </c>
      <c r="KD15" s="521" t="s">
        <v>173</v>
      </c>
      <c r="KE15" s="521" t="s">
        <v>173</v>
      </c>
      <c r="KF15" s="521" t="s">
        <v>173</v>
      </c>
      <c r="KG15" s="521" t="s">
        <v>173</v>
      </c>
    </row>
    <row r="16" spans="1:327" ht="24.95" customHeight="1" x14ac:dyDescent="0.2">
      <c r="A16" s="6" t="s">
        <v>16</v>
      </c>
      <c r="B16" s="6"/>
      <c r="C16" s="6"/>
      <c r="D16" s="21">
        <v>55</v>
      </c>
      <c r="E16" s="21">
        <v>8</v>
      </c>
      <c r="F16" s="65">
        <v>0.04</v>
      </c>
      <c r="G16" s="65">
        <v>0.51</v>
      </c>
      <c r="H16" s="65">
        <v>0.44</v>
      </c>
      <c r="I16" s="65">
        <v>0.01</v>
      </c>
      <c r="J16" s="11" t="s">
        <v>173</v>
      </c>
      <c r="K16" s="11" t="s">
        <v>173</v>
      </c>
      <c r="L16" s="11" t="s">
        <v>173</v>
      </c>
      <c r="M16" s="21" t="s">
        <v>173</v>
      </c>
      <c r="N16" s="21" t="s">
        <v>173</v>
      </c>
      <c r="O16" s="21" t="s">
        <v>173</v>
      </c>
      <c r="P16" s="21" t="s">
        <v>173</v>
      </c>
      <c r="Q16" s="21" t="s">
        <v>173</v>
      </c>
      <c r="R16" s="21" t="s">
        <v>173</v>
      </c>
      <c r="S16" s="21" t="s">
        <v>173</v>
      </c>
      <c r="T16" s="21" t="s">
        <v>173</v>
      </c>
      <c r="U16" s="21" t="s">
        <v>173</v>
      </c>
      <c r="V16" s="21" t="s">
        <v>173</v>
      </c>
      <c r="W16" s="21" t="s">
        <v>173</v>
      </c>
      <c r="X16" s="21" t="s">
        <v>173</v>
      </c>
      <c r="Y16" s="21" t="s">
        <v>173</v>
      </c>
      <c r="Z16" s="21" t="s">
        <v>173</v>
      </c>
      <c r="AA16" s="21" t="s">
        <v>173</v>
      </c>
      <c r="AB16" s="21" t="s">
        <v>173</v>
      </c>
      <c r="AC16" s="21" t="s">
        <v>173</v>
      </c>
      <c r="AD16" s="21" t="s">
        <v>173</v>
      </c>
      <c r="AE16" s="21" t="s">
        <v>173</v>
      </c>
      <c r="AF16" s="21" t="s">
        <v>173</v>
      </c>
      <c r="AG16" s="21" t="s">
        <v>173</v>
      </c>
      <c r="AH16" s="21">
        <v>54</v>
      </c>
      <c r="AI16" s="21">
        <v>8</v>
      </c>
      <c r="AJ16" s="57">
        <v>0.06</v>
      </c>
      <c r="AK16" s="57">
        <v>0.5</v>
      </c>
      <c r="AL16" s="57">
        <v>0.43</v>
      </c>
      <c r="AM16" s="57">
        <v>0.01</v>
      </c>
      <c r="AN16" s="11" t="s">
        <v>173</v>
      </c>
      <c r="AO16" s="11" t="s">
        <v>173</v>
      </c>
      <c r="AP16" s="11" t="s">
        <v>173</v>
      </c>
      <c r="AQ16" s="11" t="s">
        <v>173</v>
      </c>
      <c r="AR16" s="11" t="s">
        <v>173</v>
      </c>
      <c r="AS16" s="11" t="s">
        <v>173</v>
      </c>
      <c r="AT16" s="11" t="s">
        <v>173</v>
      </c>
      <c r="AU16" s="11" t="s">
        <v>173</v>
      </c>
      <c r="AV16" s="11" t="s">
        <v>173</v>
      </c>
      <c r="AW16" s="11" t="s">
        <v>173</v>
      </c>
      <c r="AX16" s="11" t="s">
        <v>173</v>
      </c>
      <c r="AY16" s="11" t="s">
        <v>173</v>
      </c>
      <c r="AZ16" s="11" t="s">
        <v>173</v>
      </c>
      <c r="BA16" s="11" t="s">
        <v>173</v>
      </c>
      <c r="BB16" s="11" t="s">
        <v>173</v>
      </c>
      <c r="BC16" s="11" t="s">
        <v>173</v>
      </c>
      <c r="BD16" s="11" t="s">
        <v>173</v>
      </c>
      <c r="BE16" s="11" t="s">
        <v>173</v>
      </c>
      <c r="BF16" s="11" t="s">
        <v>173</v>
      </c>
      <c r="BG16" s="11" t="s">
        <v>173</v>
      </c>
      <c r="BH16" s="11" t="s">
        <v>173</v>
      </c>
      <c r="BI16" s="11" t="s">
        <v>173</v>
      </c>
      <c r="BJ16" s="11" t="s">
        <v>173</v>
      </c>
      <c r="BK16" s="11" t="s">
        <v>173</v>
      </c>
      <c r="BL16" s="11" t="s">
        <v>173</v>
      </c>
      <c r="BM16" s="21">
        <v>52</v>
      </c>
      <c r="BN16" s="21">
        <v>9</v>
      </c>
      <c r="BO16" s="65">
        <v>0.09</v>
      </c>
      <c r="BP16" s="65">
        <v>0.55000000000000004</v>
      </c>
      <c r="BQ16" s="65">
        <v>0.35</v>
      </c>
      <c r="BR16" s="65">
        <v>0.01</v>
      </c>
      <c r="BS16" s="11" t="s">
        <v>173</v>
      </c>
      <c r="BT16" s="11" t="s">
        <v>173</v>
      </c>
      <c r="BU16" s="11" t="s">
        <v>173</v>
      </c>
      <c r="BV16" s="11" t="s">
        <v>173</v>
      </c>
      <c r="BW16" s="11" t="s">
        <v>173</v>
      </c>
      <c r="BX16" s="11" t="s">
        <v>173</v>
      </c>
      <c r="BY16" s="11" t="s">
        <v>173</v>
      </c>
      <c r="BZ16" s="11" t="s">
        <v>173</v>
      </c>
      <c r="CA16" s="11" t="s">
        <v>173</v>
      </c>
      <c r="CB16" s="11" t="s">
        <v>173</v>
      </c>
      <c r="CC16" s="11" t="s">
        <v>173</v>
      </c>
      <c r="CD16" s="11" t="s">
        <v>173</v>
      </c>
      <c r="CE16" s="11" t="s">
        <v>173</v>
      </c>
      <c r="CF16" s="11" t="s">
        <v>173</v>
      </c>
      <c r="CG16" s="11" t="s">
        <v>173</v>
      </c>
      <c r="CH16" s="11" t="s">
        <v>173</v>
      </c>
      <c r="CI16" s="11" t="s">
        <v>173</v>
      </c>
      <c r="CJ16" s="11" t="s">
        <v>173</v>
      </c>
      <c r="CK16" s="11" t="s">
        <v>173</v>
      </c>
      <c r="CL16" s="11" t="s">
        <v>173</v>
      </c>
      <c r="CM16" s="11" t="s">
        <v>173</v>
      </c>
      <c r="CN16" s="11" t="s">
        <v>173</v>
      </c>
      <c r="CO16" s="11" t="s">
        <v>173</v>
      </c>
      <c r="CP16" s="11" t="s">
        <v>173</v>
      </c>
      <c r="CQ16" s="11" t="s">
        <v>173</v>
      </c>
      <c r="CR16" s="11" t="s">
        <v>173</v>
      </c>
      <c r="CS16" s="21">
        <v>51</v>
      </c>
      <c r="CT16" s="21">
        <v>9</v>
      </c>
      <c r="CU16" s="39">
        <v>0.11</v>
      </c>
      <c r="CV16" s="39">
        <v>0.59</v>
      </c>
      <c r="CW16" s="39">
        <v>0.28999999999999998</v>
      </c>
      <c r="CX16" s="39">
        <v>0.01</v>
      </c>
      <c r="CY16" s="11" t="s">
        <v>173</v>
      </c>
      <c r="CZ16" s="11" t="s">
        <v>173</v>
      </c>
      <c r="DA16" s="11" t="s">
        <v>173</v>
      </c>
      <c r="DB16" s="11" t="s">
        <v>173</v>
      </c>
      <c r="DC16" s="11" t="s">
        <v>173</v>
      </c>
      <c r="DD16" s="11" t="s">
        <v>173</v>
      </c>
      <c r="DE16" s="11" t="s">
        <v>173</v>
      </c>
      <c r="DF16" s="11" t="s">
        <v>173</v>
      </c>
      <c r="DG16" s="11" t="s">
        <v>173</v>
      </c>
      <c r="DH16" s="11" t="s">
        <v>173</v>
      </c>
      <c r="DI16" s="11" t="s">
        <v>173</v>
      </c>
      <c r="DJ16" s="11" t="s">
        <v>173</v>
      </c>
      <c r="DK16" s="11" t="s">
        <v>173</v>
      </c>
      <c r="DL16" s="11" t="s">
        <v>173</v>
      </c>
      <c r="DM16" s="11" t="s">
        <v>173</v>
      </c>
      <c r="DN16" s="11" t="s">
        <v>173</v>
      </c>
      <c r="DO16" s="11" t="s">
        <v>173</v>
      </c>
      <c r="DP16" s="11" t="s">
        <v>173</v>
      </c>
      <c r="DQ16" s="11" t="s">
        <v>173</v>
      </c>
      <c r="DR16" s="11" t="s">
        <v>173</v>
      </c>
      <c r="DS16" s="11" t="s">
        <v>173</v>
      </c>
      <c r="DT16" s="11" t="s">
        <v>173</v>
      </c>
      <c r="DU16" s="11" t="s">
        <v>173</v>
      </c>
      <c r="DV16" s="11" t="s">
        <v>173</v>
      </c>
      <c r="DW16" s="11" t="s">
        <v>173</v>
      </c>
      <c r="DX16" s="22">
        <v>51</v>
      </c>
      <c r="DY16" s="22">
        <v>9</v>
      </c>
      <c r="DZ16" s="60">
        <v>0.14000000000000001</v>
      </c>
      <c r="EA16" s="60">
        <v>0.54</v>
      </c>
      <c r="EB16" s="60">
        <v>0.3</v>
      </c>
      <c r="EC16" s="60">
        <v>0.01</v>
      </c>
      <c r="ED16" s="11" t="s">
        <v>173</v>
      </c>
      <c r="EE16" s="11" t="s">
        <v>173</v>
      </c>
      <c r="EF16" s="11" t="s">
        <v>173</v>
      </c>
      <c r="EG16" s="11" t="s">
        <v>173</v>
      </c>
      <c r="EH16" s="11" t="s">
        <v>173</v>
      </c>
      <c r="EI16" s="11" t="s">
        <v>173</v>
      </c>
      <c r="EJ16" s="11" t="s">
        <v>173</v>
      </c>
      <c r="EK16" s="11" t="s">
        <v>173</v>
      </c>
      <c r="EL16" s="11" t="s">
        <v>173</v>
      </c>
      <c r="EM16" s="11" t="s">
        <v>173</v>
      </c>
      <c r="EN16" s="11" t="s">
        <v>173</v>
      </c>
      <c r="EO16" s="11" t="s">
        <v>173</v>
      </c>
      <c r="EP16" s="11" t="s">
        <v>173</v>
      </c>
      <c r="EQ16" s="11" t="s">
        <v>173</v>
      </c>
      <c r="ER16" s="11" t="s">
        <v>173</v>
      </c>
      <c r="ES16" s="11" t="s">
        <v>173</v>
      </c>
      <c r="ET16" s="11" t="s">
        <v>173</v>
      </c>
      <c r="EU16" s="11" t="s">
        <v>173</v>
      </c>
      <c r="EV16" s="11" t="s">
        <v>173</v>
      </c>
      <c r="EW16" s="11" t="s">
        <v>173</v>
      </c>
      <c r="EX16" s="11" t="s">
        <v>173</v>
      </c>
      <c r="EY16" s="11" t="s">
        <v>173</v>
      </c>
      <c r="EZ16" s="11" t="s">
        <v>173</v>
      </c>
      <c r="FA16" s="11" t="s">
        <v>173</v>
      </c>
      <c r="FB16" s="244">
        <v>51</v>
      </c>
      <c r="FC16" s="244" t="s">
        <v>758</v>
      </c>
      <c r="FD16" s="244">
        <v>9</v>
      </c>
      <c r="FE16" s="244" t="s">
        <v>758</v>
      </c>
      <c r="FF16" s="262">
        <v>0.12</v>
      </c>
      <c r="FG16" s="262">
        <v>0.59</v>
      </c>
      <c r="FH16" s="262">
        <v>0.28000000000000003</v>
      </c>
      <c r="FI16" s="262">
        <v>0.01</v>
      </c>
      <c r="FJ16" s="244" t="s">
        <v>173</v>
      </c>
      <c r="FK16" s="244" t="s">
        <v>173</v>
      </c>
      <c r="FL16" s="244" t="s">
        <v>173</v>
      </c>
      <c r="FM16" s="244" t="s">
        <v>173</v>
      </c>
      <c r="FN16" s="244" t="s">
        <v>173</v>
      </c>
      <c r="FO16" s="244" t="s">
        <v>173</v>
      </c>
      <c r="FP16" s="244" t="s">
        <v>173</v>
      </c>
      <c r="FQ16" s="244" t="s">
        <v>173</v>
      </c>
      <c r="FR16" s="244" t="s">
        <v>173</v>
      </c>
      <c r="FS16" s="244" t="s">
        <v>173</v>
      </c>
      <c r="FT16" s="244" t="s">
        <v>173</v>
      </c>
      <c r="FU16" s="244" t="s">
        <v>173</v>
      </c>
      <c r="FV16" s="244" t="s">
        <v>173</v>
      </c>
      <c r="FW16" s="244" t="s">
        <v>173</v>
      </c>
      <c r="FX16" s="244" t="s">
        <v>173</v>
      </c>
      <c r="FY16" s="244" t="s">
        <v>173</v>
      </c>
      <c r="FZ16" s="244" t="s">
        <v>173</v>
      </c>
      <c r="GA16" s="244" t="s">
        <v>173</v>
      </c>
      <c r="GB16" s="244" t="s">
        <v>173</v>
      </c>
      <c r="GC16" s="244" t="s">
        <v>173</v>
      </c>
      <c r="GD16" s="244" t="s">
        <v>173</v>
      </c>
      <c r="GE16" s="244" t="s">
        <v>173</v>
      </c>
      <c r="GF16" s="244" t="s">
        <v>173</v>
      </c>
      <c r="GG16" s="244" t="s">
        <v>173</v>
      </c>
      <c r="GH16" s="244" t="s">
        <v>173</v>
      </c>
      <c r="GI16" s="244" t="s">
        <v>173</v>
      </c>
      <c r="GJ16" s="315">
        <v>52</v>
      </c>
      <c r="GK16" s="315" t="s">
        <v>758</v>
      </c>
      <c r="GL16" s="315">
        <v>9</v>
      </c>
      <c r="GM16" s="315" t="s">
        <v>758</v>
      </c>
      <c r="GN16" s="291">
        <v>0.12</v>
      </c>
      <c r="GO16" s="291">
        <v>0.53</v>
      </c>
      <c r="GP16" s="291">
        <v>0.33</v>
      </c>
      <c r="GQ16" s="291">
        <v>0.02</v>
      </c>
      <c r="GR16" s="315" t="s">
        <v>173</v>
      </c>
      <c r="GS16" s="315" t="s">
        <v>173</v>
      </c>
      <c r="GT16" s="315" t="s">
        <v>173</v>
      </c>
      <c r="GU16" s="315" t="s">
        <v>173</v>
      </c>
      <c r="GV16" s="315" t="s">
        <v>173</v>
      </c>
      <c r="GW16" s="315" t="s">
        <v>173</v>
      </c>
      <c r="GX16" s="315" t="s">
        <v>173</v>
      </c>
      <c r="GY16" s="315" t="s">
        <v>173</v>
      </c>
      <c r="GZ16" s="315" t="s">
        <v>173</v>
      </c>
      <c r="HA16" s="315" t="s">
        <v>173</v>
      </c>
      <c r="HB16" s="315" t="s">
        <v>173</v>
      </c>
      <c r="HC16" s="315" t="s">
        <v>173</v>
      </c>
      <c r="HD16" s="315" t="s">
        <v>173</v>
      </c>
      <c r="HE16" s="315" t="s">
        <v>173</v>
      </c>
      <c r="HF16" s="315" t="s">
        <v>173</v>
      </c>
      <c r="HG16" s="315" t="s">
        <v>173</v>
      </c>
      <c r="HH16" s="315" t="s">
        <v>173</v>
      </c>
      <c r="HI16" s="315" t="s">
        <v>173</v>
      </c>
      <c r="HJ16" s="315" t="s">
        <v>173</v>
      </c>
      <c r="HK16" s="315" t="s">
        <v>173</v>
      </c>
      <c r="HL16" s="315" t="s">
        <v>173</v>
      </c>
      <c r="HM16" s="315" t="s">
        <v>173</v>
      </c>
      <c r="HN16" s="315" t="s">
        <v>173</v>
      </c>
      <c r="HO16" s="315" t="s">
        <v>173</v>
      </c>
      <c r="HP16" s="315" t="s">
        <v>173</v>
      </c>
      <c r="HQ16" s="315" t="s">
        <v>173</v>
      </c>
      <c r="HR16" s="423">
        <v>53</v>
      </c>
      <c r="HS16" s="423" t="s">
        <v>758</v>
      </c>
      <c r="HT16" s="423">
        <v>9</v>
      </c>
      <c r="HU16" s="423" t="s">
        <v>758</v>
      </c>
      <c r="HV16" s="427">
        <v>0.1</v>
      </c>
      <c r="HW16" s="427">
        <v>0.51</v>
      </c>
      <c r="HX16" s="427">
        <v>0.37</v>
      </c>
      <c r="HY16" s="427">
        <v>0.02</v>
      </c>
      <c r="HZ16" s="423" t="s">
        <v>173</v>
      </c>
      <c r="IA16" s="423" t="s">
        <v>173</v>
      </c>
      <c r="IB16" s="423" t="s">
        <v>173</v>
      </c>
      <c r="IC16" s="423" t="s">
        <v>173</v>
      </c>
      <c r="ID16" s="423" t="s">
        <v>173</v>
      </c>
      <c r="IE16" s="423" t="s">
        <v>173</v>
      </c>
      <c r="IF16" s="423" t="s">
        <v>173</v>
      </c>
      <c r="IG16" s="423" t="s">
        <v>173</v>
      </c>
      <c r="IH16" s="423" t="s">
        <v>173</v>
      </c>
      <c r="II16" s="423" t="s">
        <v>173</v>
      </c>
      <c r="IJ16" s="423" t="s">
        <v>173</v>
      </c>
      <c r="IK16" s="423" t="s">
        <v>173</v>
      </c>
      <c r="IL16" s="423" t="s">
        <v>173</v>
      </c>
      <c r="IM16" s="423" t="s">
        <v>173</v>
      </c>
      <c r="IN16" s="423" t="s">
        <v>173</v>
      </c>
      <c r="IO16" s="423" t="s">
        <v>173</v>
      </c>
      <c r="IP16" s="423" t="s">
        <v>173</v>
      </c>
      <c r="IQ16" s="423" t="s">
        <v>173</v>
      </c>
      <c r="IR16" s="423" t="s">
        <v>173</v>
      </c>
      <c r="IS16" s="423" t="s">
        <v>173</v>
      </c>
      <c r="IT16" s="423" t="s">
        <v>173</v>
      </c>
      <c r="IU16" s="423" t="s">
        <v>173</v>
      </c>
      <c r="IV16" s="423" t="s">
        <v>173</v>
      </c>
      <c r="IW16" s="423" t="s">
        <v>173</v>
      </c>
      <c r="IX16" s="423" t="s">
        <v>173</v>
      </c>
      <c r="IY16" s="423" t="s">
        <v>173</v>
      </c>
      <c r="IZ16" s="480">
        <v>52</v>
      </c>
      <c r="JA16" s="480" t="s">
        <v>758</v>
      </c>
      <c r="JB16" s="480">
        <v>9</v>
      </c>
      <c r="JC16" s="480" t="s">
        <v>758</v>
      </c>
      <c r="JD16" s="487">
        <v>0.12</v>
      </c>
      <c r="JE16" s="487">
        <v>0.51</v>
      </c>
      <c r="JF16" s="487">
        <v>0.36</v>
      </c>
      <c r="JG16" s="487">
        <v>0.02</v>
      </c>
      <c r="JH16" s="521" t="s">
        <v>173</v>
      </c>
      <c r="JI16" s="521" t="s">
        <v>173</v>
      </c>
      <c r="JJ16" s="521" t="s">
        <v>173</v>
      </c>
      <c r="JK16" s="521" t="s">
        <v>173</v>
      </c>
      <c r="JL16" s="521" t="s">
        <v>173</v>
      </c>
      <c r="JM16" s="521" t="s">
        <v>173</v>
      </c>
      <c r="JN16" s="521" t="s">
        <v>173</v>
      </c>
      <c r="JO16" s="521" t="s">
        <v>173</v>
      </c>
      <c r="JP16" s="521" t="s">
        <v>173</v>
      </c>
      <c r="JQ16" s="521" t="s">
        <v>173</v>
      </c>
      <c r="JR16" s="521" t="s">
        <v>173</v>
      </c>
      <c r="JS16" s="521" t="s">
        <v>173</v>
      </c>
      <c r="JT16" s="521" t="s">
        <v>173</v>
      </c>
      <c r="JU16" s="521" t="s">
        <v>173</v>
      </c>
      <c r="JV16" s="521" t="s">
        <v>173</v>
      </c>
      <c r="JW16" s="521" t="s">
        <v>173</v>
      </c>
      <c r="JX16" s="521" t="s">
        <v>173</v>
      </c>
      <c r="JY16" s="521" t="s">
        <v>173</v>
      </c>
      <c r="JZ16" s="521" t="s">
        <v>173</v>
      </c>
      <c r="KA16" s="521" t="s">
        <v>173</v>
      </c>
      <c r="KB16" s="521" t="s">
        <v>173</v>
      </c>
      <c r="KC16" s="521" t="s">
        <v>173</v>
      </c>
      <c r="KD16" s="521" t="s">
        <v>173</v>
      </c>
      <c r="KE16" s="521" t="s">
        <v>173</v>
      </c>
      <c r="KF16" s="521" t="s">
        <v>173</v>
      </c>
      <c r="KG16" s="521" t="s">
        <v>173</v>
      </c>
    </row>
    <row r="17" spans="1:327" ht="24.95" customHeight="1" x14ac:dyDescent="0.2">
      <c r="A17" s="292" t="s">
        <v>17</v>
      </c>
      <c r="B17" s="292"/>
      <c r="C17" s="292"/>
      <c r="D17" s="316"/>
      <c r="E17" s="316"/>
      <c r="F17" s="325"/>
      <c r="G17" s="325"/>
      <c r="H17" s="325"/>
      <c r="I17" s="325"/>
      <c r="J17" s="315"/>
      <c r="K17" s="315"/>
      <c r="L17" s="315"/>
      <c r="M17" s="316"/>
      <c r="N17" s="316"/>
      <c r="O17" s="316"/>
      <c r="P17" s="316"/>
      <c r="Q17" s="316"/>
      <c r="R17" s="316"/>
      <c r="S17" s="316"/>
      <c r="T17" s="316"/>
      <c r="U17" s="316"/>
      <c r="V17" s="316"/>
      <c r="W17" s="316"/>
      <c r="X17" s="316"/>
      <c r="Y17" s="316"/>
      <c r="Z17" s="316"/>
      <c r="AA17" s="316"/>
      <c r="AB17" s="316"/>
      <c r="AC17" s="316"/>
      <c r="AD17" s="316"/>
      <c r="AE17" s="316"/>
      <c r="AF17" s="316"/>
      <c r="AG17" s="316"/>
      <c r="AH17" s="316"/>
      <c r="AI17" s="316"/>
      <c r="AJ17" s="334"/>
      <c r="AK17" s="334"/>
      <c r="AL17" s="334"/>
      <c r="AM17" s="334"/>
      <c r="AN17" s="315"/>
      <c r="AO17" s="315"/>
      <c r="AP17" s="315"/>
      <c r="AQ17" s="315"/>
      <c r="AR17" s="315"/>
      <c r="AS17" s="315"/>
      <c r="AT17" s="315"/>
      <c r="AU17" s="315"/>
      <c r="AV17" s="315"/>
      <c r="AW17" s="315"/>
      <c r="AX17" s="315"/>
      <c r="AY17" s="315"/>
      <c r="AZ17" s="315"/>
      <c r="BA17" s="315"/>
      <c r="BB17" s="315"/>
      <c r="BC17" s="315"/>
      <c r="BD17" s="315"/>
      <c r="BE17" s="315"/>
      <c r="BF17" s="315"/>
      <c r="BG17" s="315"/>
      <c r="BH17" s="315"/>
      <c r="BI17" s="315"/>
      <c r="BJ17" s="315"/>
      <c r="BK17" s="315"/>
      <c r="BL17" s="315"/>
      <c r="BM17" s="316"/>
      <c r="BN17" s="316"/>
      <c r="BO17" s="325"/>
      <c r="BP17" s="325"/>
      <c r="BQ17" s="325"/>
      <c r="BR17" s="325"/>
      <c r="BS17" s="315"/>
      <c r="BT17" s="315"/>
      <c r="BU17" s="315"/>
      <c r="BV17" s="315"/>
      <c r="BW17" s="315"/>
      <c r="BX17" s="315"/>
      <c r="BY17" s="315"/>
      <c r="BZ17" s="315"/>
      <c r="CA17" s="315"/>
      <c r="CB17" s="315"/>
      <c r="CC17" s="315"/>
      <c r="CD17" s="315"/>
      <c r="CE17" s="315"/>
      <c r="CF17" s="315"/>
      <c r="CG17" s="315"/>
      <c r="CH17" s="315"/>
      <c r="CI17" s="315"/>
      <c r="CJ17" s="315"/>
      <c r="CK17" s="315"/>
      <c r="CL17" s="315"/>
      <c r="CM17" s="315"/>
      <c r="CN17" s="315"/>
      <c r="CO17" s="315"/>
      <c r="CP17" s="315"/>
      <c r="CQ17" s="315"/>
      <c r="CR17" s="315"/>
      <c r="CS17" s="316"/>
      <c r="CT17" s="316"/>
      <c r="CU17" s="291"/>
      <c r="CV17" s="291"/>
      <c r="CW17" s="291"/>
      <c r="CX17" s="291"/>
      <c r="CY17" s="315"/>
      <c r="CZ17" s="315"/>
      <c r="DA17" s="315"/>
      <c r="DB17" s="315"/>
      <c r="DC17" s="315"/>
      <c r="DD17" s="315"/>
      <c r="DE17" s="315"/>
      <c r="DF17" s="315"/>
      <c r="DG17" s="315"/>
      <c r="DH17" s="315"/>
      <c r="DI17" s="315"/>
      <c r="DJ17" s="315"/>
      <c r="DK17" s="315"/>
      <c r="DL17" s="315"/>
      <c r="DM17" s="315"/>
      <c r="DN17" s="315"/>
      <c r="DO17" s="315"/>
      <c r="DP17" s="315"/>
      <c r="DQ17" s="315"/>
      <c r="DR17" s="315"/>
      <c r="DS17" s="315"/>
      <c r="DT17" s="315"/>
      <c r="DU17" s="315"/>
      <c r="DV17" s="315"/>
      <c r="DW17" s="315"/>
      <c r="DX17" s="323"/>
      <c r="DY17" s="323"/>
      <c r="DZ17" s="324"/>
      <c r="EA17" s="324"/>
      <c r="EB17" s="324"/>
      <c r="EC17" s="324"/>
      <c r="ED17" s="315"/>
      <c r="EE17" s="315"/>
      <c r="EF17" s="315"/>
      <c r="EG17" s="315"/>
      <c r="EH17" s="315"/>
      <c r="EI17" s="315"/>
      <c r="EJ17" s="315"/>
      <c r="EK17" s="315"/>
      <c r="EL17" s="315"/>
      <c r="EM17" s="315"/>
      <c r="EN17" s="315"/>
      <c r="EO17" s="315"/>
      <c r="EP17" s="315"/>
      <c r="EQ17" s="315"/>
      <c r="ER17" s="315"/>
      <c r="ES17" s="315"/>
      <c r="ET17" s="315"/>
      <c r="EU17" s="315"/>
      <c r="EV17" s="315"/>
      <c r="EW17" s="315"/>
      <c r="EX17" s="315"/>
      <c r="EY17" s="315"/>
      <c r="EZ17" s="315"/>
      <c r="FA17" s="315"/>
      <c r="FB17" s="318"/>
      <c r="FC17" s="336"/>
      <c r="FD17" s="318"/>
      <c r="FE17" s="336"/>
      <c r="FF17" s="326"/>
      <c r="FG17" s="326"/>
      <c r="FH17" s="326"/>
      <c r="FI17" s="326"/>
      <c r="FJ17" s="318"/>
      <c r="FK17" s="318"/>
      <c r="FL17" s="318"/>
      <c r="FM17" s="318"/>
      <c r="FN17" s="318"/>
      <c r="FO17" s="318"/>
      <c r="FP17" s="318"/>
      <c r="FQ17" s="318"/>
      <c r="FR17" s="318"/>
      <c r="FS17" s="318"/>
      <c r="FT17" s="318"/>
      <c r="FU17" s="318"/>
      <c r="FV17" s="318"/>
      <c r="FW17" s="318"/>
      <c r="FX17" s="318"/>
      <c r="FY17" s="318"/>
      <c r="FZ17" s="318"/>
      <c r="GA17" s="318"/>
      <c r="GB17" s="318"/>
      <c r="GC17" s="318"/>
      <c r="GD17" s="318"/>
      <c r="GE17" s="318"/>
      <c r="GF17" s="318"/>
      <c r="GG17" s="318"/>
      <c r="GH17" s="318"/>
      <c r="GI17" s="318"/>
      <c r="GJ17" s="315">
        <v>59</v>
      </c>
      <c r="GK17" s="315" t="s">
        <v>759</v>
      </c>
      <c r="GL17" s="315">
        <v>8</v>
      </c>
      <c r="GM17" s="315" t="s">
        <v>758</v>
      </c>
      <c r="GN17" s="291">
        <v>0</v>
      </c>
      <c r="GO17" s="291">
        <v>0.33</v>
      </c>
      <c r="GP17" s="291">
        <v>0.67</v>
      </c>
      <c r="GQ17" s="291">
        <v>0</v>
      </c>
      <c r="GR17" s="315" t="s">
        <v>173</v>
      </c>
      <c r="GS17" s="315" t="s">
        <v>173</v>
      </c>
      <c r="GT17" s="315" t="s">
        <v>173</v>
      </c>
      <c r="GU17" s="315" t="s">
        <v>173</v>
      </c>
      <c r="GV17" s="315" t="s">
        <v>173</v>
      </c>
      <c r="GW17" s="315" t="s">
        <v>173</v>
      </c>
      <c r="GX17" s="315" t="s">
        <v>173</v>
      </c>
      <c r="GY17" s="315" t="s">
        <v>173</v>
      </c>
      <c r="GZ17" s="315" t="s">
        <v>173</v>
      </c>
      <c r="HA17" s="315" t="s">
        <v>173</v>
      </c>
      <c r="HB17" s="315" t="s">
        <v>173</v>
      </c>
      <c r="HC17" s="315" t="s">
        <v>173</v>
      </c>
      <c r="HD17" s="315" t="s">
        <v>173</v>
      </c>
      <c r="HE17" s="315" t="s">
        <v>173</v>
      </c>
      <c r="HF17" s="315" t="s">
        <v>173</v>
      </c>
      <c r="HG17" s="315" t="s">
        <v>173</v>
      </c>
      <c r="HH17" s="315" t="s">
        <v>173</v>
      </c>
      <c r="HI17" s="315" t="s">
        <v>173</v>
      </c>
      <c r="HJ17" s="315" t="s">
        <v>173</v>
      </c>
      <c r="HK17" s="315" t="s">
        <v>173</v>
      </c>
      <c r="HL17" s="315" t="s">
        <v>173</v>
      </c>
      <c r="HM17" s="315" t="s">
        <v>173</v>
      </c>
      <c r="HN17" s="315" t="s">
        <v>173</v>
      </c>
      <c r="HO17" s="315" t="s">
        <v>173</v>
      </c>
      <c r="HP17" s="315" t="s">
        <v>173</v>
      </c>
      <c r="HQ17" s="315" t="s">
        <v>173</v>
      </c>
      <c r="IZ17" s="480">
        <v>60</v>
      </c>
      <c r="JA17" s="480" t="s">
        <v>759</v>
      </c>
      <c r="JB17" s="480">
        <v>8</v>
      </c>
      <c r="JC17" s="480" t="s">
        <v>758</v>
      </c>
      <c r="JD17" s="487">
        <v>0</v>
      </c>
      <c r="JE17" s="487">
        <v>0.19</v>
      </c>
      <c r="JF17" s="487">
        <v>0.78</v>
      </c>
      <c r="JG17" s="487">
        <v>0.03</v>
      </c>
      <c r="JH17" s="521" t="s">
        <v>173</v>
      </c>
      <c r="JI17" s="521" t="s">
        <v>173</v>
      </c>
      <c r="JJ17" s="521" t="s">
        <v>173</v>
      </c>
      <c r="JK17" s="521" t="s">
        <v>173</v>
      </c>
      <c r="JL17" s="521" t="s">
        <v>173</v>
      </c>
      <c r="JM17" s="521" t="s">
        <v>173</v>
      </c>
      <c r="JN17" s="521" t="s">
        <v>173</v>
      </c>
      <c r="JO17" s="521" t="s">
        <v>173</v>
      </c>
      <c r="JP17" s="521" t="s">
        <v>173</v>
      </c>
      <c r="JQ17" s="521" t="s">
        <v>173</v>
      </c>
      <c r="JR17" s="521" t="s">
        <v>173</v>
      </c>
      <c r="JS17" s="521" t="s">
        <v>173</v>
      </c>
      <c r="JT17" s="521" t="s">
        <v>173</v>
      </c>
      <c r="JU17" s="521" t="s">
        <v>173</v>
      </c>
      <c r="JV17" s="521" t="s">
        <v>173</v>
      </c>
      <c r="JW17" s="521" t="s">
        <v>173</v>
      </c>
      <c r="JX17" s="521" t="s">
        <v>173</v>
      </c>
      <c r="JY17" s="521" t="s">
        <v>173</v>
      </c>
      <c r="JZ17" s="521" t="s">
        <v>173</v>
      </c>
      <c r="KA17" s="521" t="s">
        <v>173</v>
      </c>
      <c r="KB17" s="521" t="s">
        <v>173</v>
      </c>
      <c r="KC17" s="521" t="s">
        <v>173</v>
      </c>
      <c r="KD17" s="521" t="s">
        <v>173</v>
      </c>
      <c r="KE17" s="521" t="s">
        <v>173</v>
      </c>
      <c r="KF17" s="521" t="s">
        <v>173</v>
      </c>
      <c r="KG17" s="521" t="s">
        <v>173</v>
      </c>
    </row>
    <row r="18" spans="1:327" ht="24.95" customHeight="1" x14ac:dyDescent="0.2">
      <c r="A18" s="197" t="s">
        <v>140</v>
      </c>
      <c r="B18" s="6"/>
      <c r="C18" s="6"/>
      <c r="D18" s="129">
        <f>AVERAGEIF($C$36:$C$173,"=1",D$36:D$173)</f>
        <v>53.176470588235297</v>
      </c>
      <c r="E18" s="129">
        <f>AVERAGEIF($C$36:$C$173,"=1",E$36:E$173)</f>
        <v>6.7647058823529411</v>
      </c>
      <c r="F18" s="39">
        <f>AVERAGEIF($C$36:$C$173,"=1",F$36:F$173)</f>
        <v>5.1764705882352963E-2</v>
      </c>
      <c r="G18" s="39">
        <f t="shared" ref="G18:AG18" si="22">AVERAGEIF($C$36:$C$173,"=1",G$36:G$173)</f>
        <v>0.59176470588235297</v>
      </c>
      <c r="H18" s="39">
        <f t="shared" si="22"/>
        <v>0.35235294117647054</v>
      </c>
      <c r="I18" s="39">
        <f t="shared" si="22"/>
        <v>3.529411764705882E-3</v>
      </c>
      <c r="J18" s="39">
        <f t="shared" si="22"/>
        <v>0.41941176470588237</v>
      </c>
      <c r="K18" s="39">
        <f t="shared" si="22"/>
        <v>0.3758823529411765</v>
      </c>
      <c r="L18" s="39">
        <f t="shared" si="22"/>
        <v>0.74470588235294144</v>
      </c>
      <c r="M18" s="39">
        <f t="shared" si="22"/>
        <v>0.23529411764705882</v>
      </c>
      <c r="N18" s="39">
        <f t="shared" si="22"/>
        <v>0.29117647058823526</v>
      </c>
      <c r="O18" s="39">
        <f t="shared" si="22"/>
        <v>0.67647058823529416</v>
      </c>
      <c r="P18" s="39">
        <f t="shared" si="22"/>
        <v>0.35999999999999993</v>
      </c>
      <c r="Q18" s="39">
        <f t="shared" si="22"/>
        <v>0.41764705882352948</v>
      </c>
      <c r="R18" s="39">
        <f t="shared" si="22"/>
        <v>0.54</v>
      </c>
      <c r="S18" s="39">
        <f t="shared" si="22"/>
        <v>0.64058823529411757</v>
      </c>
      <c r="T18" s="39">
        <f t="shared" si="22"/>
        <v>0.45529411764705885</v>
      </c>
      <c r="U18" s="39">
        <f t="shared" si="22"/>
        <v>0.63058823529411767</v>
      </c>
      <c r="V18" s="39">
        <f t="shared" si="22"/>
        <v>7.1176470588235313E-2</v>
      </c>
      <c r="W18" s="39">
        <f t="shared" si="22"/>
        <v>0.14823529411764705</v>
      </c>
      <c r="X18" s="39">
        <f t="shared" si="22"/>
        <v>0.49294117647058816</v>
      </c>
      <c r="Y18" s="39">
        <f t="shared" si="22"/>
        <v>0.51117647058823523</v>
      </c>
      <c r="Z18" s="39">
        <f t="shared" si="22"/>
        <v>0.7857142857142857</v>
      </c>
      <c r="AA18" s="39">
        <f t="shared" si="22"/>
        <v>0.11352941176470589</v>
      </c>
      <c r="AB18" s="39">
        <f t="shared" si="22"/>
        <v>0.45882352941176463</v>
      </c>
      <c r="AC18" s="39">
        <f t="shared" si="22"/>
        <v>0.23705882352941177</v>
      </c>
      <c r="AD18" s="39">
        <f t="shared" si="22"/>
        <v>0.49</v>
      </c>
      <c r="AE18" s="39">
        <f t="shared" si="22"/>
        <v>0.4264705882352941</v>
      </c>
      <c r="AF18" s="39">
        <f t="shared" si="22"/>
        <v>0.52647058823529402</v>
      </c>
      <c r="AG18" s="39">
        <f t="shared" si="22"/>
        <v>0.53705882352941181</v>
      </c>
      <c r="AH18" s="129">
        <f>AVERAGEIF($C$36:$C$173,"=1",AH$36:AH$173)</f>
        <v>52.625</v>
      </c>
      <c r="AI18" s="129">
        <f>AVERAGEIF($C$36:$C$173,"=1",AI$36:AI$173)</f>
        <v>7.375</v>
      </c>
      <c r="AJ18" s="39">
        <f>AVERAGEIF($C$36:$C$173,"=1",AJ$36:AJ$173)</f>
        <v>6.5000000000000016E-2</v>
      </c>
      <c r="AK18" s="39">
        <f t="shared" ref="AK18:BL18" si="23">AVERAGEIF($C$36:$C$173,"=1",AK$36:AK$173)</f>
        <v>0.55312500000000009</v>
      </c>
      <c r="AL18" s="39">
        <f t="shared" si="23"/>
        <v>0.375</v>
      </c>
      <c r="AM18" s="39">
        <f t="shared" si="23"/>
        <v>6.875E-3</v>
      </c>
      <c r="AN18" s="39">
        <f t="shared" si="23"/>
        <v>0.23562500000000003</v>
      </c>
      <c r="AO18" s="39">
        <f t="shared" si="23"/>
        <v>0.43500000000000005</v>
      </c>
      <c r="AP18" s="39">
        <f t="shared" si="23"/>
        <v>0.5824999999999998</v>
      </c>
      <c r="AQ18" s="39">
        <f t="shared" si="23"/>
        <v>0.39687499999999998</v>
      </c>
      <c r="AR18" s="39">
        <f t="shared" si="23"/>
        <v>0.59062500000000007</v>
      </c>
      <c r="AS18" s="39">
        <f t="shared" si="23"/>
        <v>0.52749999999999997</v>
      </c>
      <c r="AT18" s="39">
        <f t="shared" si="23"/>
        <v>0.47874999999999995</v>
      </c>
      <c r="AU18" s="39">
        <f t="shared" si="23"/>
        <v>0.49250000000000005</v>
      </c>
      <c r="AV18" s="39">
        <f t="shared" si="23"/>
        <v>0.58875</v>
      </c>
      <c r="AW18" s="39">
        <f t="shared" si="23"/>
        <v>0.450625</v>
      </c>
      <c r="AX18" s="39">
        <f t="shared" si="23"/>
        <v>0.56937500000000008</v>
      </c>
      <c r="AY18" s="39">
        <f t="shared" si="23"/>
        <v>0.30312500000000003</v>
      </c>
      <c r="AZ18" s="39">
        <f t="shared" si="23"/>
        <v>0.26187499999999997</v>
      </c>
      <c r="BA18" s="39">
        <f t="shared" si="23"/>
        <v>0.47125</v>
      </c>
      <c r="BB18" s="39">
        <f t="shared" si="23"/>
        <v>0.67125000000000001</v>
      </c>
      <c r="BC18" s="39">
        <f t="shared" si="23"/>
        <v>0.645625</v>
      </c>
      <c r="BD18" s="39">
        <f t="shared" si="23"/>
        <v>0.38812499999999989</v>
      </c>
      <c r="BE18" s="39">
        <f t="shared" si="23"/>
        <v>0.50250000000000006</v>
      </c>
      <c r="BF18" s="39">
        <f t="shared" si="23"/>
        <v>0.59187499999999993</v>
      </c>
      <c r="BG18" s="39">
        <f t="shared" si="23"/>
        <v>0.50562499999999999</v>
      </c>
      <c r="BH18" s="39">
        <f t="shared" si="23"/>
        <v>0.41499999999999998</v>
      </c>
      <c r="BI18" s="39">
        <f t="shared" si="23"/>
        <v>0.37812499999999999</v>
      </c>
      <c r="BJ18" s="39">
        <f t="shared" si="23"/>
        <v>0.33124999999999993</v>
      </c>
      <c r="BK18" s="39">
        <f t="shared" si="23"/>
        <v>0.44562499999999999</v>
      </c>
      <c r="BL18" s="39">
        <f t="shared" si="23"/>
        <v>0.44500000000000001</v>
      </c>
      <c r="BM18" s="129">
        <f>AVERAGEIF($C$36:$C$173,"=1",BM$36:BM$173)</f>
        <v>50.764705882352942</v>
      </c>
      <c r="BN18" s="129">
        <f>AVERAGEIF($C$36:$C$173,"=1",BN$36:BN$173)</f>
        <v>7.6470588235294121</v>
      </c>
      <c r="BO18" s="39">
        <f>AVERAGEIF($C$36:$C$173,"=1",BO$36:BO$173)</f>
        <v>9.8235294117647087E-2</v>
      </c>
      <c r="BP18" s="39">
        <f t="shared" ref="BP18:CR18" si="24">AVERAGEIF($C$36:$C$173,"=1",BP$36:BP$173)</f>
        <v>0.61823529411764711</v>
      </c>
      <c r="BQ18" s="39">
        <f t="shared" si="24"/>
        <v>0.27705882352941175</v>
      </c>
      <c r="BR18" s="39">
        <f t="shared" si="24"/>
        <v>8.2352941176470577E-3</v>
      </c>
      <c r="BS18" s="39">
        <f t="shared" si="24"/>
        <v>0.34352941176470592</v>
      </c>
      <c r="BT18" s="39">
        <f t="shared" si="24"/>
        <v>0.51882352941176479</v>
      </c>
      <c r="BU18" s="39">
        <f t="shared" si="24"/>
        <v>0.60588235294117643</v>
      </c>
      <c r="BV18" s="39">
        <f t="shared" si="24"/>
        <v>0.30647058823529411</v>
      </c>
      <c r="BW18" s="39">
        <f t="shared" si="24"/>
        <v>0.62470588235294122</v>
      </c>
      <c r="BX18" s="39">
        <f t="shared" si="24"/>
        <v>0.36058823529411754</v>
      </c>
      <c r="BY18" s="39">
        <f t="shared" si="24"/>
        <v>0.4611764705882353</v>
      </c>
      <c r="BZ18" s="39">
        <f t="shared" si="24"/>
        <v>0.5252941176470588</v>
      </c>
      <c r="CA18" s="39">
        <f t="shared" si="24"/>
        <v>0.42882352941176466</v>
      </c>
      <c r="CB18" s="39">
        <f t="shared" si="24"/>
        <v>0.3582352941176471</v>
      </c>
      <c r="CC18" s="39">
        <f t="shared" si="24"/>
        <v>0.15470588235294117</v>
      </c>
      <c r="CD18" s="39">
        <f t="shared" si="24"/>
        <v>0.39764705882352941</v>
      </c>
      <c r="CE18" s="39">
        <f t="shared" si="24"/>
        <v>0.34882352941176475</v>
      </c>
      <c r="CF18" s="39">
        <f t="shared" si="24"/>
        <v>0.6147058823529411</v>
      </c>
      <c r="CG18" s="39">
        <f t="shared" si="24"/>
        <v>0.60705882352941176</v>
      </c>
      <c r="CH18" s="39">
        <f t="shared" si="24"/>
        <v>0.43823529411764711</v>
      </c>
      <c r="CI18" s="39">
        <f t="shared" si="24"/>
        <v>0.56882352941176473</v>
      </c>
      <c r="CJ18" s="39">
        <f t="shared" si="24"/>
        <v>0.35823529411764704</v>
      </c>
      <c r="CK18" s="39">
        <f t="shared" si="24"/>
        <v>0.68352941176470572</v>
      </c>
      <c r="CL18" s="39">
        <f t="shared" si="24"/>
        <v>0.33058823529411768</v>
      </c>
      <c r="CM18" s="39">
        <f t="shared" si="24"/>
        <v>0.4611764705882353</v>
      </c>
      <c r="CN18" s="39">
        <f t="shared" si="24"/>
        <v>0.4864705882352941</v>
      </c>
      <c r="CO18" s="39">
        <f t="shared" si="24"/>
        <v>0.4341176470588235</v>
      </c>
      <c r="CP18" s="39">
        <f t="shared" si="24"/>
        <v>0.36117647058823527</v>
      </c>
      <c r="CQ18" s="39">
        <f t="shared" si="24"/>
        <v>0.54705882352941182</v>
      </c>
      <c r="CR18" s="39">
        <f t="shared" si="24"/>
        <v>0.53411764705882359</v>
      </c>
      <c r="CS18" s="129">
        <f>AVERAGEIF($C$36:$C$173,"=1",CS$36:CS$173)</f>
        <v>49.470588235294116</v>
      </c>
      <c r="CT18" s="129">
        <f>AVERAGEIF($C$36:$C$173,"=1",CT$36:CT$173)</f>
        <v>8</v>
      </c>
      <c r="CU18" s="39">
        <f>AVERAGEIF($C$36:$C$173,"=1",CU$36:CU$173)</f>
        <v>0.15117647058823527</v>
      </c>
      <c r="CV18" s="39">
        <f t="shared" ref="CV18:DW18" si="25">AVERAGEIF($C$36:$C$173,"=1",CV$36:CV$173)</f>
        <v>0.61882352941176466</v>
      </c>
      <c r="CW18" s="39">
        <f t="shared" si="25"/>
        <v>0.2205882352941177</v>
      </c>
      <c r="CX18" s="39">
        <f t="shared" si="25"/>
        <v>9.9999999999999985E-3</v>
      </c>
      <c r="CY18" s="39">
        <f t="shared" si="25"/>
        <v>0.51941176470588224</v>
      </c>
      <c r="CZ18" s="39">
        <f t="shared" si="25"/>
        <v>0.29941176470588238</v>
      </c>
      <c r="DA18" s="39">
        <f t="shared" si="25"/>
        <v>0.5594117647058825</v>
      </c>
      <c r="DB18" s="39">
        <f t="shared" si="25"/>
        <v>0.3664705882352941</v>
      </c>
      <c r="DC18" s="39">
        <f t="shared" si="25"/>
        <v>0.43882352941176467</v>
      </c>
      <c r="DD18" s="39">
        <f t="shared" si="25"/>
        <v>0.62999999999999989</v>
      </c>
      <c r="DE18" s="39">
        <f t="shared" si="25"/>
        <v>0.50705882352941167</v>
      </c>
      <c r="DF18" s="39">
        <f t="shared" si="25"/>
        <v>0.54588235294117649</v>
      </c>
      <c r="DG18" s="39">
        <f t="shared" si="25"/>
        <v>0.46823529411764714</v>
      </c>
      <c r="DH18" s="39">
        <f t="shared" si="25"/>
        <v>0.38235294117647056</v>
      </c>
      <c r="DI18" s="39">
        <f t="shared" si="25"/>
        <v>0.51941176470588246</v>
      </c>
      <c r="DJ18" s="39">
        <f t="shared" si="25"/>
        <v>0.53647058823529414</v>
      </c>
      <c r="DK18" s="39">
        <f t="shared" si="25"/>
        <v>0.4052941176470588</v>
      </c>
      <c r="DL18" s="39">
        <f t="shared" si="25"/>
        <v>0.35588235294117654</v>
      </c>
      <c r="DM18" s="39">
        <f t="shared" si="25"/>
        <v>0.51941176470588235</v>
      </c>
      <c r="DN18" s="39">
        <f t="shared" si="25"/>
        <v>0.52294117647058824</v>
      </c>
      <c r="DO18" s="39">
        <f t="shared" si="25"/>
        <v>0.45</v>
      </c>
      <c r="DP18" s="39">
        <f t="shared" si="25"/>
        <v>0.43705882352941178</v>
      </c>
      <c r="DQ18" s="39">
        <f t="shared" si="25"/>
        <v>0.5641176470588235</v>
      </c>
      <c r="DR18" s="39">
        <f t="shared" si="25"/>
        <v>0.19117647058823531</v>
      </c>
      <c r="DS18" s="39">
        <f t="shared" si="25"/>
        <v>0.37823529411764711</v>
      </c>
      <c r="DT18" s="39">
        <f t="shared" si="25"/>
        <v>0.57058823529411751</v>
      </c>
      <c r="DU18" s="39">
        <f t="shared" si="25"/>
        <v>0.51529411764705868</v>
      </c>
      <c r="DV18" s="39">
        <f t="shared" si="25"/>
        <v>0.59823529411764709</v>
      </c>
      <c r="DW18" s="39">
        <f t="shared" si="25"/>
        <v>0.33352941176470585</v>
      </c>
      <c r="DX18" s="129">
        <f>AVERAGEIF($C$36:$C$173,"=1",DX$36:DX$173)</f>
        <v>49.588235294117645</v>
      </c>
      <c r="DY18" s="129">
        <f>AVERAGEIF($C$36:$C$173,"=1",DY$36:DY$173)</f>
        <v>8.2941176470588243</v>
      </c>
      <c r="DZ18" s="39">
        <f>AVERAGEIF($C$36:$C$173,"=1",DZ$36:DZ$173)</f>
        <v>0.15411764705882353</v>
      </c>
      <c r="EA18" s="39">
        <f t="shared" ref="EA18:FA18" si="26">AVERAGEIF($C$36:$C$173,"=1",EA$36:EA$173)</f>
        <v>0.5776470588235294</v>
      </c>
      <c r="EB18" s="39">
        <f t="shared" si="26"/>
        <v>0.26352941176470585</v>
      </c>
      <c r="EC18" s="39">
        <f t="shared" si="26"/>
        <v>5.8823529411764705E-3</v>
      </c>
      <c r="ED18" s="39">
        <f t="shared" si="26"/>
        <v>0.48529411764705882</v>
      </c>
      <c r="EE18" s="39">
        <f t="shared" si="26"/>
        <v>0.46764705882352942</v>
      </c>
      <c r="EF18" s="39">
        <f t="shared" si="26"/>
        <v>0.46705882352941186</v>
      </c>
      <c r="EG18" s="39">
        <f t="shared" si="26"/>
        <v>0.37705882352941178</v>
      </c>
      <c r="EH18" s="39">
        <f t="shared" si="26"/>
        <v>0.44823529411764712</v>
      </c>
      <c r="EI18" s="39">
        <f t="shared" si="26"/>
        <v>0.48352941176470593</v>
      </c>
      <c r="EJ18" s="39">
        <f t="shared" si="26"/>
        <v>0.60470588235294109</v>
      </c>
      <c r="EK18" s="39">
        <f t="shared" si="26"/>
        <v>0.26823529411764702</v>
      </c>
      <c r="EL18" s="39">
        <f t="shared" si="26"/>
        <v>0.47352941176470592</v>
      </c>
      <c r="EM18" s="39">
        <f t="shared" si="26"/>
        <v>0.63058823529411756</v>
      </c>
      <c r="EN18" s="39">
        <f t="shared" si="26"/>
        <v>0.41176470588235298</v>
      </c>
      <c r="EO18" s="39">
        <f t="shared" si="26"/>
        <v>0.53823529411764692</v>
      </c>
      <c r="EP18" s="39">
        <f t="shared" si="26"/>
        <v>0.39058823529411762</v>
      </c>
      <c r="EQ18" s="39">
        <f t="shared" si="26"/>
        <v>0.30411764705882355</v>
      </c>
      <c r="ER18" s="39">
        <f t="shared" si="26"/>
        <v>0.58058823529411752</v>
      </c>
      <c r="ES18" s="39">
        <f t="shared" si="26"/>
        <v>0.48705882352941171</v>
      </c>
      <c r="ET18" s="39">
        <f t="shared" si="26"/>
        <v>0.33823529411764713</v>
      </c>
      <c r="EU18" s="39">
        <f t="shared" si="26"/>
        <v>0.62058823529411766</v>
      </c>
      <c r="EV18" s="39">
        <f t="shared" si="26"/>
        <v>0.43647058823529405</v>
      </c>
      <c r="EW18" s="39">
        <f t="shared" si="26"/>
        <v>0.32647058823529412</v>
      </c>
      <c r="EX18" s="39">
        <f t="shared" si="26"/>
        <v>0.63705882352941168</v>
      </c>
      <c r="EY18" s="39">
        <f t="shared" si="26"/>
        <v>0.60529411764705876</v>
      </c>
      <c r="EZ18" s="39">
        <f t="shared" si="26"/>
        <v>0.24764705882352941</v>
      </c>
      <c r="FA18" s="39">
        <f t="shared" si="26"/>
        <v>0.59764705882352942</v>
      </c>
      <c r="FB18" s="129">
        <f>AVERAGEIF($C$36:$C$173,"=1",FB$36:FB$173)</f>
        <v>49.705882352941174</v>
      </c>
      <c r="FD18" s="129">
        <f>AVERAGEIF($C$36:$C$173,"=1",FD$36:FD$173)</f>
        <v>7.7647058823529411</v>
      </c>
      <c r="FF18" s="39">
        <f>AVERAGEIF($C$36:$C$173,"=1",FF$36:FF$173)</f>
        <v>0.13058823529411764</v>
      </c>
      <c r="FG18" s="39">
        <f t="shared" ref="FG18:GI18" si="27">AVERAGEIF($C$36:$C$173,"=1",FG$36:FG$173)</f>
        <v>0.621764705882353</v>
      </c>
      <c r="FH18" s="39">
        <f t="shared" si="27"/>
        <v>0.24176470588235291</v>
      </c>
      <c r="FI18" s="39">
        <f t="shared" si="27"/>
        <v>7.6470588235294122E-3</v>
      </c>
      <c r="FJ18" s="39">
        <f t="shared" si="27"/>
        <v>0.45352941176470585</v>
      </c>
      <c r="FK18" s="39">
        <f t="shared" si="27"/>
        <v>0.6382352941176469</v>
      </c>
      <c r="FL18" s="39">
        <f t="shared" si="27"/>
        <v>0.48176470588235293</v>
      </c>
      <c r="FM18" s="39">
        <f t="shared" si="27"/>
        <v>0.41529411764705892</v>
      </c>
      <c r="FN18" s="39">
        <f t="shared" si="27"/>
        <v>0.25647058823529412</v>
      </c>
      <c r="FO18" s="39">
        <f t="shared" si="27"/>
        <v>0.31529411764705884</v>
      </c>
      <c r="FP18" s="39">
        <f t="shared" si="27"/>
        <v>0.3917647058823529</v>
      </c>
      <c r="FQ18" s="39">
        <f t="shared" si="27"/>
        <v>0.41941176470588237</v>
      </c>
      <c r="FR18" s="39">
        <f t="shared" si="27"/>
        <v>0.57882352941176485</v>
      </c>
      <c r="FS18" s="39">
        <f t="shared" si="27"/>
        <v>0.49705882352941172</v>
      </c>
      <c r="FT18" s="39">
        <f t="shared" si="27"/>
        <v>0.52705882352941169</v>
      </c>
      <c r="FU18" s="39">
        <f t="shared" si="27"/>
        <v>0.38529411764705879</v>
      </c>
      <c r="FV18" s="39">
        <f t="shared" si="27"/>
        <v>0.56588235294117639</v>
      </c>
      <c r="FW18" s="39">
        <f t="shared" si="27"/>
        <v>0.57941176470588229</v>
      </c>
      <c r="FX18" s="39">
        <f t="shared" si="27"/>
        <v>0.50058823529411767</v>
      </c>
      <c r="FY18" s="39">
        <f t="shared" si="27"/>
        <v>0.37764705882352939</v>
      </c>
      <c r="FZ18" s="39">
        <f t="shared" si="27"/>
        <v>0.41647058823529415</v>
      </c>
      <c r="GA18" s="39">
        <f t="shared" si="27"/>
        <v>0.47058823529411759</v>
      </c>
      <c r="GB18" s="39">
        <f t="shared" si="27"/>
        <v>0.54058823529411759</v>
      </c>
      <c r="GC18" s="39">
        <f t="shared" si="27"/>
        <v>0.44823529411764701</v>
      </c>
      <c r="GD18" s="39">
        <f t="shared" si="27"/>
        <v>0.6470588235294118</v>
      </c>
      <c r="GE18" s="39">
        <f t="shared" si="27"/>
        <v>0.52411764705882358</v>
      </c>
      <c r="GF18" s="39">
        <f t="shared" si="27"/>
        <v>0.46647058823529408</v>
      </c>
      <c r="GG18" s="39">
        <f t="shared" si="27"/>
        <v>0.47117647058823536</v>
      </c>
      <c r="GH18" s="39">
        <f t="shared" si="27"/>
        <v>0.58352941176470574</v>
      </c>
      <c r="GI18" s="39">
        <f t="shared" si="27"/>
        <v>0.26705882352941179</v>
      </c>
      <c r="GJ18" s="129">
        <f>AVERAGEIF($C$36:$C$173,"=1",GJ$36:GJ$173)</f>
        <v>50.388888888888886</v>
      </c>
      <c r="GL18" s="129">
        <f>AVERAGEIF($C$36:$C$173,"=1",GL$36:GL$173)</f>
        <v>8.6666666666666661</v>
      </c>
      <c r="GN18" s="342">
        <f>AVERAGEIF($C$36:$C$173,"=1",GN$36:GN$173)</f>
        <v>0.15166666666666667</v>
      </c>
      <c r="GO18" s="342">
        <f t="shared" ref="GO18:HQ18" si="28">AVERAGEIF($C$36:$C$173,"=1",GO$36:GO$173)</f>
        <v>0.55388888888888888</v>
      </c>
      <c r="GP18" s="342">
        <f t="shared" si="28"/>
        <v>0.28666666666666674</v>
      </c>
      <c r="GQ18" s="342">
        <f t="shared" si="28"/>
        <v>7.7777777777777767E-3</v>
      </c>
      <c r="GR18" s="342">
        <f t="shared" si="28"/>
        <v>0.47722222222222233</v>
      </c>
      <c r="GS18" s="342">
        <f t="shared" si="28"/>
        <v>0.54833333333333334</v>
      </c>
      <c r="GT18" s="342">
        <f t="shared" si="28"/>
        <v>0.62277777777777787</v>
      </c>
      <c r="GU18" s="342">
        <f t="shared" si="28"/>
        <v>0.22111111111111115</v>
      </c>
      <c r="GV18" s="342">
        <f t="shared" si="28"/>
        <v>0.55444444444444452</v>
      </c>
      <c r="GW18" s="342">
        <f t="shared" si="28"/>
        <v>0.5099999999999999</v>
      </c>
      <c r="GX18" s="342">
        <f t="shared" si="28"/>
        <v>0.4811111111111111</v>
      </c>
      <c r="GY18" s="315" t="s">
        <v>173</v>
      </c>
      <c r="GZ18" s="342">
        <f t="shared" si="28"/>
        <v>0.32444444444444442</v>
      </c>
      <c r="HA18" s="342">
        <f t="shared" si="28"/>
        <v>0.68777777777777782</v>
      </c>
      <c r="HB18" s="342">
        <f t="shared" si="28"/>
        <v>0.47555555555555556</v>
      </c>
      <c r="HC18" s="342">
        <f t="shared" si="28"/>
        <v>0.50888888888888884</v>
      </c>
      <c r="HD18" s="342">
        <f t="shared" si="28"/>
        <v>0.56777777777777783</v>
      </c>
      <c r="HE18" s="342">
        <f t="shared" si="28"/>
        <v>0.47944444444444451</v>
      </c>
      <c r="HF18" s="342">
        <f t="shared" si="28"/>
        <v>0.4794444444444444</v>
      </c>
      <c r="HG18" s="342">
        <f t="shared" si="28"/>
        <v>0.65777777777777779</v>
      </c>
      <c r="HH18" s="342">
        <f t="shared" si="28"/>
        <v>0.38611111111111113</v>
      </c>
      <c r="HI18" s="342">
        <f t="shared" si="28"/>
        <v>0.5361111111111112</v>
      </c>
      <c r="HJ18" s="342">
        <f t="shared" si="28"/>
        <v>0.59555555555555562</v>
      </c>
      <c r="HK18" s="342">
        <f t="shared" si="28"/>
        <v>0.52444444444444438</v>
      </c>
      <c r="HL18" s="342">
        <f t="shared" si="28"/>
        <v>0.39500000000000002</v>
      </c>
      <c r="HM18" s="342">
        <f t="shared" si="28"/>
        <v>0.49722222222222229</v>
      </c>
      <c r="HN18" s="342">
        <f t="shared" si="28"/>
        <v>0.51555555555555566</v>
      </c>
      <c r="HO18" s="342">
        <f t="shared" si="28"/>
        <v>0.43000000000000005</v>
      </c>
      <c r="HP18" s="315" t="s">
        <v>173</v>
      </c>
      <c r="HQ18" s="342">
        <f t="shared" si="28"/>
        <v>0.41666666666666669</v>
      </c>
      <c r="HR18" s="129">
        <f>AVERAGEIF($C$36:$C$173,"=1",HR$36:HR$173)</f>
        <v>51.411764705882355</v>
      </c>
      <c r="HT18" s="129">
        <f>AVERAGEIF($C$36:$C$173,"=1",HT$36:HT$173)</f>
        <v>8.1764705882352935</v>
      </c>
      <c r="HV18" s="342">
        <f>AVERAGEIF($C$36:$C$173,"=1",HV$36:HV$173)</f>
        <v>0.11352941176470591</v>
      </c>
      <c r="HW18" s="342">
        <f t="shared" ref="HW18:IY18" si="29">AVERAGEIF($C$36:$C$173,"=1",HW$36:HW$173)</f>
        <v>0.57529411764705873</v>
      </c>
      <c r="HX18" s="342">
        <f t="shared" si="29"/>
        <v>0.29647058823529404</v>
      </c>
      <c r="HY18" s="342">
        <f t="shared" si="29"/>
        <v>1.4117647058823528E-2</v>
      </c>
      <c r="HZ18" s="342">
        <f t="shared" si="29"/>
        <v>0.38529411764705879</v>
      </c>
      <c r="IA18" s="342">
        <f t="shared" si="29"/>
        <v>0.52176470588235302</v>
      </c>
      <c r="IB18" s="342">
        <f t="shared" si="29"/>
        <v>0.33882352941176475</v>
      </c>
      <c r="IC18" s="342">
        <f t="shared" si="29"/>
        <v>0.50176470588235289</v>
      </c>
      <c r="ID18" s="342">
        <f t="shared" si="29"/>
        <v>0.61176470588235299</v>
      </c>
      <c r="IE18" s="342">
        <f t="shared" si="29"/>
        <v>0.34058823529411764</v>
      </c>
      <c r="IF18" s="342">
        <f t="shared" si="29"/>
        <v>0.37764705882352934</v>
      </c>
      <c r="IG18" s="342">
        <f t="shared" si="29"/>
        <v>0.57647058823529418</v>
      </c>
      <c r="IH18" s="342">
        <f t="shared" si="29"/>
        <v>0.48882352941176466</v>
      </c>
      <c r="II18" s="342">
        <f t="shared" si="29"/>
        <v>0.2752941176470588</v>
      </c>
      <c r="IJ18" s="342">
        <f t="shared" si="29"/>
        <v>0.25647058823529412</v>
      </c>
      <c r="IK18" s="342">
        <f t="shared" si="29"/>
        <v>0.58882352941176475</v>
      </c>
      <c r="IL18" s="342">
        <f t="shared" si="29"/>
        <v>0.33705882352941174</v>
      </c>
      <c r="IM18" s="342">
        <f t="shared" si="29"/>
        <v>0.57823529411764718</v>
      </c>
      <c r="IN18" s="342">
        <f t="shared" si="29"/>
        <v>0.441764705882353</v>
      </c>
      <c r="IO18" s="342">
        <f t="shared" si="29"/>
        <v>0.52705882352941169</v>
      </c>
      <c r="IP18" s="342">
        <f t="shared" si="29"/>
        <v>0.41764705882352943</v>
      </c>
      <c r="IQ18" s="342">
        <f t="shared" si="29"/>
        <v>0.64235294117647057</v>
      </c>
      <c r="IR18" s="342">
        <f t="shared" si="29"/>
        <v>0.5894117647058823</v>
      </c>
      <c r="IS18" s="342">
        <f t="shared" si="29"/>
        <v>0.52176470588235291</v>
      </c>
      <c r="IT18" s="342">
        <f t="shared" si="29"/>
        <v>0.42176470588235299</v>
      </c>
      <c r="IU18" s="315" t="s">
        <v>173</v>
      </c>
      <c r="IV18" s="342">
        <f t="shared" si="29"/>
        <v>0.61294117647058821</v>
      </c>
      <c r="IW18" s="342">
        <f t="shared" si="29"/>
        <v>0.40411764705882353</v>
      </c>
      <c r="IX18" s="342">
        <f>AVERAGEIF($C$36:$C$173,"=1",IX$36:IX$173)</f>
        <v>0.50470588235294134</v>
      </c>
      <c r="IY18" s="342">
        <f t="shared" si="29"/>
        <v>0.51235294117647068</v>
      </c>
      <c r="IZ18" s="129">
        <f>AVERAGEIF($C$36:$C$173,"=1",IZ$36:IZ$173)</f>
        <v>51.222222222222221</v>
      </c>
      <c r="JA18" s="495"/>
      <c r="JB18" s="129">
        <f>AVERAGEIF($C$36:$C$173,"=1",JB$36:JB$173)</f>
        <v>8.5</v>
      </c>
      <c r="JC18" s="495"/>
      <c r="JD18" s="342">
        <f>AVERAGEIF($C$36:$C$173,"=1",JD$36:JD$173)</f>
        <v>0.10555555555555557</v>
      </c>
      <c r="JE18" s="342">
        <f>AVERAGEIF($C$36:$C$173,"=1",JE$36:JE$173)</f>
        <v>0.56555555555555548</v>
      </c>
      <c r="JF18" s="342">
        <f>AVERAGEIF($C$36:$C$173,"=1",JF$36:JF$173)</f>
        <v>0.3216666666666666</v>
      </c>
      <c r="JG18" s="342">
        <f>AVERAGEIF($C$36:$C$173,"=1",JG$36:JG$173)</f>
        <v>7.7777777777777784E-3</v>
      </c>
      <c r="JH18" s="342">
        <f t="shared" ref="JH18:KC18" si="30">AVERAGEIF($C$36:$C$173,"=1",JH$36:JH$173)</f>
        <v>0.49722222222222229</v>
      </c>
      <c r="JI18" s="342">
        <f t="shared" si="30"/>
        <v>0.43666666666666676</v>
      </c>
      <c r="JJ18" s="342">
        <f t="shared" si="30"/>
        <v>0.42777777777777781</v>
      </c>
      <c r="JK18" s="342">
        <f t="shared" si="30"/>
        <v>0.46611111111111114</v>
      </c>
      <c r="JL18" s="342">
        <f t="shared" si="30"/>
        <v>0.48999999999999994</v>
      </c>
      <c r="JM18" s="342">
        <f t="shared" si="30"/>
        <v>0.50277777777777777</v>
      </c>
      <c r="JN18" s="342">
        <f t="shared" si="30"/>
        <v>0.42333333333333334</v>
      </c>
      <c r="JO18" s="342">
        <f t="shared" si="30"/>
        <v>0.46722222222222221</v>
      </c>
      <c r="JP18" s="342">
        <f t="shared" si="30"/>
        <v>0.56055555555555558</v>
      </c>
      <c r="JQ18" s="342">
        <f t="shared" si="30"/>
        <v>0.27611111111111108</v>
      </c>
      <c r="JR18" s="342">
        <f t="shared" si="30"/>
        <v>0.59</v>
      </c>
      <c r="JS18" s="342">
        <f t="shared" si="30"/>
        <v>0.56388888888888899</v>
      </c>
      <c r="JT18" s="342">
        <f t="shared" si="30"/>
        <v>0.42388888888888893</v>
      </c>
      <c r="JU18" s="342">
        <f t="shared" si="30"/>
        <v>0.51222222222222225</v>
      </c>
      <c r="JV18" s="342">
        <f t="shared" si="30"/>
        <v>0.47833333333333328</v>
      </c>
      <c r="JW18" s="342">
        <f t="shared" si="30"/>
        <v>0.48333333333333328</v>
      </c>
      <c r="JX18" s="342">
        <f t="shared" si="30"/>
        <v>0.42944444444444435</v>
      </c>
      <c r="JY18" s="342">
        <f t="shared" si="30"/>
        <v>0.47777777777777763</v>
      </c>
      <c r="JZ18" s="342">
        <f t="shared" si="30"/>
        <v>0.44777777777777783</v>
      </c>
      <c r="KA18" s="342">
        <f t="shared" si="30"/>
        <v>0.59833333333333349</v>
      </c>
      <c r="KB18" s="342">
        <f t="shared" si="30"/>
        <v>0.43944444444444447</v>
      </c>
      <c r="KC18" s="342">
        <f t="shared" si="30"/>
        <v>0.62111111111111117</v>
      </c>
      <c r="KD18" s="342">
        <f>AVERAGEIF($C$36:$C$173,"=1",KD$36:KD$173)</f>
        <v>0.35222222222222216</v>
      </c>
      <c r="KE18" s="342">
        <f>AVERAGEIF($C$36:$C$173,"=1",KE$36:KE$173)</f>
        <v>0.49666666666666676</v>
      </c>
      <c r="KF18" s="342">
        <f>AVERAGEIF($C$36:$C$173,"=1",KF$36:KF$173)</f>
        <v>0.47722222222222221</v>
      </c>
      <c r="KG18" s="342">
        <f>AVERAGEIF($C$36:$C$173,"=1",KG$36:KG$173)</f>
        <v>0.53</v>
      </c>
      <c r="KH18" s="129">
        <f>AVERAGEIF($C$36:$C$173,"=1",KH$36:KH$173)</f>
        <v>51.833333333333336</v>
      </c>
      <c r="KI18" s="970"/>
      <c r="KJ18" s="129">
        <f>AVERAGEIF($C$36:$C$173,"=1",KJ$36:KJ$173)</f>
        <v>8.8333333333333339</v>
      </c>
      <c r="KK18" s="970"/>
      <c r="KL18" s="342">
        <f>AVERAGEIF($C$36:$C$173,"=1",KL$36:KL$173)</f>
        <v>0.11500000000000002</v>
      </c>
      <c r="KM18" s="342">
        <f t="shared" ref="KM18:LO18" si="31">AVERAGEIF($C$36:$C$173,"=1",KM$36:KM$173)</f>
        <v>0.53500000000000003</v>
      </c>
      <c r="KN18" s="342">
        <f t="shared" si="31"/>
        <v>0.32833333333333337</v>
      </c>
      <c r="KO18" s="342">
        <f t="shared" si="31"/>
        <v>2.1111111111111112E-2</v>
      </c>
      <c r="KP18" s="342">
        <f t="shared" si="31"/>
        <v>0.51</v>
      </c>
      <c r="KQ18" s="342">
        <f t="shared" si="31"/>
        <v>0.27500000000000002</v>
      </c>
      <c r="KR18" s="342">
        <f t="shared" si="31"/>
        <v>0.5822222222222222</v>
      </c>
      <c r="KS18" s="342">
        <f t="shared" si="31"/>
        <v>0.48000000000000004</v>
      </c>
      <c r="KT18" s="342">
        <f t="shared" si="31"/>
        <v>0.56500000000000006</v>
      </c>
      <c r="KU18" s="342">
        <f t="shared" si="31"/>
        <v>0.39388888888888896</v>
      </c>
      <c r="KV18" s="342">
        <f t="shared" si="31"/>
        <v>0.61166666666666669</v>
      </c>
      <c r="KW18" s="342">
        <f t="shared" si="31"/>
        <v>0.34499999999999997</v>
      </c>
      <c r="KX18" s="342">
        <f t="shared" si="31"/>
        <v>0.3527777777777778</v>
      </c>
      <c r="KY18" s="342">
        <f t="shared" si="31"/>
        <v>0.51222222222222236</v>
      </c>
      <c r="KZ18" s="342">
        <f t="shared" si="31"/>
        <v>0.375</v>
      </c>
      <c r="LA18" s="342">
        <f t="shared" si="31"/>
        <v>0.45944444444444454</v>
      </c>
      <c r="LB18" s="342">
        <f t="shared" si="31"/>
        <v>0.42111111111111099</v>
      </c>
      <c r="LC18" s="342">
        <f t="shared" si="31"/>
        <v>0.38611111111111113</v>
      </c>
      <c r="LD18" s="342">
        <f t="shared" si="31"/>
        <v>0.56944444444444442</v>
      </c>
      <c r="LE18" s="342">
        <f t="shared" si="31"/>
        <v>0.48444444444444446</v>
      </c>
      <c r="LF18" s="342">
        <f t="shared" si="31"/>
        <v>0.32666666666666661</v>
      </c>
      <c r="LG18" s="342">
        <f t="shared" si="31"/>
        <v>0.4588888888888889</v>
      </c>
      <c r="LH18" s="342">
        <f t="shared" si="31"/>
        <v>0.55500000000000005</v>
      </c>
      <c r="LI18" s="342">
        <f t="shared" si="31"/>
        <v>0.4794444444444444</v>
      </c>
      <c r="LJ18" s="342">
        <f t="shared" si="31"/>
        <v>0.41222222222222221</v>
      </c>
      <c r="LK18" s="342">
        <f t="shared" si="31"/>
        <v>0.54055555555555557</v>
      </c>
      <c r="LL18" s="342" t="s">
        <v>173</v>
      </c>
      <c r="LM18" s="342">
        <f t="shared" si="31"/>
        <v>0.59222222222222232</v>
      </c>
      <c r="LN18" s="342">
        <f>AVERAGEIF($C$36:$C$173,"=1",LN$36:LN$173)</f>
        <v>0.61444444444444446</v>
      </c>
      <c r="LO18" s="342">
        <f t="shared" si="31"/>
        <v>0.41499999999999992</v>
      </c>
    </row>
    <row r="19" spans="1:327" ht="24.95" customHeight="1" x14ac:dyDescent="0.2">
      <c r="A19" s="197" t="s">
        <v>141</v>
      </c>
      <c r="B19" s="6"/>
      <c r="C19" s="6"/>
      <c r="D19" s="129">
        <f>AVERAGEIF($C$36:$C$173,"=2",D$36:D$173)</f>
        <v>54.6</v>
      </c>
      <c r="E19" s="129">
        <f>AVERAGEIF($C$36:$C$173,"=2",E$36:E$173)</f>
        <v>6.95</v>
      </c>
      <c r="F19" s="39">
        <f>AVERAGEIF($C$36:$C$173,"=2",F$36:F$173)</f>
        <v>4.4999999999999998E-2</v>
      </c>
      <c r="G19" s="39">
        <f t="shared" ref="G19:AG19" si="32">AVERAGEIF($C$36:$C$173,"=2",G$36:G$173)</f>
        <v>0.50250000000000006</v>
      </c>
      <c r="H19" s="39">
        <f t="shared" si="32"/>
        <v>0.44749999999999995</v>
      </c>
      <c r="I19" s="39">
        <f t="shared" si="32"/>
        <v>7.000000000000001E-3</v>
      </c>
      <c r="J19" s="39">
        <f t="shared" si="32"/>
        <v>0.36849999999999999</v>
      </c>
      <c r="K19" s="39">
        <f t="shared" si="32"/>
        <v>0.29850000000000004</v>
      </c>
      <c r="L19" s="39">
        <f t="shared" si="32"/>
        <v>0.68600000000000017</v>
      </c>
      <c r="M19" s="39">
        <f t="shared" si="32"/>
        <v>0.20300000000000001</v>
      </c>
      <c r="N19" s="39">
        <f t="shared" si="32"/>
        <v>0.29899999999999999</v>
      </c>
      <c r="O19" s="39">
        <f t="shared" si="32"/>
        <v>0.66299999999999992</v>
      </c>
      <c r="P19" s="39">
        <f t="shared" si="32"/>
        <v>0.3135</v>
      </c>
      <c r="Q19" s="39">
        <f t="shared" si="32"/>
        <v>0.3705</v>
      </c>
      <c r="R19" s="39">
        <f t="shared" si="32"/>
        <v>0.5</v>
      </c>
      <c r="S19" s="39">
        <f t="shared" si="32"/>
        <v>0.5555000000000001</v>
      </c>
      <c r="T19" s="39">
        <f t="shared" si="32"/>
        <v>0.47550000000000009</v>
      </c>
      <c r="U19" s="39">
        <f t="shared" si="32"/>
        <v>0.61650000000000005</v>
      </c>
      <c r="V19" s="39">
        <f t="shared" si="32"/>
        <v>7.9000000000000029E-2</v>
      </c>
      <c r="W19" s="39">
        <f t="shared" si="32"/>
        <v>0.15950000000000003</v>
      </c>
      <c r="X19" s="39">
        <f t="shared" si="32"/>
        <v>0.49099999999999994</v>
      </c>
      <c r="Y19" s="39">
        <f t="shared" si="32"/>
        <v>0.48600000000000004</v>
      </c>
      <c r="Z19" s="39">
        <f t="shared" si="32"/>
        <v>0.7142857142857143</v>
      </c>
      <c r="AA19" s="39">
        <f t="shared" si="32"/>
        <v>9.0999999999999998E-2</v>
      </c>
      <c r="AB19" s="39">
        <f t="shared" si="32"/>
        <v>0.42499999999999999</v>
      </c>
      <c r="AC19" s="39">
        <f t="shared" si="32"/>
        <v>0.23449999999999999</v>
      </c>
      <c r="AD19" s="39">
        <f t="shared" si="32"/>
        <v>0.41400000000000003</v>
      </c>
      <c r="AE19" s="39">
        <f t="shared" si="32"/>
        <v>0.40150000000000008</v>
      </c>
      <c r="AF19" s="39">
        <f t="shared" si="32"/>
        <v>0.47549999999999998</v>
      </c>
      <c r="AG19" s="39">
        <f t="shared" si="32"/>
        <v>0.48550000000000004</v>
      </c>
      <c r="AH19" s="129">
        <f>AVERAGEIF($C$36:$C$173,"=2",AH$36:AH$173)</f>
        <v>52.89473684210526</v>
      </c>
      <c r="AI19" s="129">
        <f>AVERAGEIF($C$36:$C$173,"=2",AI$36:AI$173)</f>
        <v>7.2631578947368425</v>
      </c>
      <c r="AJ19" s="39">
        <f>AVERAGEIF($C$36:$C$173,"=2",AJ$36:AJ$173)</f>
        <v>8.473684210526318E-2</v>
      </c>
      <c r="AK19" s="39">
        <f t="shared" ref="AK19:BL19" si="33">AVERAGEIF($C$36:$C$173,"=2",AK$36:AK$173)</f>
        <v>0.4905263157894737</v>
      </c>
      <c r="AL19" s="39">
        <f t="shared" si="33"/>
        <v>0.41315789473684211</v>
      </c>
      <c r="AM19" s="39">
        <f t="shared" si="33"/>
        <v>1.1578947368421053E-2</v>
      </c>
      <c r="AN19" s="39">
        <f t="shared" si="33"/>
        <v>0.301578947368421</v>
      </c>
      <c r="AO19" s="39">
        <f t="shared" si="33"/>
        <v>0.42052631578947369</v>
      </c>
      <c r="AP19" s="39">
        <f t="shared" si="33"/>
        <v>0.55263157894736847</v>
      </c>
      <c r="AQ19" s="39">
        <f t="shared" si="33"/>
        <v>0.35157894736842099</v>
      </c>
      <c r="AR19" s="39">
        <f t="shared" si="33"/>
        <v>0.5363157894736843</v>
      </c>
      <c r="AS19" s="39">
        <f t="shared" si="33"/>
        <v>0.49894736842105275</v>
      </c>
      <c r="AT19" s="39">
        <f t="shared" si="33"/>
        <v>0.4826315789473683</v>
      </c>
      <c r="AU19" s="39">
        <f t="shared" si="33"/>
        <v>0.52789473684210519</v>
      </c>
      <c r="AV19" s="39">
        <f t="shared" si="33"/>
        <v>0.58736842105263154</v>
      </c>
      <c r="AW19" s="39">
        <f t="shared" si="33"/>
        <v>0.4705555555555555</v>
      </c>
      <c r="AX19" s="39">
        <f t="shared" si="33"/>
        <v>0.52999999999999992</v>
      </c>
      <c r="AY19" s="39">
        <f t="shared" si="33"/>
        <v>0.29789473684210532</v>
      </c>
      <c r="AZ19" s="39">
        <f t="shared" si="33"/>
        <v>0.24315789473684207</v>
      </c>
      <c r="BA19" s="39">
        <f t="shared" si="33"/>
        <v>0.48736842105263156</v>
      </c>
      <c r="BB19" s="39">
        <f t="shared" si="33"/>
        <v>0.62105263157894719</v>
      </c>
      <c r="BC19" s="39">
        <f t="shared" si="33"/>
        <v>0.63473684210526315</v>
      </c>
      <c r="BD19" s="39">
        <f t="shared" si="33"/>
        <v>0.41578947368421054</v>
      </c>
      <c r="BE19" s="39">
        <f t="shared" si="33"/>
        <v>0.54894736842105263</v>
      </c>
      <c r="BF19" s="39">
        <f t="shared" si="33"/>
        <v>0.62999999999999989</v>
      </c>
      <c r="BG19" s="39">
        <f t="shared" si="33"/>
        <v>0.45789473684210524</v>
      </c>
      <c r="BH19" s="39">
        <f t="shared" si="33"/>
        <v>0.42842105263157887</v>
      </c>
      <c r="BI19" s="39">
        <f t="shared" si="33"/>
        <v>0.40526315789473683</v>
      </c>
      <c r="BJ19" s="39">
        <f t="shared" si="33"/>
        <v>0.34473684210526306</v>
      </c>
      <c r="BK19" s="39">
        <f t="shared" si="33"/>
        <v>0.43</v>
      </c>
      <c r="BL19" s="39">
        <f t="shared" si="33"/>
        <v>0.45052631578947383</v>
      </c>
      <c r="BM19" s="129">
        <f>AVERAGEIF($C$36:$C$173,"=2",BM$36:BM$173)</f>
        <v>51.684210526315788</v>
      </c>
      <c r="BN19" s="129">
        <f>AVERAGEIF($C$36:$C$173,"=2",BN$36:BN$173)</f>
        <v>8.1578947368421044</v>
      </c>
      <c r="BO19" s="39">
        <f>AVERAGEIF($C$36:$C$173,"=2",BO$36:BO$173)</f>
        <v>0.10473684210526317</v>
      </c>
      <c r="BP19" s="39">
        <f t="shared" ref="BP19:CR19" si="34">AVERAGEIF($C$36:$C$173,"=2",BP$36:BP$173)</f>
        <v>0.55947368421052635</v>
      </c>
      <c r="BQ19" s="39">
        <f t="shared" si="34"/>
        <v>0.3152631578947368</v>
      </c>
      <c r="BR19" s="39">
        <f t="shared" si="34"/>
        <v>1.9473684210526317E-2</v>
      </c>
      <c r="BS19" s="39">
        <f t="shared" si="34"/>
        <v>0.33368421052631581</v>
      </c>
      <c r="BT19" s="39">
        <f t="shared" si="34"/>
        <v>0.53263157894736823</v>
      </c>
      <c r="BU19" s="39">
        <f t="shared" si="34"/>
        <v>0.64684210526315788</v>
      </c>
      <c r="BV19" s="39">
        <f t="shared" si="34"/>
        <v>0.34052631578947362</v>
      </c>
      <c r="BW19" s="39">
        <f t="shared" si="34"/>
        <v>0.62421052631578944</v>
      </c>
      <c r="BX19" s="39">
        <f t="shared" si="34"/>
        <v>0.3657894736842105</v>
      </c>
      <c r="BY19" s="39">
        <f t="shared" si="34"/>
        <v>0.40894736842105261</v>
      </c>
      <c r="BZ19" s="39">
        <f t="shared" si="34"/>
        <v>0.52421052631578946</v>
      </c>
      <c r="CA19" s="39">
        <f t="shared" si="34"/>
        <v>0.42947368421052634</v>
      </c>
      <c r="CB19" s="39">
        <f t="shared" si="34"/>
        <v>0.3521052631578947</v>
      </c>
      <c r="CC19" s="39">
        <f t="shared" si="34"/>
        <v>0.17315789473684209</v>
      </c>
      <c r="CD19" s="39">
        <f t="shared" si="34"/>
        <v>0.40578947368421053</v>
      </c>
      <c r="CE19" s="39">
        <f t="shared" si="34"/>
        <v>0.32526315789473692</v>
      </c>
      <c r="CF19" s="39">
        <f t="shared" si="34"/>
        <v>0.56105263157894736</v>
      </c>
      <c r="CG19" s="39">
        <f t="shared" si="34"/>
        <v>0.584736842105263</v>
      </c>
      <c r="CH19" s="39">
        <f t="shared" si="34"/>
        <v>0.4431578947368422</v>
      </c>
      <c r="CI19" s="39">
        <f t="shared" si="34"/>
        <v>0.57157894736842108</v>
      </c>
      <c r="CJ19" s="39">
        <f t="shared" si="34"/>
        <v>0.37263157894736848</v>
      </c>
      <c r="CK19" s="39">
        <f t="shared" si="34"/>
        <v>0.66368421052631577</v>
      </c>
      <c r="CL19" s="39">
        <f t="shared" si="34"/>
        <v>0.29421052631578948</v>
      </c>
      <c r="CM19" s="39">
        <f t="shared" si="34"/>
        <v>0.4168421052631579</v>
      </c>
      <c r="CN19" s="39">
        <f t="shared" si="34"/>
        <v>0.44894736842105271</v>
      </c>
      <c r="CO19" s="39">
        <f t="shared" si="34"/>
        <v>0.40631578947368419</v>
      </c>
      <c r="CP19" s="39">
        <f t="shared" si="34"/>
        <v>0.32052631578947366</v>
      </c>
      <c r="CQ19" s="39">
        <f t="shared" si="34"/>
        <v>0.526842105263158</v>
      </c>
      <c r="CR19" s="39">
        <f t="shared" si="34"/>
        <v>0.52421052631578935</v>
      </c>
      <c r="CS19" s="129">
        <f>AVERAGEIF($C$36:$C$173,"=2",CS$36:CS$173)</f>
        <v>51.25</v>
      </c>
      <c r="CT19" s="129">
        <f>AVERAGEIF($C$36:$C$173,"=2",CT$36:CT$173)</f>
        <v>8.0500000000000007</v>
      </c>
      <c r="CU19" s="39">
        <f>AVERAGEIF($C$36:$C$173,"=2",CU$36:CU$173)</f>
        <v>0.13300000000000003</v>
      </c>
      <c r="CV19" s="39">
        <f t="shared" ref="CV19:DW19" si="35">AVERAGEIF($C$36:$C$173,"=2",CV$36:CV$173)</f>
        <v>0.55199999999999982</v>
      </c>
      <c r="CW19" s="39">
        <f t="shared" si="35"/>
        <v>0.30299999999999999</v>
      </c>
      <c r="CX19" s="39">
        <f t="shared" si="35"/>
        <v>0.01</v>
      </c>
      <c r="CY19" s="39">
        <f t="shared" si="35"/>
        <v>0.47150000000000009</v>
      </c>
      <c r="CZ19" s="39">
        <f t="shared" si="35"/>
        <v>0.27349999999999997</v>
      </c>
      <c r="DA19" s="39">
        <f t="shared" si="35"/>
        <v>0.53700000000000014</v>
      </c>
      <c r="DB19" s="39">
        <f t="shared" si="35"/>
        <v>0.31599999999999995</v>
      </c>
      <c r="DC19" s="39">
        <f t="shared" si="35"/>
        <v>0.42750000000000005</v>
      </c>
      <c r="DD19" s="39">
        <f t="shared" si="35"/>
        <v>0.60699999999999998</v>
      </c>
      <c r="DE19" s="39">
        <f t="shared" si="35"/>
        <v>0.43149999999999994</v>
      </c>
      <c r="DF19" s="39">
        <f t="shared" si="35"/>
        <v>0.53500000000000003</v>
      </c>
      <c r="DG19" s="39">
        <f t="shared" si="35"/>
        <v>0.40749999999999992</v>
      </c>
      <c r="DH19" s="39">
        <f t="shared" si="35"/>
        <v>0.34949999999999992</v>
      </c>
      <c r="DI19" s="39">
        <f t="shared" si="35"/>
        <v>0.53700000000000003</v>
      </c>
      <c r="DJ19" s="39">
        <f t="shared" si="35"/>
        <v>0.50900000000000001</v>
      </c>
      <c r="DK19" s="39">
        <f t="shared" si="35"/>
        <v>0.36400000000000005</v>
      </c>
      <c r="DL19" s="39">
        <f t="shared" si="35"/>
        <v>0.2485</v>
      </c>
      <c r="DM19" s="39">
        <f t="shared" si="35"/>
        <v>0.49399999999999994</v>
      </c>
      <c r="DN19" s="39">
        <f t="shared" si="35"/>
        <v>0.45850000000000002</v>
      </c>
      <c r="DO19" s="39">
        <f t="shared" si="35"/>
        <v>0.39199999999999996</v>
      </c>
      <c r="DP19" s="39">
        <f t="shared" si="35"/>
        <v>0.44849999999999995</v>
      </c>
      <c r="DQ19" s="39">
        <f t="shared" si="35"/>
        <v>0.52099999999999991</v>
      </c>
      <c r="DR19" s="39">
        <f t="shared" si="35"/>
        <v>0.16799999999999998</v>
      </c>
      <c r="DS19" s="39">
        <f t="shared" si="35"/>
        <v>0.373</v>
      </c>
      <c r="DT19" s="39">
        <f t="shared" si="35"/>
        <v>0.57199999999999995</v>
      </c>
      <c r="DU19" s="39">
        <f t="shared" si="35"/>
        <v>0.50650000000000006</v>
      </c>
      <c r="DV19" s="39">
        <f t="shared" si="35"/>
        <v>0.5515000000000001</v>
      </c>
      <c r="DW19" s="39">
        <f t="shared" si="35"/>
        <v>0.30299999999999994</v>
      </c>
      <c r="DX19" s="129">
        <f>AVERAGEIF($C$36:$C$173,"=2",DX$36:DX$173)</f>
        <v>49.75</v>
      </c>
      <c r="DY19" s="129">
        <f>AVERAGEIF($C$36:$C$173,"=2",DY$36:DY$173)</f>
        <v>7.208333333333333</v>
      </c>
      <c r="DZ19" s="39">
        <f>AVERAGEIF($C$36:$C$173,"=2",DZ$36:DZ$173)</f>
        <v>0.20625000000000007</v>
      </c>
      <c r="EA19" s="39">
        <f t="shared" ref="EA19:FA19" si="36">AVERAGEIF($C$36:$C$173,"=2",EA$36:EA$173)</f>
        <v>0.51833333333333331</v>
      </c>
      <c r="EB19" s="39">
        <f t="shared" si="36"/>
        <v>0.26083333333333336</v>
      </c>
      <c r="EC19" s="39">
        <f t="shared" si="36"/>
        <v>1.4166666666666668E-2</v>
      </c>
      <c r="ED19" s="39">
        <f t="shared" si="36"/>
        <v>0.49625000000000002</v>
      </c>
      <c r="EE19" s="39">
        <f t="shared" si="36"/>
        <v>0.50750000000000017</v>
      </c>
      <c r="EF19" s="39">
        <f t="shared" si="36"/>
        <v>0.46249999999999997</v>
      </c>
      <c r="EG19" s="39">
        <f t="shared" si="36"/>
        <v>0.26250000000000001</v>
      </c>
      <c r="EH19" s="39">
        <f t="shared" si="36"/>
        <v>0.42416666666666664</v>
      </c>
      <c r="EI19" s="39">
        <f t="shared" si="36"/>
        <v>0.41083333333333333</v>
      </c>
      <c r="EJ19" s="39">
        <f t="shared" si="36"/>
        <v>0.55875000000000008</v>
      </c>
      <c r="EK19" s="39">
        <f t="shared" si="36"/>
        <v>0.30916666666666665</v>
      </c>
      <c r="EL19" s="39">
        <f t="shared" si="36"/>
        <v>0.49208333333333337</v>
      </c>
      <c r="EM19" s="39">
        <f t="shared" si="36"/>
        <v>0.65956521739130425</v>
      </c>
      <c r="EN19" s="39">
        <f t="shared" si="36"/>
        <v>0.41541666666666671</v>
      </c>
      <c r="EO19" s="39">
        <f t="shared" si="36"/>
        <v>0.56916666666666649</v>
      </c>
      <c r="EP19" s="39">
        <f t="shared" si="36"/>
        <v>0.42083333333333334</v>
      </c>
      <c r="EQ19" s="39">
        <f t="shared" si="36"/>
        <v>0.32173913043478264</v>
      </c>
      <c r="ER19" s="39">
        <f t="shared" si="36"/>
        <v>0.61458333333333337</v>
      </c>
      <c r="ES19" s="39">
        <f t="shared" si="36"/>
        <v>0.44791666666666669</v>
      </c>
      <c r="ET19" s="39">
        <f t="shared" si="36"/>
        <v>0.32041666666666674</v>
      </c>
      <c r="EU19" s="39">
        <f t="shared" si="36"/>
        <v>0.62708333333333333</v>
      </c>
      <c r="EV19" s="39">
        <f t="shared" si="36"/>
        <v>0.31714285714285717</v>
      </c>
      <c r="EW19" s="39">
        <f t="shared" si="36"/>
        <v>0.32249999999999995</v>
      </c>
      <c r="EX19" s="39">
        <f t="shared" si="36"/>
        <v>0.64818181818181819</v>
      </c>
      <c r="EY19" s="39">
        <f t="shared" si="36"/>
        <v>0.59041666666666659</v>
      </c>
      <c r="EZ19" s="39">
        <f t="shared" si="36"/>
        <v>0.24913043478260868</v>
      </c>
      <c r="FA19" s="39">
        <f t="shared" si="36"/>
        <v>0.60124999999999995</v>
      </c>
      <c r="FB19" s="129">
        <f>AVERAGEIF($C$36:$C$173,"=2",FB$36:FB$173)</f>
        <v>50.18181818181818</v>
      </c>
      <c r="FD19" s="129">
        <f>AVERAGEIF($C$36:$C$173,"=2",FD$36:FD$173)</f>
        <v>7.6818181818181817</v>
      </c>
      <c r="FF19" s="39">
        <f>AVERAGEIF($C$36:$C$173,"=2",FF$36:FF$173)</f>
        <v>0.13272727272727269</v>
      </c>
      <c r="FG19" s="39">
        <f t="shared" ref="FG19:GI19" si="37">AVERAGEIF($C$36:$C$173,"=2",FG$36:FG$173)</f>
        <v>0.58681818181818179</v>
      </c>
      <c r="FH19" s="39">
        <f t="shared" si="37"/>
        <v>0.26954545454545459</v>
      </c>
      <c r="FI19" s="39">
        <f t="shared" si="37"/>
        <v>1.1818181818181818E-2</v>
      </c>
      <c r="FJ19" s="39">
        <f t="shared" si="37"/>
        <v>0.44409090909090909</v>
      </c>
      <c r="FK19" s="39">
        <f t="shared" si="37"/>
        <v>0.63045454545454538</v>
      </c>
      <c r="FL19" s="39">
        <f t="shared" si="37"/>
        <v>0.48681818181818187</v>
      </c>
      <c r="FM19" s="39">
        <f t="shared" si="37"/>
        <v>0.45454545454545447</v>
      </c>
      <c r="FN19" s="39">
        <f t="shared" si="37"/>
        <v>0.27545454545454545</v>
      </c>
      <c r="FO19" s="39">
        <f t="shared" si="37"/>
        <v>0.29227272727272724</v>
      </c>
      <c r="FP19" s="39">
        <f t="shared" si="37"/>
        <v>0.36772727272727274</v>
      </c>
      <c r="FQ19" s="39">
        <f t="shared" si="37"/>
        <v>0.37818181818181812</v>
      </c>
      <c r="FR19" s="39">
        <f t="shared" si="37"/>
        <v>0.5945454545454546</v>
      </c>
      <c r="FS19" s="39">
        <f t="shared" si="37"/>
        <v>0.49636363636363634</v>
      </c>
      <c r="FT19" s="39">
        <f t="shared" si="37"/>
        <v>0.49454545454545468</v>
      </c>
      <c r="FU19" s="39">
        <f t="shared" si="37"/>
        <v>0.3813636363636364</v>
      </c>
      <c r="FV19" s="39">
        <f t="shared" si="37"/>
        <v>0.58045454545454545</v>
      </c>
      <c r="FW19" s="39">
        <f t="shared" si="37"/>
        <v>0.53454545454545455</v>
      </c>
      <c r="FX19" s="39">
        <f t="shared" si="37"/>
        <v>0.48409090909090902</v>
      </c>
      <c r="FY19" s="39">
        <f t="shared" si="37"/>
        <v>0.37409090909090909</v>
      </c>
      <c r="FZ19" s="39">
        <f t="shared" si="37"/>
        <v>0.44045454545454538</v>
      </c>
      <c r="GA19" s="39">
        <f t="shared" si="37"/>
        <v>0.46952380952380957</v>
      </c>
      <c r="GB19" s="39">
        <f t="shared" si="37"/>
        <v>0.48909090909090919</v>
      </c>
      <c r="GC19" s="39">
        <f t="shared" si="37"/>
        <v>0.46045454545454551</v>
      </c>
      <c r="GD19" s="39">
        <f t="shared" si="37"/>
        <v>0.58545454545454556</v>
      </c>
      <c r="GE19" s="39">
        <f t="shared" si="37"/>
        <v>0.4977272727272728</v>
      </c>
      <c r="GF19" s="39">
        <f t="shared" si="37"/>
        <v>0.43954545454545446</v>
      </c>
      <c r="GG19" s="39">
        <f t="shared" si="37"/>
        <v>0.4477272727272727</v>
      </c>
      <c r="GH19" s="39">
        <f t="shared" si="37"/>
        <v>0.55454545454545456</v>
      </c>
      <c r="GI19" s="39">
        <f t="shared" si="37"/>
        <v>0.30500000000000005</v>
      </c>
      <c r="GJ19" s="129">
        <f>AVERAGEIF($C$36:$C$173,"=2",GJ$36:GJ$173)</f>
        <v>51.52</v>
      </c>
      <c r="GL19" s="129">
        <f>AVERAGEIF($C$36:$C$173,"=2",GL$36:GL$173)</f>
        <v>7.88</v>
      </c>
      <c r="GN19" s="342">
        <f>AVERAGEIF($C$36:$C$173,"=2",GN$36:GN$173)</f>
        <v>0.1032</v>
      </c>
      <c r="GO19" s="342">
        <f t="shared" ref="GO19:HQ19" si="38">AVERAGEIF($C$36:$C$173,"=2",GO$36:GO$173)</f>
        <v>0.54000000000000015</v>
      </c>
      <c r="GP19" s="342">
        <f t="shared" si="38"/>
        <v>0.34759999999999996</v>
      </c>
      <c r="GQ19" s="342">
        <f t="shared" si="38"/>
        <v>1.1200000000000002E-2</v>
      </c>
      <c r="GR19" s="342">
        <f t="shared" si="38"/>
        <v>0.48599999999999999</v>
      </c>
      <c r="GS19" s="342">
        <f t="shared" si="38"/>
        <v>0.5252</v>
      </c>
      <c r="GT19" s="342">
        <f t="shared" si="38"/>
        <v>0.624</v>
      </c>
      <c r="GU19" s="342">
        <f t="shared" si="38"/>
        <v>0.18875</v>
      </c>
      <c r="GV19" s="342">
        <f t="shared" si="38"/>
        <v>0.52</v>
      </c>
      <c r="GW19" s="342">
        <f t="shared" si="38"/>
        <v>0.43359999999999999</v>
      </c>
      <c r="GX19" s="342">
        <f t="shared" si="38"/>
        <v>0.44880000000000009</v>
      </c>
      <c r="GY19" s="315" t="s">
        <v>173</v>
      </c>
      <c r="GZ19" s="342">
        <f t="shared" si="38"/>
        <v>0.28160000000000002</v>
      </c>
      <c r="HA19" s="342">
        <f t="shared" si="38"/>
        <v>0.71875</v>
      </c>
      <c r="HB19" s="342">
        <f t="shared" si="38"/>
        <v>0.46000000000000008</v>
      </c>
      <c r="HC19" s="342">
        <f t="shared" si="38"/>
        <v>0.51879999999999993</v>
      </c>
      <c r="HD19" s="342">
        <f t="shared" si="38"/>
        <v>0.54360000000000008</v>
      </c>
      <c r="HE19" s="342">
        <f t="shared" si="38"/>
        <v>0.42959999999999998</v>
      </c>
      <c r="HF19" s="342">
        <f t="shared" si="38"/>
        <v>0.44120000000000004</v>
      </c>
      <c r="HG19" s="342">
        <f t="shared" si="38"/>
        <v>0.63680000000000003</v>
      </c>
      <c r="HH19" s="342">
        <f t="shared" si="38"/>
        <v>0.37880000000000008</v>
      </c>
      <c r="HI19" s="342">
        <f t="shared" si="38"/>
        <v>0.53599999999999992</v>
      </c>
      <c r="HJ19" s="342">
        <f t="shared" si="38"/>
        <v>0.59599999999999997</v>
      </c>
      <c r="HK19" s="342">
        <f t="shared" si="38"/>
        <v>0.51519999999999999</v>
      </c>
      <c r="HL19" s="342">
        <f t="shared" si="38"/>
        <v>0.39560000000000017</v>
      </c>
      <c r="HM19" s="342">
        <f t="shared" si="38"/>
        <v>0.47999999999999993</v>
      </c>
      <c r="HN19" s="342">
        <f t="shared" si="38"/>
        <v>0.48159999999999997</v>
      </c>
      <c r="HO19" s="342">
        <f t="shared" si="38"/>
        <v>0.43600000000000011</v>
      </c>
      <c r="HP19" s="315" t="s">
        <v>173</v>
      </c>
      <c r="HQ19" s="342">
        <f t="shared" si="38"/>
        <v>0.42359999999999998</v>
      </c>
      <c r="HR19" s="129">
        <f>AVERAGEIF($C$36:$C$173,"=2",HR$36:HR$173)</f>
        <v>51.384615384615387</v>
      </c>
      <c r="HT19" s="129">
        <f>AVERAGEIF($C$36:$C$173,"=2",HT$36:HT$173)</f>
        <v>7.8461538461538458</v>
      </c>
      <c r="HV19" s="342">
        <f>AVERAGEIF($C$36:$C$173,"=2",HV$36:HV$173)</f>
        <v>0.13192307692307692</v>
      </c>
      <c r="HW19" s="342">
        <f t="shared" ref="HW19:IZ19" si="39">AVERAGEIF($C$36:$C$173,"=2",HW$36:HW$173)</f>
        <v>0.52423076923076928</v>
      </c>
      <c r="HX19" s="342">
        <f t="shared" si="39"/>
        <v>0.32538461538461544</v>
      </c>
      <c r="HY19" s="342">
        <f t="shared" si="39"/>
        <v>2.0384615384615386E-2</v>
      </c>
      <c r="HZ19" s="342">
        <f t="shared" si="39"/>
        <v>0.35230769230769232</v>
      </c>
      <c r="IA19" s="342">
        <f t="shared" si="39"/>
        <v>0.51846153846153853</v>
      </c>
      <c r="IB19" s="342">
        <f t="shared" si="39"/>
        <v>0.27692307692307688</v>
      </c>
      <c r="IC19" s="342">
        <f t="shared" si="39"/>
        <v>0.48153846153846147</v>
      </c>
      <c r="ID19" s="342">
        <f t="shared" si="39"/>
        <v>0.63115384615384618</v>
      </c>
      <c r="IE19" s="342">
        <f t="shared" si="39"/>
        <v>0.32500000000000007</v>
      </c>
      <c r="IF19" s="342">
        <f t="shared" si="39"/>
        <v>0.43730769230769229</v>
      </c>
      <c r="IG19" s="342">
        <f t="shared" si="39"/>
        <v>0.59846153846153849</v>
      </c>
      <c r="IH19" s="342">
        <f t="shared" si="39"/>
        <v>0.51384615384615395</v>
      </c>
      <c r="II19" s="342">
        <f t="shared" si="39"/>
        <v>0.34840000000000004</v>
      </c>
      <c r="IJ19" s="342">
        <f t="shared" si="39"/>
        <v>0.30461538461538462</v>
      </c>
      <c r="IK19" s="342">
        <f t="shared" si="39"/>
        <v>0.58269230769230773</v>
      </c>
      <c r="IL19" s="342">
        <f t="shared" si="39"/>
        <v>0.33307692307692299</v>
      </c>
      <c r="IM19" s="342">
        <f t="shared" si="39"/>
        <v>0.58538461538461539</v>
      </c>
      <c r="IN19" s="342">
        <f t="shared" si="39"/>
        <v>0.4442307692307691</v>
      </c>
      <c r="IO19" s="342">
        <f t="shared" si="39"/>
        <v>0.53576923076923066</v>
      </c>
      <c r="IP19" s="342">
        <f t="shared" si="39"/>
        <v>0.39269230769230773</v>
      </c>
      <c r="IQ19" s="342">
        <f t="shared" si="39"/>
        <v>0.59923076923076946</v>
      </c>
      <c r="IR19" s="342">
        <f t="shared" si="39"/>
        <v>0.57461538461538453</v>
      </c>
      <c r="IS19" s="342">
        <f t="shared" si="39"/>
        <v>0.54961538461538473</v>
      </c>
      <c r="IT19" s="342">
        <f t="shared" si="39"/>
        <v>0.4234615384615385</v>
      </c>
      <c r="IU19" s="315" t="s">
        <v>173</v>
      </c>
      <c r="IV19" s="342">
        <f t="shared" si="39"/>
        <v>0.61846153846153851</v>
      </c>
      <c r="IW19" s="342">
        <f t="shared" si="39"/>
        <v>0.41499999999999998</v>
      </c>
      <c r="IX19" s="342">
        <f t="shared" si="39"/>
        <v>0.50615384615384618</v>
      </c>
      <c r="IY19" s="342">
        <f t="shared" si="39"/>
        <v>0.50192307692307703</v>
      </c>
      <c r="IZ19" s="129">
        <f t="shared" si="39"/>
        <v>52.375</v>
      </c>
      <c r="JA19" s="495"/>
      <c r="JB19" s="129">
        <f>AVERAGEIF($C$36:$C$173,"=2",JB$36:JB$173)</f>
        <v>8.7916666666666661</v>
      </c>
      <c r="JC19" s="495"/>
      <c r="JD19" s="342">
        <f>AVERAGEIF($C$36:$C$173,"=2",JD$36:JD$173)</f>
        <v>0.13416666666666666</v>
      </c>
      <c r="JE19" s="342">
        <f>AVERAGEIF($C$36:$C$173,"=2",JE$36:JE$173)</f>
        <v>0.46541666666666665</v>
      </c>
      <c r="JF19" s="342">
        <f>AVERAGEIF($C$36:$C$173,"=2",JF$36:JF$173)</f>
        <v>0.37791666666666668</v>
      </c>
      <c r="JG19" s="342">
        <f>AVERAGEIF($C$36:$C$173,"=2",JG$36:JG$173)</f>
        <v>2.3750000000000004E-2</v>
      </c>
      <c r="JH19" s="342">
        <f t="shared" ref="JH19:KC19" si="40">AVERAGEIF($C$36:$C$173,"=2",JH$36:JH$173)</f>
        <v>0.44</v>
      </c>
      <c r="JI19" s="342">
        <f t="shared" si="40"/>
        <v>0.43916666666666671</v>
      </c>
      <c r="JJ19" s="342">
        <f t="shared" si="40"/>
        <v>0.39208333333333328</v>
      </c>
      <c r="JK19" s="342">
        <f t="shared" si="40"/>
        <v>0.46250000000000013</v>
      </c>
      <c r="JL19" s="342">
        <f t="shared" si="40"/>
        <v>0.47083333333333338</v>
      </c>
      <c r="JM19" s="342">
        <f t="shared" si="40"/>
        <v>0.46041666666666664</v>
      </c>
      <c r="JN19" s="342">
        <f t="shared" si="40"/>
        <v>0.39750000000000002</v>
      </c>
      <c r="JO19" s="342">
        <f t="shared" si="40"/>
        <v>0.46249999999999997</v>
      </c>
      <c r="JP19" s="342">
        <f t="shared" si="40"/>
        <v>0.52041666666666664</v>
      </c>
      <c r="JQ19" s="342">
        <f t="shared" si="40"/>
        <v>0.25624999999999998</v>
      </c>
      <c r="JR19" s="342">
        <f t="shared" si="40"/>
        <v>0.53916666666666668</v>
      </c>
      <c r="JS19" s="342">
        <f t="shared" si="40"/>
        <v>0.51666666666666672</v>
      </c>
      <c r="JT19" s="342">
        <f t="shared" si="40"/>
        <v>0.44125000000000009</v>
      </c>
      <c r="JU19" s="342">
        <f t="shared" si="40"/>
        <v>0.51083333333333336</v>
      </c>
      <c r="JV19" s="342">
        <f t="shared" si="40"/>
        <v>0.47708333333333336</v>
      </c>
      <c r="JW19" s="342">
        <f t="shared" si="40"/>
        <v>0.44541666666666663</v>
      </c>
      <c r="JX19" s="342">
        <f t="shared" si="40"/>
        <v>0.40458333333333329</v>
      </c>
      <c r="JY19" s="342">
        <f t="shared" si="40"/>
        <v>0.46083333333333326</v>
      </c>
      <c r="JZ19" s="342">
        <f t="shared" si="40"/>
        <v>0.44500000000000001</v>
      </c>
      <c r="KA19" s="342">
        <f t="shared" si="40"/>
        <v>0.61666666666666659</v>
      </c>
      <c r="KB19" s="342">
        <f t="shared" si="40"/>
        <v>0.43416666666666665</v>
      </c>
      <c r="KC19" s="342">
        <f t="shared" si="40"/>
        <v>0.60250000000000004</v>
      </c>
      <c r="KD19" s="342">
        <f>AVERAGEIF($C$36:$C$173,"=2",KD$36:KD$173)</f>
        <v>0.32583333333333331</v>
      </c>
      <c r="KE19" s="342">
        <f>AVERAGEIF($C$36:$C$173,"=2",KE$36:KE$173)</f>
        <v>0.42583333333333334</v>
      </c>
      <c r="KF19" s="342">
        <f>AVERAGEIF($C$36:$C$173,"=2",KF$36:KF$173)</f>
        <v>0.42375000000000007</v>
      </c>
      <c r="KG19" s="342">
        <f>AVERAGEIF($C$36:$C$173,"=2",KG$36:KG$173)</f>
        <v>0.49999999999999994</v>
      </c>
      <c r="KH19" s="129">
        <f>AVERAGEIF($C$36:$C$173,"=2",KH$36:KH$173)</f>
        <v>52.370370370370374</v>
      </c>
      <c r="KI19" s="970"/>
      <c r="KJ19" s="129">
        <f>AVERAGEIF($C$36:$C$173,"=2",KJ$36:KJ$173)</f>
        <v>8.1111111111111107</v>
      </c>
      <c r="KK19" s="970"/>
      <c r="KL19" s="342">
        <f>AVERAGEIF($C$36:$C$173,"=2",KL$36:KL$173)</f>
        <v>0.10888888888888891</v>
      </c>
      <c r="KM19" s="342">
        <f t="shared" ref="KM19:LO19" si="41">AVERAGEIF($C$36:$C$173,"=2",KM$36:KM$173)</f>
        <v>0.49777777777777782</v>
      </c>
      <c r="KN19" s="342">
        <f t="shared" si="41"/>
        <v>0.37777777777777777</v>
      </c>
      <c r="KO19" s="342">
        <f t="shared" si="41"/>
        <v>1.6296296296296302E-2</v>
      </c>
      <c r="KP19" s="342">
        <f t="shared" si="41"/>
        <v>0.50555555555555554</v>
      </c>
      <c r="KQ19" s="342">
        <f t="shared" si="41"/>
        <v>0.27444444444444444</v>
      </c>
      <c r="KR19" s="342">
        <f t="shared" si="41"/>
        <v>0.57592592592592595</v>
      </c>
      <c r="KS19" s="342">
        <f t="shared" si="41"/>
        <v>0.46296296296296297</v>
      </c>
      <c r="KT19" s="342">
        <f t="shared" si="41"/>
        <v>0.5218518518518519</v>
      </c>
      <c r="KU19" s="342">
        <f t="shared" si="41"/>
        <v>0.39192307692307693</v>
      </c>
      <c r="KV19" s="342">
        <f t="shared" si="41"/>
        <v>0.61962962962962975</v>
      </c>
      <c r="KW19" s="342">
        <f t="shared" si="41"/>
        <v>0.34074074074074073</v>
      </c>
      <c r="KX19" s="342">
        <f t="shared" si="41"/>
        <v>0.33444444444444443</v>
      </c>
      <c r="KY19" s="342">
        <f t="shared" si="41"/>
        <v>0.5537037037037037</v>
      </c>
      <c r="KZ19" s="342">
        <f t="shared" si="41"/>
        <v>0.35592592592592598</v>
      </c>
      <c r="LA19" s="342">
        <f t="shared" si="41"/>
        <v>0.3461538461538462</v>
      </c>
      <c r="LB19" s="342">
        <f t="shared" si="41"/>
        <v>0.37333333333333335</v>
      </c>
      <c r="LC19" s="342">
        <f t="shared" si="41"/>
        <v>0.37481481481481488</v>
      </c>
      <c r="LD19" s="342">
        <f t="shared" si="41"/>
        <v>0.5529629629629631</v>
      </c>
      <c r="LE19" s="342">
        <f t="shared" si="41"/>
        <v>0.48333333333333334</v>
      </c>
      <c r="LF19" s="342">
        <f t="shared" si="41"/>
        <v>0.31444444444444436</v>
      </c>
      <c r="LG19" s="342">
        <f t="shared" si="41"/>
        <v>0.37961538461538463</v>
      </c>
      <c r="LH19" s="342">
        <f t="shared" si="41"/>
        <v>0.53925925925925933</v>
      </c>
      <c r="LI19" s="342">
        <f t="shared" si="41"/>
        <v>0.49740740740740758</v>
      </c>
      <c r="LJ19" s="342">
        <f t="shared" si="41"/>
        <v>0.39962962962962956</v>
      </c>
      <c r="LK19" s="342">
        <f>AVERAGEIF($C$36:$C$173,"=2",LK$36:LK$173)</f>
        <v>0.52333333333333343</v>
      </c>
      <c r="LL19" s="342" t="s">
        <v>173</v>
      </c>
      <c r="LM19" s="342">
        <f t="shared" si="41"/>
        <v>0.56740740740740736</v>
      </c>
      <c r="LN19" s="342">
        <f t="shared" si="41"/>
        <v>0.6134615384615385</v>
      </c>
      <c r="LO19" s="342">
        <f t="shared" si="41"/>
        <v>0.41703703703703704</v>
      </c>
    </row>
    <row r="20" spans="1:327" ht="24.95" customHeight="1" x14ac:dyDescent="0.2">
      <c r="A20" s="197" t="s">
        <v>142</v>
      </c>
      <c r="B20" s="6"/>
      <c r="C20" s="6"/>
      <c r="D20" s="129">
        <f>AVERAGEIF($C$36:$C$173,"=3",D$36:D$173)</f>
        <v>54.833333333333336</v>
      </c>
      <c r="E20" s="129">
        <f>AVERAGEIF($C$36:$C$173,"=3",E$36:E$173)</f>
        <v>7.117647058823529</v>
      </c>
      <c r="F20" s="39">
        <f>AVERAGEIF($C$36:$C$173,"=3",F$36:F$173)</f>
        <v>3.8333333333333344E-2</v>
      </c>
      <c r="G20" s="39">
        <f t="shared" ref="G20:AG20" si="42">AVERAGEIF($C$36:$C$173,"=3",G$36:G$173)</f>
        <v>0.51777777777777767</v>
      </c>
      <c r="H20" s="39">
        <f t="shared" si="42"/>
        <v>0.43777777777777782</v>
      </c>
      <c r="I20" s="39">
        <f t="shared" si="42"/>
        <v>6.6666666666666662E-3</v>
      </c>
      <c r="J20" s="39">
        <f t="shared" si="42"/>
        <v>0.35055555555555551</v>
      </c>
      <c r="K20" s="39">
        <f t="shared" si="42"/>
        <v>0.33666666666666667</v>
      </c>
      <c r="L20" s="39">
        <f t="shared" si="42"/>
        <v>0.71888888888888891</v>
      </c>
      <c r="M20" s="39">
        <f t="shared" si="42"/>
        <v>0.19444444444444445</v>
      </c>
      <c r="N20" s="39">
        <f t="shared" si="42"/>
        <v>0.27333333333333337</v>
      </c>
      <c r="O20" s="39">
        <f t="shared" si="42"/>
        <v>0.6661111111111111</v>
      </c>
      <c r="P20" s="39">
        <f t="shared" si="42"/>
        <v>0.31499999999999995</v>
      </c>
      <c r="Q20" s="39">
        <f t="shared" si="42"/>
        <v>0.39111111111111113</v>
      </c>
      <c r="R20" s="39">
        <f t="shared" si="42"/>
        <v>0.48388888888888881</v>
      </c>
      <c r="S20" s="39">
        <f t="shared" si="42"/>
        <v>0.59055555555555539</v>
      </c>
      <c r="T20" s="39">
        <f t="shared" si="42"/>
        <v>0.44666666666666671</v>
      </c>
      <c r="U20" s="39">
        <f t="shared" si="42"/>
        <v>0.568888888888889</v>
      </c>
      <c r="V20" s="39">
        <f t="shared" si="42"/>
        <v>5.7222222222222223E-2</v>
      </c>
      <c r="W20" s="39">
        <f t="shared" si="42"/>
        <v>0.14166666666666666</v>
      </c>
      <c r="X20" s="39">
        <f t="shared" si="42"/>
        <v>0.48722222222222228</v>
      </c>
      <c r="Y20" s="39">
        <f t="shared" si="42"/>
        <v>0.45222222222222225</v>
      </c>
      <c r="Z20" s="39">
        <f t="shared" si="42"/>
        <v>0.90111111111111108</v>
      </c>
      <c r="AA20" s="39">
        <f t="shared" si="42"/>
        <v>0.1138888888888889</v>
      </c>
      <c r="AB20" s="39">
        <f t="shared" si="42"/>
        <v>0.44444444444444442</v>
      </c>
      <c r="AC20" s="39">
        <f t="shared" si="42"/>
        <v>0.22388888888888894</v>
      </c>
      <c r="AD20" s="39">
        <f t="shared" si="42"/>
        <v>0.43333333333333335</v>
      </c>
      <c r="AE20" s="39">
        <f t="shared" si="42"/>
        <v>0.41000000000000003</v>
      </c>
      <c r="AF20" s="39">
        <f t="shared" si="42"/>
        <v>0.49611111111111111</v>
      </c>
      <c r="AG20" s="39">
        <f t="shared" si="42"/>
        <v>0.45333333333333337</v>
      </c>
      <c r="AH20" s="129">
        <f>AVERAGEIF($C$36:$C$173,"=3",AH$36:AH$173)</f>
        <v>53.157894736842103</v>
      </c>
      <c r="AI20" s="129">
        <f>AVERAGEIF($C$36:$C$173,"=3",AI$36:AI$173)</f>
        <v>7.7222222222222223</v>
      </c>
      <c r="AJ20" s="39">
        <f>AVERAGEIF($C$36:$C$173,"=3",AJ$36:AJ$173)</f>
        <v>5.6315789473684215E-2</v>
      </c>
      <c r="AK20" s="39">
        <f t="shared" ref="AK20:BL20" si="43">AVERAGEIF($C$36:$C$173,"=3",AK$36:AK$173)</f>
        <v>0.55473684210526308</v>
      </c>
      <c r="AL20" s="39">
        <f t="shared" si="43"/>
        <v>0.37421052631578955</v>
      </c>
      <c r="AM20" s="39">
        <f t="shared" si="43"/>
        <v>1.368421052631579E-2</v>
      </c>
      <c r="AN20" s="39">
        <f t="shared" si="43"/>
        <v>0.2742105263157894</v>
      </c>
      <c r="AO20" s="39">
        <f t="shared" si="43"/>
        <v>0.45526315789473676</v>
      </c>
      <c r="AP20" s="39">
        <f t="shared" si="43"/>
        <v>0.55210526315789477</v>
      </c>
      <c r="AQ20" s="39">
        <f t="shared" si="43"/>
        <v>0.36000000000000004</v>
      </c>
      <c r="AR20" s="39">
        <f t="shared" si="43"/>
        <v>0.55263157894736847</v>
      </c>
      <c r="AS20" s="39">
        <f t="shared" si="43"/>
        <v>0.50105263157894742</v>
      </c>
      <c r="AT20" s="39">
        <f t="shared" si="43"/>
        <v>0.5</v>
      </c>
      <c r="AU20" s="39">
        <f t="shared" si="43"/>
        <v>0.50368421052631585</v>
      </c>
      <c r="AV20" s="39">
        <f t="shared" si="43"/>
        <v>0.59105263157894716</v>
      </c>
      <c r="AW20" s="39">
        <f t="shared" si="43"/>
        <v>0.45631578947368429</v>
      </c>
      <c r="AX20" s="39">
        <f t="shared" si="43"/>
        <v>0.52578947368421058</v>
      </c>
      <c r="AY20" s="39">
        <f t="shared" si="43"/>
        <v>0.29526315789473684</v>
      </c>
      <c r="AZ20" s="39">
        <f t="shared" si="43"/>
        <v>0.28157894736842104</v>
      </c>
      <c r="BA20" s="39">
        <f t="shared" si="43"/>
        <v>0.46789473684210531</v>
      </c>
      <c r="BB20" s="39">
        <f t="shared" si="43"/>
        <v>0.65894736842105261</v>
      </c>
      <c r="BC20" s="39">
        <f t="shared" si="43"/>
        <v>0.65105263157894733</v>
      </c>
      <c r="BD20" s="39">
        <f t="shared" si="43"/>
        <v>0.38157894736842102</v>
      </c>
      <c r="BE20" s="39">
        <f t="shared" si="43"/>
        <v>0.5557894736842105</v>
      </c>
      <c r="BF20" s="39">
        <f t="shared" si="43"/>
        <v>0.58526315789473693</v>
      </c>
      <c r="BG20" s="39">
        <f t="shared" si="43"/>
        <v>0.5015789473684209</v>
      </c>
      <c r="BH20" s="39">
        <f t="shared" si="43"/>
        <v>0.41157894736842104</v>
      </c>
      <c r="BI20" s="39">
        <f t="shared" si="43"/>
        <v>0.38947368421052625</v>
      </c>
      <c r="BJ20" s="39">
        <f t="shared" si="43"/>
        <v>0.34052631578947373</v>
      </c>
      <c r="BK20" s="39">
        <f t="shared" si="43"/>
        <v>0.42684210526315797</v>
      </c>
      <c r="BL20" s="39">
        <f t="shared" si="43"/>
        <v>0.47473684210526323</v>
      </c>
      <c r="BM20" s="129">
        <f>AVERAGEIF($C$36:$C$173,"=3",BM$36:BM$173)</f>
        <v>52</v>
      </c>
      <c r="BN20" s="129">
        <f>AVERAGEIF($C$36:$C$173,"=3",BN$36:BN$173)</f>
        <v>8.1111111111111107</v>
      </c>
      <c r="BO20" s="39">
        <f>AVERAGEIF($C$36:$C$173,"=3",BO$36:BO$173)</f>
        <v>9.684210526315791E-2</v>
      </c>
      <c r="BP20" s="39">
        <f t="shared" ref="BP20:CR20" si="44">AVERAGEIF($C$36:$C$173,"=3",BP$36:BP$173)</f>
        <v>0.52263157894736845</v>
      </c>
      <c r="BQ20" s="39">
        <f t="shared" si="44"/>
        <v>0.36842105263157893</v>
      </c>
      <c r="BR20" s="39">
        <f t="shared" si="44"/>
        <v>1.2105263157894739E-2</v>
      </c>
      <c r="BS20" s="39">
        <f t="shared" si="44"/>
        <v>0.33578947368421053</v>
      </c>
      <c r="BT20" s="39">
        <f t="shared" si="44"/>
        <v>0.55842105263157893</v>
      </c>
      <c r="BU20" s="39">
        <f t="shared" si="44"/>
        <v>0.63157894736842113</v>
      </c>
      <c r="BV20" s="39">
        <f t="shared" si="44"/>
        <v>0.28842105263157897</v>
      </c>
      <c r="BW20" s="39">
        <f t="shared" si="44"/>
        <v>0.61842105263157898</v>
      </c>
      <c r="BX20" s="39">
        <f t="shared" si="44"/>
        <v>0.34315789473684211</v>
      </c>
      <c r="BY20" s="39">
        <f t="shared" si="44"/>
        <v>0.40842105263157891</v>
      </c>
      <c r="BZ20" s="39">
        <f t="shared" si="44"/>
        <v>0.49263157894736848</v>
      </c>
      <c r="CA20" s="39">
        <f t="shared" si="44"/>
        <v>0.42052631578947369</v>
      </c>
      <c r="CB20" s="39">
        <f t="shared" si="44"/>
        <v>0.35000000000000003</v>
      </c>
      <c r="CC20" s="39">
        <f t="shared" si="44"/>
        <v>0.19157894736842107</v>
      </c>
      <c r="CD20" s="39">
        <f t="shared" si="44"/>
        <v>0.39578947368421052</v>
      </c>
      <c r="CE20" s="39">
        <f t="shared" si="44"/>
        <v>0.31157894736842101</v>
      </c>
      <c r="CF20" s="39">
        <f t="shared" si="44"/>
        <v>0.57315789473684209</v>
      </c>
      <c r="CG20" s="39">
        <f t="shared" si="44"/>
        <v>0.57473684210526321</v>
      </c>
      <c r="CH20" s="39">
        <f t="shared" si="44"/>
        <v>0.41578947368421049</v>
      </c>
      <c r="CI20" s="39">
        <f t="shared" si="44"/>
        <v>0.5378947368421052</v>
      </c>
      <c r="CJ20" s="39">
        <f t="shared" si="44"/>
        <v>0.35052631578947374</v>
      </c>
      <c r="CK20" s="39">
        <f t="shared" si="44"/>
        <v>0.66368421052631577</v>
      </c>
      <c r="CL20" s="39">
        <f t="shared" si="44"/>
        <v>0.27368421052631581</v>
      </c>
      <c r="CM20" s="39">
        <f t="shared" si="44"/>
        <v>0.41842105263157897</v>
      </c>
      <c r="CN20" s="39">
        <f t="shared" si="44"/>
        <v>0.42263157894736847</v>
      </c>
      <c r="CO20" s="39">
        <f t="shared" si="44"/>
        <v>0.42368421052631583</v>
      </c>
      <c r="CP20" s="39">
        <f t="shared" si="44"/>
        <v>0.33631578947368423</v>
      </c>
      <c r="CQ20" s="39">
        <f t="shared" si="44"/>
        <v>0.52368421052631586</v>
      </c>
      <c r="CR20" s="39">
        <f t="shared" si="44"/>
        <v>0.52789473684210519</v>
      </c>
      <c r="CS20" s="129">
        <f>AVERAGEIF($C$36:$C$173,"=3",CS$36:CS$173)</f>
        <v>50.578947368421055</v>
      </c>
      <c r="CT20" s="129">
        <f>AVERAGEIF($C$36:$C$173,"=3",CT$36:CT$173)</f>
        <v>8</v>
      </c>
      <c r="CU20" s="39">
        <f>AVERAGEIF($C$36:$C$173,"=3",CU$36:CU$173)</f>
        <v>0.10789473684210525</v>
      </c>
      <c r="CV20" s="39">
        <f t="shared" ref="CV20:DW20" si="45">AVERAGEIF($C$36:$C$173,"=3",CV$36:CV$173)</f>
        <v>0.62157894736842101</v>
      </c>
      <c r="CW20" s="39">
        <f t="shared" si="45"/>
        <v>0.26736842105263159</v>
      </c>
      <c r="CX20" s="39">
        <f t="shared" si="45"/>
        <v>3.684210526315789E-3</v>
      </c>
      <c r="CY20" s="39">
        <f t="shared" si="45"/>
        <v>0.49631578947368421</v>
      </c>
      <c r="CZ20" s="39">
        <f t="shared" si="45"/>
        <v>0.29578947368421049</v>
      </c>
      <c r="DA20" s="39">
        <f t="shared" si="45"/>
        <v>0.57578947368421063</v>
      </c>
      <c r="DB20" s="39">
        <f t="shared" si="45"/>
        <v>0.36631578947368426</v>
      </c>
      <c r="DC20" s="39">
        <f t="shared" si="45"/>
        <v>0.4447368421052631</v>
      </c>
      <c r="DD20" s="39">
        <f t="shared" si="45"/>
        <v>0.61</v>
      </c>
      <c r="DE20" s="39">
        <f t="shared" si="45"/>
        <v>0.43684210526315792</v>
      </c>
      <c r="DF20" s="39">
        <f t="shared" si="45"/>
        <v>0.52578947368421058</v>
      </c>
      <c r="DG20" s="39">
        <f t="shared" si="45"/>
        <v>0.43473684210526325</v>
      </c>
      <c r="DH20" s="39">
        <f t="shared" si="45"/>
        <v>0.34315789473684211</v>
      </c>
      <c r="DI20" s="39">
        <f t="shared" si="45"/>
        <v>0.48210526315789481</v>
      </c>
      <c r="DJ20" s="39">
        <f t="shared" si="45"/>
        <v>0.49421052631578949</v>
      </c>
      <c r="DK20" s="39">
        <f t="shared" si="45"/>
        <v>0.35684210526315796</v>
      </c>
      <c r="DL20" s="39">
        <f t="shared" si="45"/>
        <v>0.35263157894736841</v>
      </c>
      <c r="DM20" s="39">
        <f t="shared" si="45"/>
        <v>0.49368421052631584</v>
      </c>
      <c r="DN20" s="39">
        <f t="shared" si="45"/>
        <v>0.4789473684210529</v>
      </c>
      <c r="DO20" s="39">
        <f t="shared" si="45"/>
        <v>0.42526315789473673</v>
      </c>
      <c r="DP20" s="39">
        <f t="shared" si="45"/>
        <v>0.45842105263157901</v>
      </c>
      <c r="DQ20" s="39">
        <f t="shared" si="45"/>
        <v>0.55315789473684229</v>
      </c>
      <c r="DR20" s="39">
        <f t="shared" si="45"/>
        <v>0.17789473684210527</v>
      </c>
      <c r="DS20" s="39">
        <f t="shared" si="45"/>
        <v>0.36684210526315786</v>
      </c>
      <c r="DT20" s="39">
        <f t="shared" si="45"/>
        <v>0.5557894736842105</v>
      </c>
      <c r="DU20" s="39">
        <f t="shared" si="45"/>
        <v>0.50315789473684203</v>
      </c>
      <c r="DV20" s="39">
        <f t="shared" si="45"/>
        <v>0.59105263157894727</v>
      </c>
      <c r="DW20" s="39">
        <f t="shared" si="45"/>
        <v>0.34</v>
      </c>
      <c r="DX20" s="129">
        <f>AVERAGEIF($C$36:$C$173,"=3",DX$36:DX$173)</f>
        <v>50.95</v>
      </c>
      <c r="DY20" s="129">
        <f>AVERAGEIF($C$36:$C$173,"=3",DY$36:DY$173)</f>
        <v>8.5500000000000007</v>
      </c>
      <c r="DZ20" s="39">
        <f>AVERAGEIF($C$36:$C$173,"=3",DZ$36:DZ$173)</f>
        <v>0.14500000000000002</v>
      </c>
      <c r="EA20" s="39">
        <f t="shared" ref="EA20:FA20" si="46">AVERAGEIF($C$36:$C$173,"=3",EA$36:EA$173)</f>
        <v>0.53349999999999997</v>
      </c>
      <c r="EB20" s="39">
        <f t="shared" si="46"/>
        <v>0.3155</v>
      </c>
      <c r="EC20" s="39">
        <f t="shared" si="46"/>
        <v>8.0000000000000002E-3</v>
      </c>
      <c r="ED20" s="39">
        <f t="shared" si="46"/>
        <v>0.47300000000000003</v>
      </c>
      <c r="EE20" s="39">
        <f t="shared" si="46"/>
        <v>0.44550000000000012</v>
      </c>
      <c r="EF20" s="39">
        <f t="shared" si="46"/>
        <v>0.46850000000000014</v>
      </c>
      <c r="EG20" s="39">
        <f t="shared" si="46"/>
        <v>0.3175</v>
      </c>
      <c r="EH20" s="39">
        <f t="shared" si="46"/>
        <v>0.42200000000000004</v>
      </c>
      <c r="EI20" s="39">
        <f t="shared" si="46"/>
        <v>0.47300000000000003</v>
      </c>
      <c r="EJ20" s="39">
        <f t="shared" si="46"/>
        <v>0.55400000000000005</v>
      </c>
      <c r="EK20" s="39">
        <f t="shared" si="46"/>
        <v>0.2525</v>
      </c>
      <c r="EL20" s="39">
        <f t="shared" si="46"/>
        <v>0.44000000000000011</v>
      </c>
      <c r="EM20" s="39">
        <f t="shared" si="46"/>
        <v>0.63349999999999995</v>
      </c>
      <c r="EN20" s="39">
        <f t="shared" si="46"/>
        <v>0.42299999999999993</v>
      </c>
      <c r="EO20" s="39">
        <f t="shared" si="46"/>
        <v>0.56299999999999994</v>
      </c>
      <c r="EP20" s="39">
        <f t="shared" si="46"/>
        <v>0.32799999999999996</v>
      </c>
      <c r="EQ20" s="39">
        <f t="shared" si="46"/>
        <v>0.25149999999999995</v>
      </c>
      <c r="ER20" s="39">
        <f t="shared" si="46"/>
        <v>0.59499999999999997</v>
      </c>
      <c r="ES20" s="39">
        <f t="shared" si="46"/>
        <v>0.4469999999999999</v>
      </c>
      <c r="ET20" s="39">
        <f t="shared" si="46"/>
        <v>0.30199999999999999</v>
      </c>
      <c r="EU20" s="39">
        <f t="shared" si="46"/>
        <v>0.58799999999999997</v>
      </c>
      <c r="EV20" s="39">
        <f t="shared" si="46"/>
        <v>0.37450000000000006</v>
      </c>
      <c r="EW20" s="39">
        <f t="shared" si="46"/>
        <v>0.30250000000000005</v>
      </c>
      <c r="EX20" s="39">
        <f t="shared" si="46"/>
        <v>0.66200000000000003</v>
      </c>
      <c r="EY20" s="39">
        <f t="shared" si="46"/>
        <v>0.56099999999999994</v>
      </c>
      <c r="EZ20" s="39">
        <f t="shared" si="46"/>
        <v>0.2</v>
      </c>
      <c r="FA20" s="39">
        <f t="shared" si="46"/>
        <v>0.59050000000000002</v>
      </c>
      <c r="FB20" s="129">
        <f>AVERAGEIF($C$36:$C$173,"=3",FB$36:FB$173)</f>
        <v>51</v>
      </c>
      <c r="FD20" s="129">
        <f>AVERAGEIF($C$36:$C$173,"=3",FD$36:FD$173)</f>
        <v>7.85</v>
      </c>
      <c r="FF20" s="39">
        <f>AVERAGEIF($C$36:$C$173,"=3",FF$36:FF$173)</f>
        <v>9.9000000000000005E-2</v>
      </c>
      <c r="FG20" s="39">
        <f t="shared" ref="FG20:GI20" si="47">AVERAGEIF($C$36:$C$173,"=3",FG$36:FG$173)</f>
        <v>0.60099999999999998</v>
      </c>
      <c r="FH20" s="39">
        <f t="shared" si="47"/>
        <v>0.28900000000000003</v>
      </c>
      <c r="FI20" s="39">
        <f t="shared" si="47"/>
        <v>1.0000000000000002E-2</v>
      </c>
      <c r="FJ20" s="39">
        <f t="shared" si="47"/>
        <v>0.44699999999999995</v>
      </c>
      <c r="FK20" s="39">
        <f t="shared" si="47"/>
        <v>0.66149999999999998</v>
      </c>
      <c r="FL20" s="39">
        <f t="shared" si="47"/>
        <v>0.47800000000000004</v>
      </c>
      <c r="FM20" s="39">
        <f t="shared" si="47"/>
        <v>0.40499999999999997</v>
      </c>
      <c r="FN20" s="39">
        <f t="shared" si="47"/>
        <v>0.2455</v>
      </c>
      <c r="FO20" s="39">
        <f t="shared" si="47"/>
        <v>0.317</v>
      </c>
      <c r="FP20" s="39">
        <f t="shared" si="47"/>
        <v>0.36150000000000004</v>
      </c>
      <c r="FQ20" s="39">
        <f t="shared" si="47"/>
        <v>0.37999999999999995</v>
      </c>
      <c r="FR20" s="39">
        <f t="shared" si="47"/>
        <v>0.57199999999999995</v>
      </c>
      <c r="FS20" s="39">
        <f t="shared" si="47"/>
        <v>0.51500000000000012</v>
      </c>
      <c r="FT20" s="39">
        <f t="shared" si="47"/>
        <v>0.49099999999999999</v>
      </c>
      <c r="FU20" s="39">
        <f t="shared" si="47"/>
        <v>0.33750000000000002</v>
      </c>
      <c r="FV20" s="39">
        <f t="shared" si="47"/>
        <v>0.5555000000000001</v>
      </c>
      <c r="FW20" s="39">
        <f t="shared" si="47"/>
        <v>0.53950000000000009</v>
      </c>
      <c r="FX20" s="39">
        <f t="shared" si="47"/>
        <v>0.42750000000000005</v>
      </c>
      <c r="FY20" s="39">
        <f t="shared" si="47"/>
        <v>0.33300000000000002</v>
      </c>
      <c r="FZ20" s="39">
        <f t="shared" si="47"/>
        <v>0.40000000000000008</v>
      </c>
      <c r="GA20" s="39">
        <f t="shared" si="47"/>
        <v>0.48799999999999999</v>
      </c>
      <c r="GB20" s="39">
        <f t="shared" si="47"/>
        <v>0.51649999999999996</v>
      </c>
      <c r="GC20" s="39">
        <f t="shared" si="47"/>
        <v>0.4215000000000001</v>
      </c>
      <c r="GD20" s="39">
        <f t="shared" si="47"/>
        <v>0.59349999999999992</v>
      </c>
      <c r="GE20" s="39">
        <f t="shared" si="47"/>
        <v>0.50849999999999995</v>
      </c>
      <c r="GF20" s="39">
        <f t="shared" si="47"/>
        <v>0.441</v>
      </c>
      <c r="GG20" s="39">
        <f t="shared" si="47"/>
        <v>0.4210000000000001</v>
      </c>
      <c r="GH20" s="39">
        <f t="shared" si="47"/>
        <v>0.53850000000000009</v>
      </c>
      <c r="GI20" s="39">
        <f t="shared" si="47"/>
        <v>0.24349999999999997</v>
      </c>
      <c r="GJ20" s="129">
        <f>AVERAGEIF($C$36:$C$173,"=3",GJ$36:GJ$173)</f>
        <v>51.5</v>
      </c>
      <c r="GL20" s="129">
        <f>AVERAGEIF($C$36:$C$173,"=3",GL$36:GL$173)</f>
        <v>8.6818181818181817</v>
      </c>
      <c r="GN20" s="342">
        <f>AVERAGEIF($C$36:$C$173,"=3",GN$36:GN$173)</f>
        <v>0.12363636363636367</v>
      </c>
      <c r="GO20" s="342">
        <f t="shared" ref="GO20:HQ20" si="48">AVERAGEIF($C$36:$C$173,"=3",GO$36:GO$173)</f>
        <v>0.52954545454545443</v>
      </c>
      <c r="GP20" s="342">
        <f t="shared" si="48"/>
        <v>0.32999999999999985</v>
      </c>
      <c r="GQ20" s="342">
        <f t="shared" si="48"/>
        <v>1.7272727272727273E-2</v>
      </c>
      <c r="GR20" s="342">
        <f t="shared" si="48"/>
        <v>0.48227272727272735</v>
      </c>
      <c r="GS20" s="342">
        <f t="shared" si="48"/>
        <v>0.49136363636363628</v>
      </c>
      <c r="GT20" s="342">
        <f t="shared" si="48"/>
        <v>0.59318181818181825</v>
      </c>
      <c r="GU20" s="342">
        <f t="shared" si="48"/>
        <v>0.2195454545454546</v>
      </c>
      <c r="GV20" s="342">
        <f t="shared" si="48"/>
        <v>0.54181818181818187</v>
      </c>
      <c r="GW20" s="342">
        <f t="shared" si="48"/>
        <v>0.46545454545454557</v>
      </c>
      <c r="GX20" s="342">
        <f t="shared" si="48"/>
        <v>0.44500000000000006</v>
      </c>
      <c r="GY20" s="315" t="s">
        <v>173</v>
      </c>
      <c r="GZ20" s="342">
        <f t="shared" si="48"/>
        <v>0.27954545454545454</v>
      </c>
      <c r="HA20" s="342">
        <f t="shared" si="48"/>
        <v>0.66272727272727283</v>
      </c>
      <c r="HB20" s="342">
        <f t="shared" si="48"/>
        <v>0.4413636363636364</v>
      </c>
      <c r="HC20" s="342">
        <f t="shared" si="48"/>
        <v>0.49954545454545463</v>
      </c>
      <c r="HD20" s="342">
        <f t="shared" si="48"/>
        <v>0.54181818181818187</v>
      </c>
      <c r="HE20" s="342">
        <f t="shared" si="48"/>
        <v>0.46045454545454551</v>
      </c>
      <c r="HF20" s="342">
        <f t="shared" si="48"/>
        <v>0.46181818181818185</v>
      </c>
      <c r="HG20" s="342">
        <f t="shared" si="48"/>
        <v>0.65090909090909088</v>
      </c>
      <c r="HH20" s="342">
        <f t="shared" si="48"/>
        <v>0.36318181818181822</v>
      </c>
      <c r="HI20" s="342">
        <f t="shared" si="48"/>
        <v>0.50909090909090915</v>
      </c>
      <c r="HJ20" s="342">
        <f t="shared" si="48"/>
        <v>0.58636363636363653</v>
      </c>
      <c r="HK20" s="342">
        <f t="shared" si="48"/>
        <v>0.52772727272727282</v>
      </c>
      <c r="HL20" s="342">
        <f t="shared" si="48"/>
        <v>0.41727272727272724</v>
      </c>
      <c r="HM20" s="342">
        <f t="shared" si="48"/>
        <v>0.46772727272727271</v>
      </c>
      <c r="HN20" s="342">
        <f t="shared" si="48"/>
        <v>0.47090909090909094</v>
      </c>
      <c r="HO20" s="342">
        <f t="shared" si="48"/>
        <v>0.39954545454545448</v>
      </c>
      <c r="HP20" s="315" t="s">
        <v>173</v>
      </c>
      <c r="HQ20" s="342">
        <f t="shared" si="48"/>
        <v>0.405909090909091</v>
      </c>
      <c r="HR20" s="129">
        <f>AVERAGEIF($C$36:$C$173,"=3",HR$36:HR$173)</f>
        <v>52.272727272727273</v>
      </c>
      <c r="HT20" s="129">
        <f>AVERAGEIF($C$36:$C$173,"=3",HT$36:HT$173)</f>
        <v>8.5</v>
      </c>
      <c r="HV20" s="342">
        <f>AVERAGEIF($C$36:$C$173,"=3",HV$36:HV$173)</f>
        <v>0.1081818181818182</v>
      </c>
      <c r="HW20" s="342">
        <f t="shared" ref="HW20:IZ20" si="49">AVERAGEIF($C$36:$C$173,"=3",HW$36:HW$173)</f>
        <v>0.51272727272727281</v>
      </c>
      <c r="HX20" s="342">
        <f t="shared" si="49"/>
        <v>0.36727272727272736</v>
      </c>
      <c r="HY20" s="342">
        <f t="shared" si="49"/>
        <v>1.3181818181818183E-2</v>
      </c>
      <c r="HZ20" s="342">
        <f t="shared" si="49"/>
        <v>0.35136363636363632</v>
      </c>
      <c r="IA20" s="342">
        <f t="shared" si="49"/>
        <v>0.51</v>
      </c>
      <c r="IB20" s="342">
        <f t="shared" si="49"/>
        <v>0.3318181818181819</v>
      </c>
      <c r="IC20" s="342">
        <f t="shared" si="49"/>
        <v>0.46363636363636368</v>
      </c>
      <c r="ID20" s="342">
        <f t="shared" si="49"/>
        <v>0.6122727272727273</v>
      </c>
      <c r="IE20" s="342">
        <f t="shared" si="49"/>
        <v>0.31227272727272726</v>
      </c>
      <c r="IF20" s="342">
        <f t="shared" si="49"/>
        <v>0.39272727272727276</v>
      </c>
      <c r="IG20" s="342">
        <f t="shared" si="49"/>
        <v>0.52090909090909099</v>
      </c>
      <c r="IH20" s="342">
        <f t="shared" si="49"/>
        <v>0.49318181818181817</v>
      </c>
      <c r="II20" s="342">
        <f t="shared" si="49"/>
        <v>0.31863636363636361</v>
      </c>
      <c r="IJ20" s="342">
        <f t="shared" si="49"/>
        <v>0.25636363636363635</v>
      </c>
      <c r="IK20" s="342">
        <f t="shared" si="49"/>
        <v>0.5586363636363636</v>
      </c>
      <c r="IL20" s="342">
        <f t="shared" si="49"/>
        <v>0.31954545454545452</v>
      </c>
      <c r="IM20" s="342">
        <f t="shared" si="49"/>
        <v>0.55363636363636359</v>
      </c>
      <c r="IN20" s="342">
        <f t="shared" si="49"/>
        <v>0.4222727272727273</v>
      </c>
      <c r="IO20" s="342">
        <f t="shared" si="49"/>
        <v>0.52636363636363648</v>
      </c>
      <c r="IP20" s="342">
        <f t="shared" si="49"/>
        <v>0.39318181818181819</v>
      </c>
      <c r="IQ20" s="342">
        <f t="shared" si="49"/>
        <v>0.64545454545454561</v>
      </c>
      <c r="IR20" s="342">
        <f t="shared" si="49"/>
        <v>0.53545454545454563</v>
      </c>
      <c r="IS20" s="342">
        <f t="shared" si="49"/>
        <v>0.49500000000000011</v>
      </c>
      <c r="IT20" s="342">
        <f t="shared" si="49"/>
        <v>0.40545454545454535</v>
      </c>
      <c r="IU20" s="315" t="s">
        <v>173</v>
      </c>
      <c r="IV20" s="342">
        <f t="shared" si="49"/>
        <v>0.59500000000000008</v>
      </c>
      <c r="IW20" s="342">
        <f t="shared" si="49"/>
        <v>0.40909090909090917</v>
      </c>
      <c r="IX20" s="342">
        <f t="shared" si="49"/>
        <v>0.47545454545454557</v>
      </c>
      <c r="IY20" s="342">
        <f t="shared" si="49"/>
        <v>0.48590909090909079</v>
      </c>
      <c r="IZ20" s="129">
        <f t="shared" si="49"/>
        <v>52.727272727272727</v>
      </c>
      <c r="JA20" s="495"/>
      <c r="JB20" s="129">
        <f>AVERAGEIF($C$36:$C$173,"=3",JB$36:JB$173)</f>
        <v>8.454545454545455</v>
      </c>
      <c r="JC20" s="495"/>
      <c r="JD20" s="342">
        <f>AVERAGEIF($C$36:$C$173,"=3",JD$36:JD$173)</f>
        <v>0.10363636363636365</v>
      </c>
      <c r="JE20" s="342">
        <f>AVERAGEIF($C$36:$C$173,"=3",JE$36:JE$173)</f>
        <v>0.47818181818181826</v>
      </c>
      <c r="JF20" s="342">
        <f>AVERAGEIF($C$36:$C$173,"=3",JF$36:JF$173)</f>
        <v>0.39772727272727282</v>
      </c>
      <c r="JG20" s="342">
        <f>AVERAGEIF($C$36:$C$173,"=3",JG$36:JG$173)</f>
        <v>1.9545454545454553E-2</v>
      </c>
      <c r="JH20" s="342">
        <f t="shared" ref="JH20:KC20" si="50">AVERAGEIF($C$36:$C$173,"=3",JH$36:JH$173)</f>
        <v>0.41636363636363638</v>
      </c>
      <c r="JI20" s="342">
        <f t="shared" si="50"/>
        <v>0.41090909090909095</v>
      </c>
      <c r="JJ20" s="342">
        <f t="shared" si="50"/>
        <v>0.39136363636363636</v>
      </c>
      <c r="JK20" s="342">
        <f t="shared" si="50"/>
        <v>0.45045454545454561</v>
      </c>
      <c r="JL20" s="342">
        <f t="shared" si="50"/>
        <v>0.44636363636363652</v>
      </c>
      <c r="JM20" s="342">
        <f t="shared" si="50"/>
        <v>0.45954545454545459</v>
      </c>
      <c r="JN20" s="342">
        <f t="shared" si="50"/>
        <v>0.38863636363636367</v>
      </c>
      <c r="JO20" s="342">
        <f t="shared" si="50"/>
        <v>0.45045454545454555</v>
      </c>
      <c r="JP20" s="342">
        <f t="shared" si="50"/>
        <v>0.50863636363636366</v>
      </c>
      <c r="JQ20" s="342">
        <f t="shared" si="50"/>
        <v>0.25954545454545458</v>
      </c>
      <c r="JR20" s="342">
        <f t="shared" si="50"/>
        <v>0.5663636363636364</v>
      </c>
      <c r="JS20" s="342">
        <f t="shared" si="50"/>
        <v>0.48227272727272724</v>
      </c>
      <c r="JT20" s="342">
        <f t="shared" si="50"/>
        <v>0.39590909090909104</v>
      </c>
      <c r="JU20" s="342">
        <f t="shared" si="50"/>
        <v>0.48772727272727273</v>
      </c>
      <c r="JV20" s="342">
        <f t="shared" si="50"/>
        <v>0.46409090909090905</v>
      </c>
      <c r="JW20" s="342">
        <f t="shared" si="50"/>
        <v>0.45772727272727276</v>
      </c>
      <c r="JX20" s="342">
        <f t="shared" si="50"/>
        <v>0.38318181818181818</v>
      </c>
      <c r="JY20" s="342">
        <f t="shared" si="50"/>
        <v>0.46954545454545465</v>
      </c>
      <c r="JZ20" s="342">
        <f t="shared" si="50"/>
        <v>0.4209090909090909</v>
      </c>
      <c r="KA20" s="342">
        <f t="shared" si="50"/>
        <v>0.59681818181818191</v>
      </c>
      <c r="KB20" s="342">
        <f t="shared" si="50"/>
        <v>0.42090909090909095</v>
      </c>
      <c r="KC20" s="342">
        <f t="shared" si="50"/>
        <v>0.63590909090909098</v>
      </c>
      <c r="KD20" s="342">
        <f>AVERAGEIF($C$36:$C$173,"=3",KD$36:KD$173)</f>
        <v>0.34454545454545454</v>
      </c>
      <c r="KE20" s="342">
        <f>AVERAGEIF($C$36:$C$173,"=3",KE$36:KE$173)</f>
        <v>0.48090909090909101</v>
      </c>
      <c r="KF20" s="342">
        <f>AVERAGEIF($C$36:$C$173,"=3",KF$36:KF$173)</f>
        <v>0.43727272727272726</v>
      </c>
      <c r="KG20" s="342">
        <f>AVERAGEIF($C$36:$C$173,"=3",KG$36:KG$173)</f>
        <v>0.48954545454545451</v>
      </c>
      <c r="KH20" s="129">
        <f>AVERAGEIF($C$36:$C$173,"=3",KH$36:KH$173)</f>
        <v>53.227272727272727</v>
      </c>
      <c r="KI20" s="970"/>
      <c r="KJ20" s="129">
        <f>AVERAGEIF($C$36:$C$173,"=3",KJ$36:KJ$173)</f>
        <v>8.8636363636363633</v>
      </c>
      <c r="KK20" s="970"/>
      <c r="KL20" s="342">
        <f>AVERAGEIF($C$36:$C$173,"=3",KL$36:KL$173)</f>
        <v>9.6818181818181831E-2</v>
      </c>
      <c r="KM20" s="342">
        <f t="shared" ref="KM20:LO20" si="51">AVERAGEIF($C$36:$C$173,"=3",KM$36:KM$173)</f>
        <v>0.48136363636363627</v>
      </c>
      <c r="KN20" s="342">
        <f t="shared" si="51"/>
        <v>0.39636363636363642</v>
      </c>
      <c r="KO20" s="342">
        <f t="shared" si="51"/>
        <v>2.5000000000000008E-2</v>
      </c>
      <c r="KP20" s="342">
        <f t="shared" si="51"/>
        <v>0.47363636363636363</v>
      </c>
      <c r="KQ20" s="342">
        <f t="shared" si="51"/>
        <v>0.25136363636363634</v>
      </c>
      <c r="KR20" s="342">
        <f t="shared" si="51"/>
        <v>0.56681818181818178</v>
      </c>
      <c r="KS20" s="342">
        <f t="shared" si="51"/>
        <v>0.4540909090909091</v>
      </c>
      <c r="KT20" s="342">
        <f t="shared" si="51"/>
        <v>0.52818181818181809</v>
      </c>
      <c r="KU20" s="342">
        <f t="shared" si="51"/>
        <v>0.34</v>
      </c>
      <c r="KV20" s="342">
        <f t="shared" si="51"/>
        <v>0.57409090909090899</v>
      </c>
      <c r="KW20" s="342">
        <f t="shared" si="51"/>
        <v>0.33272727272727276</v>
      </c>
      <c r="KX20" s="342">
        <f t="shared" si="51"/>
        <v>0.31136363636363629</v>
      </c>
      <c r="KY20" s="342">
        <f t="shared" si="51"/>
        <v>0.49409090909090908</v>
      </c>
      <c r="KZ20" s="342">
        <f t="shared" si="51"/>
        <v>0.35409090909090912</v>
      </c>
      <c r="LA20" s="342">
        <f t="shared" si="51"/>
        <v>0.37090909090909085</v>
      </c>
      <c r="LB20" s="342">
        <f t="shared" si="51"/>
        <v>0.3954545454545455</v>
      </c>
      <c r="LC20" s="342">
        <f t="shared" si="51"/>
        <v>0.36545454545454548</v>
      </c>
      <c r="LD20" s="342">
        <f t="shared" si="51"/>
        <v>0.53090909090909089</v>
      </c>
      <c r="LE20" s="342">
        <f t="shared" si="51"/>
        <v>0.4681818181818182</v>
      </c>
      <c r="LF20" s="342">
        <f t="shared" si="51"/>
        <v>0.30681818181818182</v>
      </c>
      <c r="LG20" s="342">
        <f t="shared" si="51"/>
        <v>0.38772727272727275</v>
      </c>
      <c r="LH20" s="342">
        <f t="shared" si="51"/>
        <v>0.52681818181818185</v>
      </c>
      <c r="LI20" s="342">
        <f t="shared" si="51"/>
        <v>0.47545454545454557</v>
      </c>
      <c r="LJ20" s="342">
        <f t="shared" si="51"/>
        <v>0.39909090909090905</v>
      </c>
      <c r="LK20" s="342">
        <f>AVERAGEIF($C$36:$C$173,"=3",LK$36:LK$173)</f>
        <v>0.53681818181818197</v>
      </c>
      <c r="LL20" s="342" t="s">
        <v>173</v>
      </c>
      <c r="LM20" s="342">
        <f t="shared" si="51"/>
        <v>0.55000000000000004</v>
      </c>
      <c r="LN20" s="342">
        <f t="shared" si="51"/>
        <v>0.55954545454545457</v>
      </c>
      <c r="LO20" s="342">
        <f t="shared" si="51"/>
        <v>0.39</v>
      </c>
    </row>
    <row r="21" spans="1:327" ht="24.95" customHeight="1" x14ac:dyDescent="0.2">
      <c r="A21" s="197" t="s">
        <v>143</v>
      </c>
      <c r="B21" s="6"/>
      <c r="C21" s="6"/>
      <c r="D21" s="129">
        <f>AVERAGEIF($C$36:$C$173,"=4",D$36:D$173)</f>
        <v>51.142857142857146</v>
      </c>
      <c r="E21" s="129">
        <f>AVERAGEIF($C$36:$C$173,"=4",E$36:E$173)</f>
        <v>6.9285714285714288</v>
      </c>
      <c r="F21" s="39">
        <f>AVERAGEIF($C$36:$C$173,"=4",F$36:F$173)</f>
        <v>0.1207142857142857</v>
      </c>
      <c r="G21" s="39">
        <f t="shared" ref="G21:AG21" si="52">AVERAGEIF($C$36:$C$173,"=4",G$36:G$173)</f>
        <v>0.59642857142857142</v>
      </c>
      <c r="H21" s="39">
        <f t="shared" si="52"/>
        <v>0.28214285714285714</v>
      </c>
      <c r="I21" s="39">
        <f t="shared" si="52"/>
        <v>1.4285714285714286E-3</v>
      </c>
      <c r="J21" s="39">
        <f t="shared" si="52"/>
        <v>0.45214285714285712</v>
      </c>
      <c r="K21" s="39">
        <f t="shared" si="52"/>
        <v>0.45571428571428563</v>
      </c>
      <c r="L21" s="39">
        <f t="shared" si="52"/>
        <v>0.78857142857142848</v>
      </c>
      <c r="M21" s="39">
        <f t="shared" si="52"/>
        <v>0.30785714285714283</v>
      </c>
      <c r="N21" s="39">
        <f t="shared" si="52"/>
        <v>0.33285714285714274</v>
      </c>
      <c r="O21" s="39">
        <f t="shared" si="52"/>
        <v>0.65142857142857147</v>
      </c>
      <c r="P21" s="39">
        <f t="shared" si="52"/>
        <v>0.37142857142857144</v>
      </c>
      <c r="Q21" s="39">
        <f t="shared" si="52"/>
        <v>0.43642857142857144</v>
      </c>
      <c r="R21" s="39">
        <f t="shared" si="52"/>
        <v>0.55785714285714294</v>
      </c>
      <c r="S21" s="39">
        <f t="shared" si="52"/>
        <v>0.57214285714285718</v>
      </c>
      <c r="T21" s="39">
        <f t="shared" si="52"/>
        <v>0.4678571428571428</v>
      </c>
      <c r="U21" s="39">
        <f t="shared" si="52"/>
        <v>0.64714285714285702</v>
      </c>
      <c r="V21" s="39">
        <f t="shared" si="52"/>
        <v>9.6428571428571433E-2</v>
      </c>
      <c r="W21" s="39">
        <f t="shared" si="52"/>
        <v>0.2</v>
      </c>
      <c r="X21" s="39">
        <f t="shared" si="52"/>
        <v>0.56214285714285717</v>
      </c>
      <c r="Y21" s="39">
        <f t="shared" si="52"/>
        <v>0.54642857142857149</v>
      </c>
      <c r="Z21" s="39">
        <f t="shared" si="52"/>
        <v>0.82499999999999996</v>
      </c>
      <c r="AA21" s="39">
        <f t="shared" si="52"/>
        <v>0.13928571428571432</v>
      </c>
      <c r="AB21" s="39">
        <f t="shared" si="52"/>
        <v>0.50071428571428578</v>
      </c>
      <c r="AC21" s="39">
        <f t="shared" si="52"/>
        <v>0.37714285714285711</v>
      </c>
      <c r="AD21" s="39">
        <f t="shared" si="52"/>
        <v>0.49714285714285716</v>
      </c>
      <c r="AE21" s="39">
        <f t="shared" si="52"/>
        <v>0.49714285714285722</v>
      </c>
      <c r="AF21" s="39">
        <f t="shared" si="52"/>
        <v>0.53142857142857136</v>
      </c>
      <c r="AG21" s="39">
        <f t="shared" si="52"/>
        <v>0.55500000000000005</v>
      </c>
      <c r="AH21" s="129">
        <f>AVERAGEIF($C$36:$C$173,"=4",AH$36:AH$173)</f>
        <v>51.2</v>
      </c>
      <c r="AI21" s="129">
        <f>AVERAGEIF($C$36:$C$173,"=4",AI$36:AI$173)</f>
        <v>7</v>
      </c>
      <c r="AJ21" s="39">
        <f>AVERAGEIF($C$36:$C$173,"=4",AJ$36:AJ$173)</f>
        <v>0.114</v>
      </c>
      <c r="AK21" s="39">
        <f t="shared" ref="AK21:BL21" si="53">AVERAGEIF($C$36:$C$173,"=4",AK$36:AK$173)</f>
        <v>0.55266666666666664</v>
      </c>
      <c r="AL21" s="39">
        <f t="shared" si="53"/>
        <v>0.32866666666666672</v>
      </c>
      <c r="AM21" s="39">
        <f t="shared" si="53"/>
        <v>6.000000000000001E-3</v>
      </c>
      <c r="AN21" s="39">
        <f t="shared" si="53"/>
        <v>0.28133333333333338</v>
      </c>
      <c r="AO21" s="39">
        <f t="shared" si="53"/>
        <v>0.4386666666666667</v>
      </c>
      <c r="AP21" s="39">
        <f t="shared" si="53"/>
        <v>0.60599999999999998</v>
      </c>
      <c r="AQ21" s="39">
        <f t="shared" si="53"/>
        <v>0.42333333333333328</v>
      </c>
      <c r="AR21" s="39">
        <f t="shared" si="53"/>
        <v>0.58333333333333337</v>
      </c>
      <c r="AS21" s="39">
        <f t="shared" si="53"/>
        <v>0.52533333333333343</v>
      </c>
      <c r="AT21" s="39">
        <f t="shared" si="53"/>
        <v>0.53600000000000003</v>
      </c>
      <c r="AU21" s="39">
        <f t="shared" si="53"/>
        <v>0.53866666666666652</v>
      </c>
      <c r="AV21" s="39">
        <f t="shared" si="53"/>
        <v>0.61199999999999999</v>
      </c>
      <c r="AW21" s="39">
        <f t="shared" si="53"/>
        <v>0.48533333333333334</v>
      </c>
      <c r="AX21" s="39">
        <f t="shared" si="53"/>
        <v>0.59928571428571431</v>
      </c>
      <c r="AY21" s="39">
        <f t="shared" si="53"/>
        <v>0.35866666666666674</v>
      </c>
      <c r="AZ21" s="39">
        <f t="shared" si="53"/>
        <v>0.33800000000000002</v>
      </c>
      <c r="BA21" s="39">
        <f t="shared" si="53"/>
        <v>0.48866666666666675</v>
      </c>
      <c r="BB21" s="39">
        <f t="shared" si="53"/>
        <v>0.63200000000000001</v>
      </c>
      <c r="BC21" s="39">
        <f t="shared" si="53"/>
        <v>0.60733333333333328</v>
      </c>
      <c r="BD21" s="39">
        <f t="shared" si="53"/>
        <v>0.44533333333333325</v>
      </c>
      <c r="BE21" s="39">
        <f t="shared" si="53"/>
        <v>0.55666666666666675</v>
      </c>
      <c r="BF21" s="39">
        <f t="shared" si="53"/>
        <v>0.61142857142857143</v>
      </c>
      <c r="BG21" s="39">
        <f t="shared" si="53"/>
        <v>0.47866666666666663</v>
      </c>
      <c r="BH21" s="39">
        <f t="shared" si="53"/>
        <v>0.45266666666666666</v>
      </c>
      <c r="BI21" s="39">
        <f t="shared" si="53"/>
        <v>0.42200000000000004</v>
      </c>
      <c r="BJ21" s="39">
        <f t="shared" si="53"/>
        <v>0.42199999999999993</v>
      </c>
      <c r="BK21" s="39">
        <f t="shared" si="53"/>
        <v>0.45933333333333332</v>
      </c>
      <c r="BL21" s="39">
        <f t="shared" si="53"/>
        <v>0.52071428571428569</v>
      </c>
      <c r="BM21" s="129">
        <f>AVERAGEIF($C$36:$C$173,"=4",BM$36:BM$173)</f>
        <v>49.266666666666666</v>
      </c>
      <c r="BN21" s="129">
        <f>AVERAGEIF($C$36:$C$173,"=4",BN$36:BN$173)</f>
        <v>7.4</v>
      </c>
      <c r="BO21" s="39">
        <f>AVERAGEIF($C$36:$C$173,"=4",BO$36:BO$173)</f>
        <v>0.17666666666666667</v>
      </c>
      <c r="BP21" s="39">
        <f t="shared" ref="BP21:CR21" si="54">AVERAGEIF($C$36:$C$173,"=4",BP$36:BP$173)</f>
        <v>0.57533333333333325</v>
      </c>
      <c r="BQ21" s="39">
        <f t="shared" si="54"/>
        <v>0.24800000000000003</v>
      </c>
      <c r="BR21" s="39">
        <f t="shared" si="54"/>
        <v>2E-3</v>
      </c>
      <c r="BS21" s="39">
        <f t="shared" si="54"/>
        <v>0.35866666666666658</v>
      </c>
      <c r="BT21" s="39">
        <f t="shared" si="54"/>
        <v>0.64400000000000013</v>
      </c>
      <c r="BU21" s="39">
        <f t="shared" si="54"/>
        <v>0.68399999999999983</v>
      </c>
      <c r="BV21" s="39">
        <f t="shared" si="54"/>
        <v>0.36799999999999999</v>
      </c>
      <c r="BW21" s="39">
        <f t="shared" si="54"/>
        <v>0.67800000000000005</v>
      </c>
      <c r="BX21" s="39">
        <f t="shared" si="54"/>
        <v>0.42799999999999999</v>
      </c>
      <c r="BY21" s="39">
        <f t="shared" si="54"/>
        <v>0.48333333333333339</v>
      </c>
      <c r="BZ21" s="39">
        <f t="shared" si="54"/>
        <v>0.55666666666666664</v>
      </c>
      <c r="CA21" s="39">
        <f t="shared" si="54"/>
        <v>0.52533333333333332</v>
      </c>
      <c r="CB21" s="39">
        <f t="shared" si="54"/>
        <v>0.41066666666666668</v>
      </c>
      <c r="CC21" s="39">
        <f t="shared" si="54"/>
        <v>0.23000000000000004</v>
      </c>
      <c r="CD21" s="39">
        <f t="shared" si="54"/>
        <v>0.46</v>
      </c>
      <c r="CE21" s="39">
        <f t="shared" si="54"/>
        <v>0.33933333333333332</v>
      </c>
      <c r="CF21" s="39">
        <f t="shared" si="54"/>
        <v>0.6066666666666668</v>
      </c>
      <c r="CG21" s="39">
        <f t="shared" si="54"/>
        <v>0.60199999999999998</v>
      </c>
      <c r="CH21" s="39">
        <f t="shared" si="54"/>
        <v>0.48399999999999999</v>
      </c>
      <c r="CI21" s="39">
        <f t="shared" si="54"/>
        <v>0.62199999999999989</v>
      </c>
      <c r="CJ21" s="39">
        <f t="shared" si="54"/>
        <v>0.32466666666666666</v>
      </c>
      <c r="CK21" s="39">
        <f t="shared" si="54"/>
        <v>0.7446666666666667</v>
      </c>
      <c r="CL21" s="39">
        <f t="shared" si="54"/>
        <v>0.35933333333333339</v>
      </c>
      <c r="CM21" s="39">
        <f t="shared" si="54"/>
        <v>0.47800000000000009</v>
      </c>
      <c r="CN21" s="39">
        <f t="shared" si="54"/>
        <v>0.47666666666666668</v>
      </c>
      <c r="CO21" s="39">
        <f t="shared" si="54"/>
        <v>0.52133333333333332</v>
      </c>
      <c r="CP21" s="39">
        <f t="shared" si="54"/>
        <v>0.38600000000000001</v>
      </c>
      <c r="CQ21" s="39">
        <f t="shared" si="54"/>
        <v>0.53400000000000003</v>
      </c>
      <c r="CR21" s="39">
        <f t="shared" si="54"/>
        <v>0.55066666666666664</v>
      </c>
      <c r="CS21" s="129">
        <f>AVERAGEIF($C$36:$C$173,"=4",CS$36:CS$173)</f>
        <v>47.714285714285715</v>
      </c>
      <c r="CT21" s="129">
        <f>AVERAGEIF($C$36:$C$173,"=4",CT$36:CT$173)</f>
        <v>7.7142857142857144</v>
      </c>
      <c r="CU21" s="39">
        <f>AVERAGEIF($C$36:$C$173,"=4",CU$36:CU$173)</f>
        <v>0.19285714285714287</v>
      </c>
      <c r="CV21" s="39">
        <f t="shared" ref="CV21:DW21" si="55">AVERAGEIF($C$36:$C$173,"=4",CV$36:CV$173)</f>
        <v>0.63642857142857145</v>
      </c>
      <c r="CW21" s="39">
        <f t="shared" si="55"/>
        <v>0.16928571428571429</v>
      </c>
      <c r="CX21" s="39">
        <f t="shared" si="55"/>
        <v>2.142857142857143E-3</v>
      </c>
      <c r="CY21" s="39">
        <f t="shared" si="55"/>
        <v>0.54214285714285715</v>
      </c>
      <c r="CZ21" s="39">
        <f t="shared" si="55"/>
        <v>0.3378571428571428</v>
      </c>
      <c r="DA21" s="39">
        <f t="shared" si="55"/>
        <v>0.59285714285714286</v>
      </c>
      <c r="DB21" s="39">
        <f t="shared" si="55"/>
        <v>0.40928571428571425</v>
      </c>
      <c r="DC21" s="39">
        <f t="shared" si="55"/>
        <v>0.45571428571428568</v>
      </c>
      <c r="DD21" s="39">
        <f t="shared" si="55"/>
        <v>0.63142857142857156</v>
      </c>
      <c r="DE21" s="39">
        <f t="shared" si="55"/>
        <v>0.49142857142857138</v>
      </c>
      <c r="DF21" s="39">
        <f t="shared" si="55"/>
        <v>0.57928571428571429</v>
      </c>
      <c r="DG21" s="39">
        <f t="shared" si="55"/>
        <v>0.4707142857142857</v>
      </c>
      <c r="DH21" s="39">
        <f t="shared" si="55"/>
        <v>0.39071428571428568</v>
      </c>
      <c r="DI21" s="39">
        <f t="shared" si="55"/>
        <v>0.55285714285714282</v>
      </c>
      <c r="DJ21" s="39">
        <f t="shared" si="55"/>
        <v>0.5742857142857144</v>
      </c>
      <c r="DK21" s="39">
        <f t="shared" si="55"/>
        <v>0.41214285714285709</v>
      </c>
      <c r="DL21" s="39">
        <f t="shared" si="55"/>
        <v>0.43071428571428572</v>
      </c>
      <c r="DM21" s="39">
        <f t="shared" si="55"/>
        <v>0.53999999999999992</v>
      </c>
      <c r="DN21" s="39">
        <f t="shared" si="55"/>
        <v>0.52214285714285713</v>
      </c>
      <c r="DO21" s="39">
        <f t="shared" si="55"/>
        <v>0.48214285714285715</v>
      </c>
      <c r="DP21" s="39">
        <f t="shared" si="55"/>
        <v>0.50071428571428567</v>
      </c>
      <c r="DQ21" s="39">
        <f t="shared" si="55"/>
        <v>0.57714285714285718</v>
      </c>
      <c r="DR21" s="39">
        <f t="shared" si="55"/>
        <v>0.23357142857142857</v>
      </c>
      <c r="DS21" s="39">
        <f t="shared" si="55"/>
        <v>0.42</v>
      </c>
      <c r="DT21" s="39">
        <f t="shared" si="55"/>
        <v>0.5892857142857143</v>
      </c>
      <c r="DU21" s="39">
        <f t="shared" si="55"/>
        <v>0.48285714285714293</v>
      </c>
      <c r="DV21" s="39">
        <f t="shared" si="55"/>
        <v>0.63071428571428567</v>
      </c>
      <c r="DW21" s="39">
        <f t="shared" si="55"/>
        <v>0.37642857142857145</v>
      </c>
      <c r="DX21" s="129">
        <f>AVERAGEIF($C$36:$C$173,"=4",DX$36:DX$173)</f>
        <v>47</v>
      </c>
      <c r="DY21" s="129">
        <f>AVERAGEIF($C$36:$C$173,"=4",DY$36:DY$173)</f>
        <v>8.2307692307692299</v>
      </c>
      <c r="DZ21" s="39">
        <f>AVERAGEIF($C$36:$C$173,"=4",DZ$36:DZ$173)</f>
        <v>0.23846153846153847</v>
      </c>
      <c r="EA21" s="39">
        <f t="shared" ref="EA21:FA21" si="56">AVERAGEIF($C$36:$C$173,"=4",EA$36:EA$173)</f>
        <v>0.57000000000000006</v>
      </c>
      <c r="EB21" s="39">
        <f t="shared" si="56"/>
        <v>0.18923076923076923</v>
      </c>
      <c r="EC21" s="39">
        <f t="shared" si="56"/>
        <v>2.3076923076923075E-3</v>
      </c>
      <c r="ED21" s="39">
        <f t="shared" si="56"/>
        <v>0.5507692307692309</v>
      </c>
      <c r="EE21" s="39">
        <f t="shared" si="56"/>
        <v>0.48307692307692301</v>
      </c>
      <c r="EF21" s="39">
        <f t="shared" si="56"/>
        <v>0.51</v>
      </c>
      <c r="EG21" s="39">
        <f t="shared" si="56"/>
        <v>0.39846153846153842</v>
      </c>
      <c r="EH21" s="39">
        <f t="shared" si="56"/>
        <v>0.48230769230769227</v>
      </c>
      <c r="EI21" s="39">
        <f t="shared" si="56"/>
        <v>0.58846153846153837</v>
      </c>
      <c r="EJ21" s="39">
        <f t="shared" si="56"/>
        <v>0.58923076923076934</v>
      </c>
      <c r="EK21" s="39">
        <f t="shared" si="56"/>
        <v>0.30923076923076925</v>
      </c>
      <c r="EL21" s="39">
        <f t="shared" si="56"/>
        <v>0.51615384615384619</v>
      </c>
      <c r="EM21" s="39">
        <f t="shared" si="56"/>
        <v>0.70000000000000007</v>
      </c>
      <c r="EN21" s="39">
        <f t="shared" si="56"/>
        <v>0.51230769230769224</v>
      </c>
      <c r="EO21" s="39">
        <f t="shared" si="56"/>
        <v>0.62461538461538457</v>
      </c>
      <c r="EP21" s="39">
        <f t="shared" si="56"/>
        <v>0.42846153846153856</v>
      </c>
      <c r="EQ21" s="39">
        <f t="shared" si="56"/>
        <v>0.37538461538461537</v>
      </c>
      <c r="ER21" s="39">
        <f t="shared" si="56"/>
        <v>0.62076923076923074</v>
      </c>
      <c r="ES21" s="39">
        <f t="shared" si="56"/>
        <v>0.50846153846153852</v>
      </c>
      <c r="ET21" s="39">
        <f t="shared" si="56"/>
        <v>0.39076923076923087</v>
      </c>
      <c r="EU21" s="39">
        <f t="shared" si="56"/>
        <v>0.65538461538461534</v>
      </c>
      <c r="EV21" s="39">
        <f t="shared" si="56"/>
        <v>0.42</v>
      </c>
      <c r="EW21" s="39">
        <f t="shared" si="56"/>
        <v>0.38230769230769229</v>
      </c>
      <c r="EX21" s="39">
        <f t="shared" si="56"/>
        <v>0.72846153846153838</v>
      </c>
      <c r="EY21" s="39">
        <f t="shared" si="56"/>
        <v>0.61846153846153851</v>
      </c>
      <c r="EZ21" s="39">
        <f t="shared" si="56"/>
        <v>0.26615384615384613</v>
      </c>
      <c r="FA21" s="39">
        <f t="shared" si="56"/>
        <v>0.6576923076923078</v>
      </c>
      <c r="FB21" s="129">
        <f>AVERAGEIF($C$36:$C$173,"=4",FB$36:FB$173)</f>
        <v>47.571428571428569</v>
      </c>
      <c r="FD21" s="129">
        <f>AVERAGEIF($C$36:$C$173,"=4",FD$36:FD$173)</f>
        <v>7.0714285714285712</v>
      </c>
      <c r="FF21" s="39">
        <f>AVERAGEIF($C$36:$C$173,"=4",FF$36:FF$173)</f>
        <v>0.19714285714285712</v>
      </c>
      <c r="FG21" s="39">
        <f t="shared" ref="FG21:GI21" si="57">AVERAGEIF($C$36:$C$173,"=4",FG$36:FG$173)</f>
        <v>0.64071428571428579</v>
      </c>
      <c r="FH21" s="39">
        <f t="shared" si="57"/>
        <v>0.16</v>
      </c>
      <c r="FI21" s="39">
        <f t="shared" si="57"/>
        <v>2.142857142857143E-3</v>
      </c>
      <c r="FJ21" s="39">
        <f t="shared" si="57"/>
        <v>0.55214285714285716</v>
      </c>
      <c r="FK21" s="39">
        <f t="shared" si="57"/>
        <v>0.68071428571428572</v>
      </c>
      <c r="FL21" s="39">
        <f t="shared" si="57"/>
        <v>0.54785714285714282</v>
      </c>
      <c r="FM21" s="39">
        <f t="shared" si="57"/>
        <v>0.53071428571428581</v>
      </c>
      <c r="FN21" s="39">
        <f t="shared" si="57"/>
        <v>0.34769230769230774</v>
      </c>
      <c r="FO21" s="39">
        <f t="shared" si="57"/>
        <v>0.39857142857142858</v>
      </c>
      <c r="FP21" s="39">
        <f t="shared" si="57"/>
        <v>0.45785714285714291</v>
      </c>
      <c r="FQ21" s="39">
        <f t="shared" si="57"/>
        <v>0.44785714285714295</v>
      </c>
      <c r="FR21" s="39">
        <f t="shared" si="57"/>
        <v>0.5971428571428572</v>
      </c>
      <c r="FS21" s="39">
        <f t="shared" si="57"/>
        <v>0.58857142857142863</v>
      </c>
      <c r="FT21" s="39">
        <f t="shared" si="57"/>
        <v>0.55642857142857138</v>
      </c>
      <c r="FU21" s="39">
        <f t="shared" si="57"/>
        <v>0.44461538461538458</v>
      </c>
      <c r="FV21" s="39">
        <f t="shared" si="57"/>
        <v>0.66642857142857159</v>
      </c>
      <c r="FW21" s="39">
        <f t="shared" si="57"/>
        <v>0.58285714285714285</v>
      </c>
      <c r="FX21" s="39">
        <f t="shared" si="57"/>
        <v>0.52785714285714291</v>
      </c>
      <c r="FY21" s="39">
        <f t="shared" si="57"/>
        <v>0.37928571428571439</v>
      </c>
      <c r="FZ21" s="39">
        <f t="shared" si="57"/>
        <v>0.42428571428571427</v>
      </c>
      <c r="GA21" s="39">
        <f t="shared" si="57"/>
        <v>0.50928571428571434</v>
      </c>
      <c r="GB21" s="39">
        <f t="shared" si="57"/>
        <v>0.61857142857142855</v>
      </c>
      <c r="GC21" s="39">
        <f t="shared" si="57"/>
        <v>0.48214285714285721</v>
      </c>
      <c r="GD21" s="39">
        <f t="shared" si="57"/>
        <v>0.64857142857142858</v>
      </c>
      <c r="GE21" s="39">
        <f t="shared" si="57"/>
        <v>0.52071428571428569</v>
      </c>
      <c r="GF21" s="39">
        <f t="shared" si="57"/>
        <v>0.51076923076923064</v>
      </c>
      <c r="GG21" s="39">
        <f t="shared" si="57"/>
        <v>0.52785714285714291</v>
      </c>
      <c r="GH21" s="39">
        <f t="shared" si="57"/>
        <v>0.57999999999999996</v>
      </c>
      <c r="GI21" s="39">
        <f t="shared" si="57"/>
        <v>0.29928571428571427</v>
      </c>
      <c r="GJ21" s="129">
        <f>AVERAGEIF($C$36:$C$173,"=4",GJ$36:GJ$173)</f>
        <v>48.5</v>
      </c>
      <c r="GL21" s="129">
        <f>AVERAGEIF($C$36:$C$173,"=4",GL$36:GL$173)</f>
        <v>8.5</v>
      </c>
      <c r="GN21" s="342">
        <f>AVERAGEIF($C$36:$C$173,"=4",GN$36:GN$173)</f>
        <v>0.21857142857142856</v>
      </c>
      <c r="GO21" s="342">
        <f t="shared" ref="GO21:HQ21" si="58">AVERAGEIF($C$36:$C$173,"=4",GO$36:GO$173)</f>
        <v>0.55928571428571439</v>
      </c>
      <c r="GP21" s="342">
        <f t="shared" si="58"/>
        <v>0.20999999999999996</v>
      </c>
      <c r="GQ21" s="342">
        <f t="shared" si="58"/>
        <v>1.2857142857142857E-2</v>
      </c>
      <c r="GR21" s="342">
        <f t="shared" si="58"/>
        <v>0.52500000000000002</v>
      </c>
      <c r="GS21" s="342">
        <f t="shared" si="58"/>
        <v>0.6000000000000002</v>
      </c>
      <c r="GT21" s="342">
        <f t="shared" si="58"/>
        <v>0.64928571428571424</v>
      </c>
      <c r="GU21" s="342">
        <f t="shared" si="58"/>
        <v>0.31214285714285711</v>
      </c>
      <c r="GV21" s="342">
        <f t="shared" si="58"/>
        <v>0.60928571428571421</v>
      </c>
      <c r="GW21" s="342">
        <f t="shared" si="58"/>
        <v>0.50428571428571434</v>
      </c>
      <c r="GX21" s="342">
        <f t="shared" si="58"/>
        <v>0.51357142857142857</v>
      </c>
      <c r="GY21" s="315" t="s">
        <v>173</v>
      </c>
      <c r="GZ21" s="342">
        <f t="shared" si="58"/>
        <v>0.3521428571428572</v>
      </c>
      <c r="HA21" s="342">
        <f t="shared" si="58"/>
        <v>0.63285714285714278</v>
      </c>
      <c r="HB21" s="342">
        <f t="shared" si="58"/>
        <v>0.50214285714285711</v>
      </c>
      <c r="HC21" s="342">
        <f t="shared" si="58"/>
        <v>0.55500000000000005</v>
      </c>
      <c r="HD21" s="342">
        <f t="shared" si="58"/>
        <v>0.59785714285714264</v>
      </c>
      <c r="HE21" s="342">
        <f t="shared" si="58"/>
        <v>0.49357142857142872</v>
      </c>
      <c r="HF21" s="342">
        <f t="shared" si="58"/>
        <v>0.51642857142857146</v>
      </c>
      <c r="HG21" s="342">
        <f t="shared" si="58"/>
        <v>0.67071428571428571</v>
      </c>
      <c r="HH21" s="342">
        <f t="shared" si="58"/>
        <v>0.44071428571428573</v>
      </c>
      <c r="HI21" s="342">
        <f t="shared" si="58"/>
        <v>0.59857142857142853</v>
      </c>
      <c r="HJ21" s="342">
        <f t="shared" si="58"/>
        <v>0.61357142857142855</v>
      </c>
      <c r="HK21" s="342">
        <f t="shared" si="58"/>
        <v>0.52214285714285724</v>
      </c>
      <c r="HL21" s="342">
        <f t="shared" si="58"/>
        <v>0.45285714285714285</v>
      </c>
      <c r="HM21" s="342">
        <f t="shared" si="58"/>
        <v>0.51928571428571424</v>
      </c>
      <c r="HN21" s="342">
        <f t="shared" si="58"/>
        <v>0.4835714285714286</v>
      </c>
      <c r="HO21" s="342">
        <f t="shared" si="58"/>
        <v>0.45571428571428579</v>
      </c>
      <c r="HP21" s="315" t="s">
        <v>173</v>
      </c>
      <c r="HQ21" s="342">
        <f t="shared" si="58"/>
        <v>0.45642857142857141</v>
      </c>
      <c r="HR21" s="129">
        <f>AVERAGEIF($C$36:$C$173,"=4",HR$36:HR$173)</f>
        <v>48</v>
      </c>
      <c r="HT21" s="129">
        <f>AVERAGEIF($C$36:$C$173,"=4",HT$36:HT$173)</f>
        <v>8.3333333333333339</v>
      </c>
      <c r="HV21" s="342">
        <f>AVERAGEIF($C$36:$C$173,"=4",HV$36:HV$173)</f>
        <v>0.21399999999999997</v>
      </c>
      <c r="HW21" s="342">
        <f t="shared" ref="HW21:IZ21" si="59">AVERAGEIF($C$36:$C$173,"=4",HW$36:HW$173)</f>
        <v>0.57000000000000006</v>
      </c>
      <c r="HX21" s="342">
        <f t="shared" si="59"/>
        <v>0.21133333333333332</v>
      </c>
      <c r="HY21" s="342">
        <f t="shared" si="59"/>
        <v>5.3333333333333332E-3</v>
      </c>
      <c r="HZ21" s="342">
        <f t="shared" si="59"/>
        <v>0.45133333333333325</v>
      </c>
      <c r="IA21" s="342">
        <f t="shared" si="59"/>
        <v>0.58533333333333337</v>
      </c>
      <c r="IB21" s="342">
        <f t="shared" si="59"/>
        <v>0.39666666666666667</v>
      </c>
      <c r="IC21" s="342">
        <f t="shared" si="59"/>
        <v>0.56199999999999994</v>
      </c>
      <c r="ID21" s="342">
        <f t="shared" si="59"/>
        <v>0.66066666666666662</v>
      </c>
      <c r="IE21" s="342">
        <f t="shared" si="59"/>
        <v>0.4326666666666667</v>
      </c>
      <c r="IF21" s="342">
        <f t="shared" si="59"/>
        <v>0.47600000000000003</v>
      </c>
      <c r="IG21" s="342">
        <f t="shared" si="59"/>
        <v>0.56533333333333335</v>
      </c>
      <c r="IH21" s="342">
        <f t="shared" si="59"/>
        <v>0.59466666666666657</v>
      </c>
      <c r="II21" s="342">
        <f t="shared" si="59"/>
        <v>0.43133333333333324</v>
      </c>
      <c r="IJ21" s="342">
        <f t="shared" si="59"/>
        <v>0.33999999999999997</v>
      </c>
      <c r="IK21" s="342">
        <f t="shared" si="59"/>
        <v>0.60266666666666657</v>
      </c>
      <c r="IL21" s="342">
        <f t="shared" si="59"/>
        <v>0.35799999999999993</v>
      </c>
      <c r="IM21" s="342">
        <f t="shared" si="59"/>
        <v>0.61199999999999999</v>
      </c>
      <c r="IN21" s="342">
        <f t="shared" si="59"/>
        <v>0.52533333333333332</v>
      </c>
      <c r="IO21" s="342">
        <f t="shared" si="59"/>
        <v>0.59266666666666679</v>
      </c>
      <c r="IP21" s="342">
        <f t="shared" si="59"/>
        <v>0.5</v>
      </c>
      <c r="IQ21" s="342">
        <f t="shared" si="59"/>
        <v>0.67266666666666652</v>
      </c>
      <c r="IR21" s="342">
        <f t="shared" si="59"/>
        <v>0.60866666666666658</v>
      </c>
      <c r="IS21" s="342">
        <f t="shared" si="59"/>
        <v>0.58133333333333337</v>
      </c>
      <c r="IT21" s="342">
        <f t="shared" si="59"/>
        <v>0.49800000000000011</v>
      </c>
      <c r="IU21" s="315" t="s">
        <v>173</v>
      </c>
      <c r="IV21" s="342">
        <f t="shared" si="59"/>
        <v>0.66333333333333344</v>
      </c>
      <c r="IW21" s="342">
        <f t="shared" si="59"/>
        <v>0.44800000000000001</v>
      </c>
      <c r="IX21" s="342">
        <f t="shared" si="59"/>
        <v>0.56133333333333335</v>
      </c>
      <c r="IY21" s="342">
        <f t="shared" si="59"/>
        <v>0.53866666666666663</v>
      </c>
      <c r="IZ21" s="129">
        <f t="shared" si="59"/>
        <v>49.615384615384613</v>
      </c>
      <c r="JA21" s="495"/>
      <c r="JB21" s="129">
        <f>AVERAGEIF($C$36:$C$173,"=4",JB$36:JB$173)</f>
        <v>8.6923076923076916</v>
      </c>
      <c r="JC21" s="495"/>
      <c r="JD21" s="342">
        <f>AVERAGEIF($C$36:$C$173,"=4",JD$36:JD$173)</f>
        <v>0.17846153846153845</v>
      </c>
      <c r="JE21" s="342">
        <f>AVERAGEIF($C$36:$C$173,"=4",JE$36:JE$173)</f>
        <v>0.55307692307692313</v>
      </c>
      <c r="JF21" s="342">
        <f>AVERAGEIF($C$36:$C$173,"=4",JF$36:JF$173)</f>
        <v>0.26076923076923075</v>
      </c>
      <c r="JG21" s="342">
        <f>AVERAGEIF($C$36:$C$173,"=4",JG$36:JG$173)</f>
        <v>0.01</v>
      </c>
      <c r="JH21" s="342">
        <f t="shared" ref="JH21:KC21" si="60">AVERAGEIF($C$36:$C$173,"=4",JH$36:JH$173)</f>
        <v>0.50846153846153841</v>
      </c>
      <c r="JI21" s="342">
        <f t="shared" si="60"/>
        <v>0.48923076923076919</v>
      </c>
      <c r="JJ21" s="342">
        <f t="shared" si="60"/>
        <v>0.46923076923076928</v>
      </c>
      <c r="JK21" s="342">
        <f t="shared" si="60"/>
        <v>0.51923076923076927</v>
      </c>
      <c r="JL21" s="342">
        <f t="shared" si="60"/>
        <v>0.53230769230769237</v>
      </c>
      <c r="JM21" s="342">
        <f t="shared" si="60"/>
        <v>0.53076923076923077</v>
      </c>
      <c r="JN21" s="342">
        <f t="shared" si="60"/>
        <v>0.46384615384615391</v>
      </c>
      <c r="JO21" s="342">
        <f t="shared" si="60"/>
        <v>0.49384615384615377</v>
      </c>
      <c r="JP21" s="342">
        <f t="shared" si="60"/>
        <v>0.57153846153846155</v>
      </c>
      <c r="JQ21" s="342">
        <f t="shared" si="60"/>
        <v>0.29076923076923078</v>
      </c>
      <c r="JR21" s="342">
        <f t="shared" si="60"/>
        <v>0.63153846153846149</v>
      </c>
      <c r="JS21" s="342">
        <f t="shared" si="60"/>
        <v>0.59769230769230763</v>
      </c>
      <c r="JT21" s="342">
        <f t="shared" si="60"/>
        <v>0.48384615384615376</v>
      </c>
      <c r="JU21" s="342">
        <f t="shared" si="60"/>
        <v>0.57461538461538464</v>
      </c>
      <c r="JV21" s="342">
        <f t="shared" si="60"/>
        <v>0.52615384615384619</v>
      </c>
      <c r="JW21" s="342">
        <f t="shared" si="60"/>
        <v>0.47307692307692306</v>
      </c>
      <c r="JX21" s="342">
        <f t="shared" si="60"/>
        <v>0.49076923076923074</v>
      </c>
      <c r="JY21" s="342">
        <f t="shared" si="60"/>
        <v>0.49384615384615382</v>
      </c>
      <c r="JZ21" s="342">
        <f t="shared" si="60"/>
        <v>0.44615384615384607</v>
      </c>
      <c r="KA21" s="342">
        <f t="shared" si="60"/>
        <v>0.60307692307692307</v>
      </c>
      <c r="KB21" s="342">
        <f t="shared" si="60"/>
        <v>0.50769230769230766</v>
      </c>
      <c r="KC21" s="342">
        <f t="shared" si="60"/>
        <v>0.65076923076923088</v>
      </c>
      <c r="KD21" s="342">
        <f>AVERAGEIF($C$36:$C$173,"=4",KD$36:KD$173)</f>
        <v>0.38230769230769235</v>
      </c>
      <c r="KE21" s="342">
        <f>AVERAGEIF($C$36:$C$173,"=4",KE$36:KE$173)</f>
        <v>0.49461538461538468</v>
      </c>
      <c r="KF21" s="342">
        <f>AVERAGEIF($C$36:$C$173,"=4",KF$36:KF$173)</f>
        <v>0.46230769230769236</v>
      </c>
      <c r="KG21" s="342">
        <f>AVERAGEIF($C$36:$C$173,"=4",KG$36:KG$173)</f>
        <v>0.56153846153846154</v>
      </c>
      <c r="KH21" s="129">
        <f>AVERAGEIF($C$36:$C$173,"=4",KH$36:KH$173)</f>
        <v>51.333333333333336</v>
      </c>
      <c r="KI21" s="970"/>
      <c r="KJ21" s="129">
        <f>AVERAGEIF($C$36:$C$173,"=4",KJ$36:KJ$173)</f>
        <v>8.1333333333333329</v>
      </c>
      <c r="KK21" s="970"/>
      <c r="KL21" s="342">
        <f>AVERAGEIF($C$36:$C$173,"=4",KL$36:KL$173)</f>
        <v>0.13</v>
      </c>
      <c r="KM21" s="342">
        <f t="shared" ref="KM21:LO21" si="61">AVERAGEIF($C$36:$C$173,"=4",KM$36:KM$173)</f>
        <v>0.55399999999999994</v>
      </c>
      <c r="KN21" s="342">
        <f t="shared" si="61"/>
        <v>0.29466666666666669</v>
      </c>
      <c r="KO21" s="342">
        <f t="shared" si="61"/>
        <v>0.02</v>
      </c>
      <c r="KP21" s="342">
        <f t="shared" si="61"/>
        <v>0.51800000000000013</v>
      </c>
      <c r="KQ21" s="342">
        <f t="shared" si="61"/>
        <v>0.26066666666666666</v>
      </c>
      <c r="KR21" s="342">
        <f t="shared" si="61"/>
        <v>0.59599999999999997</v>
      </c>
      <c r="KS21" s="342">
        <f t="shared" si="61"/>
        <v>0.48799999999999993</v>
      </c>
      <c r="KT21" s="342">
        <f t="shared" si="61"/>
        <v>0.56266666666666665</v>
      </c>
      <c r="KU21" s="342">
        <f t="shared" si="61"/>
        <v>0.46666666666666679</v>
      </c>
      <c r="KV21" s="342">
        <f t="shared" si="61"/>
        <v>0.65133333333333343</v>
      </c>
      <c r="KW21" s="342">
        <f t="shared" si="61"/>
        <v>0.3713333333333334</v>
      </c>
      <c r="KX21" s="342">
        <f t="shared" si="61"/>
        <v>0.31933333333333341</v>
      </c>
      <c r="KY21" s="342">
        <f t="shared" si="61"/>
        <v>0.54866666666666675</v>
      </c>
      <c r="KZ21" s="342">
        <f t="shared" si="61"/>
        <v>0.40466666666666667</v>
      </c>
      <c r="LA21" s="342">
        <f t="shared" si="61"/>
        <v>0.3793333333333333</v>
      </c>
      <c r="LB21" s="342">
        <f t="shared" si="61"/>
        <v>0.38866666666666666</v>
      </c>
      <c r="LC21" s="342">
        <f t="shared" si="61"/>
        <v>0.36333333333333334</v>
      </c>
      <c r="LD21" s="342">
        <f t="shared" si="61"/>
        <v>0.56799999999999995</v>
      </c>
      <c r="LE21" s="342">
        <f t="shared" si="61"/>
        <v>0.48999999999999994</v>
      </c>
      <c r="LF21" s="342">
        <f t="shared" si="61"/>
        <v>0.32799999999999996</v>
      </c>
      <c r="LG21" s="342">
        <f t="shared" si="61"/>
        <v>0.45714285714285718</v>
      </c>
      <c r="LH21" s="342">
        <f t="shared" si="61"/>
        <v>0.58399999999999996</v>
      </c>
      <c r="LI21" s="342">
        <f t="shared" si="61"/>
        <v>0.48733333333333323</v>
      </c>
      <c r="LJ21" s="342">
        <f t="shared" si="61"/>
        <v>0.43800000000000011</v>
      </c>
      <c r="LK21" s="342">
        <f>AVERAGEIF($C$36:$C$173,"=4",LK$36:LK$173)</f>
        <v>0.53800000000000003</v>
      </c>
      <c r="LL21" s="342" t="s">
        <v>173</v>
      </c>
      <c r="LM21" s="342">
        <f t="shared" si="61"/>
        <v>0.52866666666666662</v>
      </c>
      <c r="LN21" s="342">
        <f t="shared" si="61"/>
        <v>0.63800000000000001</v>
      </c>
      <c r="LO21" s="342">
        <f t="shared" si="61"/>
        <v>0.44142857142857156</v>
      </c>
    </row>
    <row r="22" spans="1:327" ht="24.95" customHeight="1" x14ac:dyDescent="0.2">
      <c r="A22" s="197" t="s">
        <v>144</v>
      </c>
      <c r="B22" s="6"/>
      <c r="C22" s="6"/>
      <c r="D22" s="129">
        <f>AVERAGEIF($C$36:$C$173,"=5",D$36:D$173)</f>
        <v>56.235294117647058</v>
      </c>
      <c r="E22" s="129">
        <f>AVERAGEIF($C$36:$C$173,"=5",E$36:E$173)</f>
        <v>6.6470588235294121</v>
      </c>
      <c r="F22" s="39">
        <f>AVERAGEIF($C$36:$C$173,"=5",F$36:F$173)</f>
        <v>1.8235294117647058E-2</v>
      </c>
      <c r="G22" s="39">
        <f t="shared" ref="G22:AG22" si="62">AVERAGEIF($C$36:$C$173,"=5",G$36:G$173)</f>
        <v>0.46352941176470591</v>
      </c>
      <c r="H22" s="39">
        <f t="shared" si="62"/>
        <v>0.50117647058823522</v>
      </c>
      <c r="I22" s="39">
        <f t="shared" si="62"/>
        <v>1.4705882352941176E-2</v>
      </c>
      <c r="J22" s="39">
        <f t="shared" si="62"/>
        <v>0.29941176470588232</v>
      </c>
      <c r="K22" s="39">
        <f t="shared" si="62"/>
        <v>0.32058823529411762</v>
      </c>
      <c r="L22" s="39">
        <f t="shared" si="62"/>
        <v>0.69176470588235284</v>
      </c>
      <c r="M22" s="39">
        <f t="shared" si="62"/>
        <v>0.15941176470588236</v>
      </c>
      <c r="N22" s="39">
        <f t="shared" si="62"/>
        <v>0.24058823529411769</v>
      </c>
      <c r="O22" s="39">
        <f t="shared" si="62"/>
        <v>0.65058823529411769</v>
      </c>
      <c r="P22" s="39">
        <f t="shared" si="62"/>
        <v>0.30470588235294116</v>
      </c>
      <c r="Q22" s="39">
        <f t="shared" si="62"/>
        <v>0.37176470588235294</v>
      </c>
      <c r="R22" s="39">
        <f t="shared" si="62"/>
        <v>0.50588235294117645</v>
      </c>
      <c r="S22" s="39">
        <f t="shared" si="62"/>
        <v>0.56058823529411761</v>
      </c>
      <c r="T22" s="39">
        <f t="shared" si="62"/>
        <v>0.42588235294117643</v>
      </c>
      <c r="U22" s="39">
        <f t="shared" si="62"/>
        <v>0.52647058823529413</v>
      </c>
      <c r="V22" s="39">
        <f t="shared" si="62"/>
        <v>4.5882352941176464E-2</v>
      </c>
      <c r="W22" s="39">
        <f t="shared" si="62"/>
        <v>0.12176470588235296</v>
      </c>
      <c r="X22" s="39">
        <f t="shared" si="62"/>
        <v>0.45294117647058824</v>
      </c>
      <c r="Y22" s="39">
        <f t="shared" si="62"/>
        <v>0.45882352941176469</v>
      </c>
      <c r="Z22" s="39">
        <f t="shared" si="62"/>
        <v>0.70454545454545459</v>
      </c>
      <c r="AA22" s="39">
        <f t="shared" si="62"/>
        <v>8.1176470588235294E-2</v>
      </c>
      <c r="AB22" s="39">
        <f t="shared" si="62"/>
        <v>0.41941176470588237</v>
      </c>
      <c r="AC22" s="39">
        <f t="shared" si="62"/>
        <v>0.18941176470588234</v>
      </c>
      <c r="AD22" s="39">
        <f t="shared" si="62"/>
        <v>0.38823529411764707</v>
      </c>
      <c r="AE22" s="39">
        <f t="shared" si="62"/>
        <v>0.32588235294117651</v>
      </c>
      <c r="AF22" s="39">
        <f t="shared" si="62"/>
        <v>0.48235294117647065</v>
      </c>
      <c r="AG22" s="39">
        <f t="shared" si="62"/>
        <v>0.47352941176470592</v>
      </c>
      <c r="AH22" s="129">
        <f>AVERAGEIF($C$36:$C$173,"=5",AH$36:AH$173)</f>
        <v>55</v>
      </c>
      <c r="AI22" s="129">
        <f>AVERAGEIF($C$36:$C$173,"=5",AI$36:AI$173)</f>
        <v>7.7058823529411766</v>
      </c>
      <c r="AJ22" s="39">
        <f>AVERAGEIF($C$36:$C$173,"=5",AJ$36:AJ$173)</f>
        <v>6.2941176470588237E-2</v>
      </c>
      <c r="AK22" s="39">
        <f t="shared" ref="AK22:BL22" si="63">AVERAGEIF($C$36:$C$173,"=5",AK$36:AK$173)</f>
        <v>0.43588235294117644</v>
      </c>
      <c r="AL22" s="39">
        <f t="shared" si="63"/>
        <v>0.49176470588235288</v>
      </c>
      <c r="AM22" s="39">
        <f t="shared" si="63"/>
        <v>0.01</v>
      </c>
      <c r="AN22" s="39">
        <f t="shared" si="63"/>
        <v>0.23117647058823532</v>
      </c>
      <c r="AO22" s="39">
        <f t="shared" si="63"/>
        <v>0.44176470588235295</v>
      </c>
      <c r="AP22" s="39">
        <f t="shared" si="63"/>
        <v>0.501764705882353</v>
      </c>
      <c r="AQ22" s="39">
        <f t="shared" si="63"/>
        <v>0.308235294117647</v>
      </c>
      <c r="AR22" s="39">
        <f t="shared" si="63"/>
        <v>0.49235294117647066</v>
      </c>
      <c r="AS22" s="39">
        <f t="shared" si="63"/>
        <v>0.45588235294117646</v>
      </c>
      <c r="AT22" s="39">
        <f t="shared" si="63"/>
        <v>0.46294117647058824</v>
      </c>
      <c r="AU22" s="39">
        <f t="shared" si="63"/>
        <v>0.43588235294117655</v>
      </c>
      <c r="AV22" s="39">
        <f t="shared" si="63"/>
        <v>0.53823529411764692</v>
      </c>
      <c r="AW22" s="39">
        <f t="shared" si="63"/>
        <v>0.4552941176470589</v>
      </c>
      <c r="AX22" s="39">
        <f t="shared" si="63"/>
        <v>0.4864705882352941</v>
      </c>
      <c r="AY22" s="39">
        <f t="shared" si="63"/>
        <v>0.26411764705882357</v>
      </c>
      <c r="AZ22" s="39">
        <f t="shared" si="63"/>
        <v>0.21176470588235297</v>
      </c>
      <c r="BA22" s="39">
        <f t="shared" si="63"/>
        <v>0.4088235294117647</v>
      </c>
      <c r="BB22" s="39">
        <f t="shared" si="63"/>
        <v>0.60117647058823531</v>
      </c>
      <c r="BC22" s="39">
        <f t="shared" si="63"/>
        <v>0.60588235294117643</v>
      </c>
      <c r="BD22" s="39">
        <f t="shared" si="63"/>
        <v>0.37882352941176478</v>
      </c>
      <c r="BE22" s="39">
        <f t="shared" si="63"/>
        <v>0.54470588235294126</v>
      </c>
      <c r="BF22" s="39">
        <f t="shared" si="63"/>
        <v>0.53882352941176459</v>
      </c>
      <c r="BG22" s="39">
        <f t="shared" si="63"/>
        <v>0.45117647058823523</v>
      </c>
      <c r="BH22" s="39">
        <f t="shared" si="63"/>
        <v>0.4035294117647058</v>
      </c>
      <c r="BI22" s="39">
        <f t="shared" si="63"/>
        <v>0.36176470588235299</v>
      </c>
      <c r="BJ22" s="39">
        <f t="shared" si="63"/>
        <v>0.30882352941176472</v>
      </c>
      <c r="BK22" s="39">
        <f t="shared" si="63"/>
        <v>0.3758823529411765</v>
      </c>
      <c r="BL22" s="39">
        <f t="shared" si="63"/>
        <v>0.43882352941176478</v>
      </c>
      <c r="BM22" s="129">
        <f>AVERAGEIF($C$36:$C$173,"=5",BM$36:BM$173)</f>
        <v>53.611111111111114</v>
      </c>
      <c r="BN22" s="129">
        <f>AVERAGEIF($C$36:$C$173,"=5",BN$36:BN$173)</f>
        <v>7.8888888888888893</v>
      </c>
      <c r="BO22" s="39">
        <f>AVERAGEIF($C$36:$C$173,"=5",BO$36:BO$173)</f>
        <v>6.8333333333333343E-2</v>
      </c>
      <c r="BP22" s="39">
        <f t="shared" ref="BP22:CR22" si="64">AVERAGEIF($C$36:$C$173,"=5",BP$36:BP$173)</f>
        <v>0.54222222222222216</v>
      </c>
      <c r="BQ22" s="39">
        <f t="shared" si="64"/>
        <v>0.36666666666666664</v>
      </c>
      <c r="BR22" s="39">
        <f t="shared" si="64"/>
        <v>2.388888888888889E-2</v>
      </c>
      <c r="BS22" s="39">
        <f t="shared" si="64"/>
        <v>0.27777777777777773</v>
      </c>
      <c r="BT22" s="39">
        <f t="shared" si="64"/>
        <v>0.58882352941176475</v>
      </c>
      <c r="BU22" s="39">
        <f t="shared" si="64"/>
        <v>0.59294117647058808</v>
      </c>
      <c r="BV22" s="39">
        <f t="shared" si="64"/>
        <v>0.30666666666666664</v>
      </c>
      <c r="BW22" s="39">
        <f t="shared" si="64"/>
        <v>0.60555555555555562</v>
      </c>
      <c r="BX22" s="39">
        <f t="shared" si="64"/>
        <v>0.30166666666666664</v>
      </c>
      <c r="BY22" s="39">
        <f t="shared" si="64"/>
        <v>0.38500000000000001</v>
      </c>
      <c r="BZ22" s="39">
        <f t="shared" si="64"/>
        <v>0.46333333333333354</v>
      </c>
      <c r="CA22" s="39">
        <f t="shared" si="64"/>
        <v>0.42666666666666664</v>
      </c>
      <c r="CB22" s="39">
        <f t="shared" si="64"/>
        <v>0.30166666666666675</v>
      </c>
      <c r="CC22" s="39">
        <f t="shared" si="64"/>
        <v>0.19055555555555556</v>
      </c>
      <c r="CD22" s="39">
        <f t="shared" si="64"/>
        <v>0.34666666666666662</v>
      </c>
      <c r="CE22" s="39">
        <f t="shared" si="64"/>
        <v>0.29611111111111105</v>
      </c>
      <c r="CF22" s="39">
        <f t="shared" si="64"/>
        <v>0.59111111111111114</v>
      </c>
      <c r="CG22" s="39">
        <f t="shared" si="64"/>
        <v>0.54388888888888898</v>
      </c>
      <c r="CH22" s="39">
        <f t="shared" si="64"/>
        <v>0.4055555555555555</v>
      </c>
      <c r="CI22" s="39">
        <f t="shared" si="64"/>
        <v>0.50500000000000012</v>
      </c>
      <c r="CJ22" s="39">
        <f t="shared" si="64"/>
        <v>0.33111111111111113</v>
      </c>
      <c r="CK22" s="39">
        <f t="shared" si="64"/>
        <v>0.6166666666666667</v>
      </c>
      <c r="CL22" s="39">
        <f t="shared" si="64"/>
        <v>0.23166666666666672</v>
      </c>
      <c r="CM22" s="39">
        <f t="shared" si="64"/>
        <v>0.39055555555555554</v>
      </c>
      <c r="CN22" s="39">
        <f t="shared" si="64"/>
        <v>0.38388888888888889</v>
      </c>
      <c r="CO22" s="39">
        <f t="shared" si="64"/>
        <v>0.39222222222222214</v>
      </c>
      <c r="CP22" s="39">
        <f t="shared" si="64"/>
        <v>0.28888888888888892</v>
      </c>
      <c r="CQ22" s="39">
        <f t="shared" si="64"/>
        <v>0.51055555555555565</v>
      </c>
      <c r="CR22" s="39">
        <f t="shared" si="64"/>
        <v>0.47833333333333339</v>
      </c>
      <c r="CS22" s="129">
        <f>AVERAGEIF($C$36:$C$173,"=5",CS$36:CS$173)</f>
        <v>52.157894736842103</v>
      </c>
      <c r="CT22" s="129">
        <f>AVERAGEIF($C$36:$C$173,"=5",CT$36:CT$173)</f>
        <v>8.2631578947368425</v>
      </c>
      <c r="CU22" s="39">
        <f>AVERAGEIF($C$36:$C$173,"=5",CU$36:CU$173)</f>
        <v>0.10210526315789475</v>
      </c>
      <c r="CV22" s="39">
        <f t="shared" ref="CV22:DW22" si="65">AVERAGEIF($C$36:$C$173,"=5",CV$36:CV$173)</f>
        <v>0.526842105263158</v>
      </c>
      <c r="CW22" s="39">
        <f t="shared" si="65"/>
        <v>0.34894736842105267</v>
      </c>
      <c r="CX22" s="39">
        <f t="shared" si="65"/>
        <v>2.3684210526315787E-2</v>
      </c>
      <c r="CY22" s="39">
        <f t="shared" si="65"/>
        <v>0.45105263157894737</v>
      </c>
      <c r="CZ22" s="39">
        <f t="shared" si="65"/>
        <v>0.25210526315789478</v>
      </c>
      <c r="DA22" s="39">
        <f t="shared" si="65"/>
        <v>0.52368421052631586</v>
      </c>
      <c r="DB22" s="39">
        <f t="shared" si="65"/>
        <v>0.31210526315789483</v>
      </c>
      <c r="DC22" s="39">
        <f t="shared" si="65"/>
        <v>0.40684210526315789</v>
      </c>
      <c r="DD22" s="39">
        <f t="shared" si="65"/>
        <v>0.60894736842105257</v>
      </c>
      <c r="DE22" s="39">
        <f t="shared" si="65"/>
        <v>0.41315789473684206</v>
      </c>
      <c r="DF22" s="39">
        <f t="shared" si="65"/>
        <v>0.50368421052631596</v>
      </c>
      <c r="DG22" s="39">
        <f t="shared" si="65"/>
        <v>0.41631578947368419</v>
      </c>
      <c r="DH22" s="39">
        <f t="shared" si="65"/>
        <v>0.33789473684210525</v>
      </c>
      <c r="DI22" s="39">
        <f t="shared" si="65"/>
        <v>0.49105263157894735</v>
      </c>
      <c r="DJ22" s="39">
        <f t="shared" si="65"/>
        <v>0.43789473684210528</v>
      </c>
      <c r="DK22" s="39">
        <f t="shared" si="65"/>
        <v>0.27789473684210531</v>
      </c>
      <c r="DL22" s="39">
        <f t="shared" si="65"/>
        <v>0.33210526315789474</v>
      </c>
      <c r="DM22" s="39">
        <f t="shared" si="65"/>
        <v>0.48736842105263156</v>
      </c>
      <c r="DN22" s="39">
        <f t="shared" si="65"/>
        <v>0.44736842105263169</v>
      </c>
      <c r="DO22" s="39">
        <f t="shared" si="65"/>
        <v>0.37789473684210523</v>
      </c>
      <c r="DP22" s="39">
        <f t="shared" si="65"/>
        <v>0.39736842105263159</v>
      </c>
      <c r="DQ22" s="39">
        <f t="shared" si="65"/>
        <v>0.52315789473684216</v>
      </c>
      <c r="DR22" s="39">
        <f t="shared" si="65"/>
        <v>0.19000000000000003</v>
      </c>
      <c r="DS22" s="39">
        <f t="shared" si="65"/>
        <v>0.36526315789473685</v>
      </c>
      <c r="DT22" s="39">
        <f t="shared" si="65"/>
        <v>0.57736842105263142</v>
      </c>
      <c r="DU22" s="39">
        <f t="shared" si="65"/>
        <v>0.42052631578947369</v>
      </c>
      <c r="DV22" s="39">
        <f t="shared" si="65"/>
        <v>0.54736842105263162</v>
      </c>
      <c r="DW22" s="39">
        <f t="shared" si="65"/>
        <v>0.30526315789473679</v>
      </c>
      <c r="DX22" s="129">
        <f>AVERAGEIF($C$36:$C$173,"=5",DX$36:DX$173)</f>
        <v>52.777777777777779</v>
      </c>
      <c r="DY22" s="129">
        <f>AVERAGEIF($C$36:$C$173,"=5",DY$36:DY$173)</f>
        <v>7.7222222222222223</v>
      </c>
      <c r="DZ22" s="39">
        <f>AVERAGEIF($C$36:$C$173,"=5",DZ$36:DZ$173)</f>
        <v>8.8333333333333347E-2</v>
      </c>
      <c r="EA22" s="39">
        <f t="shared" ref="EA22:FA22" si="66">AVERAGEIF($C$36:$C$173,"=5",EA$36:EA$173)</f>
        <v>0.50388888888888883</v>
      </c>
      <c r="EB22" s="39">
        <f t="shared" si="66"/>
        <v>0.40055555555555561</v>
      </c>
      <c r="EC22" s="39">
        <f t="shared" si="66"/>
        <v>8.3333333333333332E-3</v>
      </c>
      <c r="ED22" s="39">
        <f t="shared" si="66"/>
        <v>0.45722222222222225</v>
      </c>
      <c r="EE22" s="39">
        <f t="shared" si="66"/>
        <v>0.4211111111111111</v>
      </c>
      <c r="EF22" s="39">
        <f t="shared" si="66"/>
        <v>0.45500000000000007</v>
      </c>
      <c r="EG22" s="39">
        <f t="shared" si="66"/>
        <v>0.24555555555555555</v>
      </c>
      <c r="EH22" s="39">
        <f t="shared" si="66"/>
        <v>0.33888888888888885</v>
      </c>
      <c r="EI22" s="39">
        <f t="shared" si="66"/>
        <v>0.46722222222222221</v>
      </c>
      <c r="EJ22" s="39">
        <f t="shared" si="66"/>
        <v>0.52888888888888874</v>
      </c>
      <c r="EK22" s="39">
        <f t="shared" si="66"/>
        <v>0.22833333333333336</v>
      </c>
      <c r="EL22" s="39">
        <f t="shared" si="66"/>
        <v>0.37222222222222218</v>
      </c>
      <c r="EM22" s="39">
        <f t="shared" si="66"/>
        <v>0.5872222222222222</v>
      </c>
      <c r="EN22" s="39">
        <f t="shared" si="66"/>
        <v>0.3600000000000001</v>
      </c>
      <c r="EO22" s="39">
        <f t="shared" si="66"/>
        <v>0.53555555555555578</v>
      </c>
      <c r="EP22" s="39">
        <f t="shared" si="66"/>
        <v>0.35055555555555551</v>
      </c>
      <c r="EQ22" s="39">
        <f t="shared" si="66"/>
        <v>0.18722222222222226</v>
      </c>
      <c r="ER22" s="39">
        <f t="shared" si="66"/>
        <v>0.54999999999999993</v>
      </c>
      <c r="ES22" s="39">
        <f t="shared" si="66"/>
        <v>0.40055555555555561</v>
      </c>
      <c r="ET22" s="39">
        <f t="shared" si="66"/>
        <v>0.26277777777777783</v>
      </c>
      <c r="EU22" s="39">
        <f t="shared" si="66"/>
        <v>0.53055555555555545</v>
      </c>
      <c r="EV22" s="39">
        <f t="shared" si="66"/>
        <v>0.27</v>
      </c>
      <c r="EW22" s="39">
        <f t="shared" si="66"/>
        <v>0.28111111111111114</v>
      </c>
      <c r="EX22" s="39">
        <f t="shared" si="66"/>
        <v>0.66388888888888886</v>
      </c>
      <c r="EY22" s="39">
        <f t="shared" si="66"/>
        <v>0.51111111111111107</v>
      </c>
      <c r="EZ22" s="39">
        <f t="shared" si="66"/>
        <v>0.17444444444444446</v>
      </c>
      <c r="FA22" s="39">
        <f t="shared" si="66"/>
        <v>0.56333333333333335</v>
      </c>
      <c r="FB22" s="129">
        <f>AVERAGEIF($C$36:$C$173,"=5",FB$36:FB$173)</f>
        <v>52.277777777777779</v>
      </c>
      <c r="FD22" s="129">
        <f>AVERAGEIF($C$36:$C$173,"=5",FD$36:FD$173)</f>
        <v>8</v>
      </c>
      <c r="FF22" s="39">
        <f>AVERAGEIF($C$36:$C$173,"=5",FF$36:FF$173)</f>
        <v>8.111111111111112E-2</v>
      </c>
      <c r="FG22" s="39">
        <f t="shared" ref="FG22:GI22" si="67">AVERAGEIF($C$36:$C$173,"=5",FG$36:FG$173)</f>
        <v>0.56222222222222207</v>
      </c>
      <c r="FH22" s="39">
        <f t="shared" si="67"/>
        <v>0.34944444444444445</v>
      </c>
      <c r="FI22" s="39">
        <f t="shared" si="67"/>
        <v>1.0555555555555556E-2</v>
      </c>
      <c r="FJ22" s="39">
        <f t="shared" si="67"/>
        <v>0.40166666666666667</v>
      </c>
      <c r="FK22" s="39">
        <f t="shared" si="67"/>
        <v>0.63055555555555565</v>
      </c>
      <c r="FL22" s="39">
        <f t="shared" si="67"/>
        <v>0.44944444444444442</v>
      </c>
      <c r="FM22" s="39">
        <f t="shared" si="67"/>
        <v>0.40333333333333338</v>
      </c>
      <c r="FN22" s="39">
        <f t="shared" si="67"/>
        <v>0.24388888888888893</v>
      </c>
      <c r="FO22" s="39">
        <f t="shared" si="67"/>
        <v>0.27888888888888891</v>
      </c>
      <c r="FP22" s="39">
        <f t="shared" si="67"/>
        <v>0.3444444444444445</v>
      </c>
      <c r="FQ22" s="39">
        <f t="shared" si="67"/>
        <v>0.36388888888888893</v>
      </c>
      <c r="FR22" s="39">
        <f t="shared" si="67"/>
        <v>0.54444444444444451</v>
      </c>
      <c r="FS22" s="39">
        <f t="shared" si="67"/>
        <v>0.47611111111111115</v>
      </c>
      <c r="FT22" s="39">
        <f t="shared" si="67"/>
        <v>0.45444444444444443</v>
      </c>
      <c r="FU22" s="39">
        <f t="shared" si="67"/>
        <v>0.32</v>
      </c>
      <c r="FV22" s="39">
        <f t="shared" si="67"/>
        <v>0.54888888888888887</v>
      </c>
      <c r="FW22" s="39">
        <f t="shared" si="67"/>
        <v>0.51333333333333331</v>
      </c>
      <c r="FX22" s="39">
        <f t="shared" si="67"/>
        <v>0.41833333333333333</v>
      </c>
      <c r="FY22" s="39">
        <f t="shared" si="67"/>
        <v>0.3288888888888889</v>
      </c>
      <c r="FZ22" s="39">
        <f t="shared" si="67"/>
        <v>0.35166666666666668</v>
      </c>
      <c r="GA22" s="39">
        <f t="shared" si="67"/>
        <v>0.46222222222222226</v>
      </c>
      <c r="GB22" s="39">
        <f t="shared" si="67"/>
        <v>0.48388888888888892</v>
      </c>
      <c r="GC22" s="39">
        <f t="shared" si="67"/>
        <v>0.40111111111111114</v>
      </c>
      <c r="GD22" s="39">
        <f t="shared" si="67"/>
        <v>0.55555555555555558</v>
      </c>
      <c r="GE22" s="39">
        <f t="shared" si="67"/>
        <v>0.46722222222222221</v>
      </c>
      <c r="GF22" s="39">
        <f t="shared" si="67"/>
        <v>0.39944444444444449</v>
      </c>
      <c r="GG22" s="39">
        <f t="shared" si="67"/>
        <v>0.40055555555555561</v>
      </c>
      <c r="GH22" s="39">
        <f t="shared" si="67"/>
        <v>0.52444444444444438</v>
      </c>
      <c r="GI22" s="39">
        <f t="shared" si="67"/>
        <v>0.26555555555555554</v>
      </c>
      <c r="GJ22" s="129">
        <f>AVERAGEIF($C$36:$C$173,"=5",GJ$36:GJ$173)</f>
        <v>53.705882352941174</v>
      </c>
      <c r="GL22" s="129">
        <f>AVERAGEIF($C$36:$C$173,"=5",GL$36:GL$173)</f>
        <v>8.117647058823529</v>
      </c>
      <c r="GN22" s="342">
        <f>AVERAGEIF($C$36:$C$173,"=5",GN$36:GN$173)</f>
        <v>6.7058823529411768E-2</v>
      </c>
      <c r="GO22" s="342">
        <f t="shared" ref="GO22:HQ22" si="68">AVERAGEIF($C$36:$C$173,"=5",GO$36:GO$173)</f>
        <v>0.51</v>
      </c>
      <c r="GP22" s="342">
        <f t="shared" si="68"/>
        <v>0.40176470588235297</v>
      </c>
      <c r="GQ22" s="342">
        <f t="shared" si="68"/>
        <v>2.1176470588235293E-2</v>
      </c>
      <c r="GR22" s="342">
        <f t="shared" si="68"/>
        <v>0.42176470588235293</v>
      </c>
      <c r="GS22" s="342">
        <f t="shared" si="68"/>
        <v>0.46117647058823535</v>
      </c>
      <c r="GT22" s="342">
        <f t="shared" si="68"/>
        <v>0.56588235294117639</v>
      </c>
      <c r="GU22" s="342">
        <f t="shared" si="68"/>
        <v>0.18705882352941178</v>
      </c>
      <c r="GV22" s="342">
        <f t="shared" si="68"/>
        <v>0.49352941176470594</v>
      </c>
      <c r="GW22" s="342">
        <f t="shared" si="68"/>
        <v>0.3623529411764706</v>
      </c>
      <c r="GX22" s="342">
        <f t="shared" si="68"/>
        <v>0.39999999999999997</v>
      </c>
      <c r="GY22" s="315" t="s">
        <v>173</v>
      </c>
      <c r="GZ22" s="342">
        <f t="shared" si="68"/>
        <v>0.26411764705882357</v>
      </c>
      <c r="HA22" s="342">
        <f t="shared" si="68"/>
        <v>0.6100000000000001</v>
      </c>
      <c r="HB22" s="342">
        <f t="shared" si="68"/>
        <v>0.39588235294117646</v>
      </c>
      <c r="HC22" s="342">
        <f t="shared" si="68"/>
        <v>0.50117647058823522</v>
      </c>
      <c r="HD22" s="342">
        <f t="shared" si="68"/>
        <v>0.49705882352941172</v>
      </c>
      <c r="HE22" s="342">
        <f t="shared" si="68"/>
        <v>0.41235294117647064</v>
      </c>
      <c r="HF22" s="342">
        <f t="shared" si="68"/>
        <v>0.42352941176470582</v>
      </c>
      <c r="HG22" s="342">
        <f t="shared" si="68"/>
        <v>0.64705882352941191</v>
      </c>
      <c r="HH22" s="342">
        <f t="shared" si="68"/>
        <v>0.33588235294117652</v>
      </c>
      <c r="HI22" s="342">
        <f t="shared" si="68"/>
        <v>0.46058823529411774</v>
      </c>
      <c r="HJ22" s="342">
        <f t="shared" si="68"/>
        <v>0.54117647058823526</v>
      </c>
      <c r="HK22" s="342">
        <f t="shared" si="68"/>
        <v>0.46764705882352947</v>
      </c>
      <c r="HL22" s="342">
        <f t="shared" si="68"/>
        <v>0.32705882352941179</v>
      </c>
      <c r="HM22" s="342">
        <f t="shared" si="68"/>
        <v>0.45235294117647068</v>
      </c>
      <c r="HN22" s="342">
        <f t="shared" si="68"/>
        <v>0.42470588235294121</v>
      </c>
      <c r="HO22" s="342">
        <f t="shared" si="68"/>
        <v>0.3605882352941176</v>
      </c>
      <c r="HP22" s="315" t="s">
        <v>173</v>
      </c>
      <c r="HQ22" s="342">
        <f t="shared" si="68"/>
        <v>0.34529411764705875</v>
      </c>
      <c r="HR22" s="129">
        <f>AVERAGEIF($C$36:$C$173,"=5",HR$36:HR$173)</f>
        <v>54.588235294117645</v>
      </c>
      <c r="HT22" s="129">
        <f>AVERAGEIF($C$36:$C$173,"=5",HT$36:HT$173)</f>
        <v>8.235294117647058</v>
      </c>
      <c r="HV22" s="342">
        <f>AVERAGEIF($C$36:$C$173,"=5",HV$36:HV$173)</f>
        <v>5.8823529411764705E-2</v>
      </c>
      <c r="HW22" s="342">
        <f t="shared" ref="HW22:IZ22" si="69">AVERAGEIF($C$36:$C$173,"=5",HW$36:HW$173)</f>
        <v>0.48058823529411776</v>
      </c>
      <c r="HX22" s="342">
        <f t="shared" si="69"/>
        <v>0.42411764705882354</v>
      </c>
      <c r="HY22" s="342">
        <f t="shared" si="69"/>
        <v>3.411764705882353E-2</v>
      </c>
      <c r="HZ22" s="342">
        <f t="shared" si="69"/>
        <v>0.33470588235294113</v>
      </c>
      <c r="IA22" s="342">
        <f t="shared" si="69"/>
        <v>0.46117647058823524</v>
      </c>
      <c r="IB22" s="342">
        <f t="shared" si="69"/>
        <v>0.30176470588235299</v>
      </c>
      <c r="IC22" s="342">
        <f t="shared" si="69"/>
        <v>0.44470588235294117</v>
      </c>
      <c r="ID22" s="342">
        <f t="shared" si="69"/>
        <v>0.59176470588235297</v>
      </c>
      <c r="IE22" s="342">
        <f t="shared" si="69"/>
        <v>0.27470588235294119</v>
      </c>
      <c r="IF22" s="342">
        <f t="shared" si="69"/>
        <v>0.34411764705882358</v>
      </c>
      <c r="IG22" s="342">
        <f t="shared" si="69"/>
        <v>0.48235294117647054</v>
      </c>
      <c r="IH22" s="342">
        <f t="shared" si="69"/>
        <v>0.46</v>
      </c>
      <c r="II22" s="342">
        <f t="shared" si="69"/>
        <v>0.21882352941176472</v>
      </c>
      <c r="IJ22" s="342">
        <f t="shared" si="69"/>
        <v>0.20588235294117646</v>
      </c>
      <c r="IK22" s="342">
        <f t="shared" si="69"/>
        <v>0.51823529411764724</v>
      </c>
      <c r="IL22" s="342">
        <f t="shared" si="69"/>
        <v>0.29176470588235298</v>
      </c>
      <c r="IM22" s="342">
        <f t="shared" si="69"/>
        <v>0.55117647058823527</v>
      </c>
      <c r="IN22" s="342">
        <f t="shared" si="69"/>
        <v>0.36058823529411765</v>
      </c>
      <c r="IO22" s="342">
        <f t="shared" si="69"/>
        <v>0.48058823529411765</v>
      </c>
      <c r="IP22" s="342">
        <f t="shared" si="69"/>
        <v>0.31941176470588234</v>
      </c>
      <c r="IQ22" s="342">
        <f t="shared" si="69"/>
        <v>0.60764705882352965</v>
      </c>
      <c r="IR22" s="342">
        <f t="shared" si="69"/>
        <v>0.47941176470588237</v>
      </c>
      <c r="IS22" s="342">
        <f t="shared" si="69"/>
        <v>0.46117647058823524</v>
      </c>
      <c r="IT22" s="342">
        <f t="shared" si="69"/>
        <v>0.37058823529411766</v>
      </c>
      <c r="IU22" s="315" t="s">
        <v>173</v>
      </c>
      <c r="IV22" s="342">
        <f t="shared" si="69"/>
        <v>0.56058823529411783</v>
      </c>
      <c r="IW22" s="342">
        <f t="shared" si="69"/>
        <v>0.35705882352941176</v>
      </c>
      <c r="IX22" s="342">
        <f t="shared" si="69"/>
        <v>0.40117647058823536</v>
      </c>
      <c r="IY22" s="342">
        <f t="shared" si="69"/>
        <v>0.41470588235294115</v>
      </c>
      <c r="IZ22" s="129">
        <f t="shared" si="69"/>
        <v>52.833333333333336</v>
      </c>
      <c r="JA22" s="495"/>
      <c r="JB22" s="129">
        <f>AVERAGEIF($C$36:$C$173,"=5",JB$36:JB$173)</f>
        <v>8.7222222222222214</v>
      </c>
      <c r="JC22" s="495"/>
      <c r="JD22" s="342">
        <f>AVERAGEIF($C$36:$C$173,"=5",JD$36:JD$173)</f>
        <v>9.555555555555556E-2</v>
      </c>
      <c r="JE22" s="342">
        <f>AVERAGEIF($C$36:$C$173,"=5",JE$36:JE$173)</f>
        <v>0.495</v>
      </c>
      <c r="JF22" s="342">
        <f>AVERAGEIF($C$36:$C$173,"=5",JF$36:JF$173)</f>
        <v>0.38166666666666665</v>
      </c>
      <c r="JG22" s="342">
        <f>AVERAGEIF($C$36:$C$173,"=5",JG$36:JG$173)</f>
        <v>2.8333333333333335E-2</v>
      </c>
      <c r="JH22" s="342">
        <f t="shared" ref="JH22:KC22" si="70">AVERAGEIF($C$36:$C$173,"=5",JH$36:JH$173)</f>
        <v>0.42611111111111116</v>
      </c>
      <c r="JI22" s="342">
        <f t="shared" si="70"/>
        <v>0.43611111111111112</v>
      </c>
      <c r="JJ22" s="342">
        <f t="shared" si="70"/>
        <v>0.38444444444444448</v>
      </c>
      <c r="JK22" s="342">
        <f t="shared" si="70"/>
        <v>0.44833333333333336</v>
      </c>
      <c r="JL22" s="342">
        <f t="shared" si="70"/>
        <v>0.46000000000000008</v>
      </c>
      <c r="JM22" s="342">
        <f t="shared" si="70"/>
        <v>0.45666666666666672</v>
      </c>
      <c r="JN22" s="342">
        <f t="shared" si="70"/>
        <v>0.40611111111111109</v>
      </c>
      <c r="JO22" s="342">
        <f t="shared" si="70"/>
        <v>0.43722222222222229</v>
      </c>
      <c r="JP22" s="342">
        <f t="shared" si="70"/>
        <v>0.5361111111111112</v>
      </c>
      <c r="JQ22" s="342">
        <f t="shared" si="70"/>
        <v>0.25388888888888889</v>
      </c>
      <c r="JR22" s="342">
        <f t="shared" si="70"/>
        <v>0.52</v>
      </c>
      <c r="JS22" s="342">
        <f t="shared" si="70"/>
        <v>0.49444444444444446</v>
      </c>
      <c r="JT22" s="342">
        <f t="shared" si="70"/>
        <v>0.39555555555555549</v>
      </c>
      <c r="JU22" s="342">
        <f t="shared" si="70"/>
        <v>0.4794444444444444</v>
      </c>
      <c r="JV22" s="342">
        <f t="shared" si="70"/>
        <v>0.47111111111111115</v>
      </c>
      <c r="JW22" s="342">
        <f t="shared" si="70"/>
        <v>0.44611111111111107</v>
      </c>
      <c r="JX22" s="342">
        <f t="shared" si="70"/>
        <v>0.38611111111111118</v>
      </c>
      <c r="JY22" s="342">
        <f t="shared" si="70"/>
        <v>0.45888888888888907</v>
      </c>
      <c r="JZ22" s="342">
        <f t="shared" si="70"/>
        <v>0.4433333333333333</v>
      </c>
      <c r="KA22" s="342">
        <f t="shared" si="70"/>
        <v>0.55833333333333324</v>
      </c>
      <c r="KB22" s="342">
        <f t="shared" si="70"/>
        <v>0.45111111111111107</v>
      </c>
      <c r="KC22" s="342">
        <f t="shared" si="70"/>
        <v>0.63833333333333331</v>
      </c>
      <c r="KD22" s="342">
        <f>AVERAGEIF($C$36:$C$173,"=5",KD$36:KD$173)</f>
        <v>0.34277777777777779</v>
      </c>
      <c r="KE22" s="342">
        <f>AVERAGEIF($C$36:$C$173,"=5",KE$36:KE$173)</f>
        <v>0.50444444444444447</v>
      </c>
      <c r="KF22" s="342">
        <f>AVERAGEIF($C$36:$C$173,"=5",KF$36:KF$173)</f>
        <v>0.448888888888889</v>
      </c>
      <c r="KG22" s="342">
        <f>AVERAGEIF($C$36:$C$173,"=5",KG$36:KG$173)</f>
        <v>0.49444444444444446</v>
      </c>
      <c r="KH22" s="129">
        <f>AVERAGEIF($C$36:$C$173,"=5",KH$36:KH$173)</f>
        <v>54.611111111111114</v>
      </c>
      <c r="KI22" s="970"/>
      <c r="KJ22" s="129">
        <f>AVERAGEIF($C$36:$C$173,"=5",KJ$36:KJ$173)</f>
        <v>8.8333333333333339</v>
      </c>
      <c r="KK22" s="970"/>
      <c r="KL22" s="342">
        <f>AVERAGEIF($C$36:$C$173,"=5",KL$36:KL$173)</f>
        <v>8.4444444444444461E-2</v>
      </c>
      <c r="KM22" s="342">
        <f t="shared" ref="KM22:LO22" si="71">AVERAGEIF($C$36:$C$173,"=5",KM$36:KM$173)</f>
        <v>0.435</v>
      </c>
      <c r="KN22" s="342">
        <f t="shared" si="71"/>
        <v>0.44166666666666665</v>
      </c>
      <c r="KO22" s="342">
        <f t="shared" si="71"/>
        <v>3.888888888888889E-2</v>
      </c>
      <c r="KP22" s="342">
        <f t="shared" si="71"/>
        <v>0.46055555555555561</v>
      </c>
      <c r="KQ22" s="342">
        <f t="shared" si="71"/>
        <v>0.2166666666666667</v>
      </c>
      <c r="KR22" s="342">
        <f t="shared" si="71"/>
        <v>0.53611111111111109</v>
      </c>
      <c r="KS22" s="342">
        <f t="shared" si="71"/>
        <v>0.39166666666666677</v>
      </c>
      <c r="KT22" s="342">
        <f t="shared" si="71"/>
        <v>0.49388888888888893</v>
      </c>
      <c r="KU22" s="342">
        <f t="shared" si="71"/>
        <v>0.32388888888888889</v>
      </c>
      <c r="KV22" s="342">
        <f t="shared" si="71"/>
        <v>0.5477777777777777</v>
      </c>
      <c r="KW22" s="342">
        <f t="shared" si="71"/>
        <v>0.31555555555555559</v>
      </c>
      <c r="KX22" s="342">
        <f t="shared" si="71"/>
        <v>0.30166666666666669</v>
      </c>
      <c r="KY22" s="342">
        <f t="shared" si="71"/>
        <v>0.47222222222222232</v>
      </c>
      <c r="KZ22" s="342">
        <f t="shared" si="71"/>
        <v>0.33111111111111113</v>
      </c>
      <c r="LA22" s="342">
        <f t="shared" si="71"/>
        <v>0.3477777777777778</v>
      </c>
      <c r="LB22" s="342">
        <f t="shared" si="71"/>
        <v>0.35</v>
      </c>
      <c r="LC22" s="342">
        <f t="shared" si="71"/>
        <v>0.306111111111111</v>
      </c>
      <c r="LD22" s="342">
        <f t="shared" si="71"/>
        <v>0.50333333333333341</v>
      </c>
      <c r="LE22" s="342">
        <f t="shared" si="71"/>
        <v>0.4466666666666666</v>
      </c>
      <c r="LF22" s="342">
        <f t="shared" si="71"/>
        <v>0.23722222222222231</v>
      </c>
      <c r="LG22" s="342">
        <f t="shared" si="71"/>
        <v>0.40111111111111114</v>
      </c>
      <c r="LH22" s="342">
        <f t="shared" si="71"/>
        <v>0.50555555555555542</v>
      </c>
      <c r="LI22" s="342">
        <f t="shared" si="71"/>
        <v>0.4588888888888889</v>
      </c>
      <c r="LJ22" s="342">
        <f t="shared" si="71"/>
        <v>0.33611111111111103</v>
      </c>
      <c r="LK22" s="342">
        <f>AVERAGEIF($C$36:$C$173,"=5",LK$36:LK$173)</f>
        <v>0.50944444444444459</v>
      </c>
      <c r="LL22" s="342" t="s">
        <v>173</v>
      </c>
      <c r="LM22" s="342">
        <f t="shared" si="71"/>
        <v>0.52444444444444438</v>
      </c>
      <c r="LN22" s="342">
        <f t="shared" si="71"/>
        <v>0.5427777777777778</v>
      </c>
      <c r="LO22" s="342">
        <f t="shared" si="71"/>
        <v>0.39611111111111108</v>
      </c>
    </row>
    <row r="23" spans="1:327" ht="24.95" customHeight="1" x14ac:dyDescent="0.2">
      <c r="A23" s="197" t="s">
        <v>145</v>
      </c>
      <c r="B23" s="6"/>
      <c r="C23" s="6"/>
      <c r="D23" s="129">
        <f>AVERAGEIF($C$36:$C$173,"=6",D$36:D$173)</f>
        <v>55.06666666666667</v>
      </c>
      <c r="E23" s="129">
        <f>AVERAGEIF($C$36:$C$173,"=6",E$36:E$173)</f>
        <v>5.8</v>
      </c>
      <c r="F23" s="39">
        <f>AVERAGEIF($C$36:$C$173,"=6",F$36:F$173)</f>
        <v>1.6666666666666666E-2</v>
      </c>
      <c r="G23" s="39">
        <f t="shared" ref="G23:AG23" si="72">AVERAGEIF($C$36:$C$173,"=6",G$36:G$173)</f>
        <v>0.52333333333333332</v>
      </c>
      <c r="H23" s="39">
        <f t="shared" si="72"/>
        <v>0.45466666666666661</v>
      </c>
      <c r="I23" s="39">
        <f t="shared" si="72"/>
        <v>3.3333333333333335E-3</v>
      </c>
      <c r="J23" s="39">
        <f t="shared" si="72"/>
        <v>0.39400000000000002</v>
      </c>
      <c r="K23" s="39">
        <f t="shared" si="72"/>
        <v>0.38466666666666666</v>
      </c>
      <c r="L23" s="39">
        <f t="shared" si="72"/>
        <v>0.72733333333333339</v>
      </c>
      <c r="M23" s="39">
        <f t="shared" si="72"/>
        <v>0.16466666666666666</v>
      </c>
      <c r="N23" s="39">
        <f t="shared" si="72"/>
        <v>0.27799999999999997</v>
      </c>
      <c r="O23" s="39">
        <f t="shared" si="72"/>
        <v>0.59866666666666668</v>
      </c>
      <c r="P23" s="39">
        <f t="shared" si="72"/>
        <v>0.34866666666666662</v>
      </c>
      <c r="Q23" s="39">
        <f t="shared" si="72"/>
        <v>0.40400000000000003</v>
      </c>
      <c r="R23" s="39">
        <f t="shared" si="72"/>
        <v>0.5013333333333333</v>
      </c>
      <c r="S23" s="39">
        <f t="shared" si="72"/>
        <v>0.56799999999999995</v>
      </c>
      <c r="T23" s="39">
        <f t="shared" si="72"/>
        <v>0.45200000000000001</v>
      </c>
      <c r="U23" s="39">
        <f t="shared" si="72"/>
        <v>0.5079999999999999</v>
      </c>
      <c r="V23" s="39">
        <f t="shared" si="72"/>
        <v>6.2000000000000013E-2</v>
      </c>
      <c r="W23" s="39">
        <f t="shared" si="72"/>
        <v>0.11133333333333333</v>
      </c>
      <c r="X23" s="39">
        <f t="shared" si="72"/>
        <v>0.46800000000000003</v>
      </c>
      <c r="Y23" s="39">
        <f t="shared" si="72"/>
        <v>0.42066666666666663</v>
      </c>
      <c r="Z23" s="39">
        <f t="shared" si="72"/>
        <v>0.62</v>
      </c>
      <c r="AA23" s="39">
        <f t="shared" si="72"/>
        <v>8.2666666666666666E-2</v>
      </c>
      <c r="AB23" s="39">
        <f t="shared" si="72"/>
        <v>0.39599999999999996</v>
      </c>
      <c r="AC23" s="39">
        <f t="shared" si="72"/>
        <v>0.252</v>
      </c>
      <c r="AD23" s="39">
        <f t="shared" si="72"/>
        <v>0.41133333333333333</v>
      </c>
      <c r="AE23" s="39">
        <f t="shared" si="72"/>
        <v>0.41066666666666668</v>
      </c>
      <c r="AF23" s="39">
        <f t="shared" si="72"/>
        <v>0.49533333333333346</v>
      </c>
      <c r="AG23" s="39">
        <f t="shared" si="72"/>
        <v>0.49866666666666681</v>
      </c>
      <c r="AH23" s="129">
        <f>AVERAGEIF($C$36:$C$173,"=6",AH$36:AH$173)</f>
        <v>52.06666666666667</v>
      </c>
      <c r="AI23" s="129">
        <f>AVERAGEIF($C$36:$C$173,"=6",AI$36:AI$173)</f>
        <v>7.9333333333333336</v>
      </c>
      <c r="AJ23" s="39">
        <f>AVERAGEIF($C$36:$C$173,"=6",AJ$36:AJ$173)</f>
        <v>0.10733333333333334</v>
      </c>
      <c r="AK23" s="39">
        <f t="shared" ref="AK23:BL23" si="73">AVERAGEIF($C$36:$C$173,"=6",AK$36:AK$173)</f>
        <v>0.52999999999999992</v>
      </c>
      <c r="AL23" s="39">
        <f t="shared" si="73"/>
        <v>0.35399999999999998</v>
      </c>
      <c r="AM23" s="39">
        <f t="shared" si="73"/>
        <v>9.3333333333333341E-3</v>
      </c>
      <c r="AN23" s="39">
        <f t="shared" si="73"/>
        <v>0.28000000000000003</v>
      </c>
      <c r="AO23" s="39">
        <f t="shared" si="73"/>
        <v>0.48066666666666674</v>
      </c>
      <c r="AP23" s="39">
        <f t="shared" si="73"/>
        <v>0.58466666666666667</v>
      </c>
      <c r="AQ23" s="39">
        <f t="shared" si="73"/>
        <v>0.37333333333333329</v>
      </c>
      <c r="AR23" s="39">
        <f t="shared" si="73"/>
        <v>0.50600000000000001</v>
      </c>
      <c r="AS23" s="39">
        <f t="shared" si="73"/>
        <v>0.52600000000000002</v>
      </c>
      <c r="AT23" s="39">
        <f t="shared" si="73"/>
        <v>0.51600000000000013</v>
      </c>
      <c r="AU23" s="39">
        <f t="shared" si="73"/>
        <v>0.52933333333333332</v>
      </c>
      <c r="AV23" s="39">
        <f t="shared" si="73"/>
        <v>0.60333333333333339</v>
      </c>
      <c r="AW23" s="39">
        <f t="shared" si="73"/>
        <v>0.53333333333333333</v>
      </c>
      <c r="AX23" s="39">
        <f t="shared" si="73"/>
        <v>0.53999999999999992</v>
      </c>
      <c r="AY23" s="39">
        <f t="shared" si="73"/>
        <v>0.33466666666666672</v>
      </c>
      <c r="AZ23" s="39">
        <f t="shared" si="73"/>
        <v>0.34400000000000008</v>
      </c>
      <c r="BA23" s="39">
        <f t="shared" si="73"/>
        <v>0.4820000000000001</v>
      </c>
      <c r="BB23" s="39">
        <f t="shared" si="73"/>
        <v>0.66799999999999982</v>
      </c>
      <c r="BC23" s="39">
        <f t="shared" si="73"/>
        <v>0.63266666666666671</v>
      </c>
      <c r="BD23" s="39">
        <f t="shared" si="73"/>
        <v>0.39933333333333343</v>
      </c>
      <c r="BE23" s="39">
        <f t="shared" si="73"/>
        <v>0.57133333333333336</v>
      </c>
      <c r="BF23" s="39">
        <f t="shared" si="73"/>
        <v>0.67666666666666664</v>
      </c>
      <c r="BG23" s="39">
        <f t="shared" si="73"/>
        <v>0.49399999999999999</v>
      </c>
      <c r="BH23" s="39">
        <f t="shared" si="73"/>
        <v>0.42600000000000005</v>
      </c>
      <c r="BI23" s="39">
        <f t="shared" si="73"/>
        <v>0.42800000000000005</v>
      </c>
      <c r="BJ23" s="39">
        <f t="shared" si="73"/>
        <v>0.37199999999999994</v>
      </c>
      <c r="BK23" s="39">
        <f t="shared" si="73"/>
        <v>0.43866666666666665</v>
      </c>
      <c r="BL23" s="39">
        <f t="shared" si="73"/>
        <v>0.40333333333333332</v>
      </c>
      <c r="BM23" s="129">
        <f>AVERAGEIF($C$36:$C$173,"=6",BM$36:BM$173)</f>
        <v>51</v>
      </c>
      <c r="BN23" s="129">
        <f>AVERAGEIF($C$36:$C$173,"=6",BN$36:BN$173)</f>
        <v>8.4285714285714288</v>
      </c>
      <c r="BO23" s="39">
        <f>AVERAGEIF($C$36:$C$173,"=6",BO$36:BO$173)</f>
        <v>9.2142857142857151E-2</v>
      </c>
      <c r="BP23" s="39">
        <f t="shared" ref="BP23:CR23" si="74">AVERAGEIF($C$36:$C$173,"=6",BP$36:BP$173)</f>
        <v>0.61142857142857143</v>
      </c>
      <c r="BQ23" s="39">
        <f t="shared" si="74"/>
        <v>0.29214285714285715</v>
      </c>
      <c r="BR23" s="39">
        <f t="shared" si="74"/>
        <v>6.4285714285714285E-3</v>
      </c>
      <c r="BS23" s="39">
        <f t="shared" si="74"/>
        <v>0.33714285714285719</v>
      </c>
      <c r="BT23" s="39">
        <f t="shared" si="74"/>
        <v>0.51</v>
      </c>
      <c r="BU23" s="39">
        <f t="shared" si="74"/>
        <v>0.62142857142857155</v>
      </c>
      <c r="BV23" s="39">
        <f t="shared" si="74"/>
        <v>0.28785714285714287</v>
      </c>
      <c r="BW23" s="39">
        <f t="shared" si="74"/>
        <v>0.61071428571428577</v>
      </c>
      <c r="BX23" s="39">
        <f t="shared" si="74"/>
        <v>0.3264285714285714</v>
      </c>
      <c r="BY23" s="39">
        <f t="shared" si="74"/>
        <v>0.42357142857142854</v>
      </c>
      <c r="BZ23" s="39">
        <f t="shared" si="74"/>
        <v>0.52071428571428569</v>
      </c>
      <c r="CA23" s="39">
        <f t="shared" si="74"/>
        <v>0.47357142857142859</v>
      </c>
      <c r="CB23" s="39">
        <f t="shared" si="74"/>
        <v>0.32357142857142851</v>
      </c>
      <c r="CC23" s="39">
        <f t="shared" si="74"/>
        <v>0.20142857142857143</v>
      </c>
      <c r="CD23" s="39">
        <f t="shared" si="74"/>
        <v>0.42785714285714288</v>
      </c>
      <c r="CE23" s="39">
        <f t="shared" si="74"/>
        <v>0.34285714285714286</v>
      </c>
      <c r="CF23" s="39">
        <f t="shared" si="74"/>
        <v>0.61428571428571421</v>
      </c>
      <c r="CG23" s="39">
        <f t="shared" si="74"/>
        <v>0.59142857142857153</v>
      </c>
      <c r="CH23" s="39">
        <f t="shared" si="74"/>
        <v>0.45285714285714285</v>
      </c>
      <c r="CI23" s="39">
        <f t="shared" si="74"/>
        <v>0.57714285714285718</v>
      </c>
      <c r="CJ23" s="39">
        <f t="shared" si="74"/>
        <v>0.32857142857142857</v>
      </c>
      <c r="CK23" s="39">
        <f t="shared" si="74"/>
        <v>0.66714285714285726</v>
      </c>
      <c r="CL23" s="39">
        <f t="shared" si="74"/>
        <v>0.31928571428571428</v>
      </c>
      <c r="CM23" s="39">
        <f t="shared" si="74"/>
        <v>0.44214285714285717</v>
      </c>
      <c r="CN23" s="39">
        <f t="shared" si="74"/>
        <v>0.4707142857142857</v>
      </c>
      <c r="CO23" s="39">
        <f t="shared" si="74"/>
        <v>0.42785714285714288</v>
      </c>
      <c r="CP23" s="39">
        <f t="shared" si="74"/>
        <v>0.35142857142857142</v>
      </c>
      <c r="CQ23" s="39">
        <f t="shared" si="74"/>
        <v>0.56857142857142862</v>
      </c>
      <c r="CR23" s="39">
        <f t="shared" si="74"/>
        <v>0.57928571428571429</v>
      </c>
      <c r="CS23" s="129">
        <f>AVERAGEIF($C$36:$C$173,"=6",CS$36:CS$173)</f>
        <v>50.333333333333336</v>
      </c>
      <c r="CT23" s="129">
        <f>AVERAGEIF($C$36:$C$173,"=6",CT$36:CT$173)</f>
        <v>8.1333333333333329</v>
      </c>
      <c r="CU23" s="39">
        <f>AVERAGEIF($C$36:$C$173,"=6",CU$36:CU$173)</f>
        <v>0.12066666666666669</v>
      </c>
      <c r="CV23" s="39">
        <f t="shared" ref="CV23:DW23" si="75">AVERAGEIF($C$36:$C$173,"=6",CV$36:CV$173)</f>
        <v>0.6293333333333333</v>
      </c>
      <c r="CW23" s="39">
        <f t="shared" si="75"/>
        <v>0.22800000000000001</v>
      </c>
      <c r="CX23" s="39">
        <f t="shared" si="75"/>
        <v>2.4E-2</v>
      </c>
      <c r="CY23" s="39">
        <f t="shared" si="75"/>
        <v>0.49466666666666664</v>
      </c>
      <c r="CZ23" s="39">
        <f t="shared" si="75"/>
        <v>0.30933333333333335</v>
      </c>
      <c r="DA23" s="39">
        <f t="shared" si="75"/>
        <v>0.55466666666666664</v>
      </c>
      <c r="DB23" s="39">
        <f t="shared" si="75"/>
        <v>0.38466666666666671</v>
      </c>
      <c r="DC23" s="39">
        <f t="shared" si="75"/>
        <v>0.44866666666666666</v>
      </c>
      <c r="DD23" s="39">
        <f t="shared" si="75"/>
        <v>0.6226666666666667</v>
      </c>
      <c r="DE23" s="39">
        <f t="shared" si="75"/>
        <v>0.43333333333333335</v>
      </c>
      <c r="DF23" s="39">
        <f t="shared" si="75"/>
        <v>0.52733333333333332</v>
      </c>
      <c r="DG23" s="39">
        <f t="shared" si="75"/>
        <v>0.38400000000000001</v>
      </c>
      <c r="DH23" s="39">
        <f t="shared" si="75"/>
        <v>0.39799999999999996</v>
      </c>
      <c r="DI23" s="39">
        <f t="shared" si="75"/>
        <v>0.48800000000000004</v>
      </c>
      <c r="DJ23" s="39">
        <f t="shared" si="75"/>
        <v>0.53933333333333333</v>
      </c>
      <c r="DK23" s="39">
        <f t="shared" si="75"/>
        <v>0.41</v>
      </c>
      <c r="DL23" s="39">
        <f t="shared" si="75"/>
        <v>0.40142857142857141</v>
      </c>
      <c r="DM23" s="39">
        <f t="shared" si="75"/>
        <v>0.52399999999999991</v>
      </c>
      <c r="DN23" s="39">
        <f t="shared" si="75"/>
        <v>0.47533333333333327</v>
      </c>
      <c r="DO23" s="39">
        <f t="shared" si="75"/>
        <v>0.45066666666666666</v>
      </c>
      <c r="DP23" s="39">
        <f t="shared" si="75"/>
        <v>0.45866666666666672</v>
      </c>
      <c r="DQ23" s="39">
        <f t="shared" si="75"/>
        <v>0.54333333333333333</v>
      </c>
      <c r="DR23" s="39">
        <f t="shared" si="75"/>
        <v>0.15266666666666667</v>
      </c>
      <c r="DS23" s="39">
        <f t="shared" si="75"/>
        <v>0.35733333333333334</v>
      </c>
      <c r="DT23" s="39">
        <f t="shared" si="75"/>
        <v>0.59466666666666668</v>
      </c>
      <c r="DU23" s="39">
        <f t="shared" si="75"/>
        <v>0.51466666666666672</v>
      </c>
      <c r="DV23" s="39">
        <f t="shared" si="75"/>
        <v>0.54266666666666674</v>
      </c>
      <c r="DW23" s="39">
        <f t="shared" si="75"/>
        <v>0.318</v>
      </c>
      <c r="DX23" s="129">
        <f>AVERAGEIF($C$36:$C$173,"=6",DX$36:DX$173)</f>
        <v>49.235294117647058</v>
      </c>
      <c r="DY23" s="129">
        <f>AVERAGEIF($C$36:$C$173,"=6",DY$36:DY$173)</f>
        <v>7.8235294117647056</v>
      </c>
      <c r="DZ23" s="39">
        <f>AVERAGEIF($C$36:$C$173,"=6",DZ$36:DZ$173)</f>
        <v>0.15999999999999998</v>
      </c>
      <c r="EA23" s="39">
        <f t="shared" ref="EA23:FA23" si="76">AVERAGEIF($C$36:$C$173,"=6",EA$36:EA$173)</f>
        <v>0.58411764705882352</v>
      </c>
      <c r="EB23" s="39">
        <f t="shared" si="76"/>
        <v>0.25294117647058817</v>
      </c>
      <c r="EC23" s="39">
        <f t="shared" si="76"/>
        <v>4.1176470588235288E-3</v>
      </c>
      <c r="ED23" s="39">
        <f t="shared" si="76"/>
        <v>0.53117647058823514</v>
      </c>
      <c r="EE23" s="39">
        <f t="shared" si="76"/>
        <v>0.46000000000000008</v>
      </c>
      <c r="EF23" s="39">
        <f t="shared" si="76"/>
        <v>0.51764705882352946</v>
      </c>
      <c r="EG23" s="39">
        <f t="shared" si="76"/>
        <v>0.39529411764705874</v>
      </c>
      <c r="EH23" s="39">
        <f t="shared" si="76"/>
        <v>0.47529411764705881</v>
      </c>
      <c r="EI23" s="39">
        <f t="shared" si="76"/>
        <v>0.56999999999999995</v>
      </c>
      <c r="EJ23" s="39">
        <f t="shared" si="76"/>
        <v>0.56823529411764706</v>
      </c>
      <c r="EK23" s="39">
        <f t="shared" si="76"/>
        <v>0.34352941176470592</v>
      </c>
      <c r="EL23" s="39">
        <f t="shared" si="76"/>
        <v>0.47000000000000003</v>
      </c>
      <c r="EM23" s="39">
        <f t="shared" si="76"/>
        <v>0.63764705882352946</v>
      </c>
      <c r="EN23" s="39">
        <f t="shared" si="76"/>
        <v>0.42823529411764705</v>
      </c>
      <c r="EO23" s="39">
        <f t="shared" si="76"/>
        <v>0.55882352941176472</v>
      </c>
      <c r="EP23" s="39">
        <f t="shared" si="76"/>
        <v>0.41176470588235298</v>
      </c>
      <c r="EQ23" s="39">
        <f t="shared" si="76"/>
        <v>0.32470588235294118</v>
      </c>
      <c r="ER23" s="39">
        <f t="shared" si="76"/>
        <v>0.58882352941176475</v>
      </c>
      <c r="ES23" s="39">
        <f t="shared" si="76"/>
        <v>0.48882352941176471</v>
      </c>
      <c r="ET23" s="39">
        <f t="shared" si="76"/>
        <v>0.3258823529411764</v>
      </c>
      <c r="EU23" s="39">
        <f t="shared" si="76"/>
        <v>0.56647058823529406</v>
      </c>
      <c r="EV23" s="39">
        <f t="shared" si="76"/>
        <v>0.3505882352941177</v>
      </c>
      <c r="EW23" s="39">
        <f t="shared" si="76"/>
        <v>0.36352941176470588</v>
      </c>
      <c r="EX23" s="39">
        <f t="shared" si="76"/>
        <v>0.68666666666666665</v>
      </c>
      <c r="EY23" s="39">
        <f t="shared" si="76"/>
        <v>0.60058823529411764</v>
      </c>
      <c r="EZ23" s="39">
        <f t="shared" si="76"/>
        <v>0.19625000000000004</v>
      </c>
      <c r="FA23" s="39">
        <f t="shared" si="76"/>
        <v>0.6652941176470587</v>
      </c>
      <c r="FB23" s="129">
        <f>AVERAGEIF($C$36:$C$173,"=6",FB$36:FB$173)</f>
        <v>49.235294117647058</v>
      </c>
      <c r="FD23" s="129">
        <f>AVERAGEIF($C$36:$C$173,"=6",FD$36:FD$173)</f>
        <v>6.882352941176471</v>
      </c>
      <c r="FF23" s="39">
        <f>AVERAGEIF($C$36:$C$173,"=6",FF$36:FF$173)</f>
        <v>0.17705882352941174</v>
      </c>
      <c r="FG23" s="39">
        <f t="shared" ref="FG23:GI23" si="77">AVERAGEIF($C$36:$C$173,"=6",FG$36:FG$173)</f>
        <v>0.58647058823529419</v>
      </c>
      <c r="FH23" s="39">
        <f t="shared" si="77"/>
        <v>0.22882352941176468</v>
      </c>
      <c r="FI23" s="39">
        <f t="shared" si="77"/>
        <v>8.2352941176470594E-3</v>
      </c>
      <c r="FJ23" s="39">
        <f t="shared" si="77"/>
        <v>0.45882352941176469</v>
      </c>
      <c r="FK23" s="39">
        <f t="shared" si="77"/>
        <v>0.67411764705882349</v>
      </c>
      <c r="FL23" s="39">
        <f t="shared" si="77"/>
        <v>0.52176470588235291</v>
      </c>
      <c r="FM23" s="39">
        <f t="shared" si="77"/>
        <v>0.37375000000000003</v>
      </c>
      <c r="FN23" s="39">
        <f t="shared" si="77"/>
        <v>0.34058823529411758</v>
      </c>
      <c r="FO23" s="39">
        <f t="shared" si="77"/>
        <v>0.3488235294117647</v>
      </c>
      <c r="FP23" s="39">
        <f t="shared" si="77"/>
        <v>0.37294117647058822</v>
      </c>
      <c r="FQ23" s="39">
        <f t="shared" si="77"/>
        <v>0.46176470588235291</v>
      </c>
      <c r="FR23" s="39">
        <f t="shared" si="77"/>
        <v>0.59823529411764709</v>
      </c>
      <c r="FS23" s="39">
        <f t="shared" si="77"/>
        <v>0.53750000000000009</v>
      </c>
      <c r="FT23" s="39">
        <f t="shared" si="77"/>
        <v>0.51058823529411779</v>
      </c>
      <c r="FU23" s="39">
        <f t="shared" si="77"/>
        <v>0.38124999999999998</v>
      </c>
      <c r="FV23" s="39">
        <f t="shared" si="77"/>
        <v>0.67117647058823515</v>
      </c>
      <c r="FW23" s="39">
        <f t="shared" si="77"/>
        <v>0.5135294117647059</v>
      </c>
      <c r="FX23" s="39">
        <f t="shared" si="77"/>
        <v>0.455625</v>
      </c>
      <c r="FY23" s="39">
        <f t="shared" si="77"/>
        <v>0.40352941176470597</v>
      </c>
      <c r="FZ23" s="39">
        <f t="shared" si="77"/>
        <v>0.40529411764705886</v>
      </c>
      <c r="GA23" s="39">
        <f t="shared" si="77"/>
        <v>0.48529411764705882</v>
      </c>
      <c r="GB23" s="39">
        <f t="shared" si="77"/>
        <v>0.55411764705882349</v>
      </c>
      <c r="GC23" s="39">
        <f t="shared" si="77"/>
        <v>0.45823529411764707</v>
      </c>
      <c r="GD23" s="39">
        <f t="shared" si="77"/>
        <v>0.57058823529411784</v>
      </c>
      <c r="GE23" s="39">
        <f t="shared" si="77"/>
        <v>0.52058823529411757</v>
      </c>
      <c r="GF23" s="39">
        <f t="shared" si="77"/>
        <v>0.45882352941176463</v>
      </c>
      <c r="GG23" s="39">
        <f t="shared" si="77"/>
        <v>0.47411764705882353</v>
      </c>
      <c r="GH23" s="39">
        <f t="shared" si="77"/>
        <v>0.55470588235294116</v>
      </c>
      <c r="GI23" s="39">
        <f t="shared" si="77"/>
        <v>0.26529411764705879</v>
      </c>
      <c r="GJ23" s="129">
        <f>AVERAGEIF($C$36:$C$173,"=6",GJ$36:GJ$173)</f>
        <v>49.736842105263158</v>
      </c>
      <c r="GL23" s="129">
        <f>AVERAGEIF($C$36:$C$173,"=6",GL$36:GL$173)</f>
        <v>8.5789473684210531</v>
      </c>
      <c r="GN23" s="342">
        <f>AVERAGEIF($C$36:$C$173,"=6",GN$36:GN$173)</f>
        <v>0.20263157894736844</v>
      </c>
      <c r="GO23" s="342">
        <f t="shared" ref="GO23:HQ23" si="78">AVERAGEIF($C$36:$C$173,"=6",GO$36:GO$173)</f>
        <v>0.53263157894736846</v>
      </c>
      <c r="GP23" s="342">
        <f t="shared" si="78"/>
        <v>0.25052631578947371</v>
      </c>
      <c r="GQ23" s="342">
        <f t="shared" si="78"/>
        <v>1.4210526315789474E-2</v>
      </c>
      <c r="GR23" s="342">
        <f t="shared" si="78"/>
        <v>0.45842105263157901</v>
      </c>
      <c r="GS23" s="342">
        <f t="shared" si="78"/>
        <v>0.55210526315789477</v>
      </c>
      <c r="GT23" s="342">
        <f t="shared" si="78"/>
        <v>0.60736842105263167</v>
      </c>
      <c r="GU23" s="342">
        <f t="shared" si="78"/>
        <v>0.28166666666666668</v>
      </c>
      <c r="GV23" s="342">
        <f t="shared" si="78"/>
        <v>0.55421052631578938</v>
      </c>
      <c r="GW23" s="342">
        <f t="shared" si="78"/>
        <v>0.4768421052631579</v>
      </c>
      <c r="GX23" s="342">
        <f t="shared" si="78"/>
        <v>0.49842105263157899</v>
      </c>
      <c r="GY23" s="315" t="s">
        <v>173</v>
      </c>
      <c r="GZ23" s="342">
        <f t="shared" si="78"/>
        <v>0.33263157894736844</v>
      </c>
      <c r="HA23" s="342">
        <f t="shared" si="78"/>
        <v>0.68052631578947365</v>
      </c>
      <c r="HB23" s="342">
        <f t="shared" si="78"/>
        <v>0.48999999999999994</v>
      </c>
      <c r="HC23" s="342">
        <f t="shared" si="78"/>
        <v>0.51</v>
      </c>
      <c r="HD23" s="342">
        <f t="shared" si="78"/>
        <v>0.57789473684210524</v>
      </c>
      <c r="HE23" s="342">
        <f t="shared" si="78"/>
        <v>0.49210526315789471</v>
      </c>
      <c r="HF23" s="342">
        <f t="shared" si="78"/>
        <v>0.4826315789473683</v>
      </c>
      <c r="HG23" s="342">
        <f t="shared" si="78"/>
        <v>0.67631578947368409</v>
      </c>
      <c r="HH23" s="342">
        <f t="shared" si="78"/>
        <v>0.4200000000000001</v>
      </c>
      <c r="HI23" s="342">
        <f t="shared" si="78"/>
        <v>0.54947368421052634</v>
      </c>
      <c r="HJ23" s="342">
        <f t="shared" si="78"/>
        <v>0.59842105263157896</v>
      </c>
      <c r="HK23" s="342">
        <f t="shared" si="78"/>
        <v>0.51368421052631574</v>
      </c>
      <c r="HL23" s="342">
        <f t="shared" si="78"/>
        <v>0.4489473684210526</v>
      </c>
      <c r="HM23" s="342">
        <f t="shared" si="78"/>
        <v>0.50842105263157888</v>
      </c>
      <c r="HN23" s="342">
        <f t="shared" si="78"/>
        <v>0.49947368421052635</v>
      </c>
      <c r="HO23" s="342">
        <f t="shared" si="78"/>
        <v>0.43421052631578949</v>
      </c>
      <c r="HP23" s="315" t="s">
        <v>173</v>
      </c>
      <c r="HQ23" s="342">
        <f t="shared" si="78"/>
        <v>0.43789473684210528</v>
      </c>
      <c r="HR23" s="129">
        <f>AVERAGEIF($C$36:$C$173,"=6",HR$36:HR$173)</f>
        <v>50.9</v>
      </c>
      <c r="HT23" s="129">
        <f>AVERAGEIF($C$36:$C$173,"=6",HT$36:HT$173)</f>
        <v>8.3000000000000007</v>
      </c>
      <c r="HV23" s="342">
        <f>AVERAGEIF($C$36:$C$173,"=6",HV$36:HV$173)</f>
        <v>0.16599999999999998</v>
      </c>
      <c r="HW23" s="342">
        <f t="shared" ref="HW23:IZ23" si="79">AVERAGEIF($C$36:$C$173,"=6",HW$36:HW$173)</f>
        <v>0.50299999999999989</v>
      </c>
      <c r="HX23" s="342">
        <f t="shared" si="79"/>
        <v>0.32100000000000006</v>
      </c>
      <c r="HY23" s="342">
        <f t="shared" si="79"/>
        <v>1.0499999999999999E-2</v>
      </c>
      <c r="HZ23" s="342">
        <f t="shared" si="79"/>
        <v>0.3705</v>
      </c>
      <c r="IA23" s="342">
        <f t="shared" si="79"/>
        <v>0.51849999999999985</v>
      </c>
      <c r="IB23" s="342">
        <f t="shared" si="79"/>
        <v>0.36299999999999999</v>
      </c>
      <c r="IC23" s="342">
        <f t="shared" si="79"/>
        <v>0.49050000000000005</v>
      </c>
      <c r="ID23" s="342">
        <f t="shared" si="79"/>
        <v>0.61349999999999993</v>
      </c>
      <c r="IE23" s="342">
        <f t="shared" si="79"/>
        <v>0.32650000000000001</v>
      </c>
      <c r="IF23" s="342">
        <f t="shared" si="79"/>
        <v>0.41799999999999998</v>
      </c>
      <c r="IG23" s="342">
        <f t="shared" si="79"/>
        <v>0.54050000000000009</v>
      </c>
      <c r="IH23" s="342">
        <f t="shared" si="79"/>
        <v>0.49349999999999994</v>
      </c>
      <c r="II23" s="342">
        <f t="shared" si="79"/>
        <v>0.32631578947368423</v>
      </c>
      <c r="IJ23" s="342">
        <f t="shared" si="79"/>
        <v>0.30250000000000005</v>
      </c>
      <c r="IK23" s="342">
        <f t="shared" si="79"/>
        <v>0.59950000000000003</v>
      </c>
      <c r="IL23" s="342">
        <f t="shared" si="79"/>
        <v>0.3775</v>
      </c>
      <c r="IM23" s="342">
        <f t="shared" si="79"/>
        <v>0.626</v>
      </c>
      <c r="IN23" s="342">
        <f t="shared" si="79"/>
        <v>0.45650000000000002</v>
      </c>
      <c r="IO23" s="342">
        <f t="shared" si="79"/>
        <v>0.53249999999999975</v>
      </c>
      <c r="IP23" s="342">
        <f t="shared" si="79"/>
        <v>0.41349999999999998</v>
      </c>
      <c r="IQ23" s="342">
        <f t="shared" si="79"/>
        <v>0.61449999999999994</v>
      </c>
      <c r="IR23" s="342">
        <f t="shared" si="79"/>
        <v>0.57900000000000007</v>
      </c>
      <c r="IS23" s="342">
        <f t="shared" si="79"/>
        <v>0.53894736842105251</v>
      </c>
      <c r="IT23" s="342">
        <f t="shared" si="79"/>
        <v>0.43049999999999999</v>
      </c>
      <c r="IU23" s="315" t="s">
        <v>173</v>
      </c>
      <c r="IV23" s="342">
        <f t="shared" si="79"/>
        <v>0.6090000000000001</v>
      </c>
      <c r="IW23" s="342">
        <f t="shared" si="79"/>
        <v>0.42299999999999988</v>
      </c>
      <c r="IX23" s="342">
        <f t="shared" si="79"/>
        <v>0.52700000000000002</v>
      </c>
      <c r="IY23" s="342">
        <f t="shared" si="79"/>
        <v>0.54500000000000015</v>
      </c>
      <c r="IZ23" s="129">
        <f t="shared" si="79"/>
        <v>51.055555555555557</v>
      </c>
      <c r="JA23" s="495"/>
      <c r="JB23" s="129">
        <f>AVERAGEIF($C$36:$C$173,"=6",JB$36:JB$173)</f>
        <v>9.1666666666666661</v>
      </c>
      <c r="JC23" s="495"/>
      <c r="JD23" s="342">
        <f>AVERAGEIF($C$36:$C$173,"=6",JD$36:JD$173)</f>
        <v>0.15833333333333333</v>
      </c>
      <c r="JE23" s="342">
        <f>AVERAGEIF($C$36:$C$173,"=6",JE$36:JE$173)</f>
        <v>0.49833333333333335</v>
      </c>
      <c r="JF23" s="342">
        <f>AVERAGEIF($C$36:$C$173,"=6",JF$36:JF$173)</f>
        <v>0.32944444444444443</v>
      </c>
      <c r="JG23" s="342">
        <f>AVERAGEIF($C$36:$C$173,"=6",JG$36:JG$173)</f>
        <v>1.5555555555555557E-2</v>
      </c>
      <c r="JH23" s="342">
        <f t="shared" ref="JH23:KC23" si="80">AVERAGEIF($C$36:$C$173,"=6",JH$36:JH$173)</f>
        <v>0.47888888888888892</v>
      </c>
      <c r="JI23" s="342">
        <f t="shared" si="80"/>
        <v>0.44277777777777783</v>
      </c>
      <c r="JJ23" s="342">
        <f t="shared" si="80"/>
        <v>0.42388888888888893</v>
      </c>
      <c r="JK23" s="342">
        <f t="shared" si="80"/>
        <v>0.47500000000000003</v>
      </c>
      <c r="JL23" s="342">
        <f t="shared" si="80"/>
        <v>0.45277777777777778</v>
      </c>
      <c r="JM23" s="342">
        <f t="shared" si="80"/>
        <v>0.4933333333333334</v>
      </c>
      <c r="JN23" s="342">
        <f t="shared" si="80"/>
        <v>0.39555555555555549</v>
      </c>
      <c r="JO23" s="342">
        <f t="shared" si="80"/>
        <v>0.46777777777777768</v>
      </c>
      <c r="JP23" s="342">
        <f t="shared" si="80"/>
        <v>0.57388888888888889</v>
      </c>
      <c r="JQ23" s="342">
        <f t="shared" si="80"/>
        <v>0.30277777777777776</v>
      </c>
      <c r="JR23" s="342">
        <f t="shared" si="80"/>
        <v>0.56500000000000017</v>
      </c>
      <c r="JS23" s="342">
        <f t="shared" si="80"/>
        <v>0.54666666666666663</v>
      </c>
      <c r="JT23" s="342">
        <f t="shared" si="80"/>
        <v>0.46499999999999997</v>
      </c>
      <c r="JU23" s="342">
        <f t="shared" si="80"/>
        <v>0.50444444444444447</v>
      </c>
      <c r="JV23" s="342">
        <f t="shared" si="80"/>
        <v>0.50111111111111095</v>
      </c>
      <c r="JW23" s="342">
        <f t="shared" si="80"/>
        <v>0.49388888888888882</v>
      </c>
      <c r="JX23" s="342">
        <f t="shared" si="80"/>
        <v>0.41666666666666669</v>
      </c>
      <c r="JY23" s="342">
        <f t="shared" si="80"/>
        <v>0.51444444444444448</v>
      </c>
      <c r="JZ23" s="342">
        <f t="shared" si="80"/>
        <v>0.49777777777777793</v>
      </c>
      <c r="KA23" s="342">
        <f t="shared" si="80"/>
        <v>0.54666666666666675</v>
      </c>
      <c r="KB23" s="342">
        <f t="shared" si="80"/>
        <v>0.48277777777777775</v>
      </c>
      <c r="KC23" s="342">
        <f t="shared" si="80"/>
        <v>0.66444444444444428</v>
      </c>
      <c r="KD23" s="342">
        <f>AVERAGEIF($C$36:$C$173,"=6",KD$36:KD$173)</f>
        <v>0.36444444444444435</v>
      </c>
      <c r="KE23" s="342">
        <f>AVERAGEIF($C$36:$C$173,"=6",KE$36:KE$173)</f>
        <v>0.51333333333333331</v>
      </c>
      <c r="KF23" s="342">
        <f>AVERAGEIF($C$36:$C$173,"=6",KF$36:KF$173)</f>
        <v>0.47111111111111115</v>
      </c>
      <c r="KG23" s="342">
        <f>AVERAGEIF($C$36:$C$173,"=6",KG$36:KG$173)</f>
        <v>0.54500000000000004</v>
      </c>
      <c r="KH23" s="129">
        <f>AVERAGEIF($C$36:$C$173,"=6",KH$36:KH$173)</f>
        <v>52.736842105263158</v>
      </c>
      <c r="KI23" s="970"/>
      <c r="KJ23" s="129">
        <f>AVERAGEIF($C$36:$C$173,"=6",KJ$36:KJ$173)</f>
        <v>9.1052631578947363</v>
      </c>
      <c r="KK23" s="970"/>
      <c r="KL23" s="342">
        <f>AVERAGEIF($C$36:$C$173,"=6",KL$36:KL$173)</f>
        <v>0.12947368421052632</v>
      </c>
      <c r="KM23" s="342">
        <f t="shared" ref="KM23:LO23" si="81">AVERAGEIF($C$36:$C$173,"=6",KM$36:KM$173)</f>
        <v>0.46789473684210531</v>
      </c>
      <c r="KN23" s="342">
        <f t="shared" si="81"/>
        <v>0.3705263157894737</v>
      </c>
      <c r="KO23" s="342">
        <f t="shared" si="81"/>
        <v>3.473684210526317E-2</v>
      </c>
      <c r="KP23" s="342">
        <f t="shared" si="81"/>
        <v>0.48842105263157892</v>
      </c>
      <c r="KQ23" s="342">
        <f t="shared" si="81"/>
        <v>0.22999999999999995</v>
      </c>
      <c r="KR23" s="342">
        <f t="shared" si="81"/>
        <v>0.56368421052631579</v>
      </c>
      <c r="KS23" s="342">
        <f t="shared" si="81"/>
        <v>0.47736842105263161</v>
      </c>
      <c r="KT23" s="342">
        <f t="shared" si="81"/>
        <v>0.53421052631578936</v>
      </c>
      <c r="KU23" s="342">
        <f t="shared" si="81"/>
        <v>0.39368421052631575</v>
      </c>
      <c r="KV23" s="342">
        <f t="shared" si="81"/>
        <v>0.56263157894736837</v>
      </c>
      <c r="KW23" s="342">
        <f t="shared" si="81"/>
        <v>0.34684210526315795</v>
      </c>
      <c r="KX23" s="342">
        <f t="shared" si="81"/>
        <v>0.3521052631578947</v>
      </c>
      <c r="KY23" s="342">
        <f t="shared" si="81"/>
        <v>0.49105263157894735</v>
      </c>
      <c r="KZ23" s="342">
        <f t="shared" si="81"/>
        <v>0.36526315789473679</v>
      </c>
      <c r="LA23" s="342">
        <f t="shared" si="81"/>
        <v>0.37210526315789472</v>
      </c>
      <c r="LB23" s="342">
        <f t="shared" si="81"/>
        <v>0.42368421052631583</v>
      </c>
      <c r="LC23" s="342">
        <f t="shared" si="81"/>
        <v>0.39368421052631575</v>
      </c>
      <c r="LD23" s="342">
        <f t="shared" si="81"/>
        <v>0.52473684210526317</v>
      </c>
      <c r="LE23" s="342">
        <f t="shared" si="81"/>
        <v>0.48052631578947363</v>
      </c>
      <c r="LF23" s="342">
        <f t="shared" si="81"/>
        <v>0.31631578947368427</v>
      </c>
      <c r="LG23" s="342">
        <f t="shared" si="81"/>
        <v>0.41631578947368419</v>
      </c>
      <c r="LH23" s="342">
        <f t="shared" si="81"/>
        <v>0.53578947368421037</v>
      </c>
      <c r="LI23" s="342">
        <f t="shared" si="81"/>
        <v>0.46315789473684216</v>
      </c>
      <c r="LJ23" s="342">
        <f t="shared" si="81"/>
        <v>0.39368421052631575</v>
      </c>
      <c r="LK23" s="342">
        <f>AVERAGEIF($C$36:$C$173,"=6",LK$36:LK$173)</f>
        <v>0.518421052631579</v>
      </c>
      <c r="LL23" s="342" t="s">
        <v>173</v>
      </c>
      <c r="LM23" s="342">
        <f t="shared" si="81"/>
        <v>0.55052631578947386</v>
      </c>
      <c r="LN23" s="342">
        <f t="shared" si="81"/>
        <v>0.62368421052631573</v>
      </c>
      <c r="LO23" s="342">
        <f t="shared" si="81"/>
        <v>0.39473684210526316</v>
      </c>
    </row>
    <row r="24" spans="1:327" ht="24.95" customHeight="1" x14ac:dyDescent="0.2">
      <c r="A24" s="6" t="s">
        <v>776</v>
      </c>
      <c r="B24" s="299"/>
      <c r="C24" s="299"/>
      <c r="D24" s="129">
        <f>AVERAGEIFS(D$36:D$173,$C$36:$C$173,"=1", $B$36:$B$173,"OFICIAL")</f>
        <v>54</v>
      </c>
      <c r="E24" s="129">
        <f>AVERAGEIFS(E$36:E$173,$C$36:$C$173,"=1", $B$36:$B$173,"OFICIAL")</f>
        <v>7.25</v>
      </c>
      <c r="F24" s="39">
        <f>AVERAGEIFS(F$36:F$173,$C$36:$C$173,"=1", $B$36:$B$173,"OFICIAL")</f>
        <v>4.7500000000000001E-2</v>
      </c>
      <c r="G24" s="39">
        <f t="shared" ref="G24:AG24" si="82">AVERAGEIFS(G$36:G$173,$C$36:$C$173,"=1", $B$36:$B$173,"OFICIAL")</f>
        <v>0.55000000000000004</v>
      </c>
      <c r="H24" s="39">
        <f t="shared" si="82"/>
        <v>0.39249999999999996</v>
      </c>
      <c r="I24" s="39">
        <f t="shared" si="82"/>
        <v>5.0000000000000001E-3</v>
      </c>
      <c r="J24" s="39">
        <f t="shared" si="82"/>
        <v>0.42499999999999999</v>
      </c>
      <c r="K24" s="39">
        <f t="shared" si="82"/>
        <v>0.3775</v>
      </c>
      <c r="L24" s="39">
        <f t="shared" si="82"/>
        <v>0.74749999999999994</v>
      </c>
      <c r="M24" s="39">
        <f t="shared" si="82"/>
        <v>0.22999999999999998</v>
      </c>
      <c r="N24" s="39">
        <f t="shared" si="82"/>
        <v>0.28500000000000003</v>
      </c>
      <c r="O24" s="39">
        <f t="shared" si="82"/>
        <v>0.65999999999999992</v>
      </c>
      <c r="P24" s="39">
        <f t="shared" si="82"/>
        <v>0.34750000000000003</v>
      </c>
      <c r="Q24" s="39">
        <f t="shared" si="82"/>
        <v>0.42249999999999999</v>
      </c>
      <c r="R24" s="39">
        <f t="shared" si="82"/>
        <v>0.50749999999999995</v>
      </c>
      <c r="S24" s="39">
        <f t="shared" si="82"/>
        <v>0.625</v>
      </c>
      <c r="T24" s="39">
        <f t="shared" si="82"/>
        <v>0.44750000000000001</v>
      </c>
      <c r="U24" s="39">
        <f t="shared" si="82"/>
        <v>0.57999999999999996</v>
      </c>
      <c r="V24" s="39">
        <f t="shared" si="82"/>
        <v>6.7500000000000004E-2</v>
      </c>
      <c r="W24" s="39">
        <f t="shared" si="82"/>
        <v>0.1525</v>
      </c>
      <c r="X24" s="39">
        <f t="shared" si="82"/>
        <v>0.46749999999999997</v>
      </c>
      <c r="Y24" s="39">
        <f t="shared" si="82"/>
        <v>0.51</v>
      </c>
      <c r="Z24" s="39">
        <f t="shared" si="82"/>
        <v>0.83333333333333337</v>
      </c>
      <c r="AA24" s="39">
        <f t="shared" si="82"/>
        <v>0.12</v>
      </c>
      <c r="AB24" s="39">
        <f t="shared" si="82"/>
        <v>0.46499999999999997</v>
      </c>
      <c r="AC24" s="39">
        <f t="shared" si="82"/>
        <v>0.2525</v>
      </c>
      <c r="AD24" s="39">
        <f t="shared" si="82"/>
        <v>0.46749999999999997</v>
      </c>
      <c r="AE24" s="39">
        <f t="shared" si="82"/>
        <v>0.41749999999999998</v>
      </c>
      <c r="AF24" s="39">
        <f t="shared" si="82"/>
        <v>0.53249999999999997</v>
      </c>
      <c r="AG24" s="39">
        <f t="shared" si="82"/>
        <v>0.52249999999999996</v>
      </c>
      <c r="AH24" s="129">
        <f>AVERAGEIFS(AH$36:AH$173,$C$36:$C$173,"=1", $B$36:$B$173,"OFICIAL")</f>
        <v>53</v>
      </c>
      <c r="AI24" s="129">
        <f>AVERAGEIFS(AI$36:AI$173,$C$36:$C$173,"=1", $B$36:$B$173,"OFICIAL")</f>
        <v>7.25</v>
      </c>
      <c r="AJ24" s="39">
        <f>AVERAGEIFS(AJ$36:AJ$173,$C$36:$C$173,"=1", $B$36:$B$173,"OFICIAL")</f>
        <v>5.7500000000000002E-2</v>
      </c>
      <c r="AK24" s="39">
        <f t="shared" ref="AK24:BL24" si="83">AVERAGEIFS(AK$36:AK$173,$C$36:$C$173,"=1", $B$36:$B$173,"OFICIAL")</f>
        <v>0.55249999999999999</v>
      </c>
      <c r="AL24" s="39">
        <f t="shared" si="83"/>
        <v>0.38500000000000001</v>
      </c>
      <c r="AM24" s="39">
        <f t="shared" si="83"/>
        <v>5.0000000000000001E-3</v>
      </c>
      <c r="AN24" s="39">
        <f t="shared" si="83"/>
        <v>0.2525</v>
      </c>
      <c r="AO24" s="39">
        <f t="shared" si="83"/>
        <v>0.4375</v>
      </c>
      <c r="AP24" s="39">
        <f t="shared" si="83"/>
        <v>0.56499999999999995</v>
      </c>
      <c r="AQ24" s="39">
        <f t="shared" si="83"/>
        <v>0.375</v>
      </c>
      <c r="AR24" s="39">
        <f t="shared" si="83"/>
        <v>0.56500000000000006</v>
      </c>
      <c r="AS24" s="39">
        <f t="shared" si="83"/>
        <v>0.52</v>
      </c>
      <c r="AT24" s="39">
        <f t="shared" si="83"/>
        <v>0.48499999999999999</v>
      </c>
      <c r="AU24" s="39">
        <f t="shared" si="83"/>
        <v>0.48249999999999998</v>
      </c>
      <c r="AV24" s="39">
        <f t="shared" si="83"/>
        <v>0.60750000000000004</v>
      </c>
      <c r="AW24" s="39">
        <f t="shared" si="83"/>
        <v>0.46249999999999997</v>
      </c>
      <c r="AX24" s="39">
        <f t="shared" si="83"/>
        <v>0.53749999999999998</v>
      </c>
      <c r="AY24" s="39">
        <f t="shared" si="83"/>
        <v>0.27999999999999997</v>
      </c>
      <c r="AZ24" s="39">
        <f t="shared" si="83"/>
        <v>0.24000000000000002</v>
      </c>
      <c r="BA24" s="39">
        <f t="shared" si="83"/>
        <v>0.48749999999999999</v>
      </c>
      <c r="BB24" s="39">
        <f t="shared" si="83"/>
        <v>0.65249999999999997</v>
      </c>
      <c r="BC24" s="39">
        <f t="shared" si="83"/>
        <v>0.64500000000000002</v>
      </c>
      <c r="BD24" s="39">
        <f t="shared" si="83"/>
        <v>0.4</v>
      </c>
      <c r="BE24" s="39">
        <f t="shared" si="83"/>
        <v>0.47499999999999998</v>
      </c>
      <c r="BF24" s="39">
        <f t="shared" si="83"/>
        <v>0.59250000000000003</v>
      </c>
      <c r="BG24" s="39">
        <f t="shared" si="83"/>
        <v>0.48499999999999999</v>
      </c>
      <c r="BH24" s="39">
        <f t="shared" si="83"/>
        <v>0.41500000000000004</v>
      </c>
      <c r="BI24" s="39">
        <f t="shared" si="83"/>
        <v>0.3725</v>
      </c>
      <c r="BJ24" s="39">
        <f t="shared" si="83"/>
        <v>0.33749999999999997</v>
      </c>
      <c r="BK24" s="39">
        <f t="shared" si="83"/>
        <v>0.44750000000000001</v>
      </c>
      <c r="BL24" s="39">
        <f t="shared" si="83"/>
        <v>0.47</v>
      </c>
      <c r="BM24" s="129">
        <f>AVERAGEIFS(BM$36:BM$173,$C$36:$C$173,"=1", $B$36:$B$173,"OFICIAL")</f>
        <v>50.5</v>
      </c>
      <c r="BN24" s="129">
        <f>AVERAGEIFS(BN$36:BN$173,$C$36:$C$173,"=1", $B$36:$B$173,"OFICIAL")</f>
        <v>8</v>
      </c>
      <c r="BO24" s="39">
        <f>AVERAGEIFS(BO$36:BO$173,$C$36:$C$173,"=1", $B$36:$B$173,"OFICIAL")</f>
        <v>9.7500000000000003E-2</v>
      </c>
      <c r="BP24" s="39">
        <f t="shared" ref="BP24:CR24" si="84">AVERAGEIFS(BP$36:BP$173,$C$36:$C$173,"=1", $B$36:$B$173,"OFICIAL")</f>
        <v>0.63</v>
      </c>
      <c r="BQ24" s="39">
        <f t="shared" si="84"/>
        <v>0.26500000000000001</v>
      </c>
      <c r="BR24" s="39">
        <f t="shared" si="84"/>
        <v>0.01</v>
      </c>
      <c r="BS24" s="39">
        <f t="shared" si="84"/>
        <v>0.3175</v>
      </c>
      <c r="BT24" s="39">
        <f t="shared" si="84"/>
        <v>0.54499999999999993</v>
      </c>
      <c r="BU24" s="39">
        <f t="shared" si="84"/>
        <v>0.68500000000000005</v>
      </c>
      <c r="BV24" s="39">
        <f t="shared" si="84"/>
        <v>0.32999999999999996</v>
      </c>
      <c r="BW24" s="39">
        <f t="shared" si="84"/>
        <v>0.63</v>
      </c>
      <c r="BX24" s="39">
        <f t="shared" si="84"/>
        <v>0.34750000000000003</v>
      </c>
      <c r="BY24" s="39">
        <f t="shared" si="84"/>
        <v>0.45499999999999996</v>
      </c>
      <c r="BZ24" s="39">
        <f t="shared" si="84"/>
        <v>0.52</v>
      </c>
      <c r="CA24" s="39">
        <f t="shared" si="84"/>
        <v>0.44999999999999996</v>
      </c>
      <c r="CB24" s="39">
        <f t="shared" si="84"/>
        <v>0.35749999999999998</v>
      </c>
      <c r="CC24" s="39">
        <f t="shared" si="84"/>
        <v>0.1925</v>
      </c>
      <c r="CD24" s="39">
        <f t="shared" si="84"/>
        <v>0.44249999999999995</v>
      </c>
      <c r="CE24" s="39">
        <f t="shared" si="84"/>
        <v>0.34749999999999998</v>
      </c>
      <c r="CF24" s="39">
        <f t="shared" si="84"/>
        <v>0.61250000000000004</v>
      </c>
      <c r="CG24" s="39">
        <f t="shared" si="84"/>
        <v>0.59</v>
      </c>
      <c r="CH24" s="39">
        <f t="shared" si="84"/>
        <v>0.46250000000000002</v>
      </c>
      <c r="CI24" s="39">
        <f t="shared" si="84"/>
        <v>0.5625</v>
      </c>
      <c r="CJ24" s="39">
        <f t="shared" si="84"/>
        <v>0.33</v>
      </c>
      <c r="CK24" s="39">
        <f t="shared" si="84"/>
        <v>0.67500000000000004</v>
      </c>
      <c r="CL24" s="39">
        <f t="shared" si="84"/>
        <v>0.31</v>
      </c>
      <c r="CM24" s="39">
        <f t="shared" si="84"/>
        <v>0.45749999999999996</v>
      </c>
      <c r="CN24" s="39">
        <f t="shared" si="84"/>
        <v>0.44499999999999995</v>
      </c>
      <c r="CO24" s="39">
        <f t="shared" si="84"/>
        <v>0.44750000000000001</v>
      </c>
      <c r="CP24" s="39">
        <f t="shared" si="84"/>
        <v>0.36000000000000004</v>
      </c>
      <c r="CQ24" s="39">
        <f t="shared" si="84"/>
        <v>0.51750000000000007</v>
      </c>
      <c r="CR24" s="39">
        <f t="shared" si="84"/>
        <v>0.56499999999999995</v>
      </c>
      <c r="CS24" s="129">
        <f>AVERAGEIFS(CS$36:CS$173,$C$36:$C$173,"=1", $B$36:$B$173,"OFICIAL")</f>
        <v>49.5</v>
      </c>
      <c r="CT24" s="129">
        <f>AVERAGEIFS(CT$36:CT$173,$C$36:$C$173,"=1", $B$36:$B$173,"OFICIAL")</f>
        <v>8.75</v>
      </c>
      <c r="CU24" s="39">
        <f>AVERAGEIFS(CU$36:CU$173,$C$36:$C$173,"=1", $B$36:$B$173,"OFICIAL")</f>
        <v>0.16499999999999998</v>
      </c>
      <c r="CV24" s="39">
        <f t="shared" ref="CV24:DW24" si="85">AVERAGEIFS(CV$36:CV$173,$C$36:$C$173,"=1", $B$36:$B$173,"OFICIAL")</f>
        <v>0.57250000000000001</v>
      </c>
      <c r="CW24" s="39">
        <f t="shared" si="85"/>
        <v>0.25</v>
      </c>
      <c r="CX24" s="39">
        <f t="shared" si="85"/>
        <v>0.01</v>
      </c>
      <c r="CY24" s="39">
        <f t="shared" si="85"/>
        <v>0.51249999999999996</v>
      </c>
      <c r="CZ24" s="39">
        <f t="shared" si="85"/>
        <v>0.3175</v>
      </c>
      <c r="DA24" s="39">
        <f t="shared" si="85"/>
        <v>0.58750000000000002</v>
      </c>
      <c r="DB24" s="39">
        <f t="shared" si="85"/>
        <v>0.36000000000000004</v>
      </c>
      <c r="DC24" s="39">
        <f t="shared" si="85"/>
        <v>0.44499999999999995</v>
      </c>
      <c r="DD24" s="39">
        <f t="shared" si="85"/>
        <v>0.64500000000000002</v>
      </c>
      <c r="DE24" s="39">
        <f t="shared" si="85"/>
        <v>0.48499999999999999</v>
      </c>
      <c r="DF24" s="39">
        <f t="shared" si="85"/>
        <v>0.56499999999999995</v>
      </c>
      <c r="DG24" s="39">
        <f t="shared" si="85"/>
        <v>0.43999999999999995</v>
      </c>
      <c r="DH24" s="39">
        <f t="shared" si="85"/>
        <v>0.38250000000000001</v>
      </c>
      <c r="DI24" s="39">
        <f t="shared" si="85"/>
        <v>0.52</v>
      </c>
      <c r="DJ24" s="39">
        <f t="shared" si="85"/>
        <v>0.49750000000000005</v>
      </c>
      <c r="DK24" s="39">
        <f t="shared" si="85"/>
        <v>0.38</v>
      </c>
      <c r="DL24" s="39">
        <f t="shared" si="85"/>
        <v>0.32</v>
      </c>
      <c r="DM24" s="39">
        <f t="shared" si="85"/>
        <v>0.54</v>
      </c>
      <c r="DN24" s="39">
        <f t="shared" si="85"/>
        <v>0.47</v>
      </c>
      <c r="DO24" s="39">
        <f t="shared" si="85"/>
        <v>0.45250000000000001</v>
      </c>
      <c r="DP24" s="39">
        <f t="shared" si="85"/>
        <v>0.42500000000000004</v>
      </c>
      <c r="DQ24" s="39">
        <f t="shared" si="85"/>
        <v>0.55749999999999988</v>
      </c>
      <c r="DR24" s="39">
        <f t="shared" si="85"/>
        <v>0.21249999999999999</v>
      </c>
      <c r="DS24" s="39">
        <f t="shared" si="85"/>
        <v>0.39500000000000002</v>
      </c>
      <c r="DT24" s="39">
        <f t="shared" si="85"/>
        <v>0.58250000000000002</v>
      </c>
      <c r="DU24" s="39">
        <f t="shared" si="85"/>
        <v>0.49249999999999999</v>
      </c>
      <c r="DV24" s="39">
        <f t="shared" si="85"/>
        <v>0.59000000000000008</v>
      </c>
      <c r="DW24" s="39">
        <f t="shared" si="85"/>
        <v>0.36</v>
      </c>
      <c r="DX24" s="129">
        <f>AVERAGEIFS(DX$36:DX$173,$C$36:$C$173,"=1", $B$36:$B$173,"OFICIAL")</f>
        <v>49</v>
      </c>
      <c r="DY24" s="129">
        <f>AVERAGEIFS(DY$36:DY$173,$C$36:$C$173,"=1", $B$36:$B$173,"OFICIAL")</f>
        <v>8.25</v>
      </c>
      <c r="DZ24" s="39">
        <f>AVERAGEIFS(DZ$36:DZ$173,$C$36:$C$173,"=1", $B$36:$B$173,"OFICIAL")</f>
        <v>0.16750000000000001</v>
      </c>
      <c r="EA24" s="39">
        <f t="shared" ref="EA24:FA24" si="86">AVERAGEIFS(EA$36:EA$173,$C$36:$C$173,"=1", $B$36:$B$173,"OFICIAL")</f>
        <v>0.57750000000000012</v>
      </c>
      <c r="EB24" s="39">
        <f t="shared" si="86"/>
        <v>0.2525</v>
      </c>
      <c r="EC24" s="39">
        <f t="shared" si="86"/>
        <v>5.0000000000000001E-3</v>
      </c>
      <c r="ED24" s="39">
        <f t="shared" si="86"/>
        <v>0.51750000000000007</v>
      </c>
      <c r="EE24" s="39">
        <f t="shared" si="86"/>
        <v>0.47</v>
      </c>
      <c r="EF24" s="39">
        <f t="shared" si="86"/>
        <v>0.50249999999999995</v>
      </c>
      <c r="EG24" s="39">
        <f t="shared" si="86"/>
        <v>0.35499999999999998</v>
      </c>
      <c r="EH24" s="39">
        <f t="shared" si="86"/>
        <v>0.41749999999999998</v>
      </c>
      <c r="EI24" s="39">
        <f t="shared" si="86"/>
        <v>0.49</v>
      </c>
      <c r="EJ24" s="39">
        <f t="shared" si="86"/>
        <v>0.57500000000000007</v>
      </c>
      <c r="EK24" s="39">
        <f t="shared" si="86"/>
        <v>0.28999999999999998</v>
      </c>
      <c r="EL24" s="39">
        <f t="shared" si="86"/>
        <v>0.47249999999999998</v>
      </c>
      <c r="EM24" s="39">
        <f t="shared" si="86"/>
        <v>0.66999999999999993</v>
      </c>
      <c r="EN24" s="39">
        <f t="shared" si="86"/>
        <v>0.45750000000000002</v>
      </c>
      <c r="EO24" s="39">
        <f t="shared" si="86"/>
        <v>0.54499999999999993</v>
      </c>
      <c r="EP24" s="39">
        <f t="shared" si="86"/>
        <v>0.39</v>
      </c>
      <c r="EQ24" s="39">
        <f t="shared" si="86"/>
        <v>0.30499999999999999</v>
      </c>
      <c r="ER24" s="39">
        <f t="shared" si="86"/>
        <v>0.58499999999999996</v>
      </c>
      <c r="ES24" s="39">
        <f t="shared" si="86"/>
        <v>0.45499999999999996</v>
      </c>
      <c r="ET24" s="39">
        <f t="shared" si="86"/>
        <v>0.34749999999999998</v>
      </c>
      <c r="EU24" s="39">
        <f t="shared" si="86"/>
        <v>0.6</v>
      </c>
      <c r="EV24" s="39">
        <f t="shared" si="86"/>
        <v>0.42500000000000004</v>
      </c>
      <c r="EW24" s="39">
        <f t="shared" si="86"/>
        <v>0.33500000000000002</v>
      </c>
      <c r="EX24" s="39">
        <f t="shared" si="86"/>
        <v>0.69</v>
      </c>
      <c r="EY24" s="39">
        <f t="shared" si="86"/>
        <v>0.60750000000000004</v>
      </c>
      <c r="EZ24" s="39">
        <f t="shared" si="86"/>
        <v>0.255</v>
      </c>
      <c r="FA24" s="39">
        <f t="shared" si="86"/>
        <v>0.63</v>
      </c>
      <c r="FB24" s="129">
        <f>AVERAGEIFS(FB$36:FB$173,$C$36:$C$173,"=1", $B$36:$B$173,"OFICIAL")</f>
        <v>48.75</v>
      </c>
      <c r="FD24" s="129">
        <f>AVERAGEIFS(FD$36:FD$173,$C$36:$C$173,"=1", $B$36:$B$173,"OFICIAL")</f>
        <v>8</v>
      </c>
      <c r="FF24" s="39">
        <f>AVERAGEIFS(FF$36:FF$173,$C$36:$C$173,"=1", $B$36:$B$173,"OFICIAL")</f>
        <v>0.16250000000000001</v>
      </c>
      <c r="FG24" s="39">
        <f t="shared" ref="FG24:GI24" si="87">AVERAGEIFS(FG$36:FG$173,$C$36:$C$173,"=1", $B$36:$B$173,"OFICIAL")</f>
        <v>0.63749999999999996</v>
      </c>
      <c r="FH24" s="39">
        <f t="shared" si="87"/>
        <v>0.19750000000000001</v>
      </c>
      <c r="FI24" s="39">
        <f t="shared" si="87"/>
        <v>7.4999999999999997E-3</v>
      </c>
      <c r="FJ24" s="39">
        <f t="shared" si="87"/>
        <v>0.49</v>
      </c>
      <c r="FK24" s="39">
        <f t="shared" si="87"/>
        <v>0.69249999999999989</v>
      </c>
      <c r="FL24" s="39">
        <f t="shared" si="87"/>
        <v>0.505</v>
      </c>
      <c r="FM24" s="39">
        <f t="shared" si="87"/>
        <v>0.46499999999999997</v>
      </c>
      <c r="FN24" s="39">
        <f t="shared" si="87"/>
        <v>0.3075</v>
      </c>
      <c r="FO24" s="39">
        <f t="shared" si="87"/>
        <v>0.3725</v>
      </c>
      <c r="FP24" s="39">
        <f t="shared" si="87"/>
        <v>0.44249999999999995</v>
      </c>
      <c r="FQ24" s="39">
        <f t="shared" si="87"/>
        <v>0.40749999999999997</v>
      </c>
      <c r="FR24" s="39">
        <f t="shared" si="87"/>
        <v>0.59499999999999997</v>
      </c>
      <c r="FS24" s="39">
        <f t="shared" si="87"/>
        <v>0.52750000000000008</v>
      </c>
      <c r="FT24" s="39">
        <f t="shared" si="87"/>
        <v>0.52</v>
      </c>
      <c r="FU24" s="39">
        <f t="shared" si="87"/>
        <v>0.42249999999999999</v>
      </c>
      <c r="FV24" s="39">
        <f t="shared" si="87"/>
        <v>0.61499999999999999</v>
      </c>
      <c r="FW24" s="39">
        <f t="shared" si="87"/>
        <v>0.60250000000000004</v>
      </c>
      <c r="FX24" s="39">
        <f t="shared" si="87"/>
        <v>0.51249999999999996</v>
      </c>
      <c r="FY24" s="39">
        <f t="shared" si="87"/>
        <v>0.38500000000000001</v>
      </c>
      <c r="FZ24" s="39">
        <f t="shared" si="87"/>
        <v>0.42499999999999993</v>
      </c>
      <c r="GA24" s="39">
        <f t="shared" si="87"/>
        <v>0.48749999999999999</v>
      </c>
      <c r="GB24" s="39">
        <f t="shared" si="87"/>
        <v>0.53749999999999998</v>
      </c>
      <c r="GC24" s="39">
        <f t="shared" si="87"/>
        <v>0.45999999999999996</v>
      </c>
      <c r="GD24" s="39">
        <f t="shared" si="87"/>
        <v>0.61250000000000004</v>
      </c>
      <c r="GE24" s="39">
        <f t="shared" si="87"/>
        <v>0.57250000000000001</v>
      </c>
      <c r="GF24" s="39">
        <f t="shared" si="87"/>
        <v>0.51249999999999996</v>
      </c>
      <c r="GG24" s="39">
        <f t="shared" si="87"/>
        <v>0.5</v>
      </c>
      <c r="GH24" s="39">
        <f t="shared" si="87"/>
        <v>0.59499999999999997</v>
      </c>
      <c r="GI24" s="39">
        <f t="shared" si="87"/>
        <v>0.3075</v>
      </c>
      <c r="GJ24" s="129">
        <f>AVERAGEIFS(GJ$36:GJ$173,$C$36:$C$173,"=1", $B$36:$B$173,"OFICIAL")</f>
        <v>49.2</v>
      </c>
      <c r="GL24" s="129">
        <f>AVERAGEIFS(GL$36:GL$173,$C$36:$C$173,"=1", $B$36:$B$173,"OFICIAL")</f>
        <v>8.6</v>
      </c>
      <c r="GN24" s="342">
        <f>AVERAGEIFS(GN$36:GN$173,$C$36:$C$173,"=1", $B$36:$B$173,"OFICIAL")</f>
        <v>0.16</v>
      </c>
      <c r="GO24" s="342">
        <f t="shared" ref="GO24:HQ24" si="88">AVERAGEIFS(GO$36:GO$173,$C$36:$C$173,"=1", $B$36:$B$173,"OFICIAL")</f>
        <v>0.61399999999999999</v>
      </c>
      <c r="GP24" s="342">
        <f t="shared" si="88"/>
        <v>0.22200000000000003</v>
      </c>
      <c r="GQ24" s="342">
        <f t="shared" si="88"/>
        <v>4.0000000000000001E-3</v>
      </c>
      <c r="GR24" s="342">
        <f t="shared" si="88"/>
        <v>0.53</v>
      </c>
      <c r="GS24" s="342">
        <f t="shared" si="88"/>
        <v>0.58399999999999996</v>
      </c>
      <c r="GT24" s="342">
        <f t="shared" si="88"/>
        <v>0.63400000000000001</v>
      </c>
      <c r="GU24" s="342">
        <f t="shared" si="88"/>
        <v>0.27200000000000002</v>
      </c>
      <c r="GV24" s="342">
        <f t="shared" si="88"/>
        <v>0.57800000000000007</v>
      </c>
      <c r="GW24" s="342">
        <f t="shared" si="88"/>
        <v>0.48799999999999999</v>
      </c>
      <c r="GX24" s="342">
        <f t="shared" si="88"/>
        <v>0.49199999999999999</v>
      </c>
      <c r="GY24" s="315" t="s">
        <v>173</v>
      </c>
      <c r="GZ24" s="342">
        <f t="shared" si="88"/>
        <v>0.39400000000000002</v>
      </c>
      <c r="HA24" s="342">
        <f t="shared" si="88"/>
        <v>0.71400000000000008</v>
      </c>
      <c r="HB24" s="342">
        <f t="shared" si="88"/>
        <v>0.49399999999999994</v>
      </c>
      <c r="HC24" s="342">
        <f t="shared" si="88"/>
        <v>0.50600000000000001</v>
      </c>
      <c r="HD24" s="342">
        <f t="shared" si="88"/>
        <v>0.58800000000000008</v>
      </c>
      <c r="HE24" s="342">
        <f t="shared" si="88"/>
        <v>0.51</v>
      </c>
      <c r="HF24" s="342">
        <f t="shared" si="88"/>
        <v>0.51400000000000001</v>
      </c>
      <c r="HG24" s="342">
        <f t="shared" si="88"/>
        <v>0.66799999999999993</v>
      </c>
      <c r="HH24" s="342">
        <f t="shared" si="88"/>
        <v>0.41</v>
      </c>
      <c r="HI24" s="342">
        <f t="shared" si="88"/>
        <v>0.54400000000000004</v>
      </c>
      <c r="HJ24" s="342">
        <f t="shared" si="88"/>
        <v>0.61599999999999999</v>
      </c>
      <c r="HK24" s="342">
        <f t="shared" si="88"/>
        <v>0.55000000000000004</v>
      </c>
      <c r="HL24" s="342">
        <f t="shared" si="88"/>
        <v>0.46200000000000002</v>
      </c>
      <c r="HM24" s="342">
        <f t="shared" si="88"/>
        <v>0.51400000000000001</v>
      </c>
      <c r="HN24" s="342">
        <f t="shared" si="88"/>
        <v>0.52600000000000002</v>
      </c>
      <c r="HO24" s="342">
        <f t="shared" si="88"/>
        <v>0.48399999999999999</v>
      </c>
      <c r="HP24" s="315" t="s">
        <v>173</v>
      </c>
      <c r="HQ24" s="342">
        <f t="shared" si="88"/>
        <v>0.42799999999999994</v>
      </c>
      <c r="HR24" s="129">
        <f>AVERAGEIFS(HR$36:HR$173,$C$36:$C$173,"=1", $B$36:$B$173,"OFICIAL")</f>
        <v>50</v>
      </c>
      <c r="HT24" s="129">
        <f>AVERAGEIFS(HT$36:HT$173,$C$36:$C$173,"=1", $B$36:$B$173,"OFICIAL")</f>
        <v>8</v>
      </c>
      <c r="HV24" s="342">
        <f>AVERAGEIFS(HV$36:HV$173,$C$36:$C$173,"=1", $B$36:$B$173,"OFICIAL")</f>
        <v>0.13399999999999998</v>
      </c>
      <c r="HW24" s="342">
        <f t="shared" ref="HW24:IZ24" si="89">AVERAGEIFS(HW$36:HW$173,$C$36:$C$173,"=1", $B$36:$B$173,"OFICIAL")</f>
        <v>0.624</v>
      </c>
      <c r="HX24" s="342">
        <f t="shared" si="89"/>
        <v>0.22999999999999998</v>
      </c>
      <c r="HY24" s="342">
        <f t="shared" si="89"/>
        <v>8.0000000000000002E-3</v>
      </c>
      <c r="HZ24" s="342">
        <f t="shared" si="89"/>
        <v>0.42400000000000004</v>
      </c>
      <c r="IA24" s="342">
        <f t="shared" si="89"/>
        <v>0.53800000000000003</v>
      </c>
      <c r="IB24" s="342">
        <f t="shared" si="89"/>
        <v>0.36000000000000004</v>
      </c>
      <c r="IC24" s="342">
        <f t="shared" si="89"/>
        <v>0.49800000000000005</v>
      </c>
      <c r="ID24" s="342">
        <f t="shared" si="89"/>
        <v>0.64799999999999991</v>
      </c>
      <c r="IE24" s="342">
        <f t="shared" si="89"/>
        <v>0.38200000000000001</v>
      </c>
      <c r="IF24" s="342">
        <f t="shared" si="89"/>
        <v>0.41200000000000003</v>
      </c>
      <c r="IG24" s="342">
        <f t="shared" si="89"/>
        <v>0.57400000000000007</v>
      </c>
      <c r="IH24" s="342">
        <f t="shared" si="89"/>
        <v>0.52</v>
      </c>
      <c r="II24" s="342">
        <f t="shared" si="89"/>
        <v>0.36</v>
      </c>
      <c r="IJ24" s="342">
        <f t="shared" si="89"/>
        <v>0.28799999999999998</v>
      </c>
      <c r="IK24" s="342">
        <f t="shared" si="89"/>
        <v>0.61</v>
      </c>
      <c r="IL24" s="342">
        <f t="shared" si="89"/>
        <v>0.32799999999999996</v>
      </c>
      <c r="IM24" s="342">
        <f t="shared" si="89"/>
        <v>0.59800000000000009</v>
      </c>
      <c r="IN24" s="342">
        <f t="shared" si="89"/>
        <v>0.48200000000000004</v>
      </c>
      <c r="IO24" s="342">
        <f t="shared" si="89"/>
        <v>0.55000000000000004</v>
      </c>
      <c r="IP24" s="342">
        <f t="shared" si="89"/>
        <v>0.46200000000000002</v>
      </c>
      <c r="IQ24" s="342">
        <f t="shared" si="89"/>
        <v>0.65999999999999992</v>
      </c>
      <c r="IR24" s="342">
        <f t="shared" si="89"/>
        <v>0.61</v>
      </c>
      <c r="IS24" s="342">
        <f t="shared" si="89"/>
        <v>0.51800000000000002</v>
      </c>
      <c r="IT24" s="342">
        <f t="shared" si="89"/>
        <v>0.45400000000000001</v>
      </c>
      <c r="IU24" s="315" t="s">
        <v>173</v>
      </c>
      <c r="IV24" s="342">
        <f t="shared" si="89"/>
        <v>0.62799999999999989</v>
      </c>
      <c r="IW24" s="342">
        <f t="shared" si="89"/>
        <v>0.42799999999999994</v>
      </c>
      <c r="IX24" s="342">
        <f t="shared" si="89"/>
        <v>0.53599999999999992</v>
      </c>
      <c r="IY24" s="342">
        <f t="shared" si="89"/>
        <v>0.54</v>
      </c>
      <c r="IZ24" s="490">
        <f t="shared" si="89"/>
        <v>50.4</v>
      </c>
      <c r="JA24" s="495"/>
      <c r="JB24" s="300">
        <f>AVERAGEIFS(JB$36:JB$173,$C$36:$C$173,"=1", $B$36:$B$173,"OFICIAL")</f>
        <v>8.6</v>
      </c>
      <c r="JC24" s="495"/>
      <c r="JD24" s="343">
        <f>AVERAGEIFS(JD$36:JD$173,$C$36:$C$173,"=1", $B$36:$B$173,"OFICIAL")</f>
        <v>0.13400000000000001</v>
      </c>
      <c r="JE24" s="343">
        <f>AVERAGEIFS(JE$36:JE$173,$C$36:$C$173,"=1", $B$36:$B$173,"OFICIAL")</f>
        <v>0.56799999999999995</v>
      </c>
      <c r="JF24" s="343">
        <f>AVERAGEIFS(JF$36:JF$173,$C$36:$C$173,"=1", $B$36:$B$173,"OFICIAL")</f>
        <v>0.29400000000000004</v>
      </c>
      <c r="JG24" s="343">
        <f>AVERAGEIFS(JG$36:JG$173,$C$36:$C$173,"=1", $B$36:$B$173,"OFICIAL")</f>
        <v>4.0000000000000001E-3</v>
      </c>
      <c r="JH24" s="343">
        <f t="shared" ref="JH24:KC24" si="90">AVERAGEIFS(JH$36:JH$173,$C$36:$C$173,"=1", $B$36:$B$173,"OFICIAL")</f>
        <v>0.49799999999999994</v>
      </c>
      <c r="JI24" s="343">
        <f t="shared" si="90"/>
        <v>0.46200000000000002</v>
      </c>
      <c r="JJ24" s="343">
        <f t="shared" si="90"/>
        <v>0.43599999999999994</v>
      </c>
      <c r="JK24" s="343">
        <f t="shared" si="90"/>
        <v>0.47199999999999998</v>
      </c>
      <c r="JL24" s="343">
        <f t="shared" si="90"/>
        <v>0.50600000000000001</v>
      </c>
      <c r="JM24" s="343">
        <f t="shared" si="90"/>
        <v>0.50600000000000001</v>
      </c>
      <c r="JN24" s="343">
        <f t="shared" si="90"/>
        <v>0.44799999999999995</v>
      </c>
      <c r="JO24" s="343">
        <f t="shared" si="90"/>
        <v>0.47800000000000004</v>
      </c>
      <c r="JP24" s="343">
        <f t="shared" si="90"/>
        <v>0.58200000000000007</v>
      </c>
      <c r="JQ24" s="343">
        <f t="shared" si="90"/>
        <v>0.28199999999999997</v>
      </c>
      <c r="JR24" s="343">
        <f t="shared" si="90"/>
        <v>0.61</v>
      </c>
      <c r="JS24" s="343">
        <f t="shared" si="90"/>
        <v>0.56600000000000006</v>
      </c>
      <c r="JT24" s="343">
        <f t="shared" si="90"/>
        <v>0.42800000000000005</v>
      </c>
      <c r="JU24" s="343">
        <f t="shared" si="90"/>
        <v>0.52600000000000002</v>
      </c>
      <c r="JV24" s="343">
        <f t="shared" si="90"/>
        <v>0.48599999999999993</v>
      </c>
      <c r="JW24" s="343">
        <f t="shared" si="90"/>
        <v>0.48399999999999999</v>
      </c>
      <c r="JX24" s="343">
        <f t="shared" si="90"/>
        <v>0.44399999999999995</v>
      </c>
      <c r="JY24" s="343">
        <f t="shared" si="90"/>
        <v>0.5</v>
      </c>
      <c r="JZ24" s="343">
        <f t="shared" si="90"/>
        <v>0.48200000000000004</v>
      </c>
      <c r="KA24" s="343">
        <f t="shared" si="90"/>
        <v>0.626</v>
      </c>
      <c r="KB24" s="343">
        <f t="shared" si="90"/>
        <v>0.5079999999999999</v>
      </c>
      <c r="KC24" s="343">
        <f t="shared" si="90"/>
        <v>0.66800000000000004</v>
      </c>
      <c r="KD24" s="343">
        <f>AVERAGEIFS(KD$36:KD$173,$C$36:$C$173,"=1", $B$36:$B$173,"OFICIAL")</f>
        <v>0.37200000000000005</v>
      </c>
      <c r="KE24" s="343">
        <f>AVERAGEIFS(KE$36:KE$173,$C$36:$C$173,"=1", $B$36:$B$173,"OFICIAL")</f>
        <v>0.5119999999999999</v>
      </c>
      <c r="KF24" s="343">
        <f>AVERAGEIFS(KF$36:KF$173,$C$36:$C$173,"=1", $B$36:$B$173,"OFICIAL")</f>
        <v>0.45800000000000002</v>
      </c>
      <c r="KG24" s="343">
        <f>AVERAGEIFS(KG$36:KG$173,$C$36:$C$173,"=1", $B$36:$B$173,"OFICIAL")</f>
        <v>0.55400000000000005</v>
      </c>
      <c r="KH24" s="129">
        <f>AVERAGEIFS(KH$36:KH$173,$C$36:$C$173,"=1", $B$36:$B$173,"OFICIAL")</f>
        <v>50.6</v>
      </c>
      <c r="KI24" s="970"/>
      <c r="KJ24" s="129">
        <f>AVERAGEIFS(KJ$36:KJ$173,$C$36:$C$173,"=1", $B$36:$B$173,"OFICIAL")</f>
        <v>8.6</v>
      </c>
      <c r="KK24" s="970"/>
      <c r="KL24" s="342">
        <f>AVERAGEIFS(KL$36:KL$173,$C$36:$C$173,"=1", $B$36:$B$173,"OFICIAL")</f>
        <v>0.12600000000000003</v>
      </c>
      <c r="KM24" s="342">
        <f t="shared" ref="KM24:LO24" si="91">AVERAGEIFS(KM$36:KM$173,$C$36:$C$173,"=1", $B$36:$B$173,"OFICIAL")</f>
        <v>0.56799999999999995</v>
      </c>
      <c r="KN24" s="342">
        <f t="shared" si="91"/>
        <v>0.29599999999999999</v>
      </c>
      <c r="KO24" s="342">
        <f t="shared" si="91"/>
        <v>0.01</v>
      </c>
      <c r="KP24" s="342">
        <f t="shared" si="91"/>
        <v>0.52999999999999992</v>
      </c>
      <c r="KQ24" s="342">
        <f t="shared" si="91"/>
        <v>0.30599999999999999</v>
      </c>
      <c r="KR24" s="342">
        <f t="shared" si="91"/>
        <v>0.61</v>
      </c>
      <c r="KS24" s="342">
        <f t="shared" si="91"/>
        <v>0.48399999999999999</v>
      </c>
      <c r="KT24" s="342">
        <f t="shared" si="91"/>
        <v>0.58399999999999996</v>
      </c>
      <c r="KU24" s="342">
        <f t="shared" si="91"/>
        <v>0.43599999999999994</v>
      </c>
      <c r="KV24" s="342">
        <f t="shared" si="91"/>
        <v>0.62</v>
      </c>
      <c r="KW24" s="342">
        <f t="shared" si="91"/>
        <v>0.34200000000000003</v>
      </c>
      <c r="KX24" s="342">
        <f t="shared" si="91"/>
        <v>0.34600000000000003</v>
      </c>
      <c r="KY24" s="342">
        <f t="shared" si="91"/>
        <v>0.56600000000000006</v>
      </c>
      <c r="KZ24" s="342">
        <f t="shared" si="91"/>
        <v>0.41399999999999998</v>
      </c>
      <c r="LA24" s="342">
        <f t="shared" si="91"/>
        <v>0.42800000000000005</v>
      </c>
      <c r="LB24" s="342">
        <f t="shared" si="91"/>
        <v>0.42800000000000005</v>
      </c>
      <c r="LC24" s="342">
        <f t="shared" si="91"/>
        <v>0.40599999999999997</v>
      </c>
      <c r="LD24" s="342">
        <f t="shared" si="91"/>
        <v>0.56800000000000006</v>
      </c>
      <c r="LE24" s="342">
        <f t="shared" si="91"/>
        <v>0.51400000000000001</v>
      </c>
      <c r="LF24" s="342">
        <f t="shared" si="91"/>
        <v>0.33800000000000002</v>
      </c>
      <c r="LG24" s="342">
        <f t="shared" si="91"/>
        <v>0.51</v>
      </c>
      <c r="LH24" s="342">
        <f t="shared" si="91"/>
        <v>0.57599999999999996</v>
      </c>
      <c r="LI24" s="342">
        <f t="shared" si="91"/>
        <v>0.49000000000000005</v>
      </c>
      <c r="LJ24" s="342">
        <f t="shared" si="91"/>
        <v>0.45199999999999996</v>
      </c>
      <c r="LK24" s="342">
        <f t="shared" si="91"/>
        <v>0.56199999999999994</v>
      </c>
      <c r="LL24" s="342" t="s">
        <v>173</v>
      </c>
      <c r="LM24" s="342">
        <f t="shared" si="91"/>
        <v>0.61</v>
      </c>
      <c r="LN24" s="342">
        <f t="shared" si="91"/>
        <v>0.66</v>
      </c>
      <c r="LO24" s="342">
        <f t="shared" si="91"/>
        <v>0.46799999999999997</v>
      </c>
    </row>
    <row r="25" spans="1:327" ht="24.95" customHeight="1" x14ac:dyDescent="0.2">
      <c r="A25" s="6" t="s">
        <v>777</v>
      </c>
      <c r="B25" s="299"/>
      <c r="C25" s="299"/>
      <c r="D25" s="129">
        <f>AVERAGEIFS(D$36:D$173,$C$36:$C$173,"=2", $B$36:$B$173,"OFICIAL")</f>
        <v>54</v>
      </c>
      <c r="E25" s="129">
        <f>AVERAGEIFS(E$36:E$173,$C$36:$C$173,"=2", $B$36:$B$173,"OFICIAL")</f>
        <v>7.5</v>
      </c>
      <c r="F25" s="39">
        <f>AVERAGEIFS(F$36:F$173,$C$36:$C$173,"=2", $B$36:$B$173,"OFICIAL")</f>
        <v>0.05</v>
      </c>
      <c r="G25" s="39">
        <f t="shared" ref="G25:AG25" si="92">AVERAGEIFS(G$36:G$173,$C$36:$C$173,"=2", $B$36:$B$173,"OFICIAL")</f>
        <v>0.56499999999999995</v>
      </c>
      <c r="H25" s="39">
        <f t="shared" si="92"/>
        <v>0.38</v>
      </c>
      <c r="I25" s="39">
        <f t="shared" si="92"/>
        <v>5.0000000000000001E-3</v>
      </c>
      <c r="J25" s="39">
        <f t="shared" si="92"/>
        <v>0.41000000000000003</v>
      </c>
      <c r="K25" s="39">
        <f t="shared" si="92"/>
        <v>0.39500000000000002</v>
      </c>
      <c r="L25" s="39">
        <f t="shared" si="92"/>
        <v>0.69500000000000006</v>
      </c>
      <c r="M25" s="39">
        <f t="shared" si="92"/>
        <v>0.2</v>
      </c>
      <c r="N25" s="39">
        <f t="shared" si="92"/>
        <v>0.27500000000000002</v>
      </c>
      <c r="O25" s="39">
        <f t="shared" si="92"/>
        <v>0.59499999999999997</v>
      </c>
      <c r="P25" s="39">
        <f t="shared" si="92"/>
        <v>0.31</v>
      </c>
      <c r="Q25" s="39">
        <f t="shared" si="92"/>
        <v>0.36499999999999999</v>
      </c>
      <c r="R25" s="39">
        <f t="shared" si="92"/>
        <v>0.55499999999999994</v>
      </c>
      <c r="S25" s="39">
        <f t="shared" si="92"/>
        <v>0.55499999999999994</v>
      </c>
      <c r="T25" s="39">
        <f t="shared" si="92"/>
        <v>0.435</v>
      </c>
      <c r="U25" s="39">
        <f t="shared" si="92"/>
        <v>0.56999999999999995</v>
      </c>
      <c r="V25" s="39">
        <f t="shared" si="92"/>
        <v>7.0000000000000007E-2</v>
      </c>
      <c r="W25" s="39">
        <f t="shared" si="92"/>
        <v>0.16</v>
      </c>
      <c r="X25" s="39">
        <f t="shared" si="92"/>
        <v>0.48</v>
      </c>
      <c r="Y25" s="39">
        <f t="shared" si="92"/>
        <v>0.495</v>
      </c>
      <c r="Z25" s="39">
        <f t="shared" si="92"/>
        <v>0.875</v>
      </c>
      <c r="AA25" s="39">
        <f t="shared" si="92"/>
        <v>7.5000000000000011E-2</v>
      </c>
      <c r="AB25" s="39">
        <f t="shared" si="92"/>
        <v>0.42000000000000004</v>
      </c>
      <c r="AC25" s="39">
        <f t="shared" si="92"/>
        <v>0.20500000000000002</v>
      </c>
      <c r="AD25" s="39">
        <f t="shared" si="92"/>
        <v>0.41500000000000004</v>
      </c>
      <c r="AE25" s="39">
        <f t="shared" si="92"/>
        <v>0.47</v>
      </c>
      <c r="AF25" s="39">
        <f t="shared" si="92"/>
        <v>0.56000000000000005</v>
      </c>
      <c r="AG25" s="39">
        <f t="shared" si="92"/>
        <v>0.45500000000000002</v>
      </c>
      <c r="AH25" s="129">
        <f>AVERAGEIFS(AH$36:AH$173,$C$36:$C$173,"=2", $B$36:$B$173,"OFICIAL")</f>
        <v>53.5</v>
      </c>
      <c r="AI25" s="129">
        <f>AVERAGEIFS(AI$36:AI$173,$C$36:$C$173,"=2", $B$36:$B$173,"OFICIAL")</f>
        <v>8</v>
      </c>
      <c r="AJ25" s="39">
        <f>AVERAGEIFS(AJ$36:AJ$173,$C$36:$C$173,"=2", $B$36:$B$173,"OFICIAL")</f>
        <v>6.0000000000000005E-2</v>
      </c>
      <c r="AK25" s="39">
        <f t="shared" ref="AK25:BL25" si="93">AVERAGEIFS(AK$36:AK$173,$C$36:$C$173,"=2", $B$36:$B$173,"OFICIAL")</f>
        <v>0.54</v>
      </c>
      <c r="AL25" s="39">
        <f t="shared" si="93"/>
        <v>0.39</v>
      </c>
      <c r="AM25" s="39">
        <f t="shared" si="93"/>
        <v>0.01</v>
      </c>
      <c r="AN25" s="39">
        <f t="shared" si="93"/>
        <v>0.255</v>
      </c>
      <c r="AO25" s="39">
        <f t="shared" si="93"/>
        <v>0.45</v>
      </c>
      <c r="AP25" s="39">
        <f t="shared" si="93"/>
        <v>0.56499999999999995</v>
      </c>
      <c r="AQ25" s="39">
        <f t="shared" si="93"/>
        <v>0.37</v>
      </c>
      <c r="AR25" s="39">
        <f t="shared" si="93"/>
        <v>0.54</v>
      </c>
      <c r="AS25" s="39">
        <f t="shared" si="93"/>
        <v>0.48499999999999999</v>
      </c>
      <c r="AT25" s="39">
        <f t="shared" si="93"/>
        <v>0.5</v>
      </c>
      <c r="AU25" s="39">
        <f t="shared" si="93"/>
        <v>0.495</v>
      </c>
      <c r="AV25" s="39">
        <f t="shared" si="93"/>
        <v>0.56999999999999995</v>
      </c>
      <c r="AW25" s="39">
        <f t="shared" si="93"/>
        <v>0.43000000000000005</v>
      </c>
      <c r="AX25" s="39">
        <f t="shared" si="93"/>
        <v>0.54499999999999993</v>
      </c>
      <c r="AY25" s="39">
        <f t="shared" si="93"/>
        <v>0.27500000000000002</v>
      </c>
      <c r="AZ25" s="39">
        <f t="shared" si="93"/>
        <v>0.26500000000000001</v>
      </c>
      <c r="BA25" s="39">
        <f t="shared" si="93"/>
        <v>0.495</v>
      </c>
      <c r="BB25" s="39">
        <f t="shared" si="93"/>
        <v>0.625</v>
      </c>
      <c r="BC25" s="39">
        <f t="shared" si="93"/>
        <v>0.61</v>
      </c>
      <c r="BD25" s="39">
        <f t="shared" si="93"/>
        <v>0.375</v>
      </c>
      <c r="BE25" s="39">
        <f t="shared" si="93"/>
        <v>0.5</v>
      </c>
      <c r="BF25" s="39">
        <f t="shared" si="93"/>
        <v>0.625</v>
      </c>
      <c r="BG25" s="39">
        <f t="shared" si="93"/>
        <v>0.46499999999999997</v>
      </c>
      <c r="BH25" s="39">
        <f t="shared" si="93"/>
        <v>0.41500000000000004</v>
      </c>
      <c r="BI25" s="39">
        <f t="shared" si="93"/>
        <v>0.37</v>
      </c>
      <c r="BJ25" s="39">
        <f t="shared" si="93"/>
        <v>0.36499999999999999</v>
      </c>
      <c r="BK25" s="39">
        <f t="shared" si="93"/>
        <v>0.41499999999999998</v>
      </c>
      <c r="BL25" s="39">
        <f t="shared" si="93"/>
        <v>0.435</v>
      </c>
      <c r="BM25" s="129">
        <f>AVERAGEIFS(BM$36:BM$173,$C$36:$C$173,"=2", $B$36:$B$173,"OFICIAL")</f>
        <v>51</v>
      </c>
      <c r="BN25" s="129">
        <f>AVERAGEIFS(BN$36:BN$173,$C$36:$C$173,"=2", $B$36:$B$173,"OFICIAL")</f>
        <v>9</v>
      </c>
      <c r="BO25" s="39">
        <f>AVERAGEIFS(BO$36:BO$173,$C$36:$C$173,"=2", $B$36:$B$173,"OFICIAL")</f>
        <v>0.15000000000000002</v>
      </c>
      <c r="BP25" s="39">
        <f t="shared" ref="BP25:CR25" si="94">AVERAGEIFS(BP$36:BP$173,$C$36:$C$173,"=2", $B$36:$B$173,"OFICIAL")</f>
        <v>0.55000000000000004</v>
      </c>
      <c r="BQ25" s="39">
        <f t="shared" si="94"/>
        <v>0.30000000000000004</v>
      </c>
      <c r="BR25" s="39">
        <f t="shared" si="94"/>
        <v>0</v>
      </c>
      <c r="BS25" s="39">
        <f t="shared" si="94"/>
        <v>0.38500000000000001</v>
      </c>
      <c r="BT25" s="39">
        <f t="shared" si="94"/>
        <v>0.46499999999999997</v>
      </c>
      <c r="BU25" s="39">
        <f t="shared" si="94"/>
        <v>0.64</v>
      </c>
      <c r="BV25" s="39">
        <f t="shared" si="94"/>
        <v>0.315</v>
      </c>
      <c r="BW25" s="39">
        <f t="shared" si="94"/>
        <v>0.64500000000000002</v>
      </c>
      <c r="BX25" s="39">
        <f t="shared" si="94"/>
        <v>0.37</v>
      </c>
      <c r="BY25" s="39">
        <f t="shared" si="94"/>
        <v>0.45499999999999996</v>
      </c>
      <c r="BZ25" s="39">
        <f t="shared" si="94"/>
        <v>0.53</v>
      </c>
      <c r="CA25" s="39">
        <f t="shared" si="94"/>
        <v>0.47</v>
      </c>
      <c r="CB25" s="39">
        <f t="shared" si="94"/>
        <v>0.33499999999999996</v>
      </c>
      <c r="CC25" s="39">
        <f t="shared" si="94"/>
        <v>0.23500000000000001</v>
      </c>
      <c r="CD25" s="39">
        <f t="shared" si="94"/>
        <v>0.41000000000000003</v>
      </c>
      <c r="CE25" s="39">
        <f t="shared" si="94"/>
        <v>0.32499999999999996</v>
      </c>
      <c r="CF25" s="39">
        <f t="shared" si="94"/>
        <v>0.6</v>
      </c>
      <c r="CG25" s="39">
        <f t="shared" si="94"/>
        <v>0.58499999999999996</v>
      </c>
      <c r="CH25" s="39">
        <f t="shared" si="94"/>
        <v>0.435</v>
      </c>
      <c r="CI25" s="39">
        <f t="shared" si="94"/>
        <v>0.57000000000000006</v>
      </c>
      <c r="CJ25" s="39">
        <f t="shared" si="94"/>
        <v>0.34499999999999997</v>
      </c>
      <c r="CK25" s="39">
        <f t="shared" si="94"/>
        <v>0.65</v>
      </c>
      <c r="CL25" s="39">
        <f t="shared" si="94"/>
        <v>0.315</v>
      </c>
      <c r="CM25" s="39">
        <f t="shared" si="94"/>
        <v>0.45499999999999996</v>
      </c>
      <c r="CN25" s="39">
        <f t="shared" si="94"/>
        <v>0.435</v>
      </c>
      <c r="CO25" s="39">
        <f t="shared" si="94"/>
        <v>0.44500000000000001</v>
      </c>
      <c r="CP25" s="39">
        <f t="shared" si="94"/>
        <v>0.375</v>
      </c>
      <c r="CQ25" s="39">
        <f t="shared" si="94"/>
        <v>0.55499999999999994</v>
      </c>
      <c r="CR25" s="39">
        <f t="shared" si="94"/>
        <v>0.55000000000000004</v>
      </c>
      <c r="CS25" s="129">
        <f>AVERAGEIFS(CS$36:CS$173,$C$36:$C$173,"=2", $B$36:$B$173,"OFICIAL")</f>
        <v>49</v>
      </c>
      <c r="CT25" s="129">
        <f>AVERAGEIFS(CT$36:CT$173,$C$36:$C$173,"=2", $B$36:$B$173,"OFICIAL")</f>
        <v>9</v>
      </c>
      <c r="CU25" s="39">
        <f>AVERAGEIFS(CU$36:CU$173,$C$36:$C$173,"=2", $B$36:$B$173,"OFICIAL")</f>
        <v>0.155</v>
      </c>
      <c r="CV25" s="39">
        <f t="shared" ref="CV25:DW25" si="95">AVERAGEIFS(CV$36:CV$173,$C$36:$C$173,"=2", $B$36:$B$173,"OFICIAL")</f>
        <v>0.60499999999999998</v>
      </c>
      <c r="CW25" s="39">
        <f t="shared" si="95"/>
        <v>0.23499999999999999</v>
      </c>
      <c r="CX25" s="39">
        <f t="shared" si="95"/>
        <v>5.0000000000000001E-3</v>
      </c>
      <c r="CY25" s="39">
        <f t="shared" si="95"/>
        <v>0.53</v>
      </c>
      <c r="CZ25" s="39">
        <f t="shared" si="95"/>
        <v>0.32</v>
      </c>
      <c r="DA25" s="39">
        <f t="shared" si="95"/>
        <v>0.56000000000000005</v>
      </c>
      <c r="DB25" s="39">
        <f t="shared" si="95"/>
        <v>0.35499999999999998</v>
      </c>
      <c r="DC25" s="39">
        <f t="shared" si="95"/>
        <v>0.48499999999999999</v>
      </c>
      <c r="DD25" s="39">
        <f t="shared" si="95"/>
        <v>0.63</v>
      </c>
      <c r="DE25" s="39">
        <f t="shared" si="95"/>
        <v>0.48499999999999999</v>
      </c>
      <c r="DF25" s="39">
        <f t="shared" si="95"/>
        <v>0.54</v>
      </c>
      <c r="DG25" s="39">
        <f t="shared" si="95"/>
        <v>0.45499999999999996</v>
      </c>
      <c r="DH25" s="39">
        <f t="shared" si="95"/>
        <v>0.38</v>
      </c>
      <c r="DI25" s="39">
        <f t="shared" si="95"/>
        <v>0.53</v>
      </c>
      <c r="DJ25" s="39">
        <f t="shared" si="95"/>
        <v>0.53</v>
      </c>
      <c r="DK25" s="39">
        <f t="shared" si="95"/>
        <v>0.34499999999999997</v>
      </c>
      <c r="DL25" s="39">
        <f t="shared" si="95"/>
        <v>0.34499999999999997</v>
      </c>
      <c r="DM25" s="39">
        <f t="shared" si="95"/>
        <v>0.52500000000000002</v>
      </c>
      <c r="DN25" s="39">
        <f t="shared" si="95"/>
        <v>0.52</v>
      </c>
      <c r="DO25" s="39">
        <f t="shared" si="95"/>
        <v>0.435</v>
      </c>
      <c r="DP25" s="39">
        <f t="shared" si="95"/>
        <v>0.46499999999999997</v>
      </c>
      <c r="DQ25" s="39">
        <f t="shared" si="95"/>
        <v>0.56000000000000005</v>
      </c>
      <c r="DR25" s="39">
        <f t="shared" si="95"/>
        <v>0.20500000000000002</v>
      </c>
      <c r="DS25" s="39">
        <f t="shared" si="95"/>
        <v>0.39</v>
      </c>
      <c r="DT25" s="39">
        <f t="shared" si="95"/>
        <v>0.55499999999999994</v>
      </c>
      <c r="DU25" s="39">
        <f t="shared" si="95"/>
        <v>0.51</v>
      </c>
      <c r="DV25" s="39">
        <f t="shared" si="95"/>
        <v>0.61</v>
      </c>
      <c r="DW25" s="39">
        <f t="shared" si="95"/>
        <v>0.34499999999999997</v>
      </c>
      <c r="DX25" s="129">
        <f>AVERAGEIFS(DX$36:DX$173,$C$36:$C$173,"=2", $B$36:$B$173,"OFICIAL")</f>
        <v>49</v>
      </c>
      <c r="DY25" s="129">
        <f>AVERAGEIFS(DY$36:DY$173,$C$36:$C$173,"=2", $B$36:$B$173,"OFICIAL")</f>
        <v>8.5</v>
      </c>
      <c r="DZ25" s="39">
        <f>AVERAGEIFS(DZ$36:DZ$173,$C$36:$C$173,"=2", $B$36:$B$173,"OFICIAL")</f>
        <v>0.16999999999999998</v>
      </c>
      <c r="EA25" s="39">
        <f t="shared" ref="EA25:FA25" si="96">AVERAGEIFS(EA$36:EA$173,$C$36:$C$173,"=2", $B$36:$B$173,"OFICIAL")</f>
        <v>0.57000000000000006</v>
      </c>
      <c r="EB25" s="39">
        <f t="shared" si="96"/>
        <v>0.245</v>
      </c>
      <c r="EC25" s="39">
        <f t="shared" si="96"/>
        <v>1.4999999999999999E-2</v>
      </c>
      <c r="ED25" s="39">
        <f t="shared" si="96"/>
        <v>0.505</v>
      </c>
      <c r="EE25" s="39">
        <f t="shared" si="96"/>
        <v>0.45</v>
      </c>
      <c r="EF25" s="39">
        <f t="shared" si="96"/>
        <v>0.53499999999999992</v>
      </c>
      <c r="EG25" s="39">
        <f t="shared" si="96"/>
        <v>0.30500000000000005</v>
      </c>
      <c r="EH25" s="39">
        <f t="shared" si="96"/>
        <v>0.44999999999999996</v>
      </c>
      <c r="EI25" s="39">
        <f t="shared" si="96"/>
        <v>0.5</v>
      </c>
      <c r="EJ25" s="39">
        <f t="shared" si="96"/>
        <v>0.57499999999999996</v>
      </c>
      <c r="EK25" s="39">
        <f t="shared" si="96"/>
        <v>0.30000000000000004</v>
      </c>
      <c r="EL25" s="39">
        <f t="shared" si="96"/>
        <v>0.46499999999999997</v>
      </c>
      <c r="EM25" s="39">
        <f t="shared" si="96"/>
        <v>0.64</v>
      </c>
      <c r="EN25" s="39">
        <f t="shared" si="96"/>
        <v>0.46499999999999997</v>
      </c>
      <c r="EO25" s="39">
        <f t="shared" si="96"/>
        <v>0.57999999999999996</v>
      </c>
      <c r="EP25" s="39">
        <f t="shared" si="96"/>
        <v>0.41500000000000004</v>
      </c>
      <c r="EQ25" s="39">
        <f t="shared" si="96"/>
        <v>0.26</v>
      </c>
      <c r="ER25" s="39">
        <f t="shared" si="96"/>
        <v>0.61499999999999999</v>
      </c>
      <c r="ES25" s="39">
        <f t="shared" si="96"/>
        <v>0.47499999999999998</v>
      </c>
      <c r="ET25" s="39">
        <f t="shared" si="96"/>
        <v>0.34499999999999997</v>
      </c>
      <c r="EU25" s="39">
        <f t="shared" si="96"/>
        <v>0.61499999999999999</v>
      </c>
      <c r="EV25" s="39">
        <f t="shared" si="96"/>
        <v>0.4</v>
      </c>
      <c r="EW25" s="39">
        <f t="shared" si="96"/>
        <v>0.33</v>
      </c>
      <c r="EX25" s="39">
        <f t="shared" si="96"/>
        <v>0.745</v>
      </c>
      <c r="EY25" s="39">
        <f t="shared" si="96"/>
        <v>0.59</v>
      </c>
      <c r="EZ25" s="39">
        <f t="shared" si="96"/>
        <v>0.25</v>
      </c>
      <c r="FA25" s="39">
        <f t="shared" si="96"/>
        <v>0.59499999999999997</v>
      </c>
      <c r="FB25" s="129">
        <f>AVERAGEIFS(FB$36:FB$173,$C$36:$C$173,"=2", $B$36:$B$173,"OFICIAL")</f>
        <v>49</v>
      </c>
      <c r="FD25" s="129">
        <f>AVERAGEIFS(FD$36:FD$173,$C$36:$C$173,"=2", $B$36:$B$173,"OFICIAL")</f>
        <v>7.5</v>
      </c>
      <c r="FF25" s="39">
        <f>AVERAGEIFS(FF$36:FF$173,$C$36:$C$173,"=2", $B$36:$B$173,"OFICIAL")</f>
        <v>0.155</v>
      </c>
      <c r="FG25" s="39">
        <f t="shared" ref="FG25:GI25" si="97">AVERAGEIFS(FG$36:FG$173,$C$36:$C$173,"=2", $B$36:$B$173,"OFICIAL")</f>
        <v>0.63500000000000001</v>
      </c>
      <c r="FH25" s="39">
        <f t="shared" si="97"/>
        <v>0.215</v>
      </c>
      <c r="FI25" s="39">
        <f t="shared" si="97"/>
        <v>0</v>
      </c>
      <c r="FJ25" s="39">
        <f t="shared" si="97"/>
        <v>0.48</v>
      </c>
      <c r="FK25" s="39">
        <f t="shared" si="97"/>
        <v>0.67</v>
      </c>
      <c r="FL25" s="39">
        <f t="shared" si="97"/>
        <v>0.495</v>
      </c>
      <c r="FM25" s="39">
        <f t="shared" si="97"/>
        <v>0.46499999999999997</v>
      </c>
      <c r="FN25" s="39">
        <f t="shared" si="97"/>
        <v>0.26</v>
      </c>
      <c r="FO25" s="39">
        <f t="shared" si="97"/>
        <v>0.36</v>
      </c>
      <c r="FP25" s="39">
        <f t="shared" si="97"/>
        <v>0.42</v>
      </c>
      <c r="FQ25" s="39">
        <f t="shared" si="97"/>
        <v>0.40500000000000003</v>
      </c>
      <c r="FR25" s="39">
        <f t="shared" si="97"/>
        <v>0.61499999999999999</v>
      </c>
      <c r="FS25" s="39">
        <f t="shared" si="97"/>
        <v>0.52</v>
      </c>
      <c r="FT25" s="39">
        <f t="shared" si="97"/>
        <v>0.505</v>
      </c>
      <c r="FU25" s="39">
        <f t="shared" si="97"/>
        <v>0.43</v>
      </c>
      <c r="FV25" s="39">
        <f t="shared" si="97"/>
        <v>0.64999999999999991</v>
      </c>
      <c r="FW25" s="39">
        <f t="shared" si="97"/>
        <v>0.57999999999999996</v>
      </c>
      <c r="FX25" s="39">
        <f t="shared" si="97"/>
        <v>0.495</v>
      </c>
      <c r="FY25" s="39">
        <f t="shared" si="97"/>
        <v>0.375</v>
      </c>
      <c r="FZ25" s="39">
        <f t="shared" si="97"/>
        <v>0.41499999999999998</v>
      </c>
      <c r="GA25" s="39">
        <f t="shared" si="97"/>
        <v>0.52500000000000002</v>
      </c>
      <c r="GB25" s="39">
        <f t="shared" si="97"/>
        <v>0.55499999999999994</v>
      </c>
      <c r="GC25" s="39">
        <f t="shared" si="97"/>
        <v>0.48499999999999999</v>
      </c>
      <c r="GD25" s="39">
        <f t="shared" si="97"/>
        <v>0.625</v>
      </c>
      <c r="GE25" s="39">
        <f t="shared" si="97"/>
        <v>0.59</v>
      </c>
      <c r="GF25" s="39">
        <f t="shared" si="97"/>
        <v>0.5</v>
      </c>
      <c r="GG25" s="39">
        <f t="shared" si="97"/>
        <v>0.45</v>
      </c>
      <c r="GH25" s="39">
        <f t="shared" si="97"/>
        <v>0.59499999999999997</v>
      </c>
      <c r="GI25" s="39">
        <f t="shared" si="97"/>
        <v>0.30500000000000005</v>
      </c>
      <c r="GJ25" s="129">
        <f>AVERAGEIFS(GJ$36:GJ$173,$C$36:$C$173,"=2", $B$36:$B$173,"OFICIAL")</f>
        <v>49.75</v>
      </c>
      <c r="GL25" s="129">
        <f>AVERAGEIFS(GL$36:GL$173,$C$36:$C$173,"=2", $B$36:$B$173,"OFICIAL")</f>
        <v>8</v>
      </c>
      <c r="GN25" s="342">
        <f>AVERAGEIFS(GN$36:GN$173,$C$36:$C$173,"=2", $B$36:$B$173,"OFICIAL")</f>
        <v>0.13750000000000001</v>
      </c>
      <c r="GO25" s="342">
        <f t="shared" ref="GO25:HQ25" si="98">AVERAGEIFS(GO$36:GO$173,$C$36:$C$173,"=2", $B$36:$B$173,"OFICIAL")</f>
        <v>0.62249999999999994</v>
      </c>
      <c r="GP25" s="342">
        <f t="shared" si="98"/>
        <v>0.24000000000000002</v>
      </c>
      <c r="GQ25" s="342">
        <f t="shared" si="98"/>
        <v>2.5000000000000001E-3</v>
      </c>
      <c r="GR25" s="342">
        <f t="shared" si="98"/>
        <v>0.50249999999999995</v>
      </c>
      <c r="GS25" s="342">
        <f t="shared" si="98"/>
        <v>0.53249999999999997</v>
      </c>
      <c r="GT25" s="342">
        <f t="shared" si="98"/>
        <v>0.65249999999999997</v>
      </c>
      <c r="GU25" s="342">
        <f t="shared" si="98"/>
        <v>0.2225</v>
      </c>
      <c r="GV25" s="342">
        <f t="shared" si="98"/>
        <v>0.59250000000000003</v>
      </c>
      <c r="GW25" s="342">
        <f t="shared" si="98"/>
        <v>0.52500000000000002</v>
      </c>
      <c r="GX25" s="342">
        <f t="shared" si="98"/>
        <v>0.47249999999999998</v>
      </c>
      <c r="GY25" s="315" t="s">
        <v>173</v>
      </c>
      <c r="GZ25" s="342">
        <f t="shared" si="98"/>
        <v>0.36</v>
      </c>
      <c r="HA25" s="342">
        <f t="shared" si="98"/>
        <v>0.71749999999999992</v>
      </c>
      <c r="HB25" s="342">
        <f t="shared" si="98"/>
        <v>0.47249999999999998</v>
      </c>
      <c r="HC25" s="342">
        <f t="shared" si="98"/>
        <v>0.5625</v>
      </c>
      <c r="HD25" s="342">
        <f t="shared" si="98"/>
        <v>0.61250000000000004</v>
      </c>
      <c r="HE25" s="342">
        <f t="shared" si="98"/>
        <v>0.45999999999999996</v>
      </c>
      <c r="HF25" s="342">
        <f t="shared" si="98"/>
        <v>0.505</v>
      </c>
      <c r="HG25" s="342">
        <f t="shared" si="98"/>
        <v>0.67749999999999999</v>
      </c>
      <c r="HH25" s="342">
        <f t="shared" si="98"/>
        <v>0.40499999999999997</v>
      </c>
      <c r="HI25" s="342">
        <f t="shared" si="98"/>
        <v>0.55500000000000005</v>
      </c>
      <c r="HJ25" s="342">
        <f t="shared" si="98"/>
        <v>0.63249999999999995</v>
      </c>
      <c r="HK25" s="342">
        <f t="shared" si="98"/>
        <v>0.49250000000000005</v>
      </c>
      <c r="HL25" s="342">
        <f t="shared" si="98"/>
        <v>0.435</v>
      </c>
      <c r="HM25" s="342">
        <f t="shared" si="98"/>
        <v>0.48749999999999999</v>
      </c>
      <c r="HN25" s="342">
        <f t="shared" si="98"/>
        <v>0.47749999999999998</v>
      </c>
      <c r="HO25" s="342">
        <f t="shared" si="98"/>
        <v>0.45750000000000002</v>
      </c>
      <c r="HP25" s="315" t="s">
        <v>173</v>
      </c>
      <c r="HQ25" s="342">
        <f t="shared" si="98"/>
        <v>0.47</v>
      </c>
      <c r="HR25" s="129">
        <f>AVERAGEIFS(HR$36:HR$173,$C$36:$C$173,"=2", $B$36:$B$173,"OFICIAL")</f>
        <v>49.75</v>
      </c>
      <c r="HT25" s="129">
        <f>AVERAGEIFS(HT$36:HT$173,$C$36:$C$173,"=2", $B$36:$B$173,"OFICIAL")</f>
        <v>8.5</v>
      </c>
      <c r="HV25" s="342">
        <f>AVERAGEIFS(HV$36:HV$173,$C$36:$C$173,"=2", $B$36:$B$173,"OFICIAL")</f>
        <v>0.13</v>
      </c>
      <c r="HW25" s="342">
        <f t="shared" ref="HW25:IZ25" si="99">AVERAGEIFS(HW$36:HW$173,$C$36:$C$173,"=2", $B$36:$B$173,"OFICIAL")</f>
        <v>0.61250000000000004</v>
      </c>
      <c r="HX25" s="342">
        <f t="shared" si="99"/>
        <v>0.255</v>
      </c>
      <c r="HY25" s="342">
        <f t="shared" si="99"/>
        <v>0.01</v>
      </c>
      <c r="HZ25" s="342">
        <f t="shared" si="99"/>
        <v>0.40249999999999997</v>
      </c>
      <c r="IA25" s="342">
        <f t="shared" si="99"/>
        <v>0.5575</v>
      </c>
      <c r="IB25" s="342">
        <f t="shared" si="99"/>
        <v>0.39500000000000002</v>
      </c>
      <c r="IC25" s="342">
        <f t="shared" si="99"/>
        <v>0.5575</v>
      </c>
      <c r="ID25" s="342">
        <f t="shared" si="99"/>
        <v>0.64</v>
      </c>
      <c r="IE25" s="342">
        <f t="shared" si="99"/>
        <v>0.35750000000000004</v>
      </c>
      <c r="IF25" s="342">
        <f t="shared" si="99"/>
        <v>0.40749999999999997</v>
      </c>
      <c r="IG25" s="342">
        <f t="shared" si="99"/>
        <v>0.56000000000000005</v>
      </c>
      <c r="IH25" s="342">
        <f t="shared" si="99"/>
        <v>0.55000000000000004</v>
      </c>
      <c r="II25" s="342">
        <f t="shared" si="99"/>
        <v>0.375</v>
      </c>
      <c r="IJ25" s="342">
        <f t="shared" si="99"/>
        <v>0.34250000000000003</v>
      </c>
      <c r="IK25" s="342">
        <f t="shared" si="99"/>
        <v>0.60749999999999993</v>
      </c>
      <c r="IL25" s="342">
        <f t="shared" si="99"/>
        <v>0.375</v>
      </c>
      <c r="IM25" s="342">
        <f t="shared" si="99"/>
        <v>0.59499999999999997</v>
      </c>
      <c r="IN25" s="342">
        <f t="shared" si="99"/>
        <v>0.46499999999999997</v>
      </c>
      <c r="IO25" s="342">
        <f t="shared" si="99"/>
        <v>0.53</v>
      </c>
      <c r="IP25" s="342">
        <f t="shared" si="99"/>
        <v>0.41749999999999998</v>
      </c>
      <c r="IQ25" s="342">
        <f t="shared" si="99"/>
        <v>0.65</v>
      </c>
      <c r="IR25" s="342">
        <f t="shared" si="99"/>
        <v>0.59000000000000008</v>
      </c>
      <c r="IS25" s="342">
        <f t="shared" si="99"/>
        <v>0.54500000000000004</v>
      </c>
      <c r="IT25" s="342">
        <f t="shared" si="99"/>
        <v>0.46499999999999997</v>
      </c>
      <c r="IU25" s="315" t="s">
        <v>173</v>
      </c>
      <c r="IV25" s="342">
        <f t="shared" si="99"/>
        <v>0.63249999999999995</v>
      </c>
      <c r="IW25" s="342">
        <f t="shared" si="99"/>
        <v>0.42</v>
      </c>
      <c r="IX25" s="342">
        <f t="shared" si="99"/>
        <v>0.5</v>
      </c>
      <c r="IY25" s="342">
        <f t="shared" si="99"/>
        <v>0.54</v>
      </c>
      <c r="IZ25" s="490">
        <f t="shared" si="99"/>
        <v>51</v>
      </c>
      <c r="JA25" s="495"/>
      <c r="JB25" s="300">
        <f>AVERAGEIFS(JB$36:JB$173,$C$36:$C$173,"=2", $B$36:$B$173,"OFICIAL")</f>
        <v>9</v>
      </c>
      <c r="JC25" s="495"/>
      <c r="JD25" s="343">
        <f>AVERAGEIFS(JD$36:JD$173,$C$36:$C$173,"=2", $B$36:$B$173,"OFICIAL")</f>
        <v>0.13750000000000001</v>
      </c>
      <c r="JE25" s="343">
        <f>AVERAGEIFS(JE$36:JE$173,$C$36:$C$173,"=2", $B$36:$B$173,"OFICIAL")</f>
        <v>0.55249999999999999</v>
      </c>
      <c r="JF25" s="343">
        <f>AVERAGEIFS(JF$36:JF$173,$C$36:$C$173,"=2", $B$36:$B$173,"OFICIAL")</f>
        <v>0.29749999999999999</v>
      </c>
      <c r="JG25" s="343">
        <f>AVERAGEIFS(JG$36:JG$173,$C$36:$C$173,"=2", $B$36:$B$173,"OFICIAL")</f>
        <v>1.2500000000000001E-2</v>
      </c>
      <c r="JH25" s="343">
        <f t="shared" ref="JH25:KC25" si="100">AVERAGEIFS(JH$36:JH$173,$C$36:$C$173,"=2", $B$36:$B$173,"OFICIAL")</f>
        <v>0.47249999999999998</v>
      </c>
      <c r="JI25" s="343">
        <f t="shared" si="100"/>
        <v>0.45749999999999996</v>
      </c>
      <c r="JJ25" s="343">
        <f t="shared" si="100"/>
        <v>0.42749999999999999</v>
      </c>
      <c r="JK25" s="343">
        <f t="shared" si="100"/>
        <v>0.48249999999999998</v>
      </c>
      <c r="JL25" s="343">
        <f t="shared" si="100"/>
        <v>0.51249999999999996</v>
      </c>
      <c r="JM25" s="343">
        <f t="shared" si="100"/>
        <v>0.52</v>
      </c>
      <c r="JN25" s="343">
        <f t="shared" si="100"/>
        <v>0.40249999999999997</v>
      </c>
      <c r="JO25" s="343">
        <f t="shared" si="100"/>
        <v>0.48749999999999999</v>
      </c>
      <c r="JP25" s="343">
        <f t="shared" si="100"/>
        <v>0.55249999999999999</v>
      </c>
      <c r="JQ25" s="343">
        <f t="shared" si="100"/>
        <v>0.29749999999999999</v>
      </c>
      <c r="JR25" s="343">
        <f t="shared" si="100"/>
        <v>0.62</v>
      </c>
      <c r="JS25" s="343">
        <f t="shared" si="100"/>
        <v>0.54249999999999998</v>
      </c>
      <c r="JT25" s="343">
        <f t="shared" si="100"/>
        <v>0.41749999999999998</v>
      </c>
      <c r="JU25" s="343">
        <f t="shared" si="100"/>
        <v>0.52249999999999996</v>
      </c>
      <c r="JV25" s="343">
        <f t="shared" si="100"/>
        <v>0.495</v>
      </c>
      <c r="JW25" s="343">
        <f t="shared" si="100"/>
        <v>0.47499999999999998</v>
      </c>
      <c r="JX25" s="343">
        <f t="shared" si="100"/>
        <v>0.41500000000000004</v>
      </c>
      <c r="JY25" s="343">
        <f t="shared" si="100"/>
        <v>0.51500000000000001</v>
      </c>
      <c r="JZ25" s="343">
        <f t="shared" si="100"/>
        <v>0.45249999999999996</v>
      </c>
      <c r="KA25" s="343">
        <f t="shared" si="100"/>
        <v>0.58250000000000002</v>
      </c>
      <c r="KB25" s="343">
        <f t="shared" si="100"/>
        <v>0.46749999999999997</v>
      </c>
      <c r="KC25" s="343">
        <f t="shared" si="100"/>
        <v>0.66749999999999998</v>
      </c>
      <c r="KD25" s="343">
        <f>AVERAGEIFS(KD$36:KD$173,$C$36:$C$173,"=2", $B$36:$B$173,"OFICIAL")</f>
        <v>0.33750000000000002</v>
      </c>
      <c r="KE25" s="343">
        <f>AVERAGEIFS(KE$36:KE$173,$C$36:$C$173,"=2", $B$36:$B$173,"OFICIAL")</f>
        <v>0.47249999999999998</v>
      </c>
      <c r="KF25" s="343">
        <f>AVERAGEIFS(KF$36:KF$173,$C$36:$C$173,"=2", $B$36:$B$173,"OFICIAL")</f>
        <v>0.44750000000000001</v>
      </c>
      <c r="KG25" s="343">
        <f>AVERAGEIFS(KG$36:KG$173,$C$36:$C$173,"=2", $B$36:$B$173,"OFICIAL")</f>
        <v>0.495</v>
      </c>
      <c r="KH25" s="129">
        <f>AVERAGEIFS(KH$36:KH$173,$C$36:$C$173,"=2", $B$36:$B$173,"OFICIAL")</f>
        <v>51.75</v>
      </c>
      <c r="KI25" s="970"/>
      <c r="KJ25" s="129">
        <f>AVERAGEIFS(KJ$36:KJ$173,$C$36:$C$173,"=2", $B$36:$B$173,"OFICIAL")</f>
        <v>9</v>
      </c>
      <c r="KK25" s="970"/>
      <c r="KL25" s="342">
        <f>AVERAGEIFS(KL$36:KL$173,$C$36:$C$173,"=2", $B$36:$B$173,"OFICIAL")</f>
        <v>0.10999999999999999</v>
      </c>
      <c r="KM25" s="342">
        <f t="shared" ref="KM25:LO25" si="101">AVERAGEIFS(KM$36:KM$173,$C$36:$C$173,"=2", $B$36:$B$173,"OFICIAL")</f>
        <v>0.54</v>
      </c>
      <c r="KN25" s="342">
        <f t="shared" si="101"/>
        <v>0.33750000000000002</v>
      </c>
      <c r="KO25" s="342">
        <f t="shared" si="101"/>
        <v>0.01</v>
      </c>
      <c r="KP25" s="342">
        <f t="shared" si="101"/>
        <v>0.50499999999999989</v>
      </c>
      <c r="KQ25" s="342">
        <f t="shared" si="101"/>
        <v>0.2525</v>
      </c>
      <c r="KR25" s="342">
        <f t="shared" si="101"/>
        <v>0.58250000000000002</v>
      </c>
      <c r="KS25" s="342">
        <f t="shared" si="101"/>
        <v>0.47749999999999998</v>
      </c>
      <c r="KT25" s="342">
        <f t="shared" si="101"/>
        <v>0.54249999999999998</v>
      </c>
      <c r="KU25" s="342">
        <f t="shared" si="101"/>
        <v>0.41249999999999998</v>
      </c>
      <c r="KV25" s="342">
        <f t="shared" si="101"/>
        <v>0.59749999999999992</v>
      </c>
      <c r="KW25" s="342">
        <f t="shared" si="101"/>
        <v>0.35499999999999998</v>
      </c>
      <c r="KX25" s="342">
        <f t="shared" si="101"/>
        <v>0.33500000000000002</v>
      </c>
      <c r="KY25" s="342">
        <f t="shared" si="101"/>
        <v>0.53249999999999997</v>
      </c>
      <c r="KZ25" s="342">
        <f t="shared" si="101"/>
        <v>0.4</v>
      </c>
      <c r="LA25" s="342">
        <f t="shared" si="101"/>
        <v>0.38250000000000001</v>
      </c>
      <c r="LB25" s="342">
        <f t="shared" si="101"/>
        <v>0.39500000000000002</v>
      </c>
      <c r="LC25" s="342">
        <f t="shared" si="101"/>
        <v>0.39249999999999996</v>
      </c>
      <c r="LD25" s="342">
        <f t="shared" si="101"/>
        <v>0.55000000000000004</v>
      </c>
      <c r="LE25" s="342">
        <f t="shared" si="101"/>
        <v>0.49</v>
      </c>
      <c r="LF25" s="342">
        <f t="shared" si="101"/>
        <v>0.3175</v>
      </c>
      <c r="LG25" s="342">
        <f t="shared" si="101"/>
        <v>0.46749999999999997</v>
      </c>
      <c r="LH25" s="342">
        <f t="shared" si="101"/>
        <v>0.54749999999999999</v>
      </c>
      <c r="LI25" s="342">
        <f t="shared" si="101"/>
        <v>0.46749999999999997</v>
      </c>
      <c r="LJ25" s="342">
        <f t="shared" si="101"/>
        <v>0.40749999999999997</v>
      </c>
      <c r="LK25" s="342">
        <f>AVERAGEIFS(LK$36:LK$173,$C$36:$C$173,"=2", $B$36:$B$173,"OFICIAL")</f>
        <v>0.55499999999999994</v>
      </c>
      <c r="LL25" s="342" t="s">
        <v>173</v>
      </c>
      <c r="LM25" s="342">
        <f t="shared" si="101"/>
        <v>0.58499999999999996</v>
      </c>
      <c r="LN25" s="342">
        <f t="shared" si="101"/>
        <v>0.57750000000000001</v>
      </c>
      <c r="LO25" s="342">
        <f t="shared" si="101"/>
        <v>0.45249999999999996</v>
      </c>
    </row>
    <row r="26" spans="1:327" ht="24.95" customHeight="1" x14ac:dyDescent="0.2">
      <c r="A26" s="6" t="s">
        <v>778</v>
      </c>
      <c r="B26" s="299"/>
      <c r="C26" s="299"/>
      <c r="D26" s="129">
        <f>AVERAGEIFS(D$36:D$173,$C$36:$C$173,"=3", $B$36:$B$173,"OFICIAL")</f>
        <v>53.2</v>
      </c>
      <c r="E26" s="129">
        <f>AVERAGEIFS(E$36:E$173,$C$36:$C$173,"=3", $B$36:$B$173,"OFICIAL")</f>
        <v>7.25</v>
      </c>
      <c r="F26" s="39">
        <f>AVERAGEIFS(F$36:F$173,$C$36:$C$173,"=3", $B$36:$B$173,"OFICIAL")</f>
        <v>5.6000000000000008E-2</v>
      </c>
      <c r="G26" s="39">
        <f t="shared" ref="G26:AG26" si="102">AVERAGEIFS(G$36:G$173,$C$36:$C$173,"=3", $B$36:$B$173,"OFICIAL")</f>
        <v>0.60200000000000009</v>
      </c>
      <c r="H26" s="39">
        <f t="shared" si="102"/>
        <v>0.33999999999999997</v>
      </c>
      <c r="I26" s="39">
        <f t="shared" si="102"/>
        <v>4.0000000000000001E-3</v>
      </c>
      <c r="J26" s="39">
        <f t="shared" si="102"/>
        <v>0.46799999999999997</v>
      </c>
      <c r="K26" s="39">
        <f t="shared" si="102"/>
        <v>0.39800000000000002</v>
      </c>
      <c r="L26" s="39">
        <f t="shared" si="102"/>
        <v>0.72599999999999998</v>
      </c>
      <c r="M26" s="39">
        <f t="shared" si="102"/>
        <v>0.254</v>
      </c>
      <c r="N26" s="39">
        <f t="shared" si="102"/>
        <v>0.30599999999999999</v>
      </c>
      <c r="O26" s="39">
        <f t="shared" si="102"/>
        <v>0.72</v>
      </c>
      <c r="P26" s="39">
        <f t="shared" si="102"/>
        <v>0.34399999999999997</v>
      </c>
      <c r="Q26" s="39">
        <f t="shared" si="102"/>
        <v>0.41000000000000003</v>
      </c>
      <c r="R26" s="39">
        <f t="shared" si="102"/>
        <v>0.51400000000000001</v>
      </c>
      <c r="S26" s="39">
        <f t="shared" si="102"/>
        <v>0.6</v>
      </c>
      <c r="T26" s="39">
        <f t="shared" si="102"/>
        <v>0.44400000000000006</v>
      </c>
      <c r="U26" s="39">
        <f t="shared" si="102"/>
        <v>0.60799999999999998</v>
      </c>
      <c r="V26" s="39">
        <f t="shared" si="102"/>
        <v>7.400000000000001E-2</v>
      </c>
      <c r="W26" s="39">
        <f t="shared" si="102"/>
        <v>0.20200000000000004</v>
      </c>
      <c r="X26" s="39">
        <f t="shared" si="102"/>
        <v>0.52800000000000002</v>
      </c>
      <c r="Y26" s="39">
        <f t="shared" si="102"/>
        <v>0.45999999999999996</v>
      </c>
      <c r="Z26" s="39">
        <f t="shared" si="102"/>
        <v>0.82200000000000006</v>
      </c>
      <c r="AA26" s="39">
        <f t="shared" si="102"/>
        <v>0.16800000000000001</v>
      </c>
      <c r="AB26" s="39">
        <f t="shared" si="102"/>
        <v>0.49400000000000005</v>
      </c>
      <c r="AC26" s="39">
        <f t="shared" si="102"/>
        <v>0.26400000000000001</v>
      </c>
      <c r="AD26" s="39">
        <f t="shared" si="102"/>
        <v>0.438</v>
      </c>
      <c r="AE26" s="39">
        <f t="shared" si="102"/>
        <v>0.46400000000000008</v>
      </c>
      <c r="AF26" s="39">
        <f t="shared" si="102"/>
        <v>0.55399999999999994</v>
      </c>
      <c r="AG26" s="39">
        <f t="shared" si="102"/>
        <v>0.45800000000000002</v>
      </c>
      <c r="AH26" s="129">
        <f>AVERAGEIFS(AH$36:AH$173,$C$36:$C$173,"=3", $B$36:$B$173,"OFICIAL")</f>
        <v>51.8</v>
      </c>
      <c r="AI26" s="129">
        <f>AVERAGEIFS(AI$36:AI$173,$C$36:$C$173,"=3", $B$36:$B$173,"OFICIAL")</f>
        <v>8</v>
      </c>
      <c r="AJ26" s="39">
        <f>AVERAGEIFS(AJ$36:AJ$173,$C$36:$C$173,"=3", $B$36:$B$173,"OFICIAL")</f>
        <v>8.6000000000000007E-2</v>
      </c>
      <c r="AK26" s="39">
        <f t="shared" ref="AK26:BL26" si="103">AVERAGEIFS(AK$36:AK$173,$C$36:$C$173,"=3", $B$36:$B$173,"OFICIAL")</f>
        <v>0.54600000000000004</v>
      </c>
      <c r="AL26" s="39">
        <f t="shared" si="103"/>
        <v>0.36400000000000005</v>
      </c>
      <c r="AM26" s="39">
        <f t="shared" si="103"/>
        <v>4.0000000000000001E-3</v>
      </c>
      <c r="AN26" s="39">
        <f t="shared" si="103"/>
        <v>0.30600000000000005</v>
      </c>
      <c r="AO26" s="39">
        <f t="shared" si="103"/>
        <v>0.46799999999999997</v>
      </c>
      <c r="AP26" s="39">
        <f t="shared" si="103"/>
        <v>0.60199999999999998</v>
      </c>
      <c r="AQ26" s="39">
        <f t="shared" si="103"/>
        <v>0.41600000000000004</v>
      </c>
      <c r="AR26" s="39">
        <f t="shared" si="103"/>
        <v>0.54600000000000004</v>
      </c>
      <c r="AS26" s="39">
        <f t="shared" si="103"/>
        <v>0.54</v>
      </c>
      <c r="AT26" s="39">
        <f t="shared" si="103"/>
        <v>0.52400000000000002</v>
      </c>
      <c r="AU26" s="39">
        <f t="shared" si="103"/>
        <v>0.53600000000000003</v>
      </c>
      <c r="AV26" s="39">
        <f t="shared" si="103"/>
        <v>0.622</v>
      </c>
      <c r="AW26" s="39">
        <f t="shared" si="103"/>
        <v>0.48</v>
      </c>
      <c r="AX26" s="39">
        <f t="shared" si="103"/>
        <v>0.59399999999999997</v>
      </c>
      <c r="AY26" s="39">
        <f t="shared" si="103"/>
        <v>0.33599999999999997</v>
      </c>
      <c r="AZ26" s="39">
        <f t="shared" si="103"/>
        <v>0.29600000000000004</v>
      </c>
      <c r="BA26" s="39">
        <f t="shared" si="103"/>
        <v>0.5</v>
      </c>
      <c r="BB26" s="39">
        <f t="shared" si="103"/>
        <v>0.66600000000000004</v>
      </c>
      <c r="BC26" s="39">
        <f t="shared" si="103"/>
        <v>0.64200000000000002</v>
      </c>
      <c r="BD26" s="39">
        <f t="shared" si="103"/>
        <v>0.41799999999999998</v>
      </c>
      <c r="BE26" s="39">
        <f t="shared" si="103"/>
        <v>0.57599999999999996</v>
      </c>
      <c r="BF26" s="39">
        <f t="shared" si="103"/>
        <v>0.56999999999999995</v>
      </c>
      <c r="BG26" s="39">
        <f t="shared" si="103"/>
        <v>0.51</v>
      </c>
      <c r="BH26" s="39">
        <f t="shared" si="103"/>
        <v>0.45400000000000001</v>
      </c>
      <c r="BI26" s="39">
        <f t="shared" si="103"/>
        <v>0.40800000000000003</v>
      </c>
      <c r="BJ26" s="39">
        <f t="shared" si="103"/>
        <v>0.35399999999999998</v>
      </c>
      <c r="BK26" s="39">
        <f t="shared" si="103"/>
        <v>0.45800000000000002</v>
      </c>
      <c r="BL26" s="39">
        <f t="shared" si="103"/>
        <v>0.47599999999999998</v>
      </c>
      <c r="BM26" s="129">
        <f>AVERAGEIFS(BM$36:BM$173,$C$36:$C$173,"=3", $B$36:$B$173,"OFICIAL")</f>
        <v>50.8</v>
      </c>
      <c r="BN26" s="129">
        <f>AVERAGEIFS(BN$36:BN$173,$C$36:$C$173,"=3", $B$36:$B$173,"OFICIAL")</f>
        <v>8.25</v>
      </c>
      <c r="BO26" s="39">
        <f>AVERAGEIFS(BO$36:BO$173,$C$36:$C$173,"=3", $B$36:$B$173,"OFICIAL")</f>
        <v>0.122</v>
      </c>
      <c r="BP26" s="39">
        <f t="shared" ref="BP26:CR26" si="104">AVERAGEIFS(BP$36:BP$173,$C$36:$C$173,"=3", $B$36:$B$173,"OFICIAL")</f>
        <v>0.57200000000000006</v>
      </c>
      <c r="BQ26" s="39">
        <f t="shared" si="104"/>
        <v>0.3</v>
      </c>
      <c r="BR26" s="39">
        <f t="shared" si="104"/>
        <v>4.0000000000000001E-3</v>
      </c>
      <c r="BS26" s="39">
        <f t="shared" si="104"/>
        <v>0.35</v>
      </c>
      <c r="BT26" s="39">
        <f t="shared" si="104"/>
        <v>0.56000000000000005</v>
      </c>
      <c r="BU26" s="39">
        <f t="shared" si="104"/>
        <v>0.64200000000000002</v>
      </c>
      <c r="BV26" s="39">
        <f t="shared" si="104"/>
        <v>0.35199999999999998</v>
      </c>
      <c r="BW26" s="39">
        <f t="shared" si="104"/>
        <v>0.63400000000000001</v>
      </c>
      <c r="BX26" s="39">
        <f t="shared" si="104"/>
        <v>0.39799999999999996</v>
      </c>
      <c r="BY26" s="39">
        <f t="shared" si="104"/>
        <v>0.41000000000000003</v>
      </c>
      <c r="BZ26" s="39">
        <f t="shared" si="104"/>
        <v>0.52800000000000002</v>
      </c>
      <c r="CA26" s="39">
        <f t="shared" si="104"/>
        <v>0.45999999999999996</v>
      </c>
      <c r="CB26" s="39">
        <f t="shared" si="104"/>
        <v>0.35799999999999998</v>
      </c>
      <c r="CC26" s="39">
        <f t="shared" si="104"/>
        <v>0.20400000000000001</v>
      </c>
      <c r="CD26" s="39">
        <f t="shared" si="104"/>
        <v>0.442</v>
      </c>
      <c r="CE26" s="39">
        <f t="shared" si="104"/>
        <v>0.34799999999999998</v>
      </c>
      <c r="CF26" s="39">
        <f t="shared" si="104"/>
        <v>0.59399999999999997</v>
      </c>
      <c r="CG26" s="39">
        <f t="shared" si="104"/>
        <v>0.60799999999999998</v>
      </c>
      <c r="CH26" s="39">
        <f t="shared" si="104"/>
        <v>0.46600000000000003</v>
      </c>
      <c r="CI26" s="39">
        <f t="shared" si="104"/>
        <v>0.56600000000000006</v>
      </c>
      <c r="CJ26" s="39">
        <f t="shared" si="104"/>
        <v>0.376</v>
      </c>
      <c r="CK26" s="39">
        <f t="shared" si="104"/>
        <v>0.69599999999999995</v>
      </c>
      <c r="CL26" s="39">
        <f t="shared" si="104"/>
        <v>0.32</v>
      </c>
      <c r="CM26" s="39">
        <f t="shared" si="104"/>
        <v>0.45999999999999996</v>
      </c>
      <c r="CN26" s="39">
        <f t="shared" si="104"/>
        <v>0.48</v>
      </c>
      <c r="CO26" s="39">
        <f t="shared" si="104"/>
        <v>0.44799999999999995</v>
      </c>
      <c r="CP26" s="39">
        <f t="shared" si="104"/>
        <v>0.35399999999999998</v>
      </c>
      <c r="CQ26" s="39">
        <f t="shared" si="104"/>
        <v>0.51600000000000001</v>
      </c>
      <c r="CR26" s="39">
        <f t="shared" si="104"/>
        <v>0.57199999999999995</v>
      </c>
      <c r="CS26" s="129">
        <f>AVERAGEIFS(CS$36:CS$173,$C$36:$C$173,"=3", $B$36:$B$173,"OFICIAL")</f>
        <v>49</v>
      </c>
      <c r="CT26" s="129">
        <f>AVERAGEIFS(CT$36:CT$173,$C$36:$C$173,"=3", $B$36:$B$173,"OFICIAL")</f>
        <v>8.25</v>
      </c>
      <c r="CU26" s="39">
        <f>AVERAGEIFS(CU$36:CU$173,$C$36:$C$173,"=3", $B$36:$B$173,"OFICIAL")</f>
        <v>0.16199999999999998</v>
      </c>
      <c r="CV26" s="39">
        <f t="shared" ref="CV26:DW26" si="105">AVERAGEIFS(CV$36:CV$173,$C$36:$C$173,"=3", $B$36:$B$173,"OFICIAL")</f>
        <v>0.61399999999999988</v>
      </c>
      <c r="CW26" s="39">
        <f t="shared" si="105"/>
        <v>0.22199999999999998</v>
      </c>
      <c r="CX26" s="39">
        <f t="shared" si="105"/>
        <v>2E-3</v>
      </c>
      <c r="CY26" s="39">
        <f t="shared" si="105"/>
        <v>0.51600000000000001</v>
      </c>
      <c r="CZ26" s="39">
        <f t="shared" si="105"/>
        <v>0.30399999999999999</v>
      </c>
      <c r="DA26" s="39">
        <f t="shared" si="105"/>
        <v>0.61</v>
      </c>
      <c r="DB26" s="39">
        <f t="shared" si="105"/>
        <v>0.38200000000000001</v>
      </c>
      <c r="DC26" s="39">
        <f t="shared" si="105"/>
        <v>0.47799999999999992</v>
      </c>
      <c r="DD26" s="39">
        <f t="shared" si="105"/>
        <v>0.64</v>
      </c>
      <c r="DE26" s="39">
        <f t="shared" si="105"/>
        <v>0.46600000000000003</v>
      </c>
      <c r="DF26" s="39">
        <f t="shared" si="105"/>
        <v>0.56200000000000006</v>
      </c>
      <c r="DG26" s="39">
        <f t="shared" si="105"/>
        <v>0.48</v>
      </c>
      <c r="DH26" s="39">
        <f t="shared" si="105"/>
        <v>0.38400000000000001</v>
      </c>
      <c r="DI26" s="39">
        <f t="shared" si="105"/>
        <v>0.55400000000000005</v>
      </c>
      <c r="DJ26" s="39">
        <f t="shared" si="105"/>
        <v>0.52800000000000002</v>
      </c>
      <c r="DK26" s="39">
        <f t="shared" si="105"/>
        <v>0.4</v>
      </c>
      <c r="DL26" s="39">
        <f t="shared" si="105"/>
        <v>0.36799999999999999</v>
      </c>
      <c r="DM26" s="39">
        <f t="shared" si="105"/>
        <v>0.50800000000000001</v>
      </c>
      <c r="DN26" s="39">
        <f t="shared" si="105"/>
        <v>0.51200000000000001</v>
      </c>
      <c r="DO26" s="39">
        <f t="shared" si="105"/>
        <v>0.44800000000000006</v>
      </c>
      <c r="DP26" s="39">
        <f t="shared" si="105"/>
        <v>0.46799999999999997</v>
      </c>
      <c r="DQ26" s="39">
        <f t="shared" si="105"/>
        <v>0.59399999999999997</v>
      </c>
      <c r="DR26" s="39">
        <f t="shared" si="105"/>
        <v>0.21400000000000002</v>
      </c>
      <c r="DS26" s="39">
        <f t="shared" si="105"/>
        <v>0.41600000000000004</v>
      </c>
      <c r="DT26" s="39">
        <f t="shared" si="105"/>
        <v>0.6</v>
      </c>
      <c r="DU26" s="39">
        <f t="shared" si="105"/>
        <v>0.54799999999999993</v>
      </c>
      <c r="DV26" s="39">
        <f t="shared" si="105"/>
        <v>0.61599999999999999</v>
      </c>
      <c r="DW26" s="39">
        <f t="shared" si="105"/>
        <v>0.38200000000000001</v>
      </c>
      <c r="DX26" s="129">
        <f>AVERAGEIFS(DX$36:DX$173,$C$36:$C$173,"=3", $B$36:$B$173,"OFICIAL")</f>
        <v>49.6</v>
      </c>
      <c r="DY26" s="129">
        <f>AVERAGEIFS(DY$36:DY$173,$C$36:$C$173,"=3", $B$36:$B$173,"OFICIAL")</f>
        <v>8.8000000000000007</v>
      </c>
      <c r="DZ26" s="39">
        <f>AVERAGEIFS(DZ$36:DZ$173,$C$36:$C$173,"=3", $B$36:$B$173,"OFICIAL")</f>
        <v>0.156</v>
      </c>
      <c r="EA26" s="39">
        <f t="shared" ref="EA26:FA26" si="106">AVERAGEIFS(EA$36:EA$173,$C$36:$C$173,"=3", $B$36:$B$173,"OFICIAL")</f>
        <v>0.57400000000000007</v>
      </c>
      <c r="EB26" s="39">
        <f t="shared" si="106"/>
        <v>0.26800000000000002</v>
      </c>
      <c r="EC26" s="39">
        <f t="shared" si="106"/>
        <v>2E-3</v>
      </c>
      <c r="ED26" s="39">
        <f t="shared" si="106"/>
        <v>0.47400000000000003</v>
      </c>
      <c r="EE26" s="39">
        <f t="shared" si="106"/>
        <v>0.44799999999999995</v>
      </c>
      <c r="EF26" s="39">
        <f t="shared" si="106"/>
        <v>0.48799999999999999</v>
      </c>
      <c r="EG26" s="39">
        <f t="shared" si="106"/>
        <v>0.33999999999999997</v>
      </c>
      <c r="EH26" s="39">
        <f t="shared" si="106"/>
        <v>0.42599999999999999</v>
      </c>
      <c r="EI26" s="39">
        <f t="shared" si="106"/>
        <v>0.502</v>
      </c>
      <c r="EJ26" s="39">
        <f t="shared" si="106"/>
        <v>0.58200000000000007</v>
      </c>
      <c r="EK26" s="39">
        <f t="shared" si="106"/>
        <v>0.27800000000000002</v>
      </c>
      <c r="EL26" s="39">
        <f t="shared" si="106"/>
        <v>0.46799999999999997</v>
      </c>
      <c r="EM26" s="39">
        <f t="shared" si="106"/>
        <v>0.67799999999999994</v>
      </c>
      <c r="EN26" s="39">
        <f t="shared" si="106"/>
        <v>0.47400000000000003</v>
      </c>
      <c r="EO26" s="39">
        <f t="shared" si="106"/>
        <v>0.58200000000000007</v>
      </c>
      <c r="EP26" s="39">
        <f t="shared" si="106"/>
        <v>0.36599999999999999</v>
      </c>
      <c r="EQ26" s="39">
        <f t="shared" si="106"/>
        <v>0.29799999999999999</v>
      </c>
      <c r="ER26" s="39">
        <f t="shared" si="106"/>
        <v>0.62200000000000011</v>
      </c>
      <c r="ES26" s="39">
        <f t="shared" si="106"/>
        <v>0.45599999999999996</v>
      </c>
      <c r="ET26" s="39">
        <f t="shared" si="106"/>
        <v>0.34200000000000003</v>
      </c>
      <c r="EU26" s="39">
        <f t="shared" si="106"/>
        <v>0.58400000000000007</v>
      </c>
      <c r="EV26" s="39">
        <f t="shared" si="106"/>
        <v>0.43200000000000005</v>
      </c>
      <c r="EW26" s="39">
        <f t="shared" si="106"/>
        <v>0.33600000000000002</v>
      </c>
      <c r="EX26" s="39">
        <f t="shared" si="106"/>
        <v>0.62</v>
      </c>
      <c r="EY26" s="39">
        <f t="shared" si="106"/>
        <v>0.57799999999999996</v>
      </c>
      <c r="EZ26" s="39">
        <f t="shared" si="106"/>
        <v>0.29599999999999999</v>
      </c>
      <c r="FA26" s="39">
        <f t="shared" si="106"/>
        <v>0.6</v>
      </c>
      <c r="FB26" s="129">
        <f>AVERAGEIFS(FB$36:FB$173,$C$36:$C$173,"=3", $B$36:$B$173,"OFICIAL")</f>
        <v>49</v>
      </c>
      <c r="FD26" s="129">
        <f>AVERAGEIFS(FD$36:FD$173,$C$36:$C$173,"=3", $B$36:$B$173,"OFICIAL")</f>
        <v>8</v>
      </c>
      <c r="FF26" s="39">
        <f>AVERAGEIFS(FF$36:FF$173,$C$36:$C$173,"=3", $B$36:$B$173,"OFICIAL")</f>
        <v>0.14200000000000002</v>
      </c>
      <c r="FG26" s="39">
        <f t="shared" ref="FG26:GI26" si="107">AVERAGEIFS(FG$36:FG$173,$C$36:$C$173,"=3", $B$36:$B$173,"OFICIAL")</f>
        <v>0.65</v>
      </c>
      <c r="FH26" s="39">
        <f t="shared" si="107"/>
        <v>0.20200000000000001</v>
      </c>
      <c r="FI26" s="39">
        <f t="shared" si="107"/>
        <v>6.0000000000000001E-3</v>
      </c>
      <c r="FJ26" s="39">
        <f t="shared" si="107"/>
        <v>0.47599999999999998</v>
      </c>
      <c r="FK26" s="39">
        <f t="shared" si="107"/>
        <v>0.66800000000000004</v>
      </c>
      <c r="FL26" s="39">
        <f t="shared" si="107"/>
        <v>0.52600000000000002</v>
      </c>
      <c r="FM26" s="39">
        <f t="shared" si="107"/>
        <v>0.42400000000000004</v>
      </c>
      <c r="FN26" s="39">
        <f t="shared" si="107"/>
        <v>0.30000000000000004</v>
      </c>
      <c r="FO26" s="39">
        <f t="shared" si="107"/>
        <v>0.34799999999999998</v>
      </c>
      <c r="FP26" s="39">
        <f t="shared" si="107"/>
        <v>0.40800000000000003</v>
      </c>
      <c r="FQ26" s="39">
        <f t="shared" si="107"/>
        <v>0.42599999999999999</v>
      </c>
      <c r="FR26" s="39">
        <f t="shared" si="107"/>
        <v>0.6120000000000001</v>
      </c>
      <c r="FS26" s="39">
        <f t="shared" si="107"/>
        <v>0.52400000000000002</v>
      </c>
      <c r="FT26" s="39">
        <f t="shared" si="107"/>
        <v>0.54600000000000004</v>
      </c>
      <c r="FU26" s="39">
        <f t="shared" si="107"/>
        <v>0.39200000000000002</v>
      </c>
      <c r="FV26" s="39">
        <f t="shared" si="107"/>
        <v>0.60399999999999998</v>
      </c>
      <c r="FW26" s="39">
        <f t="shared" si="107"/>
        <v>0.56799999999999995</v>
      </c>
      <c r="FX26" s="39">
        <f t="shared" si="107"/>
        <v>0.50800000000000001</v>
      </c>
      <c r="FY26" s="39">
        <f t="shared" si="107"/>
        <v>0.376</v>
      </c>
      <c r="FZ26" s="39">
        <f t="shared" si="107"/>
        <v>0.46200000000000002</v>
      </c>
      <c r="GA26" s="39">
        <f t="shared" si="107"/>
        <v>0.53800000000000003</v>
      </c>
      <c r="GB26" s="39">
        <f t="shared" si="107"/>
        <v>0.55200000000000005</v>
      </c>
      <c r="GC26" s="39">
        <f t="shared" si="107"/>
        <v>0.48200000000000004</v>
      </c>
      <c r="GD26" s="39">
        <f t="shared" si="107"/>
        <v>0.60599999999999998</v>
      </c>
      <c r="GE26" s="39">
        <f t="shared" si="107"/>
        <v>0.53600000000000014</v>
      </c>
      <c r="GF26" s="39">
        <f t="shared" si="107"/>
        <v>0.5</v>
      </c>
      <c r="GG26" s="39">
        <f t="shared" si="107"/>
        <v>0.49399999999999994</v>
      </c>
      <c r="GH26" s="39">
        <f t="shared" si="107"/>
        <v>0.56000000000000005</v>
      </c>
      <c r="GI26" s="39">
        <f t="shared" si="107"/>
        <v>0.30600000000000005</v>
      </c>
      <c r="GJ26" s="129">
        <f>AVERAGEIFS(GJ$36:GJ$173,$C$36:$C$173,"=3", $B$36:$B$173,"OFICIAL")</f>
        <v>49.833333333333336</v>
      </c>
      <c r="GL26" s="129">
        <f>AVERAGEIFS(GL$36:GL$173,$C$36:$C$173,"=3", $B$36:$B$173,"OFICIAL")</f>
        <v>8.8333333333333339</v>
      </c>
      <c r="GN26" s="342">
        <f>AVERAGEIFS(GN$36:GN$173,$C$36:$C$173,"=3", $B$36:$B$173,"OFICIAL")</f>
        <v>0.17166666666666663</v>
      </c>
      <c r="GO26" s="342">
        <f t="shared" ref="GO26:HQ26" si="108">AVERAGEIFS(GO$36:GO$173,$C$36:$C$173,"=3", $B$36:$B$173,"OFICIAL")</f>
        <v>0.56000000000000005</v>
      </c>
      <c r="GP26" s="342">
        <f t="shared" si="108"/>
        <v>0.255</v>
      </c>
      <c r="GQ26" s="342">
        <f t="shared" si="108"/>
        <v>1.3333333333333334E-2</v>
      </c>
      <c r="GR26" s="342">
        <f t="shared" si="108"/>
        <v>0.48833333333333345</v>
      </c>
      <c r="GS26" s="342">
        <f t="shared" si="108"/>
        <v>0.54999999999999993</v>
      </c>
      <c r="GT26" s="342">
        <f t="shared" si="108"/>
        <v>0.62666666666666659</v>
      </c>
      <c r="GU26" s="342">
        <f t="shared" si="108"/>
        <v>0.26166666666666666</v>
      </c>
      <c r="GV26" s="342">
        <f t="shared" si="108"/>
        <v>0.57666666666666666</v>
      </c>
      <c r="GW26" s="342">
        <f t="shared" si="108"/>
        <v>0.52</v>
      </c>
      <c r="GX26" s="342">
        <f t="shared" si="108"/>
        <v>0.47833333333333333</v>
      </c>
      <c r="GY26" s="315" t="s">
        <v>173</v>
      </c>
      <c r="GZ26" s="342">
        <f t="shared" si="108"/>
        <v>0.36499999999999999</v>
      </c>
      <c r="HA26" s="342">
        <f t="shared" si="108"/>
        <v>0.69</v>
      </c>
      <c r="HB26" s="342">
        <f t="shared" si="108"/>
        <v>0.47499999999999992</v>
      </c>
      <c r="HC26" s="342">
        <f t="shared" si="108"/>
        <v>0.54500000000000004</v>
      </c>
      <c r="HD26" s="342">
        <f t="shared" si="108"/>
        <v>0.58833333333333326</v>
      </c>
      <c r="HE26" s="342">
        <f t="shared" si="108"/>
        <v>0.47</v>
      </c>
      <c r="HF26" s="342">
        <f t="shared" si="108"/>
        <v>0.49833333333333329</v>
      </c>
      <c r="HG26" s="342">
        <f t="shared" si="108"/>
        <v>0.66499999999999992</v>
      </c>
      <c r="HH26" s="342">
        <f t="shared" si="108"/>
        <v>0.39666666666666667</v>
      </c>
      <c r="HI26" s="342">
        <f t="shared" si="108"/>
        <v>0.52833333333333332</v>
      </c>
      <c r="HJ26" s="342">
        <f t="shared" si="108"/>
        <v>0.59</v>
      </c>
      <c r="HK26" s="342">
        <f t="shared" si="108"/>
        <v>0.52500000000000002</v>
      </c>
      <c r="HL26" s="342">
        <f t="shared" si="108"/>
        <v>0.44666666666666671</v>
      </c>
      <c r="HM26" s="342">
        <f t="shared" si="108"/>
        <v>0.49500000000000005</v>
      </c>
      <c r="HN26" s="342">
        <f t="shared" si="108"/>
        <v>0.49500000000000005</v>
      </c>
      <c r="HO26" s="342">
        <f t="shared" si="108"/>
        <v>0.46333333333333337</v>
      </c>
      <c r="HP26" s="315" t="s">
        <v>173</v>
      </c>
      <c r="HQ26" s="342">
        <f t="shared" si="108"/>
        <v>0.41500000000000004</v>
      </c>
      <c r="HR26" s="129">
        <f>AVERAGEIFS(HR$36:HR$173,$C$36:$C$173,"=3", $B$36:$B$173,"OFICIAL")</f>
        <v>50.5</v>
      </c>
      <c r="HT26" s="129">
        <f>AVERAGEIFS(HT$36:HT$173,$C$36:$C$173,"=3", $B$36:$B$173,"OFICIAL")</f>
        <v>8.5</v>
      </c>
      <c r="HV26" s="342">
        <f>AVERAGEIFS(HV$36:HV$173,$C$36:$C$173,"=3", $B$36:$B$173,"OFICIAL")</f>
        <v>0.14166666666666666</v>
      </c>
      <c r="HW26" s="342">
        <f t="shared" ref="HW26:IZ26" si="109">AVERAGEIFS(HW$36:HW$173,$C$36:$C$173,"=3", $B$36:$B$173,"OFICIAL")</f>
        <v>0.54166666666666663</v>
      </c>
      <c r="HX26" s="342">
        <f t="shared" si="109"/>
        <v>0.30666666666666664</v>
      </c>
      <c r="HY26" s="342">
        <f t="shared" si="109"/>
        <v>0.01</v>
      </c>
      <c r="HZ26" s="342">
        <f t="shared" si="109"/>
        <v>0.41</v>
      </c>
      <c r="IA26" s="342">
        <f t="shared" si="109"/>
        <v>0.53500000000000003</v>
      </c>
      <c r="IB26" s="342">
        <f t="shared" si="109"/>
        <v>0.34833333333333338</v>
      </c>
      <c r="IC26" s="342">
        <f t="shared" si="109"/>
        <v>0.49666666666666665</v>
      </c>
      <c r="ID26" s="342">
        <f t="shared" si="109"/>
        <v>0.63666666666666671</v>
      </c>
      <c r="IE26" s="342">
        <f t="shared" si="109"/>
        <v>0.35500000000000004</v>
      </c>
      <c r="IF26" s="342">
        <f t="shared" si="109"/>
        <v>0.40166666666666662</v>
      </c>
      <c r="IG26" s="342">
        <f t="shared" si="109"/>
        <v>0.54500000000000004</v>
      </c>
      <c r="IH26" s="342">
        <f t="shared" si="109"/>
        <v>0.51833333333333331</v>
      </c>
      <c r="II26" s="342">
        <f t="shared" si="109"/>
        <v>0.32333333333333336</v>
      </c>
      <c r="IJ26" s="342">
        <f t="shared" si="109"/>
        <v>0.29000000000000004</v>
      </c>
      <c r="IK26" s="342">
        <f t="shared" si="109"/>
        <v>0.59333333333333338</v>
      </c>
      <c r="IL26" s="342">
        <f t="shared" si="109"/>
        <v>0.35833333333333339</v>
      </c>
      <c r="IM26" s="342">
        <f t="shared" si="109"/>
        <v>0.57333333333333336</v>
      </c>
      <c r="IN26" s="342">
        <f t="shared" si="109"/>
        <v>0.47000000000000003</v>
      </c>
      <c r="IO26" s="342">
        <f t="shared" si="109"/>
        <v>0.54833333333333334</v>
      </c>
      <c r="IP26" s="342">
        <f t="shared" si="109"/>
        <v>0.4466666666666666</v>
      </c>
      <c r="IQ26" s="342">
        <f t="shared" si="109"/>
        <v>0.66500000000000004</v>
      </c>
      <c r="IR26" s="342">
        <f t="shared" si="109"/>
        <v>0.53500000000000003</v>
      </c>
      <c r="IS26" s="342">
        <f t="shared" si="109"/>
        <v>0.53499999999999992</v>
      </c>
      <c r="IT26" s="342">
        <f t="shared" si="109"/>
        <v>0.44666666666666671</v>
      </c>
      <c r="IU26" s="315" t="s">
        <v>173</v>
      </c>
      <c r="IV26" s="342">
        <f t="shared" si="109"/>
        <v>0.6283333333333333</v>
      </c>
      <c r="IW26" s="342">
        <f t="shared" si="109"/>
        <v>0.43</v>
      </c>
      <c r="IX26" s="342">
        <f t="shared" si="109"/>
        <v>0.51166666666666671</v>
      </c>
      <c r="IY26" s="342">
        <f t="shared" si="109"/>
        <v>0.53</v>
      </c>
      <c r="IZ26" s="490">
        <f t="shared" si="109"/>
        <v>51</v>
      </c>
      <c r="JA26" s="495"/>
      <c r="JB26" s="300">
        <f>AVERAGEIFS(JB$36:JB$173,$C$36:$C$173,"=3", $B$36:$B$173,"OFICIAL")</f>
        <v>8.8333333333333339</v>
      </c>
      <c r="JC26" s="495"/>
      <c r="JD26" s="343">
        <f>AVERAGEIFS(JD$36:JD$173,$C$36:$C$173,"=3", $B$36:$B$173,"OFICIAL")</f>
        <v>0.12833333333333333</v>
      </c>
      <c r="JE26" s="343">
        <f>AVERAGEIFS(JE$36:JE$173,$C$36:$C$173,"=3", $B$36:$B$173,"OFICIAL")</f>
        <v>0.54333333333333333</v>
      </c>
      <c r="JF26" s="343">
        <f>AVERAGEIFS(JF$36:JF$173,$C$36:$C$173,"=3", $B$36:$B$173,"OFICIAL")</f>
        <v>0.31</v>
      </c>
      <c r="JG26" s="343">
        <f>AVERAGEIFS(JG$36:JG$173,$C$36:$C$173,"=3", $B$36:$B$173,"OFICIAL")</f>
        <v>1.8333333333333337E-2</v>
      </c>
      <c r="JH26" s="343">
        <f t="shared" ref="JH26:KC26" si="110">AVERAGEIFS(JH$36:JH$173,$C$36:$C$173,"=3", $B$36:$B$173,"OFICIAL")</f>
        <v>0.47500000000000003</v>
      </c>
      <c r="JI26" s="343">
        <f t="shared" si="110"/>
        <v>0.46333333333333332</v>
      </c>
      <c r="JJ26" s="343">
        <f t="shared" si="110"/>
        <v>0.42333333333333334</v>
      </c>
      <c r="JK26" s="343">
        <f t="shared" si="110"/>
        <v>0.47833333333333333</v>
      </c>
      <c r="JL26" s="343">
        <f t="shared" si="110"/>
        <v>0.49333333333333335</v>
      </c>
      <c r="JM26" s="343">
        <f t="shared" si="110"/>
        <v>0.49333333333333335</v>
      </c>
      <c r="JN26" s="343">
        <f t="shared" si="110"/>
        <v>0.42666666666666669</v>
      </c>
      <c r="JO26" s="343">
        <f t="shared" si="110"/>
        <v>0.48000000000000004</v>
      </c>
      <c r="JP26" s="343">
        <f t="shared" si="110"/>
        <v>0.54333333333333333</v>
      </c>
      <c r="JQ26" s="343">
        <f t="shared" si="110"/>
        <v>0.29333333333333339</v>
      </c>
      <c r="JR26" s="343">
        <f t="shared" si="110"/>
        <v>0.59</v>
      </c>
      <c r="JS26" s="343">
        <f t="shared" si="110"/>
        <v>0.51666666666666661</v>
      </c>
      <c r="JT26" s="343">
        <f t="shared" si="110"/>
        <v>0.44833333333333342</v>
      </c>
      <c r="JU26" s="343">
        <f t="shared" si="110"/>
        <v>0.52166666666666661</v>
      </c>
      <c r="JV26" s="343">
        <f t="shared" si="110"/>
        <v>0.49500000000000011</v>
      </c>
      <c r="JW26" s="343">
        <f t="shared" si="110"/>
        <v>0.47333333333333338</v>
      </c>
      <c r="JX26" s="343">
        <f t="shared" si="110"/>
        <v>0.4316666666666667</v>
      </c>
      <c r="JY26" s="343">
        <f t="shared" si="110"/>
        <v>0.49499999999999994</v>
      </c>
      <c r="JZ26" s="343">
        <f t="shared" si="110"/>
        <v>0.45833333333333331</v>
      </c>
      <c r="KA26" s="343">
        <f t="shared" si="110"/>
        <v>0.61499999999999999</v>
      </c>
      <c r="KB26" s="343">
        <f t="shared" si="110"/>
        <v>0.46833333333333327</v>
      </c>
      <c r="KC26" s="343">
        <f t="shared" si="110"/>
        <v>0.67</v>
      </c>
      <c r="KD26" s="343">
        <f>AVERAGEIFS(KD$36:KD$173,$C$36:$C$173,"=3", $B$36:$B$173,"OFICIAL")</f>
        <v>0.37999999999999995</v>
      </c>
      <c r="KE26" s="343">
        <f>AVERAGEIFS(KE$36:KE$173,$C$36:$C$173,"=3", $B$36:$B$173,"OFICIAL")</f>
        <v>0.51000000000000012</v>
      </c>
      <c r="KF26" s="343">
        <f>AVERAGEIFS(KF$36:KF$173,$C$36:$C$173,"=3", $B$36:$B$173,"OFICIAL")</f>
        <v>0.45500000000000002</v>
      </c>
      <c r="KG26" s="343">
        <f>AVERAGEIFS(KG$36:KG$173,$C$36:$C$173,"=3", $B$36:$B$173,"OFICIAL")</f>
        <v>0.52</v>
      </c>
      <c r="KH26" s="129">
        <f>AVERAGEIFS(KH$36:KH$173,$C$36:$C$173,"=3", $B$36:$B$173,"OFICIAL")</f>
        <v>51</v>
      </c>
      <c r="KI26" s="970"/>
      <c r="KJ26" s="129">
        <f>AVERAGEIFS(KJ$36:KJ$173,$C$36:$C$173,"=3", $B$36:$B$173,"OFICIAL")</f>
        <v>8.5</v>
      </c>
      <c r="KK26" s="970"/>
      <c r="KL26" s="342">
        <f>AVERAGEIFS(KL$36:KL$173,$C$36:$C$173,"=3", $B$36:$B$173,"OFICIAL")</f>
        <v>0.115</v>
      </c>
      <c r="KM26" s="342">
        <f t="shared" ref="KM26:LO26" si="111">AVERAGEIFS(KM$36:KM$173,$C$36:$C$173,"=3", $B$36:$B$173,"OFICIAL")</f>
        <v>0.57500000000000007</v>
      </c>
      <c r="KN26" s="342">
        <f t="shared" si="111"/>
        <v>0.29499999999999998</v>
      </c>
      <c r="KO26" s="342">
        <f t="shared" si="111"/>
        <v>1.5000000000000001E-2</v>
      </c>
      <c r="KP26" s="342">
        <f t="shared" si="111"/>
        <v>0.50166666666666659</v>
      </c>
      <c r="KQ26" s="342">
        <f t="shared" si="111"/>
        <v>0.30000000000000004</v>
      </c>
      <c r="KR26" s="342">
        <f t="shared" si="111"/>
        <v>0.58666666666666656</v>
      </c>
      <c r="KS26" s="342">
        <f t="shared" si="111"/>
        <v>0.48000000000000004</v>
      </c>
      <c r="KT26" s="342">
        <f t="shared" si="111"/>
        <v>0.58166666666666667</v>
      </c>
      <c r="KU26" s="342">
        <f t="shared" si="111"/>
        <v>0.41333333333333327</v>
      </c>
      <c r="KV26" s="342">
        <f t="shared" si="111"/>
        <v>0.61</v>
      </c>
      <c r="KW26" s="342">
        <f t="shared" si="111"/>
        <v>0.37166666666666665</v>
      </c>
      <c r="KX26" s="342">
        <f t="shared" si="111"/>
        <v>0.35666666666666663</v>
      </c>
      <c r="KY26" s="342">
        <f t="shared" si="111"/>
        <v>0.53333333333333333</v>
      </c>
      <c r="KZ26" s="342">
        <f t="shared" si="111"/>
        <v>0.39833333333333326</v>
      </c>
      <c r="LA26" s="342">
        <f t="shared" si="111"/>
        <v>0.41666666666666669</v>
      </c>
      <c r="LB26" s="342">
        <f t="shared" si="111"/>
        <v>0.42666666666666669</v>
      </c>
      <c r="LC26" s="342">
        <f t="shared" si="111"/>
        <v>0.39333333333333331</v>
      </c>
      <c r="LD26" s="342">
        <f t="shared" si="111"/>
        <v>0.55999999999999994</v>
      </c>
      <c r="LE26" s="342">
        <f t="shared" si="111"/>
        <v>0.50166666666666671</v>
      </c>
      <c r="LF26" s="342">
        <f t="shared" si="111"/>
        <v>0.35333333333333333</v>
      </c>
      <c r="LG26" s="342">
        <f t="shared" si="111"/>
        <v>0.45833333333333331</v>
      </c>
      <c r="LH26" s="342">
        <f t="shared" si="111"/>
        <v>0.57333333333333336</v>
      </c>
      <c r="LI26" s="342">
        <f t="shared" si="111"/>
        <v>0.48666666666666664</v>
      </c>
      <c r="LJ26" s="342">
        <f t="shared" si="111"/>
        <v>0.45666666666666672</v>
      </c>
      <c r="LK26" s="342">
        <f>AVERAGEIFS(LK$36:LK$173,$C$36:$C$173,"=3", $B$36:$B$173,"OFICIAL")</f>
        <v>0.56000000000000005</v>
      </c>
      <c r="LL26" s="342" t="s">
        <v>173</v>
      </c>
      <c r="LM26" s="342">
        <f t="shared" si="111"/>
        <v>0.56499999999999995</v>
      </c>
      <c r="LN26" s="342">
        <f t="shared" si="111"/>
        <v>0.59666666666666668</v>
      </c>
      <c r="LO26" s="342">
        <f t="shared" si="111"/>
        <v>0.42666666666666675</v>
      </c>
    </row>
    <row r="27" spans="1:327" ht="24.95" customHeight="1" x14ac:dyDescent="0.2">
      <c r="A27" s="6" t="s">
        <v>779</v>
      </c>
      <c r="B27" s="299"/>
      <c r="C27" s="299"/>
      <c r="D27" s="129">
        <f>AVERAGEIFS(D$36:D$173,$C$36:$C$173,"=4", $B$36:$B$173,"OFICIAL")</f>
        <v>50.5</v>
      </c>
      <c r="E27" s="129">
        <f>AVERAGEIFS(E$36:E$173,$C$36:$C$173,"=4", $B$36:$B$173,"OFICIAL")</f>
        <v>7.166666666666667</v>
      </c>
      <c r="F27" s="39">
        <f>AVERAGEIFS(F$36:F$173,$C$36:$C$173,"=4", $B$36:$B$173,"OFICIAL")</f>
        <v>0.10333333333333335</v>
      </c>
      <c r="G27" s="39">
        <f t="shared" ref="G27:AG27" si="112">AVERAGEIFS(G$36:G$173,$C$36:$C$173,"=4", $B$36:$B$173,"OFICIAL")</f>
        <v>0.66666666666666663</v>
      </c>
      <c r="H27" s="39">
        <f t="shared" si="112"/>
        <v>0.22666666666666666</v>
      </c>
      <c r="I27" s="39">
        <f t="shared" si="112"/>
        <v>3.3333333333333335E-3</v>
      </c>
      <c r="J27" s="39">
        <f t="shared" si="112"/>
        <v>0.42499999999999999</v>
      </c>
      <c r="K27" s="39">
        <f t="shared" si="112"/>
        <v>0.44999999999999996</v>
      </c>
      <c r="L27" s="39">
        <f t="shared" si="112"/>
        <v>0.81166666666666665</v>
      </c>
      <c r="M27" s="39">
        <f t="shared" si="112"/>
        <v>0.30499999999999999</v>
      </c>
      <c r="N27" s="39">
        <f t="shared" si="112"/>
        <v>0.36000000000000004</v>
      </c>
      <c r="O27" s="39">
        <f t="shared" si="112"/>
        <v>0.70166666666666666</v>
      </c>
      <c r="P27" s="39">
        <f t="shared" si="112"/>
        <v>0.36666666666666664</v>
      </c>
      <c r="Q27" s="39">
        <f t="shared" si="112"/>
        <v>0.5</v>
      </c>
      <c r="R27" s="39">
        <f t="shared" si="112"/>
        <v>0.59833333333333327</v>
      </c>
      <c r="S27" s="39">
        <f t="shared" si="112"/>
        <v>0.61166666666666658</v>
      </c>
      <c r="T27" s="39">
        <f t="shared" si="112"/>
        <v>0.53833333333333322</v>
      </c>
      <c r="U27" s="39">
        <f t="shared" si="112"/>
        <v>0.65666666666666662</v>
      </c>
      <c r="V27" s="39">
        <f t="shared" si="112"/>
        <v>0.11499999999999999</v>
      </c>
      <c r="W27" s="39">
        <f t="shared" si="112"/>
        <v>0.19333333333333336</v>
      </c>
      <c r="X27" s="39">
        <f t="shared" si="112"/>
        <v>0.55333333333333334</v>
      </c>
      <c r="Y27" s="39">
        <f t="shared" si="112"/>
        <v>0.5033333333333333</v>
      </c>
      <c r="Z27" s="39">
        <f t="shared" si="112"/>
        <v>0.9</v>
      </c>
      <c r="AA27" s="39">
        <f t="shared" si="112"/>
        <v>0.11333333333333334</v>
      </c>
      <c r="AB27" s="39">
        <f t="shared" si="112"/>
        <v>0.47666666666666674</v>
      </c>
      <c r="AC27" s="39">
        <f t="shared" si="112"/>
        <v>0.35499999999999998</v>
      </c>
      <c r="AD27" s="39">
        <f t="shared" si="112"/>
        <v>0.49333333333333335</v>
      </c>
      <c r="AE27" s="39">
        <f t="shared" si="112"/>
        <v>0.49</v>
      </c>
      <c r="AF27" s="39">
        <f t="shared" si="112"/>
        <v>0.57999999999999996</v>
      </c>
      <c r="AG27" s="39">
        <f t="shared" si="112"/>
        <v>0.55833333333333335</v>
      </c>
      <c r="AH27" s="129">
        <f>AVERAGEIFS(AH$36:AH$173,$C$36:$C$173,"=4", $B$36:$B$173,"OFICIAL")</f>
        <v>49.833333333333336</v>
      </c>
      <c r="AI27" s="129">
        <f>AVERAGEIFS(AI$36:AI$173,$C$36:$C$173,"=4", $B$36:$B$173,"OFICIAL")</f>
        <v>7.833333333333333</v>
      </c>
      <c r="AJ27" s="39">
        <f>AVERAGEIFS(AJ$36:AJ$173,$C$36:$C$173,"=4", $B$36:$B$173,"OFICIAL")</f>
        <v>0.125</v>
      </c>
      <c r="AK27" s="39">
        <f t="shared" ref="AK27:BL27" si="113">AVERAGEIFS(AK$36:AK$173,$C$36:$C$173,"=4", $B$36:$B$173,"OFICIAL")</f>
        <v>0.65</v>
      </c>
      <c r="AL27" s="39">
        <f t="shared" si="113"/>
        <v>0.21666666666666667</v>
      </c>
      <c r="AM27" s="39">
        <f t="shared" si="113"/>
        <v>0.01</v>
      </c>
      <c r="AN27" s="39">
        <f t="shared" si="113"/>
        <v>0.34833333333333338</v>
      </c>
      <c r="AO27" s="39">
        <f t="shared" si="113"/>
        <v>0.50000000000000011</v>
      </c>
      <c r="AP27" s="39">
        <f t="shared" si="113"/>
        <v>0.60666666666666658</v>
      </c>
      <c r="AQ27" s="39">
        <f t="shared" si="113"/>
        <v>0.47166666666666668</v>
      </c>
      <c r="AR27" s="39">
        <f t="shared" si="113"/>
        <v>0.60166666666666668</v>
      </c>
      <c r="AS27" s="39">
        <f t="shared" si="113"/>
        <v>0.54333333333333333</v>
      </c>
      <c r="AT27" s="39">
        <f t="shared" si="113"/>
        <v>0.54666666666666663</v>
      </c>
      <c r="AU27" s="39">
        <f t="shared" si="113"/>
        <v>0.55166666666666664</v>
      </c>
      <c r="AV27" s="39">
        <f t="shared" si="113"/>
        <v>0.63</v>
      </c>
      <c r="AW27" s="39">
        <f t="shared" si="113"/>
        <v>0.54333333333333333</v>
      </c>
      <c r="AX27" s="39">
        <f t="shared" si="113"/>
        <v>0.6283333333333333</v>
      </c>
      <c r="AY27" s="39">
        <f t="shared" si="113"/>
        <v>0.375</v>
      </c>
      <c r="AZ27" s="39">
        <f t="shared" si="113"/>
        <v>0.31</v>
      </c>
      <c r="BA27" s="39">
        <f t="shared" si="113"/>
        <v>0.52166666666666672</v>
      </c>
      <c r="BB27" s="39">
        <f t="shared" si="113"/>
        <v>0.67833333333333334</v>
      </c>
      <c r="BC27" s="39">
        <f t="shared" si="113"/>
        <v>0.68</v>
      </c>
      <c r="BD27" s="39">
        <f t="shared" si="113"/>
        <v>0.47333333333333338</v>
      </c>
      <c r="BE27" s="39">
        <f t="shared" si="113"/>
        <v>0.59166666666666667</v>
      </c>
      <c r="BF27" s="39">
        <f t="shared" si="113"/>
        <v>0.61166666666666669</v>
      </c>
      <c r="BG27" s="39">
        <f t="shared" si="113"/>
        <v>0.54666666666666675</v>
      </c>
      <c r="BH27" s="39">
        <f t="shared" si="113"/>
        <v>0.48166666666666663</v>
      </c>
      <c r="BI27" s="39">
        <f t="shared" si="113"/>
        <v>0.45666666666666661</v>
      </c>
      <c r="BJ27" s="39">
        <f t="shared" si="113"/>
        <v>0.39500000000000002</v>
      </c>
      <c r="BK27" s="39">
        <f t="shared" si="113"/>
        <v>0.49500000000000005</v>
      </c>
      <c r="BL27" s="39">
        <f t="shared" si="113"/>
        <v>0.59833333333333327</v>
      </c>
      <c r="BM27" s="129">
        <f>AVERAGEIFS(BM$36:BM$173,$C$36:$C$173,"=4", $B$36:$B$173,"OFICIAL")</f>
        <v>46.5</v>
      </c>
      <c r="BN27" s="129">
        <f>AVERAGEIFS(BN$36:BN$173,$C$36:$C$173,"=4", $B$36:$B$173,"OFICIAL")</f>
        <v>8</v>
      </c>
      <c r="BO27" s="39">
        <f>AVERAGEIFS(BO$36:BO$173,$C$36:$C$173,"=4", $B$36:$B$173,"OFICIAL")</f>
        <v>0.24666666666666667</v>
      </c>
      <c r="BP27" s="39">
        <f t="shared" ref="BP27:CR27" si="114">AVERAGEIFS(BP$36:BP$173,$C$36:$C$173,"=4", $B$36:$B$173,"OFICIAL")</f>
        <v>0.60833333333333339</v>
      </c>
      <c r="BQ27" s="39">
        <f t="shared" si="114"/>
        <v>0.1466666666666667</v>
      </c>
      <c r="BR27" s="39">
        <f t="shared" si="114"/>
        <v>1.6666666666666668E-3</v>
      </c>
      <c r="BS27" s="39">
        <f t="shared" si="114"/>
        <v>0.40666666666666668</v>
      </c>
      <c r="BT27" s="39">
        <f t="shared" si="114"/>
        <v>0.6150000000000001</v>
      </c>
      <c r="BU27" s="39">
        <f t="shared" si="114"/>
        <v>0.70166666666666666</v>
      </c>
      <c r="BV27" s="39">
        <f t="shared" si="114"/>
        <v>0.48666666666666664</v>
      </c>
      <c r="BW27" s="39">
        <f t="shared" si="114"/>
        <v>0.68</v>
      </c>
      <c r="BX27" s="39">
        <f t="shared" si="114"/>
        <v>0.46666666666666662</v>
      </c>
      <c r="BY27" s="39">
        <f t="shared" si="114"/>
        <v>0.5</v>
      </c>
      <c r="BZ27" s="39">
        <f t="shared" si="114"/>
        <v>0.58499999999999996</v>
      </c>
      <c r="CA27" s="39">
        <f t="shared" si="114"/>
        <v>0.53333333333333333</v>
      </c>
      <c r="CB27" s="39">
        <f t="shared" si="114"/>
        <v>0.48000000000000004</v>
      </c>
      <c r="CC27" s="39">
        <f t="shared" si="114"/>
        <v>0.30833333333333335</v>
      </c>
      <c r="CD27" s="39">
        <f t="shared" si="114"/>
        <v>0.51500000000000001</v>
      </c>
      <c r="CE27" s="39">
        <f t="shared" si="114"/>
        <v>0.4366666666666667</v>
      </c>
      <c r="CF27" s="39">
        <f t="shared" si="114"/>
        <v>0.63166666666666671</v>
      </c>
      <c r="CG27" s="39">
        <f t="shared" si="114"/>
        <v>0.66333333333333322</v>
      </c>
      <c r="CH27" s="39">
        <f t="shared" si="114"/>
        <v>0.52833333333333332</v>
      </c>
      <c r="CI27" s="39">
        <f t="shared" si="114"/>
        <v>0.66666666666666663</v>
      </c>
      <c r="CJ27" s="39">
        <f t="shared" si="114"/>
        <v>0.41833333333333328</v>
      </c>
      <c r="CK27" s="39">
        <f t="shared" si="114"/>
        <v>0.74500000000000011</v>
      </c>
      <c r="CL27" s="39">
        <f t="shared" si="114"/>
        <v>0.42833333333333329</v>
      </c>
      <c r="CM27" s="39">
        <f t="shared" si="114"/>
        <v>0.55500000000000005</v>
      </c>
      <c r="CN27" s="39">
        <f t="shared" si="114"/>
        <v>0.53666666666666663</v>
      </c>
      <c r="CO27" s="39">
        <f t="shared" si="114"/>
        <v>0.48833333333333334</v>
      </c>
      <c r="CP27" s="39">
        <f t="shared" si="114"/>
        <v>0.45333333333333331</v>
      </c>
      <c r="CQ27" s="39">
        <f t="shared" si="114"/>
        <v>0.58500000000000008</v>
      </c>
      <c r="CR27" s="39">
        <f t="shared" si="114"/>
        <v>0.61166666666666669</v>
      </c>
      <c r="CS27" s="129">
        <f>AVERAGEIFS(CS$36:CS$173,$C$36:$C$173,"=4", $B$36:$B$173,"OFICIAL")</f>
        <v>45.5</v>
      </c>
      <c r="CT27" s="129">
        <f>AVERAGEIFS(CT$36:CT$173,$C$36:$C$173,"=4", $B$36:$B$173,"OFICIAL")</f>
        <v>8.3333333333333339</v>
      </c>
      <c r="CU27" s="39">
        <f>AVERAGEIFS(CU$36:CU$173,$C$36:$C$173,"=4", $B$36:$B$173,"OFICIAL")</f>
        <v>0.27166666666666667</v>
      </c>
      <c r="CV27" s="39">
        <f t="shared" ref="CV27:DW27" si="115">AVERAGEIFS(CV$36:CV$173,$C$36:$C$173,"=4", $B$36:$B$173,"OFICIAL")</f>
        <v>0.61833333333333329</v>
      </c>
      <c r="CW27" s="39">
        <f t="shared" si="115"/>
        <v>0.11000000000000003</v>
      </c>
      <c r="CX27" s="39">
        <f t="shared" si="115"/>
        <v>1.6666666666666668E-3</v>
      </c>
      <c r="CY27" s="39">
        <f t="shared" si="115"/>
        <v>0.58333333333333337</v>
      </c>
      <c r="CZ27" s="39">
        <f t="shared" si="115"/>
        <v>0.37166666666666665</v>
      </c>
      <c r="DA27" s="39">
        <f t="shared" si="115"/>
        <v>0.61</v>
      </c>
      <c r="DB27" s="39">
        <f t="shared" si="115"/>
        <v>0.45</v>
      </c>
      <c r="DC27" s="39">
        <f t="shared" si="115"/>
        <v>0.5116666666666666</v>
      </c>
      <c r="DD27" s="39">
        <f t="shared" si="115"/>
        <v>0.64333333333333342</v>
      </c>
      <c r="DE27" s="39">
        <f t="shared" si="115"/>
        <v>0.53833333333333322</v>
      </c>
      <c r="DF27" s="39">
        <f t="shared" si="115"/>
        <v>0.60333333333333339</v>
      </c>
      <c r="DG27" s="39">
        <f t="shared" si="115"/>
        <v>0.52</v>
      </c>
      <c r="DH27" s="39">
        <f t="shared" si="115"/>
        <v>0.43</v>
      </c>
      <c r="DI27" s="39">
        <f t="shared" si="115"/>
        <v>0.63</v>
      </c>
      <c r="DJ27" s="39">
        <f t="shared" si="115"/>
        <v>0.57499999999999996</v>
      </c>
      <c r="DK27" s="39">
        <f t="shared" si="115"/>
        <v>0.45833333333333331</v>
      </c>
      <c r="DL27" s="39">
        <f t="shared" si="115"/>
        <v>0.47666666666666663</v>
      </c>
      <c r="DM27" s="39">
        <f t="shared" si="115"/>
        <v>0.59333333333333338</v>
      </c>
      <c r="DN27" s="39">
        <f t="shared" si="115"/>
        <v>0.54833333333333345</v>
      </c>
      <c r="DO27" s="39">
        <f t="shared" si="115"/>
        <v>0.49666666666666665</v>
      </c>
      <c r="DP27" s="39">
        <f t="shared" si="115"/>
        <v>0.52333333333333343</v>
      </c>
      <c r="DQ27" s="39">
        <f t="shared" si="115"/>
        <v>0.60666666666666658</v>
      </c>
      <c r="DR27" s="39">
        <f t="shared" si="115"/>
        <v>0.2583333333333333</v>
      </c>
      <c r="DS27" s="39">
        <f t="shared" si="115"/>
        <v>0.42333333333333334</v>
      </c>
      <c r="DT27" s="39">
        <f t="shared" si="115"/>
        <v>0.62</v>
      </c>
      <c r="DU27" s="39">
        <f t="shared" si="115"/>
        <v>0.59166666666666667</v>
      </c>
      <c r="DV27" s="39">
        <f t="shared" si="115"/>
        <v>0.65666666666666662</v>
      </c>
      <c r="DW27" s="39">
        <f t="shared" si="115"/>
        <v>0.39333333333333331</v>
      </c>
      <c r="DX27" s="129">
        <f>AVERAGEIFS(DX$36:DX$173,$C$36:$C$173,"=4", $B$36:$B$173,"OFICIAL")</f>
        <v>45.166666666666664</v>
      </c>
      <c r="DY27" s="129">
        <f>AVERAGEIFS(DY$36:DY$173,$C$36:$C$173,"=4", $B$36:$B$173,"OFICIAL")</f>
        <v>8.1666666666666661</v>
      </c>
      <c r="DZ27" s="39">
        <f>AVERAGEIFS(DZ$36:DZ$173,$C$36:$C$173,"=4", $B$36:$B$173,"OFICIAL")</f>
        <v>0.27499999999999997</v>
      </c>
      <c r="EA27" s="39">
        <f t="shared" ref="EA27:FA27" si="116">AVERAGEIFS(EA$36:EA$173,$C$36:$C$173,"=4", $B$36:$B$173,"OFICIAL")</f>
        <v>0.63166666666666671</v>
      </c>
      <c r="EB27" s="39">
        <f t="shared" si="116"/>
        <v>9.0000000000000011E-2</v>
      </c>
      <c r="EC27" s="39">
        <f t="shared" si="116"/>
        <v>1.6666666666666668E-3</v>
      </c>
      <c r="ED27" s="39">
        <f t="shared" si="116"/>
        <v>0.53666666666666674</v>
      </c>
      <c r="EE27" s="39">
        <f t="shared" si="116"/>
        <v>0.5033333333333333</v>
      </c>
      <c r="EF27" s="39">
        <f t="shared" si="116"/>
        <v>0.53333333333333333</v>
      </c>
      <c r="EG27" s="39">
        <f t="shared" si="116"/>
        <v>0.47166666666666662</v>
      </c>
      <c r="EH27" s="39">
        <f t="shared" si="116"/>
        <v>0.52999999999999992</v>
      </c>
      <c r="EI27" s="39">
        <f t="shared" si="116"/>
        <v>0.60166666666666668</v>
      </c>
      <c r="EJ27" s="39">
        <f t="shared" si="116"/>
        <v>0.6333333333333333</v>
      </c>
      <c r="EK27" s="39">
        <f t="shared" si="116"/>
        <v>0.37166666666666665</v>
      </c>
      <c r="EL27" s="39">
        <f t="shared" si="116"/>
        <v>0.52</v>
      </c>
      <c r="EM27" s="39">
        <f t="shared" si="116"/>
        <v>0.72666666666666668</v>
      </c>
      <c r="EN27" s="39">
        <f t="shared" si="116"/>
        <v>0.59166666666666667</v>
      </c>
      <c r="EO27" s="39">
        <f t="shared" si="116"/>
        <v>0.64333333333333342</v>
      </c>
      <c r="EP27" s="39">
        <f t="shared" si="116"/>
        <v>0.48333333333333334</v>
      </c>
      <c r="EQ27" s="39">
        <f t="shared" si="116"/>
        <v>0.43166666666666664</v>
      </c>
      <c r="ER27" s="39">
        <f t="shared" si="116"/>
        <v>0.65666666666666662</v>
      </c>
      <c r="ES27" s="39">
        <f t="shared" si="116"/>
        <v>0.56166666666666665</v>
      </c>
      <c r="ET27" s="39">
        <f t="shared" si="116"/>
        <v>0.42333333333333334</v>
      </c>
      <c r="EU27" s="39">
        <f t="shared" si="116"/>
        <v>0.72333333333333327</v>
      </c>
      <c r="EV27" s="39">
        <f t="shared" si="116"/>
        <v>0.49000000000000005</v>
      </c>
      <c r="EW27" s="39">
        <f t="shared" si="116"/>
        <v>0.37666666666666671</v>
      </c>
      <c r="EX27" s="39">
        <f t="shared" si="116"/>
        <v>0.69999999999999984</v>
      </c>
      <c r="EY27" s="39">
        <f t="shared" si="116"/>
        <v>0.64666666666666661</v>
      </c>
      <c r="EZ27" s="39">
        <f t="shared" si="116"/>
        <v>0.29166666666666669</v>
      </c>
      <c r="FA27" s="39">
        <f t="shared" si="116"/>
        <v>0.67499999999999993</v>
      </c>
      <c r="FB27" s="129">
        <f>AVERAGEIFS(FB$36:FB$173,$C$36:$C$173,"=4", $B$36:$B$173,"OFICIAL")</f>
        <v>46</v>
      </c>
      <c r="FD27" s="129">
        <f>AVERAGEIFS(FD$36:FD$173,$C$36:$C$173,"=4", $B$36:$B$173,"OFICIAL")</f>
        <v>7.333333333333333</v>
      </c>
      <c r="FF27" s="39">
        <f>AVERAGEIFS(FF$36:FF$173,$C$36:$C$173,"=4", $B$36:$B$173,"OFICIAL")</f>
        <v>0.26333333333333336</v>
      </c>
      <c r="FG27" s="39">
        <f t="shared" ref="FG27:GI27" si="117">AVERAGEIFS(FG$36:FG$173,$C$36:$C$173,"=4", $B$36:$B$173,"OFICIAL")</f>
        <v>0.625</v>
      </c>
      <c r="FH27" s="39">
        <f t="shared" si="117"/>
        <v>0.10666666666666665</v>
      </c>
      <c r="FI27" s="39">
        <f t="shared" si="117"/>
        <v>1.6666666666666668E-3</v>
      </c>
      <c r="FJ27" s="39">
        <f t="shared" si="117"/>
        <v>0.56333333333333335</v>
      </c>
      <c r="FK27" s="39">
        <f t="shared" si="117"/>
        <v>0.71666666666666667</v>
      </c>
      <c r="FL27" s="39">
        <f t="shared" si="117"/>
        <v>0.57500000000000007</v>
      </c>
      <c r="FM27" s="39">
        <f t="shared" si="117"/>
        <v>0.54500000000000004</v>
      </c>
      <c r="FN27" s="39">
        <f t="shared" si="117"/>
        <v>0.3833333333333333</v>
      </c>
      <c r="FO27" s="39">
        <f t="shared" si="117"/>
        <v>0.41333333333333333</v>
      </c>
      <c r="FP27" s="39">
        <f t="shared" si="117"/>
        <v>0.47333333333333333</v>
      </c>
      <c r="FQ27" s="39">
        <f t="shared" si="117"/>
        <v>0.45500000000000002</v>
      </c>
      <c r="FR27" s="39">
        <f t="shared" si="117"/>
        <v>0.65</v>
      </c>
      <c r="FS27" s="39">
        <f t="shared" si="117"/>
        <v>0.59499999999999997</v>
      </c>
      <c r="FT27" s="39">
        <f t="shared" si="117"/>
        <v>0.59</v>
      </c>
      <c r="FU27" s="39">
        <f t="shared" si="117"/>
        <v>0.47833333333333333</v>
      </c>
      <c r="FV27" s="39">
        <f t="shared" si="117"/>
        <v>0.69499999999999995</v>
      </c>
      <c r="FW27" s="39">
        <f t="shared" si="117"/>
        <v>0.63833333333333331</v>
      </c>
      <c r="FX27" s="39">
        <f t="shared" si="117"/>
        <v>0.56666666666666676</v>
      </c>
      <c r="FY27" s="39">
        <f t="shared" si="117"/>
        <v>0.44666666666666671</v>
      </c>
      <c r="FZ27" s="39">
        <f t="shared" si="117"/>
        <v>0.46333333333333337</v>
      </c>
      <c r="GA27" s="39">
        <f t="shared" si="117"/>
        <v>0.54666666666666675</v>
      </c>
      <c r="GB27" s="39">
        <f t="shared" si="117"/>
        <v>0.58833333333333337</v>
      </c>
      <c r="GC27" s="39">
        <f t="shared" si="117"/>
        <v>0.53</v>
      </c>
      <c r="GD27" s="39">
        <f t="shared" si="117"/>
        <v>0.64</v>
      </c>
      <c r="GE27" s="39">
        <f t="shared" si="117"/>
        <v>0.61333333333333329</v>
      </c>
      <c r="GF27" s="39">
        <f t="shared" si="117"/>
        <v>0.56999999999999995</v>
      </c>
      <c r="GG27" s="39">
        <f t="shared" si="117"/>
        <v>0.55666666666666675</v>
      </c>
      <c r="GH27" s="39">
        <f t="shared" si="117"/>
        <v>0.64666666666666661</v>
      </c>
      <c r="GI27" s="39">
        <f t="shared" si="117"/>
        <v>0.35166666666666674</v>
      </c>
      <c r="GJ27" s="129">
        <f>AVERAGEIFS(GJ$36:GJ$173,$C$36:$C$173,"=4", $B$36:$B$173,"OFICIAL")</f>
        <v>46.166666666666664</v>
      </c>
      <c r="GL27" s="129">
        <f>AVERAGEIFS(GL$36:GL$173,$C$36:$C$173,"=4", $B$36:$B$173,"OFICIAL")</f>
        <v>8.6666666666666661</v>
      </c>
      <c r="GN27" s="342">
        <f>AVERAGEIFS(GN$36:GN$173,$C$36:$C$173,"=4", $B$36:$B$173,"OFICIAL")</f>
        <v>0.27999999999999997</v>
      </c>
      <c r="GO27" s="342">
        <f t="shared" ref="GO27:HQ27" si="118">AVERAGEIFS(GO$36:GO$173,$C$36:$C$173,"=4", $B$36:$B$173,"OFICIAL")</f>
        <v>0.56999999999999995</v>
      </c>
      <c r="GP27" s="342">
        <f t="shared" si="118"/>
        <v>0.14833333333333334</v>
      </c>
      <c r="GQ27" s="342">
        <f t="shared" si="118"/>
        <v>3.3333333333333335E-3</v>
      </c>
      <c r="GR27" s="342">
        <f t="shared" si="118"/>
        <v>0.55833333333333335</v>
      </c>
      <c r="GS27" s="342">
        <f t="shared" si="118"/>
        <v>0.65333333333333332</v>
      </c>
      <c r="GT27" s="342">
        <f t="shared" si="118"/>
        <v>0.69166666666666654</v>
      </c>
      <c r="GU27" s="342">
        <f t="shared" si="118"/>
        <v>0.33833333333333337</v>
      </c>
      <c r="GV27" s="342">
        <f t="shared" si="118"/>
        <v>0.6066666666666668</v>
      </c>
      <c r="GW27" s="342">
        <f t="shared" si="118"/>
        <v>0.56666666666666676</v>
      </c>
      <c r="GX27" s="342">
        <f t="shared" si="118"/>
        <v>0.55999999999999994</v>
      </c>
      <c r="GY27" s="315" t="s">
        <v>173</v>
      </c>
      <c r="GZ27" s="342">
        <f t="shared" si="118"/>
        <v>0.40666666666666668</v>
      </c>
      <c r="HA27" s="342">
        <f t="shared" si="118"/>
        <v>0.61166666666666669</v>
      </c>
      <c r="HB27" s="342">
        <f t="shared" si="118"/>
        <v>0.55500000000000005</v>
      </c>
      <c r="HC27" s="342">
        <f t="shared" si="118"/>
        <v>0.59</v>
      </c>
      <c r="HD27" s="342">
        <f t="shared" si="118"/>
        <v>0.65</v>
      </c>
      <c r="HE27" s="342">
        <f t="shared" si="118"/>
        <v>0.55166666666666675</v>
      </c>
      <c r="HF27" s="342">
        <f t="shared" si="118"/>
        <v>0.56999999999999995</v>
      </c>
      <c r="HG27" s="342">
        <f t="shared" si="118"/>
        <v>0.69833333333333336</v>
      </c>
      <c r="HH27" s="342">
        <f t="shared" si="118"/>
        <v>0.49499999999999994</v>
      </c>
      <c r="HI27" s="342">
        <f t="shared" si="118"/>
        <v>0.63166666666666671</v>
      </c>
      <c r="HJ27" s="342">
        <f t="shared" si="118"/>
        <v>0.64666666666666672</v>
      </c>
      <c r="HK27" s="342">
        <f t="shared" si="118"/>
        <v>0.58833333333333337</v>
      </c>
      <c r="HL27" s="342">
        <f t="shared" si="118"/>
        <v>0.505</v>
      </c>
      <c r="HM27" s="342">
        <f t="shared" si="118"/>
        <v>0.57166666666666666</v>
      </c>
      <c r="HN27" s="342">
        <f t="shared" si="118"/>
        <v>0.55500000000000005</v>
      </c>
      <c r="HO27" s="342">
        <f t="shared" si="118"/>
        <v>0.52</v>
      </c>
      <c r="HP27" s="315" t="s">
        <v>173</v>
      </c>
      <c r="HQ27" s="342">
        <f t="shared" si="118"/>
        <v>0.49499999999999994</v>
      </c>
      <c r="HR27" s="129">
        <f>AVERAGEIFS(HR$36:HR$173,$C$36:$C$173,"=4", $B$36:$B$173,"OFICIAL")</f>
        <v>46.666666666666664</v>
      </c>
      <c r="HT27" s="129">
        <f>AVERAGEIFS(HT$36:HT$173,$C$36:$C$173,"=4", $B$36:$B$173,"OFICIAL")</f>
        <v>9.1666666666666661</v>
      </c>
      <c r="HV27" s="342">
        <f>AVERAGEIFS(HV$36:HV$173,$C$36:$C$173,"=4", $B$36:$B$173,"OFICIAL")</f>
        <v>0.28833333333333333</v>
      </c>
      <c r="HW27" s="342">
        <f t="shared" ref="HW27:IZ27" si="119">AVERAGEIFS(HW$36:HW$173,$C$36:$C$173,"=4", $B$36:$B$173,"OFICIAL")</f>
        <v>0.54166666666666663</v>
      </c>
      <c r="HX27" s="342">
        <f t="shared" si="119"/>
        <v>0.16333333333333333</v>
      </c>
      <c r="HY27" s="342">
        <f t="shared" si="119"/>
        <v>6.6666666666666671E-3</v>
      </c>
      <c r="HZ27" s="342">
        <f t="shared" si="119"/>
        <v>0.51666666666666672</v>
      </c>
      <c r="IA27" s="342">
        <f t="shared" si="119"/>
        <v>0.6166666666666667</v>
      </c>
      <c r="IB27" s="342">
        <f t="shared" si="119"/>
        <v>0.46499999999999991</v>
      </c>
      <c r="IC27" s="342">
        <f t="shared" si="119"/>
        <v>0.56166666666666665</v>
      </c>
      <c r="ID27" s="342">
        <f t="shared" si="119"/>
        <v>0.63166666666666671</v>
      </c>
      <c r="IE27" s="342">
        <f t="shared" si="119"/>
        <v>0.45833333333333331</v>
      </c>
      <c r="IF27" s="342">
        <f t="shared" si="119"/>
        <v>0.49833333333333329</v>
      </c>
      <c r="IG27" s="342">
        <f t="shared" si="119"/>
        <v>0.61666666666666659</v>
      </c>
      <c r="IH27" s="342">
        <f t="shared" si="119"/>
        <v>0.58666666666666667</v>
      </c>
      <c r="II27" s="342">
        <f t="shared" si="119"/>
        <v>0.45833333333333331</v>
      </c>
      <c r="IJ27" s="342">
        <f t="shared" si="119"/>
        <v>0.38833333333333336</v>
      </c>
      <c r="IK27" s="342">
        <f t="shared" si="119"/>
        <v>0.63833333333333331</v>
      </c>
      <c r="IL27" s="342">
        <f t="shared" si="119"/>
        <v>0.39166666666666661</v>
      </c>
      <c r="IM27" s="342">
        <f t="shared" si="119"/>
        <v>0.64333333333333331</v>
      </c>
      <c r="IN27" s="342">
        <f t="shared" si="119"/>
        <v>0.54499999999999993</v>
      </c>
      <c r="IO27" s="342">
        <f t="shared" si="119"/>
        <v>0.62</v>
      </c>
      <c r="IP27" s="342">
        <f t="shared" si="119"/>
        <v>0.53166666666666673</v>
      </c>
      <c r="IQ27" s="342">
        <f t="shared" si="119"/>
        <v>0.68833333333333313</v>
      </c>
      <c r="IR27" s="342">
        <f t="shared" si="119"/>
        <v>0.60499999999999998</v>
      </c>
      <c r="IS27" s="342">
        <f t="shared" si="119"/>
        <v>0.60333333333333339</v>
      </c>
      <c r="IT27" s="342">
        <f t="shared" si="119"/>
        <v>0.53666666666666674</v>
      </c>
      <c r="IU27" s="315" t="s">
        <v>173</v>
      </c>
      <c r="IV27" s="342">
        <f t="shared" si="119"/>
        <v>0.66500000000000004</v>
      </c>
      <c r="IW27" s="342">
        <f t="shared" si="119"/>
        <v>0.5099999999999999</v>
      </c>
      <c r="IX27" s="342">
        <f t="shared" si="119"/>
        <v>0.56499999999999995</v>
      </c>
      <c r="IY27" s="342">
        <f t="shared" si="119"/>
        <v>0.56500000000000006</v>
      </c>
      <c r="IZ27" s="490">
        <f t="shared" si="119"/>
        <v>47</v>
      </c>
      <c r="JA27" s="495"/>
      <c r="JB27" s="300">
        <f>AVERAGEIFS(JB$36:JB$173,$C$36:$C$173,"=4", $B$36:$B$173,"OFICIAL")</f>
        <v>8.3333333333333339</v>
      </c>
      <c r="JC27" s="495"/>
      <c r="JD27" s="343">
        <f>AVERAGEIFS(JD$36:JD$173,$C$36:$C$173,"=4", $B$36:$B$173,"OFICIAL")</f>
        <v>0.25833333333333336</v>
      </c>
      <c r="JE27" s="343">
        <f>AVERAGEIFS(JE$36:JE$173,$C$36:$C$173,"=4", $B$36:$B$173,"OFICIAL")</f>
        <v>0.57000000000000017</v>
      </c>
      <c r="JF27" s="343">
        <f>AVERAGEIFS(JF$36:JF$173,$C$36:$C$173,"=4", $B$36:$B$173,"OFICIAL")</f>
        <v>0.17333333333333334</v>
      </c>
      <c r="JG27" s="343">
        <f>AVERAGEIFS(JG$36:JG$173,$C$36:$C$173,"=4", $B$36:$B$173,"OFICIAL")</f>
        <v>0</v>
      </c>
      <c r="JH27" s="343">
        <f t="shared" ref="JH27:KC27" si="120">AVERAGEIFS(JH$36:JH$173,$C$36:$C$173,"=4", $B$36:$B$173,"OFICIAL")</f>
        <v>0.57333333333333336</v>
      </c>
      <c r="JI27" s="343">
        <f t="shared" si="120"/>
        <v>0.52500000000000002</v>
      </c>
      <c r="JJ27" s="343">
        <f t="shared" si="120"/>
        <v>0.52500000000000002</v>
      </c>
      <c r="JK27" s="343">
        <f t="shared" si="120"/>
        <v>0.58166666666666667</v>
      </c>
      <c r="JL27" s="343">
        <f t="shared" si="120"/>
        <v>0.58499999999999996</v>
      </c>
      <c r="JM27" s="343">
        <f t="shared" si="120"/>
        <v>0.56833333333333336</v>
      </c>
      <c r="JN27" s="343">
        <f t="shared" si="120"/>
        <v>0.54999999999999993</v>
      </c>
      <c r="JO27" s="343">
        <f t="shared" si="120"/>
        <v>0.54499999999999993</v>
      </c>
      <c r="JP27" s="343">
        <f t="shared" si="120"/>
        <v>0.62166666666666659</v>
      </c>
      <c r="JQ27" s="343">
        <f t="shared" si="120"/>
        <v>0.33166666666666667</v>
      </c>
      <c r="JR27" s="343">
        <f t="shared" si="120"/>
        <v>0.66833333333333345</v>
      </c>
      <c r="JS27" s="343">
        <f t="shared" si="120"/>
        <v>0.64333333333333331</v>
      </c>
      <c r="JT27" s="343">
        <f t="shared" si="120"/>
        <v>0.51166666666666671</v>
      </c>
      <c r="JU27" s="343">
        <f t="shared" si="120"/>
        <v>0.62333333333333341</v>
      </c>
      <c r="JV27" s="343">
        <f t="shared" si="120"/>
        <v>0.58833333333333337</v>
      </c>
      <c r="JW27" s="343">
        <f t="shared" si="120"/>
        <v>0.52999999999999992</v>
      </c>
      <c r="JX27" s="343">
        <f t="shared" si="120"/>
        <v>0.51833333333333331</v>
      </c>
      <c r="JY27" s="343">
        <f t="shared" si="120"/>
        <v>0.56333333333333335</v>
      </c>
      <c r="JZ27" s="343">
        <f t="shared" si="120"/>
        <v>0.49000000000000005</v>
      </c>
      <c r="KA27" s="343">
        <f t="shared" si="120"/>
        <v>0.56666666666666665</v>
      </c>
      <c r="KB27" s="343">
        <f t="shared" si="120"/>
        <v>0.57166666666666666</v>
      </c>
      <c r="KC27" s="343">
        <f t="shared" si="120"/>
        <v>0.71333333333333326</v>
      </c>
      <c r="KD27" s="343">
        <f>AVERAGEIFS(KD$36:KD$173,$C$36:$C$173,"=4", $B$36:$B$173,"OFICIAL")</f>
        <v>0.44666666666666671</v>
      </c>
      <c r="KE27" s="343">
        <f>AVERAGEIFS(KE$36:KE$173,$C$36:$C$173,"=4", $B$36:$B$173,"OFICIAL")</f>
        <v>0.53333333333333333</v>
      </c>
      <c r="KF27" s="343">
        <f>AVERAGEIFS(KF$36:KF$173,$C$36:$C$173,"=4", $B$36:$B$173,"OFICIAL")</f>
        <v>0.5</v>
      </c>
      <c r="KG27" s="343">
        <f>AVERAGEIFS(KG$36:KG$173,$C$36:$C$173,"=4", $B$36:$B$173,"OFICIAL")</f>
        <v>0.60833333333333328</v>
      </c>
      <c r="KH27" s="129">
        <f>AVERAGEIFS(KH$36:KH$173,$C$36:$C$173,"=4", $B$36:$B$173,"OFICIAL")</f>
        <v>48.166666666666664</v>
      </c>
      <c r="KI27" s="970"/>
      <c r="KJ27" s="129">
        <f>AVERAGEIFS(KJ$36:KJ$173,$C$36:$C$173,"=4", $B$36:$B$173,"OFICIAL")</f>
        <v>9</v>
      </c>
      <c r="KK27" s="970"/>
      <c r="KL27" s="342">
        <f>AVERAGEIFS(KL$36:KL$173,$C$36:$C$173,"=4", $B$36:$B$173,"OFICIAL")</f>
        <v>0.22333333333333336</v>
      </c>
      <c r="KM27" s="342">
        <f t="shared" ref="KM27:LO27" si="121">AVERAGEIFS(KM$36:KM$173,$C$36:$C$173,"=4", $B$36:$B$173,"OFICIAL")</f>
        <v>0.57666666666666666</v>
      </c>
      <c r="KN27" s="342">
        <f t="shared" si="121"/>
        <v>0.18500000000000003</v>
      </c>
      <c r="KO27" s="342">
        <f t="shared" si="121"/>
        <v>1.4999999999999999E-2</v>
      </c>
      <c r="KP27" s="342">
        <f t="shared" si="121"/>
        <v>0.56500000000000006</v>
      </c>
      <c r="KQ27" s="342">
        <f t="shared" si="121"/>
        <v>0.36000000000000004</v>
      </c>
      <c r="KR27" s="342">
        <f t="shared" si="121"/>
        <v>0.64833333333333332</v>
      </c>
      <c r="KS27" s="342">
        <f t="shared" si="121"/>
        <v>0.56333333333333335</v>
      </c>
      <c r="KT27" s="342">
        <f t="shared" si="121"/>
        <v>0.6216666666666667</v>
      </c>
      <c r="KU27" s="342">
        <f t="shared" si="121"/>
        <v>0.45500000000000002</v>
      </c>
      <c r="KV27" s="342">
        <f t="shared" si="121"/>
        <v>0.70333333333333348</v>
      </c>
      <c r="KW27" s="342">
        <f t="shared" si="121"/>
        <v>0.44333333333333336</v>
      </c>
      <c r="KX27" s="342">
        <f t="shared" si="121"/>
        <v>0.40499999999999997</v>
      </c>
      <c r="KY27" s="342">
        <f t="shared" si="121"/>
        <v>0.59</v>
      </c>
      <c r="KZ27" s="342">
        <f t="shared" si="121"/>
        <v>0.50166666666666659</v>
      </c>
      <c r="LA27" s="342">
        <f t="shared" si="121"/>
        <v>0.4933333333333334</v>
      </c>
      <c r="LB27" s="342">
        <f t="shared" si="121"/>
        <v>0.47666666666666663</v>
      </c>
      <c r="LC27" s="342">
        <f t="shared" si="121"/>
        <v>0.41833333333333339</v>
      </c>
      <c r="LD27" s="342">
        <f t="shared" si="121"/>
        <v>0.63166666666666671</v>
      </c>
      <c r="LE27" s="342">
        <f t="shared" si="121"/>
        <v>0.59666666666666668</v>
      </c>
      <c r="LF27" s="342">
        <f t="shared" si="121"/>
        <v>0.37666666666666671</v>
      </c>
      <c r="LG27" s="342">
        <f t="shared" si="121"/>
        <v>0.52166666666666661</v>
      </c>
      <c r="LH27" s="342">
        <f t="shared" si="121"/>
        <v>0.59833333333333327</v>
      </c>
      <c r="LI27" s="342">
        <f t="shared" si="121"/>
        <v>0.51833333333333342</v>
      </c>
      <c r="LJ27" s="342">
        <f t="shared" si="121"/>
        <v>0.47</v>
      </c>
      <c r="LK27" s="342">
        <f>AVERAGEIFS(LK$36:LK$173,$C$36:$C$173,"=4", $B$36:$B$173,"OFICIAL")</f>
        <v>0.61333333333333329</v>
      </c>
      <c r="LL27" s="342" t="s">
        <v>173</v>
      </c>
      <c r="LM27" s="342">
        <f t="shared" si="121"/>
        <v>0.61166666666666658</v>
      </c>
      <c r="LN27" s="342">
        <f t="shared" si="121"/>
        <v>0.68166666666666664</v>
      </c>
      <c r="LO27" s="342">
        <f t="shared" si="121"/>
        <v>0.505</v>
      </c>
    </row>
    <row r="28" spans="1:327" ht="24.95" customHeight="1" x14ac:dyDescent="0.2">
      <c r="A28" s="6" t="s">
        <v>780</v>
      </c>
      <c r="B28" s="299"/>
      <c r="C28" s="299"/>
      <c r="D28" s="129">
        <f>AVERAGEIFS(D$36:D$173,$C$36:$C$173,"=5", $B$36:$B$173,"OFICIAL")</f>
        <v>54.333333333333336</v>
      </c>
      <c r="E28" s="129">
        <f>AVERAGEIFS(E$36:E$173,$C$36:$C$173,"=5", $B$36:$B$173,"OFICIAL")</f>
        <v>7</v>
      </c>
      <c r="F28" s="39">
        <f>AVERAGEIFS(F$36:F$173,$C$36:$C$173,"=5", $B$36:$B$173,"OFICIAL")</f>
        <v>3.3333333333333333E-2</v>
      </c>
      <c r="G28" s="39">
        <f t="shared" ref="G28:AG28" si="122">AVERAGEIFS(G$36:G$173,$C$36:$C$173,"=5", $B$36:$B$173,"OFICIAL")</f>
        <v>0.53999999999999992</v>
      </c>
      <c r="H28" s="39">
        <f t="shared" si="122"/>
        <v>0.41666666666666669</v>
      </c>
      <c r="I28" s="39">
        <f t="shared" si="122"/>
        <v>6.6666666666666671E-3</v>
      </c>
      <c r="J28" s="39">
        <f t="shared" si="122"/>
        <v>0.33</v>
      </c>
      <c r="K28" s="39">
        <f t="shared" si="122"/>
        <v>0.39666666666666667</v>
      </c>
      <c r="L28" s="39">
        <f t="shared" si="122"/>
        <v>0.69999999999999984</v>
      </c>
      <c r="M28" s="39">
        <f t="shared" si="122"/>
        <v>0.20333333333333334</v>
      </c>
      <c r="N28" s="39">
        <f t="shared" si="122"/>
        <v>0.27</v>
      </c>
      <c r="O28" s="39">
        <f t="shared" si="122"/>
        <v>0.56333333333333335</v>
      </c>
      <c r="P28" s="39">
        <f t="shared" si="122"/>
        <v>0.28666666666666668</v>
      </c>
      <c r="Q28" s="39">
        <f t="shared" si="122"/>
        <v>0.37000000000000005</v>
      </c>
      <c r="R28" s="39">
        <f t="shared" si="122"/>
        <v>0.53</v>
      </c>
      <c r="S28" s="39">
        <f t="shared" si="122"/>
        <v>0.57999999999999996</v>
      </c>
      <c r="T28" s="39">
        <f t="shared" si="122"/>
        <v>0.43</v>
      </c>
      <c r="U28" s="39">
        <f t="shared" si="122"/>
        <v>0.57333333333333336</v>
      </c>
      <c r="V28" s="39">
        <f t="shared" si="122"/>
        <v>3.6666666666666667E-2</v>
      </c>
      <c r="W28" s="39">
        <f t="shared" si="122"/>
        <v>0.10999999999999999</v>
      </c>
      <c r="X28" s="39">
        <f t="shared" si="122"/>
        <v>0.5033333333333333</v>
      </c>
      <c r="Y28" s="39">
        <f t="shared" si="122"/>
        <v>0.5</v>
      </c>
      <c r="Z28" s="39">
        <f t="shared" si="122"/>
        <v>0.58333333333333337</v>
      </c>
      <c r="AA28" s="39">
        <f t="shared" si="122"/>
        <v>0.11</v>
      </c>
      <c r="AB28" s="39">
        <f t="shared" si="122"/>
        <v>0.39666666666666667</v>
      </c>
      <c r="AC28" s="39">
        <f t="shared" si="122"/>
        <v>0.19999999999999998</v>
      </c>
      <c r="AD28" s="39">
        <f t="shared" si="122"/>
        <v>0.42666666666666669</v>
      </c>
      <c r="AE28" s="39">
        <f t="shared" si="122"/>
        <v>0.38666666666666671</v>
      </c>
      <c r="AF28" s="39">
        <f t="shared" si="122"/>
        <v>0.55999999999999994</v>
      </c>
      <c r="AG28" s="39">
        <f t="shared" si="122"/>
        <v>0.5</v>
      </c>
      <c r="AH28" s="129">
        <f>AVERAGEIFS(AH$36:AH$173,$C$36:$C$173,"=5", $B$36:$B$173,"OFICIAL")</f>
        <v>53.333333333333336</v>
      </c>
      <c r="AI28" s="129">
        <f>AVERAGEIFS(AI$36:AI$173,$C$36:$C$173,"=5", $B$36:$B$173,"OFICIAL")</f>
        <v>7.666666666666667</v>
      </c>
      <c r="AJ28" s="39">
        <f>AVERAGEIFS(AJ$36:AJ$173,$C$36:$C$173,"=5", $B$36:$B$173,"OFICIAL")</f>
        <v>7.3333333333333334E-2</v>
      </c>
      <c r="AK28" s="39">
        <f t="shared" ref="AK28:BL28" si="123">AVERAGEIFS(AK$36:AK$173,$C$36:$C$173,"=5", $B$36:$B$173,"OFICIAL")</f>
        <v>0.51999999999999991</v>
      </c>
      <c r="AL28" s="39">
        <f t="shared" si="123"/>
        <v>0.39333333333333337</v>
      </c>
      <c r="AM28" s="39">
        <f t="shared" si="123"/>
        <v>1.3333333333333334E-2</v>
      </c>
      <c r="AN28" s="39">
        <f t="shared" si="123"/>
        <v>0.26999999999999996</v>
      </c>
      <c r="AO28" s="39">
        <f t="shared" si="123"/>
        <v>0.46333333333333332</v>
      </c>
      <c r="AP28" s="39">
        <f t="shared" si="123"/>
        <v>0.56666666666666665</v>
      </c>
      <c r="AQ28" s="39">
        <f t="shared" si="123"/>
        <v>0.35666666666666669</v>
      </c>
      <c r="AR28" s="39">
        <f t="shared" si="123"/>
        <v>0.54333333333333333</v>
      </c>
      <c r="AS28" s="39">
        <f t="shared" si="123"/>
        <v>0.49</v>
      </c>
      <c r="AT28" s="39">
        <f t="shared" si="123"/>
        <v>0.52333333333333332</v>
      </c>
      <c r="AU28" s="39">
        <f t="shared" si="123"/>
        <v>0.5</v>
      </c>
      <c r="AV28" s="39">
        <f t="shared" si="123"/>
        <v>0.59</v>
      </c>
      <c r="AW28" s="39">
        <f t="shared" si="123"/>
        <v>0.49666666666666659</v>
      </c>
      <c r="AX28" s="39">
        <f t="shared" si="123"/>
        <v>0.54</v>
      </c>
      <c r="AY28" s="39">
        <f t="shared" si="123"/>
        <v>0.28333333333333327</v>
      </c>
      <c r="AZ28" s="39">
        <f t="shared" si="123"/>
        <v>0.27333333333333337</v>
      </c>
      <c r="BA28" s="39">
        <f t="shared" si="123"/>
        <v>0.48666666666666664</v>
      </c>
      <c r="BB28" s="39">
        <f t="shared" si="123"/>
        <v>0.66333333333333322</v>
      </c>
      <c r="BC28" s="39">
        <f t="shared" si="123"/>
        <v>0.6433333333333332</v>
      </c>
      <c r="BD28" s="39">
        <f t="shared" si="123"/>
        <v>0.38999999999999996</v>
      </c>
      <c r="BE28" s="39">
        <f t="shared" si="123"/>
        <v>0.51666666666666661</v>
      </c>
      <c r="BF28" s="39">
        <f t="shared" si="123"/>
        <v>0.51333333333333331</v>
      </c>
      <c r="BG28" s="39">
        <f t="shared" si="123"/>
        <v>0.47666666666666663</v>
      </c>
      <c r="BH28" s="39">
        <f t="shared" si="123"/>
        <v>0.40000000000000008</v>
      </c>
      <c r="BI28" s="39">
        <f t="shared" si="123"/>
        <v>0.38333333333333336</v>
      </c>
      <c r="BJ28" s="39">
        <f t="shared" si="123"/>
        <v>0.32666666666666666</v>
      </c>
      <c r="BK28" s="39">
        <f t="shared" si="123"/>
        <v>0.43</v>
      </c>
      <c r="BL28" s="39">
        <f t="shared" si="123"/>
        <v>0.36333333333333334</v>
      </c>
      <c r="BM28" s="129">
        <f>AVERAGEIFS(BM$36:BM$173,$C$36:$C$173,"=5", $B$36:$B$173,"OFICIAL")</f>
        <v>50.666666666666664</v>
      </c>
      <c r="BN28" s="129">
        <f>AVERAGEIFS(BN$36:BN$173,$C$36:$C$173,"=5", $B$36:$B$173,"OFICIAL")</f>
        <v>8.3333333333333339</v>
      </c>
      <c r="BO28" s="39">
        <f>AVERAGEIFS(BO$36:BO$173,$C$36:$C$173,"=5", $B$36:$B$173,"OFICIAL")</f>
        <v>0.11666666666666668</v>
      </c>
      <c r="BP28" s="39">
        <f t="shared" ref="BP28:CR28" si="124">AVERAGEIFS(BP$36:BP$173,$C$36:$C$173,"=5", $B$36:$B$173,"OFICIAL")</f>
        <v>0.60666666666666669</v>
      </c>
      <c r="BQ28" s="39">
        <f t="shared" si="124"/>
        <v>0.27333333333333337</v>
      </c>
      <c r="BR28" s="39">
        <f t="shared" si="124"/>
        <v>1.3333333333333334E-2</v>
      </c>
      <c r="BS28" s="39">
        <f t="shared" si="124"/>
        <v>0.32</v>
      </c>
      <c r="BT28" s="39">
        <f t="shared" si="124"/>
        <v>0.57000000000000006</v>
      </c>
      <c r="BU28" s="39">
        <f t="shared" si="124"/>
        <v>0.66</v>
      </c>
      <c r="BV28" s="39">
        <f t="shared" si="124"/>
        <v>0.28999999999999998</v>
      </c>
      <c r="BW28" s="39">
        <f t="shared" si="124"/>
        <v>0.64333333333333342</v>
      </c>
      <c r="BX28" s="39">
        <f t="shared" si="124"/>
        <v>0.33666666666666667</v>
      </c>
      <c r="BY28" s="39">
        <f t="shared" si="124"/>
        <v>0.44</v>
      </c>
      <c r="BZ28" s="39">
        <f t="shared" si="124"/>
        <v>0.52</v>
      </c>
      <c r="CA28" s="39">
        <f t="shared" si="124"/>
        <v>0.43999999999999995</v>
      </c>
      <c r="CB28" s="39">
        <f t="shared" si="124"/>
        <v>0.36333333333333334</v>
      </c>
      <c r="CC28" s="39">
        <f t="shared" si="124"/>
        <v>0.19666666666666668</v>
      </c>
      <c r="CD28" s="39">
        <f t="shared" si="124"/>
        <v>0.42666666666666669</v>
      </c>
      <c r="CE28" s="39">
        <f t="shared" si="124"/>
        <v>0.34333333333333332</v>
      </c>
      <c r="CF28" s="39">
        <f t="shared" si="124"/>
        <v>0.63666666666666671</v>
      </c>
      <c r="CG28" s="39">
        <f t="shared" si="124"/>
        <v>0.63</v>
      </c>
      <c r="CH28" s="39">
        <f t="shared" si="124"/>
        <v>0.43333333333333329</v>
      </c>
      <c r="CI28" s="39">
        <f t="shared" si="124"/>
        <v>0.55666666666666664</v>
      </c>
      <c r="CJ28" s="39">
        <f t="shared" si="124"/>
        <v>0.32666666666666666</v>
      </c>
      <c r="CK28" s="39">
        <f t="shared" si="124"/>
        <v>0.70666666666666667</v>
      </c>
      <c r="CL28" s="39">
        <f t="shared" si="124"/>
        <v>0.28333333333333338</v>
      </c>
      <c r="CM28" s="39">
        <f t="shared" si="124"/>
        <v>0.41666666666666669</v>
      </c>
      <c r="CN28" s="39">
        <f t="shared" si="124"/>
        <v>0.4466666666666666</v>
      </c>
      <c r="CO28" s="39">
        <f t="shared" si="124"/>
        <v>0.45666666666666672</v>
      </c>
      <c r="CP28" s="39">
        <f t="shared" si="124"/>
        <v>0.37333333333333335</v>
      </c>
      <c r="CQ28" s="39">
        <f t="shared" si="124"/>
        <v>0.55333333333333334</v>
      </c>
      <c r="CR28" s="39">
        <f t="shared" si="124"/>
        <v>0.56999999999999995</v>
      </c>
      <c r="CS28" s="129">
        <f>AVERAGEIFS(CS$36:CS$173,$C$36:$C$173,"=5", $B$36:$B$173,"OFICIAL")</f>
        <v>51.333333333333336</v>
      </c>
      <c r="CT28" s="129">
        <f>AVERAGEIFS(CT$36:CT$173,$C$36:$C$173,"=5", $B$36:$B$173,"OFICIAL")</f>
        <v>8.3333333333333339</v>
      </c>
      <c r="CU28" s="39">
        <f>AVERAGEIFS(CU$36:CU$173,$C$36:$C$173,"=5", $B$36:$B$173,"OFICIAL")</f>
        <v>0.10666666666666669</v>
      </c>
      <c r="CV28" s="39">
        <f t="shared" ref="CV28:DW28" si="125">AVERAGEIFS(CV$36:CV$173,$C$36:$C$173,"=5", $B$36:$B$173,"OFICIAL")</f>
        <v>0.61</v>
      </c>
      <c r="CW28" s="39">
        <f t="shared" si="125"/>
        <v>0.26666666666666666</v>
      </c>
      <c r="CX28" s="39">
        <f t="shared" si="125"/>
        <v>1.6666666666666666E-2</v>
      </c>
      <c r="CY28" s="39">
        <f t="shared" si="125"/>
        <v>0.47</v>
      </c>
      <c r="CZ28" s="39">
        <f t="shared" si="125"/>
        <v>0.27333333333333332</v>
      </c>
      <c r="DA28" s="39">
        <f t="shared" si="125"/>
        <v>0.55333333333333334</v>
      </c>
      <c r="DB28" s="39">
        <f t="shared" si="125"/>
        <v>0.3133333333333333</v>
      </c>
      <c r="DC28" s="39">
        <f t="shared" si="125"/>
        <v>0.42666666666666669</v>
      </c>
      <c r="DD28" s="39">
        <f t="shared" si="125"/>
        <v>0.62666666666666671</v>
      </c>
      <c r="DE28" s="39">
        <f t="shared" si="125"/>
        <v>0.45</v>
      </c>
      <c r="DF28" s="39">
        <f t="shared" si="125"/>
        <v>0.52333333333333332</v>
      </c>
      <c r="DG28" s="39">
        <f t="shared" si="125"/>
        <v>0.43999999999999995</v>
      </c>
      <c r="DH28" s="39">
        <f t="shared" si="125"/>
        <v>0.35000000000000003</v>
      </c>
      <c r="DI28" s="39">
        <f t="shared" si="125"/>
        <v>0.49000000000000005</v>
      </c>
      <c r="DJ28" s="39">
        <f t="shared" si="125"/>
        <v>0.45999999999999996</v>
      </c>
      <c r="DK28" s="39">
        <f t="shared" si="125"/>
        <v>0.35000000000000003</v>
      </c>
      <c r="DL28" s="39">
        <f t="shared" si="125"/>
        <v>0.3133333333333333</v>
      </c>
      <c r="DM28" s="39">
        <f t="shared" si="125"/>
        <v>0.47000000000000003</v>
      </c>
      <c r="DN28" s="39">
        <f t="shared" si="125"/>
        <v>0.48333333333333334</v>
      </c>
      <c r="DO28" s="39">
        <f t="shared" si="125"/>
        <v>0.39999999999999997</v>
      </c>
      <c r="DP28" s="39">
        <f t="shared" si="125"/>
        <v>0.4433333333333333</v>
      </c>
      <c r="DQ28" s="39">
        <f t="shared" si="125"/>
        <v>0.53666666666666663</v>
      </c>
      <c r="DR28" s="39">
        <f t="shared" si="125"/>
        <v>0.19000000000000003</v>
      </c>
      <c r="DS28" s="39">
        <f t="shared" si="125"/>
        <v>0.36000000000000004</v>
      </c>
      <c r="DT28" s="39">
        <f t="shared" si="125"/>
        <v>0.58666666666666667</v>
      </c>
      <c r="DU28" s="39">
        <f t="shared" si="125"/>
        <v>0.49</v>
      </c>
      <c r="DV28" s="39">
        <f t="shared" si="125"/>
        <v>0.56333333333333335</v>
      </c>
      <c r="DW28" s="39">
        <f t="shared" si="125"/>
        <v>0.33</v>
      </c>
      <c r="DX28" s="129">
        <f>AVERAGEIFS(DX$36:DX$173,$C$36:$C$173,"=5", $B$36:$B$173,"OFICIAL")</f>
        <v>51.666666666666664</v>
      </c>
      <c r="DY28" s="129">
        <f>AVERAGEIFS(DY$36:DY$173,$C$36:$C$173,"=5", $B$36:$B$173,"OFICIAL")</f>
        <v>8</v>
      </c>
      <c r="DZ28" s="39">
        <f>AVERAGEIFS(DZ$36:DZ$173,$C$36:$C$173,"=5", $B$36:$B$173,"OFICIAL")</f>
        <v>0.11666666666666668</v>
      </c>
      <c r="EA28" s="39">
        <f t="shared" ref="EA28:FA28" si="126">AVERAGEIFS(EA$36:EA$173,$C$36:$C$173,"=5", $B$36:$B$173,"OFICIAL")</f>
        <v>0.52</v>
      </c>
      <c r="EB28" s="39">
        <f t="shared" si="126"/>
        <v>0.34666666666666668</v>
      </c>
      <c r="EC28" s="39">
        <f t="shared" si="126"/>
        <v>1.6666666666666666E-2</v>
      </c>
      <c r="ED28" s="39">
        <f t="shared" si="126"/>
        <v>0.43333333333333329</v>
      </c>
      <c r="EE28" s="39">
        <f t="shared" si="126"/>
        <v>0.41666666666666669</v>
      </c>
      <c r="EF28" s="39">
        <f t="shared" si="126"/>
        <v>0.49666666666666659</v>
      </c>
      <c r="EG28" s="39">
        <f t="shared" si="126"/>
        <v>0.34666666666666668</v>
      </c>
      <c r="EH28" s="39">
        <f t="shared" si="126"/>
        <v>0.38333333333333336</v>
      </c>
      <c r="EI28" s="39">
        <f t="shared" si="126"/>
        <v>0.48</v>
      </c>
      <c r="EJ28" s="39">
        <f t="shared" si="126"/>
        <v>0.54333333333333333</v>
      </c>
      <c r="EK28" s="39">
        <f t="shared" si="126"/>
        <v>0.24</v>
      </c>
      <c r="EL28" s="39">
        <f t="shared" si="126"/>
        <v>0.39666666666666667</v>
      </c>
      <c r="EM28" s="39">
        <f t="shared" si="126"/>
        <v>0.59666666666666668</v>
      </c>
      <c r="EN28" s="39">
        <f t="shared" si="126"/>
        <v>0.41666666666666669</v>
      </c>
      <c r="EO28" s="39">
        <f t="shared" si="126"/>
        <v>0.55333333333333334</v>
      </c>
      <c r="EP28" s="39">
        <f t="shared" si="126"/>
        <v>0.31</v>
      </c>
      <c r="EQ28" s="39">
        <f t="shared" si="126"/>
        <v>0.19999999999999998</v>
      </c>
      <c r="ER28" s="39">
        <f t="shared" si="126"/>
        <v>0.60666666666666669</v>
      </c>
      <c r="ES28" s="39">
        <f t="shared" si="126"/>
        <v>0.42333333333333334</v>
      </c>
      <c r="ET28" s="39">
        <f t="shared" si="126"/>
        <v>0.28999999999999998</v>
      </c>
      <c r="EU28" s="39">
        <f t="shared" si="126"/>
        <v>0.56666666666666665</v>
      </c>
      <c r="EV28" s="39">
        <f t="shared" si="126"/>
        <v>0.34333333333333332</v>
      </c>
      <c r="EW28" s="39">
        <f t="shared" si="126"/>
        <v>0.27333333333333337</v>
      </c>
      <c r="EX28" s="39">
        <f t="shared" si="126"/>
        <v>0.60666666666666669</v>
      </c>
      <c r="EY28" s="39">
        <f t="shared" si="126"/>
        <v>0.56666666666666665</v>
      </c>
      <c r="EZ28" s="39">
        <f t="shared" si="126"/>
        <v>0.18333333333333335</v>
      </c>
      <c r="FA28" s="39">
        <f t="shared" si="126"/>
        <v>0.56999999999999995</v>
      </c>
      <c r="FB28" s="129">
        <f>AVERAGEIFS(FB$36:FB$173,$C$36:$C$173,"=5", $B$36:$B$173,"OFICIAL")</f>
        <v>50.333333333333336</v>
      </c>
      <c r="FD28" s="129">
        <f>AVERAGEIFS(FD$36:FD$173,$C$36:$C$173,"=5", $B$36:$B$173,"OFICIAL")</f>
        <v>8</v>
      </c>
      <c r="FF28" s="39">
        <f>AVERAGEIFS(FF$36:FF$173,$C$36:$C$173,"=5", $B$36:$B$173,"OFICIAL")</f>
        <v>0.13333333333333333</v>
      </c>
      <c r="FG28" s="39">
        <f t="shared" ref="FG28:GI28" si="127">AVERAGEIFS(FG$36:FG$173,$C$36:$C$173,"=5", $B$36:$B$173,"OFICIAL")</f>
        <v>0.59333333333333338</v>
      </c>
      <c r="FH28" s="39">
        <f t="shared" si="127"/>
        <v>0.28000000000000003</v>
      </c>
      <c r="FI28" s="39">
        <f t="shared" si="127"/>
        <v>0</v>
      </c>
      <c r="FJ28" s="39">
        <f t="shared" si="127"/>
        <v>0.45</v>
      </c>
      <c r="FK28" s="39">
        <f t="shared" si="127"/>
        <v>0.67</v>
      </c>
      <c r="FL28" s="39">
        <f t="shared" si="127"/>
        <v>0.46666666666666662</v>
      </c>
      <c r="FM28" s="39">
        <f t="shared" si="127"/>
        <v>0.40666666666666668</v>
      </c>
      <c r="FN28" s="39">
        <f t="shared" si="127"/>
        <v>0.27666666666666667</v>
      </c>
      <c r="FO28" s="39">
        <f t="shared" si="127"/>
        <v>0.31</v>
      </c>
      <c r="FP28" s="39">
        <f t="shared" si="127"/>
        <v>0.3666666666666667</v>
      </c>
      <c r="FQ28" s="39">
        <f t="shared" si="127"/>
        <v>0.41</v>
      </c>
      <c r="FR28" s="39">
        <f t="shared" si="127"/>
        <v>0.6</v>
      </c>
      <c r="FS28" s="39">
        <f t="shared" si="127"/>
        <v>0.48</v>
      </c>
      <c r="FT28" s="39">
        <f t="shared" si="127"/>
        <v>0.49333333333333335</v>
      </c>
      <c r="FU28" s="39">
        <f t="shared" si="127"/>
        <v>0.36000000000000004</v>
      </c>
      <c r="FV28" s="39">
        <f t="shared" si="127"/>
        <v>0.6</v>
      </c>
      <c r="FW28" s="39">
        <f t="shared" si="127"/>
        <v>0.55666666666666664</v>
      </c>
      <c r="FX28" s="39">
        <f t="shared" si="127"/>
        <v>0.43333333333333335</v>
      </c>
      <c r="FY28" s="39">
        <f t="shared" si="127"/>
        <v>0.33666666666666667</v>
      </c>
      <c r="FZ28" s="39">
        <f t="shared" si="127"/>
        <v>0.41333333333333333</v>
      </c>
      <c r="GA28" s="39">
        <f t="shared" si="127"/>
        <v>0.49</v>
      </c>
      <c r="GB28" s="39">
        <f t="shared" si="127"/>
        <v>0.55333333333333334</v>
      </c>
      <c r="GC28" s="39">
        <f t="shared" si="127"/>
        <v>0.43999999999999995</v>
      </c>
      <c r="GD28" s="39">
        <f t="shared" si="127"/>
        <v>0.58666666666666667</v>
      </c>
      <c r="GE28" s="39">
        <f t="shared" si="127"/>
        <v>0.54999999999999993</v>
      </c>
      <c r="GF28" s="39">
        <f t="shared" si="127"/>
        <v>0.45666666666666672</v>
      </c>
      <c r="GG28" s="39">
        <f t="shared" si="127"/>
        <v>0.4466666666666666</v>
      </c>
      <c r="GH28" s="39">
        <f t="shared" si="127"/>
        <v>0.53666666666666674</v>
      </c>
      <c r="GI28" s="39">
        <f t="shared" si="127"/>
        <v>0.27</v>
      </c>
      <c r="GJ28" s="129">
        <f>AVERAGEIFS(GJ$36:GJ$173,$C$36:$C$173,"=5", $B$36:$B$173,"OFICIAL")</f>
        <v>52.666666666666664</v>
      </c>
      <c r="GL28" s="129">
        <f>AVERAGEIFS(GL$36:GL$173,$C$36:$C$173,"=5", $B$36:$B$173,"OFICIAL")</f>
        <v>8.3333333333333339</v>
      </c>
      <c r="GN28" s="342">
        <f>AVERAGEIFS(GN$36:GN$173,$C$36:$C$173,"=5", $B$36:$B$173,"OFICIAL")</f>
        <v>8.666666666666667E-2</v>
      </c>
      <c r="GO28" s="342">
        <f t="shared" ref="GO28:HQ28" si="128">AVERAGEIFS(GO$36:GO$173,$C$36:$C$173,"=5", $B$36:$B$173,"OFICIAL")</f>
        <v>0.52999999999999992</v>
      </c>
      <c r="GP28" s="342">
        <f t="shared" si="128"/>
        <v>0.35000000000000003</v>
      </c>
      <c r="GQ28" s="342">
        <f t="shared" si="128"/>
        <v>3.3333333333333333E-2</v>
      </c>
      <c r="GR28" s="342">
        <f t="shared" si="128"/>
        <v>0.43999999999999995</v>
      </c>
      <c r="GS28" s="342">
        <f t="shared" si="128"/>
        <v>0.48</v>
      </c>
      <c r="GT28" s="342">
        <f t="shared" si="128"/>
        <v>0.57999999999999996</v>
      </c>
      <c r="GU28" s="342">
        <f t="shared" si="128"/>
        <v>0.22999999999999998</v>
      </c>
      <c r="GV28" s="342">
        <f t="shared" si="128"/>
        <v>0.52</v>
      </c>
      <c r="GW28" s="342">
        <f t="shared" si="128"/>
        <v>0.42666666666666669</v>
      </c>
      <c r="GX28" s="342">
        <f t="shared" si="128"/>
        <v>0.42666666666666669</v>
      </c>
      <c r="GY28" s="315" t="s">
        <v>173</v>
      </c>
      <c r="GZ28" s="342">
        <f t="shared" si="128"/>
        <v>0.28999999999999998</v>
      </c>
      <c r="HA28" s="342">
        <f t="shared" si="128"/>
        <v>0.62666666666666671</v>
      </c>
      <c r="HB28" s="342">
        <f t="shared" si="128"/>
        <v>0.42666666666666669</v>
      </c>
      <c r="HC28" s="342">
        <f t="shared" si="128"/>
        <v>0.49666666666666665</v>
      </c>
      <c r="HD28" s="342">
        <f t="shared" si="128"/>
        <v>0.51666666666666661</v>
      </c>
      <c r="HE28" s="342">
        <f t="shared" si="128"/>
        <v>0.40333333333333332</v>
      </c>
      <c r="HF28" s="342">
        <f t="shared" si="128"/>
        <v>0.43999999999999995</v>
      </c>
      <c r="HG28" s="342">
        <f t="shared" si="128"/>
        <v>0.64666666666666661</v>
      </c>
      <c r="HH28" s="342">
        <f t="shared" si="128"/>
        <v>0.34333333333333332</v>
      </c>
      <c r="HI28" s="342">
        <f t="shared" si="128"/>
        <v>0.49333333333333335</v>
      </c>
      <c r="HJ28" s="342">
        <f t="shared" si="128"/>
        <v>0.56333333333333335</v>
      </c>
      <c r="HK28" s="342">
        <f t="shared" si="128"/>
        <v>0.47666666666666674</v>
      </c>
      <c r="HL28" s="342">
        <f t="shared" si="128"/>
        <v>0.39333333333333337</v>
      </c>
      <c r="HM28" s="342">
        <f t="shared" si="128"/>
        <v>0.45666666666666672</v>
      </c>
      <c r="HN28" s="342">
        <f t="shared" si="128"/>
        <v>0.46666666666666662</v>
      </c>
      <c r="HO28" s="342">
        <f t="shared" si="128"/>
        <v>0.37999999999999995</v>
      </c>
      <c r="HP28" s="315" t="s">
        <v>173</v>
      </c>
      <c r="HQ28" s="342">
        <f t="shared" si="128"/>
        <v>0.35000000000000003</v>
      </c>
      <c r="HR28" s="129">
        <f>AVERAGEIFS(HR$36:HR$173,$C$36:$C$173,"=5", $B$36:$B$173,"OFICIAL")</f>
        <v>52</v>
      </c>
      <c r="HT28" s="129">
        <f>AVERAGEIFS(HT$36:HT$173,$C$36:$C$173,"=5", $B$36:$B$173,"OFICIAL")</f>
        <v>8.3333333333333339</v>
      </c>
      <c r="HV28" s="342">
        <f>AVERAGEIFS(HV$36:HV$173,$C$36:$C$173,"=5", $B$36:$B$173,"OFICIAL")</f>
        <v>0.10333333333333333</v>
      </c>
      <c r="HW28" s="342">
        <f t="shared" ref="HW28:IZ28" si="129">AVERAGEIFS(HW$36:HW$173,$C$36:$C$173,"=5", $B$36:$B$173,"OFICIAL")</f>
        <v>0.53999999999999992</v>
      </c>
      <c r="HX28" s="342">
        <f t="shared" si="129"/>
        <v>0.33666666666666667</v>
      </c>
      <c r="HY28" s="342">
        <f t="shared" si="129"/>
        <v>1.6666666666666666E-2</v>
      </c>
      <c r="HZ28" s="342">
        <f t="shared" si="129"/>
        <v>0.38999999999999996</v>
      </c>
      <c r="IA28" s="342">
        <f t="shared" si="129"/>
        <v>0.51666666666666672</v>
      </c>
      <c r="IB28" s="342">
        <f t="shared" si="129"/>
        <v>0.32</v>
      </c>
      <c r="IC28" s="342">
        <f t="shared" si="129"/>
        <v>0.48</v>
      </c>
      <c r="ID28" s="342">
        <f t="shared" si="129"/>
        <v>0.64</v>
      </c>
      <c r="IE28" s="342">
        <f t="shared" si="129"/>
        <v>0.31666666666666665</v>
      </c>
      <c r="IF28" s="342">
        <f t="shared" si="129"/>
        <v>0.39333333333333331</v>
      </c>
      <c r="IG28" s="342">
        <f t="shared" si="129"/>
        <v>0.53</v>
      </c>
      <c r="IH28" s="342">
        <f t="shared" si="129"/>
        <v>0.51333333333333331</v>
      </c>
      <c r="II28" s="342">
        <f t="shared" si="129"/>
        <v>0.31</v>
      </c>
      <c r="IJ28" s="342">
        <f t="shared" si="129"/>
        <v>0.26</v>
      </c>
      <c r="IK28" s="342">
        <f t="shared" si="129"/>
        <v>0.55999999999999994</v>
      </c>
      <c r="IL28" s="342">
        <f t="shared" si="129"/>
        <v>0.3</v>
      </c>
      <c r="IM28" s="342">
        <f t="shared" si="129"/>
        <v>0.58666666666666678</v>
      </c>
      <c r="IN28" s="342">
        <f t="shared" si="129"/>
        <v>0.46333333333333332</v>
      </c>
      <c r="IO28" s="342">
        <f t="shared" si="129"/>
        <v>0.52</v>
      </c>
      <c r="IP28" s="342">
        <f t="shared" si="129"/>
        <v>0.37666666666666671</v>
      </c>
      <c r="IQ28" s="342">
        <f t="shared" si="129"/>
        <v>0.64</v>
      </c>
      <c r="IR28" s="342">
        <f t="shared" si="129"/>
        <v>0.49333333333333335</v>
      </c>
      <c r="IS28" s="342">
        <f t="shared" si="129"/>
        <v>0.49</v>
      </c>
      <c r="IT28" s="342">
        <f t="shared" si="129"/>
        <v>0.42666666666666658</v>
      </c>
      <c r="IU28" s="315" t="s">
        <v>173</v>
      </c>
      <c r="IV28" s="342">
        <f t="shared" si="129"/>
        <v>0.64333333333333342</v>
      </c>
      <c r="IW28" s="342">
        <f t="shared" si="129"/>
        <v>0.39333333333333331</v>
      </c>
      <c r="IX28" s="342">
        <f t="shared" si="129"/>
        <v>0.47666666666666663</v>
      </c>
      <c r="IY28" s="342">
        <f t="shared" si="129"/>
        <v>0.48666666666666664</v>
      </c>
      <c r="IZ28" s="490">
        <f t="shared" si="129"/>
        <v>52.666666666666664</v>
      </c>
      <c r="JA28" s="495"/>
      <c r="JB28" s="300">
        <f>AVERAGEIFS(JB$36:JB$173,$C$36:$C$173,"=5", $B$36:$B$173,"OFICIAL")</f>
        <v>9</v>
      </c>
      <c r="JC28" s="495"/>
      <c r="JD28" s="343">
        <f>AVERAGEIFS(JD$36:JD$173,$C$36:$C$173,"=5", $B$36:$B$173,"OFICIAL")</f>
        <v>9.6666666666666665E-2</v>
      </c>
      <c r="JE28" s="343">
        <f>AVERAGEIFS(JE$36:JE$173,$C$36:$C$173,"=5", $B$36:$B$173,"OFICIAL")</f>
        <v>0.49333333333333335</v>
      </c>
      <c r="JF28" s="343">
        <f>AVERAGEIFS(JF$36:JF$173,$C$36:$C$173,"=5", $B$36:$B$173,"OFICIAL")</f>
        <v>0.38666666666666671</v>
      </c>
      <c r="JG28" s="343">
        <f>AVERAGEIFS(JG$36:JG$173,$C$36:$C$173,"=5", $B$36:$B$173,"OFICIAL")</f>
        <v>0.02</v>
      </c>
      <c r="JH28" s="343">
        <f t="shared" ref="JH28:KC28" si="130">AVERAGEIFS(JH$36:JH$173,$C$36:$C$173,"=5", $B$36:$B$173,"OFICIAL")</f>
        <v>0.47</v>
      </c>
      <c r="JI28" s="343">
        <f t="shared" si="130"/>
        <v>0.4366666666666667</v>
      </c>
      <c r="JJ28" s="343">
        <f t="shared" si="130"/>
        <v>0.38666666666666666</v>
      </c>
      <c r="JK28" s="343">
        <f t="shared" si="130"/>
        <v>0.48333333333333334</v>
      </c>
      <c r="JL28" s="343">
        <f t="shared" si="130"/>
        <v>0.48333333333333334</v>
      </c>
      <c r="JM28" s="343">
        <f t="shared" si="130"/>
        <v>0.4366666666666667</v>
      </c>
      <c r="JN28" s="343">
        <f t="shared" si="130"/>
        <v>0.37999999999999995</v>
      </c>
      <c r="JO28" s="343">
        <f t="shared" si="130"/>
        <v>0.43</v>
      </c>
      <c r="JP28" s="343">
        <f t="shared" si="130"/>
        <v>0.52</v>
      </c>
      <c r="JQ28" s="343">
        <f t="shared" si="130"/>
        <v>0.24666666666666667</v>
      </c>
      <c r="JR28" s="343">
        <f t="shared" si="130"/>
        <v>0.55666666666666664</v>
      </c>
      <c r="JS28" s="343">
        <f t="shared" si="130"/>
        <v>0.53333333333333333</v>
      </c>
      <c r="JT28" s="343">
        <f t="shared" si="130"/>
        <v>0.39333333333333331</v>
      </c>
      <c r="JU28" s="343">
        <f t="shared" si="130"/>
        <v>0.51</v>
      </c>
      <c r="JV28" s="343">
        <f t="shared" si="130"/>
        <v>0.45666666666666672</v>
      </c>
      <c r="JW28" s="343">
        <f t="shared" si="130"/>
        <v>0.4366666666666667</v>
      </c>
      <c r="JX28" s="343">
        <f t="shared" si="130"/>
        <v>0.39333333333333331</v>
      </c>
      <c r="JY28" s="343">
        <f t="shared" si="130"/>
        <v>0.46333333333333337</v>
      </c>
      <c r="JZ28" s="343">
        <f t="shared" si="130"/>
        <v>0.44999999999999996</v>
      </c>
      <c r="KA28" s="343">
        <f t="shared" si="130"/>
        <v>0.56333333333333335</v>
      </c>
      <c r="KB28" s="343">
        <f t="shared" si="130"/>
        <v>0.41666666666666669</v>
      </c>
      <c r="KC28" s="343">
        <f t="shared" si="130"/>
        <v>0.65</v>
      </c>
      <c r="KD28" s="343">
        <f>AVERAGEIFS(KD$36:KD$173,$C$36:$C$173,"=5", $B$36:$B$173,"OFICIAL")</f>
        <v>0.32333333333333331</v>
      </c>
      <c r="KE28" s="343">
        <f>AVERAGEIFS(KE$36:KE$173,$C$36:$C$173,"=5", $B$36:$B$173,"OFICIAL")</f>
        <v>0.46666666666666662</v>
      </c>
      <c r="KF28" s="343">
        <f>AVERAGEIFS(KF$36:KF$173,$C$36:$C$173,"=5", $B$36:$B$173,"OFICIAL")</f>
        <v>0.46333333333333332</v>
      </c>
      <c r="KG28" s="343">
        <f>AVERAGEIFS(KG$36:KG$173,$C$36:$C$173,"=5", $B$36:$B$173,"OFICIAL")</f>
        <v>0.49333333333333335</v>
      </c>
      <c r="KH28" s="129">
        <f>AVERAGEIFS(KH$36:KH$173,$C$36:$C$173,"=5", $B$36:$B$173,"OFICIAL")</f>
        <v>53.666666666666664</v>
      </c>
      <c r="KI28" s="970"/>
      <c r="KJ28" s="129">
        <f>AVERAGEIFS(KJ$36:KJ$173,$C$36:$C$173,"=5", $B$36:$B$173,"OFICIAL")</f>
        <v>9.3333333333333339</v>
      </c>
      <c r="KK28" s="970"/>
      <c r="KL28" s="342">
        <f>AVERAGEIFS(KL$36:KL$173,$C$36:$C$173,"=5", $B$36:$B$173,"OFICIAL")</f>
        <v>9.6666666666666679E-2</v>
      </c>
      <c r="KM28" s="342">
        <f t="shared" ref="KM28:LO28" si="131">AVERAGEIFS(KM$36:KM$173,$C$36:$C$173,"=5", $B$36:$B$173,"OFICIAL")</f>
        <v>0.47666666666666663</v>
      </c>
      <c r="KN28" s="342">
        <f t="shared" si="131"/>
        <v>0.38666666666666666</v>
      </c>
      <c r="KO28" s="342">
        <f t="shared" si="131"/>
        <v>3.3333333333333333E-2</v>
      </c>
      <c r="KP28" s="342">
        <f t="shared" si="131"/>
        <v>0.48333333333333334</v>
      </c>
      <c r="KQ28" s="342">
        <f t="shared" si="131"/>
        <v>0.23666666666666669</v>
      </c>
      <c r="KR28" s="342">
        <f t="shared" si="131"/>
        <v>0.52999999999999992</v>
      </c>
      <c r="KS28" s="342">
        <f t="shared" si="131"/>
        <v>0.43999999999999995</v>
      </c>
      <c r="KT28" s="342">
        <f t="shared" si="131"/>
        <v>0.54333333333333333</v>
      </c>
      <c r="KU28" s="342">
        <f t="shared" si="131"/>
        <v>0.33666666666666667</v>
      </c>
      <c r="KV28" s="342">
        <f t="shared" si="131"/>
        <v>0.56999999999999995</v>
      </c>
      <c r="KW28" s="342">
        <f t="shared" si="131"/>
        <v>0.32</v>
      </c>
      <c r="KX28" s="342">
        <f t="shared" si="131"/>
        <v>0.31666666666666671</v>
      </c>
      <c r="KY28" s="342">
        <f t="shared" si="131"/>
        <v>0.52</v>
      </c>
      <c r="KZ28" s="342">
        <f t="shared" si="131"/>
        <v>0.3666666666666667</v>
      </c>
      <c r="LA28" s="342">
        <f t="shared" si="131"/>
        <v>0.35666666666666669</v>
      </c>
      <c r="LB28" s="342">
        <f t="shared" si="131"/>
        <v>0.32333333333333331</v>
      </c>
      <c r="LC28" s="342">
        <f t="shared" si="131"/>
        <v>0.35333333333333333</v>
      </c>
      <c r="LD28" s="342">
        <f t="shared" si="131"/>
        <v>0.51</v>
      </c>
      <c r="LE28" s="342">
        <f t="shared" si="131"/>
        <v>0.4466666666666666</v>
      </c>
      <c r="LF28" s="342">
        <f t="shared" si="131"/>
        <v>0.28333333333333333</v>
      </c>
      <c r="LG28" s="342">
        <f t="shared" si="131"/>
        <v>0.41666666666666669</v>
      </c>
      <c r="LH28" s="342">
        <f t="shared" si="131"/>
        <v>0.53666666666666674</v>
      </c>
      <c r="LI28" s="342">
        <f t="shared" si="131"/>
        <v>0.46333333333333332</v>
      </c>
      <c r="LJ28" s="342">
        <f t="shared" si="131"/>
        <v>0.35333333333333333</v>
      </c>
      <c r="LK28" s="342">
        <f>AVERAGEIFS(LK$36:LK$173,$C$36:$C$173,"=5", $B$36:$B$173,"OFICIAL")</f>
        <v>0.52333333333333332</v>
      </c>
      <c r="LL28" s="342" t="s">
        <v>173</v>
      </c>
      <c r="LM28" s="342">
        <f t="shared" si="131"/>
        <v>0.54666666666666675</v>
      </c>
      <c r="LN28" s="342">
        <f t="shared" si="131"/>
        <v>0.55333333333333334</v>
      </c>
      <c r="LO28" s="342">
        <f t="shared" si="131"/>
        <v>0.40666666666666668</v>
      </c>
    </row>
    <row r="29" spans="1:327" ht="24.95" customHeight="1" x14ac:dyDescent="0.2">
      <c r="A29" s="6" t="s">
        <v>781</v>
      </c>
      <c r="B29" s="299"/>
      <c r="C29" s="299"/>
      <c r="D29" s="129">
        <f>AVERAGEIFS(D$36:D$173,$C$36:$C$173,"=6", $B$36:$B$173,"OFICIAL")</f>
        <v>53</v>
      </c>
      <c r="E29" s="129">
        <f>AVERAGEIFS(E$36:E$173,$C$36:$C$173,"=6", $B$36:$B$173,"OFICIAL")</f>
        <v>7.25</v>
      </c>
      <c r="F29" s="39">
        <f>AVERAGEIFS(F$36:F$173,$C$36:$C$173,"=6", $B$36:$B$173,"OFICIAL")</f>
        <v>4.4999999999999998E-2</v>
      </c>
      <c r="G29" s="39">
        <f t="shared" ref="G29:AG29" si="132">AVERAGEIFS(G$36:G$173,$C$36:$C$173,"=6", $B$36:$B$173,"OFICIAL")</f>
        <v>0.62</v>
      </c>
      <c r="H29" s="39">
        <f t="shared" si="132"/>
        <v>0.33250000000000002</v>
      </c>
      <c r="I29" s="39">
        <f t="shared" si="132"/>
        <v>0</v>
      </c>
      <c r="J29" s="39">
        <f t="shared" si="132"/>
        <v>0.41249999999999998</v>
      </c>
      <c r="K29" s="39">
        <f t="shared" si="132"/>
        <v>0.40749999999999997</v>
      </c>
      <c r="L29" s="39">
        <f t="shared" si="132"/>
        <v>0.72</v>
      </c>
      <c r="M29" s="39">
        <f t="shared" si="132"/>
        <v>0.22749999999999998</v>
      </c>
      <c r="N29" s="39">
        <f t="shared" si="132"/>
        <v>0.32500000000000001</v>
      </c>
      <c r="O29" s="39">
        <f t="shared" si="132"/>
        <v>0.60750000000000004</v>
      </c>
      <c r="P29" s="39">
        <f t="shared" si="132"/>
        <v>0.36749999999999994</v>
      </c>
      <c r="Q29" s="39">
        <f t="shared" si="132"/>
        <v>0.40499999999999997</v>
      </c>
      <c r="R29" s="39">
        <f t="shared" si="132"/>
        <v>0.53500000000000003</v>
      </c>
      <c r="S29" s="39">
        <f t="shared" si="132"/>
        <v>0.59</v>
      </c>
      <c r="T29" s="39">
        <f t="shared" si="132"/>
        <v>0.48</v>
      </c>
      <c r="U29" s="39">
        <f t="shared" si="132"/>
        <v>0.63</v>
      </c>
      <c r="V29" s="39">
        <f t="shared" si="132"/>
        <v>6.5000000000000002E-2</v>
      </c>
      <c r="W29" s="39">
        <f t="shared" si="132"/>
        <v>0.19750000000000001</v>
      </c>
      <c r="X29" s="39">
        <f t="shared" si="132"/>
        <v>0.50750000000000006</v>
      </c>
      <c r="Y29" s="39">
        <f t="shared" si="132"/>
        <v>0.52750000000000008</v>
      </c>
      <c r="Z29" s="39">
        <f t="shared" si="132"/>
        <v>0.75</v>
      </c>
      <c r="AA29" s="39">
        <f t="shared" si="132"/>
        <v>0.1225</v>
      </c>
      <c r="AB29" s="39">
        <f t="shared" si="132"/>
        <v>0.41499999999999998</v>
      </c>
      <c r="AC29" s="39">
        <f t="shared" si="132"/>
        <v>0.27500000000000002</v>
      </c>
      <c r="AD29" s="39">
        <f t="shared" si="132"/>
        <v>0.45750000000000002</v>
      </c>
      <c r="AE29" s="39">
        <f t="shared" si="132"/>
        <v>0.41500000000000004</v>
      </c>
      <c r="AF29" s="39">
        <f t="shared" si="132"/>
        <v>0.55249999999999999</v>
      </c>
      <c r="AG29" s="39">
        <f t="shared" si="132"/>
        <v>0.47749999999999998</v>
      </c>
      <c r="AH29" s="129">
        <f>AVERAGEIFS(AH$36:AH$173,$C$36:$C$173,"=6", $B$36:$B$173,"OFICIAL")</f>
        <v>52</v>
      </c>
      <c r="AI29" s="129">
        <f>AVERAGEIFS(AI$36:AI$173,$C$36:$C$173,"=6", $B$36:$B$173,"OFICIAL")</f>
        <v>7.75</v>
      </c>
      <c r="AJ29" s="39">
        <f>AVERAGEIFS(AJ$36:AJ$173,$C$36:$C$173,"=6", $B$36:$B$173,"OFICIAL")</f>
        <v>9.2499999999999999E-2</v>
      </c>
      <c r="AK29" s="39">
        <f t="shared" ref="AK29:BL29" si="133">AVERAGEIFS(AK$36:AK$173,$C$36:$C$173,"=6", $B$36:$B$173,"OFICIAL")</f>
        <v>0.5625</v>
      </c>
      <c r="AL29" s="39">
        <f t="shared" si="133"/>
        <v>0.34499999999999997</v>
      </c>
      <c r="AM29" s="39">
        <f t="shared" si="133"/>
        <v>2.5000000000000001E-3</v>
      </c>
      <c r="AN29" s="39">
        <f t="shared" si="133"/>
        <v>0.3</v>
      </c>
      <c r="AO29" s="39">
        <f t="shared" si="133"/>
        <v>0.46750000000000003</v>
      </c>
      <c r="AP29" s="39">
        <f t="shared" si="133"/>
        <v>0.6</v>
      </c>
      <c r="AQ29" s="39">
        <f t="shared" si="133"/>
        <v>0.39</v>
      </c>
      <c r="AR29" s="39">
        <f t="shared" si="133"/>
        <v>0.5475000000000001</v>
      </c>
      <c r="AS29" s="39">
        <f t="shared" si="133"/>
        <v>0.5</v>
      </c>
      <c r="AT29" s="39">
        <f t="shared" si="133"/>
        <v>0.51750000000000007</v>
      </c>
      <c r="AU29" s="39">
        <f t="shared" si="133"/>
        <v>0.54499999999999993</v>
      </c>
      <c r="AV29" s="39">
        <f t="shared" si="133"/>
        <v>0.65250000000000008</v>
      </c>
      <c r="AW29" s="39">
        <f t="shared" si="133"/>
        <v>0.47499999999999998</v>
      </c>
      <c r="AX29" s="39">
        <f t="shared" si="133"/>
        <v>0.57750000000000001</v>
      </c>
      <c r="AY29" s="39">
        <f t="shared" si="133"/>
        <v>0.3075</v>
      </c>
      <c r="AZ29" s="39">
        <f t="shared" si="133"/>
        <v>0.31000000000000005</v>
      </c>
      <c r="BA29" s="39">
        <f t="shared" si="133"/>
        <v>0.49</v>
      </c>
      <c r="BB29" s="39">
        <f t="shared" si="133"/>
        <v>0.66500000000000004</v>
      </c>
      <c r="BC29" s="39">
        <f t="shared" si="133"/>
        <v>0.65999999999999992</v>
      </c>
      <c r="BD29" s="39">
        <f t="shared" si="133"/>
        <v>0.39749999999999996</v>
      </c>
      <c r="BE29" s="39">
        <f t="shared" si="133"/>
        <v>0.53500000000000003</v>
      </c>
      <c r="BF29" s="39">
        <f t="shared" si="133"/>
        <v>0.61250000000000004</v>
      </c>
      <c r="BG29" s="39">
        <f t="shared" si="133"/>
        <v>0.51750000000000007</v>
      </c>
      <c r="BH29" s="39">
        <f t="shared" si="133"/>
        <v>0.42749999999999999</v>
      </c>
      <c r="BI29" s="39">
        <f t="shared" si="133"/>
        <v>0.43000000000000005</v>
      </c>
      <c r="BJ29" s="39">
        <f t="shared" si="133"/>
        <v>0.375</v>
      </c>
      <c r="BK29" s="39">
        <f t="shared" si="133"/>
        <v>0.46749999999999997</v>
      </c>
      <c r="BL29" s="39">
        <f t="shared" si="133"/>
        <v>0.45250000000000001</v>
      </c>
      <c r="BM29" s="129">
        <f>AVERAGEIFS(BM$36:BM$173,$C$36:$C$173,"=6", $B$36:$B$173,"OFICIAL")</f>
        <v>50.25</v>
      </c>
      <c r="BN29" s="129">
        <f>AVERAGEIFS(BN$36:BN$173,$C$36:$C$173,"=6", $B$36:$B$173,"OFICIAL")</f>
        <v>8</v>
      </c>
      <c r="BO29" s="39">
        <f>AVERAGEIFS(BO$36:BO$173,$C$36:$C$173,"=6", $B$36:$B$173,"OFICIAL")</f>
        <v>0.115</v>
      </c>
      <c r="BP29" s="39">
        <f t="shared" ref="BP29:CR29" si="134">AVERAGEIFS(BP$36:BP$173,$C$36:$C$173,"=6", $B$36:$B$173,"OFICIAL")</f>
        <v>0.62999999999999989</v>
      </c>
      <c r="BQ29" s="39">
        <f t="shared" si="134"/>
        <v>0.2525</v>
      </c>
      <c r="BR29" s="39">
        <f t="shared" si="134"/>
        <v>2.5000000000000001E-3</v>
      </c>
      <c r="BS29" s="39">
        <f t="shared" si="134"/>
        <v>0.33500000000000002</v>
      </c>
      <c r="BT29" s="39">
        <f t="shared" si="134"/>
        <v>0.62</v>
      </c>
      <c r="BU29" s="39">
        <f t="shared" si="134"/>
        <v>0.65999999999999992</v>
      </c>
      <c r="BV29" s="39">
        <f t="shared" si="134"/>
        <v>0.3775</v>
      </c>
      <c r="BW29" s="39">
        <f t="shared" si="134"/>
        <v>0.64500000000000002</v>
      </c>
      <c r="BX29" s="39">
        <f t="shared" si="134"/>
        <v>0.33999999999999997</v>
      </c>
      <c r="BY29" s="39">
        <f t="shared" si="134"/>
        <v>0.43</v>
      </c>
      <c r="BZ29" s="39">
        <f t="shared" si="134"/>
        <v>0.53</v>
      </c>
      <c r="CA29" s="39">
        <f t="shared" si="134"/>
        <v>0.50249999999999995</v>
      </c>
      <c r="CB29" s="39">
        <f t="shared" si="134"/>
        <v>0.39</v>
      </c>
      <c r="CC29" s="39">
        <f t="shared" si="134"/>
        <v>0.18500000000000003</v>
      </c>
      <c r="CD29" s="39">
        <f t="shared" si="134"/>
        <v>0.43000000000000005</v>
      </c>
      <c r="CE29" s="39">
        <f t="shared" si="134"/>
        <v>0.36</v>
      </c>
      <c r="CF29" s="39">
        <f t="shared" si="134"/>
        <v>0.625</v>
      </c>
      <c r="CG29" s="39">
        <f t="shared" si="134"/>
        <v>0.5675</v>
      </c>
      <c r="CH29" s="39">
        <f t="shared" si="134"/>
        <v>0.45499999999999996</v>
      </c>
      <c r="CI29" s="39">
        <f t="shared" si="134"/>
        <v>0.56000000000000005</v>
      </c>
      <c r="CJ29" s="39">
        <f t="shared" si="134"/>
        <v>0.35499999999999998</v>
      </c>
      <c r="CK29" s="39">
        <f t="shared" si="134"/>
        <v>0.69499999999999995</v>
      </c>
      <c r="CL29" s="39">
        <f t="shared" si="134"/>
        <v>0.315</v>
      </c>
      <c r="CM29" s="39">
        <f t="shared" si="134"/>
        <v>0.48249999999999998</v>
      </c>
      <c r="CN29" s="39">
        <f t="shared" si="134"/>
        <v>0.49</v>
      </c>
      <c r="CO29" s="39">
        <f t="shared" si="134"/>
        <v>0.44749999999999995</v>
      </c>
      <c r="CP29" s="39">
        <f t="shared" si="134"/>
        <v>0.38750000000000007</v>
      </c>
      <c r="CQ29" s="39">
        <f t="shared" si="134"/>
        <v>0.5625</v>
      </c>
      <c r="CR29" s="39">
        <f t="shared" si="134"/>
        <v>0.58499999999999996</v>
      </c>
      <c r="CS29" s="129">
        <f>AVERAGEIFS(CS$36:CS$173,$C$36:$C$173,"=6", $B$36:$B$173,"OFICIAL")</f>
        <v>48.25</v>
      </c>
      <c r="CT29" s="129">
        <f>AVERAGEIFS(CT$36:CT$173,$C$36:$C$173,"=6", $B$36:$B$173,"OFICIAL")</f>
        <v>8</v>
      </c>
      <c r="CU29" s="39">
        <f>AVERAGEIFS(CU$36:CU$173,$C$36:$C$173,"=6", $B$36:$B$173,"OFICIAL")</f>
        <v>0.14250000000000002</v>
      </c>
      <c r="CV29" s="39">
        <f t="shared" ref="CV29:DW29" si="135">AVERAGEIFS(CV$36:CV$173,$C$36:$C$173,"=6", $B$36:$B$173,"OFICIAL")</f>
        <v>0.67249999999999999</v>
      </c>
      <c r="CW29" s="39">
        <f t="shared" si="135"/>
        <v>0.185</v>
      </c>
      <c r="CX29" s="39">
        <f t="shared" si="135"/>
        <v>5.0000000000000001E-3</v>
      </c>
      <c r="CY29" s="39">
        <f t="shared" si="135"/>
        <v>0.48</v>
      </c>
      <c r="CZ29" s="39">
        <f t="shared" si="135"/>
        <v>0.29749999999999999</v>
      </c>
      <c r="DA29" s="39">
        <f t="shared" si="135"/>
        <v>0.59</v>
      </c>
      <c r="DB29" s="39">
        <f t="shared" si="135"/>
        <v>0.38499999999999995</v>
      </c>
      <c r="DC29" s="39">
        <f t="shared" si="135"/>
        <v>0.46749999999999997</v>
      </c>
      <c r="DD29" s="39">
        <f t="shared" si="135"/>
        <v>0.625</v>
      </c>
      <c r="DE29" s="39">
        <f t="shared" si="135"/>
        <v>0.51500000000000001</v>
      </c>
      <c r="DF29" s="39">
        <f t="shared" si="135"/>
        <v>0.53500000000000003</v>
      </c>
      <c r="DG29" s="39">
        <f t="shared" si="135"/>
        <v>0.45249999999999996</v>
      </c>
      <c r="DH29" s="39">
        <f t="shared" si="135"/>
        <v>0.39249999999999996</v>
      </c>
      <c r="DI29" s="39">
        <f t="shared" si="135"/>
        <v>0.53749999999999998</v>
      </c>
      <c r="DJ29" s="39">
        <f t="shared" si="135"/>
        <v>0.5475000000000001</v>
      </c>
      <c r="DK29" s="39">
        <f t="shared" si="135"/>
        <v>0.39249999999999996</v>
      </c>
      <c r="DL29" s="39">
        <f t="shared" si="135"/>
        <v>0.44499999999999995</v>
      </c>
      <c r="DM29" s="39">
        <f t="shared" si="135"/>
        <v>0.54</v>
      </c>
      <c r="DN29" s="39">
        <f t="shared" si="135"/>
        <v>0.50249999999999995</v>
      </c>
      <c r="DO29" s="39">
        <f t="shared" si="135"/>
        <v>0.48</v>
      </c>
      <c r="DP29" s="39">
        <f t="shared" si="135"/>
        <v>0.48249999999999998</v>
      </c>
      <c r="DQ29" s="39">
        <f t="shared" si="135"/>
        <v>0.61499999999999999</v>
      </c>
      <c r="DR29" s="39">
        <f t="shared" si="135"/>
        <v>0.22500000000000001</v>
      </c>
      <c r="DS29" s="39">
        <f t="shared" si="135"/>
        <v>0.39750000000000008</v>
      </c>
      <c r="DT29" s="39">
        <f t="shared" si="135"/>
        <v>0.58499999999999996</v>
      </c>
      <c r="DU29" s="39">
        <f t="shared" si="135"/>
        <v>0.61499999999999999</v>
      </c>
      <c r="DV29" s="39">
        <f t="shared" si="135"/>
        <v>0.59750000000000003</v>
      </c>
      <c r="DW29" s="39">
        <f t="shared" si="135"/>
        <v>0.36</v>
      </c>
      <c r="DX29" s="129">
        <f>AVERAGEIFS(DX$36:DX$173,$C$36:$C$173,"=6", $B$36:$B$173,"OFICIAL")</f>
        <v>48.5</v>
      </c>
      <c r="DY29" s="129">
        <f>AVERAGEIFS(DY$36:DY$173,$C$36:$C$173,"=6", $B$36:$B$173,"OFICIAL")</f>
        <v>8.5</v>
      </c>
      <c r="DZ29" s="39">
        <f>AVERAGEIFS(DZ$36:DZ$173,$C$36:$C$173,"=6", $B$36:$B$173,"OFICIAL")</f>
        <v>0.20499999999999999</v>
      </c>
      <c r="EA29" s="39">
        <f t="shared" ref="EA29:FA29" si="136">AVERAGEIFS(EA$36:EA$173,$C$36:$C$173,"=6", $B$36:$B$173,"OFICIAL")</f>
        <v>0.59499999999999997</v>
      </c>
      <c r="EB29" s="39">
        <f t="shared" si="136"/>
        <v>0.19500000000000001</v>
      </c>
      <c r="EC29" s="39">
        <f t="shared" si="136"/>
        <v>5.0000000000000001E-3</v>
      </c>
      <c r="ED29" s="39">
        <f t="shared" si="136"/>
        <v>0.4975</v>
      </c>
      <c r="EE29" s="39">
        <f t="shared" si="136"/>
        <v>0.51500000000000001</v>
      </c>
      <c r="EF29" s="39">
        <f t="shared" si="136"/>
        <v>0.5575</v>
      </c>
      <c r="EG29" s="39">
        <f t="shared" si="136"/>
        <v>0.36499999999999999</v>
      </c>
      <c r="EH29" s="39">
        <f t="shared" si="136"/>
        <v>0.47749999999999998</v>
      </c>
      <c r="EI29" s="39">
        <f t="shared" si="136"/>
        <v>0.54</v>
      </c>
      <c r="EJ29" s="39">
        <f t="shared" si="136"/>
        <v>0.62</v>
      </c>
      <c r="EK29" s="39">
        <f t="shared" si="136"/>
        <v>0.29499999999999998</v>
      </c>
      <c r="EL29" s="39">
        <f t="shared" si="136"/>
        <v>0.48249999999999998</v>
      </c>
      <c r="EM29" s="39">
        <f t="shared" si="136"/>
        <v>0.64250000000000007</v>
      </c>
      <c r="EN29" s="39">
        <f t="shared" si="136"/>
        <v>0.5</v>
      </c>
      <c r="EO29" s="39">
        <f t="shared" si="136"/>
        <v>0.57499999999999996</v>
      </c>
      <c r="EP29" s="39">
        <f t="shared" si="136"/>
        <v>0.4</v>
      </c>
      <c r="EQ29" s="39">
        <f t="shared" si="136"/>
        <v>0.33750000000000002</v>
      </c>
      <c r="ER29" s="39">
        <f t="shared" si="136"/>
        <v>0.6100000000000001</v>
      </c>
      <c r="ES29" s="39">
        <f t="shared" si="136"/>
        <v>0.51500000000000001</v>
      </c>
      <c r="ET29" s="39">
        <f t="shared" si="136"/>
        <v>0.33750000000000002</v>
      </c>
      <c r="EU29" s="39">
        <f t="shared" si="136"/>
        <v>0.58250000000000002</v>
      </c>
      <c r="EV29" s="39">
        <f t="shared" si="136"/>
        <v>0.42500000000000004</v>
      </c>
      <c r="EW29" s="39">
        <f t="shared" si="136"/>
        <v>0.36749999999999994</v>
      </c>
      <c r="EX29" s="39">
        <f t="shared" si="136"/>
        <v>0.68250000000000011</v>
      </c>
      <c r="EY29" s="39">
        <f t="shared" si="136"/>
        <v>0.60499999999999998</v>
      </c>
      <c r="EZ29" s="39">
        <f t="shared" si="136"/>
        <v>0.23749999999999999</v>
      </c>
      <c r="FA29" s="39">
        <f t="shared" si="136"/>
        <v>0.63</v>
      </c>
      <c r="FB29" s="129">
        <f>AVERAGEIFS(FB$36:FB$173,$C$36:$C$173,"=6", $B$36:$B$173,"OFICIAL")</f>
        <v>47.75</v>
      </c>
      <c r="FD29" s="129">
        <f>AVERAGEIFS(FD$36:FD$173,$C$36:$C$173,"=6", $B$36:$B$173,"OFICIAL")</f>
        <v>7.5</v>
      </c>
      <c r="FF29" s="39">
        <f>AVERAGEIFS(FF$36:FF$173,$C$36:$C$173,"=6", $B$36:$B$173,"OFICIAL")</f>
        <v>0.17250000000000001</v>
      </c>
      <c r="FG29" s="39">
        <f t="shared" ref="FG29:GI29" si="137">AVERAGEIFS(FG$36:FG$173,$C$36:$C$173,"=6", $B$36:$B$173,"OFICIAL")</f>
        <v>0.68249999999999988</v>
      </c>
      <c r="FH29" s="39">
        <f t="shared" si="137"/>
        <v>0.14500000000000002</v>
      </c>
      <c r="FI29" s="39">
        <f t="shared" si="137"/>
        <v>2.5000000000000001E-3</v>
      </c>
      <c r="FJ29" s="39">
        <f t="shared" si="137"/>
        <v>0.54</v>
      </c>
      <c r="FK29" s="39">
        <f t="shared" si="137"/>
        <v>0.67749999999999999</v>
      </c>
      <c r="FL29" s="39">
        <f t="shared" si="137"/>
        <v>0.52249999999999996</v>
      </c>
      <c r="FM29" s="39">
        <f t="shared" si="137"/>
        <v>0.48249999999999998</v>
      </c>
      <c r="FN29" s="39">
        <f t="shared" si="137"/>
        <v>0.34250000000000003</v>
      </c>
      <c r="FO29" s="39">
        <f t="shared" si="137"/>
        <v>0.35750000000000004</v>
      </c>
      <c r="FP29" s="39">
        <f t="shared" si="137"/>
        <v>0.42749999999999999</v>
      </c>
      <c r="FQ29" s="39">
        <f t="shared" si="137"/>
        <v>0.42249999999999999</v>
      </c>
      <c r="FR29" s="39">
        <f t="shared" si="137"/>
        <v>0.61</v>
      </c>
      <c r="FS29" s="39">
        <f t="shared" si="137"/>
        <v>0.54</v>
      </c>
      <c r="FT29" s="39">
        <f t="shared" si="137"/>
        <v>0.54249999999999998</v>
      </c>
      <c r="FU29" s="39">
        <f t="shared" si="137"/>
        <v>0.42249999999999999</v>
      </c>
      <c r="FV29" s="39">
        <f t="shared" si="137"/>
        <v>0.65749999999999997</v>
      </c>
      <c r="FW29" s="39">
        <f t="shared" si="137"/>
        <v>0.59750000000000003</v>
      </c>
      <c r="FX29" s="39">
        <f t="shared" si="137"/>
        <v>0.53500000000000003</v>
      </c>
      <c r="FY29" s="39">
        <f t="shared" si="137"/>
        <v>0.42</v>
      </c>
      <c r="FZ29" s="39">
        <f t="shared" si="137"/>
        <v>0.47000000000000003</v>
      </c>
      <c r="GA29" s="39">
        <f t="shared" si="137"/>
        <v>0.55249999999999999</v>
      </c>
      <c r="GB29" s="39">
        <f t="shared" si="137"/>
        <v>0.58499999999999996</v>
      </c>
      <c r="GC29" s="39">
        <f t="shared" si="137"/>
        <v>0.495</v>
      </c>
      <c r="GD29" s="39">
        <f t="shared" si="137"/>
        <v>0.64749999999999996</v>
      </c>
      <c r="GE29" s="39">
        <f t="shared" si="137"/>
        <v>0.60499999999999998</v>
      </c>
      <c r="GF29" s="39">
        <f t="shared" si="137"/>
        <v>0.48499999999999999</v>
      </c>
      <c r="GG29" s="39">
        <f t="shared" si="137"/>
        <v>0.50249999999999995</v>
      </c>
      <c r="GH29" s="39">
        <f t="shared" si="137"/>
        <v>0.62249999999999994</v>
      </c>
      <c r="GI29" s="39">
        <f t="shared" si="137"/>
        <v>0.33</v>
      </c>
      <c r="GJ29" s="129">
        <f>AVERAGEIFS(GJ$36:GJ$173,$C$36:$C$173,"=6", $B$36:$B$173,"OFICIAL")</f>
        <v>48.5</v>
      </c>
      <c r="GL29" s="129">
        <f>AVERAGEIFS(GL$36:GL$173,$C$36:$C$173,"=6", $B$36:$B$173,"OFICIAL")</f>
        <v>8.5</v>
      </c>
      <c r="GN29" s="342">
        <f>AVERAGEIFS(GN$36:GN$173,$C$36:$C$173,"=6", $B$36:$B$173,"OFICIAL")</f>
        <v>0.1875</v>
      </c>
      <c r="GO29" s="342">
        <f t="shared" ref="GO29:HQ29" si="138">AVERAGEIFS(GO$36:GO$173,$C$36:$C$173,"=6", $B$36:$B$173,"OFICIAL")</f>
        <v>0.6</v>
      </c>
      <c r="GP29" s="342">
        <f t="shared" si="138"/>
        <v>0.21</v>
      </c>
      <c r="GQ29" s="342">
        <f t="shared" si="138"/>
        <v>2.5000000000000001E-3</v>
      </c>
      <c r="GR29" s="342">
        <f t="shared" si="138"/>
        <v>0.52749999999999997</v>
      </c>
      <c r="GS29" s="342">
        <f t="shared" si="138"/>
        <v>0.57000000000000006</v>
      </c>
      <c r="GT29" s="342">
        <f t="shared" si="138"/>
        <v>0.66999999999999993</v>
      </c>
      <c r="GU29" s="342">
        <f t="shared" si="138"/>
        <v>0.28249999999999997</v>
      </c>
      <c r="GV29" s="342">
        <f t="shared" si="138"/>
        <v>0.60750000000000004</v>
      </c>
      <c r="GW29" s="342">
        <f t="shared" si="138"/>
        <v>0.55000000000000004</v>
      </c>
      <c r="GX29" s="342">
        <f t="shared" si="138"/>
        <v>0.53</v>
      </c>
      <c r="GY29" s="315" t="s">
        <v>173</v>
      </c>
      <c r="GZ29" s="342">
        <f t="shared" si="138"/>
        <v>0.38250000000000006</v>
      </c>
      <c r="HA29" s="342">
        <f t="shared" si="138"/>
        <v>0.61</v>
      </c>
      <c r="HB29" s="342">
        <f t="shared" si="138"/>
        <v>0.52</v>
      </c>
      <c r="HC29" s="342">
        <f t="shared" si="138"/>
        <v>0.57499999999999996</v>
      </c>
      <c r="HD29" s="342">
        <f t="shared" si="138"/>
        <v>0.61249999999999993</v>
      </c>
      <c r="HE29" s="342">
        <f t="shared" si="138"/>
        <v>0.51500000000000001</v>
      </c>
      <c r="HF29" s="342">
        <f t="shared" si="138"/>
        <v>0.52500000000000002</v>
      </c>
      <c r="HG29" s="342">
        <f t="shared" si="138"/>
        <v>0.68499999999999994</v>
      </c>
      <c r="HH29" s="342">
        <f t="shared" si="138"/>
        <v>0.43</v>
      </c>
      <c r="HI29" s="342">
        <f t="shared" si="138"/>
        <v>0.58250000000000002</v>
      </c>
      <c r="HJ29" s="342">
        <f t="shared" si="138"/>
        <v>0.60499999999999998</v>
      </c>
      <c r="HK29" s="342">
        <f t="shared" si="138"/>
        <v>0.5575</v>
      </c>
      <c r="HL29" s="342">
        <f t="shared" si="138"/>
        <v>0.46249999999999997</v>
      </c>
      <c r="HM29" s="342">
        <f t="shared" si="138"/>
        <v>0.4975</v>
      </c>
      <c r="HN29" s="342">
        <f t="shared" si="138"/>
        <v>0.51</v>
      </c>
      <c r="HO29" s="342">
        <f t="shared" si="138"/>
        <v>0.44</v>
      </c>
      <c r="HP29" s="315" t="s">
        <v>173</v>
      </c>
      <c r="HQ29" s="342">
        <f t="shared" si="138"/>
        <v>0.45750000000000002</v>
      </c>
      <c r="HR29" s="129">
        <f>AVERAGEIFS(HR$36:HR$173,$C$36:$C$173,"=6", $B$36:$B$173,"OFICIAL")</f>
        <v>49</v>
      </c>
      <c r="HT29" s="129">
        <f>AVERAGEIFS(HT$36:HT$173,$C$36:$C$173,"=6", $B$36:$B$173,"OFICIAL")</f>
        <v>8.5</v>
      </c>
      <c r="HV29" s="342">
        <f>AVERAGEIFS(HV$36:HV$173,$C$36:$C$173,"=6", $B$36:$B$173,"OFICIAL")</f>
        <v>0.17250000000000001</v>
      </c>
      <c r="HW29" s="342">
        <f t="shared" ref="HW29:IZ29" si="139">AVERAGEIFS(HW$36:HW$173,$C$36:$C$173,"=6", $B$36:$B$173,"OFICIAL")</f>
        <v>0.59499999999999997</v>
      </c>
      <c r="HX29" s="342">
        <f t="shared" si="139"/>
        <v>0.2225</v>
      </c>
      <c r="HY29" s="342">
        <f t="shared" si="139"/>
        <v>7.4999999999999997E-3</v>
      </c>
      <c r="HZ29" s="342">
        <f t="shared" si="139"/>
        <v>0.45</v>
      </c>
      <c r="IA29" s="342">
        <f t="shared" si="139"/>
        <v>0.56000000000000005</v>
      </c>
      <c r="IB29" s="342">
        <f t="shared" si="139"/>
        <v>0.41749999999999998</v>
      </c>
      <c r="IC29" s="342">
        <f t="shared" si="139"/>
        <v>0.51750000000000007</v>
      </c>
      <c r="ID29" s="342">
        <f t="shared" si="139"/>
        <v>0.66</v>
      </c>
      <c r="IE29" s="342">
        <f t="shared" si="139"/>
        <v>0.38250000000000001</v>
      </c>
      <c r="IF29" s="342">
        <f t="shared" si="139"/>
        <v>0.44</v>
      </c>
      <c r="IG29" s="342">
        <f t="shared" si="139"/>
        <v>0.58250000000000002</v>
      </c>
      <c r="IH29" s="342">
        <f t="shared" si="139"/>
        <v>0.55750000000000011</v>
      </c>
      <c r="II29" s="342">
        <f t="shared" si="139"/>
        <v>0.39250000000000002</v>
      </c>
      <c r="IJ29" s="342">
        <f t="shared" si="139"/>
        <v>0.33750000000000002</v>
      </c>
      <c r="IK29" s="342">
        <f t="shared" si="139"/>
        <v>0.64249999999999996</v>
      </c>
      <c r="IL29" s="342">
        <f t="shared" si="139"/>
        <v>0.38500000000000001</v>
      </c>
      <c r="IM29" s="342">
        <f t="shared" si="139"/>
        <v>0.59</v>
      </c>
      <c r="IN29" s="342">
        <f t="shared" si="139"/>
        <v>0.46249999999999997</v>
      </c>
      <c r="IO29" s="342">
        <f t="shared" si="139"/>
        <v>0.57750000000000001</v>
      </c>
      <c r="IP29" s="342">
        <f t="shared" si="139"/>
        <v>0.4325</v>
      </c>
      <c r="IQ29" s="342">
        <f t="shared" si="139"/>
        <v>0.6825</v>
      </c>
      <c r="IR29" s="342">
        <f t="shared" si="139"/>
        <v>0.60499999999999998</v>
      </c>
      <c r="IS29" s="342">
        <f t="shared" si="139"/>
        <v>0.57250000000000001</v>
      </c>
      <c r="IT29" s="342">
        <f t="shared" si="139"/>
        <v>0.48249999999999998</v>
      </c>
      <c r="IU29" s="315" t="s">
        <v>173</v>
      </c>
      <c r="IV29" s="342">
        <f t="shared" si="139"/>
        <v>0.66500000000000004</v>
      </c>
      <c r="IW29" s="342">
        <f t="shared" si="139"/>
        <v>0.44999999999999996</v>
      </c>
      <c r="IX29" s="342">
        <f t="shared" si="139"/>
        <v>0.56000000000000005</v>
      </c>
      <c r="IY29" s="342">
        <f t="shared" si="139"/>
        <v>0.57999999999999996</v>
      </c>
      <c r="IZ29" s="490">
        <f t="shared" si="139"/>
        <v>49.5</v>
      </c>
      <c r="JA29" s="495"/>
      <c r="JB29" s="300">
        <f>AVERAGEIFS(JB$36:JB$173,$C$36:$C$173,"=6", $B$36:$B$173,"OFICIAL")</f>
        <v>8.75</v>
      </c>
      <c r="JC29" s="495"/>
      <c r="JD29" s="343">
        <f>AVERAGEIFS(JD$36:JD$173,$C$36:$C$173,"=6", $B$36:$B$173,"OFICIAL")</f>
        <v>0.16500000000000001</v>
      </c>
      <c r="JE29" s="343">
        <f>AVERAGEIFS(JE$36:JE$173,$C$36:$C$173,"=6", $B$36:$B$173,"OFICIAL")</f>
        <v>0.58499999999999996</v>
      </c>
      <c r="JF29" s="343">
        <f>AVERAGEIFS(JF$36:JF$173,$C$36:$C$173,"=6", $B$36:$B$173,"OFICIAL")</f>
        <v>0.245</v>
      </c>
      <c r="JG29" s="343">
        <f>AVERAGEIFS(JG$36:JG$173,$C$36:$C$173,"=6", $B$36:$B$173,"OFICIAL")</f>
        <v>7.4999999999999997E-3</v>
      </c>
      <c r="JH29" s="343">
        <f t="shared" ref="JH29:KC29" si="140">AVERAGEIFS(JH$36:JH$173,$C$36:$C$173,"=6", $B$36:$B$173,"OFICIAL")</f>
        <v>0.51500000000000001</v>
      </c>
      <c r="JI29" s="343">
        <f t="shared" si="140"/>
        <v>0.49</v>
      </c>
      <c r="JJ29" s="343">
        <f t="shared" si="140"/>
        <v>0.48250000000000004</v>
      </c>
      <c r="JK29" s="343">
        <f t="shared" si="140"/>
        <v>0.50750000000000006</v>
      </c>
      <c r="JL29" s="343">
        <f t="shared" si="140"/>
        <v>0.51250000000000007</v>
      </c>
      <c r="JM29" s="343">
        <f t="shared" si="140"/>
        <v>0.52249999999999996</v>
      </c>
      <c r="JN29" s="343">
        <f t="shared" si="140"/>
        <v>0.45749999999999996</v>
      </c>
      <c r="JO29" s="343">
        <f t="shared" si="140"/>
        <v>0.5</v>
      </c>
      <c r="JP29" s="343">
        <f t="shared" si="140"/>
        <v>0.58250000000000002</v>
      </c>
      <c r="JQ29" s="343">
        <f t="shared" si="140"/>
        <v>0.33250000000000002</v>
      </c>
      <c r="JR29" s="343">
        <f t="shared" si="140"/>
        <v>0.625</v>
      </c>
      <c r="JS29" s="343">
        <f t="shared" si="140"/>
        <v>0.5575</v>
      </c>
      <c r="JT29" s="343">
        <f t="shared" si="140"/>
        <v>0.495</v>
      </c>
      <c r="JU29" s="343">
        <f t="shared" si="140"/>
        <v>0.54500000000000004</v>
      </c>
      <c r="JV29" s="343">
        <f t="shared" si="140"/>
        <v>0.52750000000000008</v>
      </c>
      <c r="JW29" s="343">
        <f t="shared" si="140"/>
        <v>0.50750000000000006</v>
      </c>
      <c r="JX29" s="343">
        <f t="shared" si="140"/>
        <v>0.47249999999999998</v>
      </c>
      <c r="JY29" s="343">
        <f t="shared" si="140"/>
        <v>0.52</v>
      </c>
      <c r="JZ29" s="343">
        <f t="shared" si="140"/>
        <v>0.4975</v>
      </c>
      <c r="KA29" s="343">
        <f t="shared" si="140"/>
        <v>0.64999999999999991</v>
      </c>
      <c r="KB29" s="343">
        <f t="shared" si="140"/>
        <v>0.49999999999999994</v>
      </c>
      <c r="KC29" s="343">
        <f t="shared" si="140"/>
        <v>0.6925</v>
      </c>
      <c r="KD29" s="343">
        <f>AVERAGEIFS(KD$36:KD$173,$C$36:$C$173,"=6", $B$36:$B$173,"OFICIAL")</f>
        <v>0.375</v>
      </c>
      <c r="KE29" s="343">
        <f>AVERAGEIFS(KE$36:KE$173,$C$36:$C$173,"=6", $B$36:$B$173,"OFICIAL")</f>
        <v>0.52</v>
      </c>
      <c r="KF29" s="343">
        <f>AVERAGEIFS(KF$36:KF$173,$C$36:$C$173,"=6", $B$36:$B$173,"OFICIAL")</f>
        <v>0.46499999999999997</v>
      </c>
      <c r="KG29" s="343">
        <f>AVERAGEIFS(KG$36:KG$173,$C$36:$C$173,"=6", $B$36:$B$173,"OFICIAL")</f>
        <v>0.56000000000000005</v>
      </c>
      <c r="KH29" s="129">
        <f>AVERAGEIFS(KH$36:KH$173,$C$36:$C$173,"=6", $B$36:$B$173,"OFICIAL")</f>
        <v>51</v>
      </c>
      <c r="KI29" s="970"/>
      <c r="KJ29" s="129">
        <f>AVERAGEIFS(KJ$36:KJ$173,$C$36:$C$173,"=6", $B$36:$B$173,"OFICIAL")</f>
        <v>9.25</v>
      </c>
      <c r="KK29" s="970"/>
      <c r="KL29" s="342">
        <f>AVERAGEIFS(KL$36:KL$173,$C$36:$C$173,"=6", $B$36:$B$173,"OFICIAL")</f>
        <v>0.13250000000000001</v>
      </c>
      <c r="KM29" s="342">
        <f t="shared" ref="KM29:LO29" si="141">AVERAGEIFS(KM$36:KM$173,$C$36:$C$173,"=6", $B$36:$B$173,"OFICIAL")</f>
        <v>0.53500000000000003</v>
      </c>
      <c r="KN29" s="342">
        <f t="shared" si="141"/>
        <v>0.3175</v>
      </c>
      <c r="KO29" s="342">
        <f t="shared" si="141"/>
        <v>1.4999999999999999E-2</v>
      </c>
      <c r="KP29" s="342">
        <f t="shared" si="141"/>
        <v>0.495</v>
      </c>
      <c r="KQ29" s="342">
        <f t="shared" si="141"/>
        <v>0.27</v>
      </c>
      <c r="KR29" s="342">
        <f t="shared" si="141"/>
        <v>0.59250000000000003</v>
      </c>
      <c r="KS29" s="342">
        <f t="shared" si="141"/>
        <v>0.50750000000000006</v>
      </c>
      <c r="KT29" s="342">
        <f t="shared" si="141"/>
        <v>0.57750000000000012</v>
      </c>
      <c r="KU29" s="342">
        <f t="shared" si="141"/>
        <v>0.44999999999999996</v>
      </c>
      <c r="KV29" s="342">
        <f t="shared" si="141"/>
        <v>0.59499999999999997</v>
      </c>
      <c r="KW29" s="342">
        <f t="shared" si="141"/>
        <v>0.38250000000000006</v>
      </c>
      <c r="KX29" s="342">
        <f t="shared" si="141"/>
        <v>0.35499999999999998</v>
      </c>
      <c r="KY29" s="342">
        <f t="shared" si="141"/>
        <v>0.52750000000000008</v>
      </c>
      <c r="KZ29" s="342">
        <f t="shared" si="141"/>
        <v>0.39999999999999997</v>
      </c>
      <c r="LA29" s="342">
        <f t="shared" si="141"/>
        <v>0.36</v>
      </c>
      <c r="LB29" s="342">
        <f t="shared" si="141"/>
        <v>0.45</v>
      </c>
      <c r="LC29" s="342">
        <f t="shared" si="141"/>
        <v>0.39500000000000002</v>
      </c>
      <c r="LD29" s="342">
        <f t="shared" si="141"/>
        <v>0.55249999999999999</v>
      </c>
      <c r="LE29" s="342">
        <f t="shared" si="141"/>
        <v>0.49</v>
      </c>
      <c r="LF29" s="342">
        <f t="shared" si="141"/>
        <v>0.35</v>
      </c>
      <c r="LG29" s="342">
        <f t="shared" si="141"/>
        <v>0.48000000000000004</v>
      </c>
      <c r="LH29" s="342">
        <f t="shared" si="141"/>
        <v>0.57999999999999996</v>
      </c>
      <c r="LI29" s="342">
        <f t="shared" si="141"/>
        <v>0.48499999999999999</v>
      </c>
      <c r="LJ29" s="342">
        <f t="shared" si="141"/>
        <v>0.42499999999999999</v>
      </c>
      <c r="LK29" s="342">
        <f>AVERAGEIFS(LK$36:LK$173,$C$36:$C$173,"=6", $B$36:$B$173,"OFICIAL")</f>
        <v>0.56000000000000005</v>
      </c>
      <c r="LL29" s="342" t="s">
        <v>173</v>
      </c>
      <c r="LM29" s="342">
        <f t="shared" si="141"/>
        <v>0.57499999999999996</v>
      </c>
      <c r="LN29" s="342">
        <f t="shared" si="141"/>
        <v>0.60750000000000004</v>
      </c>
      <c r="LO29" s="342">
        <f t="shared" si="141"/>
        <v>0.41500000000000004</v>
      </c>
    </row>
    <row r="30" spans="1:327" ht="24.95" customHeight="1" x14ac:dyDescent="0.2">
      <c r="A30" s="6" t="s">
        <v>782</v>
      </c>
      <c r="B30" s="299"/>
      <c r="C30" s="299"/>
      <c r="D30" s="129">
        <f>AVERAGEIFS(D$36:D$173,$C$36:$C$173,"=1", $B$36:$B$173,"NO OFICIAL")</f>
        <v>52.92307692307692</v>
      </c>
      <c r="E30" s="129">
        <f>AVERAGEIFS(E$36:E$173,$C$36:$C$173,"=1", $B$36:$B$173,"NO OFICIAL")</f>
        <v>6.615384615384615</v>
      </c>
      <c r="F30" s="39">
        <f>AVERAGEIFS(F$36:F$173,$C$36:$C$173,"=1", $B$36:$B$173,"NO OFICIAL")</f>
        <v>5.3076923076923091E-2</v>
      </c>
      <c r="G30" s="39">
        <f t="shared" ref="G30:AG30" si="142">AVERAGEIFS(G$36:G$173,$C$36:$C$173,"=1", $B$36:$B$173,"NO OFICIAL")</f>
        <v>0.60461538461538455</v>
      </c>
      <c r="H30" s="39">
        <f t="shared" si="142"/>
        <v>0.33999999999999997</v>
      </c>
      <c r="I30" s="39">
        <f t="shared" si="142"/>
        <v>3.0769230769230769E-3</v>
      </c>
      <c r="J30" s="39">
        <f t="shared" si="142"/>
        <v>0.41769230769230775</v>
      </c>
      <c r="K30" s="39">
        <f t="shared" si="142"/>
        <v>0.37538461538461543</v>
      </c>
      <c r="L30" s="39">
        <f t="shared" si="142"/>
        <v>0.74384615384615371</v>
      </c>
      <c r="M30" s="39">
        <f t="shared" si="142"/>
        <v>0.23692307692307693</v>
      </c>
      <c r="N30" s="39">
        <f t="shared" si="142"/>
        <v>0.29307692307692307</v>
      </c>
      <c r="O30" s="39">
        <f t="shared" si="142"/>
        <v>0.68153846153846154</v>
      </c>
      <c r="P30" s="39">
        <f t="shared" si="142"/>
        <v>0.36384615384615382</v>
      </c>
      <c r="Q30" s="39">
        <f t="shared" si="142"/>
        <v>0.41615384615384615</v>
      </c>
      <c r="R30" s="39">
        <f t="shared" si="142"/>
        <v>0.54999999999999993</v>
      </c>
      <c r="S30" s="39">
        <f t="shared" si="142"/>
        <v>0.64538461538461533</v>
      </c>
      <c r="T30" s="39">
        <f t="shared" si="142"/>
        <v>0.45769230769230762</v>
      </c>
      <c r="U30" s="39">
        <f t="shared" si="142"/>
        <v>0.64615384615384608</v>
      </c>
      <c r="V30" s="39">
        <f t="shared" si="142"/>
        <v>7.2307692307692309E-2</v>
      </c>
      <c r="W30" s="39">
        <f t="shared" si="142"/>
        <v>0.14692307692307691</v>
      </c>
      <c r="X30" s="39">
        <f t="shared" si="142"/>
        <v>0.50076923076923086</v>
      </c>
      <c r="Y30" s="39">
        <f t="shared" si="142"/>
        <v>0.5115384615384615</v>
      </c>
      <c r="Z30" s="39">
        <f t="shared" si="142"/>
        <v>0.75</v>
      </c>
      <c r="AA30" s="39">
        <f t="shared" si="142"/>
        <v>0.11153846153846156</v>
      </c>
      <c r="AB30" s="39">
        <f t="shared" si="142"/>
        <v>0.45692307692307688</v>
      </c>
      <c r="AC30" s="39">
        <f t="shared" si="142"/>
        <v>0.2323076923076923</v>
      </c>
      <c r="AD30" s="39">
        <f t="shared" si="142"/>
        <v>0.49692307692307691</v>
      </c>
      <c r="AE30" s="39">
        <f t="shared" si="142"/>
        <v>0.42923076923076925</v>
      </c>
      <c r="AF30" s="39">
        <f t="shared" si="142"/>
        <v>0.52461538461538448</v>
      </c>
      <c r="AG30" s="39">
        <f t="shared" si="142"/>
        <v>0.54153846153846152</v>
      </c>
      <c r="AH30" s="129">
        <f>AVERAGEIFS(AH$36:AH$173,$C$36:$C$173,"=1", $B$36:$B$173,"NO OFICIAL")</f>
        <v>52.5</v>
      </c>
      <c r="AI30" s="129">
        <f>AVERAGEIFS(AI$36:AI$173,$C$36:$C$173,"=1", $B$36:$B$173,"NO OFICIAL")</f>
        <v>7.416666666666667</v>
      </c>
      <c r="AJ30" s="39">
        <f>AVERAGEIFS(AJ$36:AJ$173,$C$36:$C$173,"=1", $B$36:$B$173,"NO OFICIAL")</f>
        <v>6.7500000000000004E-2</v>
      </c>
      <c r="AK30" s="39">
        <f t="shared" ref="AK30:BL30" si="143">AVERAGEIFS(AK$36:AK$173,$C$36:$C$173,"=1", $B$36:$B$173,"NO OFICIAL")</f>
        <v>0.55333333333333334</v>
      </c>
      <c r="AL30" s="39">
        <f t="shared" si="143"/>
        <v>0.37166666666666665</v>
      </c>
      <c r="AM30" s="39">
        <f t="shared" si="143"/>
        <v>7.5000000000000006E-3</v>
      </c>
      <c r="AN30" s="39">
        <f t="shared" si="143"/>
        <v>0.22999999999999998</v>
      </c>
      <c r="AO30" s="39">
        <f t="shared" si="143"/>
        <v>0.43416666666666665</v>
      </c>
      <c r="AP30" s="39">
        <f t="shared" si="143"/>
        <v>0.58833333333333326</v>
      </c>
      <c r="AQ30" s="39">
        <f t="shared" si="143"/>
        <v>0.40416666666666662</v>
      </c>
      <c r="AR30" s="39">
        <f t="shared" si="143"/>
        <v>0.59916666666666674</v>
      </c>
      <c r="AS30" s="39">
        <f t="shared" si="143"/>
        <v>0.52999999999999992</v>
      </c>
      <c r="AT30" s="39">
        <f t="shared" si="143"/>
        <v>0.47666666666666674</v>
      </c>
      <c r="AU30" s="39">
        <f t="shared" si="143"/>
        <v>0.49583333333333329</v>
      </c>
      <c r="AV30" s="39">
        <f t="shared" si="143"/>
        <v>0.58250000000000013</v>
      </c>
      <c r="AW30" s="39">
        <f t="shared" si="143"/>
        <v>0.44666666666666655</v>
      </c>
      <c r="AX30" s="39">
        <f t="shared" si="143"/>
        <v>0.57999999999999996</v>
      </c>
      <c r="AY30" s="39">
        <f t="shared" si="143"/>
        <v>0.31083333333333335</v>
      </c>
      <c r="AZ30" s="39">
        <f t="shared" si="143"/>
        <v>0.26916666666666667</v>
      </c>
      <c r="BA30" s="39">
        <f t="shared" si="143"/>
        <v>0.46583333333333338</v>
      </c>
      <c r="BB30" s="39">
        <f t="shared" si="143"/>
        <v>0.67749999999999988</v>
      </c>
      <c r="BC30" s="39">
        <f t="shared" si="143"/>
        <v>0.64583333333333337</v>
      </c>
      <c r="BD30" s="39">
        <f t="shared" si="143"/>
        <v>0.38416666666666671</v>
      </c>
      <c r="BE30" s="39">
        <f t="shared" si="143"/>
        <v>0.51166666666666671</v>
      </c>
      <c r="BF30" s="39">
        <f t="shared" si="143"/>
        <v>0.59166666666666667</v>
      </c>
      <c r="BG30" s="39">
        <f t="shared" si="143"/>
        <v>0.51250000000000007</v>
      </c>
      <c r="BH30" s="39">
        <f t="shared" si="143"/>
        <v>0.41499999999999998</v>
      </c>
      <c r="BI30" s="39">
        <f t="shared" si="143"/>
        <v>0.37999999999999995</v>
      </c>
      <c r="BJ30" s="39">
        <f t="shared" si="143"/>
        <v>0.32916666666666666</v>
      </c>
      <c r="BK30" s="39">
        <f t="shared" si="143"/>
        <v>0.44500000000000001</v>
      </c>
      <c r="BL30" s="39">
        <f t="shared" si="143"/>
        <v>0.43666666666666676</v>
      </c>
      <c r="BM30" s="129">
        <f>AVERAGEIFS(BM$36:BM$173,$C$36:$C$173,"=1", $B$36:$B$173,"NO OFICIAL")</f>
        <v>50.846153846153847</v>
      </c>
      <c r="BN30" s="129">
        <f>AVERAGEIFS(BN$36:BN$173,$C$36:$C$173,"=1", $B$36:$B$173,"NO OFICIAL")</f>
        <v>7.5384615384615383</v>
      </c>
      <c r="BO30" s="39">
        <f>AVERAGEIFS(BO$36:BO$173,$C$36:$C$173,"=1", $B$36:$B$173,"NO OFICIAL")</f>
        <v>9.8461538461538475E-2</v>
      </c>
      <c r="BP30" s="39">
        <f t="shared" ref="BP30:CR30" si="144">AVERAGEIFS(BP$36:BP$173,$C$36:$C$173,"=1", $B$36:$B$173,"NO OFICIAL")</f>
        <v>0.61461538461538456</v>
      </c>
      <c r="BQ30" s="39">
        <f t="shared" si="144"/>
        <v>0.28076923076923077</v>
      </c>
      <c r="BR30" s="39">
        <f t="shared" si="144"/>
        <v>7.6923076923076927E-3</v>
      </c>
      <c r="BS30" s="39">
        <f t="shared" si="144"/>
        <v>0.35153846153846158</v>
      </c>
      <c r="BT30" s="39">
        <f t="shared" si="144"/>
        <v>0.51076923076923086</v>
      </c>
      <c r="BU30" s="39">
        <f t="shared" si="144"/>
        <v>0.58153846153846156</v>
      </c>
      <c r="BV30" s="39">
        <f t="shared" si="144"/>
        <v>0.29923076923076919</v>
      </c>
      <c r="BW30" s="39">
        <f t="shared" si="144"/>
        <v>0.62307692307692308</v>
      </c>
      <c r="BX30" s="39">
        <f t="shared" si="144"/>
        <v>0.36461538461538467</v>
      </c>
      <c r="BY30" s="39">
        <f t="shared" si="144"/>
        <v>0.46307692307692311</v>
      </c>
      <c r="BZ30" s="39">
        <f t="shared" si="144"/>
        <v>0.52692307692307694</v>
      </c>
      <c r="CA30" s="39">
        <f t="shared" si="144"/>
        <v>0.42230769230769233</v>
      </c>
      <c r="CB30" s="39">
        <f t="shared" si="144"/>
        <v>0.3584615384615385</v>
      </c>
      <c r="CC30" s="39">
        <f t="shared" si="144"/>
        <v>0.14307692307692305</v>
      </c>
      <c r="CD30" s="39">
        <f t="shared" si="144"/>
        <v>0.38384615384615378</v>
      </c>
      <c r="CE30" s="39">
        <f t="shared" si="144"/>
        <v>0.34923076923076923</v>
      </c>
      <c r="CF30" s="39">
        <f t="shared" si="144"/>
        <v>0.61538461538461531</v>
      </c>
      <c r="CG30" s="39">
        <f t="shared" si="144"/>
        <v>0.61230769230769233</v>
      </c>
      <c r="CH30" s="39">
        <f t="shared" si="144"/>
        <v>0.43076923076923079</v>
      </c>
      <c r="CI30" s="39">
        <f t="shared" si="144"/>
        <v>0.57076923076923081</v>
      </c>
      <c r="CJ30" s="39">
        <f t="shared" si="144"/>
        <v>0.36692307692307691</v>
      </c>
      <c r="CK30" s="39">
        <f t="shared" si="144"/>
        <v>0.686153846153846</v>
      </c>
      <c r="CL30" s="39">
        <f t="shared" si="144"/>
        <v>0.33692307692307699</v>
      </c>
      <c r="CM30" s="39">
        <f t="shared" si="144"/>
        <v>0.46230769230769231</v>
      </c>
      <c r="CN30" s="39">
        <f t="shared" si="144"/>
        <v>0.49923076923076926</v>
      </c>
      <c r="CO30" s="39">
        <f t="shared" si="144"/>
        <v>0.43</v>
      </c>
      <c r="CP30" s="39">
        <f t="shared" si="144"/>
        <v>0.36153846153846153</v>
      </c>
      <c r="CQ30" s="39">
        <f t="shared" si="144"/>
        <v>0.55615384615384611</v>
      </c>
      <c r="CR30" s="39">
        <f t="shared" si="144"/>
        <v>0.52461538461538471</v>
      </c>
      <c r="CS30" s="129">
        <f>AVERAGEIFS(CS$36:CS$173,$C$36:$C$173,"=1", $B$36:$B$173,"NO OFICIAL")</f>
        <v>49.46153846153846</v>
      </c>
      <c r="CT30" s="129">
        <f>AVERAGEIFS(CT$36:CT$173,$C$36:$C$173,"=1", $B$36:$B$173,"NO OFICIAL")</f>
        <v>7.7692307692307692</v>
      </c>
      <c r="CU30" s="39">
        <f>AVERAGEIFS(CU$36:CU$173,$C$36:$C$173,"=1", $B$36:$B$173,"NO OFICIAL")</f>
        <v>0.14692307692307696</v>
      </c>
      <c r="CV30" s="39">
        <f t="shared" ref="CV30:DW30" si="145">AVERAGEIFS(CV$36:CV$173,$C$36:$C$173,"=1", $B$36:$B$173,"NO OFICIAL")</f>
        <v>0.63307692307692309</v>
      </c>
      <c r="CW30" s="39">
        <f t="shared" si="145"/>
        <v>0.21153846153846154</v>
      </c>
      <c r="CX30" s="39">
        <f t="shared" si="145"/>
        <v>0.01</v>
      </c>
      <c r="CY30" s="39">
        <f t="shared" si="145"/>
        <v>0.52153846153846151</v>
      </c>
      <c r="CZ30" s="39">
        <f t="shared" si="145"/>
        <v>0.29384615384615381</v>
      </c>
      <c r="DA30" s="39">
        <f t="shared" si="145"/>
        <v>0.55076923076923068</v>
      </c>
      <c r="DB30" s="39">
        <f t="shared" si="145"/>
        <v>0.36846153846153851</v>
      </c>
      <c r="DC30" s="39">
        <f t="shared" si="145"/>
        <v>0.43692307692307686</v>
      </c>
      <c r="DD30" s="39">
        <f t="shared" si="145"/>
        <v>0.62538461538461543</v>
      </c>
      <c r="DE30" s="39">
        <f t="shared" si="145"/>
        <v>0.51384615384615395</v>
      </c>
      <c r="DF30" s="39">
        <f t="shared" si="145"/>
        <v>0.53999999999999992</v>
      </c>
      <c r="DG30" s="39">
        <f t="shared" si="145"/>
        <v>0.47692307692307701</v>
      </c>
      <c r="DH30" s="39">
        <f t="shared" si="145"/>
        <v>0.38230769230769235</v>
      </c>
      <c r="DI30" s="39">
        <f t="shared" si="145"/>
        <v>0.51923076923076938</v>
      </c>
      <c r="DJ30" s="39">
        <f t="shared" si="145"/>
        <v>0.54846153846153844</v>
      </c>
      <c r="DK30" s="39">
        <f t="shared" si="145"/>
        <v>0.41307692307692306</v>
      </c>
      <c r="DL30" s="39">
        <f t="shared" si="145"/>
        <v>0.36692307692307696</v>
      </c>
      <c r="DM30" s="39">
        <f t="shared" si="145"/>
        <v>0.5130769230769231</v>
      </c>
      <c r="DN30" s="39">
        <f t="shared" si="145"/>
        <v>0.53923076923076918</v>
      </c>
      <c r="DO30" s="39">
        <f t="shared" si="145"/>
        <v>0.44923076923076938</v>
      </c>
      <c r="DP30" s="39">
        <f t="shared" si="145"/>
        <v>0.4407692307692308</v>
      </c>
      <c r="DQ30" s="39">
        <f t="shared" si="145"/>
        <v>0.56615384615384623</v>
      </c>
      <c r="DR30" s="39">
        <f t="shared" si="145"/>
        <v>0.1846153846153846</v>
      </c>
      <c r="DS30" s="39">
        <f t="shared" si="145"/>
        <v>0.37307692307692314</v>
      </c>
      <c r="DT30" s="39">
        <f t="shared" si="145"/>
        <v>0.56692307692307697</v>
      </c>
      <c r="DU30" s="39">
        <f t="shared" si="145"/>
        <v>0.52230769230769225</v>
      </c>
      <c r="DV30" s="39">
        <f t="shared" si="145"/>
        <v>0.60076923076923072</v>
      </c>
      <c r="DW30" s="39">
        <f t="shared" si="145"/>
        <v>0.32538461538461533</v>
      </c>
      <c r="DX30" s="129">
        <f>AVERAGEIFS(DX$36:DX$173,$C$36:$C$173,"=1", $B$36:$B$173,"NO OFICIAL")</f>
        <v>49.769230769230766</v>
      </c>
      <c r="DY30" s="129">
        <f>AVERAGEIFS(DY$36:DY$173,$C$36:$C$173,"=1", $B$36:$B$173,"NO OFICIAL")</f>
        <v>8.3076923076923084</v>
      </c>
      <c r="DZ30" s="39">
        <f>AVERAGEIFS(DZ$36:DZ$173,$C$36:$C$173,"=1", $B$36:$B$173,"NO OFICIAL")</f>
        <v>0.15000000000000002</v>
      </c>
      <c r="EA30" s="39">
        <f t="shared" ref="EA30:FA30" si="146">AVERAGEIFS(EA$36:EA$173,$C$36:$C$173,"=1", $B$36:$B$173,"NO OFICIAL")</f>
        <v>0.57769230769230773</v>
      </c>
      <c r="EB30" s="39">
        <f t="shared" si="146"/>
        <v>0.26692307692307693</v>
      </c>
      <c r="EC30" s="39">
        <f t="shared" si="146"/>
        <v>6.1538461538461538E-3</v>
      </c>
      <c r="ED30" s="39">
        <f t="shared" si="146"/>
        <v>0.47538461538461535</v>
      </c>
      <c r="EE30" s="39">
        <f t="shared" si="146"/>
        <v>0.46692307692307694</v>
      </c>
      <c r="EF30" s="39">
        <f t="shared" si="146"/>
        <v>0.45615384615384624</v>
      </c>
      <c r="EG30" s="39">
        <f t="shared" si="146"/>
        <v>0.38384615384615384</v>
      </c>
      <c r="EH30" s="39">
        <f t="shared" si="146"/>
        <v>0.45769230769230762</v>
      </c>
      <c r="EI30" s="39">
        <f t="shared" si="146"/>
        <v>0.48153846153846153</v>
      </c>
      <c r="EJ30" s="39">
        <f t="shared" si="146"/>
        <v>0.61384615384615382</v>
      </c>
      <c r="EK30" s="39">
        <f t="shared" si="146"/>
        <v>0.26153846153846155</v>
      </c>
      <c r="EL30" s="39">
        <f t="shared" si="146"/>
        <v>0.47384615384615381</v>
      </c>
      <c r="EM30" s="39">
        <f t="shared" si="146"/>
        <v>0.61846153846153851</v>
      </c>
      <c r="EN30" s="39">
        <f t="shared" si="146"/>
        <v>0.39769230769230768</v>
      </c>
      <c r="EO30" s="39">
        <f t="shared" si="146"/>
        <v>0.53615384615384609</v>
      </c>
      <c r="EP30" s="39">
        <f t="shared" si="146"/>
        <v>0.39076923076923076</v>
      </c>
      <c r="EQ30" s="39">
        <f t="shared" si="146"/>
        <v>0.30384615384615388</v>
      </c>
      <c r="ER30" s="39">
        <f t="shared" si="146"/>
        <v>0.57923076923076922</v>
      </c>
      <c r="ES30" s="39">
        <f t="shared" si="146"/>
        <v>0.49692307692307697</v>
      </c>
      <c r="ET30" s="39">
        <f t="shared" si="146"/>
        <v>0.33538461538461539</v>
      </c>
      <c r="EU30" s="39">
        <f t="shared" si="146"/>
        <v>0.62692307692307692</v>
      </c>
      <c r="EV30" s="39">
        <f t="shared" si="146"/>
        <v>0.43999999999999989</v>
      </c>
      <c r="EW30" s="39">
        <f t="shared" si="146"/>
        <v>0.32384615384615384</v>
      </c>
      <c r="EX30" s="39">
        <f t="shared" si="146"/>
        <v>0.62076923076923074</v>
      </c>
      <c r="EY30" s="39">
        <f t="shared" si="146"/>
        <v>0.60461538461538467</v>
      </c>
      <c r="EZ30" s="39">
        <f t="shared" si="146"/>
        <v>0.24538461538461537</v>
      </c>
      <c r="FA30" s="39">
        <f t="shared" si="146"/>
        <v>0.58769230769230763</v>
      </c>
      <c r="FB30" s="129">
        <f>AVERAGEIFS(FB$36:FB$173,$C$36:$C$173,"=1", $B$36:$B$173,"NO OFICIAL")</f>
        <v>50</v>
      </c>
      <c r="FD30" s="129">
        <f>AVERAGEIFS(FD$36:FD$173,$C$36:$C$173,"=1", $B$36:$B$173,"NO OFICIAL")</f>
        <v>7.6923076923076925</v>
      </c>
      <c r="FF30" s="39">
        <f>AVERAGEIFS(FF$36:FF$173,$C$36:$C$173,"=1", $B$36:$B$173,"NO OFICIAL")</f>
        <v>0.12076923076923077</v>
      </c>
      <c r="FG30" s="39">
        <f t="shared" ref="FG30:GI30" si="147">AVERAGEIFS(FG$36:FG$173,$C$36:$C$173,"=1", $B$36:$B$173,"NO OFICIAL")</f>
        <v>0.61692307692307691</v>
      </c>
      <c r="FH30" s="39">
        <f t="shared" si="147"/>
        <v>0.25538461538461543</v>
      </c>
      <c r="FI30" s="39">
        <f t="shared" si="147"/>
        <v>7.6923076923076927E-3</v>
      </c>
      <c r="FJ30" s="39">
        <f t="shared" si="147"/>
        <v>0.44230769230769229</v>
      </c>
      <c r="FK30" s="39">
        <f t="shared" si="147"/>
        <v>0.62153846153846171</v>
      </c>
      <c r="FL30" s="39">
        <f t="shared" si="147"/>
        <v>0.47461538461538461</v>
      </c>
      <c r="FM30" s="39">
        <f t="shared" si="147"/>
        <v>0.4</v>
      </c>
      <c r="FN30" s="39">
        <f t="shared" si="147"/>
        <v>0.24076923076923076</v>
      </c>
      <c r="FO30" s="39">
        <f t="shared" si="147"/>
        <v>0.29769230769230764</v>
      </c>
      <c r="FP30" s="39">
        <f t="shared" si="147"/>
        <v>0.37615384615384612</v>
      </c>
      <c r="FQ30" s="39">
        <f t="shared" si="147"/>
        <v>0.42307692307692307</v>
      </c>
      <c r="FR30" s="39">
        <f t="shared" si="147"/>
        <v>0.57384615384615378</v>
      </c>
      <c r="FS30" s="39">
        <f t="shared" si="147"/>
        <v>0.48769230769230776</v>
      </c>
      <c r="FT30" s="39">
        <f t="shared" si="147"/>
        <v>0.52923076923076928</v>
      </c>
      <c r="FU30" s="39">
        <f t="shared" si="147"/>
        <v>0.37384615384615383</v>
      </c>
      <c r="FV30" s="39">
        <f t="shared" si="147"/>
        <v>0.55076923076923068</v>
      </c>
      <c r="FW30" s="39">
        <f t="shared" si="147"/>
        <v>0.5723076923076923</v>
      </c>
      <c r="FX30" s="39">
        <f t="shared" si="147"/>
        <v>0.49692307692307697</v>
      </c>
      <c r="FY30" s="39">
        <f t="shared" si="147"/>
        <v>0.37538461538461532</v>
      </c>
      <c r="FZ30" s="39">
        <f t="shared" si="147"/>
        <v>0.41384615384615386</v>
      </c>
      <c r="GA30" s="39">
        <f t="shared" si="147"/>
        <v>0.4653846153846154</v>
      </c>
      <c r="GB30" s="39">
        <f t="shared" si="147"/>
        <v>0.54153846153846164</v>
      </c>
      <c r="GC30" s="39">
        <f t="shared" si="147"/>
        <v>0.44461538461538458</v>
      </c>
      <c r="GD30" s="39">
        <f t="shared" si="147"/>
        <v>0.6576923076923078</v>
      </c>
      <c r="GE30" s="39">
        <f t="shared" si="147"/>
        <v>0.50923076923076926</v>
      </c>
      <c r="GF30" s="39">
        <f t="shared" si="147"/>
        <v>0.45230769230769224</v>
      </c>
      <c r="GG30" s="39">
        <f t="shared" si="147"/>
        <v>0.46230769230769231</v>
      </c>
      <c r="GH30" s="39">
        <f t="shared" si="147"/>
        <v>0.57999999999999996</v>
      </c>
      <c r="GI30" s="39">
        <f t="shared" si="147"/>
        <v>0.25461538461538463</v>
      </c>
      <c r="GJ30" s="129">
        <f>AVERAGEIFS(GJ$36:GJ$173,$C$36:$C$173,"=1", $B$36:$B$173,"NO OFICIAL")</f>
        <v>50.846153846153847</v>
      </c>
      <c r="GL30" s="129">
        <f>AVERAGEIFS(GL$36:GL$173,$C$36:$C$173,"=1", $B$36:$B$173,"NO OFICIAL")</f>
        <v>8.6923076923076916</v>
      </c>
      <c r="GN30" s="342">
        <f>AVERAGEIFS(GN$36:GN$173,$C$36:$C$173,"=1", $B$36:$B$173,"NO OFICIAL")</f>
        <v>0.14846153846153845</v>
      </c>
      <c r="GO30" s="342">
        <f t="shared" ref="GO30:HQ30" si="148">AVERAGEIFS(GO$36:GO$173,$C$36:$C$173,"=1", $B$36:$B$173,"NO OFICIAL")</f>
        <v>0.53076923076923077</v>
      </c>
      <c r="GP30" s="342">
        <f t="shared" si="148"/>
        <v>0.3115384615384616</v>
      </c>
      <c r="GQ30" s="342">
        <f t="shared" si="148"/>
        <v>9.2307692307692316E-3</v>
      </c>
      <c r="GR30" s="342">
        <f t="shared" si="148"/>
        <v>0.45692307692307693</v>
      </c>
      <c r="GS30" s="342">
        <f t="shared" si="148"/>
        <v>0.53461538461538471</v>
      </c>
      <c r="GT30" s="342">
        <f t="shared" si="148"/>
        <v>0.6184615384615384</v>
      </c>
      <c r="GU30" s="342">
        <f t="shared" si="148"/>
        <v>0.20153846153846156</v>
      </c>
      <c r="GV30" s="342">
        <f t="shared" si="148"/>
        <v>0.54538461538461547</v>
      </c>
      <c r="GW30" s="342">
        <f t="shared" si="148"/>
        <v>0.51846153846153842</v>
      </c>
      <c r="GX30" s="342">
        <f t="shared" si="148"/>
        <v>0.47692307692307695</v>
      </c>
      <c r="GY30" s="315" t="s">
        <v>173</v>
      </c>
      <c r="GZ30" s="342">
        <f t="shared" si="148"/>
        <v>0.2976923076923077</v>
      </c>
      <c r="HA30" s="342">
        <f t="shared" si="148"/>
        <v>0.6776923076923077</v>
      </c>
      <c r="HB30" s="342">
        <f t="shared" si="148"/>
        <v>0.46846153846153843</v>
      </c>
      <c r="HC30" s="342">
        <f t="shared" si="148"/>
        <v>0.5099999999999999</v>
      </c>
      <c r="HD30" s="342">
        <f t="shared" si="148"/>
        <v>0.56000000000000005</v>
      </c>
      <c r="HE30" s="342">
        <f t="shared" si="148"/>
        <v>0.46769230769230768</v>
      </c>
      <c r="HF30" s="342">
        <f t="shared" si="148"/>
        <v>0.4661538461538462</v>
      </c>
      <c r="HG30" s="342">
        <f t="shared" si="148"/>
        <v>0.65384615384615385</v>
      </c>
      <c r="HH30" s="342">
        <f t="shared" si="148"/>
        <v>0.37692307692307681</v>
      </c>
      <c r="HI30" s="342">
        <f t="shared" si="148"/>
        <v>0.53307692307692311</v>
      </c>
      <c r="HJ30" s="342">
        <f t="shared" si="148"/>
        <v>0.58769230769230774</v>
      </c>
      <c r="HK30" s="342">
        <f t="shared" si="148"/>
        <v>0.5146153846153847</v>
      </c>
      <c r="HL30" s="342">
        <f t="shared" si="148"/>
        <v>0.36923076923076931</v>
      </c>
      <c r="HM30" s="342">
        <f t="shared" si="148"/>
        <v>0.49076923076923085</v>
      </c>
      <c r="HN30" s="342">
        <f t="shared" si="148"/>
        <v>0.51153846153846139</v>
      </c>
      <c r="HO30" s="342">
        <f t="shared" si="148"/>
        <v>0.40923076923076923</v>
      </c>
      <c r="HP30" s="315" t="s">
        <v>173</v>
      </c>
      <c r="HQ30" s="342">
        <f t="shared" si="148"/>
        <v>0.41230769230769232</v>
      </c>
      <c r="HR30" s="129">
        <f>AVERAGEIFS(HR$36:HR$173,$C$36:$C$173,"=1", $B$36:$B$173,"NO OFICIAL")</f>
        <v>52</v>
      </c>
      <c r="HT30" s="129">
        <f>AVERAGEIFS(HT$36:HT$173,$C$36:$C$173,"=1", $B$36:$B$173,"NO OFICIAL")</f>
        <v>8.25</v>
      </c>
      <c r="HV30" s="342">
        <f>AVERAGEIFS(HV$36:HV$173,$C$36:$C$173,"=1", $B$36:$B$173,"NO OFICIAL")</f>
        <v>0.10500000000000002</v>
      </c>
      <c r="HW30" s="342">
        <f t="shared" ref="HW30:IZ30" si="149">AVERAGEIFS(HW$36:HW$173,$C$36:$C$173,"=1", $B$36:$B$173,"NO OFICIAL")</f>
        <v>0.55500000000000005</v>
      </c>
      <c r="HX30" s="342">
        <f t="shared" si="149"/>
        <v>0.32416666666666666</v>
      </c>
      <c r="HY30" s="342">
        <f t="shared" si="149"/>
        <v>1.6666666666666666E-2</v>
      </c>
      <c r="HZ30" s="342">
        <f t="shared" si="149"/>
        <v>0.3691666666666667</v>
      </c>
      <c r="IA30" s="342">
        <f t="shared" si="149"/>
        <v>0.51500000000000001</v>
      </c>
      <c r="IB30" s="342">
        <f t="shared" si="149"/>
        <v>0.33</v>
      </c>
      <c r="IC30" s="342">
        <f t="shared" si="149"/>
        <v>0.5033333333333333</v>
      </c>
      <c r="ID30" s="342">
        <f t="shared" si="149"/>
        <v>0.59666666666666668</v>
      </c>
      <c r="IE30" s="342">
        <f t="shared" si="149"/>
        <v>0.32333333333333336</v>
      </c>
      <c r="IF30" s="342">
        <f t="shared" si="149"/>
        <v>0.36333333333333334</v>
      </c>
      <c r="IG30" s="342">
        <f t="shared" si="149"/>
        <v>0.57750000000000001</v>
      </c>
      <c r="IH30" s="342">
        <f t="shared" si="149"/>
        <v>0.47583333333333327</v>
      </c>
      <c r="II30" s="342">
        <f t="shared" si="149"/>
        <v>0.24000000000000002</v>
      </c>
      <c r="IJ30" s="342">
        <f t="shared" si="149"/>
        <v>0.24333333333333332</v>
      </c>
      <c r="IK30" s="342">
        <f t="shared" si="149"/>
        <v>0.57999999999999996</v>
      </c>
      <c r="IL30" s="342">
        <f t="shared" si="149"/>
        <v>0.34083333333333332</v>
      </c>
      <c r="IM30" s="342">
        <f t="shared" si="149"/>
        <v>0.56999999999999995</v>
      </c>
      <c r="IN30" s="342">
        <f t="shared" si="149"/>
        <v>0.42500000000000004</v>
      </c>
      <c r="IO30" s="342">
        <f t="shared" si="149"/>
        <v>0.51750000000000007</v>
      </c>
      <c r="IP30" s="342">
        <f t="shared" si="149"/>
        <v>0.39916666666666667</v>
      </c>
      <c r="IQ30" s="342">
        <f t="shared" si="149"/>
        <v>0.63500000000000012</v>
      </c>
      <c r="IR30" s="342">
        <f t="shared" si="149"/>
        <v>0.58083333333333331</v>
      </c>
      <c r="IS30" s="342">
        <f t="shared" si="149"/>
        <v>0.52333333333333332</v>
      </c>
      <c r="IT30" s="342">
        <f t="shared" si="149"/>
        <v>0.40833333333333338</v>
      </c>
      <c r="IU30" s="315" t="s">
        <v>173</v>
      </c>
      <c r="IV30" s="342">
        <f t="shared" si="149"/>
        <v>0.6066666666666668</v>
      </c>
      <c r="IW30" s="342">
        <f t="shared" si="149"/>
        <v>0.39416666666666661</v>
      </c>
      <c r="IX30" s="342">
        <f t="shared" si="149"/>
        <v>0.4916666666666667</v>
      </c>
      <c r="IY30" s="342">
        <f t="shared" si="149"/>
        <v>0.50083333333333335</v>
      </c>
      <c r="IZ30" s="490">
        <f t="shared" si="149"/>
        <v>51.53846153846154</v>
      </c>
      <c r="JA30" s="495"/>
      <c r="JB30" s="300">
        <f>AVERAGEIFS(JB$36:JB$173,$C$36:$C$173,"=1", $B$36:$B$173,"NO OFICIAL")</f>
        <v>8.4615384615384617</v>
      </c>
      <c r="JC30" s="495"/>
      <c r="JD30" s="343">
        <f>AVERAGEIFS(JD$36:JD$173,$C$36:$C$173,"=1", $B$36:$B$173,"NO OFICIAL")</f>
        <v>9.4615384615384629E-2</v>
      </c>
      <c r="JE30" s="343">
        <f>AVERAGEIFS(JE$36:JE$173,$C$36:$C$173,"=1", $B$36:$B$173,"NO OFICIAL")</f>
        <v>0.56461538461538463</v>
      </c>
      <c r="JF30" s="343">
        <f>AVERAGEIFS(JF$36:JF$173,$C$36:$C$173,"=1", $B$36:$B$173,"NO OFICIAL")</f>
        <v>0.33230769230769225</v>
      </c>
      <c r="JG30" s="343">
        <f>AVERAGEIFS(JG$36:JG$173,$C$36:$C$173,"=1", $B$36:$B$173,"NO OFICIAL")</f>
        <v>9.2307692307692316E-3</v>
      </c>
      <c r="JH30" s="343">
        <f t="shared" ref="JH30:KC30" si="150">AVERAGEIFS(JH$36:JH$173,$C$36:$C$173,"=1", $B$36:$B$173,"NO OFICIAL")</f>
        <v>0.49692307692307697</v>
      </c>
      <c r="JI30" s="343">
        <f t="shared" si="150"/>
        <v>0.42692307692307696</v>
      </c>
      <c r="JJ30" s="343">
        <f t="shared" si="150"/>
        <v>0.42461538461538456</v>
      </c>
      <c r="JK30" s="343">
        <f t="shared" si="150"/>
        <v>0.46384615384615385</v>
      </c>
      <c r="JL30" s="343">
        <f t="shared" si="150"/>
        <v>0.48384615384615393</v>
      </c>
      <c r="JM30" s="343">
        <f t="shared" si="150"/>
        <v>0.50153846153846149</v>
      </c>
      <c r="JN30" s="343">
        <f t="shared" si="150"/>
        <v>0.41384615384615375</v>
      </c>
      <c r="JO30" s="343">
        <f t="shared" si="150"/>
        <v>0.46307692307692305</v>
      </c>
      <c r="JP30" s="343">
        <f t="shared" si="150"/>
        <v>0.55230769230769239</v>
      </c>
      <c r="JQ30" s="343">
        <f t="shared" si="150"/>
        <v>0.27384615384615391</v>
      </c>
      <c r="JR30" s="343">
        <f t="shared" si="150"/>
        <v>0.5823076923076923</v>
      </c>
      <c r="JS30" s="343">
        <f t="shared" si="150"/>
        <v>0.56307692307692314</v>
      </c>
      <c r="JT30" s="343">
        <f t="shared" si="150"/>
        <v>0.42230769230769238</v>
      </c>
      <c r="JU30" s="343">
        <f t="shared" si="150"/>
        <v>0.50692307692307692</v>
      </c>
      <c r="JV30" s="343">
        <f t="shared" si="150"/>
        <v>0.47538461538461541</v>
      </c>
      <c r="JW30" s="343">
        <f t="shared" si="150"/>
        <v>0.48307692307692307</v>
      </c>
      <c r="JX30" s="343">
        <f t="shared" si="150"/>
        <v>0.42384615384615382</v>
      </c>
      <c r="JY30" s="343">
        <f t="shared" si="150"/>
        <v>0.46923076923076928</v>
      </c>
      <c r="JZ30" s="343">
        <f t="shared" si="150"/>
        <v>0.43461538461538457</v>
      </c>
      <c r="KA30" s="343">
        <f t="shared" si="150"/>
        <v>0.58769230769230774</v>
      </c>
      <c r="KB30" s="343">
        <f t="shared" si="150"/>
        <v>0.41307692307692301</v>
      </c>
      <c r="KC30" s="343">
        <f t="shared" si="150"/>
        <v>0.60307692307692307</v>
      </c>
      <c r="KD30" s="343">
        <f>AVERAGEIFS(KD$36:KD$173,$C$36:$C$173,"=1", $B$36:$B$173,"NO OFICIAL")</f>
        <v>0.3446153846153846</v>
      </c>
      <c r="KE30" s="343">
        <f>AVERAGEIFS(KE$36:KE$173,$C$36:$C$173,"=1", $B$36:$B$173,"NO OFICIAL")</f>
        <v>0.49076923076923074</v>
      </c>
      <c r="KF30" s="343">
        <f>AVERAGEIFS(KF$36:KF$173,$C$36:$C$173,"=1", $B$36:$B$173,"NO OFICIAL")</f>
        <v>0.48461538461538467</v>
      </c>
      <c r="KG30" s="343">
        <f>AVERAGEIFS(KG$36:KG$173,$C$36:$C$173,"=1", $B$36:$B$173,"NO OFICIAL")</f>
        <v>0.52076923076923076</v>
      </c>
      <c r="KH30" s="129">
        <f>AVERAGEIFS(KH$36:KH$173,$C$36:$C$173,"=1", $B$36:$B$173,"NO OFICIAL")</f>
        <v>52.307692307692307</v>
      </c>
      <c r="KI30" s="970"/>
      <c r="KJ30" s="129">
        <f>AVERAGEIFS(KJ$36:KJ$173,$C$36:$C$173,"=1", $B$36:$B$173,"NO OFICIAL")</f>
        <v>8.9230769230769234</v>
      </c>
      <c r="KK30" s="970"/>
      <c r="KL30" s="342">
        <f>AVERAGEIFS(KL$36:KL$173,$C$36:$C$173,"=1", $B$36:$B$173,"NO OFICIAL")</f>
        <v>0.11076923076923076</v>
      </c>
      <c r="KM30" s="342">
        <f t="shared" ref="KM30:LO30" si="151">AVERAGEIFS(KM$36:KM$173,$C$36:$C$173,"=1", $B$36:$B$173,"NO OFICIAL")</f>
        <v>0.52230769230769236</v>
      </c>
      <c r="KN30" s="342">
        <f t="shared" si="151"/>
        <v>0.34076923076923077</v>
      </c>
      <c r="KO30" s="342">
        <f t="shared" si="151"/>
        <v>2.538461538461538E-2</v>
      </c>
      <c r="KP30" s="342">
        <f t="shared" si="151"/>
        <v>0.50230769230769223</v>
      </c>
      <c r="KQ30" s="342">
        <f t="shared" si="151"/>
        <v>0.2630769230769231</v>
      </c>
      <c r="KR30" s="342">
        <f t="shared" si="151"/>
        <v>0.57153846153846155</v>
      </c>
      <c r="KS30" s="342">
        <f t="shared" si="151"/>
        <v>0.47846153846153844</v>
      </c>
      <c r="KT30" s="342">
        <f t="shared" si="151"/>
        <v>0.5576923076923076</v>
      </c>
      <c r="KU30" s="342">
        <f t="shared" si="151"/>
        <v>0.37769230769230772</v>
      </c>
      <c r="KV30" s="342">
        <f t="shared" si="151"/>
        <v>0.6084615384615385</v>
      </c>
      <c r="KW30" s="342">
        <f t="shared" si="151"/>
        <v>0.34615384615384615</v>
      </c>
      <c r="KX30" s="342">
        <f t="shared" si="151"/>
        <v>0.3553846153846153</v>
      </c>
      <c r="KY30" s="342">
        <f t="shared" si="151"/>
        <v>0.49153846153846159</v>
      </c>
      <c r="KZ30" s="342">
        <f t="shared" si="151"/>
        <v>0.36</v>
      </c>
      <c r="LA30" s="342">
        <f t="shared" si="151"/>
        <v>0.47153846153846157</v>
      </c>
      <c r="LB30" s="342">
        <f t="shared" si="151"/>
        <v>0.41846153846153844</v>
      </c>
      <c r="LC30" s="342">
        <f t="shared" si="151"/>
        <v>0.37846153846153846</v>
      </c>
      <c r="LD30" s="342">
        <f t="shared" si="151"/>
        <v>0.57000000000000006</v>
      </c>
      <c r="LE30" s="342">
        <f t="shared" si="151"/>
        <v>0.47307692307692312</v>
      </c>
      <c r="LF30" s="342">
        <f t="shared" si="151"/>
        <v>0.3223076923076923</v>
      </c>
      <c r="LG30" s="342">
        <f t="shared" si="151"/>
        <v>0.4392307692307692</v>
      </c>
      <c r="LH30" s="342">
        <f t="shared" si="151"/>
        <v>0.54692307692307707</v>
      </c>
      <c r="LI30" s="342">
        <f t="shared" si="151"/>
        <v>0.47538461538461552</v>
      </c>
      <c r="LJ30" s="342">
        <f t="shared" si="151"/>
        <v>0.39692307692307693</v>
      </c>
      <c r="LK30" s="342">
        <f t="shared" si="151"/>
        <v>0.53230769230769237</v>
      </c>
      <c r="LL30" s="342" t="s">
        <v>173</v>
      </c>
      <c r="LM30" s="342">
        <f t="shared" si="151"/>
        <v>0.5853846153846155</v>
      </c>
      <c r="LN30" s="342">
        <f t="shared" si="151"/>
        <v>0.59692307692307689</v>
      </c>
      <c r="LO30" s="342">
        <f t="shared" si="151"/>
        <v>0.3946153846153847</v>
      </c>
    </row>
    <row r="31" spans="1:327" ht="24" customHeight="1" x14ac:dyDescent="0.2">
      <c r="A31" s="6" t="s">
        <v>783</v>
      </c>
      <c r="B31" s="299"/>
      <c r="C31" s="299"/>
      <c r="D31" s="129">
        <f>AVERAGEIFS(D$36:D$173,$C$36:$C$173,"=2", $B$36:$B$173,"NO OFICIAL")</f>
        <v>54.666666666666664</v>
      </c>
      <c r="E31" s="129">
        <f>AVERAGEIFS(E$36:E$173,$C$36:$C$173,"=2", $B$36:$B$173,"NO OFICIAL")</f>
        <v>6.8888888888888893</v>
      </c>
      <c r="F31" s="39">
        <f>AVERAGEIFS(F$36:F$173,$C$36:$C$173,"=2", $B$36:$B$173,"NO OFICIAL")</f>
        <v>4.4444444444444446E-2</v>
      </c>
      <c r="G31" s="39">
        <f t="shared" ref="G31:AG31" si="152">AVERAGEIFS(G$36:G$173,$C$36:$C$173,"=2", $B$36:$B$173,"NO OFICIAL")</f>
        <v>0.49555555555555553</v>
      </c>
      <c r="H31" s="39">
        <f t="shared" si="152"/>
        <v>0.45500000000000007</v>
      </c>
      <c r="I31" s="39">
        <f t="shared" si="152"/>
        <v>7.2222222222222228E-3</v>
      </c>
      <c r="J31" s="39">
        <f t="shared" si="152"/>
        <v>0.36388888888888887</v>
      </c>
      <c r="K31" s="39">
        <f t="shared" si="152"/>
        <v>0.2877777777777778</v>
      </c>
      <c r="L31" s="39">
        <f t="shared" si="152"/>
        <v>0.68500000000000016</v>
      </c>
      <c r="M31" s="39">
        <f t="shared" si="152"/>
        <v>0.20333333333333337</v>
      </c>
      <c r="N31" s="39">
        <f t="shared" si="152"/>
        <v>0.30166666666666669</v>
      </c>
      <c r="O31" s="39">
        <f t="shared" si="152"/>
        <v>0.67055555555555557</v>
      </c>
      <c r="P31" s="39">
        <f t="shared" si="152"/>
        <v>0.31388888888888888</v>
      </c>
      <c r="Q31" s="39">
        <f t="shared" si="152"/>
        <v>0.37111111111111117</v>
      </c>
      <c r="R31" s="39">
        <f t="shared" si="152"/>
        <v>0.49388888888888893</v>
      </c>
      <c r="S31" s="39">
        <f t="shared" si="152"/>
        <v>0.55555555555555569</v>
      </c>
      <c r="T31" s="39">
        <f t="shared" si="152"/>
        <v>0.48000000000000004</v>
      </c>
      <c r="U31" s="39">
        <f t="shared" si="152"/>
        <v>0.6216666666666667</v>
      </c>
      <c r="V31" s="39">
        <f t="shared" si="152"/>
        <v>8.0000000000000016E-2</v>
      </c>
      <c r="W31" s="39">
        <f t="shared" si="152"/>
        <v>0.15944444444444447</v>
      </c>
      <c r="X31" s="39">
        <f t="shared" si="152"/>
        <v>0.49222222222222217</v>
      </c>
      <c r="Y31" s="39">
        <f t="shared" si="152"/>
        <v>0.48500000000000004</v>
      </c>
      <c r="Z31" s="39">
        <f t="shared" si="152"/>
        <v>0.65</v>
      </c>
      <c r="AA31" s="39">
        <f t="shared" si="152"/>
        <v>9.2777777777777792E-2</v>
      </c>
      <c r="AB31" s="39">
        <f t="shared" si="152"/>
        <v>0.42555555555555563</v>
      </c>
      <c r="AC31" s="39">
        <f t="shared" si="152"/>
        <v>0.23777777777777778</v>
      </c>
      <c r="AD31" s="39">
        <f t="shared" si="152"/>
        <v>0.41388888888888897</v>
      </c>
      <c r="AE31" s="39">
        <f t="shared" si="152"/>
        <v>0.3938888888888889</v>
      </c>
      <c r="AF31" s="39">
        <f t="shared" si="152"/>
        <v>0.46611111111111114</v>
      </c>
      <c r="AG31" s="39">
        <f t="shared" si="152"/>
        <v>0.48888888888888893</v>
      </c>
      <c r="AH31" s="129">
        <f>AVERAGEIFS(AH$36:AH$173,$C$36:$C$173,"=2", $B$36:$B$173,"NO OFICIAL")</f>
        <v>52.823529411764703</v>
      </c>
      <c r="AI31" s="129">
        <f>AVERAGEIFS(AI$36:AI$173,$C$36:$C$173,"=2", $B$36:$B$173,"NO OFICIAL")</f>
        <v>7.1764705882352944</v>
      </c>
      <c r="AJ31" s="39">
        <f>AVERAGEIFS(AJ$36:AJ$173,$C$36:$C$173,"=2", $B$36:$B$173,"NO OFICIAL")</f>
        <v>8.7647058823529425E-2</v>
      </c>
      <c r="AK31" s="39">
        <f t="shared" ref="AK31:BL31" si="153">AVERAGEIFS(AK$36:AK$173,$C$36:$C$173,"=2", $B$36:$B$173,"NO OFICIAL")</f>
        <v>0.48470588235294121</v>
      </c>
      <c r="AL31" s="39">
        <f t="shared" si="153"/>
        <v>0.41588235294117648</v>
      </c>
      <c r="AM31" s="39">
        <f t="shared" si="153"/>
        <v>1.1764705882352941E-2</v>
      </c>
      <c r="AN31" s="39">
        <f t="shared" si="153"/>
        <v>0.30705882352941177</v>
      </c>
      <c r="AO31" s="39">
        <f t="shared" si="153"/>
        <v>0.41705882352941176</v>
      </c>
      <c r="AP31" s="39">
        <f t="shared" si="153"/>
        <v>0.55117647058823538</v>
      </c>
      <c r="AQ31" s="39">
        <f t="shared" si="153"/>
        <v>0.34941176470588226</v>
      </c>
      <c r="AR31" s="39">
        <f t="shared" si="153"/>
        <v>0.5358823529411767</v>
      </c>
      <c r="AS31" s="39">
        <f t="shared" si="153"/>
        <v>0.50058823529411767</v>
      </c>
      <c r="AT31" s="39">
        <f t="shared" si="153"/>
        <v>0.48058823529411776</v>
      </c>
      <c r="AU31" s="39">
        <f t="shared" si="153"/>
        <v>0.53176470588235292</v>
      </c>
      <c r="AV31" s="39">
        <f t="shared" si="153"/>
        <v>0.58941176470588219</v>
      </c>
      <c r="AW31" s="39">
        <f t="shared" si="153"/>
        <v>0.47562500000000008</v>
      </c>
      <c r="AX31" s="39">
        <f t="shared" si="153"/>
        <v>0.52823529411764703</v>
      </c>
      <c r="AY31" s="39">
        <f t="shared" si="153"/>
        <v>0.30058823529411766</v>
      </c>
      <c r="AZ31" s="39">
        <f t="shared" si="153"/>
        <v>0.24058823529411758</v>
      </c>
      <c r="BA31" s="39">
        <f t="shared" si="153"/>
        <v>0.4864705882352941</v>
      </c>
      <c r="BB31" s="39">
        <f t="shared" si="153"/>
        <v>0.62058823529411755</v>
      </c>
      <c r="BC31" s="39">
        <f t="shared" si="153"/>
        <v>0.63764705882352946</v>
      </c>
      <c r="BD31" s="39">
        <f t="shared" si="153"/>
        <v>0.42058823529411765</v>
      </c>
      <c r="BE31" s="39">
        <f t="shared" si="153"/>
        <v>0.55470588235294116</v>
      </c>
      <c r="BF31" s="39">
        <f t="shared" si="153"/>
        <v>0.63058823529411767</v>
      </c>
      <c r="BG31" s="39">
        <f t="shared" si="153"/>
        <v>0.45705882352941168</v>
      </c>
      <c r="BH31" s="39">
        <f t="shared" si="153"/>
        <v>0.43</v>
      </c>
      <c r="BI31" s="39">
        <f t="shared" si="153"/>
        <v>0.40941176470588236</v>
      </c>
      <c r="BJ31" s="39">
        <f t="shared" si="153"/>
        <v>0.34235294117647053</v>
      </c>
      <c r="BK31" s="39">
        <f t="shared" si="153"/>
        <v>0.43176470588235294</v>
      </c>
      <c r="BL31" s="39">
        <f t="shared" si="153"/>
        <v>0.45235294117647062</v>
      </c>
      <c r="BM31" s="129">
        <f>AVERAGEIFS(BM$36:BM$173,$C$36:$C$173,"=2", $B$36:$B$173,"NO OFICIAL")</f>
        <v>51.764705882352942</v>
      </c>
      <c r="BN31" s="129">
        <f>AVERAGEIFS(BN$36:BN$173,$C$36:$C$173,"=2", $B$36:$B$173,"NO OFICIAL")</f>
        <v>8.0588235294117645</v>
      </c>
      <c r="BO31" s="39">
        <f>AVERAGEIFS(BO$36:BO$173,$C$36:$C$173,"=2", $B$36:$B$173,"NO OFICIAL")</f>
        <v>9.941176470588238E-2</v>
      </c>
      <c r="BP31" s="39">
        <f t="shared" ref="BP31:CR31" si="154">AVERAGEIFS(BP$36:BP$173,$C$36:$C$173,"=2", $B$36:$B$173,"NO OFICIAL")</f>
        <v>0.56058823529411772</v>
      </c>
      <c r="BQ31" s="39">
        <f t="shared" si="154"/>
        <v>0.31705882352941173</v>
      </c>
      <c r="BR31" s="39">
        <f t="shared" si="154"/>
        <v>2.1764705882352939E-2</v>
      </c>
      <c r="BS31" s="39">
        <f t="shared" si="154"/>
        <v>0.3276470588235294</v>
      </c>
      <c r="BT31" s="39">
        <f t="shared" si="154"/>
        <v>0.5405882352941177</v>
      </c>
      <c r="BU31" s="39">
        <f t="shared" si="154"/>
        <v>0.64764705882352935</v>
      </c>
      <c r="BV31" s="39">
        <f t="shared" si="154"/>
        <v>0.34352941176470581</v>
      </c>
      <c r="BW31" s="39">
        <f t="shared" si="154"/>
        <v>0.62176470588235289</v>
      </c>
      <c r="BX31" s="39">
        <f t="shared" si="154"/>
        <v>0.36529411764705877</v>
      </c>
      <c r="BY31" s="39">
        <f t="shared" si="154"/>
        <v>0.40352941176470586</v>
      </c>
      <c r="BZ31" s="39">
        <f t="shared" si="154"/>
        <v>0.5235294117647058</v>
      </c>
      <c r="CA31" s="39">
        <f t="shared" si="154"/>
        <v>0.42470588235294121</v>
      </c>
      <c r="CB31" s="39">
        <f t="shared" si="154"/>
        <v>0.35411764705882348</v>
      </c>
      <c r="CC31" s="39">
        <f t="shared" si="154"/>
        <v>0.16588235294117648</v>
      </c>
      <c r="CD31" s="39">
        <f t="shared" si="154"/>
        <v>0.4052941176470588</v>
      </c>
      <c r="CE31" s="39">
        <f t="shared" si="154"/>
        <v>0.3252941176470589</v>
      </c>
      <c r="CF31" s="39">
        <f t="shared" si="154"/>
        <v>0.55647058823529405</v>
      </c>
      <c r="CG31" s="39">
        <f t="shared" si="154"/>
        <v>0.58470588235294119</v>
      </c>
      <c r="CH31" s="39">
        <f t="shared" si="154"/>
        <v>0.44411764705882356</v>
      </c>
      <c r="CI31" s="39">
        <f t="shared" si="154"/>
        <v>0.57176470588235284</v>
      </c>
      <c r="CJ31" s="39">
        <f t="shared" si="154"/>
        <v>0.37588235294117656</v>
      </c>
      <c r="CK31" s="39">
        <f t="shared" si="154"/>
        <v>0.6652941176470587</v>
      </c>
      <c r="CL31" s="39">
        <f t="shared" si="154"/>
        <v>0.29176470588235298</v>
      </c>
      <c r="CM31" s="39">
        <f t="shared" si="154"/>
        <v>0.41235294117647059</v>
      </c>
      <c r="CN31" s="39">
        <f t="shared" si="154"/>
        <v>0.45058823529411773</v>
      </c>
      <c r="CO31" s="39">
        <f t="shared" si="154"/>
        <v>0.40176470588235297</v>
      </c>
      <c r="CP31" s="39">
        <f t="shared" si="154"/>
        <v>0.3141176470588235</v>
      </c>
      <c r="CQ31" s="39">
        <f t="shared" si="154"/>
        <v>0.52352941176470602</v>
      </c>
      <c r="CR31" s="39">
        <f t="shared" si="154"/>
        <v>0.52117647058823524</v>
      </c>
      <c r="CS31" s="129">
        <f>AVERAGEIFS(CS$36:CS$173,$C$36:$C$173,"=2", $B$36:$B$173,"NO OFICIAL")</f>
        <v>51.5</v>
      </c>
      <c r="CT31" s="129">
        <f>AVERAGEIFS(CT$36:CT$173,$C$36:$C$173,"=2", $B$36:$B$173,"NO OFICIAL")</f>
        <v>7.9444444444444446</v>
      </c>
      <c r="CU31" s="39">
        <f>AVERAGEIFS(CU$36:CU$173,$C$36:$C$173,"=2", $B$36:$B$173,"NO OFICIAL")</f>
        <v>0.13055555555555559</v>
      </c>
      <c r="CV31" s="39">
        <f t="shared" ref="CV31:DW31" si="155">AVERAGEIFS(CV$36:CV$173,$C$36:$C$173,"=2", $B$36:$B$173,"NO OFICIAL")</f>
        <v>0.54611111111111099</v>
      </c>
      <c r="CW31" s="39">
        <f t="shared" si="155"/>
        <v>0.31055555555555558</v>
      </c>
      <c r="CX31" s="39">
        <f t="shared" si="155"/>
        <v>1.0555555555555556E-2</v>
      </c>
      <c r="CY31" s="39">
        <f t="shared" si="155"/>
        <v>0.46500000000000008</v>
      </c>
      <c r="CZ31" s="39">
        <f t="shared" si="155"/>
        <v>0.26833333333333331</v>
      </c>
      <c r="DA31" s="39">
        <f t="shared" si="155"/>
        <v>0.53444444444444461</v>
      </c>
      <c r="DB31" s="39">
        <f t="shared" si="155"/>
        <v>0.3116666666666667</v>
      </c>
      <c r="DC31" s="39">
        <f t="shared" si="155"/>
        <v>0.42111111111111105</v>
      </c>
      <c r="DD31" s="39">
        <f t="shared" si="155"/>
        <v>0.60444444444444445</v>
      </c>
      <c r="DE31" s="39">
        <f t="shared" si="155"/>
        <v>0.42555555555555558</v>
      </c>
      <c r="DF31" s="39">
        <f t="shared" si="155"/>
        <v>0.5344444444444445</v>
      </c>
      <c r="DG31" s="39">
        <f t="shared" si="155"/>
        <v>0.4022222222222222</v>
      </c>
      <c r="DH31" s="39">
        <f t="shared" si="155"/>
        <v>0.34611111111111109</v>
      </c>
      <c r="DI31" s="39">
        <f t="shared" si="155"/>
        <v>0.5377777777777778</v>
      </c>
      <c r="DJ31" s="39">
        <f t="shared" si="155"/>
        <v>0.5066666666666666</v>
      </c>
      <c r="DK31" s="39">
        <f t="shared" si="155"/>
        <v>0.36611111111111122</v>
      </c>
      <c r="DL31" s="39">
        <f t="shared" si="155"/>
        <v>0.23777777777777778</v>
      </c>
      <c r="DM31" s="39">
        <f t="shared" si="155"/>
        <v>0.49055555555555547</v>
      </c>
      <c r="DN31" s="39">
        <f t="shared" si="155"/>
        <v>0.45166666666666672</v>
      </c>
      <c r="DO31" s="39">
        <f t="shared" si="155"/>
        <v>0.38722222222222219</v>
      </c>
      <c r="DP31" s="39">
        <f t="shared" si="155"/>
        <v>0.44666666666666671</v>
      </c>
      <c r="DQ31" s="39">
        <f t="shared" si="155"/>
        <v>0.51666666666666672</v>
      </c>
      <c r="DR31" s="39">
        <f t="shared" si="155"/>
        <v>0.16388888888888886</v>
      </c>
      <c r="DS31" s="39">
        <f t="shared" si="155"/>
        <v>0.37111111111111111</v>
      </c>
      <c r="DT31" s="39">
        <f t="shared" si="155"/>
        <v>0.57388888888888889</v>
      </c>
      <c r="DU31" s="39">
        <f t="shared" si="155"/>
        <v>0.50611111111111118</v>
      </c>
      <c r="DV31" s="39">
        <f t="shared" si="155"/>
        <v>0.54500000000000004</v>
      </c>
      <c r="DW31" s="39">
        <f t="shared" si="155"/>
        <v>0.29833333333333328</v>
      </c>
      <c r="DX31" s="129">
        <f>AVERAGEIFS(DX$36:DX$173,$C$36:$C$173,"=2", $B$36:$B$173,"NO OFICIAL")</f>
        <v>49.81818181818182</v>
      </c>
      <c r="DY31" s="129">
        <f>AVERAGEIFS(DY$36:DY$173,$C$36:$C$173,"=2", $B$36:$B$173,"NO OFICIAL")</f>
        <v>7.0909090909090908</v>
      </c>
      <c r="DZ31" s="39">
        <f>AVERAGEIFS(DZ$36:DZ$173,$C$36:$C$173,"=2", $B$36:$B$173,"NO OFICIAL")</f>
        <v>0.20954545454545459</v>
      </c>
      <c r="EA31" s="39">
        <f t="shared" ref="EA31:FA31" si="156">AVERAGEIFS(EA$36:EA$173,$C$36:$C$173,"=2", $B$36:$B$173,"NO OFICIAL")</f>
        <v>0.51363636363636356</v>
      </c>
      <c r="EB31" s="39">
        <f t="shared" si="156"/>
        <v>0.26227272727272727</v>
      </c>
      <c r="EC31" s="39">
        <f t="shared" si="156"/>
        <v>1.4090909090909091E-2</v>
      </c>
      <c r="ED31" s="39">
        <f t="shared" si="156"/>
        <v>0.49545454545454548</v>
      </c>
      <c r="EE31" s="39">
        <f t="shared" si="156"/>
        <v>0.51272727272727281</v>
      </c>
      <c r="EF31" s="39">
        <f t="shared" si="156"/>
        <v>0.45590909090909099</v>
      </c>
      <c r="EG31" s="39">
        <f t="shared" si="156"/>
        <v>0.25863636363636361</v>
      </c>
      <c r="EH31" s="39">
        <f t="shared" si="156"/>
        <v>0.42181818181818181</v>
      </c>
      <c r="EI31" s="39">
        <f t="shared" si="156"/>
        <v>0.40272727272727271</v>
      </c>
      <c r="EJ31" s="39">
        <f t="shared" si="156"/>
        <v>0.55727272727272736</v>
      </c>
      <c r="EK31" s="39">
        <f t="shared" si="156"/>
        <v>0.31</v>
      </c>
      <c r="EL31" s="39">
        <f t="shared" si="156"/>
        <v>0.49454545454545451</v>
      </c>
      <c r="EM31" s="39">
        <f t="shared" si="156"/>
        <v>0.66142857142857148</v>
      </c>
      <c r="EN31" s="39">
        <f t="shared" si="156"/>
        <v>0.41090909090909095</v>
      </c>
      <c r="EO31" s="39">
        <f t="shared" si="156"/>
        <v>0.56818181818181801</v>
      </c>
      <c r="EP31" s="39">
        <f t="shared" si="156"/>
        <v>0.42136363636363627</v>
      </c>
      <c r="EQ31" s="39">
        <f t="shared" si="156"/>
        <v>0.32761904761904764</v>
      </c>
      <c r="ER31" s="39">
        <f t="shared" si="156"/>
        <v>0.61454545454545451</v>
      </c>
      <c r="ES31" s="39">
        <f t="shared" si="156"/>
        <v>0.44545454545454538</v>
      </c>
      <c r="ET31" s="39">
        <f t="shared" si="156"/>
        <v>0.31818181818181823</v>
      </c>
      <c r="EU31" s="39">
        <f t="shared" si="156"/>
        <v>0.62818181818181806</v>
      </c>
      <c r="EV31" s="39">
        <f t="shared" si="156"/>
        <v>0.30842105263157893</v>
      </c>
      <c r="EW31" s="39">
        <f t="shared" si="156"/>
        <v>0.32181818181818178</v>
      </c>
      <c r="EX31" s="39">
        <f t="shared" si="156"/>
        <v>0.63850000000000007</v>
      </c>
      <c r="EY31" s="39">
        <f t="shared" si="156"/>
        <v>0.59045454545454534</v>
      </c>
      <c r="EZ31" s="39">
        <f t="shared" si="156"/>
        <v>0.24904761904761902</v>
      </c>
      <c r="FA31" s="39">
        <f t="shared" si="156"/>
        <v>0.60181818181818181</v>
      </c>
      <c r="FB31" s="129">
        <f>AVERAGEIFS(FB$36:FB$173,$C$36:$C$173,"=2", $B$36:$B$173,"NO OFICIAL")</f>
        <v>50.3</v>
      </c>
      <c r="FD31" s="129">
        <f>AVERAGEIFS(FD$36:FD$173,$C$36:$C$173,"=2", $B$36:$B$173,"NO OFICIAL")</f>
        <v>7.7</v>
      </c>
      <c r="FF31" s="39">
        <f>AVERAGEIFS(FF$36:FF$173,$C$36:$C$173,"=2", $B$36:$B$173,"NO OFICIAL")</f>
        <v>0.1305</v>
      </c>
      <c r="FG31" s="39">
        <f t="shared" ref="FG31:GI31" si="157">AVERAGEIFS(FG$36:FG$173,$C$36:$C$173,"=2", $B$36:$B$173,"NO OFICIAL")</f>
        <v>0.58199999999999996</v>
      </c>
      <c r="FH31" s="39">
        <f t="shared" si="157"/>
        <v>0.27500000000000002</v>
      </c>
      <c r="FI31" s="39">
        <f t="shared" si="157"/>
        <v>1.3000000000000001E-2</v>
      </c>
      <c r="FJ31" s="39">
        <f t="shared" si="157"/>
        <v>0.4405</v>
      </c>
      <c r="FK31" s="39">
        <f t="shared" si="157"/>
        <v>0.62649999999999995</v>
      </c>
      <c r="FL31" s="39">
        <f t="shared" si="157"/>
        <v>0.48599999999999993</v>
      </c>
      <c r="FM31" s="39">
        <f t="shared" si="157"/>
        <v>0.4534999999999999</v>
      </c>
      <c r="FN31" s="39">
        <f t="shared" si="157"/>
        <v>0.27700000000000002</v>
      </c>
      <c r="FO31" s="39">
        <f t="shared" si="157"/>
        <v>0.28550000000000003</v>
      </c>
      <c r="FP31" s="39">
        <f t="shared" si="157"/>
        <v>0.36249999999999999</v>
      </c>
      <c r="FQ31" s="39">
        <f t="shared" si="157"/>
        <v>0.3755</v>
      </c>
      <c r="FR31" s="39">
        <f t="shared" si="157"/>
        <v>0.59250000000000014</v>
      </c>
      <c r="FS31" s="39">
        <f t="shared" si="157"/>
        <v>0.49400000000000005</v>
      </c>
      <c r="FT31" s="39">
        <f t="shared" si="157"/>
        <v>0.49350000000000016</v>
      </c>
      <c r="FU31" s="39">
        <f t="shared" si="157"/>
        <v>0.3765</v>
      </c>
      <c r="FV31" s="39">
        <f t="shared" si="157"/>
        <v>0.57350000000000001</v>
      </c>
      <c r="FW31" s="39">
        <f t="shared" si="157"/>
        <v>0.53</v>
      </c>
      <c r="FX31" s="39">
        <f t="shared" si="157"/>
        <v>0.48299999999999993</v>
      </c>
      <c r="FY31" s="39">
        <f t="shared" si="157"/>
        <v>0.374</v>
      </c>
      <c r="FZ31" s="39">
        <f t="shared" si="157"/>
        <v>0.44299999999999989</v>
      </c>
      <c r="GA31" s="39">
        <f t="shared" si="157"/>
        <v>0.4636842105263157</v>
      </c>
      <c r="GB31" s="39">
        <f t="shared" si="157"/>
        <v>0.48250000000000004</v>
      </c>
      <c r="GC31" s="39">
        <f t="shared" si="157"/>
        <v>0.45799999999999991</v>
      </c>
      <c r="GD31" s="39">
        <f t="shared" si="157"/>
        <v>0.58150000000000024</v>
      </c>
      <c r="GE31" s="39">
        <f t="shared" si="157"/>
        <v>0.48850000000000005</v>
      </c>
      <c r="GF31" s="39">
        <f t="shared" si="157"/>
        <v>0.43350000000000011</v>
      </c>
      <c r="GG31" s="39">
        <f t="shared" si="157"/>
        <v>0.44749999999999995</v>
      </c>
      <c r="GH31" s="39">
        <f t="shared" si="157"/>
        <v>0.5505000000000001</v>
      </c>
      <c r="GI31" s="39">
        <f t="shared" si="157"/>
        <v>0.30500000000000005</v>
      </c>
      <c r="GJ31" s="129">
        <f>AVERAGEIFS(GJ$36:GJ$173,$C$36:$C$173,"=2", $B$36:$B$173,"NO OFICIAL")</f>
        <v>51.857142857142854</v>
      </c>
      <c r="GL31" s="129">
        <f>AVERAGEIFS(GL$36:GL$173,$C$36:$C$173,"=2", $B$36:$B$173,"NO OFICIAL")</f>
        <v>7.8571428571428568</v>
      </c>
      <c r="GN31" s="342">
        <f>AVERAGEIFS(GN$36:GN$173,$C$36:$C$173,"=2", $B$36:$B$173,"NO OFICIAL")</f>
        <v>9.6666666666666679E-2</v>
      </c>
      <c r="GO31" s="342">
        <f t="shared" ref="GO31:HQ31" si="158">AVERAGEIFS(GO$36:GO$173,$C$36:$C$173,"=2", $B$36:$B$173,"NO OFICIAL")</f>
        <v>0.52428571428571435</v>
      </c>
      <c r="GP31" s="342">
        <f t="shared" si="158"/>
        <v>0.36809523809523814</v>
      </c>
      <c r="GQ31" s="342">
        <f t="shared" si="158"/>
        <v>1.2857142857142859E-2</v>
      </c>
      <c r="GR31" s="342">
        <f t="shared" si="158"/>
        <v>0.48285714285714287</v>
      </c>
      <c r="GS31" s="342">
        <f t="shared" si="158"/>
        <v>0.52380952380952384</v>
      </c>
      <c r="GT31" s="342">
        <f t="shared" si="158"/>
        <v>0.61857142857142855</v>
      </c>
      <c r="GU31" s="342">
        <f t="shared" si="158"/>
        <v>0.182</v>
      </c>
      <c r="GV31" s="342">
        <f t="shared" si="158"/>
        <v>0.5061904761904763</v>
      </c>
      <c r="GW31" s="342">
        <f t="shared" si="158"/>
        <v>0.41619047619047611</v>
      </c>
      <c r="GX31" s="342">
        <f t="shared" si="158"/>
        <v>0.44428571428571439</v>
      </c>
      <c r="GY31" s="315" t="s">
        <v>173</v>
      </c>
      <c r="GZ31" s="342">
        <f t="shared" si="158"/>
        <v>0.26666666666666672</v>
      </c>
      <c r="HA31" s="342">
        <f t="shared" si="158"/>
        <v>0.71899999999999986</v>
      </c>
      <c r="HB31" s="342">
        <f t="shared" si="158"/>
        <v>0.4576190476190477</v>
      </c>
      <c r="HC31" s="342">
        <f t="shared" si="158"/>
        <v>0.51047619047619042</v>
      </c>
      <c r="HD31" s="342">
        <f t="shared" si="158"/>
        <v>0.53047619047619055</v>
      </c>
      <c r="HE31" s="342">
        <f t="shared" si="158"/>
        <v>0.4238095238095238</v>
      </c>
      <c r="HF31" s="342">
        <f t="shared" si="158"/>
        <v>0.42904761904761901</v>
      </c>
      <c r="HG31" s="342">
        <f t="shared" si="158"/>
        <v>0.62904761904761897</v>
      </c>
      <c r="HH31" s="342">
        <f t="shared" si="158"/>
        <v>0.37380952380952381</v>
      </c>
      <c r="HI31" s="342">
        <f t="shared" si="158"/>
        <v>0.53238095238095229</v>
      </c>
      <c r="HJ31" s="342">
        <f t="shared" si="158"/>
        <v>0.58904761904761904</v>
      </c>
      <c r="HK31" s="342">
        <f t="shared" si="158"/>
        <v>0.5195238095238095</v>
      </c>
      <c r="HL31" s="342">
        <f t="shared" si="158"/>
        <v>0.3880952380952381</v>
      </c>
      <c r="HM31" s="342">
        <f t="shared" si="158"/>
        <v>0.47857142857142859</v>
      </c>
      <c r="HN31" s="342">
        <f t="shared" si="158"/>
        <v>0.48238095238095241</v>
      </c>
      <c r="HO31" s="342">
        <f t="shared" si="158"/>
        <v>0.4319047619047619</v>
      </c>
      <c r="HP31" s="315" t="s">
        <v>173</v>
      </c>
      <c r="HQ31" s="342">
        <f t="shared" si="158"/>
        <v>0.41476190476190472</v>
      </c>
      <c r="HR31" s="129">
        <f>AVERAGEIFS(HR$36:HR$173,$C$36:$C$173,"=2", $B$36:$B$173,"NO OFICIAL")</f>
        <v>51.68181818181818</v>
      </c>
      <c r="HT31" s="129">
        <f>AVERAGEIFS(HT$36:HT$173,$C$36:$C$173,"=2", $B$36:$B$173,"NO OFICIAL")</f>
        <v>7.7272727272727275</v>
      </c>
      <c r="HV31" s="342">
        <f>AVERAGEIFS(HV$36:HV$173,$C$36:$C$173,"=2", $B$36:$B$173,"NO OFICIAL")</f>
        <v>0.13227272727272726</v>
      </c>
      <c r="HW31" s="342">
        <f t="shared" ref="HW31:IZ31" si="159">AVERAGEIFS(HW$36:HW$173,$C$36:$C$173,"=2", $B$36:$B$173,"NO OFICIAL")</f>
        <v>0.50818181818181818</v>
      </c>
      <c r="HX31" s="342">
        <f t="shared" si="159"/>
        <v>0.33818181818181819</v>
      </c>
      <c r="HY31" s="342">
        <f t="shared" si="159"/>
        <v>2.2272727272727274E-2</v>
      </c>
      <c r="HZ31" s="342">
        <f t="shared" si="159"/>
        <v>0.3431818181818182</v>
      </c>
      <c r="IA31" s="342">
        <f t="shared" si="159"/>
        <v>0.51136363636363646</v>
      </c>
      <c r="IB31" s="342">
        <f t="shared" si="159"/>
        <v>0.25545454545454543</v>
      </c>
      <c r="IC31" s="342">
        <f t="shared" si="159"/>
        <v>0.46772727272727271</v>
      </c>
      <c r="ID31" s="342">
        <f t="shared" si="159"/>
        <v>0.62954545454545463</v>
      </c>
      <c r="IE31" s="342">
        <f t="shared" si="159"/>
        <v>0.31909090909090909</v>
      </c>
      <c r="IF31" s="342">
        <f t="shared" si="159"/>
        <v>0.44272727272727275</v>
      </c>
      <c r="IG31" s="342">
        <f t="shared" si="159"/>
        <v>0.60545454545454536</v>
      </c>
      <c r="IH31" s="342">
        <f t="shared" si="159"/>
        <v>0.50727272727272732</v>
      </c>
      <c r="II31" s="342">
        <f t="shared" si="159"/>
        <v>0.34333333333333332</v>
      </c>
      <c r="IJ31" s="342">
        <f t="shared" si="159"/>
        <v>0.29772727272727278</v>
      </c>
      <c r="IK31" s="342">
        <f t="shared" si="159"/>
        <v>0.57818181818181824</v>
      </c>
      <c r="IL31" s="342">
        <f t="shared" si="159"/>
        <v>0.32545454545454544</v>
      </c>
      <c r="IM31" s="342">
        <f t="shared" si="159"/>
        <v>0.58363636363636362</v>
      </c>
      <c r="IN31" s="342">
        <f t="shared" si="159"/>
        <v>0.44045454545454538</v>
      </c>
      <c r="IO31" s="342">
        <f t="shared" si="159"/>
        <v>0.53681818181818164</v>
      </c>
      <c r="IP31" s="342">
        <f t="shared" si="159"/>
        <v>0.38818181818181824</v>
      </c>
      <c r="IQ31" s="342">
        <f t="shared" si="159"/>
        <v>0.59000000000000019</v>
      </c>
      <c r="IR31" s="342">
        <f t="shared" si="159"/>
        <v>0.57181818181818178</v>
      </c>
      <c r="IS31" s="342">
        <f t="shared" si="159"/>
        <v>0.55045454545454553</v>
      </c>
      <c r="IT31" s="342">
        <f t="shared" si="159"/>
        <v>0.41590909090909095</v>
      </c>
      <c r="IU31" s="315" t="s">
        <v>173</v>
      </c>
      <c r="IV31" s="342">
        <f t="shared" si="159"/>
        <v>0.61590909090909107</v>
      </c>
      <c r="IW31" s="342">
        <f t="shared" si="159"/>
        <v>0.41409090909090907</v>
      </c>
      <c r="IX31" s="342">
        <f t="shared" si="159"/>
        <v>0.50727272727272732</v>
      </c>
      <c r="IY31" s="342">
        <f t="shared" si="159"/>
        <v>0.49500000000000005</v>
      </c>
      <c r="IZ31" s="490">
        <f t="shared" si="159"/>
        <v>52.65</v>
      </c>
      <c r="JA31" s="495"/>
      <c r="JB31" s="300">
        <f>AVERAGEIFS(JB$36:JB$173,$C$36:$C$173,"=2", $B$36:$B$173,"NO OFICIAL")</f>
        <v>8.75</v>
      </c>
      <c r="JC31" s="495"/>
      <c r="JD31" s="343">
        <f>AVERAGEIFS(JD$36:JD$173,$C$36:$C$173,"=2", $B$36:$B$173,"NO OFICIAL")</f>
        <v>0.13350000000000001</v>
      </c>
      <c r="JE31" s="343">
        <f>AVERAGEIFS(JE$36:JE$173,$C$36:$C$173,"=2", $B$36:$B$173,"NO OFICIAL")</f>
        <v>0.44800000000000006</v>
      </c>
      <c r="JF31" s="343">
        <f>AVERAGEIFS(JF$36:JF$173,$C$36:$C$173,"=2", $B$36:$B$173,"NO OFICIAL")</f>
        <v>0.39400000000000002</v>
      </c>
      <c r="JG31" s="343">
        <f>AVERAGEIFS(JG$36:JG$173,$C$36:$C$173,"=2", $B$36:$B$173,"NO OFICIAL")</f>
        <v>2.6000000000000002E-2</v>
      </c>
      <c r="JH31" s="343">
        <f t="shared" ref="JH31:KC31" si="160">AVERAGEIFS(JH$36:JH$173,$C$36:$C$173,"=2", $B$36:$B$173,"NO OFICIAL")</f>
        <v>0.43350000000000011</v>
      </c>
      <c r="JI31" s="343">
        <f t="shared" si="160"/>
        <v>0.43549999999999994</v>
      </c>
      <c r="JJ31" s="343">
        <f t="shared" si="160"/>
        <v>0.38499999999999995</v>
      </c>
      <c r="JK31" s="343">
        <f t="shared" si="160"/>
        <v>0.45850000000000019</v>
      </c>
      <c r="JL31" s="343">
        <f t="shared" si="160"/>
        <v>0.46250000000000002</v>
      </c>
      <c r="JM31" s="343">
        <f t="shared" si="160"/>
        <v>0.44850000000000001</v>
      </c>
      <c r="JN31" s="343">
        <f t="shared" si="160"/>
        <v>0.39650000000000007</v>
      </c>
      <c r="JO31" s="343">
        <f t="shared" si="160"/>
        <v>0.45750000000000002</v>
      </c>
      <c r="JP31" s="343">
        <f t="shared" si="160"/>
        <v>0.51400000000000001</v>
      </c>
      <c r="JQ31" s="343">
        <f t="shared" si="160"/>
        <v>0.248</v>
      </c>
      <c r="JR31" s="343">
        <f t="shared" si="160"/>
        <v>0.52300000000000002</v>
      </c>
      <c r="JS31" s="343">
        <f t="shared" si="160"/>
        <v>0.51150000000000007</v>
      </c>
      <c r="JT31" s="343">
        <f t="shared" si="160"/>
        <v>0.44600000000000006</v>
      </c>
      <c r="JU31" s="343">
        <f t="shared" si="160"/>
        <v>0.50849999999999995</v>
      </c>
      <c r="JV31" s="343">
        <f t="shared" si="160"/>
        <v>0.47350000000000014</v>
      </c>
      <c r="JW31" s="343">
        <f t="shared" si="160"/>
        <v>0.43949999999999995</v>
      </c>
      <c r="JX31" s="343">
        <f t="shared" si="160"/>
        <v>0.40250000000000002</v>
      </c>
      <c r="JY31" s="343">
        <f t="shared" si="160"/>
        <v>0.45</v>
      </c>
      <c r="JZ31" s="343">
        <f t="shared" si="160"/>
        <v>0.44350000000000006</v>
      </c>
      <c r="KA31" s="343">
        <f t="shared" si="160"/>
        <v>0.62349999999999994</v>
      </c>
      <c r="KB31" s="343">
        <f t="shared" si="160"/>
        <v>0.42750000000000005</v>
      </c>
      <c r="KC31" s="343">
        <f t="shared" si="160"/>
        <v>0.58949999999999991</v>
      </c>
      <c r="KD31" s="343">
        <f>AVERAGEIFS(KD$36:KD$173,$C$36:$C$173,"=2", $B$36:$B$173,"NO OFICIAL")</f>
        <v>0.32350000000000001</v>
      </c>
      <c r="KE31" s="343">
        <f>AVERAGEIFS(KE$36:KE$173,$C$36:$C$173,"=2", $B$36:$B$173,"NO OFICIAL")</f>
        <v>0.41649999999999998</v>
      </c>
      <c r="KF31" s="343">
        <f>AVERAGEIFS(KF$36:KF$173,$C$36:$C$173,"=2", $B$36:$B$173,"NO OFICIAL")</f>
        <v>0.41900000000000004</v>
      </c>
      <c r="KG31" s="343">
        <f>AVERAGEIFS(KG$36:KG$173,$C$36:$C$173,"=2", $B$36:$B$173,"NO OFICIAL")</f>
        <v>0.501</v>
      </c>
      <c r="KH31" s="129">
        <f>AVERAGEIFS(KH$36:KH$173,$C$36:$C$173,"=2", $B$36:$B$173,"NO OFICIAL")</f>
        <v>52.478260869565219</v>
      </c>
      <c r="KI31" s="970"/>
      <c r="KJ31" s="129">
        <f>AVERAGEIFS(KJ$36:KJ$173,$C$36:$C$173,"=2", $B$36:$B$173,"NO OFICIAL")</f>
        <v>7.9565217391304346</v>
      </c>
      <c r="KK31" s="970"/>
      <c r="KL31" s="342">
        <f>AVERAGEIFS(KL$36:KL$173,$C$36:$C$173,"=2", $B$36:$B$173,"NO OFICIAL")</f>
        <v>0.10869565217391307</v>
      </c>
      <c r="KM31" s="342">
        <f t="shared" ref="KM31:LO31" si="161">AVERAGEIFS(KM$36:KM$173,$C$36:$C$173,"=2", $B$36:$B$173,"NO OFICIAL")</f>
        <v>0.49043478260869572</v>
      </c>
      <c r="KN31" s="342">
        <f t="shared" si="161"/>
        <v>0.38478260869565217</v>
      </c>
      <c r="KO31" s="342">
        <f t="shared" si="161"/>
        <v>1.7391304347826091E-2</v>
      </c>
      <c r="KP31" s="342">
        <f t="shared" si="161"/>
        <v>0.50565217391304351</v>
      </c>
      <c r="KQ31" s="342">
        <f t="shared" si="161"/>
        <v>0.27826086956521739</v>
      </c>
      <c r="KR31" s="342">
        <f t="shared" si="161"/>
        <v>0.57478260869565212</v>
      </c>
      <c r="KS31" s="342">
        <f t="shared" si="161"/>
        <v>0.46043478260869575</v>
      </c>
      <c r="KT31" s="342">
        <f t="shared" si="161"/>
        <v>0.51826086956521744</v>
      </c>
      <c r="KU31" s="342">
        <f t="shared" si="161"/>
        <v>0.38818181818181824</v>
      </c>
      <c r="KV31" s="342">
        <f t="shared" si="161"/>
        <v>0.62347826086956537</v>
      </c>
      <c r="KW31" s="342">
        <f t="shared" si="161"/>
        <v>0.33826086956521734</v>
      </c>
      <c r="KX31" s="342">
        <f t="shared" si="161"/>
        <v>0.33434782608695651</v>
      </c>
      <c r="KY31" s="342">
        <f t="shared" si="161"/>
        <v>0.55739130434782613</v>
      </c>
      <c r="KZ31" s="342">
        <f t="shared" si="161"/>
        <v>0.3482608695652174</v>
      </c>
      <c r="LA31" s="342">
        <f t="shared" si="161"/>
        <v>0.33954545454545454</v>
      </c>
      <c r="LB31" s="342">
        <f t="shared" si="161"/>
        <v>0.36956521739130427</v>
      </c>
      <c r="LC31" s="342">
        <f t="shared" si="161"/>
        <v>0.37173913043478257</v>
      </c>
      <c r="LD31" s="342">
        <f t="shared" si="161"/>
        <v>0.55347826086956542</v>
      </c>
      <c r="LE31" s="342">
        <f t="shared" si="161"/>
        <v>0.48217391304347823</v>
      </c>
      <c r="LF31" s="342">
        <f t="shared" si="161"/>
        <v>0.31391304347826088</v>
      </c>
      <c r="LG31" s="342">
        <f t="shared" si="161"/>
        <v>0.36363636363636365</v>
      </c>
      <c r="LH31" s="342">
        <f t="shared" si="161"/>
        <v>0.53782608695652179</v>
      </c>
      <c r="LI31" s="342">
        <f t="shared" si="161"/>
        <v>0.50260869565217403</v>
      </c>
      <c r="LJ31" s="342">
        <f t="shared" si="161"/>
        <v>0.39826086956521739</v>
      </c>
      <c r="LK31" s="342">
        <f>AVERAGEIFS(LK$36:LK$173,$C$36:$C$173,"=2", $B$36:$B$173,"NO OFICIAL")</f>
        <v>0.51782608695652177</v>
      </c>
      <c r="LL31" s="342" t="s">
        <v>173</v>
      </c>
      <c r="LM31" s="342">
        <f t="shared" si="161"/>
        <v>0.56434782608695644</v>
      </c>
      <c r="LN31" s="342">
        <f t="shared" si="161"/>
        <v>0.62</v>
      </c>
      <c r="LO31" s="342">
        <f t="shared" si="161"/>
        <v>0.41086956521739137</v>
      </c>
    </row>
    <row r="32" spans="1:327" ht="24" customHeight="1" x14ac:dyDescent="0.2">
      <c r="A32" s="6" t="s">
        <v>784</v>
      </c>
      <c r="B32" s="299"/>
      <c r="C32" s="299"/>
      <c r="D32" s="129">
        <f>AVERAGEIFS(D$36:D$173,$C$36:$C$173,"=3", $B$36:$B$173,"NO OFICIAL")</f>
        <v>55.46153846153846</v>
      </c>
      <c r="E32" s="129">
        <f>AVERAGEIFS(E$36:E$173,$C$36:$C$173,"=3", $B$36:$B$173,"NO OFICIAL")</f>
        <v>7.0769230769230766</v>
      </c>
      <c r="F32" s="39">
        <f>AVERAGEIFS(F$36:F$173,$C$36:$C$173,"=3", $B$36:$B$173,"NO OFICIAL")</f>
        <v>3.1538461538461543E-2</v>
      </c>
      <c r="G32" s="39">
        <f t="shared" ref="G32:AG32" si="162">AVERAGEIFS(G$36:G$173,$C$36:$C$173,"=3", $B$36:$B$173,"NO OFICIAL")</f>
        <v>0.48538461538461536</v>
      </c>
      <c r="H32" s="39">
        <f t="shared" si="162"/>
        <v>0.47538461538461541</v>
      </c>
      <c r="I32" s="39">
        <f t="shared" si="162"/>
        <v>7.6923076923076927E-3</v>
      </c>
      <c r="J32" s="39">
        <f t="shared" si="162"/>
        <v>0.30538461538461537</v>
      </c>
      <c r="K32" s="39">
        <f t="shared" si="162"/>
        <v>0.31307692307692309</v>
      </c>
      <c r="L32" s="39">
        <f t="shared" si="162"/>
        <v>0.71615384615384614</v>
      </c>
      <c r="M32" s="39">
        <f t="shared" si="162"/>
        <v>0.17153846153846153</v>
      </c>
      <c r="N32" s="39">
        <f t="shared" si="162"/>
        <v>0.26076923076923081</v>
      </c>
      <c r="O32" s="39">
        <f t="shared" si="162"/>
        <v>0.64538461538461545</v>
      </c>
      <c r="P32" s="39">
        <f t="shared" si="162"/>
        <v>0.30384615384615382</v>
      </c>
      <c r="Q32" s="39">
        <f t="shared" si="162"/>
        <v>0.38384615384615378</v>
      </c>
      <c r="R32" s="39">
        <f t="shared" si="162"/>
        <v>0.47230769230769237</v>
      </c>
      <c r="S32" s="39">
        <f t="shared" si="162"/>
        <v>0.58692307692307688</v>
      </c>
      <c r="T32" s="39">
        <f t="shared" si="162"/>
        <v>0.44769230769230772</v>
      </c>
      <c r="U32" s="39">
        <f t="shared" si="162"/>
        <v>0.55384615384615388</v>
      </c>
      <c r="V32" s="39">
        <f t="shared" si="162"/>
        <v>5.0769230769230761E-2</v>
      </c>
      <c r="W32" s="39">
        <f t="shared" si="162"/>
        <v>0.11846153846153847</v>
      </c>
      <c r="X32" s="39">
        <f t="shared" si="162"/>
        <v>0.47153846153846157</v>
      </c>
      <c r="Y32" s="39">
        <f t="shared" si="162"/>
        <v>0.44923076923076927</v>
      </c>
      <c r="Z32" s="39">
        <f t="shared" si="162"/>
        <v>1</v>
      </c>
      <c r="AA32" s="39">
        <f t="shared" si="162"/>
        <v>9.3076923076923085E-2</v>
      </c>
      <c r="AB32" s="39">
        <f t="shared" si="162"/>
        <v>0.42538461538461542</v>
      </c>
      <c r="AC32" s="39">
        <f t="shared" si="162"/>
        <v>0.20846153846153845</v>
      </c>
      <c r="AD32" s="39">
        <f t="shared" si="162"/>
        <v>0.43153846153846154</v>
      </c>
      <c r="AE32" s="39">
        <f t="shared" si="162"/>
        <v>0.38923076923076927</v>
      </c>
      <c r="AF32" s="39">
        <f t="shared" si="162"/>
        <v>0.47384615384615386</v>
      </c>
      <c r="AG32" s="39">
        <f t="shared" si="162"/>
        <v>0.45153846153846156</v>
      </c>
      <c r="AH32" s="129">
        <f>AVERAGEIFS(AH$36:AH$173,$C$36:$C$173,"=3", $B$36:$B$173,"NO OFICIAL")</f>
        <v>53.642857142857146</v>
      </c>
      <c r="AI32" s="129">
        <f>AVERAGEIFS(AI$36:AI$173,$C$36:$C$173,"=3", $B$36:$B$173,"NO OFICIAL")</f>
        <v>7.6428571428571432</v>
      </c>
      <c r="AJ32" s="39">
        <f>AVERAGEIFS(AJ$36:AJ$173,$C$36:$C$173,"=3", $B$36:$B$173,"NO OFICIAL")</f>
        <v>4.5714285714285714E-2</v>
      </c>
      <c r="AK32" s="39">
        <f t="shared" ref="AK32:BL32" si="163">AVERAGEIFS(AK$36:AK$173,$C$36:$C$173,"=3", $B$36:$B$173,"NO OFICIAL")</f>
        <v>0.55785714285714283</v>
      </c>
      <c r="AL32" s="39">
        <f t="shared" si="163"/>
        <v>0.37785714285714295</v>
      </c>
      <c r="AM32" s="39">
        <f t="shared" si="163"/>
        <v>1.7142857142857144E-2</v>
      </c>
      <c r="AN32" s="39">
        <f t="shared" si="163"/>
        <v>0.26285714285714284</v>
      </c>
      <c r="AO32" s="39">
        <f t="shared" si="163"/>
        <v>0.45071428571428573</v>
      </c>
      <c r="AP32" s="39">
        <f t="shared" si="163"/>
        <v>0.53428571428571425</v>
      </c>
      <c r="AQ32" s="39">
        <f t="shared" si="163"/>
        <v>0.33999999999999997</v>
      </c>
      <c r="AR32" s="39">
        <f t="shared" si="163"/>
        <v>0.55500000000000005</v>
      </c>
      <c r="AS32" s="39">
        <f t="shared" si="163"/>
        <v>0.48714285714285716</v>
      </c>
      <c r="AT32" s="39">
        <f t="shared" si="163"/>
        <v>0.49142857142857149</v>
      </c>
      <c r="AU32" s="39">
        <f t="shared" si="163"/>
        <v>0.49214285714285716</v>
      </c>
      <c r="AV32" s="39">
        <f t="shared" si="163"/>
        <v>0.57999999999999996</v>
      </c>
      <c r="AW32" s="39">
        <f t="shared" si="163"/>
        <v>0.4478571428571429</v>
      </c>
      <c r="AX32" s="39">
        <f t="shared" si="163"/>
        <v>0.50142857142857145</v>
      </c>
      <c r="AY32" s="39">
        <f t="shared" si="163"/>
        <v>0.28071428571428569</v>
      </c>
      <c r="AZ32" s="39">
        <f t="shared" si="163"/>
        <v>0.27642857142857141</v>
      </c>
      <c r="BA32" s="39">
        <f t="shared" si="163"/>
        <v>0.45642857142857135</v>
      </c>
      <c r="BB32" s="39">
        <f t="shared" si="163"/>
        <v>0.65642857142857125</v>
      </c>
      <c r="BC32" s="39">
        <f t="shared" si="163"/>
        <v>0.65428571428571425</v>
      </c>
      <c r="BD32" s="39">
        <f t="shared" si="163"/>
        <v>0.36857142857142861</v>
      </c>
      <c r="BE32" s="39">
        <f t="shared" si="163"/>
        <v>0.5485714285714286</v>
      </c>
      <c r="BF32" s="39">
        <f t="shared" si="163"/>
        <v>0.59071428571428564</v>
      </c>
      <c r="BG32" s="39">
        <f t="shared" si="163"/>
        <v>0.49857142857142861</v>
      </c>
      <c r="BH32" s="39">
        <f t="shared" si="163"/>
        <v>0.39642857142857141</v>
      </c>
      <c r="BI32" s="39">
        <f t="shared" si="163"/>
        <v>0.38285714285714284</v>
      </c>
      <c r="BJ32" s="39">
        <f t="shared" si="163"/>
        <v>0.33571428571428569</v>
      </c>
      <c r="BK32" s="39">
        <f t="shared" si="163"/>
        <v>0.41571428571428576</v>
      </c>
      <c r="BL32" s="39">
        <f t="shared" si="163"/>
        <v>0.47428571428571431</v>
      </c>
      <c r="BM32" s="129">
        <f>AVERAGEIFS(BM$36:BM$173,$C$36:$C$173,"=3", $B$36:$B$173,"NO OFICIAL")</f>
        <v>52.428571428571431</v>
      </c>
      <c r="BN32" s="129">
        <f>AVERAGEIFS(BN$36:BN$173,$C$36:$C$173,"=3", $B$36:$B$173,"NO OFICIAL")</f>
        <v>8.0714285714285712</v>
      </c>
      <c r="BO32" s="39">
        <f>AVERAGEIFS(BO$36:BO$173,$C$36:$C$173,"=3", $B$36:$B$173,"NO OFICIAL")</f>
        <v>8.7857142857142856E-2</v>
      </c>
      <c r="BP32" s="39">
        <f t="shared" ref="BP32:CR32" si="164">AVERAGEIFS(BP$36:BP$173,$C$36:$C$173,"=3", $B$36:$B$173,"NO OFICIAL")</f>
        <v>0.505</v>
      </c>
      <c r="BQ32" s="39">
        <f t="shared" si="164"/>
        <v>0.39285714285714279</v>
      </c>
      <c r="BR32" s="39">
        <f t="shared" si="164"/>
        <v>1.5000000000000001E-2</v>
      </c>
      <c r="BS32" s="39">
        <f t="shared" si="164"/>
        <v>0.33071428571428568</v>
      </c>
      <c r="BT32" s="39">
        <f t="shared" si="164"/>
        <v>0.55785714285714294</v>
      </c>
      <c r="BU32" s="39">
        <f t="shared" si="164"/>
        <v>0.62785714285714289</v>
      </c>
      <c r="BV32" s="39">
        <f t="shared" si="164"/>
        <v>0.26571428571428574</v>
      </c>
      <c r="BW32" s="39">
        <f t="shared" si="164"/>
        <v>0.61285714285714288</v>
      </c>
      <c r="BX32" s="39">
        <f t="shared" si="164"/>
        <v>0.32357142857142857</v>
      </c>
      <c r="BY32" s="39">
        <f t="shared" si="164"/>
        <v>0.40785714285714286</v>
      </c>
      <c r="BZ32" s="39">
        <f t="shared" si="164"/>
        <v>0.48</v>
      </c>
      <c r="CA32" s="39">
        <f t="shared" si="164"/>
        <v>0.40642857142857147</v>
      </c>
      <c r="CB32" s="39">
        <f t="shared" si="164"/>
        <v>0.34714285714285714</v>
      </c>
      <c r="CC32" s="39">
        <f t="shared" si="164"/>
        <v>0.18714285714285714</v>
      </c>
      <c r="CD32" s="39">
        <f t="shared" si="164"/>
        <v>0.37928571428571434</v>
      </c>
      <c r="CE32" s="39">
        <f t="shared" si="164"/>
        <v>0.29857142857142854</v>
      </c>
      <c r="CF32" s="39">
        <f t="shared" si="164"/>
        <v>0.56571428571428573</v>
      </c>
      <c r="CG32" s="39">
        <f t="shared" si="164"/>
        <v>0.56285714285714294</v>
      </c>
      <c r="CH32" s="39">
        <f t="shared" si="164"/>
        <v>0.3978571428571428</v>
      </c>
      <c r="CI32" s="39">
        <f t="shared" si="164"/>
        <v>0.52785714285714291</v>
      </c>
      <c r="CJ32" s="39">
        <f t="shared" si="164"/>
        <v>0.34142857142857147</v>
      </c>
      <c r="CK32" s="39">
        <f t="shared" si="164"/>
        <v>0.65214285714285702</v>
      </c>
      <c r="CL32" s="39">
        <f t="shared" si="164"/>
        <v>0.25714285714285717</v>
      </c>
      <c r="CM32" s="39">
        <f t="shared" si="164"/>
        <v>0.40357142857142864</v>
      </c>
      <c r="CN32" s="39">
        <f t="shared" si="164"/>
        <v>0.40214285714285714</v>
      </c>
      <c r="CO32" s="39">
        <f t="shared" si="164"/>
        <v>0.41500000000000004</v>
      </c>
      <c r="CP32" s="39">
        <f t="shared" si="164"/>
        <v>0.33000000000000007</v>
      </c>
      <c r="CQ32" s="39">
        <f t="shared" si="164"/>
        <v>0.52642857142857147</v>
      </c>
      <c r="CR32" s="39">
        <f t="shared" si="164"/>
        <v>0.51214285714285712</v>
      </c>
      <c r="CS32" s="129">
        <f>AVERAGEIFS(CS$36:CS$173,$C$36:$C$173,"=3", $B$36:$B$173,"NO OFICIAL")</f>
        <v>51.142857142857146</v>
      </c>
      <c r="CT32" s="129">
        <f>AVERAGEIFS(CT$36:CT$173,$C$36:$C$173,"=3", $B$36:$B$173,"NO OFICIAL")</f>
        <v>7.9285714285714288</v>
      </c>
      <c r="CU32" s="39">
        <f>AVERAGEIFS(CU$36:CU$173,$C$36:$C$173,"=3", $B$36:$B$173,"NO OFICIAL")</f>
        <v>8.8571428571428593E-2</v>
      </c>
      <c r="CV32" s="39">
        <f t="shared" ref="CV32:DW32" si="165">AVERAGEIFS(CV$36:CV$173,$C$36:$C$173,"=3", $B$36:$B$173,"NO OFICIAL")</f>
        <v>0.62428571428571433</v>
      </c>
      <c r="CW32" s="39">
        <f t="shared" si="165"/>
        <v>0.28357142857142853</v>
      </c>
      <c r="CX32" s="39">
        <f t="shared" si="165"/>
        <v>4.2857142857142859E-3</v>
      </c>
      <c r="CY32" s="39">
        <f t="shared" si="165"/>
        <v>0.48928571428571432</v>
      </c>
      <c r="CZ32" s="39">
        <f t="shared" si="165"/>
        <v>0.29285714285714282</v>
      </c>
      <c r="DA32" s="39">
        <f t="shared" si="165"/>
        <v>0.5635714285714285</v>
      </c>
      <c r="DB32" s="39">
        <f t="shared" si="165"/>
        <v>0.36071428571428577</v>
      </c>
      <c r="DC32" s="39">
        <f t="shared" si="165"/>
        <v>0.43285714285714283</v>
      </c>
      <c r="DD32" s="39">
        <f t="shared" si="165"/>
        <v>0.59928571428571431</v>
      </c>
      <c r="DE32" s="39">
        <f t="shared" si="165"/>
        <v>0.42642857142857143</v>
      </c>
      <c r="DF32" s="39">
        <f t="shared" si="165"/>
        <v>0.5128571428571429</v>
      </c>
      <c r="DG32" s="39">
        <f t="shared" si="165"/>
        <v>0.41857142857142854</v>
      </c>
      <c r="DH32" s="39">
        <f t="shared" si="165"/>
        <v>0.32857142857142857</v>
      </c>
      <c r="DI32" s="39">
        <f t="shared" si="165"/>
        <v>0.45642857142857146</v>
      </c>
      <c r="DJ32" s="39">
        <f t="shared" si="165"/>
        <v>0.48214285714285721</v>
      </c>
      <c r="DK32" s="39">
        <f t="shared" si="165"/>
        <v>0.34142857142857136</v>
      </c>
      <c r="DL32" s="39">
        <f t="shared" si="165"/>
        <v>0.34714285714285709</v>
      </c>
      <c r="DM32" s="39">
        <f t="shared" si="165"/>
        <v>0.4885714285714286</v>
      </c>
      <c r="DN32" s="39">
        <f t="shared" si="165"/>
        <v>0.46714285714285719</v>
      </c>
      <c r="DO32" s="39">
        <f t="shared" si="165"/>
        <v>0.41714285714285709</v>
      </c>
      <c r="DP32" s="39">
        <f t="shared" si="165"/>
        <v>0.45500000000000007</v>
      </c>
      <c r="DQ32" s="39">
        <f t="shared" si="165"/>
        <v>0.53857142857142859</v>
      </c>
      <c r="DR32" s="39">
        <f t="shared" si="165"/>
        <v>0.16500000000000001</v>
      </c>
      <c r="DS32" s="39">
        <f t="shared" si="165"/>
        <v>0.34928571428571425</v>
      </c>
      <c r="DT32" s="39">
        <f t="shared" si="165"/>
        <v>0.54</v>
      </c>
      <c r="DU32" s="39">
        <f t="shared" si="165"/>
        <v>0.48714285714285704</v>
      </c>
      <c r="DV32" s="39">
        <f t="shared" si="165"/>
        <v>0.58214285714285707</v>
      </c>
      <c r="DW32" s="39">
        <f t="shared" si="165"/>
        <v>0.32500000000000001</v>
      </c>
      <c r="DX32" s="129">
        <f>AVERAGEIFS(DX$36:DX$173,$C$36:$C$173,"=3", $B$36:$B$173,"NO OFICIAL")</f>
        <v>51.4</v>
      </c>
      <c r="DY32" s="129">
        <f>AVERAGEIFS(DY$36:DY$173,$C$36:$C$173,"=3", $B$36:$B$173,"NO OFICIAL")</f>
        <v>8.4666666666666668</v>
      </c>
      <c r="DZ32" s="39">
        <f>AVERAGEIFS(DZ$36:DZ$173,$C$36:$C$173,"=3", $B$36:$B$173,"NO OFICIAL")</f>
        <v>0.14133333333333334</v>
      </c>
      <c r="EA32" s="39">
        <f t="shared" ref="EA32:FA32" si="166">AVERAGEIFS(EA$36:EA$173,$C$36:$C$173,"=3", $B$36:$B$173,"NO OFICIAL")</f>
        <v>0.52</v>
      </c>
      <c r="EB32" s="39">
        <f t="shared" si="166"/>
        <v>0.33133333333333331</v>
      </c>
      <c r="EC32" s="39">
        <f t="shared" si="166"/>
        <v>0.01</v>
      </c>
      <c r="ED32" s="39">
        <f t="shared" si="166"/>
        <v>0.47266666666666668</v>
      </c>
      <c r="EE32" s="39">
        <f t="shared" si="166"/>
        <v>0.44466666666666671</v>
      </c>
      <c r="EF32" s="39">
        <f t="shared" si="166"/>
        <v>0.46199999999999997</v>
      </c>
      <c r="EG32" s="39">
        <f t="shared" si="166"/>
        <v>0.31</v>
      </c>
      <c r="EH32" s="39">
        <f t="shared" si="166"/>
        <v>0.42066666666666669</v>
      </c>
      <c r="EI32" s="39">
        <f t="shared" si="166"/>
        <v>0.46333333333333332</v>
      </c>
      <c r="EJ32" s="39">
        <f t="shared" si="166"/>
        <v>0.54466666666666674</v>
      </c>
      <c r="EK32" s="39">
        <f t="shared" si="166"/>
        <v>0.24400000000000002</v>
      </c>
      <c r="EL32" s="39">
        <f t="shared" si="166"/>
        <v>0.43066666666666664</v>
      </c>
      <c r="EM32" s="39">
        <f t="shared" si="166"/>
        <v>0.6186666666666667</v>
      </c>
      <c r="EN32" s="39">
        <f t="shared" si="166"/>
        <v>0.40599999999999997</v>
      </c>
      <c r="EO32" s="39">
        <f t="shared" si="166"/>
        <v>0.55666666666666664</v>
      </c>
      <c r="EP32" s="39">
        <f t="shared" si="166"/>
        <v>0.31533333333333335</v>
      </c>
      <c r="EQ32" s="39">
        <f t="shared" si="166"/>
        <v>0.23600000000000002</v>
      </c>
      <c r="ER32" s="39">
        <f t="shared" si="166"/>
        <v>0.58600000000000008</v>
      </c>
      <c r="ES32" s="39">
        <f t="shared" si="166"/>
        <v>0.44399999999999989</v>
      </c>
      <c r="ET32" s="39">
        <f t="shared" si="166"/>
        <v>0.28866666666666668</v>
      </c>
      <c r="EU32" s="39">
        <f t="shared" si="166"/>
        <v>0.58933333333333338</v>
      </c>
      <c r="EV32" s="39">
        <f t="shared" si="166"/>
        <v>0.35533333333333339</v>
      </c>
      <c r="EW32" s="39">
        <f t="shared" si="166"/>
        <v>0.29133333333333333</v>
      </c>
      <c r="EX32" s="39">
        <f t="shared" si="166"/>
        <v>0.67599999999999993</v>
      </c>
      <c r="EY32" s="39">
        <f t="shared" si="166"/>
        <v>0.55533333333333335</v>
      </c>
      <c r="EZ32" s="39">
        <f t="shared" si="166"/>
        <v>0.16800000000000001</v>
      </c>
      <c r="FA32" s="39">
        <f t="shared" si="166"/>
        <v>0.58733333333333337</v>
      </c>
      <c r="FB32" s="129">
        <f>AVERAGEIFS(FB$36:FB$173,$C$36:$C$173,"=3", $B$36:$B$173,"NO OFICIAL")</f>
        <v>51.666666666666664</v>
      </c>
      <c r="FD32" s="129">
        <f>AVERAGEIFS(FD$36:FD$173,$C$36:$C$173,"=3", $B$36:$B$173,"NO OFICIAL")</f>
        <v>7.8</v>
      </c>
      <c r="FF32" s="39">
        <f>AVERAGEIFS(FF$36:FF$173,$C$36:$C$173,"=3", $B$36:$B$173,"NO OFICIAL")</f>
        <v>8.4666666666666668E-2</v>
      </c>
      <c r="FG32" s="39">
        <f t="shared" ref="FG32:GI32" si="167">AVERAGEIFS(FG$36:FG$173,$C$36:$C$173,"=3", $B$36:$B$173,"NO OFICIAL")</f>
        <v>0.58466666666666667</v>
      </c>
      <c r="FH32" s="39">
        <f t="shared" si="167"/>
        <v>0.31799999999999995</v>
      </c>
      <c r="FI32" s="39">
        <f t="shared" si="167"/>
        <v>1.1333333333333334E-2</v>
      </c>
      <c r="FJ32" s="39">
        <f t="shared" si="167"/>
        <v>0.4373333333333333</v>
      </c>
      <c r="FK32" s="39">
        <f t="shared" si="167"/>
        <v>0.65933333333333322</v>
      </c>
      <c r="FL32" s="39">
        <f t="shared" si="167"/>
        <v>0.46199999999999997</v>
      </c>
      <c r="FM32" s="39">
        <f t="shared" si="167"/>
        <v>0.39866666666666661</v>
      </c>
      <c r="FN32" s="39">
        <f t="shared" si="167"/>
        <v>0.2273333333333333</v>
      </c>
      <c r="FO32" s="39">
        <f t="shared" si="167"/>
        <v>0.3066666666666667</v>
      </c>
      <c r="FP32" s="39">
        <f t="shared" si="167"/>
        <v>0.34600000000000003</v>
      </c>
      <c r="FQ32" s="39">
        <f t="shared" si="167"/>
        <v>0.36466666666666658</v>
      </c>
      <c r="FR32" s="39">
        <f t="shared" si="167"/>
        <v>0.55866666666666664</v>
      </c>
      <c r="FS32" s="39">
        <f t="shared" si="167"/>
        <v>0.51200000000000012</v>
      </c>
      <c r="FT32" s="39">
        <f t="shared" si="167"/>
        <v>0.47266666666666668</v>
      </c>
      <c r="FU32" s="39">
        <f t="shared" si="167"/>
        <v>0.31933333333333336</v>
      </c>
      <c r="FV32" s="39">
        <f t="shared" si="167"/>
        <v>0.53933333333333333</v>
      </c>
      <c r="FW32" s="39">
        <f t="shared" si="167"/>
        <v>0.53</v>
      </c>
      <c r="FX32" s="39">
        <f t="shared" si="167"/>
        <v>0.40066666666666673</v>
      </c>
      <c r="FY32" s="39">
        <f t="shared" si="167"/>
        <v>0.3186666666666666</v>
      </c>
      <c r="FZ32" s="39">
        <f t="shared" si="167"/>
        <v>0.37933333333333336</v>
      </c>
      <c r="GA32" s="39">
        <f t="shared" si="167"/>
        <v>0.47133333333333333</v>
      </c>
      <c r="GB32" s="39">
        <f t="shared" si="167"/>
        <v>0.50466666666666671</v>
      </c>
      <c r="GC32" s="39">
        <f t="shared" si="167"/>
        <v>0.40133333333333343</v>
      </c>
      <c r="GD32" s="39">
        <f t="shared" si="167"/>
        <v>0.58933333333333315</v>
      </c>
      <c r="GE32" s="39">
        <f t="shared" si="167"/>
        <v>0.49933333333333335</v>
      </c>
      <c r="GF32" s="39">
        <f t="shared" si="167"/>
        <v>0.42133333333333328</v>
      </c>
      <c r="GG32" s="39">
        <f t="shared" si="167"/>
        <v>0.39666666666666667</v>
      </c>
      <c r="GH32" s="39">
        <f t="shared" si="167"/>
        <v>0.53133333333333332</v>
      </c>
      <c r="GI32" s="39">
        <f t="shared" si="167"/>
        <v>0.22266666666666665</v>
      </c>
      <c r="GJ32" s="129">
        <f>AVERAGEIFS(GJ$36:GJ$173,$C$36:$C$173,"=3", $B$36:$B$173,"NO OFICIAL")</f>
        <v>52.125</v>
      </c>
      <c r="GL32" s="129">
        <f>AVERAGEIFS(GL$36:GL$173,$C$36:$C$173,"=3", $B$36:$B$173,"NO OFICIAL")</f>
        <v>8.625</v>
      </c>
      <c r="GN32" s="342">
        <f>AVERAGEIFS(GN$36:GN$173,$C$36:$C$173,"=3", $B$36:$B$173,"NO OFICIAL")</f>
        <v>0.10562500000000002</v>
      </c>
      <c r="GO32" s="342">
        <f t="shared" ref="GO32:HQ32" si="168">AVERAGEIFS(GO$36:GO$173,$C$36:$C$173,"=3", $B$36:$B$173,"NO OFICIAL")</f>
        <v>0.51812499999999995</v>
      </c>
      <c r="GP32" s="342">
        <f t="shared" si="168"/>
        <v>0.35812499999999992</v>
      </c>
      <c r="GQ32" s="342">
        <f t="shared" si="168"/>
        <v>1.8749999999999999E-2</v>
      </c>
      <c r="GR32" s="342">
        <f t="shared" si="168"/>
        <v>0.48000000000000009</v>
      </c>
      <c r="GS32" s="342">
        <f t="shared" si="168"/>
        <v>0.46937499999999999</v>
      </c>
      <c r="GT32" s="342">
        <f t="shared" si="168"/>
        <v>0.58062499999999995</v>
      </c>
      <c r="GU32" s="342">
        <f t="shared" si="168"/>
        <v>0.20374999999999999</v>
      </c>
      <c r="GV32" s="342">
        <f t="shared" si="168"/>
        <v>0.52875000000000005</v>
      </c>
      <c r="GW32" s="342">
        <f t="shared" si="168"/>
        <v>0.44500000000000006</v>
      </c>
      <c r="GX32" s="342">
        <f t="shared" si="168"/>
        <v>0.43250000000000005</v>
      </c>
      <c r="GY32" s="315" t="s">
        <v>173</v>
      </c>
      <c r="GZ32" s="342">
        <f t="shared" si="168"/>
        <v>0.2475</v>
      </c>
      <c r="HA32" s="342">
        <f t="shared" si="168"/>
        <v>0.65250000000000008</v>
      </c>
      <c r="HB32" s="342">
        <f t="shared" si="168"/>
        <v>0.42875000000000002</v>
      </c>
      <c r="HC32" s="342">
        <f t="shared" si="168"/>
        <v>0.48250000000000004</v>
      </c>
      <c r="HD32" s="342">
        <f t="shared" si="168"/>
        <v>0.52437500000000004</v>
      </c>
      <c r="HE32" s="342">
        <f t="shared" si="168"/>
        <v>0.45687500000000003</v>
      </c>
      <c r="HF32" s="342">
        <f t="shared" si="168"/>
        <v>0.44812500000000005</v>
      </c>
      <c r="HG32" s="342">
        <f t="shared" si="168"/>
        <v>0.64562499999999989</v>
      </c>
      <c r="HH32" s="342">
        <f t="shared" si="168"/>
        <v>0.35062499999999996</v>
      </c>
      <c r="HI32" s="342">
        <f t="shared" si="168"/>
        <v>0.50187500000000007</v>
      </c>
      <c r="HJ32" s="342">
        <f t="shared" si="168"/>
        <v>0.58500000000000008</v>
      </c>
      <c r="HK32" s="342">
        <f t="shared" si="168"/>
        <v>0.52874999999999994</v>
      </c>
      <c r="HL32" s="342">
        <f t="shared" si="168"/>
        <v>0.40625</v>
      </c>
      <c r="HM32" s="342">
        <f t="shared" si="168"/>
        <v>0.45749999999999996</v>
      </c>
      <c r="HN32" s="342">
        <f t="shared" si="168"/>
        <v>0.46187500000000004</v>
      </c>
      <c r="HO32" s="342">
        <f t="shared" si="168"/>
        <v>0.37562499999999993</v>
      </c>
      <c r="HP32" s="315" t="s">
        <v>173</v>
      </c>
      <c r="HQ32" s="342">
        <f t="shared" si="168"/>
        <v>0.40250000000000008</v>
      </c>
      <c r="HR32" s="129">
        <f>AVERAGEIFS(HR$36:HR$173,$C$36:$C$173,"=3", $B$36:$B$173,"NO OFICIAL")</f>
        <v>52.9375</v>
      </c>
      <c r="HT32" s="129">
        <f>AVERAGEIFS(HT$36:HT$173,$C$36:$C$173,"=3", $B$36:$B$173,"NO OFICIAL")</f>
        <v>8.5</v>
      </c>
      <c r="HV32" s="342">
        <f>AVERAGEIFS(HV$36:HV$173,$C$36:$C$173,"=3", $B$36:$B$173,"NO OFICIAL")</f>
        <v>9.5625000000000002E-2</v>
      </c>
      <c r="HW32" s="342">
        <f t="shared" ref="HW32:IZ32" si="169">AVERAGEIFS(HW$36:HW$173,$C$36:$C$173,"=3", $B$36:$B$173,"NO OFICIAL")</f>
        <v>0.50187500000000007</v>
      </c>
      <c r="HX32" s="342">
        <f t="shared" si="169"/>
        <v>0.39</v>
      </c>
      <c r="HY32" s="342">
        <f t="shared" si="169"/>
        <v>1.4375000000000001E-2</v>
      </c>
      <c r="HZ32" s="342">
        <f t="shared" si="169"/>
        <v>0.32937499999999997</v>
      </c>
      <c r="IA32" s="342">
        <f t="shared" si="169"/>
        <v>0.50062499999999999</v>
      </c>
      <c r="IB32" s="342">
        <f t="shared" si="169"/>
        <v>0.32562500000000005</v>
      </c>
      <c r="IC32" s="342">
        <f t="shared" si="169"/>
        <v>0.45124999999999998</v>
      </c>
      <c r="ID32" s="342">
        <f t="shared" si="169"/>
        <v>0.60312500000000013</v>
      </c>
      <c r="IE32" s="342">
        <f t="shared" si="169"/>
        <v>0.29624999999999996</v>
      </c>
      <c r="IF32" s="342">
        <f t="shared" si="169"/>
        <v>0.38937500000000003</v>
      </c>
      <c r="IG32" s="342">
        <f t="shared" si="169"/>
        <v>0.51187499999999997</v>
      </c>
      <c r="IH32" s="342">
        <f t="shared" si="169"/>
        <v>0.48375000000000001</v>
      </c>
      <c r="II32" s="342">
        <f t="shared" si="169"/>
        <v>0.31687500000000002</v>
      </c>
      <c r="IJ32" s="342">
        <f t="shared" si="169"/>
        <v>0.24375000000000002</v>
      </c>
      <c r="IK32" s="342">
        <f t="shared" si="169"/>
        <v>0.54562500000000003</v>
      </c>
      <c r="IL32" s="342">
        <f t="shared" si="169"/>
        <v>0.30499999999999999</v>
      </c>
      <c r="IM32" s="342">
        <f t="shared" si="169"/>
        <v>0.54625000000000001</v>
      </c>
      <c r="IN32" s="342">
        <f t="shared" si="169"/>
        <v>0.40437500000000004</v>
      </c>
      <c r="IO32" s="342">
        <f t="shared" si="169"/>
        <v>0.51812500000000006</v>
      </c>
      <c r="IP32" s="342">
        <f t="shared" si="169"/>
        <v>0.37312500000000004</v>
      </c>
      <c r="IQ32" s="342">
        <f t="shared" si="169"/>
        <v>0.63812500000000005</v>
      </c>
      <c r="IR32" s="342">
        <f t="shared" si="169"/>
        <v>0.53562500000000002</v>
      </c>
      <c r="IS32" s="342">
        <f t="shared" si="169"/>
        <v>0.48000000000000004</v>
      </c>
      <c r="IT32" s="342">
        <f t="shared" si="169"/>
        <v>0.39000000000000007</v>
      </c>
      <c r="IU32" s="315" t="s">
        <v>173</v>
      </c>
      <c r="IV32" s="342">
        <f t="shared" si="169"/>
        <v>0.58250000000000002</v>
      </c>
      <c r="IW32" s="342">
        <f t="shared" si="169"/>
        <v>0.40125</v>
      </c>
      <c r="IX32" s="342">
        <f t="shared" si="169"/>
        <v>0.46187499999999992</v>
      </c>
      <c r="IY32" s="342">
        <f t="shared" si="169"/>
        <v>0.46937499999999988</v>
      </c>
      <c r="IZ32" s="490">
        <f t="shared" si="169"/>
        <v>53.375</v>
      </c>
      <c r="JA32" s="495"/>
      <c r="JB32" s="300">
        <f>AVERAGEIFS(JB$36:JB$173,$C$36:$C$173,"=3", $B$36:$B$173,"NO OFICIAL")</f>
        <v>8.3125</v>
      </c>
      <c r="JC32" s="495"/>
      <c r="JD32" s="343">
        <f>AVERAGEIFS(JD$36:JD$173,$C$36:$C$173,"=3", $B$36:$B$173,"NO OFICIAL")</f>
        <v>9.4375000000000014E-2</v>
      </c>
      <c r="JE32" s="343">
        <f>AVERAGEIFS(JE$36:JE$173,$C$36:$C$173,"=3", $B$36:$B$173,"NO OFICIAL")</f>
        <v>0.4537500000000001</v>
      </c>
      <c r="JF32" s="343">
        <f>AVERAGEIFS(JF$36:JF$173,$C$36:$C$173,"=3", $B$36:$B$173,"NO OFICIAL")</f>
        <v>0.43062499999999998</v>
      </c>
      <c r="JG32" s="343">
        <f>AVERAGEIFS(JG$36:JG$173,$C$36:$C$173,"=3", $B$36:$B$173,"NO OFICIAL")</f>
        <v>2.0000000000000004E-2</v>
      </c>
      <c r="JH32" s="343">
        <f t="shared" ref="JH32:KC32" si="170">AVERAGEIFS(JH$36:JH$173,$C$36:$C$173,"=3", $B$36:$B$173,"NO OFICIAL")</f>
        <v>0.39437499999999998</v>
      </c>
      <c r="JI32" s="343">
        <f t="shared" si="170"/>
        <v>0.39124999999999999</v>
      </c>
      <c r="JJ32" s="343">
        <f t="shared" si="170"/>
        <v>0.37937500000000002</v>
      </c>
      <c r="JK32" s="343">
        <f t="shared" si="170"/>
        <v>0.44000000000000006</v>
      </c>
      <c r="JL32" s="343">
        <f t="shared" si="170"/>
        <v>0.42875000000000002</v>
      </c>
      <c r="JM32" s="343">
        <f t="shared" si="170"/>
        <v>0.44687500000000002</v>
      </c>
      <c r="JN32" s="343">
        <f t="shared" si="170"/>
        <v>0.37437500000000001</v>
      </c>
      <c r="JO32" s="343">
        <f t="shared" si="170"/>
        <v>0.43937500000000013</v>
      </c>
      <c r="JP32" s="343">
        <f t="shared" si="170"/>
        <v>0.49562500000000004</v>
      </c>
      <c r="JQ32" s="343">
        <f t="shared" si="170"/>
        <v>0.24687500000000001</v>
      </c>
      <c r="JR32" s="343">
        <f t="shared" si="170"/>
        <v>0.55749999999999988</v>
      </c>
      <c r="JS32" s="343">
        <f t="shared" si="170"/>
        <v>0.46937499999999999</v>
      </c>
      <c r="JT32" s="343">
        <f t="shared" si="170"/>
        <v>0.37625000000000003</v>
      </c>
      <c r="JU32" s="343">
        <f t="shared" si="170"/>
        <v>0.47499999999999998</v>
      </c>
      <c r="JV32" s="343">
        <f t="shared" si="170"/>
        <v>0.45249999999999996</v>
      </c>
      <c r="JW32" s="343">
        <f t="shared" si="170"/>
        <v>0.45187500000000003</v>
      </c>
      <c r="JX32" s="343">
        <f t="shared" si="170"/>
        <v>0.36499999999999999</v>
      </c>
      <c r="JY32" s="343">
        <f t="shared" si="170"/>
        <v>0.46000000000000013</v>
      </c>
      <c r="JZ32" s="343">
        <f t="shared" si="170"/>
        <v>0.40687500000000004</v>
      </c>
      <c r="KA32" s="343">
        <f t="shared" si="170"/>
        <v>0.59000000000000008</v>
      </c>
      <c r="KB32" s="343">
        <f t="shared" si="170"/>
        <v>0.40312500000000001</v>
      </c>
      <c r="KC32" s="343">
        <f t="shared" si="170"/>
        <v>0.62312499999999993</v>
      </c>
      <c r="KD32" s="343">
        <f>AVERAGEIFS(KD$36:KD$173,$C$36:$C$173,"=3", $B$36:$B$173,"NO OFICIAL")</f>
        <v>0.33125000000000004</v>
      </c>
      <c r="KE32" s="343">
        <f>AVERAGEIFS(KE$36:KE$173,$C$36:$C$173,"=3", $B$36:$B$173,"NO OFICIAL")</f>
        <v>0.47000000000000008</v>
      </c>
      <c r="KF32" s="343">
        <f>AVERAGEIFS(KF$36:KF$173,$C$36:$C$173,"=3", $B$36:$B$173,"NO OFICIAL")</f>
        <v>0.43062500000000004</v>
      </c>
      <c r="KG32" s="343">
        <f>AVERAGEIFS(KG$36:KG$173,$C$36:$C$173,"=3", $B$36:$B$173,"NO OFICIAL")</f>
        <v>0.47812499999999991</v>
      </c>
      <c r="KH32" s="129">
        <f>AVERAGEIFS(KH$36:KH$173,$C$36:$C$173,"=3", $B$36:$B$173,"NO OFICIAL")</f>
        <v>54.0625</v>
      </c>
      <c r="KI32" s="970"/>
      <c r="KJ32" s="129">
        <f>AVERAGEIFS(KJ$36:KJ$173,$C$36:$C$173,"=3", $B$36:$B$173,"NO OFICIAL")</f>
        <v>9</v>
      </c>
      <c r="KK32" s="970"/>
      <c r="KL32" s="342">
        <f>AVERAGEIFS(KL$36:KL$173,$C$36:$C$173,"=3", $B$36:$B$173,"NO OFICIAL")</f>
        <v>9.0000000000000011E-2</v>
      </c>
      <c r="KM32" s="342">
        <f t="shared" ref="KM32:LO32" si="171">AVERAGEIFS(KM$36:KM$173,$C$36:$C$173,"=3", $B$36:$B$173,"NO OFICIAL")</f>
        <v>0.44624999999999998</v>
      </c>
      <c r="KN32" s="342">
        <f t="shared" si="171"/>
        <v>0.43437500000000001</v>
      </c>
      <c r="KO32" s="342">
        <f t="shared" si="171"/>
        <v>2.8750000000000001E-2</v>
      </c>
      <c r="KP32" s="342">
        <f t="shared" si="171"/>
        <v>0.46312500000000006</v>
      </c>
      <c r="KQ32" s="342">
        <f t="shared" si="171"/>
        <v>0.233125</v>
      </c>
      <c r="KR32" s="342">
        <f t="shared" si="171"/>
        <v>0.55937499999999996</v>
      </c>
      <c r="KS32" s="342">
        <f t="shared" si="171"/>
        <v>0.44437499999999996</v>
      </c>
      <c r="KT32" s="342">
        <f t="shared" si="171"/>
        <v>0.50812499999999994</v>
      </c>
      <c r="KU32" s="342">
        <f t="shared" si="171"/>
        <v>0.31250000000000006</v>
      </c>
      <c r="KV32" s="342">
        <f t="shared" si="171"/>
        <v>0.56062499999999993</v>
      </c>
      <c r="KW32" s="342">
        <f t="shared" si="171"/>
        <v>0.31812500000000005</v>
      </c>
      <c r="KX32" s="342">
        <f t="shared" si="171"/>
        <v>0.29437499999999994</v>
      </c>
      <c r="KY32" s="342">
        <f t="shared" si="171"/>
        <v>0.479375</v>
      </c>
      <c r="KZ32" s="342">
        <f t="shared" si="171"/>
        <v>0.33750000000000002</v>
      </c>
      <c r="LA32" s="342">
        <f t="shared" si="171"/>
        <v>0.35374999999999995</v>
      </c>
      <c r="LB32" s="342">
        <f t="shared" si="171"/>
        <v>0.38375000000000004</v>
      </c>
      <c r="LC32" s="342">
        <f t="shared" si="171"/>
        <v>0.35499999999999998</v>
      </c>
      <c r="LD32" s="342">
        <f t="shared" si="171"/>
        <v>0.52</v>
      </c>
      <c r="LE32" s="342">
        <f t="shared" si="171"/>
        <v>0.45562499999999989</v>
      </c>
      <c r="LF32" s="342">
        <f t="shared" si="171"/>
        <v>0.28937500000000005</v>
      </c>
      <c r="LG32" s="342">
        <f t="shared" si="171"/>
        <v>0.36125000000000007</v>
      </c>
      <c r="LH32" s="342">
        <f t="shared" si="171"/>
        <v>0.50937500000000002</v>
      </c>
      <c r="LI32" s="342">
        <f t="shared" si="171"/>
        <v>0.47125</v>
      </c>
      <c r="LJ32" s="342">
        <f t="shared" si="171"/>
        <v>0.3775</v>
      </c>
      <c r="LK32" s="342">
        <f>AVERAGEIFS(LK$36:LK$173,$C$36:$C$173,"=3", $B$36:$B$173,"NO OFICIAL")</f>
        <v>0.52812500000000007</v>
      </c>
      <c r="LL32" s="342" t="s">
        <v>173</v>
      </c>
      <c r="LM32" s="342">
        <f t="shared" si="171"/>
        <v>0.54437499999999994</v>
      </c>
      <c r="LN32" s="342">
        <f t="shared" si="171"/>
        <v>0.54562499999999992</v>
      </c>
      <c r="LO32" s="342">
        <f t="shared" si="171"/>
        <v>0.37624999999999997</v>
      </c>
    </row>
    <row r="33" spans="1:332" ht="24.95" customHeight="1" x14ac:dyDescent="0.2">
      <c r="A33" s="6" t="s">
        <v>785</v>
      </c>
      <c r="B33" s="299"/>
      <c r="C33" s="299"/>
      <c r="D33" s="129">
        <f>AVERAGEIFS(D$36:D$173,$C$36:$C$173,"=4", $B$36:$B$173,"NO OFICIAL")</f>
        <v>51.625</v>
      </c>
      <c r="E33" s="129">
        <f>AVERAGEIFS(E$36:E$173,$C$36:$C$173,"=4", $B$36:$B$173,"NO OFICIAL")</f>
        <v>6.75</v>
      </c>
      <c r="F33" s="39">
        <f>AVERAGEIFS(F$36:F$173,$C$36:$C$173,"=4", $B$36:$B$173,"NO OFICIAL")</f>
        <v>0.13375000000000001</v>
      </c>
      <c r="G33" s="39">
        <f t="shared" ref="G33:AG33" si="172">AVERAGEIFS(G$36:G$173,$C$36:$C$173,"=4", $B$36:$B$173,"NO OFICIAL")</f>
        <v>0.54374999999999996</v>
      </c>
      <c r="H33" s="39">
        <f t="shared" si="172"/>
        <v>0.32374999999999998</v>
      </c>
      <c r="I33" s="39">
        <f t="shared" si="172"/>
        <v>0</v>
      </c>
      <c r="J33" s="39">
        <f t="shared" si="172"/>
        <v>0.47250000000000003</v>
      </c>
      <c r="K33" s="39">
        <f t="shared" si="172"/>
        <v>0.46</v>
      </c>
      <c r="L33" s="39">
        <f t="shared" si="172"/>
        <v>0.77124999999999999</v>
      </c>
      <c r="M33" s="39">
        <f t="shared" si="172"/>
        <v>0.31</v>
      </c>
      <c r="N33" s="39">
        <f t="shared" si="172"/>
        <v>0.3125</v>
      </c>
      <c r="O33" s="39">
        <f t="shared" si="172"/>
        <v>0.61375000000000002</v>
      </c>
      <c r="P33" s="39">
        <f t="shared" si="172"/>
        <v>0.375</v>
      </c>
      <c r="Q33" s="39">
        <f t="shared" si="172"/>
        <v>0.38875000000000004</v>
      </c>
      <c r="R33" s="39">
        <f t="shared" si="172"/>
        <v>0.52749999999999997</v>
      </c>
      <c r="S33" s="39">
        <f t="shared" si="172"/>
        <v>0.54249999999999998</v>
      </c>
      <c r="T33" s="39">
        <f t="shared" si="172"/>
        <v>0.41499999999999998</v>
      </c>
      <c r="U33" s="39">
        <f t="shared" si="172"/>
        <v>0.64</v>
      </c>
      <c r="V33" s="39">
        <f t="shared" si="172"/>
        <v>8.2500000000000004E-2</v>
      </c>
      <c r="W33" s="39">
        <f t="shared" si="172"/>
        <v>0.20500000000000002</v>
      </c>
      <c r="X33" s="39">
        <f t="shared" si="172"/>
        <v>0.56875000000000009</v>
      </c>
      <c r="Y33" s="39">
        <f t="shared" si="172"/>
        <v>0.57874999999999999</v>
      </c>
      <c r="Z33" s="39">
        <f t="shared" si="172"/>
        <v>0.75</v>
      </c>
      <c r="AA33" s="39">
        <f t="shared" si="172"/>
        <v>0.15875</v>
      </c>
      <c r="AB33" s="39">
        <f t="shared" si="172"/>
        <v>0.51875000000000004</v>
      </c>
      <c r="AC33" s="39">
        <f t="shared" si="172"/>
        <v>0.39374999999999999</v>
      </c>
      <c r="AD33" s="39">
        <f t="shared" si="172"/>
        <v>0.49999999999999994</v>
      </c>
      <c r="AE33" s="39">
        <f t="shared" si="172"/>
        <v>0.50249999999999995</v>
      </c>
      <c r="AF33" s="39">
        <f t="shared" si="172"/>
        <v>0.495</v>
      </c>
      <c r="AG33" s="39">
        <f t="shared" si="172"/>
        <v>0.55249999999999999</v>
      </c>
      <c r="AH33" s="129">
        <f>AVERAGEIFS(AH$36:AH$173,$C$36:$C$173,"=4", $B$36:$B$173,"NO OFICIAL")</f>
        <v>52.111111111111114</v>
      </c>
      <c r="AI33" s="129">
        <f>AVERAGEIFS(AI$36:AI$173,$C$36:$C$173,"=4", $B$36:$B$173,"NO OFICIAL")</f>
        <v>6.4444444444444446</v>
      </c>
      <c r="AJ33" s="39">
        <f>AVERAGEIFS(AJ$36:AJ$173,$C$36:$C$173,"=4", $B$36:$B$173,"NO OFICIAL")</f>
        <v>0.10666666666666666</v>
      </c>
      <c r="AK33" s="39">
        <f t="shared" ref="AK33:BL33" si="173">AVERAGEIFS(AK$36:AK$173,$C$36:$C$173,"=4", $B$36:$B$173,"NO OFICIAL")</f>
        <v>0.48777777777777787</v>
      </c>
      <c r="AL33" s="39">
        <f t="shared" si="173"/>
        <v>0.40333333333333332</v>
      </c>
      <c r="AM33" s="39">
        <f t="shared" si="173"/>
        <v>3.3333333333333331E-3</v>
      </c>
      <c r="AN33" s="39">
        <f t="shared" si="173"/>
        <v>0.23666666666666666</v>
      </c>
      <c r="AO33" s="39">
        <f t="shared" si="173"/>
        <v>0.39777777777777779</v>
      </c>
      <c r="AP33" s="39">
        <f t="shared" si="173"/>
        <v>0.60555555555555562</v>
      </c>
      <c r="AQ33" s="39">
        <f t="shared" si="173"/>
        <v>0.39111111111111113</v>
      </c>
      <c r="AR33" s="39">
        <f t="shared" si="173"/>
        <v>0.57111111111111112</v>
      </c>
      <c r="AS33" s="39">
        <f t="shared" si="173"/>
        <v>0.51333333333333331</v>
      </c>
      <c r="AT33" s="39">
        <f t="shared" si="173"/>
        <v>0.52888888888888896</v>
      </c>
      <c r="AU33" s="39">
        <f t="shared" si="173"/>
        <v>0.53</v>
      </c>
      <c r="AV33" s="39">
        <f t="shared" si="173"/>
        <v>0.60000000000000009</v>
      </c>
      <c r="AW33" s="39">
        <f t="shared" si="173"/>
        <v>0.4466666666666666</v>
      </c>
      <c r="AX33" s="39">
        <f t="shared" si="173"/>
        <v>0.5774999999999999</v>
      </c>
      <c r="AY33" s="39">
        <f t="shared" si="173"/>
        <v>0.3477777777777778</v>
      </c>
      <c r="AZ33" s="39">
        <f t="shared" si="173"/>
        <v>0.35666666666666669</v>
      </c>
      <c r="BA33" s="39">
        <f t="shared" si="173"/>
        <v>0.46666666666666667</v>
      </c>
      <c r="BB33" s="39">
        <f t="shared" si="173"/>
        <v>0.60111111111111104</v>
      </c>
      <c r="BC33" s="39">
        <f t="shared" si="173"/>
        <v>0.55888888888888888</v>
      </c>
      <c r="BD33" s="39">
        <f t="shared" si="173"/>
        <v>0.42666666666666669</v>
      </c>
      <c r="BE33" s="39">
        <f t="shared" si="173"/>
        <v>0.53333333333333333</v>
      </c>
      <c r="BF33" s="39">
        <f t="shared" si="173"/>
        <v>0.61124999999999996</v>
      </c>
      <c r="BG33" s="39">
        <f t="shared" si="173"/>
        <v>0.43333333333333335</v>
      </c>
      <c r="BH33" s="39">
        <f t="shared" si="173"/>
        <v>0.43333333333333335</v>
      </c>
      <c r="BI33" s="39">
        <f t="shared" si="173"/>
        <v>0.39888888888888885</v>
      </c>
      <c r="BJ33" s="39">
        <f t="shared" si="173"/>
        <v>0.44</v>
      </c>
      <c r="BK33" s="39">
        <f t="shared" si="173"/>
        <v>0.43555555555555553</v>
      </c>
      <c r="BL33" s="39">
        <f t="shared" si="173"/>
        <v>0.46250000000000002</v>
      </c>
      <c r="BM33" s="129">
        <f>AVERAGEIFS(BM$36:BM$173,$C$36:$C$173,"=4", $B$36:$B$173,"NO OFICIAL")</f>
        <v>51.111111111111114</v>
      </c>
      <c r="BN33" s="129">
        <f>AVERAGEIFS(BN$36:BN$173,$C$36:$C$173,"=4", $B$36:$B$173,"NO OFICIAL")</f>
        <v>7</v>
      </c>
      <c r="BO33" s="39">
        <f>AVERAGEIFS(BO$36:BO$173,$C$36:$C$173,"=4", $B$36:$B$173,"NO OFICIAL")</f>
        <v>0.13</v>
      </c>
      <c r="BP33" s="39">
        <f t="shared" ref="BP33:CR33" si="174">AVERAGEIFS(BP$36:BP$173,$C$36:$C$173,"=4", $B$36:$B$173,"NO OFICIAL")</f>
        <v>0.55333333333333323</v>
      </c>
      <c r="BQ33" s="39">
        <f t="shared" si="174"/>
        <v>0.31555555555555559</v>
      </c>
      <c r="BR33" s="39">
        <f t="shared" si="174"/>
        <v>2.2222222222222222E-3</v>
      </c>
      <c r="BS33" s="39">
        <f t="shared" si="174"/>
        <v>0.32666666666666661</v>
      </c>
      <c r="BT33" s="39">
        <f t="shared" si="174"/>
        <v>0.66333333333333333</v>
      </c>
      <c r="BU33" s="39">
        <f t="shared" si="174"/>
        <v>0.67222222222222205</v>
      </c>
      <c r="BV33" s="39">
        <f t="shared" si="174"/>
        <v>0.28888888888888892</v>
      </c>
      <c r="BW33" s="39">
        <f t="shared" si="174"/>
        <v>0.67666666666666664</v>
      </c>
      <c r="BX33" s="39">
        <f t="shared" si="174"/>
        <v>0.40222222222222226</v>
      </c>
      <c r="BY33" s="39">
        <f t="shared" si="174"/>
        <v>0.47222222222222221</v>
      </c>
      <c r="BZ33" s="39">
        <f t="shared" si="174"/>
        <v>0.5377777777777778</v>
      </c>
      <c r="CA33" s="39">
        <f t="shared" si="174"/>
        <v>0.52</v>
      </c>
      <c r="CB33" s="39">
        <f t="shared" si="174"/>
        <v>0.3644444444444444</v>
      </c>
      <c r="CC33" s="39">
        <f t="shared" si="174"/>
        <v>0.17777777777777778</v>
      </c>
      <c r="CD33" s="39">
        <f t="shared" si="174"/>
        <v>0.42333333333333328</v>
      </c>
      <c r="CE33" s="39">
        <f t="shared" si="174"/>
        <v>0.27444444444444449</v>
      </c>
      <c r="CF33" s="39">
        <f t="shared" si="174"/>
        <v>0.59</v>
      </c>
      <c r="CG33" s="39">
        <f t="shared" si="174"/>
        <v>0.56111111111111112</v>
      </c>
      <c r="CH33" s="39">
        <f t="shared" si="174"/>
        <v>0.45444444444444443</v>
      </c>
      <c r="CI33" s="39">
        <f t="shared" si="174"/>
        <v>0.59222222222222221</v>
      </c>
      <c r="CJ33" s="39">
        <f t="shared" si="174"/>
        <v>0.26222222222222219</v>
      </c>
      <c r="CK33" s="39">
        <f t="shared" si="174"/>
        <v>0.74444444444444446</v>
      </c>
      <c r="CL33" s="39">
        <f t="shared" si="174"/>
        <v>0.31333333333333335</v>
      </c>
      <c r="CM33" s="39">
        <f t="shared" si="174"/>
        <v>0.42666666666666664</v>
      </c>
      <c r="CN33" s="39">
        <f t="shared" si="174"/>
        <v>0.4366666666666667</v>
      </c>
      <c r="CO33" s="39">
        <f t="shared" si="174"/>
        <v>0.54333333333333345</v>
      </c>
      <c r="CP33" s="39">
        <f t="shared" si="174"/>
        <v>0.34111111111111109</v>
      </c>
      <c r="CQ33" s="39">
        <f t="shared" si="174"/>
        <v>0.5</v>
      </c>
      <c r="CR33" s="39">
        <f t="shared" si="174"/>
        <v>0.51</v>
      </c>
      <c r="CS33" s="129">
        <f>AVERAGEIFS(CS$36:CS$173,$C$36:$C$173,"=4", $B$36:$B$173,"NO OFICIAL")</f>
        <v>49.375</v>
      </c>
      <c r="CT33" s="129">
        <f>AVERAGEIFS(CT$36:CT$173,$C$36:$C$173,"=4", $B$36:$B$173,"NO OFICIAL")</f>
        <v>7.25</v>
      </c>
      <c r="CU33" s="39">
        <f>AVERAGEIFS(CU$36:CU$173,$C$36:$C$173,"=4", $B$36:$B$173,"NO OFICIAL")</f>
        <v>0.13375000000000001</v>
      </c>
      <c r="CV33" s="39">
        <f t="shared" ref="CV33:DW33" si="175">AVERAGEIFS(CV$36:CV$173,$C$36:$C$173,"=4", $B$36:$B$173,"NO OFICIAL")</f>
        <v>0.64999999999999991</v>
      </c>
      <c r="CW33" s="39">
        <f t="shared" si="175"/>
        <v>0.21375</v>
      </c>
      <c r="CX33" s="39">
        <f t="shared" si="175"/>
        <v>2.5000000000000001E-3</v>
      </c>
      <c r="CY33" s="39">
        <f t="shared" si="175"/>
        <v>0.51124999999999998</v>
      </c>
      <c r="CZ33" s="39">
        <f t="shared" si="175"/>
        <v>0.3125</v>
      </c>
      <c r="DA33" s="39">
        <f t="shared" si="175"/>
        <v>0.57999999999999996</v>
      </c>
      <c r="DB33" s="39">
        <f t="shared" si="175"/>
        <v>0.37874999999999998</v>
      </c>
      <c r="DC33" s="39">
        <f t="shared" si="175"/>
        <v>0.41374999999999995</v>
      </c>
      <c r="DD33" s="39">
        <f t="shared" si="175"/>
        <v>0.62249999999999994</v>
      </c>
      <c r="DE33" s="39">
        <f t="shared" si="175"/>
        <v>0.45625000000000004</v>
      </c>
      <c r="DF33" s="39">
        <f t="shared" si="175"/>
        <v>0.56125000000000003</v>
      </c>
      <c r="DG33" s="39">
        <f t="shared" si="175"/>
        <v>0.43374999999999997</v>
      </c>
      <c r="DH33" s="39">
        <f t="shared" si="175"/>
        <v>0.36125000000000002</v>
      </c>
      <c r="DI33" s="39">
        <f t="shared" si="175"/>
        <v>0.495</v>
      </c>
      <c r="DJ33" s="39">
        <f t="shared" si="175"/>
        <v>0.57375000000000009</v>
      </c>
      <c r="DK33" s="39">
        <f t="shared" si="175"/>
        <v>0.3775</v>
      </c>
      <c r="DL33" s="39">
        <f t="shared" si="175"/>
        <v>0.39624999999999999</v>
      </c>
      <c r="DM33" s="39">
        <f t="shared" si="175"/>
        <v>0.5</v>
      </c>
      <c r="DN33" s="39">
        <f t="shared" si="175"/>
        <v>0.50250000000000006</v>
      </c>
      <c r="DO33" s="39">
        <f t="shared" si="175"/>
        <v>0.47125000000000006</v>
      </c>
      <c r="DP33" s="39">
        <f t="shared" si="175"/>
        <v>0.48374999999999996</v>
      </c>
      <c r="DQ33" s="39">
        <f t="shared" si="175"/>
        <v>0.55500000000000005</v>
      </c>
      <c r="DR33" s="39">
        <f t="shared" si="175"/>
        <v>0.215</v>
      </c>
      <c r="DS33" s="39">
        <f t="shared" si="175"/>
        <v>0.41750000000000004</v>
      </c>
      <c r="DT33" s="39">
        <f t="shared" si="175"/>
        <v>0.56625000000000003</v>
      </c>
      <c r="DU33" s="39">
        <f t="shared" si="175"/>
        <v>0.40125</v>
      </c>
      <c r="DV33" s="39">
        <f t="shared" si="175"/>
        <v>0.61124999999999996</v>
      </c>
      <c r="DW33" s="39">
        <f t="shared" si="175"/>
        <v>0.36375000000000002</v>
      </c>
      <c r="DX33" s="129">
        <f>AVERAGEIFS(DX$36:DX$173,$C$36:$C$173,"=4", $B$36:$B$173,"NO OFICIAL")</f>
        <v>48.571428571428569</v>
      </c>
      <c r="DY33" s="129">
        <f>AVERAGEIFS(DY$36:DY$173,$C$36:$C$173,"=4", $B$36:$B$173,"NO OFICIAL")</f>
        <v>8.2857142857142865</v>
      </c>
      <c r="DZ33" s="39">
        <f>AVERAGEIFS(DZ$36:DZ$173,$C$36:$C$173,"=4", $B$36:$B$173,"NO OFICIAL")</f>
        <v>0.20714285714285716</v>
      </c>
      <c r="EA33" s="39">
        <f t="shared" ref="EA33:FA33" si="176">AVERAGEIFS(EA$36:EA$173,$C$36:$C$173,"=4", $B$36:$B$173,"NO OFICIAL")</f>
        <v>0.51714285714285713</v>
      </c>
      <c r="EB33" s="39">
        <f t="shared" si="176"/>
        <v>0.2742857142857143</v>
      </c>
      <c r="EC33" s="39">
        <f t="shared" si="176"/>
        <v>2.8571428571428571E-3</v>
      </c>
      <c r="ED33" s="39">
        <f t="shared" si="176"/>
        <v>0.56285714285714294</v>
      </c>
      <c r="EE33" s="39">
        <f t="shared" si="176"/>
        <v>0.46571428571428575</v>
      </c>
      <c r="EF33" s="39">
        <f t="shared" si="176"/>
        <v>0.48999999999999994</v>
      </c>
      <c r="EG33" s="39">
        <f t="shared" si="176"/>
        <v>0.33571428571428574</v>
      </c>
      <c r="EH33" s="39">
        <f t="shared" si="176"/>
        <v>0.44142857142857139</v>
      </c>
      <c r="EI33" s="39">
        <f t="shared" si="176"/>
        <v>0.57714285714285718</v>
      </c>
      <c r="EJ33" s="39">
        <f t="shared" si="176"/>
        <v>0.55142857142857149</v>
      </c>
      <c r="EK33" s="39">
        <f t="shared" si="176"/>
        <v>0.25571428571428573</v>
      </c>
      <c r="EL33" s="39">
        <f t="shared" si="176"/>
        <v>0.51285714285714279</v>
      </c>
      <c r="EM33" s="39">
        <f t="shared" si="176"/>
        <v>0.67714285714285716</v>
      </c>
      <c r="EN33" s="39">
        <f t="shared" si="176"/>
        <v>0.44428571428571434</v>
      </c>
      <c r="EO33" s="39">
        <f t="shared" si="176"/>
        <v>0.60857142857142854</v>
      </c>
      <c r="EP33" s="39">
        <f t="shared" si="176"/>
        <v>0.38142857142857139</v>
      </c>
      <c r="EQ33" s="39">
        <f t="shared" si="176"/>
        <v>0.32714285714285712</v>
      </c>
      <c r="ER33" s="39">
        <f t="shared" si="176"/>
        <v>0.59</v>
      </c>
      <c r="ES33" s="39">
        <f t="shared" si="176"/>
        <v>0.4628571428571428</v>
      </c>
      <c r="ET33" s="39">
        <f t="shared" si="176"/>
        <v>0.36285714285714288</v>
      </c>
      <c r="EU33" s="39">
        <f t="shared" si="176"/>
        <v>0.59714285714285709</v>
      </c>
      <c r="EV33" s="39">
        <f t="shared" si="176"/>
        <v>0.36</v>
      </c>
      <c r="EW33" s="39">
        <f t="shared" si="176"/>
        <v>0.38714285714285712</v>
      </c>
      <c r="EX33" s="39">
        <f t="shared" si="176"/>
        <v>0.75285714285714289</v>
      </c>
      <c r="EY33" s="39">
        <f t="shared" si="176"/>
        <v>0.59428571428571431</v>
      </c>
      <c r="EZ33" s="39">
        <f t="shared" si="176"/>
        <v>0.24428571428571427</v>
      </c>
      <c r="FA33" s="39">
        <f t="shared" si="176"/>
        <v>0.6428571428571429</v>
      </c>
      <c r="FB33" s="129">
        <f>AVERAGEIFS(FB$36:FB$173,$C$36:$C$173,"=4", $B$36:$B$173,"NO OFICIAL")</f>
        <v>48.75</v>
      </c>
      <c r="FD33" s="129">
        <f>AVERAGEIFS(FD$36:FD$173,$C$36:$C$173,"=4", $B$36:$B$173,"NO OFICIAL")</f>
        <v>6.875</v>
      </c>
      <c r="FF33" s="39">
        <f>AVERAGEIFS(FF$36:FF$173,$C$36:$C$173,"=4", $B$36:$B$173,"NO OFICIAL")</f>
        <v>0.14750000000000002</v>
      </c>
      <c r="FG33" s="39">
        <f t="shared" ref="FG33:GI33" si="177">AVERAGEIFS(FG$36:FG$173,$C$36:$C$173,"=4", $B$36:$B$173,"NO OFICIAL")</f>
        <v>0.65249999999999997</v>
      </c>
      <c r="FH33" s="39">
        <f t="shared" si="177"/>
        <v>0.2</v>
      </c>
      <c r="FI33" s="39">
        <f t="shared" si="177"/>
        <v>2.5000000000000001E-3</v>
      </c>
      <c r="FJ33" s="39">
        <f t="shared" si="177"/>
        <v>0.54375000000000007</v>
      </c>
      <c r="FK33" s="39">
        <f t="shared" si="177"/>
        <v>0.65375000000000005</v>
      </c>
      <c r="FL33" s="39">
        <f t="shared" si="177"/>
        <v>0.52750000000000008</v>
      </c>
      <c r="FM33" s="39">
        <f t="shared" si="177"/>
        <v>0.52</v>
      </c>
      <c r="FN33" s="39">
        <f t="shared" si="177"/>
        <v>0.31714285714285717</v>
      </c>
      <c r="FO33" s="39">
        <f t="shared" si="177"/>
        <v>0.38750000000000001</v>
      </c>
      <c r="FP33" s="39">
        <f t="shared" si="177"/>
        <v>0.44624999999999998</v>
      </c>
      <c r="FQ33" s="39">
        <f t="shared" si="177"/>
        <v>0.44249999999999995</v>
      </c>
      <c r="FR33" s="39">
        <f t="shared" si="177"/>
        <v>0.5575</v>
      </c>
      <c r="FS33" s="39">
        <f t="shared" si="177"/>
        <v>0.58374999999999999</v>
      </c>
      <c r="FT33" s="39">
        <f t="shared" si="177"/>
        <v>0.53125</v>
      </c>
      <c r="FU33" s="39">
        <f t="shared" si="177"/>
        <v>0.41571428571428576</v>
      </c>
      <c r="FV33" s="39">
        <f t="shared" si="177"/>
        <v>0.64499999999999991</v>
      </c>
      <c r="FW33" s="39">
        <f t="shared" si="177"/>
        <v>0.54125000000000001</v>
      </c>
      <c r="FX33" s="39">
        <f t="shared" si="177"/>
        <v>0.49874999999999997</v>
      </c>
      <c r="FY33" s="39">
        <f t="shared" si="177"/>
        <v>0.32875000000000004</v>
      </c>
      <c r="FZ33" s="39">
        <f t="shared" si="177"/>
        <v>0.39500000000000007</v>
      </c>
      <c r="GA33" s="39">
        <f t="shared" si="177"/>
        <v>0.48124999999999996</v>
      </c>
      <c r="GB33" s="39">
        <f t="shared" si="177"/>
        <v>0.6412500000000001</v>
      </c>
      <c r="GC33" s="39">
        <f t="shared" si="177"/>
        <v>0.44624999999999998</v>
      </c>
      <c r="GD33" s="39">
        <f t="shared" si="177"/>
        <v>0.65499999999999992</v>
      </c>
      <c r="GE33" s="39">
        <f t="shared" si="177"/>
        <v>0.45124999999999998</v>
      </c>
      <c r="GF33" s="39">
        <f t="shared" si="177"/>
        <v>0.46</v>
      </c>
      <c r="GG33" s="39">
        <f t="shared" si="177"/>
        <v>0.50625000000000009</v>
      </c>
      <c r="GH33" s="39">
        <f t="shared" si="177"/>
        <v>0.53</v>
      </c>
      <c r="GI33" s="39">
        <f t="shared" si="177"/>
        <v>0.26</v>
      </c>
      <c r="GJ33" s="129">
        <f>AVERAGEIFS(GJ$36:GJ$173,$C$36:$C$173,"=4", $B$36:$B$173,"NO OFICIAL")</f>
        <v>50.25</v>
      </c>
      <c r="GL33" s="129">
        <f>AVERAGEIFS(GL$36:GL$173,$C$36:$C$173,"=4", $B$36:$B$173,"NO OFICIAL")</f>
        <v>8.375</v>
      </c>
      <c r="GN33" s="342">
        <f>AVERAGEIFS(GN$36:GN$173,$C$36:$C$173,"=4", $B$36:$B$173,"NO OFICIAL")</f>
        <v>0.17250000000000004</v>
      </c>
      <c r="GO33" s="342">
        <f t="shared" ref="GO33:HQ33" si="178">AVERAGEIFS(GO$36:GO$173,$C$36:$C$173,"=4", $B$36:$B$173,"NO OFICIAL")</f>
        <v>0.55125000000000002</v>
      </c>
      <c r="GP33" s="342">
        <f t="shared" si="178"/>
        <v>0.25625000000000003</v>
      </c>
      <c r="GQ33" s="342">
        <f t="shared" si="178"/>
        <v>0.02</v>
      </c>
      <c r="GR33" s="342">
        <f t="shared" si="178"/>
        <v>0.5</v>
      </c>
      <c r="GS33" s="342">
        <f t="shared" si="178"/>
        <v>0.56000000000000005</v>
      </c>
      <c r="GT33" s="342">
        <f t="shared" si="178"/>
        <v>0.61750000000000005</v>
      </c>
      <c r="GU33" s="342">
        <f t="shared" si="178"/>
        <v>0.29250000000000004</v>
      </c>
      <c r="GV33" s="342">
        <f t="shared" si="178"/>
        <v>0.61124999999999996</v>
      </c>
      <c r="GW33" s="342">
        <f t="shared" si="178"/>
        <v>0.45750000000000002</v>
      </c>
      <c r="GX33" s="342">
        <f t="shared" si="178"/>
        <v>0.47875000000000001</v>
      </c>
      <c r="GY33" s="315" t="s">
        <v>173</v>
      </c>
      <c r="GZ33" s="342">
        <f t="shared" si="178"/>
        <v>0.31125000000000003</v>
      </c>
      <c r="HA33" s="342">
        <f t="shared" si="178"/>
        <v>0.64874999999999994</v>
      </c>
      <c r="HB33" s="342">
        <f t="shared" si="178"/>
        <v>0.46249999999999997</v>
      </c>
      <c r="HC33" s="342">
        <f t="shared" si="178"/>
        <v>0.52875000000000005</v>
      </c>
      <c r="HD33" s="342">
        <f t="shared" si="178"/>
        <v>0.55875000000000008</v>
      </c>
      <c r="HE33" s="342">
        <f t="shared" si="178"/>
        <v>0.44999999999999996</v>
      </c>
      <c r="HF33" s="342">
        <f t="shared" si="178"/>
        <v>0.47625000000000006</v>
      </c>
      <c r="HG33" s="342">
        <f t="shared" si="178"/>
        <v>0.65000000000000013</v>
      </c>
      <c r="HH33" s="342">
        <f t="shared" si="178"/>
        <v>0.40000000000000008</v>
      </c>
      <c r="HI33" s="342">
        <f t="shared" si="178"/>
        <v>0.57375000000000009</v>
      </c>
      <c r="HJ33" s="342">
        <f t="shared" si="178"/>
        <v>0.58875000000000011</v>
      </c>
      <c r="HK33" s="342">
        <f t="shared" si="178"/>
        <v>0.47249999999999998</v>
      </c>
      <c r="HL33" s="342">
        <f t="shared" si="178"/>
        <v>0.41375000000000001</v>
      </c>
      <c r="HM33" s="342">
        <f t="shared" si="178"/>
        <v>0.48</v>
      </c>
      <c r="HN33" s="342">
        <f t="shared" si="178"/>
        <v>0.42999999999999994</v>
      </c>
      <c r="HO33" s="342">
        <f t="shared" si="178"/>
        <v>0.40750000000000003</v>
      </c>
      <c r="HP33" s="315" t="s">
        <v>173</v>
      </c>
      <c r="HQ33" s="342">
        <f t="shared" si="178"/>
        <v>0.42750000000000005</v>
      </c>
      <c r="HR33" s="129">
        <f>AVERAGEIFS(HR$36:HR$173,$C$36:$C$173,"=4", $B$36:$B$173,"NO OFICIAL")</f>
        <v>48.888888888888886</v>
      </c>
      <c r="HT33" s="129">
        <f>AVERAGEIFS(HT$36:HT$173,$C$36:$C$173,"=4", $B$36:$B$173,"NO OFICIAL")</f>
        <v>7.7777777777777777</v>
      </c>
      <c r="HV33" s="342">
        <f>AVERAGEIFS(HV$36:HV$173,$C$36:$C$173,"=4", $B$36:$B$173,"NO OFICIAL")</f>
        <v>0.16444444444444445</v>
      </c>
      <c r="HW33" s="342">
        <f t="shared" ref="HW33:IZ33" si="179">AVERAGEIFS(HW$36:HW$173,$C$36:$C$173,"=4", $B$36:$B$173,"NO OFICIAL")</f>
        <v>0.5888888888888888</v>
      </c>
      <c r="HX33" s="342">
        <f t="shared" si="179"/>
        <v>0.24333333333333337</v>
      </c>
      <c r="HY33" s="342">
        <f t="shared" si="179"/>
        <v>4.4444444444444444E-3</v>
      </c>
      <c r="HZ33" s="342">
        <f t="shared" si="179"/>
        <v>0.40777777777777779</v>
      </c>
      <c r="IA33" s="342">
        <f t="shared" si="179"/>
        <v>0.56444444444444453</v>
      </c>
      <c r="IB33" s="342">
        <f t="shared" si="179"/>
        <v>0.3511111111111111</v>
      </c>
      <c r="IC33" s="342">
        <f t="shared" si="179"/>
        <v>0.56222222222222229</v>
      </c>
      <c r="ID33" s="342">
        <f t="shared" si="179"/>
        <v>0.68</v>
      </c>
      <c r="IE33" s="342">
        <f t="shared" si="179"/>
        <v>0.41555555555555551</v>
      </c>
      <c r="IF33" s="342">
        <f t="shared" si="179"/>
        <v>0.46111111111111114</v>
      </c>
      <c r="IG33" s="342">
        <f t="shared" si="179"/>
        <v>0.53111111111111109</v>
      </c>
      <c r="IH33" s="342">
        <f t="shared" si="179"/>
        <v>0.60000000000000009</v>
      </c>
      <c r="II33" s="342">
        <f t="shared" si="179"/>
        <v>0.41333333333333333</v>
      </c>
      <c r="IJ33" s="342">
        <f t="shared" si="179"/>
        <v>0.30777777777777776</v>
      </c>
      <c r="IK33" s="342">
        <f t="shared" si="179"/>
        <v>0.57888888888888879</v>
      </c>
      <c r="IL33" s="342">
        <f t="shared" si="179"/>
        <v>0.3355555555555555</v>
      </c>
      <c r="IM33" s="342">
        <f t="shared" si="179"/>
        <v>0.59111111111111114</v>
      </c>
      <c r="IN33" s="342">
        <f t="shared" si="179"/>
        <v>0.51222222222222225</v>
      </c>
      <c r="IO33" s="342">
        <f t="shared" si="179"/>
        <v>0.57444444444444454</v>
      </c>
      <c r="IP33" s="342">
        <f t="shared" si="179"/>
        <v>0.47888888888888892</v>
      </c>
      <c r="IQ33" s="342">
        <f t="shared" si="179"/>
        <v>0.66222222222222227</v>
      </c>
      <c r="IR33" s="342">
        <f t="shared" si="179"/>
        <v>0.61111111111111116</v>
      </c>
      <c r="IS33" s="342">
        <f t="shared" si="179"/>
        <v>0.56666666666666665</v>
      </c>
      <c r="IT33" s="342">
        <f t="shared" si="179"/>
        <v>0.47222222222222221</v>
      </c>
      <c r="IU33" s="315" t="s">
        <v>173</v>
      </c>
      <c r="IV33" s="342">
        <f t="shared" si="179"/>
        <v>0.66222222222222216</v>
      </c>
      <c r="IW33" s="342">
        <f t="shared" si="179"/>
        <v>0.40666666666666662</v>
      </c>
      <c r="IX33" s="342">
        <f t="shared" si="179"/>
        <v>0.55888888888888877</v>
      </c>
      <c r="IY33" s="342">
        <f t="shared" si="179"/>
        <v>0.52111111111111119</v>
      </c>
      <c r="IZ33" s="490">
        <f t="shared" si="179"/>
        <v>51.857142857142854</v>
      </c>
      <c r="JA33" s="495"/>
      <c r="JB33" s="300">
        <f>AVERAGEIFS(JB$36:JB$173,$C$36:$C$173,"=4", $B$36:$B$173,"NO OFICIAL")</f>
        <v>9</v>
      </c>
      <c r="JC33" s="495"/>
      <c r="JD33" s="343">
        <f>AVERAGEIFS(JD$36:JD$173,$C$36:$C$173,"=4", $B$36:$B$173,"NO OFICIAL")</f>
        <v>0.11</v>
      </c>
      <c r="JE33" s="343">
        <f>AVERAGEIFS(JE$36:JE$173,$C$36:$C$173,"=4", $B$36:$B$173,"NO OFICIAL")</f>
        <v>0.53857142857142848</v>
      </c>
      <c r="JF33" s="343">
        <f>AVERAGEIFS(JF$36:JF$173,$C$36:$C$173,"=4", $B$36:$B$173,"NO OFICIAL")</f>
        <v>0.33571428571428574</v>
      </c>
      <c r="JG33" s="343">
        <f>AVERAGEIFS(JG$36:JG$173,$C$36:$C$173,"=4", $B$36:$B$173,"NO OFICIAL")</f>
        <v>1.8571428571428572E-2</v>
      </c>
      <c r="JH33" s="343">
        <f t="shared" ref="JH33:KC33" si="180">AVERAGEIFS(JH$36:JH$173,$C$36:$C$173,"=4", $B$36:$B$173,"NO OFICIAL")</f>
        <v>0.45285714285714285</v>
      </c>
      <c r="JI33" s="343">
        <f t="shared" si="180"/>
        <v>0.45857142857142857</v>
      </c>
      <c r="JJ33" s="343">
        <f t="shared" si="180"/>
        <v>0.42142857142857143</v>
      </c>
      <c r="JK33" s="343">
        <f t="shared" si="180"/>
        <v>0.46571428571428569</v>
      </c>
      <c r="JL33" s="343">
        <f t="shared" si="180"/>
        <v>0.4871428571428571</v>
      </c>
      <c r="JM33" s="343">
        <f t="shared" si="180"/>
        <v>0.49857142857142855</v>
      </c>
      <c r="JN33" s="343">
        <f t="shared" si="180"/>
        <v>0.39</v>
      </c>
      <c r="JO33" s="343">
        <f t="shared" si="180"/>
        <v>0.45000000000000007</v>
      </c>
      <c r="JP33" s="343">
        <f t="shared" si="180"/>
        <v>0.52857142857142858</v>
      </c>
      <c r="JQ33" s="343">
        <f t="shared" si="180"/>
        <v>0.25571428571428573</v>
      </c>
      <c r="JR33" s="343">
        <f t="shared" si="180"/>
        <v>0.6</v>
      </c>
      <c r="JS33" s="343">
        <f t="shared" si="180"/>
        <v>0.5585714285714285</v>
      </c>
      <c r="JT33" s="343">
        <f t="shared" si="180"/>
        <v>0.46</v>
      </c>
      <c r="JU33" s="343">
        <f t="shared" si="180"/>
        <v>0.53285714285714281</v>
      </c>
      <c r="JV33" s="343">
        <f t="shared" si="180"/>
        <v>0.47285714285714286</v>
      </c>
      <c r="JW33" s="343">
        <f t="shared" si="180"/>
        <v>0.42428571428571432</v>
      </c>
      <c r="JX33" s="343">
        <f t="shared" si="180"/>
        <v>0.46714285714285714</v>
      </c>
      <c r="JY33" s="343">
        <f t="shared" si="180"/>
        <v>0.43428571428571422</v>
      </c>
      <c r="JZ33" s="343">
        <f t="shared" si="180"/>
        <v>0.40857142857142853</v>
      </c>
      <c r="KA33" s="343">
        <f t="shared" si="180"/>
        <v>0.63428571428571423</v>
      </c>
      <c r="KB33" s="343">
        <f t="shared" si="180"/>
        <v>0.45285714285714285</v>
      </c>
      <c r="KC33" s="343">
        <f t="shared" si="180"/>
        <v>0.5971428571428572</v>
      </c>
      <c r="KD33" s="343">
        <f>AVERAGEIFS(KD$36:KD$173,$C$36:$C$173,"=4", $B$36:$B$173,"NO OFICIAL")</f>
        <v>0.32714285714285724</v>
      </c>
      <c r="KE33" s="343">
        <f>AVERAGEIFS(KE$36:KE$173,$C$36:$C$173,"=4", $B$36:$B$173,"NO OFICIAL")</f>
        <v>0.46142857142857147</v>
      </c>
      <c r="KF33" s="343">
        <f>AVERAGEIFS(KF$36:KF$173,$C$36:$C$173,"=4", $B$36:$B$173,"NO OFICIAL")</f>
        <v>0.43</v>
      </c>
      <c r="KG33" s="343">
        <f>AVERAGEIFS(KG$36:KG$173,$C$36:$C$173,"=4", $B$36:$B$173,"NO OFICIAL")</f>
        <v>0.52142857142857146</v>
      </c>
      <c r="KH33" s="129">
        <f>AVERAGEIFS(KH$36:KH$173,$C$36:$C$173,"=4", $B$36:$B$173,"NO OFICIAL")</f>
        <v>53.444444444444443</v>
      </c>
      <c r="KI33" s="970"/>
      <c r="KJ33" s="129">
        <f>AVERAGEIFS(KJ$36:KJ$173,$C$36:$C$173,"=4", $B$36:$B$173,"NO OFICIAL")</f>
        <v>7.5555555555555554</v>
      </c>
      <c r="KK33" s="970"/>
      <c r="KL33" s="342">
        <f>AVERAGEIFS(KL$36:KL$173,$C$36:$C$173,"=4", $B$36:$B$173,"NO OFICIAL")</f>
        <v>6.777777777777777E-2</v>
      </c>
      <c r="KM33" s="342">
        <f t="shared" ref="KM33:LO33" si="181">AVERAGEIFS(KM$36:KM$173,$C$36:$C$173,"=4", $B$36:$B$173,"NO OFICIAL")</f>
        <v>0.53888888888888897</v>
      </c>
      <c r="KN33" s="342">
        <f t="shared" si="181"/>
        <v>0.36777777777777781</v>
      </c>
      <c r="KO33" s="342">
        <f t="shared" si="181"/>
        <v>2.3333333333333334E-2</v>
      </c>
      <c r="KP33" s="342">
        <f t="shared" si="181"/>
        <v>0.48666666666666664</v>
      </c>
      <c r="KQ33" s="342">
        <f t="shared" si="181"/>
        <v>0.19444444444444448</v>
      </c>
      <c r="KR33" s="342">
        <f t="shared" si="181"/>
        <v>0.56111111111111112</v>
      </c>
      <c r="KS33" s="342">
        <f t="shared" si="181"/>
        <v>0.43777777777777771</v>
      </c>
      <c r="KT33" s="342">
        <f t="shared" si="181"/>
        <v>0.52333333333333332</v>
      </c>
      <c r="KU33" s="342">
        <f t="shared" si="181"/>
        <v>0.4744444444444445</v>
      </c>
      <c r="KV33" s="342">
        <f t="shared" si="181"/>
        <v>0.6166666666666667</v>
      </c>
      <c r="KW33" s="342">
        <f t="shared" si="181"/>
        <v>0.32333333333333336</v>
      </c>
      <c r="KX33" s="342">
        <f t="shared" si="181"/>
        <v>0.26222222222222219</v>
      </c>
      <c r="KY33" s="342">
        <f t="shared" si="181"/>
        <v>0.5211111111111113</v>
      </c>
      <c r="KZ33" s="342">
        <f t="shared" si="181"/>
        <v>0.34</v>
      </c>
      <c r="LA33" s="342">
        <f t="shared" si="181"/>
        <v>0.30333333333333334</v>
      </c>
      <c r="LB33" s="342">
        <f t="shared" si="181"/>
        <v>0.32999999999999996</v>
      </c>
      <c r="LC33" s="342">
        <f t="shared" si="181"/>
        <v>0.32666666666666666</v>
      </c>
      <c r="LD33" s="342">
        <f t="shared" si="181"/>
        <v>0.52555555555555555</v>
      </c>
      <c r="LE33" s="342">
        <f t="shared" si="181"/>
        <v>0.41888888888888887</v>
      </c>
      <c r="LF33" s="342">
        <f t="shared" si="181"/>
        <v>0.29555555555555557</v>
      </c>
      <c r="LG33" s="342">
        <f t="shared" si="181"/>
        <v>0.40875</v>
      </c>
      <c r="LH33" s="342">
        <f t="shared" si="181"/>
        <v>0.57444444444444442</v>
      </c>
      <c r="LI33" s="342">
        <f t="shared" si="181"/>
        <v>0.46666666666666667</v>
      </c>
      <c r="LJ33" s="342">
        <f t="shared" si="181"/>
        <v>0.41666666666666669</v>
      </c>
      <c r="LK33" s="342">
        <f>AVERAGEIFS(LK$36:LK$173,$C$36:$C$173,"=4", $B$36:$B$173,"NO OFICIAL")</f>
        <v>0.48777777777777775</v>
      </c>
      <c r="LL33" s="342" t="s">
        <v>173</v>
      </c>
      <c r="LM33" s="342">
        <f t="shared" si="181"/>
        <v>0.47333333333333333</v>
      </c>
      <c r="LN33" s="342">
        <f t="shared" si="181"/>
        <v>0.60888888888888892</v>
      </c>
      <c r="LO33" s="342">
        <f t="shared" si="181"/>
        <v>0.39374999999999993</v>
      </c>
    </row>
    <row r="34" spans="1:332" ht="24.95" customHeight="1" x14ac:dyDescent="0.2">
      <c r="A34" s="6" t="s">
        <v>786</v>
      </c>
      <c r="B34" s="299"/>
      <c r="C34" s="299"/>
      <c r="D34" s="129">
        <f>AVERAGEIFS(D$36:D$173,$C$36:$C$173,"=5", $B$36:$B$173,"NO OFICIAL")</f>
        <v>56.642857142857146</v>
      </c>
      <c r="E34" s="129">
        <f>AVERAGEIFS(E$36:E$173,$C$36:$C$173,"=5", $B$36:$B$173,"NO OFICIAL")</f>
        <v>6.5714285714285712</v>
      </c>
      <c r="F34" s="39">
        <f>AVERAGEIFS(F$36:F$173,$C$36:$C$173,"=5", $B$36:$B$173,"NO OFICIAL")</f>
        <v>1.5000000000000001E-2</v>
      </c>
      <c r="G34" s="39">
        <f t="shared" ref="G34:AG34" si="182">AVERAGEIFS(G$36:G$173,$C$36:$C$173,"=5", $B$36:$B$173,"NO OFICIAL")</f>
        <v>0.44714285714285723</v>
      </c>
      <c r="H34" s="39">
        <f t="shared" si="182"/>
        <v>0.51928571428571424</v>
      </c>
      <c r="I34" s="39">
        <f t="shared" si="182"/>
        <v>1.6428571428571431E-2</v>
      </c>
      <c r="J34" s="39">
        <f t="shared" si="182"/>
        <v>0.29285714285714282</v>
      </c>
      <c r="K34" s="39">
        <f t="shared" si="182"/>
        <v>0.30428571428571427</v>
      </c>
      <c r="L34" s="39">
        <f t="shared" si="182"/>
        <v>0.69000000000000006</v>
      </c>
      <c r="M34" s="39">
        <f t="shared" si="182"/>
        <v>0.15</v>
      </c>
      <c r="N34" s="39">
        <f t="shared" si="182"/>
        <v>0.23428571428571429</v>
      </c>
      <c r="O34" s="39">
        <f t="shared" si="182"/>
        <v>0.66928571428571437</v>
      </c>
      <c r="P34" s="39">
        <f t="shared" si="182"/>
        <v>0.30857142857142861</v>
      </c>
      <c r="Q34" s="39">
        <f t="shared" si="182"/>
        <v>0.37214285714285716</v>
      </c>
      <c r="R34" s="39">
        <f t="shared" si="182"/>
        <v>0.50071428571428556</v>
      </c>
      <c r="S34" s="39">
        <f t="shared" si="182"/>
        <v>0.55642857142857138</v>
      </c>
      <c r="T34" s="39">
        <f t="shared" si="182"/>
        <v>0.42499999999999993</v>
      </c>
      <c r="U34" s="39">
        <f t="shared" si="182"/>
        <v>0.51642857142857146</v>
      </c>
      <c r="V34" s="39">
        <f t="shared" si="182"/>
        <v>4.7857142857142855E-2</v>
      </c>
      <c r="W34" s="39">
        <f t="shared" si="182"/>
        <v>0.12428571428571429</v>
      </c>
      <c r="X34" s="39">
        <f t="shared" si="182"/>
        <v>0.44214285714285717</v>
      </c>
      <c r="Y34" s="39">
        <f t="shared" si="182"/>
        <v>0.4499999999999999</v>
      </c>
      <c r="Z34" s="39">
        <f t="shared" si="182"/>
        <v>0.75</v>
      </c>
      <c r="AA34" s="39">
        <f t="shared" si="182"/>
        <v>7.4999999999999997E-2</v>
      </c>
      <c r="AB34" s="39">
        <f t="shared" si="182"/>
        <v>0.42428571428571432</v>
      </c>
      <c r="AC34" s="39">
        <f t="shared" si="182"/>
        <v>0.18714285714285708</v>
      </c>
      <c r="AD34" s="39">
        <f t="shared" si="182"/>
        <v>0.38</v>
      </c>
      <c r="AE34" s="39">
        <f t="shared" si="182"/>
        <v>0.31285714285714289</v>
      </c>
      <c r="AF34" s="39">
        <f t="shared" si="182"/>
        <v>0.46571428571428569</v>
      </c>
      <c r="AG34" s="39">
        <f t="shared" si="182"/>
        <v>0.46785714285714286</v>
      </c>
      <c r="AH34" s="129">
        <f>AVERAGEIFS(AH$36:AH$173,$C$36:$C$173,"=5", $B$36:$B$173,"NO OFICIAL")</f>
        <v>55.357142857142854</v>
      </c>
      <c r="AI34" s="129">
        <f>AVERAGEIFS(AI$36:AI$173,$C$36:$C$173,"=5", $B$36:$B$173,"NO OFICIAL")</f>
        <v>7.7142857142857144</v>
      </c>
      <c r="AJ34" s="39">
        <f>AVERAGEIFS(AJ$36:AJ$173,$C$36:$C$173,"=5", $B$36:$B$173,"NO OFICIAL")</f>
        <v>6.0714285714285714E-2</v>
      </c>
      <c r="AK34" s="39">
        <f t="shared" ref="AK34:BL34" si="183">AVERAGEIFS(AK$36:AK$173,$C$36:$C$173,"=5", $B$36:$B$173,"NO OFICIAL")</f>
        <v>0.41785714285714287</v>
      </c>
      <c r="AL34" s="39">
        <f t="shared" si="183"/>
        <v>0.5128571428571429</v>
      </c>
      <c r="AM34" s="39">
        <f t="shared" si="183"/>
        <v>9.285714285714286E-3</v>
      </c>
      <c r="AN34" s="39">
        <f t="shared" si="183"/>
        <v>0.22285714285714286</v>
      </c>
      <c r="AO34" s="39">
        <f t="shared" si="183"/>
        <v>0.43714285714285717</v>
      </c>
      <c r="AP34" s="39">
        <f t="shared" si="183"/>
        <v>0.48785714285714288</v>
      </c>
      <c r="AQ34" s="39">
        <f t="shared" si="183"/>
        <v>0.29785714285714276</v>
      </c>
      <c r="AR34" s="39">
        <f t="shared" si="183"/>
        <v>0.48142857142857143</v>
      </c>
      <c r="AS34" s="39">
        <f t="shared" si="183"/>
        <v>0.44857142857142851</v>
      </c>
      <c r="AT34" s="39">
        <f t="shared" si="183"/>
        <v>0.45</v>
      </c>
      <c r="AU34" s="39">
        <f t="shared" si="183"/>
        <v>0.42214285714285721</v>
      </c>
      <c r="AV34" s="39">
        <f t="shared" si="183"/>
        <v>0.52714285714285714</v>
      </c>
      <c r="AW34" s="39">
        <f t="shared" si="183"/>
        <v>0.44642857142857151</v>
      </c>
      <c r="AX34" s="39">
        <f t="shared" si="183"/>
        <v>0.47499999999999998</v>
      </c>
      <c r="AY34" s="39">
        <f t="shared" si="183"/>
        <v>0.26000000000000006</v>
      </c>
      <c r="AZ34" s="39">
        <f t="shared" si="183"/>
        <v>0.19857142857142859</v>
      </c>
      <c r="BA34" s="39">
        <f t="shared" si="183"/>
        <v>0.39214285714285707</v>
      </c>
      <c r="BB34" s="39">
        <f t="shared" si="183"/>
        <v>0.58785714285714286</v>
      </c>
      <c r="BC34" s="39">
        <f t="shared" si="183"/>
        <v>0.59785714285714298</v>
      </c>
      <c r="BD34" s="39">
        <f t="shared" si="183"/>
        <v>0.37642857142857145</v>
      </c>
      <c r="BE34" s="39">
        <f t="shared" si="183"/>
        <v>0.55071428571428582</v>
      </c>
      <c r="BF34" s="39">
        <f t="shared" si="183"/>
        <v>0.54428571428571426</v>
      </c>
      <c r="BG34" s="39">
        <f t="shared" si="183"/>
        <v>0.44571428571428567</v>
      </c>
      <c r="BH34" s="39">
        <f t="shared" si="183"/>
        <v>0.40428571428571425</v>
      </c>
      <c r="BI34" s="39">
        <f t="shared" si="183"/>
        <v>0.35714285714285715</v>
      </c>
      <c r="BJ34" s="39">
        <f t="shared" si="183"/>
        <v>0.30500000000000005</v>
      </c>
      <c r="BK34" s="39">
        <f t="shared" si="183"/>
        <v>0.36428571428571427</v>
      </c>
      <c r="BL34" s="39">
        <f t="shared" si="183"/>
        <v>0.45500000000000002</v>
      </c>
      <c r="BM34" s="129">
        <f>AVERAGEIFS(BM$36:BM$173,$C$36:$C$173,"=5", $B$36:$B$173,"NO OFICIAL")</f>
        <v>54.2</v>
      </c>
      <c r="BN34" s="129">
        <f>AVERAGEIFS(BN$36:BN$173,$C$36:$C$173,"=5", $B$36:$B$173,"NO OFICIAL")</f>
        <v>7.8</v>
      </c>
      <c r="BO34" s="39">
        <f>AVERAGEIFS(BO$36:BO$173,$C$36:$C$173,"=5", $B$36:$B$173,"NO OFICIAL")</f>
        <v>5.8666666666666673E-2</v>
      </c>
      <c r="BP34" s="39">
        <f t="shared" ref="BP34:CR34" si="184">AVERAGEIFS(BP$36:BP$173,$C$36:$C$173,"=5", $B$36:$B$173,"NO OFICIAL")</f>
        <v>0.52933333333333332</v>
      </c>
      <c r="BQ34" s="39">
        <f t="shared" si="184"/>
        <v>0.38533333333333331</v>
      </c>
      <c r="BR34" s="39">
        <f t="shared" si="184"/>
        <v>2.6000000000000002E-2</v>
      </c>
      <c r="BS34" s="39">
        <f t="shared" si="184"/>
        <v>0.26933333333333331</v>
      </c>
      <c r="BT34" s="39">
        <f t="shared" si="184"/>
        <v>0.59285714285714286</v>
      </c>
      <c r="BU34" s="39">
        <f t="shared" si="184"/>
        <v>0.57857142857142851</v>
      </c>
      <c r="BV34" s="39">
        <f t="shared" si="184"/>
        <v>0.30999999999999994</v>
      </c>
      <c r="BW34" s="39">
        <f t="shared" si="184"/>
        <v>0.59800000000000009</v>
      </c>
      <c r="BX34" s="39">
        <f t="shared" si="184"/>
        <v>0.29466666666666674</v>
      </c>
      <c r="BY34" s="39">
        <f t="shared" si="184"/>
        <v>0.37399999999999994</v>
      </c>
      <c r="BZ34" s="39">
        <f t="shared" si="184"/>
        <v>0.45200000000000007</v>
      </c>
      <c r="CA34" s="39">
        <f t="shared" si="184"/>
        <v>0.4240000000000001</v>
      </c>
      <c r="CB34" s="39">
        <f t="shared" si="184"/>
        <v>0.28933333333333333</v>
      </c>
      <c r="CC34" s="39">
        <f t="shared" si="184"/>
        <v>0.18933333333333333</v>
      </c>
      <c r="CD34" s="39">
        <f t="shared" si="184"/>
        <v>0.33066666666666661</v>
      </c>
      <c r="CE34" s="39">
        <f t="shared" si="184"/>
        <v>0.28666666666666668</v>
      </c>
      <c r="CF34" s="39">
        <f t="shared" si="184"/>
        <v>0.58199999999999996</v>
      </c>
      <c r="CG34" s="39">
        <f t="shared" si="184"/>
        <v>0.52666666666666673</v>
      </c>
      <c r="CH34" s="39">
        <f t="shared" si="184"/>
        <v>0.39999999999999997</v>
      </c>
      <c r="CI34" s="39">
        <f t="shared" si="184"/>
        <v>0.49466666666666664</v>
      </c>
      <c r="CJ34" s="39">
        <f t="shared" si="184"/>
        <v>0.33199999999999996</v>
      </c>
      <c r="CK34" s="39">
        <f t="shared" si="184"/>
        <v>0.59866666666666668</v>
      </c>
      <c r="CL34" s="39">
        <f t="shared" si="184"/>
        <v>0.22133333333333333</v>
      </c>
      <c r="CM34" s="39">
        <f t="shared" si="184"/>
        <v>0.38533333333333336</v>
      </c>
      <c r="CN34" s="39">
        <f t="shared" si="184"/>
        <v>0.37133333333333335</v>
      </c>
      <c r="CO34" s="39">
        <f t="shared" si="184"/>
        <v>0.3793333333333333</v>
      </c>
      <c r="CP34" s="39">
        <f t="shared" si="184"/>
        <v>0.27200000000000002</v>
      </c>
      <c r="CQ34" s="39">
        <f t="shared" si="184"/>
        <v>0.50200000000000011</v>
      </c>
      <c r="CR34" s="39">
        <f t="shared" si="184"/>
        <v>0.46</v>
      </c>
      <c r="CS34" s="129">
        <f>AVERAGEIFS(CS$36:CS$173,$C$36:$C$173,"=5", $B$36:$B$173,"NO OFICIAL")</f>
        <v>52.3125</v>
      </c>
      <c r="CT34" s="129">
        <f>AVERAGEIFS(CT$36:CT$173,$C$36:$C$173,"=5", $B$36:$B$173,"NO OFICIAL")</f>
        <v>8.25</v>
      </c>
      <c r="CU34" s="39">
        <f>AVERAGEIFS(CU$36:CU$173,$C$36:$C$173,"=5", $B$36:$B$173,"NO OFICIAL")</f>
        <v>0.10125000000000001</v>
      </c>
      <c r="CV34" s="39">
        <f t="shared" ref="CV34:DW34" si="185">AVERAGEIFS(CV$36:CV$173,$C$36:$C$173,"=5", $B$36:$B$173,"NO OFICIAL")</f>
        <v>0.51125000000000009</v>
      </c>
      <c r="CW34" s="39">
        <f t="shared" si="185"/>
        <v>0.36437500000000006</v>
      </c>
      <c r="CX34" s="39">
        <f t="shared" si="185"/>
        <v>2.5000000000000001E-2</v>
      </c>
      <c r="CY34" s="39">
        <f t="shared" si="185"/>
        <v>0.44750000000000001</v>
      </c>
      <c r="CZ34" s="39">
        <f t="shared" si="185"/>
        <v>0.24812500000000004</v>
      </c>
      <c r="DA34" s="39">
        <f t="shared" si="185"/>
        <v>0.51812500000000006</v>
      </c>
      <c r="DB34" s="39">
        <f t="shared" si="185"/>
        <v>0.31187500000000007</v>
      </c>
      <c r="DC34" s="39">
        <f t="shared" si="185"/>
        <v>0.40312500000000001</v>
      </c>
      <c r="DD34" s="39">
        <f t="shared" si="185"/>
        <v>0.60562499999999986</v>
      </c>
      <c r="DE34" s="39">
        <f t="shared" si="185"/>
        <v>0.40625</v>
      </c>
      <c r="DF34" s="39">
        <f t="shared" si="185"/>
        <v>0.5</v>
      </c>
      <c r="DG34" s="39">
        <f t="shared" si="185"/>
        <v>0.41187499999999994</v>
      </c>
      <c r="DH34" s="39">
        <f t="shared" si="185"/>
        <v>0.33562500000000001</v>
      </c>
      <c r="DI34" s="39">
        <f t="shared" si="185"/>
        <v>0.49125000000000002</v>
      </c>
      <c r="DJ34" s="39">
        <f t="shared" si="185"/>
        <v>0.43375000000000008</v>
      </c>
      <c r="DK34" s="39">
        <f t="shared" si="185"/>
        <v>0.26437500000000008</v>
      </c>
      <c r="DL34" s="39">
        <f t="shared" si="185"/>
        <v>0.33562499999999995</v>
      </c>
      <c r="DM34" s="39">
        <f t="shared" si="185"/>
        <v>0.49062499999999998</v>
      </c>
      <c r="DN34" s="39">
        <f t="shared" si="185"/>
        <v>0.44062499999999999</v>
      </c>
      <c r="DO34" s="39">
        <f t="shared" si="185"/>
        <v>0.37374999999999992</v>
      </c>
      <c r="DP34" s="39">
        <f t="shared" si="185"/>
        <v>0.38874999999999998</v>
      </c>
      <c r="DQ34" s="39">
        <f t="shared" si="185"/>
        <v>0.520625</v>
      </c>
      <c r="DR34" s="39">
        <f t="shared" si="185"/>
        <v>0.19</v>
      </c>
      <c r="DS34" s="39">
        <f t="shared" si="185"/>
        <v>0.36625000000000002</v>
      </c>
      <c r="DT34" s="39">
        <f t="shared" si="185"/>
        <v>0.57562499999999994</v>
      </c>
      <c r="DU34" s="39">
        <f t="shared" si="185"/>
        <v>0.40749999999999997</v>
      </c>
      <c r="DV34" s="39">
        <f t="shared" si="185"/>
        <v>0.54437500000000016</v>
      </c>
      <c r="DW34" s="39">
        <f t="shared" si="185"/>
        <v>0.30062500000000003</v>
      </c>
      <c r="DX34" s="129">
        <f>AVERAGEIFS(DX$36:DX$173,$C$36:$C$173,"=5", $B$36:$B$173,"NO OFICIAL")</f>
        <v>53</v>
      </c>
      <c r="DY34" s="129">
        <f>AVERAGEIFS(DY$36:DY$173,$C$36:$C$173,"=5", $B$36:$B$173,"NO OFICIAL")</f>
        <v>7.666666666666667</v>
      </c>
      <c r="DZ34" s="39">
        <f>AVERAGEIFS(DZ$36:DZ$173,$C$36:$C$173,"=5", $B$36:$B$173,"NO OFICIAL")</f>
        <v>8.266666666666668E-2</v>
      </c>
      <c r="EA34" s="39">
        <f t="shared" ref="EA34:FA34" si="186">AVERAGEIFS(EA$36:EA$173,$C$36:$C$173,"=5", $B$36:$B$173,"NO OFICIAL")</f>
        <v>0.50066666666666659</v>
      </c>
      <c r="EB34" s="39">
        <f t="shared" si="186"/>
        <v>0.41133333333333338</v>
      </c>
      <c r="EC34" s="39">
        <f t="shared" si="186"/>
        <v>6.6666666666666662E-3</v>
      </c>
      <c r="ED34" s="39">
        <f t="shared" si="186"/>
        <v>0.46199999999999991</v>
      </c>
      <c r="EE34" s="39">
        <f t="shared" si="186"/>
        <v>0.42199999999999999</v>
      </c>
      <c r="EF34" s="39">
        <f t="shared" si="186"/>
        <v>0.44666666666666666</v>
      </c>
      <c r="EG34" s="39">
        <f t="shared" si="186"/>
        <v>0.22533333333333336</v>
      </c>
      <c r="EH34" s="39">
        <f t="shared" si="186"/>
        <v>0.33</v>
      </c>
      <c r="EI34" s="39">
        <f t="shared" si="186"/>
        <v>0.46466666666666673</v>
      </c>
      <c r="EJ34" s="39">
        <f t="shared" si="186"/>
        <v>0.52599999999999991</v>
      </c>
      <c r="EK34" s="39">
        <f t="shared" si="186"/>
        <v>0.22600000000000001</v>
      </c>
      <c r="EL34" s="39">
        <f t="shared" si="186"/>
        <v>0.36733333333333335</v>
      </c>
      <c r="EM34" s="39">
        <f t="shared" si="186"/>
        <v>0.58533333333333337</v>
      </c>
      <c r="EN34" s="39">
        <f t="shared" si="186"/>
        <v>0.34866666666666662</v>
      </c>
      <c r="EO34" s="39">
        <f t="shared" si="186"/>
        <v>0.53199999999999992</v>
      </c>
      <c r="EP34" s="39">
        <f t="shared" si="186"/>
        <v>0.35866666666666663</v>
      </c>
      <c r="EQ34" s="39">
        <f t="shared" si="186"/>
        <v>0.1846666666666667</v>
      </c>
      <c r="ER34" s="39">
        <f t="shared" si="186"/>
        <v>0.53866666666666663</v>
      </c>
      <c r="ES34" s="39">
        <f t="shared" si="186"/>
        <v>0.39600000000000002</v>
      </c>
      <c r="ET34" s="39">
        <f t="shared" si="186"/>
        <v>0.25733333333333336</v>
      </c>
      <c r="EU34" s="39">
        <f t="shared" si="186"/>
        <v>0.52333333333333332</v>
      </c>
      <c r="EV34" s="39">
        <f t="shared" si="186"/>
        <v>0.25533333333333336</v>
      </c>
      <c r="EW34" s="39">
        <f t="shared" si="186"/>
        <v>0.28266666666666668</v>
      </c>
      <c r="EX34" s="39">
        <f t="shared" si="186"/>
        <v>0.67533333333333323</v>
      </c>
      <c r="EY34" s="39">
        <f t="shared" si="186"/>
        <v>0.5</v>
      </c>
      <c r="EZ34" s="39">
        <f t="shared" si="186"/>
        <v>0.17266666666666666</v>
      </c>
      <c r="FA34" s="39">
        <f t="shared" si="186"/>
        <v>0.56199999999999994</v>
      </c>
      <c r="FB34" s="129">
        <f>AVERAGEIFS(FB$36:FB$173,$C$36:$C$173,"=5", $B$36:$B$173,"NO OFICIAL")</f>
        <v>52.666666666666664</v>
      </c>
      <c r="FD34" s="129">
        <f>AVERAGEIFS(FD$36:FD$173,$C$36:$C$173,"=5", $B$36:$B$173,"NO OFICIAL")</f>
        <v>8</v>
      </c>
      <c r="FF34" s="39">
        <f>AVERAGEIFS(FF$36:FF$173,$C$36:$C$173,"=5", $B$36:$B$173,"NO OFICIAL")</f>
        <v>7.0666666666666669E-2</v>
      </c>
      <c r="FG34" s="39">
        <f t="shared" ref="FG34:GI34" si="187">AVERAGEIFS(FG$36:FG$173,$C$36:$C$173,"=5", $B$36:$B$173,"NO OFICIAL")</f>
        <v>0.55599999999999983</v>
      </c>
      <c r="FH34" s="39">
        <f t="shared" si="187"/>
        <v>0.36333333333333334</v>
      </c>
      <c r="FI34" s="39">
        <f t="shared" si="187"/>
        <v>1.2666666666666666E-2</v>
      </c>
      <c r="FJ34" s="39">
        <f t="shared" si="187"/>
        <v>0.39200000000000002</v>
      </c>
      <c r="FK34" s="39">
        <f t="shared" si="187"/>
        <v>0.62266666666666681</v>
      </c>
      <c r="FL34" s="39">
        <f t="shared" si="187"/>
        <v>0.44600000000000001</v>
      </c>
      <c r="FM34" s="39">
        <f t="shared" si="187"/>
        <v>0.40266666666666673</v>
      </c>
      <c r="FN34" s="39">
        <f t="shared" si="187"/>
        <v>0.2373333333333334</v>
      </c>
      <c r="FO34" s="39">
        <f t="shared" si="187"/>
        <v>0.27266666666666667</v>
      </c>
      <c r="FP34" s="39">
        <f t="shared" si="187"/>
        <v>0.34</v>
      </c>
      <c r="FQ34" s="39">
        <f t="shared" si="187"/>
        <v>0.35466666666666669</v>
      </c>
      <c r="FR34" s="39">
        <f t="shared" si="187"/>
        <v>0.53333333333333333</v>
      </c>
      <c r="FS34" s="39">
        <f t="shared" si="187"/>
        <v>0.47533333333333333</v>
      </c>
      <c r="FT34" s="39">
        <f t="shared" si="187"/>
        <v>0.4466666666666666</v>
      </c>
      <c r="FU34" s="39">
        <f t="shared" si="187"/>
        <v>0.312</v>
      </c>
      <c r="FV34" s="39">
        <f t="shared" si="187"/>
        <v>0.53866666666666663</v>
      </c>
      <c r="FW34" s="39">
        <f t="shared" si="187"/>
        <v>0.5046666666666666</v>
      </c>
      <c r="FX34" s="39">
        <f t="shared" si="187"/>
        <v>0.41533333333333339</v>
      </c>
      <c r="FY34" s="39">
        <f t="shared" si="187"/>
        <v>0.32733333333333337</v>
      </c>
      <c r="FZ34" s="39">
        <f t="shared" si="187"/>
        <v>0.33933333333333338</v>
      </c>
      <c r="GA34" s="39">
        <f t="shared" si="187"/>
        <v>0.45666666666666678</v>
      </c>
      <c r="GB34" s="39">
        <f t="shared" si="187"/>
        <v>0.47</v>
      </c>
      <c r="GC34" s="39">
        <f t="shared" si="187"/>
        <v>0.39333333333333337</v>
      </c>
      <c r="GD34" s="39">
        <f t="shared" si="187"/>
        <v>0.54933333333333345</v>
      </c>
      <c r="GE34" s="39">
        <f t="shared" si="187"/>
        <v>0.45066666666666666</v>
      </c>
      <c r="GF34" s="39">
        <f t="shared" si="187"/>
        <v>0.38800000000000007</v>
      </c>
      <c r="GG34" s="39">
        <f t="shared" si="187"/>
        <v>0.39133333333333342</v>
      </c>
      <c r="GH34" s="39">
        <f t="shared" si="187"/>
        <v>0.52200000000000002</v>
      </c>
      <c r="GI34" s="39">
        <f t="shared" si="187"/>
        <v>0.26466666666666666</v>
      </c>
      <c r="GJ34" s="129">
        <f>AVERAGEIFS(GJ$36:GJ$173,$C$36:$C$173,"=5", $B$36:$B$173,"NO OFICIAL")</f>
        <v>53.928571428571431</v>
      </c>
      <c r="GL34" s="129">
        <f>AVERAGEIFS(GL$36:GL$173,$C$36:$C$173,"=5", $B$36:$B$173,"NO OFICIAL")</f>
        <v>8.0714285714285712</v>
      </c>
      <c r="GN34" s="342">
        <f>AVERAGEIFS(GN$36:GN$173,$C$36:$C$173,"=5", $B$36:$B$173,"NO OFICIAL")</f>
        <v>6.2857142857142861E-2</v>
      </c>
      <c r="GO34" s="342">
        <f t="shared" ref="GO34:HQ34" si="188">AVERAGEIFS(GO$36:GO$173,$C$36:$C$173,"=5", $B$36:$B$173,"NO OFICIAL")</f>
        <v>0.50571428571428567</v>
      </c>
      <c r="GP34" s="342">
        <f t="shared" si="188"/>
        <v>0.41285714285714281</v>
      </c>
      <c r="GQ34" s="342">
        <f t="shared" si="188"/>
        <v>1.8571428571428572E-2</v>
      </c>
      <c r="GR34" s="342">
        <f t="shared" si="188"/>
        <v>0.41785714285714282</v>
      </c>
      <c r="GS34" s="342">
        <f t="shared" si="188"/>
        <v>0.45714285714285724</v>
      </c>
      <c r="GT34" s="342">
        <f t="shared" si="188"/>
        <v>0.56285714285714283</v>
      </c>
      <c r="GU34" s="342">
        <f t="shared" si="188"/>
        <v>0.17785714285714285</v>
      </c>
      <c r="GV34" s="342">
        <f t="shared" si="188"/>
        <v>0.48785714285714299</v>
      </c>
      <c r="GW34" s="342">
        <f t="shared" si="188"/>
        <v>0.34857142857142859</v>
      </c>
      <c r="GX34" s="342">
        <f t="shared" si="188"/>
        <v>0.39428571428571429</v>
      </c>
      <c r="GY34" s="315" t="s">
        <v>173</v>
      </c>
      <c r="GZ34" s="342">
        <f t="shared" si="188"/>
        <v>0.25857142857142862</v>
      </c>
      <c r="HA34" s="342">
        <f t="shared" si="188"/>
        <v>0.60642857142857143</v>
      </c>
      <c r="HB34" s="342">
        <f t="shared" si="188"/>
        <v>0.38928571428571429</v>
      </c>
      <c r="HC34" s="342">
        <f t="shared" si="188"/>
        <v>0.50214285714285734</v>
      </c>
      <c r="HD34" s="342">
        <f t="shared" si="188"/>
        <v>0.49285714285714288</v>
      </c>
      <c r="HE34" s="342">
        <f t="shared" si="188"/>
        <v>0.41428571428571426</v>
      </c>
      <c r="HF34" s="342">
        <f t="shared" si="188"/>
        <v>0.42</v>
      </c>
      <c r="HG34" s="342">
        <f t="shared" si="188"/>
        <v>0.64714285714285713</v>
      </c>
      <c r="HH34" s="342">
        <f t="shared" si="188"/>
        <v>0.33428571428571424</v>
      </c>
      <c r="HI34" s="342">
        <f t="shared" si="188"/>
        <v>0.45357142857142868</v>
      </c>
      <c r="HJ34" s="342">
        <f t="shared" si="188"/>
        <v>0.53642857142857137</v>
      </c>
      <c r="HK34" s="342">
        <f t="shared" si="188"/>
        <v>0.46571428571428575</v>
      </c>
      <c r="HL34" s="342">
        <f t="shared" si="188"/>
        <v>0.31285714285714278</v>
      </c>
      <c r="HM34" s="342">
        <f t="shared" si="188"/>
        <v>0.45142857142857146</v>
      </c>
      <c r="HN34" s="342">
        <f t="shared" si="188"/>
        <v>0.41571428571428581</v>
      </c>
      <c r="HO34" s="342">
        <f t="shared" si="188"/>
        <v>0.35642857142857137</v>
      </c>
      <c r="HP34" s="315" t="s">
        <v>173</v>
      </c>
      <c r="HQ34" s="342">
        <f t="shared" si="188"/>
        <v>0.34428571428571431</v>
      </c>
      <c r="HR34" s="129">
        <f>AVERAGEIFS(HR$36:HR$173,$C$36:$C$173,"=5", $B$36:$B$173,"NO OFICIAL")</f>
        <v>55.142857142857146</v>
      </c>
      <c r="HT34" s="129">
        <f>AVERAGEIFS(HT$36:HT$173,$C$36:$C$173,"=5", $B$36:$B$173,"NO OFICIAL")</f>
        <v>8.2142857142857135</v>
      </c>
      <c r="HV34" s="342">
        <f>AVERAGEIFS(HV$36:HV$173,$C$36:$C$173,"=5", $B$36:$B$173,"NO OFICIAL")</f>
        <v>4.9285714285714287E-2</v>
      </c>
      <c r="HW34" s="342">
        <f t="shared" ref="HW34:IZ34" si="189">AVERAGEIFS(HW$36:HW$173,$C$36:$C$173,"=5", $B$36:$B$173,"NO OFICIAL")</f>
        <v>0.46785714285714286</v>
      </c>
      <c r="HX34" s="342">
        <f t="shared" si="189"/>
        <v>0.44285714285714289</v>
      </c>
      <c r="HY34" s="342">
        <f t="shared" si="189"/>
        <v>3.785714285714286E-2</v>
      </c>
      <c r="HZ34" s="342">
        <f t="shared" si="189"/>
        <v>0.32285714285714284</v>
      </c>
      <c r="IA34" s="342">
        <f t="shared" si="189"/>
        <v>0.44928571428571423</v>
      </c>
      <c r="IB34" s="342">
        <f t="shared" si="189"/>
        <v>0.29785714285714276</v>
      </c>
      <c r="IC34" s="342">
        <f t="shared" si="189"/>
        <v>0.43714285714285717</v>
      </c>
      <c r="ID34" s="342">
        <f t="shared" si="189"/>
        <v>0.58142857142857152</v>
      </c>
      <c r="IE34" s="342">
        <f t="shared" si="189"/>
        <v>0.26571428571428574</v>
      </c>
      <c r="IF34" s="342">
        <f t="shared" si="189"/>
        <v>0.33357142857142857</v>
      </c>
      <c r="IG34" s="342">
        <f t="shared" si="189"/>
        <v>0.47214285714285709</v>
      </c>
      <c r="IH34" s="342">
        <f t="shared" si="189"/>
        <v>0.44857142857142868</v>
      </c>
      <c r="II34" s="342">
        <f t="shared" si="189"/>
        <v>0.19928571428571429</v>
      </c>
      <c r="IJ34" s="342">
        <f t="shared" si="189"/>
        <v>0.19428571428571426</v>
      </c>
      <c r="IK34" s="342">
        <f t="shared" si="189"/>
        <v>0.50928571428571434</v>
      </c>
      <c r="IL34" s="342">
        <f t="shared" si="189"/>
        <v>0.29000000000000004</v>
      </c>
      <c r="IM34" s="342">
        <f t="shared" si="189"/>
        <v>0.54357142857142859</v>
      </c>
      <c r="IN34" s="342">
        <f t="shared" si="189"/>
        <v>0.33857142857142858</v>
      </c>
      <c r="IO34" s="342">
        <f t="shared" si="189"/>
        <v>0.47214285714285725</v>
      </c>
      <c r="IP34" s="342">
        <f t="shared" si="189"/>
        <v>0.30714285714285711</v>
      </c>
      <c r="IQ34" s="342">
        <f t="shared" si="189"/>
        <v>0.60071428571428576</v>
      </c>
      <c r="IR34" s="342">
        <f t="shared" si="189"/>
        <v>0.47642857142857142</v>
      </c>
      <c r="IS34" s="342">
        <f t="shared" si="189"/>
        <v>0.45499999999999996</v>
      </c>
      <c r="IT34" s="342">
        <f t="shared" si="189"/>
        <v>0.3585714285714286</v>
      </c>
      <c r="IU34" s="315" t="s">
        <v>173</v>
      </c>
      <c r="IV34" s="342">
        <f t="shared" si="189"/>
        <v>0.54285714285714293</v>
      </c>
      <c r="IW34" s="342">
        <f t="shared" si="189"/>
        <v>0.34928571428571425</v>
      </c>
      <c r="IX34" s="342">
        <f t="shared" si="189"/>
        <v>0.38499999999999995</v>
      </c>
      <c r="IY34" s="342">
        <f t="shared" si="189"/>
        <v>0.39928571428571441</v>
      </c>
      <c r="IZ34" s="490">
        <f t="shared" si="189"/>
        <v>52.866666666666667</v>
      </c>
      <c r="JA34" s="495"/>
      <c r="JB34" s="300">
        <f>AVERAGEIFS(JB$36:JB$173,$C$36:$C$173,"=5", $B$36:$B$173,"NO OFICIAL")</f>
        <v>8.6666666666666661</v>
      </c>
      <c r="JC34" s="495"/>
      <c r="JD34" s="343">
        <f>AVERAGEIFS(JD$36:JD$173,$C$36:$C$173,"=5", $B$36:$B$173,"NO OFICIAL")</f>
        <v>9.5333333333333339E-2</v>
      </c>
      <c r="JE34" s="343">
        <f>AVERAGEIFS(JE$36:JE$173,$C$36:$C$173,"=5", $B$36:$B$173,"NO OFICIAL")</f>
        <v>0.49533333333333335</v>
      </c>
      <c r="JF34" s="343">
        <f>AVERAGEIFS(JF$36:JF$173,$C$36:$C$173,"=5", $B$36:$B$173,"NO OFICIAL")</f>
        <v>0.38066666666666671</v>
      </c>
      <c r="JG34" s="343">
        <f>AVERAGEIFS(JG$36:JG$173,$C$36:$C$173,"=5", $B$36:$B$173,"NO OFICIAL")</f>
        <v>2.9999999999999995E-2</v>
      </c>
      <c r="JH34" s="343">
        <f t="shared" ref="JH34:KC34" si="190">AVERAGEIFS(JH$36:JH$173,$C$36:$C$173,"=5", $B$36:$B$173,"NO OFICIAL")</f>
        <v>0.41733333333333339</v>
      </c>
      <c r="JI34" s="343">
        <f t="shared" si="190"/>
        <v>0.436</v>
      </c>
      <c r="JJ34" s="343">
        <f t="shared" si="190"/>
        <v>0.38400000000000001</v>
      </c>
      <c r="JK34" s="343">
        <f t="shared" si="190"/>
        <v>0.44133333333333336</v>
      </c>
      <c r="JL34" s="343">
        <f t="shared" si="190"/>
        <v>0.45533333333333331</v>
      </c>
      <c r="JM34" s="343">
        <f t="shared" si="190"/>
        <v>0.46066666666666667</v>
      </c>
      <c r="JN34" s="343">
        <f t="shared" si="190"/>
        <v>0.41133333333333333</v>
      </c>
      <c r="JO34" s="343">
        <f t="shared" si="190"/>
        <v>0.43866666666666659</v>
      </c>
      <c r="JP34" s="343">
        <f t="shared" si="190"/>
        <v>0.53933333333333333</v>
      </c>
      <c r="JQ34" s="343">
        <f t="shared" si="190"/>
        <v>0.25533333333333336</v>
      </c>
      <c r="JR34" s="343">
        <f t="shared" si="190"/>
        <v>0.5126666666666666</v>
      </c>
      <c r="JS34" s="343">
        <f t="shared" si="190"/>
        <v>0.48666666666666669</v>
      </c>
      <c r="JT34" s="343">
        <f t="shared" si="190"/>
        <v>0.39599999999999996</v>
      </c>
      <c r="JU34" s="343">
        <f t="shared" si="190"/>
        <v>0.47333333333333327</v>
      </c>
      <c r="JV34" s="343">
        <f t="shared" si="190"/>
        <v>0.47399999999999998</v>
      </c>
      <c r="JW34" s="343">
        <f t="shared" si="190"/>
        <v>0.4479999999999999</v>
      </c>
      <c r="JX34" s="343">
        <f t="shared" si="190"/>
        <v>0.38466666666666677</v>
      </c>
      <c r="JY34" s="343">
        <f t="shared" si="190"/>
        <v>0.45800000000000007</v>
      </c>
      <c r="JZ34" s="343">
        <f t="shared" si="190"/>
        <v>0.442</v>
      </c>
      <c r="KA34" s="343">
        <f t="shared" si="190"/>
        <v>0.55733333333333335</v>
      </c>
      <c r="KB34" s="343">
        <f t="shared" si="190"/>
        <v>0.45800000000000002</v>
      </c>
      <c r="KC34" s="343">
        <f t="shared" si="190"/>
        <v>0.63600000000000001</v>
      </c>
      <c r="KD34" s="343">
        <f>AVERAGEIFS(KD$36:KD$173,$C$36:$C$173,"=5", $B$36:$B$173,"NO OFICIAL")</f>
        <v>0.34666666666666668</v>
      </c>
      <c r="KE34" s="343">
        <f>AVERAGEIFS(KE$36:KE$173,$C$36:$C$173,"=5", $B$36:$B$173,"NO OFICIAL")</f>
        <v>0.51200000000000012</v>
      </c>
      <c r="KF34" s="343">
        <f>AVERAGEIFS(KF$36:KF$173,$C$36:$C$173,"=5", $B$36:$B$173,"NO OFICIAL")</f>
        <v>0.44600000000000006</v>
      </c>
      <c r="KG34" s="343">
        <f>AVERAGEIFS(KG$36:KG$173,$C$36:$C$173,"=5", $B$36:$B$173,"NO OFICIAL")</f>
        <v>0.49466666666666664</v>
      </c>
      <c r="KH34" s="129">
        <f>AVERAGEIFS(KH$36:KH$173,$C$36:$C$173,"=5", $B$36:$B$173,"NO OFICIAL")</f>
        <v>54.8</v>
      </c>
      <c r="KI34" s="970"/>
      <c r="KJ34" s="129">
        <f>AVERAGEIFS(KJ$36:KJ$173,$C$36:$C$173,"=5", $B$36:$B$173,"NO OFICIAL")</f>
        <v>8.7333333333333325</v>
      </c>
      <c r="KK34" s="970"/>
      <c r="KL34" s="342">
        <f>AVERAGEIFS(KL$36:KL$173,$C$36:$C$173,"=5", $B$36:$B$173,"NO OFICIAL")</f>
        <v>8.2000000000000017E-2</v>
      </c>
      <c r="KM34" s="342">
        <f t="shared" ref="KM34:LO34" si="191">AVERAGEIFS(KM$36:KM$173,$C$36:$C$173,"=5", $B$36:$B$173,"NO OFICIAL")</f>
        <v>0.42666666666666664</v>
      </c>
      <c r="KN34" s="342">
        <f t="shared" si="191"/>
        <v>0.45266666666666666</v>
      </c>
      <c r="KO34" s="342">
        <f t="shared" si="191"/>
        <v>4.0000000000000008E-2</v>
      </c>
      <c r="KP34" s="342">
        <f t="shared" si="191"/>
        <v>0.45600000000000007</v>
      </c>
      <c r="KQ34" s="342">
        <f t="shared" si="191"/>
        <v>0.2126666666666667</v>
      </c>
      <c r="KR34" s="342">
        <f t="shared" si="191"/>
        <v>0.53733333333333333</v>
      </c>
      <c r="KS34" s="342">
        <f t="shared" si="191"/>
        <v>0.38200000000000001</v>
      </c>
      <c r="KT34" s="342">
        <f t="shared" si="191"/>
        <v>0.48400000000000004</v>
      </c>
      <c r="KU34" s="342">
        <f t="shared" si="191"/>
        <v>0.32133333333333336</v>
      </c>
      <c r="KV34" s="342">
        <f t="shared" si="191"/>
        <v>0.54333333333333345</v>
      </c>
      <c r="KW34" s="342">
        <f t="shared" si="191"/>
        <v>0.31466666666666665</v>
      </c>
      <c r="KX34" s="342">
        <f t="shared" si="191"/>
        <v>0.29866666666666669</v>
      </c>
      <c r="KY34" s="342">
        <f t="shared" si="191"/>
        <v>0.46266666666666667</v>
      </c>
      <c r="KZ34" s="342">
        <f t="shared" si="191"/>
        <v>0.32400000000000001</v>
      </c>
      <c r="LA34" s="342">
        <f t="shared" si="191"/>
        <v>0.34600000000000003</v>
      </c>
      <c r="LB34" s="342">
        <f t="shared" si="191"/>
        <v>0.35533333333333328</v>
      </c>
      <c r="LC34" s="342">
        <f t="shared" si="191"/>
        <v>0.29666666666666675</v>
      </c>
      <c r="LD34" s="342">
        <f t="shared" si="191"/>
        <v>0.502</v>
      </c>
      <c r="LE34" s="342">
        <f t="shared" si="191"/>
        <v>0.4466666666666666</v>
      </c>
      <c r="LF34" s="342">
        <f t="shared" si="191"/>
        <v>0.22800000000000004</v>
      </c>
      <c r="LG34" s="342">
        <f t="shared" si="191"/>
        <v>0.39800000000000002</v>
      </c>
      <c r="LH34" s="342">
        <f t="shared" si="191"/>
        <v>0.49933333333333335</v>
      </c>
      <c r="LI34" s="342">
        <f t="shared" si="191"/>
        <v>0.45799999999999996</v>
      </c>
      <c r="LJ34" s="342">
        <f t="shared" si="191"/>
        <v>0.33266666666666661</v>
      </c>
      <c r="LK34" s="342">
        <f>AVERAGEIFS(LK$36:LK$173,$C$36:$C$173,"=5", $B$36:$B$173,"NO OFICIAL")</f>
        <v>0.50666666666666671</v>
      </c>
      <c r="LL34" s="342" t="s">
        <v>173</v>
      </c>
      <c r="LM34" s="342">
        <f t="shared" si="191"/>
        <v>0.52</v>
      </c>
      <c r="LN34" s="342">
        <f t="shared" si="191"/>
        <v>0.54066666666666663</v>
      </c>
      <c r="LO34" s="342">
        <f t="shared" si="191"/>
        <v>0.39400000000000002</v>
      </c>
    </row>
    <row r="35" spans="1:332" ht="24.95" customHeight="1" x14ac:dyDescent="0.2">
      <c r="A35" s="6" t="s">
        <v>787</v>
      </c>
      <c r="B35" s="299"/>
      <c r="C35" s="299"/>
      <c r="D35" s="129">
        <f>AVERAGEIFS(D$36:D$173,$C$36:$C$173,"=6", $B$36:$B$173,"NO OFICIAL")</f>
        <v>55.81818181818182</v>
      </c>
      <c r="E35" s="129">
        <f>AVERAGEIFS(E$36:E$173,$C$36:$C$173,"=6", $B$36:$B$173,"NO OFICIAL")</f>
        <v>5.2727272727272725</v>
      </c>
      <c r="F35" s="39">
        <f>AVERAGEIFS(F$36:F$173,$C$36:$C$173,"=6", $B$36:$B$173,"NO OFICIAL")</f>
        <v>6.363636363636363E-3</v>
      </c>
      <c r="G35" s="39">
        <f t="shared" ref="G35:AG35" si="192">AVERAGEIFS(G$36:G$173,$C$36:$C$173,"=6", $B$36:$B$173,"NO OFICIAL")</f>
        <v>0.48818181818181822</v>
      </c>
      <c r="H35" s="39">
        <f t="shared" si="192"/>
        <v>0.49909090909090903</v>
      </c>
      <c r="I35" s="39">
        <f t="shared" si="192"/>
        <v>4.5454545454545461E-3</v>
      </c>
      <c r="J35" s="39">
        <f t="shared" si="192"/>
        <v>0.38727272727272727</v>
      </c>
      <c r="K35" s="39">
        <f t="shared" si="192"/>
        <v>0.37636363636363634</v>
      </c>
      <c r="L35" s="39">
        <f t="shared" si="192"/>
        <v>0.73</v>
      </c>
      <c r="M35" s="39">
        <f t="shared" si="192"/>
        <v>0.14181818181818182</v>
      </c>
      <c r="N35" s="39">
        <f t="shared" si="192"/>
        <v>0.26090909090909081</v>
      </c>
      <c r="O35" s="39">
        <f t="shared" si="192"/>
        <v>0.59545454545454546</v>
      </c>
      <c r="P35" s="39">
        <f t="shared" si="192"/>
        <v>0.3418181818181818</v>
      </c>
      <c r="Q35" s="39">
        <f t="shared" si="192"/>
        <v>0.40363636363636357</v>
      </c>
      <c r="R35" s="39">
        <f t="shared" si="192"/>
        <v>0.48909090909090919</v>
      </c>
      <c r="S35" s="39">
        <f t="shared" si="192"/>
        <v>0.56000000000000005</v>
      </c>
      <c r="T35" s="39">
        <f t="shared" si="192"/>
        <v>0.44181818181818183</v>
      </c>
      <c r="U35" s="39">
        <f t="shared" si="192"/>
        <v>0.46363636363636362</v>
      </c>
      <c r="V35" s="39">
        <f t="shared" si="192"/>
        <v>6.090909090909092E-2</v>
      </c>
      <c r="W35" s="39">
        <f t="shared" si="192"/>
        <v>8.0000000000000016E-2</v>
      </c>
      <c r="X35" s="39">
        <f t="shared" si="192"/>
        <v>0.45363636363636367</v>
      </c>
      <c r="Y35" s="39">
        <f t="shared" si="192"/>
        <v>0.38181818181818183</v>
      </c>
      <c r="Z35" s="39">
        <f t="shared" si="192"/>
        <v>0.55500000000000005</v>
      </c>
      <c r="AA35" s="39">
        <f t="shared" si="192"/>
        <v>6.8181818181818191E-2</v>
      </c>
      <c r="AB35" s="39">
        <f t="shared" si="192"/>
        <v>0.38909090909090904</v>
      </c>
      <c r="AC35" s="39">
        <f t="shared" si="192"/>
        <v>0.24363636363636365</v>
      </c>
      <c r="AD35" s="39">
        <f t="shared" si="192"/>
        <v>0.39454545454545459</v>
      </c>
      <c r="AE35" s="39">
        <f t="shared" si="192"/>
        <v>0.40909090909090912</v>
      </c>
      <c r="AF35" s="39">
        <f t="shared" si="192"/>
        <v>0.4745454545454546</v>
      </c>
      <c r="AG35" s="39">
        <f t="shared" si="192"/>
        <v>0.50636363636363635</v>
      </c>
      <c r="AH35" s="129">
        <f>AVERAGEIFS(AH$36:AH$173,$C$36:$C$173,"=6", $B$36:$B$173,"NO OFICIAL")</f>
        <v>52.090909090909093</v>
      </c>
      <c r="AI35" s="129">
        <f>AVERAGEIFS(AI$36:AI$173,$C$36:$C$173,"=6", $B$36:$B$173,"NO OFICIAL")</f>
        <v>8</v>
      </c>
      <c r="AJ35" s="39">
        <f>AVERAGEIFS(AJ$36:AJ$173,$C$36:$C$173,"=6", $B$36:$B$173,"NO OFICIAL")</f>
        <v>0.11272727272727275</v>
      </c>
      <c r="AK35" s="39">
        <f t="shared" ref="AK35:BL35" si="193">AVERAGEIFS(AK$36:AK$173,$C$36:$C$173,"=6", $B$36:$B$173,"NO OFICIAL")</f>
        <v>0.51818181818181819</v>
      </c>
      <c r="AL35" s="39">
        <f t="shared" si="193"/>
        <v>0.35727272727272724</v>
      </c>
      <c r="AM35" s="39">
        <f t="shared" si="193"/>
        <v>1.1818181818181818E-2</v>
      </c>
      <c r="AN35" s="39">
        <f t="shared" si="193"/>
        <v>0.27272727272727271</v>
      </c>
      <c r="AO35" s="39">
        <f t="shared" si="193"/>
        <v>0.48545454545454553</v>
      </c>
      <c r="AP35" s="39">
        <f t="shared" si="193"/>
        <v>0.5790909090909091</v>
      </c>
      <c r="AQ35" s="39">
        <f t="shared" si="193"/>
        <v>0.36727272727272725</v>
      </c>
      <c r="AR35" s="39">
        <f t="shared" si="193"/>
        <v>0.49090909090909096</v>
      </c>
      <c r="AS35" s="39">
        <f t="shared" si="193"/>
        <v>0.53545454545454541</v>
      </c>
      <c r="AT35" s="39">
        <f t="shared" si="193"/>
        <v>0.5154545454545455</v>
      </c>
      <c r="AU35" s="39">
        <f t="shared" si="193"/>
        <v>0.52363636363636368</v>
      </c>
      <c r="AV35" s="39">
        <f t="shared" si="193"/>
        <v>0.58545454545454545</v>
      </c>
      <c r="AW35" s="39">
        <f t="shared" si="193"/>
        <v>0.55454545454545456</v>
      </c>
      <c r="AX35" s="39">
        <f t="shared" si="193"/>
        <v>0.52636363636363648</v>
      </c>
      <c r="AY35" s="39">
        <f t="shared" si="193"/>
        <v>0.34454545454545454</v>
      </c>
      <c r="AZ35" s="39">
        <f t="shared" si="193"/>
        <v>0.35636363636363638</v>
      </c>
      <c r="BA35" s="39">
        <f t="shared" si="193"/>
        <v>0.47909090909090907</v>
      </c>
      <c r="BB35" s="39">
        <f t="shared" si="193"/>
        <v>0.66909090909090907</v>
      </c>
      <c r="BC35" s="39">
        <f t="shared" si="193"/>
        <v>0.62272727272727268</v>
      </c>
      <c r="BD35" s="39">
        <f t="shared" si="193"/>
        <v>0.4</v>
      </c>
      <c r="BE35" s="39">
        <f t="shared" si="193"/>
        <v>0.58454545454545459</v>
      </c>
      <c r="BF35" s="39">
        <f t="shared" si="193"/>
        <v>0.7</v>
      </c>
      <c r="BG35" s="39">
        <f t="shared" si="193"/>
        <v>0.48545454545454542</v>
      </c>
      <c r="BH35" s="39">
        <f t="shared" si="193"/>
        <v>0.42545454545454553</v>
      </c>
      <c r="BI35" s="39">
        <f t="shared" si="193"/>
        <v>0.4272727272727273</v>
      </c>
      <c r="BJ35" s="39">
        <f t="shared" si="193"/>
        <v>0.37090909090909091</v>
      </c>
      <c r="BK35" s="39">
        <f t="shared" si="193"/>
        <v>0.42818181818181816</v>
      </c>
      <c r="BL35" s="39">
        <f t="shared" si="193"/>
        <v>0.38545454545454549</v>
      </c>
      <c r="BM35" s="129">
        <f>AVERAGEIFS(BM$36:BM$173,$C$36:$C$173,"=6", $B$36:$B$173,"NO OFICIAL")</f>
        <v>51.3</v>
      </c>
      <c r="BN35" s="129">
        <f>AVERAGEIFS(BN$36:BN$173,$C$36:$C$173,"=6", $B$36:$B$173,"NO OFICIAL")</f>
        <v>8.6</v>
      </c>
      <c r="BO35" s="39">
        <f>AVERAGEIFS(BO$36:BO$173,$C$36:$C$173,"=6", $B$36:$B$173,"NO OFICIAL")</f>
        <v>8.3000000000000004E-2</v>
      </c>
      <c r="BP35" s="39">
        <f t="shared" ref="BP35:CR35" si="194">AVERAGEIFS(BP$36:BP$173,$C$36:$C$173,"=6", $B$36:$B$173,"NO OFICIAL")</f>
        <v>0.60400000000000009</v>
      </c>
      <c r="BQ35" s="39">
        <f t="shared" si="194"/>
        <v>0.308</v>
      </c>
      <c r="BR35" s="39">
        <f t="shared" si="194"/>
        <v>8.0000000000000002E-3</v>
      </c>
      <c r="BS35" s="39">
        <f t="shared" si="194"/>
        <v>0.33800000000000002</v>
      </c>
      <c r="BT35" s="39">
        <f t="shared" si="194"/>
        <v>0.46600000000000003</v>
      </c>
      <c r="BU35" s="39">
        <f t="shared" si="194"/>
        <v>0.60600000000000009</v>
      </c>
      <c r="BV35" s="39">
        <f t="shared" si="194"/>
        <v>0.25199999999999995</v>
      </c>
      <c r="BW35" s="39">
        <f t="shared" si="194"/>
        <v>0.59700000000000009</v>
      </c>
      <c r="BX35" s="39">
        <f t="shared" si="194"/>
        <v>0.32100000000000001</v>
      </c>
      <c r="BY35" s="39">
        <f t="shared" si="194"/>
        <v>0.42099999999999999</v>
      </c>
      <c r="BZ35" s="39">
        <f t="shared" si="194"/>
        <v>0.51700000000000002</v>
      </c>
      <c r="CA35" s="39">
        <f t="shared" si="194"/>
        <v>0.46200000000000002</v>
      </c>
      <c r="CB35" s="39">
        <f t="shared" si="194"/>
        <v>0.29699999999999999</v>
      </c>
      <c r="CC35" s="39">
        <f t="shared" si="194"/>
        <v>0.20800000000000002</v>
      </c>
      <c r="CD35" s="39">
        <f t="shared" si="194"/>
        <v>0.42699999999999994</v>
      </c>
      <c r="CE35" s="39">
        <f t="shared" si="194"/>
        <v>0.33599999999999997</v>
      </c>
      <c r="CF35" s="39">
        <f t="shared" si="194"/>
        <v>0.61</v>
      </c>
      <c r="CG35" s="39">
        <f t="shared" si="194"/>
        <v>0.60099999999999998</v>
      </c>
      <c r="CH35" s="39">
        <f t="shared" si="194"/>
        <v>0.45199999999999996</v>
      </c>
      <c r="CI35" s="39">
        <f t="shared" si="194"/>
        <v>0.58400000000000007</v>
      </c>
      <c r="CJ35" s="39">
        <f t="shared" si="194"/>
        <v>0.31799999999999995</v>
      </c>
      <c r="CK35" s="39">
        <f t="shared" si="194"/>
        <v>0.65600000000000003</v>
      </c>
      <c r="CL35" s="39">
        <f t="shared" si="194"/>
        <v>0.32100000000000006</v>
      </c>
      <c r="CM35" s="39">
        <f t="shared" si="194"/>
        <v>0.42599999999999999</v>
      </c>
      <c r="CN35" s="39">
        <f t="shared" si="194"/>
        <v>0.46299999999999991</v>
      </c>
      <c r="CO35" s="39">
        <f t="shared" si="194"/>
        <v>0.42000000000000004</v>
      </c>
      <c r="CP35" s="39">
        <f t="shared" si="194"/>
        <v>0.33700000000000002</v>
      </c>
      <c r="CQ35" s="39">
        <f t="shared" si="194"/>
        <v>0.57099999999999995</v>
      </c>
      <c r="CR35" s="39">
        <f t="shared" si="194"/>
        <v>0.57700000000000007</v>
      </c>
      <c r="CS35" s="129">
        <f>AVERAGEIFS(CS$36:CS$173,$C$36:$C$173,"=6", $B$36:$B$173,"NO OFICIAL")</f>
        <v>51.090909090909093</v>
      </c>
      <c r="CT35" s="129">
        <f>AVERAGEIFS(CT$36:CT$173,$C$36:$C$173,"=6", $B$36:$B$173,"NO OFICIAL")</f>
        <v>8.1818181818181817</v>
      </c>
      <c r="CU35" s="39">
        <f>AVERAGEIFS(CU$36:CU$173,$C$36:$C$173,"=6", $B$36:$B$173,"NO OFICIAL")</f>
        <v>0.11272727272727273</v>
      </c>
      <c r="CV35" s="39">
        <f t="shared" ref="CV35:DW35" si="195">AVERAGEIFS(CV$36:CV$173,$C$36:$C$173,"=6", $B$36:$B$173,"NO OFICIAL")</f>
        <v>0.61363636363636365</v>
      </c>
      <c r="CW35" s="39">
        <f t="shared" si="195"/>
        <v>0.24363636363636362</v>
      </c>
      <c r="CX35" s="39">
        <f t="shared" si="195"/>
        <v>3.0909090909090907E-2</v>
      </c>
      <c r="CY35" s="39">
        <f t="shared" si="195"/>
        <v>0.5</v>
      </c>
      <c r="CZ35" s="39">
        <f t="shared" si="195"/>
        <v>0.31363636363636366</v>
      </c>
      <c r="DA35" s="39">
        <f t="shared" si="195"/>
        <v>0.54181818181818187</v>
      </c>
      <c r="DB35" s="39">
        <f t="shared" si="195"/>
        <v>0.38454545454545452</v>
      </c>
      <c r="DC35" s="39">
        <f t="shared" si="195"/>
        <v>0.44181818181818183</v>
      </c>
      <c r="DD35" s="39">
        <f t="shared" si="195"/>
        <v>0.62181818181818183</v>
      </c>
      <c r="DE35" s="39">
        <f t="shared" si="195"/>
        <v>0.40363636363636368</v>
      </c>
      <c r="DF35" s="39">
        <f t="shared" si="195"/>
        <v>0.52454545454545454</v>
      </c>
      <c r="DG35" s="39">
        <f t="shared" si="195"/>
        <v>0.35909090909090913</v>
      </c>
      <c r="DH35" s="39">
        <f t="shared" si="195"/>
        <v>0.4</v>
      </c>
      <c r="DI35" s="39">
        <f t="shared" si="195"/>
        <v>0.47000000000000008</v>
      </c>
      <c r="DJ35" s="39">
        <f t="shared" si="195"/>
        <v>0.53636363636363638</v>
      </c>
      <c r="DK35" s="39">
        <f t="shared" si="195"/>
        <v>0.41636363636363638</v>
      </c>
      <c r="DL35" s="39">
        <f t="shared" si="195"/>
        <v>0.38400000000000001</v>
      </c>
      <c r="DM35" s="39">
        <f t="shared" si="195"/>
        <v>0.51818181818181808</v>
      </c>
      <c r="DN35" s="39">
        <f t="shared" si="195"/>
        <v>0.4654545454545454</v>
      </c>
      <c r="DO35" s="39">
        <f t="shared" si="195"/>
        <v>0.44</v>
      </c>
      <c r="DP35" s="39">
        <f t="shared" si="195"/>
        <v>0.45000000000000012</v>
      </c>
      <c r="DQ35" s="39">
        <f t="shared" si="195"/>
        <v>0.51727272727272733</v>
      </c>
      <c r="DR35" s="39">
        <f t="shared" si="195"/>
        <v>0.12636363636363637</v>
      </c>
      <c r="DS35" s="39">
        <f t="shared" si="195"/>
        <v>0.34272727272727271</v>
      </c>
      <c r="DT35" s="39">
        <f t="shared" si="195"/>
        <v>0.59818181818181826</v>
      </c>
      <c r="DU35" s="39">
        <f t="shared" si="195"/>
        <v>0.47818181818181826</v>
      </c>
      <c r="DV35" s="39">
        <f t="shared" si="195"/>
        <v>0.52272727272727271</v>
      </c>
      <c r="DW35" s="39">
        <f t="shared" si="195"/>
        <v>0.30272727272727273</v>
      </c>
      <c r="DX35" s="129">
        <f>AVERAGEIFS(DX$36:DX$173,$C$36:$C$173,"=6", $B$36:$B$173,"NO OFICIAL")</f>
        <v>49.46153846153846</v>
      </c>
      <c r="DY35" s="129">
        <f>AVERAGEIFS(DY$36:DY$173,$C$36:$C$173,"=6", $B$36:$B$173,"NO OFICIAL")</f>
        <v>7.615384615384615</v>
      </c>
      <c r="DZ35" s="39">
        <f>AVERAGEIFS(DZ$36:DZ$173,$C$36:$C$173,"=6", $B$36:$B$173,"NO OFICIAL")</f>
        <v>0.14615384615384616</v>
      </c>
      <c r="EA35" s="39">
        <f t="shared" ref="EA35:FA35" si="196">AVERAGEIFS(EA$36:EA$173,$C$36:$C$173,"=6", $B$36:$B$173,"NO OFICIAL")</f>
        <v>0.5807692307692307</v>
      </c>
      <c r="EB35" s="39">
        <f t="shared" si="196"/>
        <v>0.27076923076923076</v>
      </c>
      <c r="EC35" s="39">
        <f t="shared" si="196"/>
        <v>3.8461538461538464E-3</v>
      </c>
      <c r="ED35" s="39">
        <f t="shared" si="196"/>
        <v>0.54153846153846152</v>
      </c>
      <c r="EE35" s="39">
        <f t="shared" si="196"/>
        <v>0.44307692307692315</v>
      </c>
      <c r="EF35" s="39">
        <f t="shared" si="196"/>
        <v>0.50538461538461532</v>
      </c>
      <c r="EG35" s="39">
        <f t="shared" si="196"/>
        <v>0.4046153846153846</v>
      </c>
      <c r="EH35" s="39">
        <f t="shared" si="196"/>
        <v>0.47461538461538461</v>
      </c>
      <c r="EI35" s="39">
        <f t="shared" si="196"/>
        <v>0.57923076923076922</v>
      </c>
      <c r="EJ35" s="39">
        <f t="shared" si="196"/>
        <v>0.55230769230769239</v>
      </c>
      <c r="EK35" s="39">
        <f t="shared" si="196"/>
        <v>0.3584615384615385</v>
      </c>
      <c r="EL35" s="39">
        <f t="shared" si="196"/>
        <v>0.4661538461538462</v>
      </c>
      <c r="EM35" s="39">
        <f t="shared" si="196"/>
        <v>0.63615384615384607</v>
      </c>
      <c r="EN35" s="39">
        <f t="shared" si="196"/>
        <v>0.40615384615384609</v>
      </c>
      <c r="EO35" s="39">
        <f t="shared" si="196"/>
        <v>0.55384615384615377</v>
      </c>
      <c r="EP35" s="39">
        <f t="shared" si="196"/>
        <v>0.41538461538461541</v>
      </c>
      <c r="EQ35" s="39">
        <f t="shared" si="196"/>
        <v>0.32076923076923075</v>
      </c>
      <c r="ER35" s="39">
        <f t="shared" si="196"/>
        <v>0.5823076923076923</v>
      </c>
      <c r="ES35" s="39">
        <f t="shared" si="196"/>
        <v>0.48076923076923078</v>
      </c>
      <c r="ET35" s="39">
        <f t="shared" si="196"/>
        <v>0.3223076923076923</v>
      </c>
      <c r="EU35" s="39">
        <f t="shared" si="196"/>
        <v>0.56153846153846154</v>
      </c>
      <c r="EV35" s="39">
        <f t="shared" si="196"/>
        <v>0.32769230769230773</v>
      </c>
      <c r="EW35" s="39">
        <f t="shared" si="196"/>
        <v>0.36230769230769239</v>
      </c>
      <c r="EX35" s="39">
        <f t="shared" si="196"/>
        <v>0.68818181818181823</v>
      </c>
      <c r="EY35" s="39">
        <f t="shared" si="196"/>
        <v>0.59923076923076934</v>
      </c>
      <c r="EZ35" s="39">
        <f t="shared" si="196"/>
        <v>0.18250000000000002</v>
      </c>
      <c r="FA35" s="39">
        <f t="shared" si="196"/>
        <v>0.67615384615384611</v>
      </c>
      <c r="FB35" s="129">
        <f>AVERAGEIFS(FB$36:FB$173,$C$36:$C$173,"=6", $B$36:$B$173,"NO OFICIAL")</f>
        <v>49.692307692307693</v>
      </c>
      <c r="FD35" s="129">
        <f>AVERAGEIFS(FD$36:FD$173,$C$36:$C$173,"=6", $B$36:$B$173,"NO OFICIAL")</f>
        <v>6.6923076923076925</v>
      </c>
      <c r="FF35" s="39">
        <f>AVERAGEIFS(FF$36:FF$173,$C$36:$C$173,"=6", $B$36:$B$173,"NO OFICIAL")</f>
        <v>0.17846153846153845</v>
      </c>
      <c r="FG35" s="39">
        <f t="shared" ref="FG35:GI35" si="197">AVERAGEIFS(FG$36:FG$173,$C$36:$C$173,"=6", $B$36:$B$173,"NO OFICIAL")</f>
        <v>0.55692307692307685</v>
      </c>
      <c r="FH35" s="39">
        <f t="shared" si="197"/>
        <v>0.25461538461538458</v>
      </c>
      <c r="FI35" s="39">
        <f t="shared" si="197"/>
        <v>0.01</v>
      </c>
      <c r="FJ35" s="39">
        <f t="shared" si="197"/>
        <v>0.43384615384615383</v>
      </c>
      <c r="FK35" s="39">
        <f t="shared" si="197"/>
        <v>0.67307692307692291</v>
      </c>
      <c r="FL35" s="39">
        <f t="shared" si="197"/>
        <v>0.52153846153846151</v>
      </c>
      <c r="FM35" s="39">
        <f t="shared" si="197"/>
        <v>0.33750000000000008</v>
      </c>
      <c r="FN35" s="39">
        <f t="shared" si="197"/>
        <v>0.33999999999999997</v>
      </c>
      <c r="FO35" s="39">
        <f t="shared" si="197"/>
        <v>0.34615384615384615</v>
      </c>
      <c r="FP35" s="39">
        <f t="shared" si="197"/>
        <v>0.35615384615384615</v>
      </c>
      <c r="FQ35" s="39">
        <f t="shared" si="197"/>
        <v>0.47384615384615386</v>
      </c>
      <c r="FR35" s="39">
        <f t="shared" si="197"/>
        <v>0.59461538461538477</v>
      </c>
      <c r="FS35" s="39">
        <f t="shared" si="197"/>
        <v>0.53666666666666663</v>
      </c>
      <c r="FT35" s="39">
        <f t="shared" si="197"/>
        <v>0.50076923076923086</v>
      </c>
      <c r="FU35" s="39">
        <f t="shared" si="197"/>
        <v>0.36749999999999994</v>
      </c>
      <c r="FV35" s="39">
        <f t="shared" si="197"/>
        <v>0.67538461538461536</v>
      </c>
      <c r="FW35" s="39">
        <f t="shared" si="197"/>
        <v>0.4876923076923077</v>
      </c>
      <c r="FX35" s="39">
        <f t="shared" si="197"/>
        <v>0.42916666666666664</v>
      </c>
      <c r="FY35" s="39">
        <f t="shared" si="197"/>
        <v>0.39846153846153853</v>
      </c>
      <c r="FZ35" s="39">
        <f t="shared" si="197"/>
        <v>0.38538461538461544</v>
      </c>
      <c r="GA35" s="39">
        <f t="shared" si="197"/>
        <v>0.46461538461538471</v>
      </c>
      <c r="GB35" s="39">
        <f t="shared" si="197"/>
        <v>0.54461538461538461</v>
      </c>
      <c r="GC35" s="39">
        <f t="shared" si="197"/>
        <v>0.44692307692307687</v>
      </c>
      <c r="GD35" s="39">
        <f t="shared" si="197"/>
        <v>0.54692307692307696</v>
      </c>
      <c r="GE35" s="39">
        <f t="shared" si="197"/>
        <v>0.49461538461538457</v>
      </c>
      <c r="GF35" s="39">
        <f t="shared" si="197"/>
        <v>0.4507692307692307</v>
      </c>
      <c r="GG35" s="39">
        <f t="shared" si="197"/>
        <v>0.4653846153846154</v>
      </c>
      <c r="GH35" s="39">
        <f t="shared" si="197"/>
        <v>0.53384615384615386</v>
      </c>
      <c r="GI35" s="39">
        <f t="shared" si="197"/>
        <v>0.24538461538461537</v>
      </c>
      <c r="GJ35" s="129">
        <f>AVERAGEIFS(GJ$36:GJ$173,$C$36:$C$173,"=6", $B$36:$B$173,"NO OFICIAL")</f>
        <v>50.06666666666667</v>
      </c>
      <c r="GL35" s="129">
        <f>AVERAGEIFS(GL$36:GL$173,$C$36:$C$173,"=6", $B$36:$B$173,"NO OFICIAL")</f>
        <v>8.6</v>
      </c>
      <c r="GN35" s="342">
        <f>AVERAGEIFS(GN$36:GN$173,$C$36:$C$173,"=6", $B$36:$B$173,"NO OFICIAL")</f>
        <v>0.20666666666666669</v>
      </c>
      <c r="GO35" s="342">
        <f t="shared" ref="GO35:HQ35" si="198">AVERAGEIFS(GO$36:GO$173,$C$36:$C$173,"=6", $B$36:$B$173,"NO OFICIAL")</f>
        <v>0.51466666666666661</v>
      </c>
      <c r="GP35" s="342">
        <f t="shared" si="198"/>
        <v>0.26133333333333331</v>
      </c>
      <c r="GQ35" s="342">
        <f t="shared" si="198"/>
        <v>1.7333333333333333E-2</v>
      </c>
      <c r="GR35" s="342">
        <f t="shared" si="198"/>
        <v>0.44</v>
      </c>
      <c r="GS35" s="342">
        <f t="shared" si="198"/>
        <v>0.54733333333333334</v>
      </c>
      <c r="GT35" s="342">
        <f t="shared" si="198"/>
        <v>0.59066666666666667</v>
      </c>
      <c r="GU35" s="342">
        <f t="shared" si="198"/>
        <v>0.28142857142857147</v>
      </c>
      <c r="GV35" s="342">
        <f t="shared" si="198"/>
        <v>0.53999999999999992</v>
      </c>
      <c r="GW35" s="342">
        <f t="shared" si="198"/>
        <v>0.45733333333333337</v>
      </c>
      <c r="GX35" s="342">
        <f t="shared" si="198"/>
        <v>0.48999999999999994</v>
      </c>
      <c r="GY35" s="315" t="s">
        <v>173</v>
      </c>
      <c r="GZ35" s="342">
        <f t="shared" si="198"/>
        <v>0.31933333333333336</v>
      </c>
      <c r="HA35" s="342">
        <f t="shared" si="198"/>
        <v>0.69933333333333325</v>
      </c>
      <c r="HB35" s="342">
        <f t="shared" si="198"/>
        <v>0.48199999999999998</v>
      </c>
      <c r="HC35" s="342">
        <f t="shared" si="198"/>
        <v>0.49266666666666659</v>
      </c>
      <c r="HD35" s="342">
        <f t="shared" si="198"/>
        <v>0.56866666666666654</v>
      </c>
      <c r="HE35" s="342">
        <f t="shared" si="198"/>
        <v>0.48599999999999999</v>
      </c>
      <c r="HF35" s="342">
        <f t="shared" si="198"/>
        <v>0.47133333333333327</v>
      </c>
      <c r="HG35" s="342">
        <f t="shared" si="198"/>
        <v>0.67399999999999993</v>
      </c>
      <c r="HH35" s="342">
        <f t="shared" si="198"/>
        <v>0.41733333333333344</v>
      </c>
      <c r="HI35" s="342">
        <f t="shared" si="198"/>
        <v>0.54066666666666663</v>
      </c>
      <c r="HJ35" s="342">
        <f t="shared" si="198"/>
        <v>0.59666666666666679</v>
      </c>
      <c r="HK35" s="342">
        <f t="shared" si="198"/>
        <v>0.50200000000000011</v>
      </c>
      <c r="HL35" s="342">
        <f t="shared" si="198"/>
        <v>0.44533333333333325</v>
      </c>
      <c r="HM35" s="342">
        <f t="shared" si="198"/>
        <v>0.51133333333333331</v>
      </c>
      <c r="HN35" s="342">
        <f t="shared" si="198"/>
        <v>0.49666666666666665</v>
      </c>
      <c r="HO35" s="342">
        <f t="shared" si="198"/>
        <v>0.4326666666666667</v>
      </c>
      <c r="HP35" s="315" t="s">
        <v>173</v>
      </c>
      <c r="HQ35" s="342">
        <f t="shared" si="198"/>
        <v>0.43266666666666675</v>
      </c>
      <c r="HR35" s="129">
        <f>AVERAGEIFS(HR$36:HR$173,$C$36:$C$173,"=6", $B$36:$B$173,"NO OFICIAL")</f>
        <v>51.375</v>
      </c>
      <c r="HT35" s="129">
        <f>AVERAGEIFS(HT$36:HT$173,$C$36:$C$173,"=6", $B$36:$B$173,"NO OFICIAL")</f>
        <v>8.25</v>
      </c>
      <c r="HV35" s="342">
        <f>AVERAGEIFS(HV$36:HV$173,$C$36:$C$173,"=6", $B$36:$B$173,"NO OFICIAL")</f>
        <v>0.16437500000000002</v>
      </c>
      <c r="HW35" s="342">
        <f t="shared" ref="HW35:IZ35" si="199">AVERAGEIFS(HW$36:HW$173,$C$36:$C$173,"=6", $B$36:$B$173,"NO OFICIAL")</f>
        <v>0.48000000000000004</v>
      </c>
      <c r="HX35" s="342">
        <f t="shared" si="199"/>
        <v>0.34562500000000002</v>
      </c>
      <c r="HY35" s="342">
        <f t="shared" si="199"/>
        <v>1.125E-2</v>
      </c>
      <c r="HZ35" s="342">
        <f t="shared" si="199"/>
        <v>0.35062500000000002</v>
      </c>
      <c r="IA35" s="342">
        <f t="shared" si="199"/>
        <v>0.50812500000000005</v>
      </c>
      <c r="IB35" s="342">
        <f t="shared" si="199"/>
        <v>0.34937499999999999</v>
      </c>
      <c r="IC35" s="342">
        <f t="shared" si="199"/>
        <v>0.48375000000000001</v>
      </c>
      <c r="ID35" s="342">
        <f t="shared" si="199"/>
        <v>0.60187499999999983</v>
      </c>
      <c r="IE35" s="342">
        <f t="shared" si="199"/>
        <v>0.31250000000000006</v>
      </c>
      <c r="IF35" s="342">
        <f t="shared" si="199"/>
        <v>0.41249999999999998</v>
      </c>
      <c r="IG35" s="342">
        <f t="shared" si="199"/>
        <v>0.53</v>
      </c>
      <c r="IH35" s="342">
        <f t="shared" si="199"/>
        <v>0.47749999999999998</v>
      </c>
      <c r="II35" s="342">
        <f t="shared" si="199"/>
        <v>0.30866666666666664</v>
      </c>
      <c r="IJ35" s="342">
        <f t="shared" si="199"/>
        <v>0.29375000000000001</v>
      </c>
      <c r="IK35" s="342">
        <f t="shared" si="199"/>
        <v>0.58875</v>
      </c>
      <c r="IL35" s="342">
        <f t="shared" si="199"/>
        <v>0.37562499999999993</v>
      </c>
      <c r="IM35" s="342">
        <f t="shared" si="199"/>
        <v>0.63500000000000001</v>
      </c>
      <c r="IN35" s="342">
        <f t="shared" si="199"/>
        <v>0.45500000000000002</v>
      </c>
      <c r="IO35" s="342">
        <f t="shared" si="199"/>
        <v>0.52124999999999999</v>
      </c>
      <c r="IP35" s="342">
        <f t="shared" si="199"/>
        <v>0.40875</v>
      </c>
      <c r="IQ35" s="342">
        <f t="shared" si="199"/>
        <v>0.59750000000000003</v>
      </c>
      <c r="IR35" s="342">
        <f t="shared" si="199"/>
        <v>0.57250000000000001</v>
      </c>
      <c r="IS35" s="342">
        <f t="shared" si="199"/>
        <v>0.53</v>
      </c>
      <c r="IT35" s="342">
        <f t="shared" si="199"/>
        <v>0.41749999999999998</v>
      </c>
      <c r="IU35" s="315" t="s">
        <v>173</v>
      </c>
      <c r="IV35" s="342">
        <f t="shared" si="199"/>
        <v>0.59500000000000008</v>
      </c>
      <c r="IW35" s="342">
        <f t="shared" si="199"/>
        <v>0.41625000000000001</v>
      </c>
      <c r="IX35" s="342">
        <f t="shared" si="199"/>
        <v>0.51874999999999993</v>
      </c>
      <c r="IY35" s="342">
        <f t="shared" si="199"/>
        <v>0.53625000000000012</v>
      </c>
      <c r="IZ35" s="490">
        <f t="shared" si="199"/>
        <v>51.5</v>
      </c>
      <c r="JA35" s="495"/>
      <c r="JB35" s="300">
        <f>AVERAGEIFS(JB$36:JB$173,$C$36:$C$173,"=6", $B$36:$B$173,"NO OFICIAL")</f>
        <v>9.2857142857142865</v>
      </c>
      <c r="JC35" s="495"/>
      <c r="JD35" s="343">
        <f>AVERAGEIFS(JD$36:JD$173,$C$36:$C$173,"=6", $B$36:$B$173,"NO OFICIAL")</f>
        <v>0.15642857142857142</v>
      </c>
      <c r="JE35" s="343">
        <f>AVERAGEIFS(JE$36:JE$173,$C$36:$C$173,"=6", $B$36:$B$173,"NO OFICIAL")</f>
        <v>0.47357142857142859</v>
      </c>
      <c r="JF35" s="343">
        <f>AVERAGEIFS(JF$36:JF$173,$C$36:$C$173,"=6", $B$36:$B$173,"NO OFICIAL")</f>
        <v>0.35357142857142854</v>
      </c>
      <c r="JG35" s="343">
        <f>AVERAGEIFS(JG$36:JG$173,$C$36:$C$173,"=6", $B$36:$B$173,"NO OFICIAL")</f>
        <v>1.785714285714286E-2</v>
      </c>
      <c r="JH35" s="343">
        <f t="shared" ref="JH35:KC35" si="200">AVERAGEIFS(JH$36:JH$173,$C$36:$C$173,"=6", $B$36:$B$173,"NO OFICIAL")</f>
        <v>0.46857142857142853</v>
      </c>
      <c r="JI35" s="343">
        <f t="shared" si="200"/>
        <v>0.42928571428571433</v>
      </c>
      <c r="JJ35" s="343">
        <f t="shared" si="200"/>
        <v>0.40714285714285714</v>
      </c>
      <c r="JK35" s="343">
        <f t="shared" si="200"/>
        <v>0.46571428571428569</v>
      </c>
      <c r="JL35" s="343">
        <f t="shared" si="200"/>
        <v>0.43571428571428583</v>
      </c>
      <c r="JM35" s="343">
        <f t="shared" si="200"/>
        <v>0.48499999999999999</v>
      </c>
      <c r="JN35" s="343">
        <f t="shared" si="200"/>
        <v>0.37785714285714278</v>
      </c>
      <c r="JO35" s="343">
        <f t="shared" si="200"/>
        <v>0.45857142857142857</v>
      </c>
      <c r="JP35" s="343">
        <f t="shared" si="200"/>
        <v>0.5714285714285714</v>
      </c>
      <c r="JQ35" s="343">
        <f t="shared" si="200"/>
        <v>0.29428571428571432</v>
      </c>
      <c r="JR35" s="343">
        <f t="shared" si="200"/>
        <v>0.54785714285714282</v>
      </c>
      <c r="JS35" s="343">
        <f t="shared" si="200"/>
        <v>0.54357142857142871</v>
      </c>
      <c r="JT35" s="343">
        <f t="shared" si="200"/>
        <v>0.45642857142857141</v>
      </c>
      <c r="JU35" s="343">
        <f t="shared" si="200"/>
        <v>0.49285714285714288</v>
      </c>
      <c r="JV35" s="343">
        <f t="shared" si="200"/>
        <v>0.49357142857142849</v>
      </c>
      <c r="JW35" s="343">
        <f t="shared" si="200"/>
        <v>0.48999999999999994</v>
      </c>
      <c r="JX35" s="343">
        <f t="shared" si="200"/>
        <v>0.40071428571428575</v>
      </c>
      <c r="JY35" s="343">
        <f t="shared" si="200"/>
        <v>0.5128571428571429</v>
      </c>
      <c r="JZ35" s="343">
        <f t="shared" si="200"/>
        <v>0.49785714285714289</v>
      </c>
      <c r="KA35" s="343">
        <f t="shared" si="200"/>
        <v>0.51714285714285713</v>
      </c>
      <c r="KB35" s="343">
        <f t="shared" si="200"/>
        <v>0.47785714285714287</v>
      </c>
      <c r="KC35" s="343">
        <f t="shared" si="200"/>
        <v>0.65642857142857136</v>
      </c>
      <c r="KD35" s="343">
        <f>AVERAGEIFS(KD$36:KD$173,$C$36:$C$173,"=6", $B$36:$B$173,"NO OFICIAL")</f>
        <v>0.36142857142857138</v>
      </c>
      <c r="KE35" s="343">
        <f>AVERAGEIFS(KE$36:KE$173,$C$36:$C$173,"=6", $B$36:$B$173,"NO OFICIAL")</f>
        <v>0.51142857142857145</v>
      </c>
      <c r="KF35" s="343">
        <f>AVERAGEIFS(KF$36:KF$173,$C$36:$C$173,"=6", $B$36:$B$173,"NO OFICIAL")</f>
        <v>0.47285714285714281</v>
      </c>
      <c r="KG35" s="343">
        <f>AVERAGEIFS(KG$36:KG$173,$C$36:$C$173,"=6", $B$36:$B$173,"NO OFICIAL")</f>
        <v>0.5407142857142857</v>
      </c>
      <c r="KH35" s="129">
        <f>AVERAGEIFS(KH$36:KH$173,$C$36:$C$173,"=6", $B$36:$B$173,"NO OFICIAL")</f>
        <v>53.2</v>
      </c>
      <c r="KI35" s="970"/>
      <c r="KJ35" s="129">
        <f>AVERAGEIFS(KJ$36:KJ$173,$C$36:$C$173,"=6", $B$36:$B$173,"NO OFICIAL")</f>
        <v>9.0666666666666664</v>
      </c>
      <c r="KK35" s="970"/>
      <c r="KL35" s="342">
        <f>AVERAGEIFS(KL$36:KL$173,$C$36:$C$173,"=6", $B$36:$B$173,"NO OFICIAL")</f>
        <v>0.12866666666666671</v>
      </c>
      <c r="KM35" s="342">
        <f t="shared" ref="KM35:LO35" si="201">AVERAGEIFS(KM$36:KM$173,$C$36:$C$173,"=6", $B$36:$B$173,"NO OFICIAL")</f>
        <v>0.45</v>
      </c>
      <c r="KN35" s="342">
        <f t="shared" si="201"/>
        <v>0.38466666666666671</v>
      </c>
      <c r="KO35" s="342">
        <f t="shared" si="201"/>
        <v>4.0000000000000008E-2</v>
      </c>
      <c r="KP35" s="342">
        <f t="shared" si="201"/>
        <v>0.48666666666666658</v>
      </c>
      <c r="KQ35" s="342">
        <f t="shared" si="201"/>
        <v>0.21933333333333332</v>
      </c>
      <c r="KR35" s="342">
        <f t="shared" si="201"/>
        <v>0.55600000000000016</v>
      </c>
      <c r="KS35" s="342">
        <f t="shared" si="201"/>
        <v>0.46933333333333338</v>
      </c>
      <c r="KT35" s="342">
        <f t="shared" si="201"/>
        <v>0.52266666666666661</v>
      </c>
      <c r="KU35" s="342">
        <f t="shared" si="201"/>
        <v>0.37866666666666665</v>
      </c>
      <c r="KV35" s="342">
        <f t="shared" si="201"/>
        <v>0.55400000000000005</v>
      </c>
      <c r="KW35" s="342">
        <f t="shared" si="201"/>
        <v>0.33733333333333332</v>
      </c>
      <c r="KX35" s="342">
        <f t="shared" si="201"/>
        <v>0.35133333333333333</v>
      </c>
      <c r="KY35" s="342">
        <f t="shared" si="201"/>
        <v>0.48133333333333328</v>
      </c>
      <c r="KZ35" s="342">
        <f t="shared" si="201"/>
        <v>0.35599999999999998</v>
      </c>
      <c r="LA35" s="342">
        <f t="shared" si="201"/>
        <v>0.37533333333333335</v>
      </c>
      <c r="LB35" s="342">
        <f t="shared" si="201"/>
        <v>0.41666666666666669</v>
      </c>
      <c r="LC35" s="342">
        <f t="shared" si="201"/>
        <v>0.39333333333333331</v>
      </c>
      <c r="LD35" s="342">
        <f t="shared" si="201"/>
        <v>0.51733333333333331</v>
      </c>
      <c r="LE35" s="342">
        <f t="shared" si="201"/>
        <v>0.47800000000000004</v>
      </c>
      <c r="LF35" s="342">
        <f t="shared" si="201"/>
        <v>0.30733333333333329</v>
      </c>
      <c r="LG35" s="342">
        <f t="shared" si="201"/>
        <v>0.39933333333333326</v>
      </c>
      <c r="LH35" s="342">
        <f t="shared" si="201"/>
        <v>0.52400000000000002</v>
      </c>
      <c r="LI35" s="342">
        <f t="shared" si="201"/>
        <v>0.45733333333333331</v>
      </c>
      <c r="LJ35" s="342">
        <f t="shared" si="201"/>
        <v>0.38533333333333331</v>
      </c>
      <c r="LK35" s="342">
        <f>AVERAGEIFS(LK$36:LK$173,$C$36:$C$173,"=6", $B$36:$B$173,"NO OFICIAL")</f>
        <v>0.5073333333333333</v>
      </c>
      <c r="LL35" s="342" t="s">
        <v>173</v>
      </c>
      <c r="LM35" s="342">
        <f t="shared" si="201"/>
        <v>0.54400000000000004</v>
      </c>
      <c r="LN35" s="342">
        <f t="shared" si="201"/>
        <v>0.62799999999999989</v>
      </c>
      <c r="LO35" s="342">
        <f t="shared" si="201"/>
        <v>0.38933333333333331</v>
      </c>
    </row>
    <row r="36" spans="1:332" ht="24.95" customHeight="1" x14ac:dyDescent="0.2">
      <c r="A36" s="126" t="s">
        <v>23</v>
      </c>
      <c r="B36" s="1" t="s">
        <v>123</v>
      </c>
      <c r="C36" s="2">
        <v>2</v>
      </c>
      <c r="D36" s="12">
        <v>53</v>
      </c>
      <c r="E36" s="12">
        <v>8</v>
      </c>
      <c r="F36" s="66">
        <v>0.04</v>
      </c>
      <c r="G36" s="66">
        <v>0.67</v>
      </c>
      <c r="H36" s="66">
        <v>0.28999999999999998</v>
      </c>
      <c r="I36" s="66">
        <v>0</v>
      </c>
      <c r="J36" s="66">
        <v>0.57999999999999996</v>
      </c>
      <c r="K36" s="66">
        <v>0.32</v>
      </c>
      <c r="L36" s="66">
        <v>0.72</v>
      </c>
      <c r="M36" s="66">
        <v>0.21</v>
      </c>
      <c r="N36" s="66">
        <v>0.33</v>
      </c>
      <c r="O36" s="66">
        <v>0.65</v>
      </c>
      <c r="P36" s="66">
        <v>0.28999999999999998</v>
      </c>
      <c r="Q36" s="66">
        <v>0.38</v>
      </c>
      <c r="R36" s="66">
        <v>0.56000000000000005</v>
      </c>
      <c r="S36" s="66">
        <v>0.65</v>
      </c>
      <c r="T36" s="66">
        <v>0.49</v>
      </c>
      <c r="U36" s="66">
        <v>0.65</v>
      </c>
      <c r="V36" s="66">
        <v>0.1</v>
      </c>
      <c r="W36" s="66">
        <v>0.11</v>
      </c>
      <c r="X36" s="66">
        <v>0.56000000000000005</v>
      </c>
      <c r="Y36" s="66">
        <v>0.57999999999999996</v>
      </c>
      <c r="Z36" s="66">
        <v>1</v>
      </c>
      <c r="AA36" s="66">
        <v>0.06</v>
      </c>
      <c r="AB36" s="66">
        <v>0.48</v>
      </c>
      <c r="AC36" s="66">
        <v>0.23</v>
      </c>
      <c r="AD36" s="66">
        <v>0.46</v>
      </c>
      <c r="AE36" s="66">
        <v>0.38</v>
      </c>
      <c r="AF36" s="66">
        <v>0.59</v>
      </c>
      <c r="AG36" s="66">
        <v>0.45</v>
      </c>
      <c r="AH36" s="12">
        <v>52</v>
      </c>
      <c r="AI36" s="12">
        <v>8</v>
      </c>
      <c r="AJ36" s="40">
        <v>0.05</v>
      </c>
      <c r="AK36" s="40">
        <v>0.64</v>
      </c>
      <c r="AL36" s="40">
        <v>0.3</v>
      </c>
      <c r="AM36" s="40">
        <v>0.01</v>
      </c>
      <c r="AN36" s="40">
        <v>0.19</v>
      </c>
      <c r="AO36" s="40">
        <v>0.45</v>
      </c>
      <c r="AP36" s="40">
        <v>0.66</v>
      </c>
      <c r="AQ36" s="40">
        <v>0.35</v>
      </c>
      <c r="AR36" s="40">
        <v>0.57999999999999996</v>
      </c>
      <c r="AS36" s="40">
        <v>0.56999999999999995</v>
      </c>
      <c r="AT36" s="40">
        <v>0.51</v>
      </c>
      <c r="AU36" s="40">
        <v>0.55000000000000004</v>
      </c>
      <c r="AV36" s="40">
        <v>0.64</v>
      </c>
      <c r="AW36" s="40">
        <v>0.45</v>
      </c>
      <c r="AX36" s="40">
        <v>0.59</v>
      </c>
      <c r="AY36" s="40">
        <v>0.36</v>
      </c>
      <c r="AZ36" s="40">
        <v>0.27</v>
      </c>
      <c r="BA36" s="40">
        <v>0.44</v>
      </c>
      <c r="BB36" s="40">
        <v>0.72</v>
      </c>
      <c r="BC36" s="40">
        <v>0.66</v>
      </c>
      <c r="BD36" s="40">
        <v>0.39</v>
      </c>
      <c r="BE36" s="40">
        <v>0.57999999999999996</v>
      </c>
      <c r="BF36" s="40">
        <v>0.59</v>
      </c>
      <c r="BG36" s="40">
        <v>0.48</v>
      </c>
      <c r="BH36" s="40">
        <v>0.44</v>
      </c>
      <c r="BI36" s="40">
        <v>0.39</v>
      </c>
      <c r="BJ36" s="40">
        <v>0.37</v>
      </c>
      <c r="BK36" s="40">
        <v>0.47</v>
      </c>
      <c r="BL36" s="40">
        <v>0.55000000000000004</v>
      </c>
      <c r="BM36" s="12">
        <v>50</v>
      </c>
      <c r="BN36" s="12">
        <v>9</v>
      </c>
      <c r="BO36" s="66">
        <v>0.17</v>
      </c>
      <c r="BP36" s="66">
        <v>0.51</v>
      </c>
      <c r="BQ36" s="66">
        <v>0.32</v>
      </c>
      <c r="BR36" s="66">
        <v>0</v>
      </c>
      <c r="BS36" s="66">
        <v>0.41</v>
      </c>
      <c r="BT36" s="66">
        <v>0.68</v>
      </c>
      <c r="BU36" s="66">
        <v>0.65</v>
      </c>
      <c r="BV36" s="66">
        <v>0.28000000000000003</v>
      </c>
      <c r="BW36" s="66">
        <v>0.63</v>
      </c>
      <c r="BX36" s="66">
        <v>0.42</v>
      </c>
      <c r="BY36" s="66">
        <v>0.49</v>
      </c>
      <c r="BZ36" s="66">
        <v>0.52</v>
      </c>
      <c r="CA36" s="66">
        <v>0.45</v>
      </c>
      <c r="CB36" s="66">
        <v>0.37</v>
      </c>
      <c r="CC36" s="66">
        <v>0.28000000000000003</v>
      </c>
      <c r="CD36" s="66">
        <v>0.43</v>
      </c>
      <c r="CE36" s="66">
        <v>0.37</v>
      </c>
      <c r="CF36" s="66">
        <v>0.7</v>
      </c>
      <c r="CG36" s="66">
        <v>0.56000000000000005</v>
      </c>
      <c r="CH36" s="66">
        <v>0.42</v>
      </c>
      <c r="CI36" s="66">
        <v>0.56999999999999995</v>
      </c>
      <c r="CJ36" s="66">
        <v>0.37</v>
      </c>
      <c r="CK36" s="66">
        <v>0.64</v>
      </c>
      <c r="CL36" s="66">
        <v>0.28999999999999998</v>
      </c>
      <c r="CM36" s="66">
        <v>0.43</v>
      </c>
      <c r="CN36" s="66">
        <v>0.48</v>
      </c>
      <c r="CO36" s="66">
        <v>0.48</v>
      </c>
      <c r="CP36" s="66">
        <v>0.35</v>
      </c>
      <c r="CQ36" s="66">
        <v>0.6</v>
      </c>
      <c r="CR36" s="66">
        <v>0.62</v>
      </c>
      <c r="CS36" s="12">
        <v>52</v>
      </c>
      <c r="CT36" s="12">
        <v>9</v>
      </c>
      <c r="CU36" s="63">
        <v>0.13</v>
      </c>
      <c r="CV36" s="63">
        <v>0.55000000000000004</v>
      </c>
      <c r="CW36" s="63">
        <v>0.32</v>
      </c>
      <c r="CX36" s="63">
        <v>0</v>
      </c>
      <c r="CY36" s="63">
        <v>0.51</v>
      </c>
      <c r="CZ36" s="63">
        <v>0.31</v>
      </c>
      <c r="DA36" s="63">
        <v>0.49</v>
      </c>
      <c r="DB36" s="63">
        <v>0.33</v>
      </c>
      <c r="DC36" s="63">
        <v>0.46</v>
      </c>
      <c r="DD36" s="63">
        <v>0.57999999999999996</v>
      </c>
      <c r="DE36" s="63">
        <v>0.42</v>
      </c>
      <c r="DF36" s="63">
        <v>0.59</v>
      </c>
      <c r="DG36" s="63">
        <v>0.35</v>
      </c>
      <c r="DH36" s="63">
        <v>0.36</v>
      </c>
      <c r="DI36" s="63">
        <v>0.48</v>
      </c>
      <c r="DJ36" s="63">
        <v>0.5</v>
      </c>
      <c r="DK36" s="63">
        <v>0.21</v>
      </c>
      <c r="DL36" s="63">
        <v>0.33</v>
      </c>
      <c r="DM36" s="63">
        <v>0.49</v>
      </c>
      <c r="DN36" s="63">
        <v>0.46</v>
      </c>
      <c r="DO36" s="63">
        <v>0.33</v>
      </c>
      <c r="DP36" s="63">
        <v>0.48</v>
      </c>
      <c r="DQ36" s="63">
        <v>0.55000000000000004</v>
      </c>
      <c r="DR36" s="63">
        <v>0.15</v>
      </c>
      <c r="DS36" s="63">
        <v>0.35</v>
      </c>
      <c r="DT36" s="63">
        <v>0.56999999999999995</v>
      </c>
      <c r="DU36" s="63">
        <v>0.49</v>
      </c>
      <c r="DV36" s="63">
        <v>0.52</v>
      </c>
      <c r="DW36" s="63">
        <v>0.31</v>
      </c>
      <c r="DX36" s="35">
        <v>50</v>
      </c>
      <c r="DY36" s="35">
        <v>10</v>
      </c>
      <c r="DZ36" s="40">
        <v>0.17</v>
      </c>
      <c r="EA36" s="40">
        <v>0.59</v>
      </c>
      <c r="EB36" s="40">
        <v>0.2</v>
      </c>
      <c r="EC36" s="40">
        <v>0.03</v>
      </c>
      <c r="ED36" s="40">
        <v>0.48</v>
      </c>
      <c r="EE36" s="40">
        <v>0.45</v>
      </c>
      <c r="EF36" s="40">
        <v>0.56999999999999995</v>
      </c>
      <c r="EG36" s="40">
        <v>0.31</v>
      </c>
      <c r="EH36" s="40">
        <v>0.45</v>
      </c>
      <c r="EI36" s="40">
        <v>0.56000000000000005</v>
      </c>
      <c r="EJ36" s="40">
        <v>0.56999999999999995</v>
      </c>
      <c r="EK36" s="40">
        <v>0.16</v>
      </c>
      <c r="EL36" s="40">
        <v>0.44</v>
      </c>
      <c r="EM36" s="40">
        <v>0.69</v>
      </c>
      <c r="EN36" s="40">
        <v>0.39</v>
      </c>
      <c r="EO36" s="40">
        <v>0.56000000000000005</v>
      </c>
      <c r="EP36" s="40">
        <v>0.39</v>
      </c>
      <c r="EQ36" s="40">
        <v>0.39</v>
      </c>
      <c r="ER36" s="40">
        <v>0.59</v>
      </c>
      <c r="ES36" s="40">
        <v>0.46</v>
      </c>
      <c r="ET36" s="40">
        <v>0.3</v>
      </c>
      <c r="EU36" s="40">
        <v>0.64</v>
      </c>
      <c r="EV36" s="40">
        <v>0.27</v>
      </c>
      <c r="EW36" s="40">
        <v>0.3</v>
      </c>
      <c r="EX36" s="40">
        <v>0.56999999999999995</v>
      </c>
      <c r="EY36" s="40">
        <v>0.61</v>
      </c>
      <c r="EZ36" s="40">
        <v>0.1</v>
      </c>
      <c r="FA36" s="40">
        <v>0.6</v>
      </c>
      <c r="FB36" s="246">
        <v>51</v>
      </c>
      <c r="FC36" s="246" t="s">
        <v>758</v>
      </c>
      <c r="FD36" s="246">
        <v>9</v>
      </c>
      <c r="FE36" s="246" t="s">
        <v>758</v>
      </c>
      <c r="FF36" s="263">
        <v>0.13</v>
      </c>
      <c r="FG36" s="263">
        <v>0.61</v>
      </c>
      <c r="FH36" s="263">
        <v>0.24</v>
      </c>
      <c r="FI36" s="263">
        <v>0.03</v>
      </c>
      <c r="FJ36" s="263">
        <v>0.45</v>
      </c>
      <c r="FK36" s="263">
        <v>0.59</v>
      </c>
      <c r="FL36" s="263">
        <v>0.46</v>
      </c>
      <c r="FM36" s="263">
        <v>0.4</v>
      </c>
      <c r="FN36" s="263">
        <v>0.24</v>
      </c>
      <c r="FO36" s="263">
        <v>0.4</v>
      </c>
      <c r="FP36" s="263">
        <v>0.35</v>
      </c>
      <c r="FQ36" s="263">
        <v>0.43</v>
      </c>
      <c r="FR36" s="263">
        <v>0.62</v>
      </c>
      <c r="FS36" s="263">
        <v>0.49</v>
      </c>
      <c r="FT36" s="263">
        <v>0.5</v>
      </c>
      <c r="FU36" s="263">
        <v>0.33</v>
      </c>
      <c r="FV36" s="263">
        <v>0.55000000000000004</v>
      </c>
      <c r="FW36" s="263">
        <v>0.54</v>
      </c>
      <c r="FX36" s="263">
        <v>0.44</v>
      </c>
      <c r="FY36" s="263">
        <v>0.42</v>
      </c>
      <c r="FZ36" s="263">
        <v>0.34</v>
      </c>
      <c r="GA36" s="263">
        <v>0.5</v>
      </c>
      <c r="GB36" s="263">
        <v>0.44</v>
      </c>
      <c r="GC36" s="263">
        <v>0.39</v>
      </c>
      <c r="GD36" s="263">
        <v>0.6</v>
      </c>
      <c r="GE36" s="263">
        <v>0.5</v>
      </c>
      <c r="GF36" s="263">
        <v>0.44</v>
      </c>
      <c r="GG36" s="263">
        <v>0.44</v>
      </c>
      <c r="GH36" s="263">
        <v>0.56999999999999995</v>
      </c>
      <c r="GI36" s="263">
        <v>0.27</v>
      </c>
      <c r="KH36" s="931"/>
      <c r="KI36" s="970"/>
      <c r="KJ36" s="970"/>
      <c r="KK36" s="970"/>
      <c r="KL36" s="970"/>
      <c r="KM36" s="970"/>
      <c r="KN36" s="970"/>
      <c r="KO36" s="970"/>
      <c r="KP36" s="970"/>
      <c r="KQ36" s="970"/>
      <c r="KR36" s="970"/>
      <c r="KS36" s="970"/>
      <c r="KT36" s="970"/>
      <c r="KU36" s="970"/>
      <c r="KV36" s="970"/>
      <c r="KW36" s="970"/>
      <c r="KX36" s="970"/>
      <c r="KY36" s="970"/>
      <c r="KZ36" s="970"/>
      <c r="LA36" s="970"/>
      <c r="LB36" s="970"/>
      <c r="LC36" s="970"/>
      <c r="LD36" s="970"/>
      <c r="LE36" s="970"/>
      <c r="LF36" s="970"/>
      <c r="LG36" s="970"/>
      <c r="LH36" s="970"/>
      <c r="LI36" s="970"/>
      <c r="LJ36" s="970"/>
      <c r="LK36" s="970"/>
      <c r="LL36" s="970"/>
      <c r="LM36" s="970"/>
      <c r="LN36" s="970"/>
      <c r="LO36" s="970"/>
      <c r="LP36" s="922"/>
      <c r="LQ36" s="126" t="s">
        <v>23</v>
      </c>
      <c r="LR36" s="946"/>
      <c r="LS36" s="945"/>
      <c r="LT36" s="946"/>
    </row>
    <row r="37" spans="1:332" ht="24.95" customHeight="1" x14ac:dyDescent="0.2">
      <c r="A37" s="739" t="s">
        <v>952</v>
      </c>
      <c r="B37" s="14" t="s">
        <v>123</v>
      </c>
      <c r="C37" s="735">
        <v>2</v>
      </c>
      <c r="D37" s="736"/>
      <c r="E37" s="736"/>
      <c r="F37" s="798"/>
      <c r="G37" s="798"/>
      <c r="H37" s="798"/>
      <c r="I37" s="798"/>
      <c r="J37" s="798"/>
      <c r="K37" s="798"/>
      <c r="L37" s="798"/>
      <c r="M37" s="798"/>
      <c r="N37" s="798"/>
      <c r="O37" s="798"/>
      <c r="P37" s="798"/>
      <c r="Q37" s="798"/>
      <c r="R37" s="798"/>
      <c r="S37" s="798"/>
      <c r="T37" s="798"/>
      <c r="U37" s="798"/>
      <c r="V37" s="798"/>
      <c r="W37" s="798"/>
      <c r="X37" s="798"/>
      <c r="Y37" s="798"/>
      <c r="Z37" s="798"/>
      <c r="AA37" s="798"/>
      <c r="AB37" s="798"/>
      <c r="AC37" s="798"/>
      <c r="AD37" s="798"/>
      <c r="AE37" s="798"/>
      <c r="AF37" s="798"/>
      <c r="AG37" s="798"/>
      <c r="AH37" s="736"/>
      <c r="AI37" s="736"/>
      <c r="AJ37" s="800"/>
      <c r="AK37" s="800"/>
      <c r="AL37" s="800"/>
      <c r="AM37" s="800"/>
      <c r="AN37" s="800"/>
      <c r="AO37" s="800"/>
      <c r="AP37" s="800"/>
      <c r="AQ37" s="800"/>
      <c r="AR37" s="800"/>
      <c r="AS37" s="800"/>
      <c r="AT37" s="800"/>
      <c r="AU37" s="800"/>
      <c r="AV37" s="800"/>
      <c r="AW37" s="800"/>
      <c r="AX37" s="800"/>
      <c r="AY37" s="800"/>
      <c r="AZ37" s="800"/>
      <c r="BA37" s="800"/>
      <c r="BB37" s="800"/>
      <c r="BC37" s="800"/>
      <c r="BD37" s="800"/>
      <c r="BE37" s="800"/>
      <c r="BF37" s="800"/>
      <c r="BG37" s="800"/>
      <c r="BH37" s="800"/>
      <c r="BI37" s="800"/>
      <c r="BJ37" s="800"/>
      <c r="BK37" s="800"/>
      <c r="BL37" s="800"/>
      <c r="BM37" s="736"/>
      <c r="BN37" s="736"/>
      <c r="BO37" s="798"/>
      <c r="BP37" s="798"/>
      <c r="BQ37" s="798"/>
      <c r="BR37" s="798"/>
      <c r="BS37" s="798"/>
      <c r="BT37" s="798"/>
      <c r="BU37" s="798"/>
      <c r="BV37" s="798"/>
      <c r="BW37" s="798"/>
      <c r="BX37" s="798"/>
      <c r="BY37" s="798"/>
      <c r="BZ37" s="798"/>
      <c r="CA37" s="798"/>
      <c r="CB37" s="798"/>
      <c r="CC37" s="798"/>
      <c r="CD37" s="798"/>
      <c r="CE37" s="798"/>
      <c r="CF37" s="798"/>
      <c r="CG37" s="798"/>
      <c r="CH37" s="798"/>
      <c r="CI37" s="798"/>
      <c r="CJ37" s="798"/>
      <c r="CK37" s="798"/>
      <c r="CL37" s="798"/>
      <c r="CM37" s="798"/>
      <c r="CN37" s="798"/>
      <c r="CO37" s="798"/>
      <c r="CP37" s="798"/>
      <c r="CQ37" s="798"/>
      <c r="CR37" s="798"/>
      <c r="CS37" s="736"/>
      <c r="CT37" s="736"/>
      <c r="CU37" s="796"/>
      <c r="CV37" s="796"/>
      <c r="CW37" s="796"/>
      <c r="CX37" s="796"/>
      <c r="CY37" s="796"/>
      <c r="CZ37" s="796"/>
      <c r="DA37" s="796"/>
      <c r="DB37" s="796"/>
      <c r="DC37" s="796"/>
      <c r="DD37" s="796"/>
      <c r="DE37" s="796"/>
      <c r="DF37" s="796"/>
      <c r="DG37" s="796"/>
      <c r="DH37" s="796"/>
      <c r="DI37" s="796"/>
      <c r="DJ37" s="796"/>
      <c r="DK37" s="796"/>
      <c r="DL37" s="796"/>
      <c r="DM37" s="796"/>
      <c r="DN37" s="796"/>
      <c r="DO37" s="796"/>
      <c r="DP37" s="796"/>
      <c r="DQ37" s="796"/>
      <c r="DR37" s="796"/>
      <c r="DS37" s="796"/>
      <c r="DT37" s="796"/>
      <c r="DU37" s="796"/>
      <c r="DV37" s="796"/>
      <c r="DW37" s="796"/>
      <c r="DX37" s="799"/>
      <c r="DY37" s="799"/>
      <c r="DZ37" s="800"/>
      <c r="EA37" s="800"/>
      <c r="EB37" s="800"/>
      <c r="EC37" s="800"/>
      <c r="ED37" s="800"/>
      <c r="EE37" s="800"/>
      <c r="EF37" s="800"/>
      <c r="EG37" s="800"/>
      <c r="EH37" s="800"/>
      <c r="EI37" s="800"/>
      <c r="EJ37" s="800"/>
      <c r="EK37" s="800"/>
      <c r="EL37" s="800"/>
      <c r="EM37" s="800"/>
      <c r="EN37" s="800"/>
      <c r="EO37" s="800"/>
      <c r="EP37" s="800"/>
      <c r="EQ37" s="800"/>
      <c r="ER37" s="800"/>
      <c r="ES37" s="800"/>
      <c r="ET37" s="800"/>
      <c r="EU37" s="800"/>
      <c r="EV37" s="800"/>
      <c r="EW37" s="800"/>
      <c r="EX37" s="800"/>
      <c r="EY37" s="800"/>
      <c r="EZ37" s="800"/>
      <c r="FA37" s="800"/>
      <c r="FB37" s="801"/>
      <c r="FC37" s="801"/>
      <c r="FD37" s="801"/>
      <c r="FE37" s="801"/>
      <c r="FF37" s="802"/>
      <c r="FG37" s="802"/>
      <c r="FH37" s="802"/>
      <c r="FI37" s="802"/>
      <c r="FJ37" s="802"/>
      <c r="FK37" s="802"/>
      <c r="FL37" s="802"/>
      <c r="FM37" s="802"/>
      <c r="FN37" s="802"/>
      <c r="FO37" s="802"/>
      <c r="FP37" s="802"/>
      <c r="FQ37" s="802"/>
      <c r="FR37" s="802"/>
      <c r="FS37" s="802"/>
      <c r="FT37" s="802"/>
      <c r="FU37" s="802"/>
      <c r="FV37" s="802"/>
      <c r="FW37" s="802"/>
      <c r="FX37" s="802"/>
      <c r="FY37" s="802"/>
      <c r="FZ37" s="802"/>
      <c r="GA37" s="802"/>
      <c r="GB37" s="802"/>
      <c r="GC37" s="802"/>
      <c r="GD37" s="802"/>
      <c r="GE37" s="802"/>
      <c r="GF37" s="802"/>
      <c r="GG37" s="802"/>
      <c r="GH37" s="802"/>
      <c r="GI37" s="802"/>
      <c r="KH37" s="971">
        <v>56</v>
      </c>
      <c r="KI37" s="971" t="s">
        <v>758</v>
      </c>
      <c r="KJ37" s="971">
        <v>0</v>
      </c>
      <c r="KK37" s="971" t="s">
        <v>760</v>
      </c>
      <c r="KL37" s="949">
        <v>0</v>
      </c>
      <c r="KM37" s="949">
        <v>0</v>
      </c>
      <c r="KN37" s="949">
        <v>1</v>
      </c>
      <c r="KO37" s="949">
        <v>0</v>
      </c>
      <c r="KP37" s="949">
        <v>0.5</v>
      </c>
      <c r="KQ37" s="949">
        <v>0</v>
      </c>
      <c r="KR37" s="949">
        <v>0.33</v>
      </c>
      <c r="KS37" s="949">
        <v>0.67</v>
      </c>
      <c r="KT37" s="949">
        <v>0</v>
      </c>
      <c r="KU37" s="949" t="s">
        <v>173</v>
      </c>
      <c r="KV37" s="949">
        <v>1</v>
      </c>
      <c r="KW37" s="949">
        <v>0</v>
      </c>
      <c r="KX37" s="949">
        <v>0</v>
      </c>
      <c r="KY37" s="949">
        <v>1</v>
      </c>
      <c r="KZ37" s="949">
        <v>0</v>
      </c>
      <c r="LA37" s="949" t="s">
        <v>173</v>
      </c>
      <c r="LB37" s="949">
        <v>0</v>
      </c>
      <c r="LC37" s="949">
        <v>0.25</v>
      </c>
      <c r="LD37" s="949">
        <v>0.33</v>
      </c>
      <c r="LE37" s="949">
        <v>0.5</v>
      </c>
      <c r="LF37" s="949">
        <v>0</v>
      </c>
      <c r="LG37" s="949" t="s">
        <v>173</v>
      </c>
      <c r="LH37" s="949">
        <v>0.6</v>
      </c>
      <c r="LI37" s="949">
        <v>0.6</v>
      </c>
      <c r="LJ37" s="949">
        <v>1</v>
      </c>
      <c r="LK37" s="949">
        <v>0.33</v>
      </c>
      <c r="LL37" s="949" t="s">
        <v>173</v>
      </c>
      <c r="LM37" s="949">
        <v>0</v>
      </c>
      <c r="LN37" s="949">
        <v>1</v>
      </c>
      <c r="LO37" s="949">
        <v>0.5</v>
      </c>
      <c r="LP37" s="922">
        <v>325754800026</v>
      </c>
      <c r="LQ37" s="739" t="s">
        <v>952</v>
      </c>
      <c r="LR37" s="998">
        <v>56</v>
      </c>
      <c r="LS37" s="971">
        <v>56</v>
      </c>
      <c r="LT37" s="946"/>
    </row>
    <row r="38" spans="1:332" ht="24.95" customHeight="1" x14ac:dyDescent="0.2">
      <c r="A38" s="36" t="s">
        <v>166</v>
      </c>
      <c r="B38" s="14" t="s">
        <v>123</v>
      </c>
      <c r="C38" s="2">
        <v>2</v>
      </c>
      <c r="D38" s="12"/>
      <c r="E38" s="12"/>
      <c r="F38" s="12"/>
      <c r="G38" s="12"/>
      <c r="H38" s="12"/>
      <c r="I38" s="12"/>
      <c r="J38" s="12"/>
      <c r="K38" s="12"/>
      <c r="L38" s="12"/>
      <c r="M38" s="12"/>
      <c r="N38" s="12"/>
      <c r="O38" s="12"/>
      <c r="P38" s="12"/>
      <c r="Q38" s="12"/>
      <c r="R38" s="12"/>
      <c r="S38" s="12"/>
      <c r="T38" s="12"/>
      <c r="U38" s="12"/>
      <c r="V38" s="12"/>
      <c r="W38" s="12"/>
      <c r="X38" s="12"/>
      <c r="Y38" s="12"/>
      <c r="Z38" s="12"/>
      <c r="AA38" s="12"/>
      <c r="AB38" s="12"/>
      <c r="AC38" s="12"/>
      <c r="AD38" s="12"/>
      <c r="AE38" s="12"/>
      <c r="AF38" s="12"/>
      <c r="AG38" s="12"/>
      <c r="AH38" s="12" t="s">
        <v>126</v>
      </c>
      <c r="AI38" s="12" t="s">
        <v>126</v>
      </c>
      <c r="AJ38" s="40"/>
      <c r="AK38" s="40"/>
      <c r="AL38" s="40"/>
      <c r="AM38" s="40"/>
      <c r="AN38" s="40"/>
      <c r="AO38" s="40"/>
      <c r="AP38" s="40"/>
      <c r="AQ38" s="40"/>
      <c r="AR38" s="40"/>
      <c r="AS38" s="40"/>
      <c r="AT38" s="40"/>
      <c r="AU38" s="40"/>
      <c r="AV38" s="40"/>
      <c r="AW38" s="40"/>
      <c r="AX38" s="40"/>
      <c r="AY38" s="40"/>
      <c r="AZ38" s="40"/>
      <c r="BA38" s="40"/>
      <c r="BB38" s="40"/>
      <c r="BC38" s="40"/>
      <c r="BD38" s="40"/>
      <c r="BE38" s="40"/>
      <c r="BF38" s="40"/>
      <c r="BG38" s="40"/>
      <c r="BH38" s="40"/>
      <c r="BI38" s="40"/>
      <c r="BJ38" s="40"/>
      <c r="BK38" s="40"/>
      <c r="BL38" s="40"/>
      <c r="BM38" s="12" t="s">
        <v>126</v>
      </c>
      <c r="BN38" s="12" t="s">
        <v>126</v>
      </c>
      <c r="BO38" s="12"/>
      <c r="BP38" s="12"/>
      <c r="BQ38" s="12"/>
      <c r="BR38" s="12"/>
      <c r="BS38" s="12"/>
      <c r="BT38" s="12"/>
      <c r="BU38" s="12"/>
      <c r="BV38" s="12"/>
      <c r="BW38" s="12"/>
      <c r="BX38" s="12"/>
      <c r="BY38" s="12"/>
      <c r="BZ38" s="12"/>
      <c r="CA38" s="12"/>
      <c r="CB38" s="12"/>
      <c r="CC38" s="12"/>
      <c r="CD38" s="12"/>
      <c r="CE38" s="12"/>
      <c r="CF38" s="12"/>
      <c r="CG38" s="12"/>
      <c r="CH38" s="12"/>
      <c r="CI38" s="12"/>
      <c r="CJ38" s="12"/>
      <c r="CK38" s="12"/>
      <c r="CL38" s="12"/>
      <c r="CM38" s="12"/>
      <c r="CN38" s="12"/>
      <c r="CO38" s="12"/>
      <c r="CP38" s="12"/>
      <c r="CQ38" s="12"/>
      <c r="CR38" s="12"/>
      <c r="CS38" s="12" t="s">
        <v>126</v>
      </c>
      <c r="CT38" s="12" t="s">
        <v>126</v>
      </c>
      <c r="CU38" s="2"/>
      <c r="CV38" s="2"/>
      <c r="CW38" s="2"/>
      <c r="CX38" s="2"/>
      <c r="CY38" s="2"/>
      <c r="CZ38" s="2"/>
      <c r="DA38" s="2"/>
      <c r="DB38" s="2"/>
      <c r="DC38" s="2"/>
      <c r="DD38" s="2"/>
      <c r="DE38" s="2"/>
      <c r="DF38" s="2"/>
      <c r="DG38" s="2"/>
      <c r="DH38" s="2"/>
      <c r="DI38" s="2"/>
      <c r="DJ38" s="2"/>
      <c r="DK38" s="2"/>
      <c r="DL38" s="2"/>
      <c r="DM38" s="2"/>
      <c r="DN38" s="2"/>
      <c r="DO38" s="2"/>
      <c r="DP38" s="2"/>
      <c r="DQ38" s="2"/>
      <c r="DR38" s="2"/>
      <c r="DS38" s="2"/>
      <c r="DT38" s="2"/>
      <c r="DU38" s="2"/>
      <c r="DV38" s="2"/>
      <c r="DW38" s="2"/>
      <c r="DX38" s="35">
        <v>46</v>
      </c>
      <c r="DY38" s="35">
        <v>4</v>
      </c>
      <c r="DZ38" s="40">
        <v>0</v>
      </c>
      <c r="EA38" s="40">
        <v>1</v>
      </c>
      <c r="EB38" s="40">
        <v>0</v>
      </c>
      <c r="EC38" s="40">
        <v>0</v>
      </c>
      <c r="ED38" s="40">
        <v>0.67</v>
      </c>
      <c r="EE38" s="40">
        <v>0.5</v>
      </c>
      <c r="EF38" s="40">
        <v>0.33</v>
      </c>
      <c r="EG38" s="40">
        <v>0</v>
      </c>
      <c r="EH38" s="40">
        <v>0.5</v>
      </c>
      <c r="EI38" s="40">
        <v>0.8</v>
      </c>
      <c r="EJ38" s="40">
        <v>1</v>
      </c>
      <c r="EK38" s="40">
        <v>1</v>
      </c>
      <c r="EL38" s="40">
        <v>0.5</v>
      </c>
      <c r="EM38" s="40">
        <v>0.5</v>
      </c>
      <c r="EN38" s="40">
        <v>0.25</v>
      </c>
      <c r="EO38" s="40">
        <v>0.8</v>
      </c>
      <c r="EP38" s="40">
        <v>0.5</v>
      </c>
      <c r="EQ38" s="40">
        <v>1</v>
      </c>
      <c r="ER38" s="40">
        <v>0.5</v>
      </c>
      <c r="ES38" s="40">
        <v>1</v>
      </c>
      <c r="ET38" s="40">
        <v>0.28999999999999998</v>
      </c>
      <c r="EU38" s="40">
        <v>1</v>
      </c>
      <c r="EV38" s="35" t="s">
        <v>173</v>
      </c>
      <c r="EW38" s="40">
        <v>0</v>
      </c>
      <c r="EX38" s="40">
        <v>0.5</v>
      </c>
      <c r="EY38" s="40">
        <v>0.71</v>
      </c>
      <c r="EZ38" s="35" t="s">
        <v>173</v>
      </c>
      <c r="FA38" s="40">
        <v>0.4</v>
      </c>
      <c r="FB38" s="246">
        <v>46</v>
      </c>
      <c r="FC38" s="246" t="s">
        <v>758</v>
      </c>
      <c r="FD38" s="246">
        <v>0</v>
      </c>
      <c r="FE38" s="246" t="s">
        <v>760</v>
      </c>
      <c r="FF38" s="263">
        <v>0</v>
      </c>
      <c r="FG38" s="263">
        <v>1</v>
      </c>
      <c r="FH38" s="263">
        <v>0</v>
      </c>
      <c r="FI38" s="263">
        <v>0</v>
      </c>
      <c r="FJ38" s="263">
        <v>0.33</v>
      </c>
      <c r="FK38" s="263">
        <v>0.5</v>
      </c>
      <c r="FL38" s="263">
        <v>0.67</v>
      </c>
      <c r="FM38" s="263">
        <v>1</v>
      </c>
      <c r="FN38" s="263">
        <v>0</v>
      </c>
      <c r="FO38" s="263">
        <v>0</v>
      </c>
      <c r="FP38" s="263">
        <v>0</v>
      </c>
      <c r="FQ38" s="263">
        <v>0</v>
      </c>
      <c r="FR38" s="263">
        <v>0.75</v>
      </c>
      <c r="FS38" s="263">
        <v>0.33</v>
      </c>
      <c r="FT38" s="263">
        <v>1</v>
      </c>
      <c r="FU38" s="263">
        <v>0.5</v>
      </c>
      <c r="FV38" s="263">
        <v>1</v>
      </c>
      <c r="FW38" s="263">
        <v>0</v>
      </c>
      <c r="FX38" s="263">
        <v>1</v>
      </c>
      <c r="FY38" s="263">
        <v>0.5</v>
      </c>
      <c r="FZ38" s="263">
        <v>1</v>
      </c>
      <c r="GA38" s="246" t="s">
        <v>173</v>
      </c>
      <c r="GB38" s="263">
        <v>0.5</v>
      </c>
      <c r="GC38" s="263">
        <v>1</v>
      </c>
      <c r="GD38" s="263">
        <v>0.67</v>
      </c>
      <c r="GE38" s="263">
        <v>0.5</v>
      </c>
      <c r="GF38" s="263">
        <v>0.5</v>
      </c>
      <c r="GG38" s="263">
        <v>1</v>
      </c>
      <c r="GH38" s="263">
        <v>0</v>
      </c>
      <c r="GI38" s="263">
        <v>0.33</v>
      </c>
      <c r="GJ38" s="309">
        <v>43</v>
      </c>
      <c r="GK38" s="309" t="s">
        <v>760</v>
      </c>
      <c r="GL38" s="309">
        <v>13</v>
      </c>
      <c r="GM38" s="309" t="s">
        <v>759</v>
      </c>
      <c r="GN38" s="327">
        <v>0.67</v>
      </c>
      <c r="GO38" s="327">
        <v>0</v>
      </c>
      <c r="GP38" s="327">
        <v>0.33</v>
      </c>
      <c r="GQ38" s="327">
        <v>0</v>
      </c>
      <c r="GR38" s="327">
        <v>0.5</v>
      </c>
      <c r="GS38" s="327">
        <v>0.5</v>
      </c>
      <c r="GT38" s="327">
        <v>0.5</v>
      </c>
      <c r="GU38" s="327">
        <v>0</v>
      </c>
      <c r="GV38" s="327">
        <v>0.71</v>
      </c>
      <c r="GW38" s="327">
        <v>0.4</v>
      </c>
      <c r="GX38" s="327">
        <v>0.77</v>
      </c>
      <c r="GY38" s="309" t="s">
        <v>173</v>
      </c>
      <c r="GZ38" s="327">
        <v>0</v>
      </c>
      <c r="HA38" s="309" t="s">
        <v>173</v>
      </c>
      <c r="HB38" s="327">
        <v>0.67</v>
      </c>
      <c r="HC38" s="327">
        <v>0.4</v>
      </c>
      <c r="HD38" s="327">
        <v>0.67</v>
      </c>
      <c r="HE38" s="327">
        <v>0.8</v>
      </c>
      <c r="HF38" s="327">
        <v>0.57999999999999996</v>
      </c>
      <c r="HG38" s="327">
        <v>0.6</v>
      </c>
      <c r="HH38" s="327">
        <v>0.56999999999999995</v>
      </c>
      <c r="HI38" s="327">
        <v>0.8</v>
      </c>
      <c r="HJ38" s="327">
        <v>0.82</v>
      </c>
      <c r="HK38" s="327">
        <v>0.67</v>
      </c>
      <c r="HL38" s="327">
        <v>0.38</v>
      </c>
      <c r="HM38" s="327">
        <v>1</v>
      </c>
      <c r="HN38" s="327">
        <v>0.75</v>
      </c>
      <c r="HO38" s="327">
        <v>0.75</v>
      </c>
      <c r="HP38" s="309" t="s">
        <v>173</v>
      </c>
      <c r="HQ38" s="327">
        <v>0.56999999999999995</v>
      </c>
      <c r="HR38" s="424">
        <v>42</v>
      </c>
      <c r="HS38" s="424" t="s">
        <v>760</v>
      </c>
      <c r="HT38" s="424">
        <v>0</v>
      </c>
      <c r="HU38" s="424" t="s">
        <v>760</v>
      </c>
      <c r="HV38" s="428">
        <v>0</v>
      </c>
      <c r="HW38" s="428">
        <v>1</v>
      </c>
      <c r="HX38" s="428">
        <v>0</v>
      </c>
      <c r="HY38" s="428">
        <v>0</v>
      </c>
      <c r="HZ38" s="428">
        <v>0.5</v>
      </c>
      <c r="IA38" s="428">
        <v>0.5</v>
      </c>
      <c r="IB38" s="428">
        <v>0</v>
      </c>
      <c r="IC38" s="428">
        <v>0</v>
      </c>
      <c r="ID38" s="428">
        <v>1</v>
      </c>
      <c r="IE38" s="428">
        <v>0.5</v>
      </c>
      <c r="IF38" s="428">
        <v>1</v>
      </c>
      <c r="IG38" s="428">
        <v>1</v>
      </c>
      <c r="IH38" s="428">
        <v>1</v>
      </c>
      <c r="II38" s="424" t="s">
        <v>173</v>
      </c>
      <c r="IJ38" s="428">
        <v>0.67</v>
      </c>
      <c r="IK38" s="428">
        <v>0.67</v>
      </c>
      <c r="IL38" s="428">
        <v>0.5</v>
      </c>
      <c r="IM38" s="428">
        <v>1</v>
      </c>
      <c r="IN38" s="428">
        <v>0.33</v>
      </c>
      <c r="IO38" s="428">
        <v>0.5</v>
      </c>
      <c r="IP38" s="428">
        <v>0.5</v>
      </c>
      <c r="IQ38" s="428">
        <v>0.5</v>
      </c>
      <c r="IR38" s="428">
        <v>1</v>
      </c>
      <c r="IS38" s="428">
        <v>1</v>
      </c>
      <c r="IT38" s="428">
        <v>0.5</v>
      </c>
      <c r="IU38" s="424" t="s">
        <v>173</v>
      </c>
      <c r="IV38" s="428">
        <v>1</v>
      </c>
      <c r="IW38" s="428">
        <v>1</v>
      </c>
      <c r="IX38" s="428">
        <v>1</v>
      </c>
      <c r="IY38" s="428">
        <v>0.67</v>
      </c>
      <c r="IZ38" s="464">
        <v>38</v>
      </c>
      <c r="JA38" s="464" t="s">
        <v>760</v>
      </c>
      <c r="JB38" s="464">
        <v>4</v>
      </c>
      <c r="JC38" s="464" t="s">
        <v>760</v>
      </c>
      <c r="JD38" s="476">
        <v>0.5</v>
      </c>
      <c r="JE38" s="476">
        <v>0.5</v>
      </c>
      <c r="JF38" s="476">
        <v>0</v>
      </c>
      <c r="JG38" s="476">
        <v>0</v>
      </c>
      <c r="JH38" s="476">
        <v>1</v>
      </c>
      <c r="JI38" s="476">
        <v>0.86</v>
      </c>
      <c r="JJ38" s="476">
        <v>0.5</v>
      </c>
      <c r="JK38" s="476">
        <v>1</v>
      </c>
      <c r="JL38" s="476">
        <v>0.75</v>
      </c>
      <c r="JM38" s="476">
        <v>0.5</v>
      </c>
      <c r="JN38" s="476">
        <v>0.8</v>
      </c>
      <c r="JO38" s="476">
        <v>0.8</v>
      </c>
      <c r="JP38" s="476">
        <v>0.5</v>
      </c>
      <c r="JQ38" s="476">
        <v>0.67</v>
      </c>
      <c r="JR38" s="476">
        <v>0.67</v>
      </c>
      <c r="JS38" s="476">
        <v>1</v>
      </c>
      <c r="JT38" s="476">
        <v>1</v>
      </c>
      <c r="JU38" s="476">
        <v>0.75</v>
      </c>
      <c r="JV38" s="476">
        <v>0.83</v>
      </c>
      <c r="JW38" s="476">
        <v>0.6</v>
      </c>
      <c r="JX38" s="476">
        <v>0.67</v>
      </c>
      <c r="JY38" s="476">
        <v>0.75</v>
      </c>
      <c r="JZ38" s="476">
        <v>0.75</v>
      </c>
      <c r="KA38" s="476">
        <v>1</v>
      </c>
      <c r="KB38" s="476">
        <v>1</v>
      </c>
      <c r="KC38" s="476">
        <v>0</v>
      </c>
      <c r="KD38" s="476">
        <v>0.5</v>
      </c>
      <c r="KE38" s="476">
        <v>0.25</v>
      </c>
      <c r="KF38" s="476">
        <v>0.6</v>
      </c>
      <c r="KG38" s="476">
        <v>0.8</v>
      </c>
      <c r="KH38" s="971">
        <v>46</v>
      </c>
      <c r="KI38" s="971" t="s">
        <v>758</v>
      </c>
      <c r="KJ38" s="971">
        <v>16</v>
      </c>
      <c r="KK38" s="971" t="s">
        <v>759</v>
      </c>
      <c r="KL38" s="949">
        <v>0.5</v>
      </c>
      <c r="KM38" s="949">
        <v>0</v>
      </c>
      <c r="KN38" s="949">
        <v>0.5</v>
      </c>
      <c r="KO38" s="949">
        <v>0</v>
      </c>
      <c r="KP38" s="949">
        <v>0.4</v>
      </c>
      <c r="KQ38" s="949">
        <v>1</v>
      </c>
      <c r="KR38" s="949">
        <v>0.5</v>
      </c>
      <c r="KS38" s="949">
        <v>0.2</v>
      </c>
      <c r="KT38" s="949">
        <v>0.67</v>
      </c>
      <c r="KU38" s="949">
        <v>0.67</v>
      </c>
      <c r="KV38" s="949">
        <v>0.8</v>
      </c>
      <c r="KW38" s="949">
        <v>0.4</v>
      </c>
      <c r="KX38" s="949">
        <v>0.25</v>
      </c>
      <c r="KY38" s="949">
        <v>0.67</v>
      </c>
      <c r="KZ38" s="949">
        <v>0.43</v>
      </c>
      <c r="LA38" s="949">
        <v>0</v>
      </c>
      <c r="LB38" s="949">
        <v>0.5</v>
      </c>
      <c r="LC38" s="949">
        <v>0.75</v>
      </c>
      <c r="LD38" s="949">
        <v>0.67</v>
      </c>
      <c r="LE38" s="949">
        <v>0.5</v>
      </c>
      <c r="LF38" s="949">
        <v>0.25</v>
      </c>
      <c r="LG38" s="949">
        <v>0</v>
      </c>
      <c r="LH38" s="949">
        <v>0.63</v>
      </c>
      <c r="LI38" s="949">
        <v>0.5</v>
      </c>
      <c r="LJ38" s="949">
        <v>0.75</v>
      </c>
      <c r="LK38" s="949">
        <v>0.83</v>
      </c>
      <c r="LL38" s="949" t="s">
        <v>173</v>
      </c>
      <c r="LM38" s="949">
        <v>0.5</v>
      </c>
      <c r="LN38" s="949" t="s">
        <v>173</v>
      </c>
      <c r="LO38" s="949">
        <v>0.33</v>
      </c>
      <c r="LP38" s="922">
        <v>325754005200</v>
      </c>
      <c r="LQ38" s="36" t="s">
        <v>166</v>
      </c>
      <c r="LR38" s="424">
        <v>42</v>
      </c>
      <c r="LS38" s="971">
        <v>46</v>
      </c>
      <c r="LT38" s="946"/>
    </row>
    <row r="39" spans="1:332" ht="24.95" customHeight="1" x14ac:dyDescent="0.2">
      <c r="A39" s="636" t="s">
        <v>796</v>
      </c>
      <c r="B39" s="14" t="s">
        <v>123</v>
      </c>
      <c r="C39" s="464">
        <v>2</v>
      </c>
      <c r="D39" s="524"/>
      <c r="E39" s="524"/>
      <c r="F39" s="524"/>
      <c r="G39" s="524"/>
      <c r="H39" s="524"/>
      <c r="I39" s="524"/>
      <c r="J39" s="524"/>
      <c r="K39" s="524"/>
      <c r="L39" s="524"/>
      <c r="M39" s="524"/>
      <c r="N39" s="524"/>
      <c r="O39" s="524"/>
      <c r="P39" s="524"/>
      <c r="Q39" s="524"/>
      <c r="R39" s="524"/>
      <c r="S39" s="524"/>
      <c r="T39" s="524"/>
      <c r="U39" s="524"/>
      <c r="V39" s="524"/>
      <c r="W39" s="524"/>
      <c r="X39" s="524"/>
      <c r="Y39" s="524"/>
      <c r="Z39" s="524"/>
      <c r="AA39" s="524"/>
      <c r="AB39" s="524"/>
      <c r="AC39" s="524"/>
      <c r="AD39" s="524"/>
      <c r="AE39" s="524"/>
      <c r="AF39" s="524"/>
      <c r="AG39" s="524"/>
      <c r="AH39" s="524"/>
      <c r="AI39" s="524"/>
      <c r="AJ39" s="637"/>
      <c r="AK39" s="637"/>
      <c r="AL39" s="637"/>
      <c r="AM39" s="637"/>
      <c r="AN39" s="637"/>
      <c r="AO39" s="637"/>
      <c r="AP39" s="637"/>
      <c r="AQ39" s="637"/>
      <c r="AR39" s="637"/>
      <c r="AS39" s="637"/>
      <c r="AT39" s="637"/>
      <c r="AU39" s="637"/>
      <c r="AV39" s="637"/>
      <c r="AW39" s="637"/>
      <c r="AX39" s="637"/>
      <c r="AY39" s="637"/>
      <c r="AZ39" s="637"/>
      <c r="BA39" s="637"/>
      <c r="BB39" s="637"/>
      <c r="BC39" s="637"/>
      <c r="BD39" s="637"/>
      <c r="BE39" s="637"/>
      <c r="BF39" s="637"/>
      <c r="BG39" s="637"/>
      <c r="BH39" s="637"/>
      <c r="BI39" s="637"/>
      <c r="BJ39" s="637"/>
      <c r="BK39" s="637"/>
      <c r="BL39" s="637"/>
      <c r="BM39" s="524"/>
      <c r="BN39" s="524"/>
      <c r="BO39" s="524"/>
      <c r="BP39" s="524"/>
      <c r="BQ39" s="524"/>
      <c r="BR39" s="524"/>
      <c r="BS39" s="524"/>
      <c r="BT39" s="524"/>
      <c r="BU39" s="524"/>
      <c r="BV39" s="524"/>
      <c r="BW39" s="524"/>
      <c r="BX39" s="524"/>
      <c r="BY39" s="524"/>
      <c r="BZ39" s="524"/>
      <c r="CA39" s="524"/>
      <c r="CB39" s="524"/>
      <c r="CC39" s="524"/>
      <c r="CD39" s="524"/>
      <c r="CE39" s="524"/>
      <c r="CF39" s="524"/>
      <c r="CG39" s="524"/>
      <c r="CH39" s="524"/>
      <c r="CI39" s="524"/>
      <c r="CJ39" s="524"/>
      <c r="CK39" s="524"/>
      <c r="CL39" s="524"/>
      <c r="CM39" s="524"/>
      <c r="CN39" s="524"/>
      <c r="CO39" s="524"/>
      <c r="CP39" s="524"/>
      <c r="CQ39" s="524"/>
      <c r="CR39" s="524"/>
      <c r="CS39" s="524"/>
      <c r="CT39" s="524"/>
      <c r="CU39" s="464"/>
      <c r="CV39" s="464"/>
      <c r="CW39" s="464"/>
      <c r="CX39" s="464"/>
      <c r="CY39" s="464"/>
      <c r="CZ39" s="464"/>
      <c r="DA39" s="464"/>
      <c r="DB39" s="464"/>
      <c r="DC39" s="464"/>
      <c r="DD39" s="464"/>
      <c r="DE39" s="464"/>
      <c r="DF39" s="464"/>
      <c r="DG39" s="464"/>
      <c r="DH39" s="464"/>
      <c r="DI39" s="464"/>
      <c r="DJ39" s="464"/>
      <c r="DK39" s="464"/>
      <c r="DL39" s="464"/>
      <c r="DM39" s="464"/>
      <c r="DN39" s="464"/>
      <c r="DO39" s="464"/>
      <c r="DP39" s="464"/>
      <c r="DQ39" s="464"/>
      <c r="DR39" s="464"/>
      <c r="DS39" s="464"/>
      <c r="DT39" s="464"/>
      <c r="DU39" s="464"/>
      <c r="DV39" s="464"/>
      <c r="DW39" s="464"/>
      <c r="DX39" s="638"/>
      <c r="DY39" s="638"/>
      <c r="DZ39" s="637"/>
      <c r="EA39" s="637"/>
      <c r="EB39" s="637"/>
      <c r="EC39" s="637"/>
      <c r="ED39" s="637"/>
      <c r="EE39" s="637"/>
      <c r="EF39" s="637"/>
      <c r="EG39" s="637"/>
      <c r="EH39" s="637"/>
      <c r="EI39" s="637"/>
      <c r="EJ39" s="637"/>
      <c r="EK39" s="637"/>
      <c r="EL39" s="637"/>
      <c r="EM39" s="637"/>
      <c r="EN39" s="637"/>
      <c r="EO39" s="637"/>
      <c r="EP39" s="637"/>
      <c r="EQ39" s="637"/>
      <c r="ER39" s="637"/>
      <c r="ES39" s="637"/>
      <c r="ET39" s="637"/>
      <c r="EU39" s="637"/>
      <c r="EV39" s="638"/>
      <c r="EW39" s="637"/>
      <c r="EX39" s="637"/>
      <c r="EY39" s="637"/>
      <c r="EZ39" s="638"/>
      <c r="FA39" s="637"/>
      <c r="FB39" s="639"/>
      <c r="FC39" s="639"/>
      <c r="FD39" s="639"/>
      <c r="FE39" s="639"/>
      <c r="FF39" s="640"/>
      <c r="FG39" s="640"/>
      <c r="FH39" s="640"/>
      <c r="FI39" s="640"/>
      <c r="FJ39" s="640"/>
      <c r="FK39" s="640"/>
      <c r="FL39" s="640"/>
      <c r="FM39" s="640"/>
      <c r="FN39" s="640"/>
      <c r="FO39" s="640"/>
      <c r="FP39" s="640"/>
      <c r="FQ39" s="640"/>
      <c r="FR39" s="640"/>
      <c r="FS39" s="640"/>
      <c r="FT39" s="640"/>
      <c r="FU39" s="640"/>
      <c r="FV39" s="640"/>
      <c r="FW39" s="640"/>
      <c r="FX39" s="640"/>
      <c r="FY39" s="640"/>
      <c r="FZ39" s="640"/>
      <c r="GA39" s="639"/>
      <c r="GB39" s="640"/>
      <c r="GC39" s="640"/>
      <c r="GD39" s="640"/>
      <c r="GE39" s="640"/>
      <c r="GF39" s="640"/>
      <c r="GG39" s="640"/>
      <c r="GH39" s="640"/>
      <c r="GI39" s="640"/>
      <c r="GJ39" s="464">
        <v>42</v>
      </c>
      <c r="GK39" s="464" t="s">
        <v>760</v>
      </c>
      <c r="GL39" s="464">
        <v>4</v>
      </c>
      <c r="GM39" s="464" t="s">
        <v>760</v>
      </c>
      <c r="GN39" s="476">
        <v>0.25</v>
      </c>
      <c r="GO39" s="476">
        <v>0.75</v>
      </c>
      <c r="GP39" s="476">
        <v>0</v>
      </c>
      <c r="GQ39" s="476">
        <v>0</v>
      </c>
      <c r="GR39" s="476">
        <v>0.83</v>
      </c>
      <c r="GS39" s="476">
        <v>0.8</v>
      </c>
      <c r="GT39" s="476">
        <v>0.91</v>
      </c>
      <c r="GU39" s="476">
        <v>0.43</v>
      </c>
      <c r="GV39" s="476">
        <v>0.68</v>
      </c>
      <c r="GW39" s="476">
        <v>0.43</v>
      </c>
      <c r="GX39" s="476">
        <v>0.68</v>
      </c>
      <c r="GY39" s="464" t="s">
        <v>173</v>
      </c>
      <c r="GZ39" s="476">
        <v>0.27</v>
      </c>
      <c r="HA39" s="476">
        <v>0.83</v>
      </c>
      <c r="HB39" s="476">
        <v>0.67</v>
      </c>
      <c r="HC39" s="476">
        <v>0.77</v>
      </c>
      <c r="HD39" s="476">
        <v>0.86</v>
      </c>
      <c r="HE39" s="476">
        <v>0.67</v>
      </c>
      <c r="HF39" s="476">
        <v>0.73</v>
      </c>
      <c r="HG39" s="476">
        <v>0.71</v>
      </c>
      <c r="HH39" s="476">
        <v>0.43</v>
      </c>
      <c r="HI39" s="476">
        <v>0.75</v>
      </c>
      <c r="HJ39" s="476">
        <v>0.67</v>
      </c>
      <c r="HK39" s="476">
        <v>0.43</v>
      </c>
      <c r="HL39" s="476">
        <v>0.55000000000000004</v>
      </c>
      <c r="HM39" s="476">
        <v>0.6</v>
      </c>
      <c r="HN39" s="476">
        <v>0.71</v>
      </c>
      <c r="HO39" s="476">
        <v>0.8</v>
      </c>
      <c r="HP39" s="464" t="s">
        <v>173</v>
      </c>
      <c r="HQ39" s="476">
        <v>0.79</v>
      </c>
      <c r="HR39" s="641">
        <v>41</v>
      </c>
      <c r="HS39" s="641" t="s">
        <v>760</v>
      </c>
      <c r="HT39" s="641">
        <v>8</v>
      </c>
      <c r="HU39" s="641" t="s">
        <v>758</v>
      </c>
      <c r="HV39" s="642">
        <v>0.5</v>
      </c>
      <c r="HW39" s="642">
        <v>0.5</v>
      </c>
      <c r="HX39" s="642">
        <v>0</v>
      </c>
      <c r="HY39" s="642">
        <v>0</v>
      </c>
      <c r="HZ39" s="642">
        <v>0.43</v>
      </c>
      <c r="IA39" s="642">
        <v>0.56000000000000005</v>
      </c>
      <c r="IB39" s="642">
        <v>0.2</v>
      </c>
      <c r="IC39" s="642">
        <v>0.88</v>
      </c>
      <c r="ID39" s="642">
        <v>0.5</v>
      </c>
      <c r="IE39" s="642">
        <v>0.89</v>
      </c>
      <c r="IF39" s="642">
        <v>0.4</v>
      </c>
      <c r="IG39" s="642">
        <v>0.71</v>
      </c>
      <c r="IH39" s="642">
        <v>0.5</v>
      </c>
      <c r="II39" s="642">
        <v>0.67</v>
      </c>
      <c r="IJ39" s="642">
        <v>0.67</v>
      </c>
      <c r="IK39" s="642">
        <v>0.85</v>
      </c>
      <c r="IL39" s="642">
        <v>0.5</v>
      </c>
      <c r="IM39" s="642">
        <v>0.63</v>
      </c>
      <c r="IN39" s="642">
        <v>0.83</v>
      </c>
      <c r="IO39" s="642">
        <v>0.8</v>
      </c>
      <c r="IP39" s="642">
        <v>0.4</v>
      </c>
      <c r="IQ39" s="642">
        <v>0.43</v>
      </c>
      <c r="IR39" s="642">
        <v>1</v>
      </c>
      <c r="IS39" s="642">
        <v>0.75</v>
      </c>
      <c r="IT39" s="642">
        <v>0.77</v>
      </c>
      <c r="IU39" s="641" t="s">
        <v>173</v>
      </c>
      <c r="IV39" s="642">
        <v>0.56999999999999995</v>
      </c>
      <c r="IW39" s="642">
        <v>0.28999999999999998</v>
      </c>
      <c r="IX39" s="642">
        <v>1</v>
      </c>
      <c r="IY39" s="642">
        <v>0.4</v>
      </c>
      <c r="IZ39" s="641"/>
      <c r="JA39" s="641"/>
      <c r="JB39" s="641"/>
      <c r="JC39" s="641"/>
      <c r="JD39" s="642"/>
      <c r="JE39" s="642"/>
      <c r="JF39" s="642"/>
      <c r="JG39" s="642"/>
      <c r="JH39" s="642"/>
      <c r="JI39" s="642"/>
      <c r="JJ39" s="642"/>
      <c r="JK39" s="642"/>
      <c r="JL39" s="642"/>
      <c r="JM39" s="642"/>
      <c r="JN39" s="642"/>
      <c r="JO39" s="642"/>
      <c r="JP39" s="642"/>
      <c r="JQ39" s="642"/>
      <c r="JR39" s="642"/>
      <c r="JS39" s="642"/>
      <c r="JT39" s="642"/>
      <c r="JU39" s="642"/>
      <c r="JV39" s="642"/>
      <c r="JW39" s="642"/>
      <c r="JX39" s="642"/>
      <c r="JY39" s="642"/>
      <c r="JZ39" s="641"/>
      <c r="KA39" s="642"/>
      <c r="KB39" s="642"/>
      <c r="KC39" s="642"/>
      <c r="KD39" s="642"/>
      <c r="KE39" s="642"/>
      <c r="KF39" s="642"/>
      <c r="KG39" s="642"/>
      <c r="KH39" s="971"/>
      <c r="KI39" s="971"/>
      <c r="KJ39" s="971"/>
      <c r="KK39" s="971"/>
      <c r="KL39" s="949"/>
      <c r="KM39" s="949"/>
      <c r="KN39" s="949"/>
      <c r="KO39" s="949"/>
      <c r="KP39" s="949"/>
      <c r="KQ39" s="949"/>
      <c r="KR39" s="949"/>
      <c r="KS39" s="949"/>
      <c r="KT39" s="949"/>
      <c r="KU39" s="949"/>
      <c r="KV39" s="949"/>
      <c r="KW39" s="949"/>
      <c r="KX39" s="949"/>
      <c r="KY39" s="949"/>
      <c r="KZ39" s="949"/>
      <c r="LA39" s="949"/>
      <c r="LB39" s="949"/>
      <c r="LC39" s="949"/>
      <c r="LD39" s="949"/>
      <c r="LE39" s="949"/>
      <c r="LF39" s="949"/>
      <c r="LG39" s="949"/>
      <c r="LH39" s="949"/>
      <c r="LI39" s="949"/>
      <c r="LJ39" s="949"/>
      <c r="LK39" s="949"/>
      <c r="LL39" s="949" t="s">
        <v>173</v>
      </c>
      <c r="LM39" s="949"/>
      <c r="LN39" s="949"/>
      <c r="LO39" s="949"/>
      <c r="LP39" s="922"/>
      <c r="LQ39" s="636" t="s">
        <v>796</v>
      </c>
      <c r="LR39" s="641">
        <v>41</v>
      </c>
      <c r="LS39" s="971"/>
      <c r="LT39" s="946"/>
    </row>
    <row r="40" spans="1:332" ht="24.95" customHeight="1" x14ac:dyDescent="0.2">
      <c r="A40" s="636" t="s">
        <v>26</v>
      </c>
      <c r="B40" s="1" t="s">
        <v>123</v>
      </c>
      <c r="C40" s="464">
        <v>3</v>
      </c>
      <c r="D40" s="524">
        <v>53</v>
      </c>
      <c r="E40" s="524">
        <v>5</v>
      </c>
      <c r="F40" s="525">
        <v>0</v>
      </c>
      <c r="G40" s="525">
        <v>0.67</v>
      </c>
      <c r="H40" s="525">
        <v>0.33</v>
      </c>
      <c r="I40" s="525">
        <v>0</v>
      </c>
      <c r="J40" s="525">
        <v>0.39</v>
      </c>
      <c r="K40" s="525">
        <v>0.28999999999999998</v>
      </c>
      <c r="L40" s="525">
        <v>0.68</v>
      </c>
      <c r="M40" s="525">
        <v>0.17</v>
      </c>
      <c r="N40" s="525">
        <v>0.35</v>
      </c>
      <c r="O40" s="525">
        <v>0.6</v>
      </c>
      <c r="P40" s="525">
        <v>0.26</v>
      </c>
      <c r="Q40" s="525">
        <v>0.53</v>
      </c>
      <c r="R40" s="525">
        <v>0.51</v>
      </c>
      <c r="S40" s="525">
        <v>0.61</v>
      </c>
      <c r="T40" s="525">
        <v>0.43</v>
      </c>
      <c r="U40" s="525">
        <v>0.7</v>
      </c>
      <c r="V40" s="525">
        <v>0.05</v>
      </c>
      <c r="W40" s="525">
        <v>0.12</v>
      </c>
      <c r="X40" s="525">
        <v>0.51</v>
      </c>
      <c r="Y40" s="525">
        <v>0.45</v>
      </c>
      <c r="Z40" s="525">
        <v>1</v>
      </c>
      <c r="AA40" s="525">
        <v>0.16</v>
      </c>
      <c r="AB40" s="525">
        <v>0.42</v>
      </c>
      <c r="AC40" s="525">
        <v>0.22</v>
      </c>
      <c r="AD40" s="525">
        <v>0.49</v>
      </c>
      <c r="AE40" s="525">
        <v>0.44</v>
      </c>
      <c r="AF40" s="525">
        <v>0.51</v>
      </c>
      <c r="AG40" s="525">
        <v>0.44</v>
      </c>
      <c r="AH40" s="524">
        <v>51</v>
      </c>
      <c r="AI40" s="524">
        <v>8</v>
      </c>
      <c r="AJ40" s="637">
        <v>0.1</v>
      </c>
      <c r="AK40" s="637">
        <v>0.56999999999999995</v>
      </c>
      <c r="AL40" s="637">
        <v>0.33</v>
      </c>
      <c r="AM40" s="637">
        <v>0</v>
      </c>
      <c r="AN40" s="637">
        <v>0.32</v>
      </c>
      <c r="AO40" s="637">
        <v>0.49</v>
      </c>
      <c r="AP40" s="637">
        <v>0.56000000000000005</v>
      </c>
      <c r="AQ40" s="637">
        <v>0.43</v>
      </c>
      <c r="AR40" s="637">
        <v>0.65</v>
      </c>
      <c r="AS40" s="637">
        <v>0.5</v>
      </c>
      <c r="AT40" s="637">
        <v>0.52</v>
      </c>
      <c r="AU40" s="637">
        <v>0.56999999999999995</v>
      </c>
      <c r="AV40" s="637">
        <v>0.65</v>
      </c>
      <c r="AW40" s="637">
        <v>0.56000000000000005</v>
      </c>
      <c r="AX40" s="637">
        <v>0.55000000000000004</v>
      </c>
      <c r="AY40" s="637">
        <v>0.33</v>
      </c>
      <c r="AZ40" s="637">
        <v>0.34</v>
      </c>
      <c r="BA40" s="637">
        <v>0.55000000000000004</v>
      </c>
      <c r="BB40" s="637">
        <v>0.72</v>
      </c>
      <c r="BC40" s="637">
        <v>0.74</v>
      </c>
      <c r="BD40" s="637">
        <v>0.4</v>
      </c>
      <c r="BE40" s="637">
        <v>0.46</v>
      </c>
      <c r="BF40" s="637">
        <v>0.63</v>
      </c>
      <c r="BG40" s="637">
        <v>0.56999999999999995</v>
      </c>
      <c r="BH40" s="637">
        <v>0.42</v>
      </c>
      <c r="BI40" s="637">
        <v>0.4</v>
      </c>
      <c r="BJ40" s="637">
        <v>0.37</v>
      </c>
      <c r="BK40" s="637">
        <v>0.42</v>
      </c>
      <c r="BL40" s="637">
        <v>0.42</v>
      </c>
      <c r="BM40" s="524">
        <v>47</v>
      </c>
      <c r="BN40" s="524">
        <v>8</v>
      </c>
      <c r="BO40" s="525">
        <v>0.2</v>
      </c>
      <c r="BP40" s="525">
        <v>0.63</v>
      </c>
      <c r="BQ40" s="525">
        <v>0.17</v>
      </c>
      <c r="BR40" s="525">
        <v>0</v>
      </c>
      <c r="BS40" s="525">
        <v>0.44</v>
      </c>
      <c r="BT40" s="525">
        <v>0.75</v>
      </c>
      <c r="BU40" s="525">
        <v>0.74</v>
      </c>
      <c r="BV40" s="525">
        <v>0.35</v>
      </c>
      <c r="BW40" s="525">
        <v>0.57999999999999996</v>
      </c>
      <c r="BX40" s="525">
        <v>0.49</v>
      </c>
      <c r="BY40" s="525">
        <v>0.48</v>
      </c>
      <c r="BZ40" s="525">
        <v>0.62</v>
      </c>
      <c r="CA40" s="525">
        <v>0.36</v>
      </c>
      <c r="CB40" s="525">
        <v>0.42</v>
      </c>
      <c r="CC40" s="525">
        <v>0.3</v>
      </c>
      <c r="CD40" s="525">
        <v>0.49</v>
      </c>
      <c r="CE40" s="525">
        <v>0.49</v>
      </c>
      <c r="CF40" s="525">
        <v>0.65</v>
      </c>
      <c r="CG40" s="525">
        <v>0.56999999999999995</v>
      </c>
      <c r="CH40" s="525">
        <v>0.5</v>
      </c>
      <c r="CI40" s="525">
        <v>0.59</v>
      </c>
      <c r="CJ40" s="525">
        <v>0.3</v>
      </c>
      <c r="CK40" s="525">
        <v>0.69</v>
      </c>
      <c r="CL40" s="525">
        <v>0.41</v>
      </c>
      <c r="CM40" s="525">
        <v>0.53</v>
      </c>
      <c r="CN40" s="525">
        <v>0.57999999999999996</v>
      </c>
      <c r="CO40" s="525">
        <v>0.59</v>
      </c>
      <c r="CP40" s="525">
        <v>0.38</v>
      </c>
      <c r="CQ40" s="525">
        <v>0.66</v>
      </c>
      <c r="CR40" s="525">
        <v>0.68</v>
      </c>
      <c r="CS40" s="524">
        <v>47</v>
      </c>
      <c r="CT40" s="524">
        <v>7</v>
      </c>
      <c r="CU40" s="476">
        <v>0.13</v>
      </c>
      <c r="CV40" s="476">
        <v>0.79</v>
      </c>
      <c r="CW40" s="476">
        <v>0.08</v>
      </c>
      <c r="CX40" s="476">
        <v>0</v>
      </c>
      <c r="CY40" s="476">
        <v>0.5</v>
      </c>
      <c r="CZ40" s="476">
        <v>0.32</v>
      </c>
      <c r="DA40" s="476">
        <v>0.59</v>
      </c>
      <c r="DB40" s="476">
        <v>0.44</v>
      </c>
      <c r="DC40" s="476">
        <v>0.46</v>
      </c>
      <c r="DD40" s="476">
        <v>0.64</v>
      </c>
      <c r="DE40" s="476">
        <v>0.53</v>
      </c>
      <c r="DF40" s="476">
        <v>0.55000000000000004</v>
      </c>
      <c r="DG40" s="476">
        <v>0.48</v>
      </c>
      <c r="DH40" s="476">
        <v>0.36</v>
      </c>
      <c r="DI40" s="476">
        <v>0.59</v>
      </c>
      <c r="DJ40" s="476">
        <v>0.62</v>
      </c>
      <c r="DK40" s="476">
        <v>0.35</v>
      </c>
      <c r="DL40" s="476">
        <v>0.61</v>
      </c>
      <c r="DM40" s="476">
        <v>0.62</v>
      </c>
      <c r="DN40" s="476">
        <v>0.53</v>
      </c>
      <c r="DO40" s="476">
        <v>0.47</v>
      </c>
      <c r="DP40" s="476">
        <v>0.47</v>
      </c>
      <c r="DQ40" s="476">
        <v>0.63</v>
      </c>
      <c r="DR40" s="476">
        <v>0.24</v>
      </c>
      <c r="DS40" s="476">
        <v>0.4</v>
      </c>
      <c r="DT40" s="476">
        <v>0.68</v>
      </c>
      <c r="DU40" s="476">
        <v>0.48</v>
      </c>
      <c r="DV40" s="476">
        <v>0.66</v>
      </c>
      <c r="DW40" s="476">
        <v>0.39</v>
      </c>
      <c r="DX40" s="638">
        <v>48</v>
      </c>
      <c r="DY40" s="638">
        <v>9</v>
      </c>
      <c r="DZ40" s="637">
        <v>0.24</v>
      </c>
      <c r="EA40" s="637">
        <v>0.62</v>
      </c>
      <c r="EB40" s="637">
        <v>0.14000000000000001</v>
      </c>
      <c r="EC40" s="637">
        <v>0</v>
      </c>
      <c r="ED40" s="637">
        <v>0.5</v>
      </c>
      <c r="EE40" s="637">
        <v>0.51</v>
      </c>
      <c r="EF40" s="637">
        <v>0.47</v>
      </c>
      <c r="EG40" s="637">
        <v>0.18</v>
      </c>
      <c r="EH40" s="637">
        <v>0.46</v>
      </c>
      <c r="EI40" s="637">
        <v>0.51</v>
      </c>
      <c r="EJ40" s="637">
        <v>0.62</v>
      </c>
      <c r="EK40" s="637">
        <v>0.38</v>
      </c>
      <c r="EL40" s="637">
        <v>0.5</v>
      </c>
      <c r="EM40" s="637">
        <v>0.69</v>
      </c>
      <c r="EN40" s="637">
        <v>0.51</v>
      </c>
      <c r="EO40" s="637">
        <v>0.53</v>
      </c>
      <c r="EP40" s="637">
        <v>0.45</v>
      </c>
      <c r="EQ40" s="637">
        <v>0.41</v>
      </c>
      <c r="ER40" s="637">
        <v>0.67</v>
      </c>
      <c r="ES40" s="637">
        <v>0.51</v>
      </c>
      <c r="ET40" s="637">
        <v>0.35</v>
      </c>
      <c r="EU40" s="637">
        <v>0.7</v>
      </c>
      <c r="EV40" s="637">
        <v>0.33</v>
      </c>
      <c r="EW40" s="637">
        <v>0.33</v>
      </c>
      <c r="EX40" s="637">
        <v>0.81</v>
      </c>
      <c r="EY40" s="637">
        <v>0.66</v>
      </c>
      <c r="EZ40" s="637">
        <v>0.22</v>
      </c>
      <c r="FA40" s="637">
        <v>0.64</v>
      </c>
      <c r="FB40" s="639">
        <v>51</v>
      </c>
      <c r="FC40" s="639" t="s">
        <v>758</v>
      </c>
      <c r="FD40" s="639">
        <v>7</v>
      </c>
      <c r="FE40" s="639" t="s">
        <v>758</v>
      </c>
      <c r="FF40" s="640">
        <v>0.03</v>
      </c>
      <c r="FG40" s="640">
        <v>0.67</v>
      </c>
      <c r="FH40" s="640">
        <v>0.31</v>
      </c>
      <c r="FI40" s="640">
        <v>0</v>
      </c>
      <c r="FJ40" s="640">
        <v>0.48</v>
      </c>
      <c r="FK40" s="640">
        <v>0.74</v>
      </c>
      <c r="FL40" s="640">
        <v>0.48</v>
      </c>
      <c r="FM40" s="640">
        <v>0.42</v>
      </c>
      <c r="FN40" s="640">
        <v>0.21</v>
      </c>
      <c r="FO40" s="640">
        <v>0.37</v>
      </c>
      <c r="FP40" s="640">
        <v>0.34</v>
      </c>
      <c r="FQ40" s="640">
        <v>0.38</v>
      </c>
      <c r="FR40" s="640">
        <v>0.63</v>
      </c>
      <c r="FS40" s="640">
        <v>0.47</v>
      </c>
      <c r="FT40" s="640">
        <v>0.55000000000000004</v>
      </c>
      <c r="FU40" s="640">
        <v>0.43</v>
      </c>
      <c r="FV40" s="640">
        <v>0.63</v>
      </c>
      <c r="FW40" s="640">
        <v>0.5</v>
      </c>
      <c r="FX40" s="640">
        <v>0.43</v>
      </c>
      <c r="FY40" s="640">
        <v>0.33</v>
      </c>
      <c r="FZ40" s="640">
        <v>0.28999999999999998</v>
      </c>
      <c r="GA40" s="640">
        <v>0.45</v>
      </c>
      <c r="GB40" s="640">
        <v>0.52</v>
      </c>
      <c r="GC40" s="640">
        <v>0.35</v>
      </c>
      <c r="GD40" s="640">
        <v>0.62</v>
      </c>
      <c r="GE40" s="640">
        <v>0.46</v>
      </c>
      <c r="GF40" s="640">
        <v>0.45</v>
      </c>
      <c r="GG40" s="640">
        <v>0.35</v>
      </c>
      <c r="GH40" s="640">
        <v>0.62</v>
      </c>
      <c r="GI40" s="640">
        <v>0.18</v>
      </c>
      <c r="GJ40" s="464">
        <v>50</v>
      </c>
      <c r="GK40" s="464" t="s">
        <v>758</v>
      </c>
      <c r="GL40" s="464">
        <v>9</v>
      </c>
      <c r="GM40" s="464" t="s">
        <v>758</v>
      </c>
      <c r="GN40" s="476">
        <v>0.12</v>
      </c>
      <c r="GO40" s="476">
        <v>0.64</v>
      </c>
      <c r="GP40" s="476">
        <v>0.24</v>
      </c>
      <c r="GQ40" s="476">
        <v>0</v>
      </c>
      <c r="GR40" s="476">
        <v>0.72</v>
      </c>
      <c r="GS40" s="476">
        <v>0.49</v>
      </c>
      <c r="GT40" s="476">
        <v>0.69</v>
      </c>
      <c r="GU40" s="476">
        <v>0.19</v>
      </c>
      <c r="GV40" s="476">
        <v>0.56000000000000005</v>
      </c>
      <c r="GW40" s="476">
        <v>0.57999999999999996</v>
      </c>
      <c r="GX40" s="476">
        <v>0.42</v>
      </c>
      <c r="GY40" s="464" t="s">
        <v>173</v>
      </c>
      <c r="GZ40" s="476">
        <v>0.39</v>
      </c>
      <c r="HA40" s="476">
        <v>0.59</v>
      </c>
      <c r="HB40" s="476">
        <v>0.43</v>
      </c>
      <c r="HC40" s="476">
        <v>0.57999999999999996</v>
      </c>
      <c r="HD40" s="476">
        <v>0.6</v>
      </c>
      <c r="HE40" s="476">
        <v>0.48</v>
      </c>
      <c r="HF40" s="476">
        <v>0.48</v>
      </c>
      <c r="HG40" s="476">
        <v>0.73</v>
      </c>
      <c r="HH40" s="476">
        <v>0.36</v>
      </c>
      <c r="HI40" s="476">
        <v>0.48</v>
      </c>
      <c r="HJ40" s="476">
        <v>0.7</v>
      </c>
      <c r="HK40" s="476">
        <v>0.55000000000000004</v>
      </c>
      <c r="HL40" s="476">
        <v>0.46</v>
      </c>
      <c r="HM40" s="476">
        <v>0.43</v>
      </c>
      <c r="HN40" s="476">
        <v>0.57999999999999996</v>
      </c>
      <c r="HO40" s="476">
        <v>0.4</v>
      </c>
      <c r="HP40" s="464" t="s">
        <v>173</v>
      </c>
      <c r="HQ40" s="476">
        <v>0.33</v>
      </c>
      <c r="HR40" s="641">
        <v>52</v>
      </c>
      <c r="HS40" s="641" t="s">
        <v>758</v>
      </c>
      <c r="HT40" s="641">
        <v>9</v>
      </c>
      <c r="HU40" s="641" t="s">
        <v>758</v>
      </c>
      <c r="HV40" s="642">
        <v>0.08</v>
      </c>
      <c r="HW40" s="642">
        <v>0.5</v>
      </c>
      <c r="HX40" s="642">
        <v>0.42</v>
      </c>
      <c r="HY40" s="642">
        <v>0</v>
      </c>
      <c r="HZ40" s="642">
        <v>0.42</v>
      </c>
      <c r="IA40" s="642">
        <v>0.59</v>
      </c>
      <c r="IB40" s="642">
        <v>0.68</v>
      </c>
      <c r="IC40" s="642">
        <v>0.45</v>
      </c>
      <c r="ID40" s="642">
        <v>0.62</v>
      </c>
      <c r="IE40" s="642">
        <v>0.32</v>
      </c>
      <c r="IF40" s="642">
        <v>0.46</v>
      </c>
      <c r="IG40" s="642">
        <v>0.63</v>
      </c>
      <c r="IH40" s="642">
        <v>0.44</v>
      </c>
      <c r="II40" s="642">
        <v>0.38</v>
      </c>
      <c r="IJ40" s="642">
        <v>0.24</v>
      </c>
      <c r="IK40" s="642">
        <v>0.57999999999999996</v>
      </c>
      <c r="IL40" s="642">
        <v>0.27</v>
      </c>
      <c r="IM40" s="642">
        <v>0.65</v>
      </c>
      <c r="IN40" s="642">
        <v>0.38</v>
      </c>
      <c r="IO40" s="642">
        <v>0.47</v>
      </c>
      <c r="IP40" s="642">
        <v>0.37</v>
      </c>
      <c r="IQ40" s="642">
        <v>0.73</v>
      </c>
      <c r="IR40" s="642">
        <v>0.52</v>
      </c>
      <c r="IS40" s="642">
        <v>0.47</v>
      </c>
      <c r="IT40" s="642">
        <v>0.46</v>
      </c>
      <c r="IU40" s="641" t="s">
        <v>173</v>
      </c>
      <c r="IV40" s="642">
        <v>0.57999999999999996</v>
      </c>
      <c r="IW40" s="642">
        <v>0.42</v>
      </c>
      <c r="IX40" s="642">
        <v>0.47</v>
      </c>
      <c r="IY40" s="642">
        <v>0.4</v>
      </c>
      <c r="IZ40" s="464">
        <v>51</v>
      </c>
      <c r="JA40" s="464" t="s">
        <v>758</v>
      </c>
      <c r="JB40" s="464">
        <v>8</v>
      </c>
      <c r="JC40" s="464" t="s">
        <v>758</v>
      </c>
      <c r="JD40" s="476">
        <v>0.1</v>
      </c>
      <c r="JE40" s="476">
        <v>0.55000000000000004</v>
      </c>
      <c r="JF40" s="476">
        <v>0.35</v>
      </c>
      <c r="JG40" s="476">
        <v>0</v>
      </c>
      <c r="JH40" s="476">
        <v>0.32</v>
      </c>
      <c r="JI40" s="476">
        <v>0.44</v>
      </c>
      <c r="JJ40" s="476">
        <v>0.41</v>
      </c>
      <c r="JK40" s="476">
        <v>0.53</v>
      </c>
      <c r="JL40" s="476">
        <v>0.55000000000000004</v>
      </c>
      <c r="JM40" s="476">
        <v>0.41</v>
      </c>
      <c r="JN40" s="476">
        <v>0.41</v>
      </c>
      <c r="JO40" s="476">
        <v>0.49</v>
      </c>
      <c r="JP40" s="476">
        <v>0.55000000000000004</v>
      </c>
      <c r="JQ40" s="476">
        <v>0.17</v>
      </c>
      <c r="JR40" s="476">
        <v>0.56999999999999995</v>
      </c>
      <c r="JS40" s="476">
        <v>0.54</v>
      </c>
      <c r="JT40" s="476">
        <v>0.47</v>
      </c>
      <c r="JU40" s="476">
        <v>0.46</v>
      </c>
      <c r="JV40" s="476">
        <v>0.51</v>
      </c>
      <c r="JW40" s="476">
        <v>0.51</v>
      </c>
      <c r="JX40" s="476">
        <v>0.39</v>
      </c>
      <c r="JY40" s="476">
        <v>0.48</v>
      </c>
      <c r="JZ40" s="476">
        <v>0.48</v>
      </c>
      <c r="KA40" s="476">
        <v>0.56999999999999995</v>
      </c>
      <c r="KB40" s="476">
        <v>0.56000000000000005</v>
      </c>
      <c r="KC40" s="476">
        <v>0.7</v>
      </c>
      <c r="KD40" s="476">
        <v>0.38</v>
      </c>
      <c r="KE40" s="476">
        <v>0.48</v>
      </c>
      <c r="KF40" s="476">
        <v>0.56000000000000005</v>
      </c>
      <c r="KG40" s="476">
        <v>0.5</v>
      </c>
      <c r="KH40" s="971">
        <v>54</v>
      </c>
      <c r="KI40" s="971" t="s">
        <v>758</v>
      </c>
      <c r="KJ40" s="971">
        <v>9</v>
      </c>
      <c r="KK40" s="971" t="s">
        <v>758</v>
      </c>
      <c r="KL40" s="949">
        <v>0.06</v>
      </c>
      <c r="KM40" s="949">
        <v>0.48</v>
      </c>
      <c r="KN40" s="949">
        <v>0.45</v>
      </c>
      <c r="KO40" s="949">
        <v>0</v>
      </c>
      <c r="KP40" s="949">
        <v>0.41</v>
      </c>
      <c r="KQ40" s="949">
        <v>0.31</v>
      </c>
      <c r="KR40" s="949">
        <v>0.54</v>
      </c>
      <c r="KS40" s="949">
        <v>0.46</v>
      </c>
      <c r="KT40" s="949">
        <v>0.61</v>
      </c>
      <c r="KU40" s="949">
        <v>0.15</v>
      </c>
      <c r="KV40" s="949">
        <v>0.52</v>
      </c>
      <c r="KW40" s="949">
        <v>0.33</v>
      </c>
      <c r="KX40" s="949">
        <v>0.2</v>
      </c>
      <c r="KY40" s="949">
        <v>0.44</v>
      </c>
      <c r="KZ40" s="949">
        <v>0.33</v>
      </c>
      <c r="LA40" s="949">
        <v>0.31</v>
      </c>
      <c r="LB40" s="949">
        <v>0.33</v>
      </c>
      <c r="LC40" s="949">
        <v>0.35</v>
      </c>
      <c r="LD40" s="949">
        <v>0.5</v>
      </c>
      <c r="LE40" s="949">
        <v>0.46</v>
      </c>
      <c r="LF40" s="949">
        <v>0.35</v>
      </c>
      <c r="LG40" s="949">
        <v>0.4</v>
      </c>
      <c r="LH40" s="949">
        <v>0.47</v>
      </c>
      <c r="LI40" s="949">
        <v>0.54</v>
      </c>
      <c r="LJ40" s="949">
        <v>0.38</v>
      </c>
      <c r="LK40" s="949">
        <v>0.6</v>
      </c>
      <c r="LL40" s="949" t="s">
        <v>173</v>
      </c>
      <c r="LM40" s="949">
        <v>0.62</v>
      </c>
      <c r="LN40" s="949">
        <v>0.47</v>
      </c>
      <c r="LO40" s="949">
        <v>0.44</v>
      </c>
      <c r="LP40" s="922">
        <v>325754001042</v>
      </c>
      <c r="LQ40" s="636" t="s">
        <v>26</v>
      </c>
      <c r="LR40" s="641">
        <v>52</v>
      </c>
      <c r="LS40" s="971">
        <v>54</v>
      </c>
      <c r="LT40" s="946"/>
    </row>
    <row r="41" spans="1:332" ht="24.95" customHeight="1" x14ac:dyDescent="0.2">
      <c r="A41" s="322" t="s">
        <v>167</v>
      </c>
      <c r="B41" s="1" t="s">
        <v>123</v>
      </c>
      <c r="C41" s="309">
        <v>4</v>
      </c>
      <c r="D41" s="328">
        <v>50</v>
      </c>
      <c r="E41" s="328">
        <v>8</v>
      </c>
      <c r="F41" s="333">
        <v>0.15</v>
      </c>
      <c r="G41" s="333">
        <v>0.61</v>
      </c>
      <c r="H41" s="333">
        <v>0.24</v>
      </c>
      <c r="I41" s="333">
        <v>0</v>
      </c>
      <c r="J41" s="333">
        <v>0.34</v>
      </c>
      <c r="K41" s="333">
        <v>0.59</v>
      </c>
      <c r="L41" s="333">
        <v>0.73</v>
      </c>
      <c r="M41" s="333">
        <v>0.3</v>
      </c>
      <c r="N41" s="333">
        <v>0.31</v>
      </c>
      <c r="O41" s="333">
        <v>0.6</v>
      </c>
      <c r="P41" s="333">
        <v>0.38</v>
      </c>
      <c r="Q41" s="333">
        <v>0.46</v>
      </c>
      <c r="R41" s="333">
        <v>0.57999999999999996</v>
      </c>
      <c r="S41" s="333">
        <v>0.67</v>
      </c>
      <c r="T41" s="333">
        <v>0.39</v>
      </c>
      <c r="U41" s="333">
        <v>0.63</v>
      </c>
      <c r="V41" s="333">
        <v>0.18</v>
      </c>
      <c r="W41" s="333">
        <v>0.26</v>
      </c>
      <c r="X41" s="333">
        <v>0.56000000000000005</v>
      </c>
      <c r="Y41" s="333">
        <v>0.54</v>
      </c>
      <c r="Z41" s="333">
        <v>1</v>
      </c>
      <c r="AA41" s="333">
        <v>0.09</v>
      </c>
      <c r="AB41" s="333">
        <v>0.52</v>
      </c>
      <c r="AC41" s="333">
        <v>0.3</v>
      </c>
      <c r="AD41" s="333">
        <v>0.53</v>
      </c>
      <c r="AE41" s="333">
        <v>0.47</v>
      </c>
      <c r="AF41" s="333">
        <v>0.45</v>
      </c>
      <c r="AG41" s="333">
        <v>0.64</v>
      </c>
      <c r="AH41" s="328">
        <v>47</v>
      </c>
      <c r="AI41" s="328">
        <v>8</v>
      </c>
      <c r="AJ41" s="331">
        <v>0.23</v>
      </c>
      <c r="AK41" s="331">
        <v>0.61</v>
      </c>
      <c r="AL41" s="331">
        <v>0.16</v>
      </c>
      <c r="AM41" s="331">
        <v>0</v>
      </c>
      <c r="AN41" s="331">
        <v>0.43</v>
      </c>
      <c r="AO41" s="331">
        <v>0.56999999999999995</v>
      </c>
      <c r="AP41" s="331">
        <v>0.64</v>
      </c>
      <c r="AQ41" s="331">
        <v>0.57999999999999996</v>
      </c>
      <c r="AR41" s="331">
        <v>0.63</v>
      </c>
      <c r="AS41" s="331">
        <v>0.59</v>
      </c>
      <c r="AT41" s="331">
        <v>0.53</v>
      </c>
      <c r="AU41" s="331">
        <v>0.61</v>
      </c>
      <c r="AV41" s="331">
        <v>0.68</v>
      </c>
      <c r="AW41" s="331">
        <v>0.82</v>
      </c>
      <c r="AX41" s="331">
        <v>0.66</v>
      </c>
      <c r="AY41" s="331">
        <v>0.44</v>
      </c>
      <c r="AZ41" s="331">
        <v>0.38</v>
      </c>
      <c r="BA41" s="331">
        <v>0.67</v>
      </c>
      <c r="BB41" s="331">
        <v>0.74</v>
      </c>
      <c r="BC41" s="331">
        <v>0.57999999999999996</v>
      </c>
      <c r="BD41" s="331">
        <v>0.52</v>
      </c>
      <c r="BE41" s="331">
        <v>0.73</v>
      </c>
      <c r="BF41" s="331">
        <v>0.71</v>
      </c>
      <c r="BG41" s="331">
        <v>0.55000000000000004</v>
      </c>
      <c r="BH41" s="331">
        <v>0.52</v>
      </c>
      <c r="BI41" s="331">
        <v>0.49</v>
      </c>
      <c r="BJ41" s="331">
        <v>0.51</v>
      </c>
      <c r="BK41" s="331">
        <v>0.49</v>
      </c>
      <c r="BL41" s="331">
        <v>0.55000000000000004</v>
      </c>
      <c r="BM41" s="328">
        <v>45</v>
      </c>
      <c r="BN41" s="328">
        <v>7</v>
      </c>
      <c r="BO41" s="333">
        <v>0.27</v>
      </c>
      <c r="BP41" s="333">
        <v>0.62</v>
      </c>
      <c r="BQ41" s="333">
        <v>0.11</v>
      </c>
      <c r="BR41" s="333">
        <v>0</v>
      </c>
      <c r="BS41" s="333">
        <v>0.5</v>
      </c>
      <c r="BT41" s="333">
        <v>0.63</v>
      </c>
      <c r="BU41" s="333">
        <v>0.57999999999999996</v>
      </c>
      <c r="BV41" s="333">
        <v>0.35</v>
      </c>
      <c r="BW41" s="333">
        <v>0.74</v>
      </c>
      <c r="BX41" s="333">
        <v>0.52</v>
      </c>
      <c r="BY41" s="333">
        <v>0.65</v>
      </c>
      <c r="BZ41" s="333">
        <v>0.71</v>
      </c>
      <c r="CA41" s="333">
        <v>0.54</v>
      </c>
      <c r="CB41" s="333">
        <v>0.4</v>
      </c>
      <c r="CC41" s="333">
        <v>0.28000000000000003</v>
      </c>
      <c r="CD41" s="333">
        <v>0.56999999999999995</v>
      </c>
      <c r="CE41" s="333">
        <v>0.47</v>
      </c>
      <c r="CF41" s="333">
        <v>0.6</v>
      </c>
      <c r="CG41" s="333">
        <v>0.57999999999999996</v>
      </c>
      <c r="CH41" s="333">
        <v>0.59</v>
      </c>
      <c r="CI41" s="333">
        <v>0.68</v>
      </c>
      <c r="CJ41" s="333">
        <v>0.65</v>
      </c>
      <c r="CK41" s="333">
        <v>0.72</v>
      </c>
      <c r="CL41" s="333">
        <v>0.42</v>
      </c>
      <c r="CM41" s="333">
        <v>0.44</v>
      </c>
      <c r="CN41" s="333">
        <v>0.57999999999999996</v>
      </c>
      <c r="CO41" s="333">
        <v>0.46</v>
      </c>
      <c r="CP41" s="333">
        <v>0.5</v>
      </c>
      <c r="CQ41" s="333">
        <v>0.57999999999999996</v>
      </c>
      <c r="CR41" s="333">
        <v>0.69</v>
      </c>
      <c r="CS41" s="328">
        <v>47</v>
      </c>
      <c r="CT41" s="328">
        <v>7</v>
      </c>
      <c r="CU41" s="327">
        <v>0.14000000000000001</v>
      </c>
      <c r="CV41" s="327">
        <v>0.76</v>
      </c>
      <c r="CW41" s="327">
        <v>0.1</v>
      </c>
      <c r="CX41" s="327">
        <v>0</v>
      </c>
      <c r="CY41" s="327">
        <v>0.57999999999999996</v>
      </c>
      <c r="CZ41" s="327">
        <v>0.38</v>
      </c>
      <c r="DA41" s="327">
        <v>0.46</v>
      </c>
      <c r="DB41" s="327">
        <v>0.34</v>
      </c>
      <c r="DC41" s="327">
        <v>0.49</v>
      </c>
      <c r="DD41" s="327">
        <v>0.56999999999999995</v>
      </c>
      <c r="DE41" s="327">
        <v>0.55000000000000004</v>
      </c>
      <c r="DF41" s="327">
        <v>0.64</v>
      </c>
      <c r="DG41" s="327">
        <v>0.5</v>
      </c>
      <c r="DH41" s="327">
        <v>0.4</v>
      </c>
      <c r="DI41" s="327">
        <v>0.66</v>
      </c>
      <c r="DJ41" s="327">
        <v>0.63</v>
      </c>
      <c r="DK41" s="327">
        <v>0.37</v>
      </c>
      <c r="DL41" s="327">
        <v>0.48</v>
      </c>
      <c r="DM41" s="327">
        <v>0.57999999999999996</v>
      </c>
      <c r="DN41" s="327">
        <v>0.53</v>
      </c>
      <c r="DO41" s="327">
        <v>0.64</v>
      </c>
      <c r="DP41" s="327">
        <v>0.56999999999999995</v>
      </c>
      <c r="DQ41" s="327">
        <v>0.63</v>
      </c>
      <c r="DR41" s="327">
        <v>0.26</v>
      </c>
      <c r="DS41" s="327">
        <v>0.43</v>
      </c>
      <c r="DT41" s="327">
        <v>0.65</v>
      </c>
      <c r="DU41" s="327">
        <v>0.75</v>
      </c>
      <c r="DV41" s="327">
        <v>0.61</v>
      </c>
      <c r="DW41" s="327">
        <v>0.37</v>
      </c>
      <c r="DX41" s="311">
        <v>47</v>
      </c>
      <c r="DY41" s="311">
        <v>8</v>
      </c>
      <c r="DZ41" s="331">
        <v>0.2</v>
      </c>
      <c r="EA41" s="331">
        <v>0.63</v>
      </c>
      <c r="EB41" s="331">
        <v>0.18</v>
      </c>
      <c r="EC41" s="331">
        <v>0</v>
      </c>
      <c r="ED41" s="331">
        <v>0.5</v>
      </c>
      <c r="EE41" s="331">
        <v>0.52</v>
      </c>
      <c r="EF41" s="331">
        <v>0.57999999999999996</v>
      </c>
      <c r="EG41" s="331">
        <v>0.56999999999999995</v>
      </c>
      <c r="EH41" s="331">
        <v>0.46</v>
      </c>
      <c r="EI41" s="331">
        <v>0.64</v>
      </c>
      <c r="EJ41" s="331">
        <v>0.62</v>
      </c>
      <c r="EK41" s="331">
        <v>0.3</v>
      </c>
      <c r="EL41" s="331">
        <v>0.41</v>
      </c>
      <c r="EM41" s="331">
        <v>0.75</v>
      </c>
      <c r="EN41" s="331">
        <v>0.53</v>
      </c>
      <c r="EO41" s="331">
        <v>0.63</v>
      </c>
      <c r="EP41" s="331">
        <v>0.5</v>
      </c>
      <c r="EQ41" s="331">
        <v>0.26</v>
      </c>
      <c r="ER41" s="331">
        <v>0.59</v>
      </c>
      <c r="ES41" s="331">
        <v>0.52</v>
      </c>
      <c r="ET41" s="331">
        <v>0.35</v>
      </c>
      <c r="EU41" s="331">
        <v>0.64</v>
      </c>
      <c r="EV41" s="331">
        <v>0.44</v>
      </c>
      <c r="EW41" s="331">
        <v>0.36</v>
      </c>
      <c r="EX41" s="331">
        <v>0.68</v>
      </c>
      <c r="EY41" s="331">
        <v>0.62</v>
      </c>
      <c r="EZ41" s="331">
        <v>0.32</v>
      </c>
      <c r="FA41" s="331">
        <v>0.66</v>
      </c>
      <c r="FB41" s="312">
        <v>47</v>
      </c>
      <c r="FC41" s="312" t="s">
        <v>758</v>
      </c>
      <c r="FD41" s="312">
        <v>8</v>
      </c>
      <c r="FE41" s="312" t="s">
        <v>758</v>
      </c>
      <c r="FF41" s="332">
        <v>0.28999999999999998</v>
      </c>
      <c r="FG41" s="332">
        <v>0.54</v>
      </c>
      <c r="FH41" s="332">
        <v>0.17</v>
      </c>
      <c r="FI41" s="332">
        <v>0</v>
      </c>
      <c r="FJ41" s="332">
        <v>0.51</v>
      </c>
      <c r="FK41" s="332">
        <v>0.74</v>
      </c>
      <c r="FL41" s="332">
        <v>0.6</v>
      </c>
      <c r="FM41" s="332">
        <v>0.51</v>
      </c>
      <c r="FN41" s="332">
        <v>0.37</v>
      </c>
      <c r="FO41" s="332">
        <v>0.39</v>
      </c>
      <c r="FP41" s="332">
        <v>0.43</v>
      </c>
      <c r="FQ41" s="332">
        <v>0.46</v>
      </c>
      <c r="FR41" s="332">
        <v>0.64</v>
      </c>
      <c r="FS41" s="332">
        <v>0.64</v>
      </c>
      <c r="FT41" s="332">
        <v>0.6</v>
      </c>
      <c r="FU41" s="332">
        <v>0.36</v>
      </c>
      <c r="FV41" s="332">
        <v>0.71</v>
      </c>
      <c r="FW41" s="332">
        <v>0.56000000000000005</v>
      </c>
      <c r="FX41" s="332">
        <v>0.56000000000000005</v>
      </c>
      <c r="FY41" s="332">
        <v>0.45</v>
      </c>
      <c r="FZ41" s="332">
        <v>0.46</v>
      </c>
      <c r="GA41" s="332">
        <v>0.43</v>
      </c>
      <c r="GB41" s="332">
        <v>0.62</v>
      </c>
      <c r="GC41" s="332">
        <v>0.49</v>
      </c>
      <c r="GD41" s="332">
        <v>0.56999999999999995</v>
      </c>
      <c r="GE41" s="332">
        <v>0.57999999999999996</v>
      </c>
      <c r="GF41" s="332">
        <v>0.49</v>
      </c>
      <c r="GG41" s="332">
        <v>0.55000000000000004</v>
      </c>
      <c r="GH41" s="332">
        <v>0.68</v>
      </c>
      <c r="GI41" s="332">
        <v>0.3</v>
      </c>
      <c r="GJ41" s="309">
        <v>44</v>
      </c>
      <c r="GK41" s="309" t="s">
        <v>758</v>
      </c>
      <c r="GL41" s="309">
        <v>7</v>
      </c>
      <c r="GM41" s="309" t="s">
        <v>758</v>
      </c>
      <c r="GN41" s="327">
        <v>0.41</v>
      </c>
      <c r="GO41" s="327">
        <v>0.54</v>
      </c>
      <c r="GP41" s="327">
        <v>0.04</v>
      </c>
      <c r="GQ41" s="327">
        <v>0</v>
      </c>
      <c r="GR41" s="327">
        <v>0.49</v>
      </c>
      <c r="GS41" s="327">
        <v>0.6</v>
      </c>
      <c r="GT41" s="327">
        <v>0.67</v>
      </c>
      <c r="GU41" s="327">
        <v>0.46</v>
      </c>
      <c r="GV41" s="327">
        <v>0.71</v>
      </c>
      <c r="GW41" s="327">
        <v>0.62</v>
      </c>
      <c r="GX41" s="327">
        <v>0.56999999999999995</v>
      </c>
      <c r="GY41" s="309" t="s">
        <v>173</v>
      </c>
      <c r="GZ41" s="327">
        <v>0.43</v>
      </c>
      <c r="HA41" s="327">
        <v>0.74</v>
      </c>
      <c r="HB41" s="327">
        <v>0.52</v>
      </c>
      <c r="HC41" s="327">
        <v>0.64</v>
      </c>
      <c r="HD41" s="327">
        <v>0.64</v>
      </c>
      <c r="HE41" s="327">
        <v>0.65</v>
      </c>
      <c r="HF41" s="327">
        <v>0.61</v>
      </c>
      <c r="HG41" s="327">
        <v>0.73</v>
      </c>
      <c r="HH41" s="327">
        <v>0.53</v>
      </c>
      <c r="HI41" s="327">
        <v>0.56000000000000005</v>
      </c>
      <c r="HJ41" s="327">
        <v>0.68</v>
      </c>
      <c r="HK41" s="327">
        <v>0.59</v>
      </c>
      <c r="HL41" s="327">
        <v>0.57999999999999996</v>
      </c>
      <c r="HM41" s="327">
        <v>0.63</v>
      </c>
      <c r="HN41" s="327">
        <v>0.6</v>
      </c>
      <c r="HO41" s="327">
        <v>0.56999999999999995</v>
      </c>
      <c r="HP41" s="309" t="s">
        <v>173</v>
      </c>
      <c r="HQ41" s="327">
        <v>0.57999999999999996</v>
      </c>
      <c r="HR41" s="424">
        <v>49</v>
      </c>
      <c r="HS41" s="424" t="s">
        <v>758</v>
      </c>
      <c r="HT41" s="424">
        <v>8</v>
      </c>
      <c r="HU41" s="424" t="s">
        <v>758</v>
      </c>
      <c r="HV41" s="428">
        <v>0.14000000000000001</v>
      </c>
      <c r="HW41" s="428">
        <v>0.65</v>
      </c>
      <c r="HX41" s="428">
        <v>0.22</v>
      </c>
      <c r="HY41" s="428">
        <v>0</v>
      </c>
      <c r="HZ41" s="428">
        <v>0.42</v>
      </c>
      <c r="IA41" s="428">
        <v>0.56999999999999995</v>
      </c>
      <c r="IB41" s="428">
        <v>0.31</v>
      </c>
      <c r="IC41" s="428">
        <v>0.6</v>
      </c>
      <c r="ID41" s="428">
        <v>0.63</v>
      </c>
      <c r="IE41" s="428">
        <v>0.43</v>
      </c>
      <c r="IF41" s="428">
        <v>0.43</v>
      </c>
      <c r="IG41" s="428">
        <v>0.52</v>
      </c>
      <c r="IH41" s="428">
        <v>0.59</v>
      </c>
      <c r="II41" s="428">
        <v>0.35</v>
      </c>
      <c r="IJ41" s="428">
        <v>0.25</v>
      </c>
      <c r="IK41" s="428">
        <v>0.46</v>
      </c>
      <c r="IL41" s="428">
        <v>0.41</v>
      </c>
      <c r="IM41" s="428">
        <v>0.55000000000000004</v>
      </c>
      <c r="IN41" s="428">
        <v>0.51</v>
      </c>
      <c r="IO41" s="428">
        <v>0.63</v>
      </c>
      <c r="IP41" s="428">
        <v>0.52</v>
      </c>
      <c r="IQ41" s="428">
        <v>0.71</v>
      </c>
      <c r="IR41" s="428">
        <v>0.75</v>
      </c>
      <c r="IS41" s="428">
        <v>0.46</v>
      </c>
      <c r="IT41" s="428">
        <v>0.43</v>
      </c>
      <c r="IU41" s="424" t="s">
        <v>173</v>
      </c>
      <c r="IV41" s="428">
        <v>0.62</v>
      </c>
      <c r="IW41" s="428">
        <v>0.36</v>
      </c>
      <c r="IX41" s="428">
        <v>0.73</v>
      </c>
      <c r="IY41" s="428">
        <v>0.56999999999999995</v>
      </c>
      <c r="IZ41" s="654">
        <v>53</v>
      </c>
      <c r="JA41" s="654" t="s">
        <v>758</v>
      </c>
      <c r="JB41" s="654">
        <v>10</v>
      </c>
      <c r="JC41" s="654" t="s">
        <v>758</v>
      </c>
      <c r="JD41" s="655">
        <v>0.08</v>
      </c>
      <c r="JE41" s="655">
        <v>0.5</v>
      </c>
      <c r="JF41" s="655">
        <v>0.42</v>
      </c>
      <c r="JG41" s="655">
        <v>0</v>
      </c>
      <c r="JH41" s="655">
        <v>0.39</v>
      </c>
      <c r="JI41" s="655">
        <v>0.45</v>
      </c>
      <c r="JJ41" s="655">
        <v>0.35</v>
      </c>
      <c r="JK41" s="655">
        <v>0.47</v>
      </c>
      <c r="JL41" s="655">
        <v>0.41</v>
      </c>
      <c r="JM41" s="655">
        <v>0.52</v>
      </c>
      <c r="JN41" s="655">
        <v>0.38</v>
      </c>
      <c r="JO41" s="655">
        <v>0.42</v>
      </c>
      <c r="JP41" s="655">
        <v>0.56999999999999995</v>
      </c>
      <c r="JQ41" s="655">
        <v>0.12</v>
      </c>
      <c r="JR41" s="655">
        <v>0.67</v>
      </c>
      <c r="JS41" s="655">
        <v>0.52</v>
      </c>
      <c r="JT41" s="655">
        <v>0.31</v>
      </c>
      <c r="JU41" s="655">
        <v>0.38</v>
      </c>
      <c r="JV41" s="655">
        <v>0.44</v>
      </c>
      <c r="JW41" s="655">
        <v>0.33</v>
      </c>
      <c r="JX41" s="655">
        <v>0.45</v>
      </c>
      <c r="JY41" s="655">
        <v>0.41</v>
      </c>
      <c r="JZ41" s="655">
        <v>0.46</v>
      </c>
      <c r="KA41" s="655">
        <v>0.68</v>
      </c>
      <c r="KB41" s="655">
        <v>0.38</v>
      </c>
      <c r="KC41" s="655">
        <v>0.5</v>
      </c>
      <c r="KD41" s="655">
        <v>0.38</v>
      </c>
      <c r="KE41" s="655">
        <v>0.48</v>
      </c>
      <c r="KF41" s="655">
        <v>0.53</v>
      </c>
      <c r="KG41" s="655">
        <v>0.55000000000000004</v>
      </c>
      <c r="KH41" s="971">
        <v>53</v>
      </c>
      <c r="KI41" s="971" t="s">
        <v>758</v>
      </c>
      <c r="KJ41" s="971">
        <v>9</v>
      </c>
      <c r="KK41" s="971" t="s">
        <v>758</v>
      </c>
      <c r="KL41" s="949">
        <v>0.03</v>
      </c>
      <c r="KM41" s="949">
        <v>0.56000000000000005</v>
      </c>
      <c r="KN41" s="949">
        <v>0.34</v>
      </c>
      <c r="KO41" s="949">
        <v>0.06</v>
      </c>
      <c r="KP41" s="949">
        <v>0.57999999999999996</v>
      </c>
      <c r="KQ41" s="949">
        <v>0.24</v>
      </c>
      <c r="KR41" s="949">
        <v>0.51</v>
      </c>
      <c r="KS41" s="949">
        <v>0.43</v>
      </c>
      <c r="KT41" s="949">
        <v>0.55000000000000004</v>
      </c>
      <c r="KU41" s="949">
        <v>0.57999999999999996</v>
      </c>
      <c r="KV41" s="949">
        <v>0.62</v>
      </c>
      <c r="KW41" s="949">
        <v>0.41</v>
      </c>
      <c r="KX41" s="949">
        <v>0.27</v>
      </c>
      <c r="KY41" s="949">
        <v>0.46</v>
      </c>
      <c r="KZ41" s="949">
        <v>0.33</v>
      </c>
      <c r="LA41" s="949">
        <v>0.14000000000000001</v>
      </c>
      <c r="LB41" s="949">
        <v>0.37</v>
      </c>
      <c r="LC41" s="949">
        <v>0.25</v>
      </c>
      <c r="LD41" s="949">
        <v>0.54</v>
      </c>
      <c r="LE41" s="949">
        <v>0.45</v>
      </c>
      <c r="LF41" s="949">
        <v>0.32</v>
      </c>
      <c r="LG41" s="949">
        <v>0.21</v>
      </c>
      <c r="LH41" s="949">
        <v>0.51</v>
      </c>
      <c r="LI41" s="949">
        <v>0.42</v>
      </c>
      <c r="LJ41" s="949">
        <v>0.44</v>
      </c>
      <c r="LK41" s="949">
        <v>0.52</v>
      </c>
      <c r="LL41" s="949" t="s">
        <v>173</v>
      </c>
      <c r="LM41" s="949">
        <v>0.6</v>
      </c>
      <c r="LN41" s="949">
        <v>0.6</v>
      </c>
      <c r="LO41" s="949">
        <v>0.42</v>
      </c>
      <c r="LP41" s="922">
        <v>325754003428</v>
      </c>
      <c r="LQ41" s="322" t="s">
        <v>167</v>
      </c>
      <c r="LR41" s="424">
        <v>49</v>
      </c>
      <c r="LS41" s="971">
        <v>53</v>
      </c>
      <c r="LT41" s="946"/>
    </row>
    <row r="42" spans="1:332" ht="24.95" customHeight="1" x14ac:dyDescent="0.2">
      <c r="A42" s="126" t="s">
        <v>181</v>
      </c>
      <c r="B42" s="1" t="s">
        <v>123</v>
      </c>
      <c r="C42" s="2">
        <v>5</v>
      </c>
      <c r="D42" s="12"/>
      <c r="E42" s="12"/>
      <c r="F42" s="12"/>
      <c r="G42" s="12"/>
      <c r="H42" s="12"/>
      <c r="I42" s="12"/>
      <c r="J42" s="12"/>
      <c r="K42" s="12"/>
      <c r="L42" s="12"/>
      <c r="M42" s="12"/>
      <c r="N42" s="12"/>
      <c r="O42" s="12"/>
      <c r="P42" s="12"/>
      <c r="Q42" s="12"/>
      <c r="R42" s="12"/>
      <c r="S42" s="12"/>
      <c r="T42" s="12"/>
      <c r="U42" s="12"/>
      <c r="V42" s="12"/>
      <c r="W42" s="12"/>
      <c r="X42" s="12"/>
      <c r="Y42" s="12"/>
      <c r="Z42" s="12"/>
      <c r="AA42" s="12"/>
      <c r="AB42" s="12"/>
      <c r="AC42" s="12"/>
      <c r="AD42" s="12"/>
      <c r="AE42" s="12"/>
      <c r="AF42" s="12"/>
      <c r="AG42" s="12"/>
      <c r="AH42" s="12" t="s">
        <v>126</v>
      </c>
      <c r="AI42" s="12" t="s">
        <v>126</v>
      </c>
      <c r="AJ42" s="40"/>
      <c r="AK42" s="40"/>
      <c r="AL42" s="40"/>
      <c r="AM42" s="40"/>
      <c r="AN42" s="40"/>
      <c r="AO42" s="40"/>
      <c r="AP42" s="40"/>
      <c r="AQ42" s="40"/>
      <c r="AR42" s="40"/>
      <c r="AS42" s="40"/>
      <c r="AT42" s="40"/>
      <c r="AU42" s="40"/>
      <c r="AV42" s="40"/>
      <c r="AW42" s="40"/>
      <c r="AX42" s="40"/>
      <c r="AY42" s="40"/>
      <c r="AZ42" s="40"/>
      <c r="BA42" s="40"/>
      <c r="BB42" s="40"/>
      <c r="BC42" s="40"/>
      <c r="BD42" s="40"/>
      <c r="BE42" s="40"/>
      <c r="BF42" s="40"/>
      <c r="BG42" s="40"/>
      <c r="BH42" s="40"/>
      <c r="BI42" s="40"/>
      <c r="BJ42" s="40"/>
      <c r="BK42" s="40"/>
      <c r="BL42" s="40"/>
      <c r="BM42" s="12">
        <v>54</v>
      </c>
      <c r="BN42" s="12">
        <v>6</v>
      </c>
      <c r="BO42" s="66">
        <v>0.06</v>
      </c>
      <c r="BP42" s="66">
        <v>0.5</v>
      </c>
      <c r="BQ42" s="66">
        <v>0.44</v>
      </c>
      <c r="BR42" s="66">
        <v>0</v>
      </c>
      <c r="BS42" s="66">
        <v>0.22</v>
      </c>
      <c r="BT42" s="66">
        <v>0.9</v>
      </c>
      <c r="BU42" s="66">
        <v>0.61</v>
      </c>
      <c r="BV42" s="66">
        <v>0.42</v>
      </c>
      <c r="BW42" s="66">
        <v>0.6</v>
      </c>
      <c r="BX42" s="66">
        <v>0.3</v>
      </c>
      <c r="BY42" s="66">
        <v>0.31</v>
      </c>
      <c r="BZ42" s="66">
        <v>0.35</v>
      </c>
      <c r="CA42" s="66">
        <v>0.44</v>
      </c>
      <c r="CB42" s="66">
        <v>0.25</v>
      </c>
      <c r="CC42" s="66">
        <v>0.12</v>
      </c>
      <c r="CD42" s="66">
        <v>0.38</v>
      </c>
      <c r="CE42" s="66">
        <v>0.32</v>
      </c>
      <c r="CF42" s="66">
        <v>0.65</v>
      </c>
      <c r="CG42" s="66">
        <v>0.6</v>
      </c>
      <c r="CH42" s="66">
        <v>0.51</v>
      </c>
      <c r="CI42" s="66">
        <v>0.47</v>
      </c>
      <c r="CJ42" s="66">
        <v>0.25</v>
      </c>
      <c r="CK42" s="66">
        <v>0.67</v>
      </c>
      <c r="CL42" s="66">
        <v>0.19</v>
      </c>
      <c r="CM42" s="66">
        <v>0.43</v>
      </c>
      <c r="CN42" s="66">
        <v>0.33</v>
      </c>
      <c r="CO42" s="66">
        <v>0.24</v>
      </c>
      <c r="CP42" s="66">
        <v>0.37</v>
      </c>
      <c r="CQ42" s="66">
        <v>0.56000000000000005</v>
      </c>
      <c r="CR42" s="66">
        <v>0.49</v>
      </c>
      <c r="CS42" s="12">
        <v>48</v>
      </c>
      <c r="CT42" s="12">
        <v>7</v>
      </c>
      <c r="CU42" s="63">
        <v>0.13</v>
      </c>
      <c r="CV42" s="63">
        <v>0.67</v>
      </c>
      <c r="CW42" s="63">
        <v>0.2</v>
      </c>
      <c r="CX42" s="63">
        <v>0</v>
      </c>
      <c r="CY42" s="63">
        <v>0.51</v>
      </c>
      <c r="CZ42" s="63">
        <v>0.31</v>
      </c>
      <c r="DA42" s="63">
        <v>0.56000000000000005</v>
      </c>
      <c r="DB42" s="63">
        <v>0.41</v>
      </c>
      <c r="DC42" s="63">
        <v>0.28000000000000003</v>
      </c>
      <c r="DD42" s="63">
        <v>0.74</v>
      </c>
      <c r="DE42" s="63">
        <v>0.52</v>
      </c>
      <c r="DF42" s="63">
        <v>0.68</v>
      </c>
      <c r="DG42" s="63">
        <v>0.62</v>
      </c>
      <c r="DH42" s="63">
        <v>0.26</v>
      </c>
      <c r="DI42" s="63">
        <v>0.68</v>
      </c>
      <c r="DJ42" s="63">
        <v>0.56999999999999995</v>
      </c>
      <c r="DK42" s="63">
        <v>0.33</v>
      </c>
      <c r="DL42" s="63">
        <v>0.5</v>
      </c>
      <c r="DM42" s="63">
        <v>0.56999999999999995</v>
      </c>
      <c r="DN42" s="63">
        <v>0.41</v>
      </c>
      <c r="DO42" s="63">
        <v>0.31</v>
      </c>
      <c r="DP42" s="63">
        <v>0.46</v>
      </c>
      <c r="DQ42" s="63">
        <v>0.67</v>
      </c>
      <c r="DR42" s="63">
        <v>0.15</v>
      </c>
      <c r="DS42" s="63">
        <v>0.44</v>
      </c>
      <c r="DT42" s="63">
        <v>0.68</v>
      </c>
      <c r="DU42" s="63">
        <v>0.43</v>
      </c>
      <c r="DV42" s="63">
        <v>0.5</v>
      </c>
      <c r="DW42" s="63">
        <v>0.44</v>
      </c>
      <c r="DX42" s="35">
        <v>48</v>
      </c>
      <c r="DY42" s="35">
        <v>9</v>
      </c>
      <c r="DZ42" s="40">
        <v>0.18</v>
      </c>
      <c r="EA42" s="40">
        <v>0.59</v>
      </c>
      <c r="EB42" s="40">
        <v>0.23</v>
      </c>
      <c r="EC42" s="40">
        <v>0</v>
      </c>
      <c r="ED42" s="40">
        <v>0.49</v>
      </c>
      <c r="EE42" s="40">
        <v>0.49</v>
      </c>
      <c r="EF42" s="40">
        <v>0.38</v>
      </c>
      <c r="EG42" s="40">
        <v>0.36</v>
      </c>
      <c r="EH42" s="40">
        <v>0.39</v>
      </c>
      <c r="EI42" s="40">
        <v>0.67</v>
      </c>
      <c r="EJ42" s="40">
        <v>0.56000000000000005</v>
      </c>
      <c r="EK42" s="40">
        <v>0.47</v>
      </c>
      <c r="EL42" s="40">
        <v>0.49</v>
      </c>
      <c r="EM42" s="40">
        <v>0.75</v>
      </c>
      <c r="EN42" s="40">
        <v>0.49</v>
      </c>
      <c r="EO42" s="40">
        <v>0.59</v>
      </c>
      <c r="EP42" s="40">
        <v>0.56000000000000005</v>
      </c>
      <c r="EQ42" s="40">
        <v>0.33</v>
      </c>
      <c r="ER42" s="40">
        <v>0.38</v>
      </c>
      <c r="ES42" s="40">
        <v>0.5</v>
      </c>
      <c r="ET42" s="40">
        <v>0.45</v>
      </c>
      <c r="EU42" s="40">
        <v>0.8</v>
      </c>
      <c r="EV42" s="40">
        <v>0.42</v>
      </c>
      <c r="EW42" s="40">
        <v>0.37</v>
      </c>
      <c r="EX42" s="40">
        <v>0.57999999999999996</v>
      </c>
      <c r="EY42" s="40">
        <v>0.59</v>
      </c>
      <c r="EZ42" s="40">
        <v>0.14000000000000001</v>
      </c>
      <c r="FA42" s="40">
        <v>0.6</v>
      </c>
      <c r="FB42" s="246">
        <v>50</v>
      </c>
      <c r="FC42" s="246" t="s">
        <v>758</v>
      </c>
      <c r="FD42" s="246">
        <v>8</v>
      </c>
      <c r="FE42" s="246" t="s">
        <v>758</v>
      </c>
      <c r="FF42" s="263">
        <v>0.12</v>
      </c>
      <c r="FG42" s="263">
        <v>0.57999999999999996</v>
      </c>
      <c r="FH42" s="263">
        <v>0.31</v>
      </c>
      <c r="FI42" s="263">
        <v>0</v>
      </c>
      <c r="FJ42" s="263">
        <v>0.47</v>
      </c>
      <c r="FK42" s="263">
        <v>0.62</v>
      </c>
      <c r="FL42" s="263">
        <v>0.57999999999999996</v>
      </c>
      <c r="FM42" s="263">
        <v>0.22</v>
      </c>
      <c r="FN42" s="263">
        <v>0.26</v>
      </c>
      <c r="FO42" s="263">
        <v>0.4</v>
      </c>
      <c r="FP42" s="263">
        <v>0.38</v>
      </c>
      <c r="FQ42" s="263">
        <v>0.43</v>
      </c>
      <c r="FR42" s="263">
        <v>0.56999999999999995</v>
      </c>
      <c r="FS42" s="263">
        <v>0.7</v>
      </c>
      <c r="FT42" s="263">
        <v>0.47</v>
      </c>
      <c r="FU42" s="263">
        <v>0.18</v>
      </c>
      <c r="FV42" s="263">
        <v>0.73</v>
      </c>
      <c r="FW42" s="263">
        <v>0.61</v>
      </c>
      <c r="FX42" s="263">
        <v>0.51</v>
      </c>
      <c r="FY42" s="263">
        <v>0.48</v>
      </c>
      <c r="FZ42" s="263">
        <v>0.39</v>
      </c>
      <c r="GA42" s="263">
        <v>0.55000000000000004</v>
      </c>
      <c r="GB42" s="263">
        <v>0.54</v>
      </c>
      <c r="GC42" s="263">
        <v>0.52</v>
      </c>
      <c r="GD42" s="263">
        <v>0.56000000000000005</v>
      </c>
      <c r="GE42" s="263">
        <v>0.47</v>
      </c>
      <c r="GF42" s="263">
        <v>0.26</v>
      </c>
      <c r="GG42" s="263">
        <v>0.52</v>
      </c>
      <c r="GH42" s="263">
        <v>0.56000000000000005</v>
      </c>
      <c r="GI42" s="263">
        <v>0.28999999999999998</v>
      </c>
      <c r="GJ42" s="309">
        <v>51</v>
      </c>
      <c r="GK42" s="309" t="s">
        <v>758</v>
      </c>
      <c r="GL42" s="309">
        <v>8</v>
      </c>
      <c r="GM42" s="309" t="s">
        <v>758</v>
      </c>
      <c r="GN42" s="327">
        <v>0.08</v>
      </c>
      <c r="GO42" s="327">
        <v>0.69</v>
      </c>
      <c r="GP42" s="327">
        <v>0.23</v>
      </c>
      <c r="GQ42" s="327">
        <v>0</v>
      </c>
      <c r="GR42" s="327">
        <v>0.59</v>
      </c>
      <c r="GS42" s="327">
        <v>0.76</v>
      </c>
      <c r="GT42" s="327">
        <v>0.57999999999999996</v>
      </c>
      <c r="GU42" s="327">
        <v>0.43</v>
      </c>
      <c r="GV42" s="327">
        <v>0.55000000000000004</v>
      </c>
      <c r="GW42" s="327">
        <v>0.4</v>
      </c>
      <c r="GX42" s="327">
        <v>0.4</v>
      </c>
      <c r="GY42" s="309" t="s">
        <v>173</v>
      </c>
      <c r="GZ42" s="327">
        <v>0.43</v>
      </c>
      <c r="HA42" s="327">
        <v>0.56000000000000005</v>
      </c>
      <c r="HB42" s="327">
        <v>0.33</v>
      </c>
      <c r="HC42" s="327">
        <v>0.63</v>
      </c>
      <c r="HD42" s="327">
        <v>0.55000000000000004</v>
      </c>
      <c r="HE42" s="327">
        <v>0.5</v>
      </c>
      <c r="HF42" s="327">
        <v>0.56999999999999995</v>
      </c>
      <c r="HG42" s="327">
        <v>0.68</v>
      </c>
      <c r="HH42" s="327">
        <v>0.55000000000000004</v>
      </c>
      <c r="HI42" s="327">
        <v>0.47</v>
      </c>
      <c r="HJ42" s="327">
        <v>0.51</v>
      </c>
      <c r="HK42" s="327">
        <v>0.37</v>
      </c>
      <c r="HL42" s="327">
        <v>0.28999999999999998</v>
      </c>
      <c r="HM42" s="327">
        <v>0.45</v>
      </c>
      <c r="HN42" s="327">
        <v>0.5</v>
      </c>
      <c r="HO42" s="327">
        <v>0.42</v>
      </c>
      <c r="HP42" s="309" t="s">
        <v>173</v>
      </c>
      <c r="HQ42" s="327">
        <v>0.42</v>
      </c>
      <c r="HR42" s="424">
        <v>53</v>
      </c>
      <c r="HS42" s="424" t="s">
        <v>758</v>
      </c>
      <c r="HT42" s="424">
        <v>9</v>
      </c>
      <c r="HU42" s="424" t="s">
        <v>758</v>
      </c>
      <c r="HV42" s="428">
        <v>0</v>
      </c>
      <c r="HW42" s="428">
        <v>0.59</v>
      </c>
      <c r="HX42" s="428">
        <v>0.32</v>
      </c>
      <c r="HY42" s="428">
        <v>0.09</v>
      </c>
      <c r="HZ42" s="428">
        <v>0.3</v>
      </c>
      <c r="IA42" s="428">
        <v>0.55000000000000004</v>
      </c>
      <c r="IB42" s="428">
        <v>0.21</v>
      </c>
      <c r="IC42" s="428">
        <v>0.42</v>
      </c>
      <c r="ID42" s="428">
        <v>0.55000000000000004</v>
      </c>
      <c r="IE42" s="428">
        <v>0.32</v>
      </c>
      <c r="IF42" s="428">
        <v>0.41</v>
      </c>
      <c r="IG42" s="428">
        <v>0.36</v>
      </c>
      <c r="IH42" s="428">
        <v>0.48</v>
      </c>
      <c r="II42" s="428">
        <v>0.56000000000000005</v>
      </c>
      <c r="IJ42" s="428">
        <v>0.24</v>
      </c>
      <c r="IK42" s="428">
        <v>0.49</v>
      </c>
      <c r="IL42" s="428">
        <v>0.27</v>
      </c>
      <c r="IM42" s="428">
        <v>0.55000000000000004</v>
      </c>
      <c r="IN42" s="428">
        <v>0.41</v>
      </c>
      <c r="IO42" s="428">
        <v>0.51</v>
      </c>
      <c r="IP42" s="428">
        <v>0.37</v>
      </c>
      <c r="IQ42" s="428">
        <v>0.64</v>
      </c>
      <c r="IR42" s="428">
        <v>0.66</v>
      </c>
      <c r="IS42" s="428">
        <v>0.63</v>
      </c>
      <c r="IT42" s="428">
        <v>0.5</v>
      </c>
      <c r="IU42" s="424" t="s">
        <v>173</v>
      </c>
      <c r="IV42" s="428">
        <v>0.61</v>
      </c>
      <c r="IW42" s="428">
        <v>0.37</v>
      </c>
      <c r="IX42" s="428">
        <v>0.21</v>
      </c>
      <c r="IY42" s="428">
        <v>0.56000000000000005</v>
      </c>
      <c r="IZ42" s="464">
        <v>51</v>
      </c>
      <c r="JA42" s="464" t="s">
        <v>758</v>
      </c>
      <c r="JB42" s="464">
        <v>9</v>
      </c>
      <c r="JC42" s="464" t="s">
        <v>758</v>
      </c>
      <c r="JD42" s="476">
        <v>0.16</v>
      </c>
      <c r="JE42" s="476">
        <v>0.52</v>
      </c>
      <c r="JF42" s="476">
        <v>0.32</v>
      </c>
      <c r="JG42" s="476">
        <v>0</v>
      </c>
      <c r="JH42" s="476">
        <v>0.54</v>
      </c>
      <c r="JI42" s="476">
        <v>0.4</v>
      </c>
      <c r="JJ42" s="476">
        <v>0.34</v>
      </c>
      <c r="JK42" s="476">
        <v>0.48</v>
      </c>
      <c r="JL42" s="476">
        <v>0.62</v>
      </c>
      <c r="JM42" s="476">
        <v>0.46</v>
      </c>
      <c r="JN42" s="476">
        <v>0.61</v>
      </c>
      <c r="JO42" s="476">
        <v>0.45</v>
      </c>
      <c r="JP42" s="476">
        <v>0.65</v>
      </c>
      <c r="JQ42" s="476">
        <v>0.14000000000000001</v>
      </c>
      <c r="JR42" s="476">
        <v>0.56999999999999995</v>
      </c>
      <c r="JS42" s="476">
        <v>0.65</v>
      </c>
      <c r="JT42" s="476">
        <v>0.39</v>
      </c>
      <c r="JU42" s="476">
        <v>0.48</v>
      </c>
      <c r="JV42" s="476">
        <v>0.48</v>
      </c>
      <c r="JW42" s="476">
        <v>0.44</v>
      </c>
      <c r="JX42" s="476">
        <v>0.35</v>
      </c>
      <c r="JY42" s="476">
        <v>0.54</v>
      </c>
      <c r="JZ42" s="476">
        <v>0.53</v>
      </c>
      <c r="KA42" s="476">
        <v>0.54</v>
      </c>
      <c r="KB42" s="476">
        <v>0.46</v>
      </c>
      <c r="KC42" s="476">
        <v>0.64</v>
      </c>
      <c r="KD42" s="476">
        <v>0.43</v>
      </c>
      <c r="KE42" s="476">
        <v>0.55000000000000004</v>
      </c>
      <c r="KF42" s="476">
        <v>0.43</v>
      </c>
      <c r="KG42" s="476">
        <v>0.59</v>
      </c>
      <c r="KH42" s="971">
        <v>57</v>
      </c>
      <c r="KI42" s="971" t="s">
        <v>758</v>
      </c>
      <c r="KJ42" s="971">
        <v>11</v>
      </c>
      <c r="KK42" s="971" t="s">
        <v>758</v>
      </c>
      <c r="KL42" s="949">
        <v>0.14000000000000001</v>
      </c>
      <c r="KM42" s="949">
        <v>0.33</v>
      </c>
      <c r="KN42" s="949">
        <v>0.38</v>
      </c>
      <c r="KO42" s="949">
        <v>0.14000000000000001</v>
      </c>
      <c r="KP42" s="949">
        <v>0.48</v>
      </c>
      <c r="KQ42" s="949">
        <v>0.15</v>
      </c>
      <c r="KR42" s="949">
        <v>0.42</v>
      </c>
      <c r="KS42" s="949">
        <v>0.37</v>
      </c>
      <c r="KT42" s="949">
        <v>0.33</v>
      </c>
      <c r="KU42" s="949">
        <v>0.45</v>
      </c>
      <c r="KV42" s="949">
        <v>0.41</v>
      </c>
      <c r="KW42" s="949">
        <v>0.26</v>
      </c>
      <c r="KX42" s="949">
        <v>0.19</v>
      </c>
      <c r="KY42" s="949">
        <v>0.31</v>
      </c>
      <c r="KZ42" s="949">
        <v>0.24</v>
      </c>
      <c r="LA42" s="949">
        <v>0.46</v>
      </c>
      <c r="LB42" s="949">
        <v>0.39</v>
      </c>
      <c r="LC42" s="949">
        <v>0.25</v>
      </c>
      <c r="LD42" s="949">
        <v>0.49</v>
      </c>
      <c r="LE42" s="949">
        <v>0.25</v>
      </c>
      <c r="LF42" s="949">
        <v>0.19</v>
      </c>
      <c r="LG42" s="949">
        <v>0.5</v>
      </c>
      <c r="LH42" s="949">
        <v>0.41</v>
      </c>
      <c r="LI42" s="949">
        <v>0.46</v>
      </c>
      <c r="LJ42" s="949">
        <v>0.32</v>
      </c>
      <c r="LK42" s="949">
        <v>0.47</v>
      </c>
      <c r="LL42" s="949" t="s">
        <v>173</v>
      </c>
      <c r="LM42" s="949">
        <v>0.5</v>
      </c>
      <c r="LN42" s="949">
        <v>0.4</v>
      </c>
      <c r="LO42" s="949">
        <v>0.56000000000000005</v>
      </c>
      <c r="LP42" s="922">
        <v>325754002057</v>
      </c>
      <c r="LQ42" s="126" t="s">
        <v>181</v>
      </c>
      <c r="LR42" s="424">
        <v>53</v>
      </c>
      <c r="LS42" s="971">
        <v>57</v>
      </c>
      <c r="LT42" s="946"/>
    </row>
    <row r="43" spans="1:332" ht="24.95" customHeight="1" x14ac:dyDescent="0.2">
      <c r="A43" s="36" t="s">
        <v>163</v>
      </c>
      <c r="B43" s="14" t="s">
        <v>123</v>
      </c>
      <c r="C43" s="2">
        <v>6</v>
      </c>
      <c r="D43" s="12"/>
      <c r="E43" s="12"/>
      <c r="F43" s="12"/>
      <c r="G43" s="12"/>
      <c r="H43" s="12"/>
      <c r="I43" s="12"/>
      <c r="J43" s="12"/>
      <c r="K43" s="12"/>
      <c r="L43" s="12"/>
      <c r="M43" s="12"/>
      <c r="N43" s="12"/>
      <c r="O43" s="12"/>
      <c r="P43" s="12"/>
      <c r="Q43" s="12"/>
      <c r="R43" s="12"/>
      <c r="S43" s="12"/>
      <c r="T43" s="12"/>
      <c r="U43" s="12"/>
      <c r="V43" s="12"/>
      <c r="W43" s="12"/>
      <c r="X43" s="12"/>
      <c r="Y43" s="12"/>
      <c r="Z43" s="12"/>
      <c r="AA43" s="12"/>
      <c r="AB43" s="12"/>
      <c r="AC43" s="12"/>
      <c r="AD43" s="12"/>
      <c r="AE43" s="12"/>
      <c r="AF43" s="12"/>
      <c r="AG43" s="12"/>
      <c r="AH43" s="12" t="s">
        <v>126</v>
      </c>
      <c r="AI43" s="12" t="s">
        <v>126</v>
      </c>
      <c r="AJ43" s="40"/>
      <c r="AK43" s="40"/>
      <c r="AL43" s="40"/>
      <c r="AM43" s="40"/>
      <c r="AN43" s="40"/>
      <c r="AO43" s="40"/>
      <c r="AP43" s="40"/>
      <c r="AQ43" s="40"/>
      <c r="AR43" s="40"/>
      <c r="AS43" s="40"/>
      <c r="AT43" s="40"/>
      <c r="AU43" s="40"/>
      <c r="AV43" s="40"/>
      <c r="AW43" s="40"/>
      <c r="AX43" s="40"/>
      <c r="AY43" s="40"/>
      <c r="AZ43" s="40"/>
      <c r="BA43" s="40"/>
      <c r="BB43" s="40"/>
      <c r="BC43" s="40"/>
      <c r="BD43" s="40"/>
      <c r="BE43" s="40"/>
      <c r="BF43" s="40"/>
      <c r="BG43" s="40"/>
      <c r="BH43" s="40"/>
      <c r="BI43" s="40"/>
      <c r="BJ43" s="40"/>
      <c r="BK43" s="40"/>
      <c r="BL43" s="40"/>
      <c r="BM43" s="12" t="s">
        <v>126</v>
      </c>
      <c r="BN43" s="12" t="s">
        <v>126</v>
      </c>
      <c r="BO43" s="12"/>
      <c r="BP43" s="12"/>
      <c r="BQ43" s="12"/>
      <c r="BR43" s="12"/>
      <c r="BS43" s="12"/>
      <c r="BT43" s="12"/>
      <c r="BU43" s="12"/>
      <c r="BV43" s="12"/>
      <c r="BW43" s="12"/>
      <c r="BX43" s="12"/>
      <c r="BY43" s="12"/>
      <c r="BZ43" s="12"/>
      <c r="CA43" s="12"/>
      <c r="CB43" s="12"/>
      <c r="CC43" s="12"/>
      <c r="CD43" s="12"/>
      <c r="CE43" s="12"/>
      <c r="CF43" s="12"/>
      <c r="CG43" s="12"/>
      <c r="CH43" s="12"/>
      <c r="CI43" s="12"/>
      <c r="CJ43" s="12"/>
      <c r="CK43" s="12"/>
      <c r="CL43" s="12"/>
      <c r="CM43" s="12"/>
      <c r="CN43" s="12"/>
      <c r="CO43" s="12"/>
      <c r="CP43" s="12"/>
      <c r="CQ43" s="12"/>
      <c r="CR43" s="12"/>
      <c r="CS43" s="12" t="s">
        <v>126</v>
      </c>
      <c r="CT43" s="12" t="s">
        <v>126</v>
      </c>
      <c r="CU43" s="2"/>
      <c r="CV43" s="2"/>
      <c r="CW43" s="2"/>
      <c r="CX43" s="2"/>
      <c r="CY43" s="2"/>
      <c r="CZ43" s="2"/>
      <c r="DA43" s="2"/>
      <c r="DB43" s="2"/>
      <c r="DC43" s="2"/>
      <c r="DD43" s="2"/>
      <c r="DE43" s="2"/>
      <c r="DF43" s="2"/>
      <c r="DG43" s="2"/>
      <c r="DH43" s="2"/>
      <c r="DI43" s="2"/>
      <c r="DJ43" s="2"/>
      <c r="DK43" s="2"/>
      <c r="DL43" s="2"/>
      <c r="DM43" s="2"/>
      <c r="DN43" s="2"/>
      <c r="DO43" s="2"/>
      <c r="DP43" s="2"/>
      <c r="DQ43" s="2"/>
      <c r="DR43" s="2"/>
      <c r="DS43" s="2"/>
      <c r="DT43" s="2"/>
      <c r="DU43" s="2"/>
      <c r="DV43" s="2"/>
      <c r="DW43" s="2"/>
      <c r="DX43" s="35">
        <v>56</v>
      </c>
      <c r="DY43" s="35">
        <v>3</v>
      </c>
      <c r="DZ43" s="40">
        <v>0</v>
      </c>
      <c r="EA43" s="40">
        <v>0.5</v>
      </c>
      <c r="EB43" s="40">
        <v>0.5</v>
      </c>
      <c r="EC43" s="40">
        <v>0</v>
      </c>
      <c r="ED43" s="40">
        <v>0.75</v>
      </c>
      <c r="EE43" s="40">
        <v>0</v>
      </c>
      <c r="EF43" s="40">
        <v>0.5</v>
      </c>
      <c r="EG43" s="40">
        <v>0</v>
      </c>
      <c r="EH43" s="40">
        <v>0.67</v>
      </c>
      <c r="EI43" s="40">
        <v>1</v>
      </c>
      <c r="EJ43" s="40">
        <v>0.75</v>
      </c>
      <c r="EK43" s="40">
        <v>1</v>
      </c>
      <c r="EL43" s="40">
        <v>0.5</v>
      </c>
      <c r="EM43" s="40">
        <v>0.5</v>
      </c>
      <c r="EN43" s="40">
        <v>0</v>
      </c>
      <c r="EO43" s="40">
        <v>0.67</v>
      </c>
      <c r="EP43" s="40">
        <v>0.25</v>
      </c>
      <c r="EQ43" s="40">
        <v>0</v>
      </c>
      <c r="ER43" s="40">
        <v>0.33</v>
      </c>
      <c r="ES43" s="40">
        <v>0.25</v>
      </c>
      <c r="ET43" s="40">
        <v>0</v>
      </c>
      <c r="EU43" s="40">
        <v>0.5</v>
      </c>
      <c r="EV43" s="40">
        <v>0</v>
      </c>
      <c r="EW43" s="40">
        <v>0</v>
      </c>
      <c r="EX43" s="35" t="s">
        <v>173</v>
      </c>
      <c r="EY43" s="40">
        <v>0.5</v>
      </c>
      <c r="EZ43" s="35" t="s">
        <v>173</v>
      </c>
      <c r="FA43" s="40">
        <v>1</v>
      </c>
      <c r="FB43" s="246">
        <v>46</v>
      </c>
      <c r="FC43" s="246" t="s">
        <v>758</v>
      </c>
      <c r="FD43" s="246">
        <v>0</v>
      </c>
      <c r="FE43" s="246" t="s">
        <v>760</v>
      </c>
      <c r="FF43" s="263">
        <v>0</v>
      </c>
      <c r="FG43" s="263">
        <v>1</v>
      </c>
      <c r="FH43" s="263">
        <v>0</v>
      </c>
      <c r="FI43" s="263">
        <v>0</v>
      </c>
      <c r="FJ43" s="263">
        <v>0</v>
      </c>
      <c r="FK43" s="263">
        <v>1</v>
      </c>
      <c r="FL43" s="263">
        <v>1</v>
      </c>
      <c r="FM43" s="263">
        <v>0</v>
      </c>
      <c r="FN43" s="263">
        <v>1</v>
      </c>
      <c r="FO43" s="263">
        <v>0</v>
      </c>
      <c r="FP43" s="263">
        <v>0</v>
      </c>
      <c r="FQ43" s="263">
        <v>0.67</v>
      </c>
      <c r="FR43" s="263">
        <v>1</v>
      </c>
      <c r="FS43" s="263">
        <v>1</v>
      </c>
      <c r="FT43" s="263">
        <v>0.5</v>
      </c>
      <c r="FU43" s="246" t="s">
        <v>173</v>
      </c>
      <c r="FV43" s="263">
        <v>1</v>
      </c>
      <c r="FW43" s="263">
        <v>0.5</v>
      </c>
      <c r="FX43" s="246" t="s">
        <v>173</v>
      </c>
      <c r="FY43" s="263">
        <v>0.67</v>
      </c>
      <c r="FZ43" s="263">
        <v>0</v>
      </c>
      <c r="GA43" s="263">
        <v>0.5</v>
      </c>
      <c r="GB43" s="263">
        <v>0.5</v>
      </c>
      <c r="GC43" s="263">
        <v>0</v>
      </c>
      <c r="GD43" s="263">
        <v>0.25</v>
      </c>
      <c r="GE43" s="263">
        <v>0.5</v>
      </c>
      <c r="GF43" s="263">
        <v>0.5</v>
      </c>
      <c r="GG43" s="263">
        <v>0.5</v>
      </c>
      <c r="GH43" s="263">
        <v>0</v>
      </c>
      <c r="GI43" s="263">
        <v>0</v>
      </c>
      <c r="GJ43" s="309">
        <v>47</v>
      </c>
      <c r="GK43" s="309" t="s">
        <v>758</v>
      </c>
      <c r="GL43" s="309">
        <v>10</v>
      </c>
      <c r="GM43" s="309" t="s">
        <v>758</v>
      </c>
      <c r="GN43" s="327">
        <v>0.33</v>
      </c>
      <c r="GO43" s="327">
        <v>0.67</v>
      </c>
      <c r="GP43" s="327">
        <v>0</v>
      </c>
      <c r="GQ43" s="327">
        <v>0</v>
      </c>
      <c r="GR43" s="327">
        <v>0.5</v>
      </c>
      <c r="GS43" s="327">
        <v>0.8</v>
      </c>
      <c r="GT43" s="327">
        <v>0.43</v>
      </c>
      <c r="GU43" s="309" t="s">
        <v>173</v>
      </c>
      <c r="GV43" s="327">
        <v>0.83</v>
      </c>
      <c r="GW43" s="327">
        <v>0.67</v>
      </c>
      <c r="GX43" s="327">
        <v>0.75</v>
      </c>
      <c r="GY43" s="309" t="s">
        <v>173</v>
      </c>
      <c r="GZ43" s="327">
        <v>0.25</v>
      </c>
      <c r="HA43" s="327">
        <v>1</v>
      </c>
      <c r="HB43" s="327">
        <v>0.38</v>
      </c>
      <c r="HC43" s="327">
        <v>0.25</v>
      </c>
      <c r="HD43" s="327">
        <v>0.6</v>
      </c>
      <c r="HE43" s="327">
        <v>0.71</v>
      </c>
      <c r="HF43" s="327">
        <v>0.36</v>
      </c>
      <c r="HG43" s="327">
        <v>0.6</v>
      </c>
      <c r="HH43" s="327">
        <v>0.4</v>
      </c>
      <c r="HI43" s="327">
        <v>0.71</v>
      </c>
      <c r="HJ43" s="327">
        <v>0.55000000000000004</v>
      </c>
      <c r="HK43" s="327">
        <v>0.25</v>
      </c>
      <c r="HL43" s="327">
        <v>0.67</v>
      </c>
      <c r="HM43" s="327">
        <v>0.56999999999999995</v>
      </c>
      <c r="HN43" s="327">
        <v>0.67</v>
      </c>
      <c r="HO43" s="327">
        <v>0.5</v>
      </c>
      <c r="HP43" s="309" t="s">
        <v>173</v>
      </c>
      <c r="HQ43" s="327">
        <v>0.56000000000000005</v>
      </c>
      <c r="HR43" s="424">
        <v>52</v>
      </c>
      <c r="HS43" s="424" t="s">
        <v>758</v>
      </c>
      <c r="HT43" s="424">
        <v>7</v>
      </c>
      <c r="HU43" s="424" t="s">
        <v>758</v>
      </c>
      <c r="HV43" s="428">
        <v>0.08</v>
      </c>
      <c r="HW43" s="428">
        <v>0.57999999999999996</v>
      </c>
      <c r="HX43" s="428">
        <v>0.33</v>
      </c>
      <c r="HY43" s="428">
        <v>0</v>
      </c>
      <c r="HZ43" s="428">
        <v>0.18</v>
      </c>
      <c r="IA43" s="428">
        <v>0.45</v>
      </c>
      <c r="IB43" s="428">
        <v>0.45</v>
      </c>
      <c r="IC43" s="428">
        <v>0.46</v>
      </c>
      <c r="ID43" s="428">
        <v>0.67</v>
      </c>
      <c r="IE43" s="428">
        <v>0.27</v>
      </c>
      <c r="IF43" s="428">
        <v>0.43</v>
      </c>
      <c r="IG43" s="428">
        <v>0.62</v>
      </c>
      <c r="IH43" s="428">
        <v>0.41</v>
      </c>
      <c r="II43" s="428">
        <v>0.25</v>
      </c>
      <c r="IJ43" s="428">
        <v>0.32</v>
      </c>
      <c r="IK43" s="428">
        <v>0.63</v>
      </c>
      <c r="IL43" s="428">
        <v>0.44</v>
      </c>
      <c r="IM43" s="428">
        <v>0.6</v>
      </c>
      <c r="IN43" s="428">
        <v>0.44</v>
      </c>
      <c r="IO43" s="428">
        <v>0.45</v>
      </c>
      <c r="IP43" s="428">
        <v>0.47</v>
      </c>
      <c r="IQ43" s="428">
        <v>0.63</v>
      </c>
      <c r="IR43" s="428">
        <v>0.39</v>
      </c>
      <c r="IS43" s="428">
        <v>0.46</v>
      </c>
      <c r="IT43" s="428">
        <v>0.57999999999999996</v>
      </c>
      <c r="IU43" s="424" t="s">
        <v>173</v>
      </c>
      <c r="IV43" s="428">
        <v>0.7</v>
      </c>
      <c r="IW43" s="428">
        <v>0.48</v>
      </c>
      <c r="IX43" s="428">
        <v>0.35</v>
      </c>
      <c r="IY43" s="428">
        <v>0.5</v>
      </c>
      <c r="IZ43" s="464">
        <v>55</v>
      </c>
      <c r="JA43" s="464" t="s">
        <v>758</v>
      </c>
      <c r="JB43" s="464">
        <v>9</v>
      </c>
      <c r="JC43" s="464" t="s">
        <v>758</v>
      </c>
      <c r="JD43" s="476">
        <v>0</v>
      </c>
      <c r="JE43" s="476">
        <v>0.63</v>
      </c>
      <c r="JF43" s="476">
        <v>0.38</v>
      </c>
      <c r="JG43" s="476">
        <v>0</v>
      </c>
      <c r="JH43" s="476">
        <v>0.45</v>
      </c>
      <c r="JI43" s="476">
        <v>0.24</v>
      </c>
      <c r="JJ43" s="476">
        <v>0.24</v>
      </c>
      <c r="JK43" s="476">
        <v>0.33</v>
      </c>
      <c r="JL43" s="476">
        <v>0.36</v>
      </c>
      <c r="JM43" s="476">
        <v>0.52</v>
      </c>
      <c r="JN43" s="476">
        <v>0.19</v>
      </c>
      <c r="JO43" s="476">
        <v>0.33</v>
      </c>
      <c r="JP43" s="476">
        <v>0.57999999999999996</v>
      </c>
      <c r="JQ43" s="476">
        <v>0.38</v>
      </c>
      <c r="JR43" s="476">
        <v>0.27</v>
      </c>
      <c r="JS43" s="476">
        <v>0.33</v>
      </c>
      <c r="JT43" s="476">
        <v>0.5</v>
      </c>
      <c r="JU43" s="476">
        <v>0.54</v>
      </c>
      <c r="JV43" s="476">
        <v>0.43</v>
      </c>
      <c r="JW43" s="476">
        <v>0.54</v>
      </c>
      <c r="JX43" s="476">
        <v>0.38</v>
      </c>
      <c r="JY43" s="476">
        <v>0.43</v>
      </c>
      <c r="JZ43" s="476">
        <v>0.43</v>
      </c>
      <c r="KA43" s="476">
        <v>0.6</v>
      </c>
      <c r="KB43" s="476">
        <v>0.5</v>
      </c>
      <c r="KC43" s="476">
        <v>0.28999999999999998</v>
      </c>
      <c r="KD43" s="476">
        <v>0.27</v>
      </c>
      <c r="KE43" s="476">
        <v>0.44</v>
      </c>
      <c r="KF43" s="476">
        <v>0.62</v>
      </c>
      <c r="KG43" s="476">
        <v>0.57999999999999996</v>
      </c>
      <c r="KH43" s="971">
        <v>50</v>
      </c>
      <c r="KI43" s="971" t="s">
        <v>758</v>
      </c>
      <c r="KJ43" s="971">
        <v>10</v>
      </c>
      <c r="KK43" s="971" t="s">
        <v>758</v>
      </c>
      <c r="KL43" s="949">
        <v>0.27</v>
      </c>
      <c r="KM43" s="949">
        <v>0.45</v>
      </c>
      <c r="KN43" s="949">
        <v>0.27</v>
      </c>
      <c r="KO43" s="949">
        <v>0</v>
      </c>
      <c r="KP43" s="949">
        <v>0.61</v>
      </c>
      <c r="KQ43" s="949">
        <v>0.13</v>
      </c>
      <c r="KR43" s="949">
        <v>0.67</v>
      </c>
      <c r="KS43" s="949">
        <v>0.63</v>
      </c>
      <c r="KT43" s="949">
        <v>0.47</v>
      </c>
      <c r="KU43" s="949">
        <v>0.57999999999999996</v>
      </c>
      <c r="KV43" s="949">
        <v>0.78</v>
      </c>
      <c r="KW43" s="949">
        <v>0.36</v>
      </c>
      <c r="KX43" s="949">
        <v>0.36</v>
      </c>
      <c r="KY43" s="949">
        <v>0.56000000000000005</v>
      </c>
      <c r="KZ43" s="949">
        <v>0.49</v>
      </c>
      <c r="LA43" s="949">
        <v>0.5</v>
      </c>
      <c r="LB43" s="949">
        <v>0.61</v>
      </c>
      <c r="LC43" s="949">
        <v>0.56000000000000005</v>
      </c>
      <c r="LD43" s="949">
        <v>0.36</v>
      </c>
      <c r="LE43" s="949">
        <v>0.64</v>
      </c>
      <c r="LF43" s="949">
        <v>0.36</v>
      </c>
      <c r="LG43" s="949">
        <v>0.2</v>
      </c>
      <c r="LH43" s="949">
        <v>0.6</v>
      </c>
      <c r="LI43" s="949">
        <v>0.5</v>
      </c>
      <c r="LJ43" s="949">
        <v>0.44</v>
      </c>
      <c r="LK43" s="949">
        <v>0.64</v>
      </c>
      <c r="LL43" s="949" t="s">
        <v>173</v>
      </c>
      <c r="LM43" s="949">
        <v>0.59</v>
      </c>
      <c r="LN43" s="949">
        <v>0.6</v>
      </c>
      <c r="LO43" s="949">
        <v>0.63</v>
      </c>
      <c r="LP43" s="922">
        <v>325754004599</v>
      </c>
      <c r="LQ43" s="36" t="s">
        <v>163</v>
      </c>
      <c r="LR43" s="424">
        <v>52</v>
      </c>
      <c r="LS43" s="971">
        <v>50</v>
      </c>
      <c r="LT43" s="946"/>
    </row>
    <row r="44" spans="1:332" ht="24.95" customHeight="1" x14ac:dyDescent="0.2">
      <c r="A44" s="126" t="s">
        <v>104</v>
      </c>
      <c r="B44" s="1" t="s">
        <v>123</v>
      </c>
      <c r="C44" s="2">
        <v>2</v>
      </c>
      <c r="D44" s="12">
        <v>65</v>
      </c>
      <c r="E44" s="12">
        <v>0</v>
      </c>
      <c r="F44" s="66">
        <v>0</v>
      </c>
      <c r="G44" s="66">
        <v>0</v>
      </c>
      <c r="H44" s="66">
        <v>1</v>
      </c>
      <c r="I44" s="66">
        <v>0</v>
      </c>
      <c r="J44" s="66">
        <v>0</v>
      </c>
      <c r="K44" s="66">
        <v>0</v>
      </c>
      <c r="L44" s="66">
        <v>0</v>
      </c>
      <c r="M44" s="66">
        <v>0</v>
      </c>
      <c r="N44" s="66">
        <v>0.2</v>
      </c>
      <c r="O44" s="66">
        <v>0.5</v>
      </c>
      <c r="P44" s="66">
        <v>0</v>
      </c>
      <c r="Q44" s="66">
        <v>0</v>
      </c>
      <c r="R44" s="66">
        <v>0</v>
      </c>
      <c r="S44" s="66">
        <v>0</v>
      </c>
      <c r="T44" s="66">
        <v>1</v>
      </c>
      <c r="U44" s="66">
        <v>1</v>
      </c>
      <c r="V44" s="66">
        <v>0</v>
      </c>
      <c r="W44" s="66">
        <v>0</v>
      </c>
      <c r="X44" s="66">
        <v>0.5</v>
      </c>
      <c r="Y44" s="66">
        <v>0.5</v>
      </c>
      <c r="Z44" s="12" t="s">
        <v>173</v>
      </c>
      <c r="AA44" s="66">
        <v>0</v>
      </c>
      <c r="AB44" s="66">
        <v>0</v>
      </c>
      <c r="AC44" s="66">
        <v>0</v>
      </c>
      <c r="AD44" s="66">
        <v>0</v>
      </c>
      <c r="AE44" s="66">
        <v>0</v>
      </c>
      <c r="AF44" s="66">
        <v>0</v>
      </c>
      <c r="AG44" s="66">
        <v>0.33</v>
      </c>
      <c r="AH44" s="12" t="s">
        <v>126</v>
      </c>
      <c r="AI44" s="12" t="s">
        <v>126</v>
      </c>
      <c r="AJ44" s="40"/>
      <c r="AK44" s="40"/>
      <c r="AL44" s="40"/>
      <c r="AM44" s="40"/>
      <c r="AN44" s="40"/>
      <c r="AO44" s="40"/>
      <c r="AP44" s="40"/>
      <c r="AQ44" s="40"/>
      <c r="AR44" s="40"/>
      <c r="AS44" s="40"/>
      <c r="AT44" s="40"/>
      <c r="AU44" s="40"/>
      <c r="AV44" s="40"/>
      <c r="AW44" s="40"/>
      <c r="AX44" s="40"/>
      <c r="AY44" s="40"/>
      <c r="AZ44" s="40"/>
      <c r="BA44" s="40"/>
      <c r="BB44" s="40"/>
      <c r="BC44" s="40"/>
      <c r="BD44" s="40"/>
      <c r="BE44" s="40"/>
      <c r="BF44" s="40"/>
      <c r="BG44" s="40"/>
      <c r="BH44" s="40"/>
      <c r="BI44" s="40"/>
      <c r="BJ44" s="40"/>
      <c r="BK44" s="40"/>
      <c r="BL44" s="40"/>
      <c r="BM44" s="12" t="s">
        <v>126</v>
      </c>
      <c r="BN44" s="12" t="s">
        <v>126</v>
      </c>
      <c r="BO44" s="12"/>
      <c r="BP44" s="12"/>
      <c r="BQ44" s="12"/>
      <c r="BR44" s="12"/>
      <c r="BS44" s="12"/>
      <c r="BT44" s="12"/>
      <c r="BU44" s="12"/>
      <c r="BV44" s="12"/>
      <c r="BW44" s="12"/>
      <c r="BX44" s="12"/>
      <c r="BY44" s="12"/>
      <c r="BZ44" s="12"/>
      <c r="CA44" s="12"/>
      <c r="CB44" s="12"/>
      <c r="CC44" s="12"/>
      <c r="CD44" s="12"/>
      <c r="CE44" s="12"/>
      <c r="CF44" s="12"/>
      <c r="CG44" s="12"/>
      <c r="CH44" s="12"/>
      <c r="CI44" s="12"/>
      <c r="CJ44" s="12"/>
      <c r="CK44" s="12"/>
      <c r="CL44" s="12"/>
      <c r="CM44" s="12"/>
      <c r="CN44" s="12"/>
      <c r="CO44" s="12"/>
      <c r="CP44" s="12"/>
      <c r="CQ44" s="12"/>
      <c r="CR44" s="12"/>
      <c r="CS44" s="12" t="s">
        <v>126</v>
      </c>
      <c r="CT44" s="12" t="s">
        <v>126</v>
      </c>
      <c r="CU44" s="2"/>
      <c r="CV44" s="2"/>
      <c r="CW44" s="2"/>
      <c r="CX44" s="2"/>
      <c r="CY44" s="2"/>
      <c r="CZ44" s="2"/>
      <c r="DA44" s="2"/>
      <c r="DB44" s="2"/>
      <c r="DC44" s="2"/>
      <c r="DD44" s="2"/>
      <c r="DE44" s="2"/>
      <c r="DF44" s="2"/>
      <c r="DG44" s="2"/>
      <c r="DH44" s="2"/>
      <c r="DI44" s="2"/>
      <c r="DJ44" s="2"/>
      <c r="DK44" s="2"/>
      <c r="DL44" s="2"/>
      <c r="DM44" s="2"/>
      <c r="DN44" s="2"/>
      <c r="DO44" s="2"/>
      <c r="DP44" s="2"/>
      <c r="DQ44" s="2"/>
      <c r="DR44" s="2"/>
      <c r="DS44" s="2"/>
      <c r="DT44" s="2"/>
      <c r="DU44" s="2"/>
      <c r="DV44" s="2"/>
      <c r="DW44" s="2"/>
      <c r="DX44" s="35">
        <v>38</v>
      </c>
      <c r="DY44" s="35">
        <v>0</v>
      </c>
      <c r="DZ44" s="40">
        <v>1</v>
      </c>
      <c r="EA44" s="40">
        <v>0</v>
      </c>
      <c r="EB44" s="40">
        <v>0</v>
      </c>
      <c r="EC44" s="40">
        <v>0</v>
      </c>
      <c r="ED44" s="40">
        <v>1</v>
      </c>
      <c r="EE44" s="40">
        <v>1</v>
      </c>
      <c r="EF44" s="40">
        <v>0</v>
      </c>
      <c r="EG44" s="40">
        <v>0</v>
      </c>
      <c r="EH44" s="40">
        <v>0.5</v>
      </c>
      <c r="EI44" s="40">
        <v>0</v>
      </c>
      <c r="EJ44" s="40">
        <v>0.67</v>
      </c>
      <c r="EK44" s="40">
        <v>1</v>
      </c>
      <c r="EL44" s="40">
        <v>1</v>
      </c>
      <c r="EM44" s="40">
        <v>1</v>
      </c>
      <c r="EN44" s="40">
        <v>1</v>
      </c>
      <c r="EO44" s="40">
        <v>0.67</v>
      </c>
      <c r="EP44" s="40">
        <v>1</v>
      </c>
      <c r="EQ44" s="35" t="s">
        <v>173</v>
      </c>
      <c r="ER44" s="40">
        <v>1</v>
      </c>
      <c r="ES44" s="40">
        <v>0.67</v>
      </c>
      <c r="ET44" s="40">
        <v>0.67</v>
      </c>
      <c r="EU44" s="40">
        <v>1</v>
      </c>
      <c r="EV44" s="40">
        <v>0</v>
      </c>
      <c r="EW44" s="40">
        <v>1</v>
      </c>
      <c r="EX44" s="35" t="s">
        <v>173</v>
      </c>
      <c r="EY44" s="40">
        <v>0.67</v>
      </c>
      <c r="EZ44" s="40">
        <v>0</v>
      </c>
      <c r="FA44" s="40">
        <v>0.67</v>
      </c>
      <c r="FB44" s="646"/>
      <c r="FC44" s="646"/>
      <c r="FD44" s="646"/>
      <c r="FE44" s="646"/>
      <c r="FF44" s="646"/>
      <c r="FG44" s="646"/>
      <c r="FH44" s="646"/>
      <c r="FI44" s="646"/>
      <c r="FJ44" s="646"/>
      <c r="FK44" s="646"/>
      <c r="FL44" s="646"/>
      <c r="FM44" s="646"/>
      <c r="FN44" s="646"/>
      <c r="FO44" s="646"/>
      <c r="FP44" s="646"/>
      <c r="FQ44" s="646"/>
      <c r="FR44" s="646"/>
      <c r="FS44" s="646"/>
      <c r="FT44" s="646"/>
      <c r="FU44" s="646"/>
      <c r="FV44" s="646"/>
      <c r="FW44" s="646"/>
      <c r="FX44" s="646"/>
      <c r="FY44" s="646"/>
      <c r="FZ44" s="646"/>
      <c r="GA44" s="646"/>
      <c r="GB44" s="646"/>
      <c r="GC44" s="646"/>
      <c r="GD44" s="646"/>
      <c r="GE44" s="646"/>
      <c r="GF44" s="646"/>
      <c r="GG44" s="646"/>
      <c r="GH44" s="646"/>
      <c r="GI44" s="646"/>
      <c r="GJ44" s="649"/>
      <c r="GK44" s="649"/>
      <c r="GL44" s="649"/>
      <c r="GM44" s="649"/>
      <c r="GN44" s="649"/>
      <c r="GO44" s="649"/>
      <c r="GP44" s="649"/>
      <c r="GQ44" s="649"/>
      <c r="GR44" s="649"/>
      <c r="GS44" s="649"/>
      <c r="GT44" s="649"/>
      <c r="GU44" s="649"/>
      <c r="GV44" s="649"/>
      <c r="GW44" s="649"/>
      <c r="GX44" s="649"/>
      <c r="GY44" s="649"/>
      <c r="GZ44" s="649"/>
      <c r="HA44" s="649"/>
      <c r="HB44" s="649"/>
      <c r="HC44" s="649"/>
      <c r="HD44" s="649"/>
      <c r="HE44" s="649"/>
      <c r="HF44" s="649"/>
      <c r="HG44" s="649"/>
      <c r="HH44" s="649"/>
      <c r="HI44" s="649"/>
      <c r="HJ44" s="649"/>
      <c r="HK44" s="649"/>
      <c r="HL44" s="649"/>
      <c r="HM44" s="649"/>
      <c r="HN44" s="649"/>
      <c r="HO44" s="649"/>
      <c r="HP44" s="649"/>
      <c r="HQ44" s="649"/>
      <c r="HR44" s="651"/>
      <c r="HS44" s="651"/>
      <c r="HT44" s="651"/>
      <c r="HU44" s="651"/>
      <c r="HV44" s="651"/>
      <c r="HW44" s="651"/>
      <c r="HX44" s="651"/>
      <c r="HY44" s="651"/>
      <c r="HZ44" s="651"/>
      <c r="IA44" s="651"/>
      <c r="IB44" s="651"/>
      <c r="IC44" s="651"/>
      <c r="ID44" s="651"/>
      <c r="IE44" s="651"/>
      <c r="IF44" s="651"/>
      <c r="IG44" s="651"/>
      <c r="IH44" s="651"/>
      <c r="II44" s="651"/>
      <c r="IJ44" s="651"/>
      <c r="IK44" s="651"/>
      <c r="IL44" s="651"/>
      <c r="IM44" s="651"/>
      <c r="IN44" s="651"/>
      <c r="IO44" s="651"/>
      <c r="IP44" s="651"/>
      <c r="IQ44" s="651"/>
      <c r="IR44" s="651"/>
      <c r="IS44" s="651"/>
      <c r="IT44" s="651"/>
      <c r="IU44" s="651"/>
      <c r="IV44" s="651"/>
      <c r="IW44" s="651"/>
      <c r="IX44" s="651"/>
      <c r="IY44" s="651"/>
      <c r="IZ44" s="650"/>
      <c r="JA44" s="650"/>
      <c r="JB44" s="650"/>
      <c r="JC44" s="650"/>
      <c r="JD44" s="650"/>
      <c r="JE44" s="650"/>
      <c r="JF44" s="650"/>
      <c r="JG44" s="650"/>
      <c r="JH44" s="650"/>
      <c r="JI44" s="650"/>
      <c r="JJ44" s="650"/>
      <c r="JK44" s="650"/>
      <c r="JL44" s="650"/>
      <c r="JM44" s="650"/>
      <c r="JN44" s="650"/>
      <c r="JO44" s="650"/>
      <c r="JP44" s="650"/>
      <c r="JQ44" s="650"/>
      <c r="JR44" s="650"/>
      <c r="JS44" s="650"/>
      <c r="JT44" s="650"/>
      <c r="JU44" s="650"/>
      <c r="JV44" s="650"/>
      <c r="JW44" s="650"/>
      <c r="JX44" s="650"/>
      <c r="JY44" s="650"/>
      <c r="JZ44" s="650"/>
      <c r="KA44" s="650"/>
      <c r="KB44" s="650"/>
      <c r="KC44" s="650"/>
      <c r="KD44" s="650"/>
      <c r="KE44" s="650"/>
      <c r="KF44" s="650"/>
      <c r="KG44" s="650"/>
      <c r="KH44" s="971">
        <v>44</v>
      </c>
      <c r="KI44" s="971" t="s">
        <v>760</v>
      </c>
      <c r="KJ44" s="971">
        <v>5</v>
      </c>
      <c r="KK44" s="971" t="s">
        <v>760</v>
      </c>
      <c r="KL44" s="949">
        <v>0.2</v>
      </c>
      <c r="KM44" s="949">
        <v>0.8</v>
      </c>
      <c r="KN44" s="949">
        <v>0</v>
      </c>
      <c r="KO44" s="949">
        <v>0</v>
      </c>
      <c r="KP44" s="949">
        <v>0.67</v>
      </c>
      <c r="KQ44" s="949">
        <v>0.5</v>
      </c>
      <c r="KR44" s="949">
        <v>0.77</v>
      </c>
      <c r="KS44" s="949">
        <v>0.5</v>
      </c>
      <c r="KT44" s="949">
        <v>0.63</v>
      </c>
      <c r="KU44" s="949">
        <v>0.2</v>
      </c>
      <c r="KV44" s="949">
        <v>0.93</v>
      </c>
      <c r="KW44" s="949">
        <v>0.5</v>
      </c>
      <c r="KX44" s="949">
        <v>0.67</v>
      </c>
      <c r="KY44" s="949">
        <v>0.75</v>
      </c>
      <c r="KZ44" s="949">
        <v>0.57999999999999996</v>
      </c>
      <c r="LA44" s="949">
        <v>0.5</v>
      </c>
      <c r="LB44" s="949">
        <v>0.75</v>
      </c>
      <c r="LC44" s="949">
        <v>0.45</v>
      </c>
      <c r="LD44" s="949">
        <v>0.8</v>
      </c>
      <c r="LE44" s="949">
        <v>0.75</v>
      </c>
      <c r="LF44" s="949">
        <v>0.64</v>
      </c>
      <c r="LG44" s="949">
        <v>0.5</v>
      </c>
      <c r="LH44" s="949">
        <v>0.65</v>
      </c>
      <c r="LI44" s="949">
        <v>0.8</v>
      </c>
      <c r="LJ44" s="949">
        <v>0.13</v>
      </c>
      <c r="LK44" s="949">
        <v>0.5</v>
      </c>
      <c r="LL44" s="949" t="s">
        <v>173</v>
      </c>
      <c r="LM44" s="949">
        <v>0.82</v>
      </c>
      <c r="LN44" s="949">
        <v>1</v>
      </c>
      <c r="LO44" s="949">
        <v>0.67</v>
      </c>
      <c r="LP44" s="922">
        <v>325754004980</v>
      </c>
      <c r="LQ44" s="126" t="s">
        <v>104</v>
      </c>
      <c r="LR44" s="651"/>
      <c r="LS44" s="971">
        <v>44</v>
      </c>
      <c r="LT44" s="946"/>
    </row>
    <row r="45" spans="1:332" ht="24.95" customHeight="1" x14ac:dyDescent="0.2">
      <c r="A45" s="126" t="s">
        <v>797</v>
      </c>
      <c r="B45" s="14" t="s">
        <v>123</v>
      </c>
      <c r="C45" s="2">
        <v>2</v>
      </c>
      <c r="D45" s="12"/>
      <c r="E45" s="12"/>
      <c r="F45" s="66"/>
      <c r="G45" s="66"/>
      <c r="H45" s="66"/>
      <c r="I45" s="66"/>
      <c r="J45" s="66"/>
      <c r="K45" s="66"/>
      <c r="L45" s="66"/>
      <c r="M45" s="66"/>
      <c r="N45" s="66"/>
      <c r="O45" s="66"/>
      <c r="P45" s="66"/>
      <c r="Q45" s="66"/>
      <c r="R45" s="66"/>
      <c r="S45" s="66"/>
      <c r="T45" s="66"/>
      <c r="U45" s="66"/>
      <c r="V45" s="66"/>
      <c r="W45" s="66"/>
      <c r="X45" s="66"/>
      <c r="Y45" s="66"/>
      <c r="Z45" s="12"/>
      <c r="AA45" s="66"/>
      <c r="AB45" s="66"/>
      <c r="AC45" s="66"/>
      <c r="AD45" s="66"/>
      <c r="AE45" s="66"/>
      <c r="AF45" s="66"/>
      <c r="AG45" s="66"/>
      <c r="AH45" s="12"/>
      <c r="AI45" s="12"/>
      <c r="AJ45" s="40"/>
      <c r="AK45" s="40"/>
      <c r="AL45" s="40"/>
      <c r="AM45" s="40"/>
      <c r="AN45" s="40"/>
      <c r="AO45" s="40"/>
      <c r="AP45" s="40"/>
      <c r="AQ45" s="40"/>
      <c r="AR45" s="40"/>
      <c r="AS45" s="40"/>
      <c r="AT45" s="40"/>
      <c r="AU45" s="40"/>
      <c r="AV45" s="40"/>
      <c r="AW45" s="40"/>
      <c r="AX45" s="40"/>
      <c r="AY45" s="40"/>
      <c r="AZ45" s="40"/>
      <c r="BA45" s="40"/>
      <c r="BB45" s="40"/>
      <c r="BC45" s="40"/>
      <c r="BD45" s="40"/>
      <c r="BE45" s="40"/>
      <c r="BF45" s="40"/>
      <c r="BG45" s="40"/>
      <c r="BH45" s="40"/>
      <c r="BI45" s="40"/>
      <c r="BJ45" s="40"/>
      <c r="BK45" s="40"/>
      <c r="BL45" s="40"/>
      <c r="BM45" s="12"/>
      <c r="BN45" s="12"/>
      <c r="BO45" s="12"/>
      <c r="BP45" s="12"/>
      <c r="BQ45" s="12"/>
      <c r="BR45" s="12"/>
      <c r="BS45" s="12"/>
      <c r="BT45" s="12"/>
      <c r="BU45" s="12"/>
      <c r="BV45" s="12"/>
      <c r="BW45" s="12"/>
      <c r="BX45" s="12"/>
      <c r="BY45" s="12"/>
      <c r="BZ45" s="12"/>
      <c r="CA45" s="12"/>
      <c r="CB45" s="12"/>
      <c r="CC45" s="12"/>
      <c r="CD45" s="12"/>
      <c r="CE45" s="12"/>
      <c r="CF45" s="12"/>
      <c r="CG45" s="12"/>
      <c r="CH45" s="12"/>
      <c r="CI45" s="12"/>
      <c r="CJ45" s="12"/>
      <c r="CK45" s="12"/>
      <c r="CL45" s="12"/>
      <c r="CM45" s="12"/>
      <c r="CN45" s="12"/>
      <c r="CO45" s="12"/>
      <c r="CP45" s="12"/>
      <c r="CQ45" s="12"/>
      <c r="CR45" s="12"/>
      <c r="CS45" s="12"/>
      <c r="CT45" s="12"/>
      <c r="CU45" s="2"/>
      <c r="CV45" s="2"/>
      <c r="CW45" s="2"/>
      <c r="CX45" s="2"/>
      <c r="CY45" s="2"/>
      <c r="CZ45" s="2"/>
      <c r="DA45" s="2"/>
      <c r="DB45" s="2"/>
      <c r="DC45" s="2"/>
      <c r="DD45" s="2"/>
      <c r="DE45" s="2"/>
      <c r="DF45" s="2"/>
      <c r="DG45" s="2"/>
      <c r="DH45" s="2"/>
      <c r="DI45" s="2"/>
      <c r="DJ45" s="2"/>
      <c r="DK45" s="2"/>
      <c r="DL45" s="2"/>
      <c r="DM45" s="2"/>
      <c r="DN45" s="2"/>
      <c r="DO45" s="2"/>
      <c r="DP45" s="2"/>
      <c r="DQ45" s="2"/>
      <c r="DR45" s="2"/>
      <c r="DS45" s="2"/>
      <c r="DT45" s="2"/>
      <c r="DU45" s="2"/>
      <c r="DV45" s="2"/>
      <c r="DW45" s="2"/>
      <c r="DX45" s="35"/>
      <c r="DY45" s="35"/>
      <c r="DZ45" s="40"/>
      <c r="EA45" s="40"/>
      <c r="EB45" s="40"/>
      <c r="EC45" s="40"/>
      <c r="ED45" s="40"/>
      <c r="EE45" s="40"/>
      <c r="EF45" s="40"/>
      <c r="EG45" s="40"/>
      <c r="EH45" s="40"/>
      <c r="EI45" s="40"/>
      <c r="EJ45" s="40"/>
      <c r="EK45" s="40"/>
      <c r="EL45" s="40"/>
      <c r="EM45" s="40"/>
      <c r="EN45" s="40"/>
      <c r="EO45" s="40"/>
      <c r="EP45" s="40"/>
      <c r="EQ45" s="35"/>
      <c r="ER45" s="40"/>
      <c r="ES45" s="40"/>
      <c r="ET45" s="40"/>
      <c r="EU45" s="40"/>
      <c r="EV45" s="40"/>
      <c r="EW45" s="40"/>
      <c r="EX45" s="35"/>
      <c r="EY45" s="40"/>
      <c r="EZ45" s="40"/>
      <c r="FA45" s="40"/>
      <c r="FB45" s="646"/>
      <c r="FC45" s="646"/>
      <c r="FD45" s="646"/>
      <c r="FE45" s="646"/>
      <c r="FF45" s="646"/>
      <c r="FG45" s="646"/>
      <c r="FH45" s="646"/>
      <c r="FI45" s="646"/>
      <c r="FJ45" s="646"/>
      <c r="FK45" s="646"/>
      <c r="FL45" s="646"/>
      <c r="FM45" s="646"/>
      <c r="FN45" s="646"/>
      <c r="FO45" s="646"/>
      <c r="FP45" s="646"/>
      <c r="FQ45" s="646"/>
      <c r="FR45" s="646"/>
      <c r="FS45" s="646"/>
      <c r="FT45" s="646"/>
      <c r="FU45" s="646"/>
      <c r="FV45" s="646"/>
      <c r="FW45" s="646"/>
      <c r="FX45" s="646"/>
      <c r="FY45" s="646"/>
      <c r="FZ45" s="646"/>
      <c r="GA45" s="646"/>
      <c r="GB45" s="646"/>
      <c r="GC45" s="646"/>
      <c r="GD45" s="646"/>
      <c r="GE45" s="646"/>
      <c r="GF45" s="646"/>
      <c r="GG45" s="646"/>
      <c r="GH45" s="646"/>
      <c r="GI45" s="646"/>
      <c r="GJ45" s="309">
        <v>59</v>
      </c>
      <c r="GK45" s="309" t="s">
        <v>759</v>
      </c>
      <c r="GL45" s="309">
        <v>8</v>
      </c>
      <c r="GM45" s="309" t="s">
        <v>758</v>
      </c>
      <c r="GN45" s="327">
        <v>0</v>
      </c>
      <c r="GO45" s="327">
        <v>0.33</v>
      </c>
      <c r="GP45" s="327">
        <v>0.67</v>
      </c>
      <c r="GQ45" s="327">
        <v>0</v>
      </c>
      <c r="GR45" s="327">
        <v>0.2</v>
      </c>
      <c r="GS45" s="327">
        <v>0.5</v>
      </c>
      <c r="GT45" s="327">
        <v>0.4</v>
      </c>
      <c r="GU45" s="327">
        <v>0</v>
      </c>
      <c r="GV45" s="327">
        <v>0.5</v>
      </c>
      <c r="GW45" s="327">
        <v>0</v>
      </c>
      <c r="GX45" s="327">
        <v>0.33</v>
      </c>
      <c r="GY45" s="309" t="s">
        <v>173</v>
      </c>
      <c r="GZ45" s="327">
        <v>0.2</v>
      </c>
      <c r="HA45" s="327">
        <v>0.67</v>
      </c>
      <c r="HB45" s="327">
        <v>0.18</v>
      </c>
      <c r="HC45" s="327">
        <v>0.33</v>
      </c>
      <c r="HD45" s="327">
        <v>0.3</v>
      </c>
      <c r="HE45" s="327">
        <v>0.43</v>
      </c>
      <c r="HF45" s="327">
        <v>0.23</v>
      </c>
      <c r="HG45" s="327">
        <v>0.55000000000000004</v>
      </c>
      <c r="HH45" s="327">
        <v>0.25</v>
      </c>
      <c r="HI45" s="327">
        <v>0.6</v>
      </c>
      <c r="HJ45" s="327">
        <v>0.55000000000000004</v>
      </c>
      <c r="HK45" s="327">
        <v>0.67</v>
      </c>
      <c r="HL45" s="327">
        <v>0</v>
      </c>
      <c r="HM45" s="327">
        <v>0.28999999999999998</v>
      </c>
      <c r="HN45" s="327">
        <v>0.38</v>
      </c>
      <c r="HO45" s="327">
        <v>0</v>
      </c>
      <c r="HP45" s="309" t="s">
        <v>173</v>
      </c>
      <c r="HQ45" s="327">
        <v>0.33</v>
      </c>
      <c r="HR45" s="424">
        <v>51</v>
      </c>
      <c r="HS45" s="424" t="s">
        <v>758</v>
      </c>
      <c r="HT45" s="424">
        <v>7</v>
      </c>
      <c r="HU45" s="424" t="s">
        <v>758</v>
      </c>
      <c r="HV45" s="428">
        <v>0.14000000000000001</v>
      </c>
      <c r="HW45" s="428">
        <v>0.56999999999999995</v>
      </c>
      <c r="HX45" s="428">
        <v>0.28999999999999998</v>
      </c>
      <c r="HY45" s="428">
        <v>0</v>
      </c>
      <c r="HZ45" s="428">
        <v>0.25</v>
      </c>
      <c r="IA45" s="428">
        <v>0.5</v>
      </c>
      <c r="IB45" s="428">
        <v>0.38</v>
      </c>
      <c r="IC45" s="428">
        <v>0.33</v>
      </c>
      <c r="ID45" s="428">
        <v>0.79</v>
      </c>
      <c r="IE45" s="428">
        <v>0.19</v>
      </c>
      <c r="IF45" s="428">
        <v>0.59</v>
      </c>
      <c r="IG45" s="428">
        <v>0.55000000000000004</v>
      </c>
      <c r="IH45" s="428">
        <v>0.38</v>
      </c>
      <c r="II45" s="428">
        <v>0.5</v>
      </c>
      <c r="IJ45" s="428">
        <v>0.26</v>
      </c>
      <c r="IK45" s="428">
        <v>0.64</v>
      </c>
      <c r="IL45" s="428">
        <v>0.13</v>
      </c>
      <c r="IM45" s="428">
        <v>0.69</v>
      </c>
      <c r="IN45" s="428">
        <v>0.45</v>
      </c>
      <c r="IO45" s="428">
        <v>0.63</v>
      </c>
      <c r="IP45" s="428">
        <v>0.2</v>
      </c>
      <c r="IQ45" s="428">
        <v>0.4</v>
      </c>
      <c r="IR45" s="428">
        <v>0.64</v>
      </c>
      <c r="IS45" s="428">
        <v>0.82</v>
      </c>
      <c r="IT45" s="428">
        <v>0.48</v>
      </c>
      <c r="IU45" s="424" t="s">
        <v>173</v>
      </c>
      <c r="IV45" s="428">
        <v>0.67</v>
      </c>
      <c r="IW45" s="428">
        <v>0.44</v>
      </c>
      <c r="IX45" s="428">
        <v>0.3</v>
      </c>
      <c r="IY45" s="428">
        <v>0.62</v>
      </c>
      <c r="IZ45" s="641"/>
      <c r="JA45" s="641"/>
      <c r="JB45" s="641"/>
      <c r="JC45" s="641"/>
      <c r="JD45" s="642"/>
      <c r="JE45" s="642"/>
      <c r="JF45" s="642"/>
      <c r="JG45" s="642"/>
      <c r="JH45" s="642"/>
      <c r="JI45" s="642"/>
      <c r="JJ45" s="642"/>
      <c r="JK45" s="642"/>
      <c r="JL45" s="642"/>
      <c r="JM45" s="642"/>
      <c r="JN45" s="642"/>
      <c r="JO45" s="642"/>
      <c r="JP45" s="642"/>
      <c r="JQ45" s="642"/>
      <c r="JR45" s="642"/>
      <c r="JS45" s="642"/>
      <c r="JT45" s="642"/>
      <c r="JU45" s="642"/>
      <c r="JV45" s="642"/>
      <c r="JW45" s="642"/>
      <c r="JX45" s="642"/>
      <c r="JY45" s="642"/>
      <c r="JZ45" s="641"/>
      <c r="KA45" s="642"/>
      <c r="KB45" s="642"/>
      <c r="KC45" s="642"/>
      <c r="KD45" s="642"/>
      <c r="KE45" s="642"/>
      <c r="KF45" s="642"/>
      <c r="KG45" s="642"/>
      <c r="KH45" s="971">
        <v>58</v>
      </c>
      <c r="KI45" s="971" t="s">
        <v>758</v>
      </c>
      <c r="KJ45" s="971">
        <v>6</v>
      </c>
      <c r="KK45" s="971" t="s">
        <v>758</v>
      </c>
      <c r="KL45" s="949">
        <v>0</v>
      </c>
      <c r="KM45" s="949">
        <v>0.33</v>
      </c>
      <c r="KN45" s="949">
        <v>0.67</v>
      </c>
      <c r="KO45" s="949">
        <v>0</v>
      </c>
      <c r="KP45" s="949">
        <v>0.48</v>
      </c>
      <c r="KQ45" s="949">
        <v>0.13</v>
      </c>
      <c r="KR45" s="949">
        <v>0.67</v>
      </c>
      <c r="KS45" s="949">
        <v>0.39</v>
      </c>
      <c r="KT45" s="949">
        <v>0.6</v>
      </c>
      <c r="KU45" s="949">
        <v>0.27</v>
      </c>
      <c r="KV45" s="949">
        <v>0.52</v>
      </c>
      <c r="KW45" s="949">
        <v>0.33</v>
      </c>
      <c r="KX45" s="949">
        <v>0.17</v>
      </c>
      <c r="KY45" s="949">
        <v>0.55000000000000004</v>
      </c>
      <c r="KZ45" s="949">
        <v>0.15</v>
      </c>
      <c r="LA45" s="949">
        <v>0.4</v>
      </c>
      <c r="LB45" s="949">
        <v>0.09</v>
      </c>
      <c r="LC45" s="949">
        <v>0.36</v>
      </c>
      <c r="LD45" s="949">
        <v>0.46</v>
      </c>
      <c r="LE45" s="949">
        <v>0.41</v>
      </c>
      <c r="LF45" s="949">
        <v>0.28000000000000003</v>
      </c>
      <c r="LG45" s="949">
        <v>0</v>
      </c>
      <c r="LH45" s="949">
        <v>0.47</v>
      </c>
      <c r="LI45" s="949">
        <v>0.5</v>
      </c>
      <c r="LJ45" s="949">
        <v>0.21</v>
      </c>
      <c r="LK45" s="949">
        <v>0.5</v>
      </c>
      <c r="LL45" s="949" t="s">
        <v>173</v>
      </c>
      <c r="LM45" s="949">
        <v>0.31</v>
      </c>
      <c r="LN45" s="949">
        <v>0.5</v>
      </c>
      <c r="LO45" s="949">
        <v>0</v>
      </c>
      <c r="LP45" s="922">
        <v>325754005561</v>
      </c>
      <c r="LQ45" s="126" t="s">
        <v>797</v>
      </c>
      <c r="LR45" s="424">
        <v>51</v>
      </c>
      <c r="LS45" s="971">
        <v>58</v>
      </c>
      <c r="LT45" s="946"/>
    </row>
    <row r="46" spans="1:332" ht="24.95" customHeight="1" x14ac:dyDescent="0.2">
      <c r="A46" s="126" t="s">
        <v>40</v>
      </c>
      <c r="B46" s="1" t="s">
        <v>123</v>
      </c>
      <c r="C46" s="2">
        <v>4</v>
      </c>
      <c r="D46" s="12">
        <v>51</v>
      </c>
      <c r="E46" s="12">
        <v>8</v>
      </c>
      <c r="F46" s="66">
        <v>0.1</v>
      </c>
      <c r="G46" s="66">
        <v>0.6</v>
      </c>
      <c r="H46" s="66">
        <v>0.3</v>
      </c>
      <c r="I46" s="66">
        <v>0</v>
      </c>
      <c r="J46" s="66">
        <v>0.5</v>
      </c>
      <c r="K46" s="66">
        <v>0.57999999999999996</v>
      </c>
      <c r="L46" s="66">
        <v>0.71</v>
      </c>
      <c r="M46" s="66">
        <v>0.38</v>
      </c>
      <c r="N46" s="66">
        <v>0.37</v>
      </c>
      <c r="O46" s="66">
        <v>0.67</v>
      </c>
      <c r="P46" s="66">
        <v>0.39</v>
      </c>
      <c r="Q46" s="66">
        <v>0.3</v>
      </c>
      <c r="R46" s="66">
        <v>0.52</v>
      </c>
      <c r="S46" s="66">
        <v>0.4</v>
      </c>
      <c r="T46" s="66">
        <v>0.21</v>
      </c>
      <c r="U46" s="66">
        <v>0.83</v>
      </c>
      <c r="V46" s="66">
        <v>0</v>
      </c>
      <c r="W46" s="66">
        <v>0.17</v>
      </c>
      <c r="X46" s="66">
        <v>0.56000000000000005</v>
      </c>
      <c r="Y46" s="66">
        <v>0.56000000000000005</v>
      </c>
      <c r="Z46" s="12" t="s">
        <v>173</v>
      </c>
      <c r="AA46" s="66">
        <v>0.21</v>
      </c>
      <c r="AB46" s="66">
        <v>0.54</v>
      </c>
      <c r="AC46" s="66">
        <v>0.5</v>
      </c>
      <c r="AD46" s="66">
        <v>0.46</v>
      </c>
      <c r="AE46" s="66">
        <v>0.46</v>
      </c>
      <c r="AF46" s="66">
        <v>0.5</v>
      </c>
      <c r="AG46" s="66">
        <v>0.56000000000000005</v>
      </c>
      <c r="AH46" s="12">
        <v>54</v>
      </c>
      <c r="AI46" s="12">
        <v>7</v>
      </c>
      <c r="AJ46" s="40">
        <v>0</v>
      </c>
      <c r="AK46" s="40">
        <v>0.6</v>
      </c>
      <c r="AL46" s="40">
        <v>0.4</v>
      </c>
      <c r="AM46" s="40">
        <v>0</v>
      </c>
      <c r="AN46" s="40">
        <v>0</v>
      </c>
      <c r="AO46" s="40">
        <v>0.19</v>
      </c>
      <c r="AP46" s="40">
        <v>0.2</v>
      </c>
      <c r="AQ46" s="40">
        <v>0.28999999999999998</v>
      </c>
      <c r="AR46" s="40">
        <v>1</v>
      </c>
      <c r="AS46" s="40">
        <v>0.45</v>
      </c>
      <c r="AT46" s="40">
        <v>0.89</v>
      </c>
      <c r="AU46" s="40">
        <v>0.64</v>
      </c>
      <c r="AV46" s="40">
        <v>0.67</v>
      </c>
      <c r="AW46" s="40">
        <v>0.75</v>
      </c>
      <c r="AX46" s="40">
        <v>0.5</v>
      </c>
      <c r="AY46" s="40">
        <v>0.35</v>
      </c>
      <c r="AZ46" s="40">
        <v>0.38</v>
      </c>
      <c r="BA46" s="40">
        <v>0.23</v>
      </c>
      <c r="BB46" s="40">
        <v>0.75</v>
      </c>
      <c r="BC46" s="40">
        <v>0.56000000000000005</v>
      </c>
      <c r="BD46" s="40">
        <v>0.64</v>
      </c>
      <c r="BE46" s="40">
        <v>0</v>
      </c>
      <c r="BF46" s="40">
        <v>1</v>
      </c>
      <c r="BG46" s="40">
        <v>0.22</v>
      </c>
      <c r="BH46" s="40">
        <v>0.39</v>
      </c>
      <c r="BI46" s="40">
        <v>0.36</v>
      </c>
      <c r="BJ46" s="40">
        <v>0.6</v>
      </c>
      <c r="BK46" s="40">
        <v>0.22</v>
      </c>
      <c r="BL46" s="40">
        <v>0.5</v>
      </c>
      <c r="BM46" s="12">
        <v>55</v>
      </c>
      <c r="BN46" s="12">
        <v>9</v>
      </c>
      <c r="BO46" s="66">
        <v>0.09</v>
      </c>
      <c r="BP46" s="66">
        <v>0.36</v>
      </c>
      <c r="BQ46" s="66">
        <v>0.55000000000000004</v>
      </c>
      <c r="BR46" s="66">
        <v>0</v>
      </c>
      <c r="BS46" s="66">
        <v>0.28000000000000003</v>
      </c>
      <c r="BT46" s="66">
        <v>0.5</v>
      </c>
      <c r="BU46" s="66">
        <v>0.64</v>
      </c>
      <c r="BV46" s="66">
        <v>0.5</v>
      </c>
      <c r="BW46" s="66">
        <v>0.6</v>
      </c>
      <c r="BX46" s="66">
        <v>0.36</v>
      </c>
      <c r="BY46" s="66">
        <v>0.36</v>
      </c>
      <c r="BZ46" s="66">
        <v>0.36</v>
      </c>
      <c r="CA46" s="66">
        <v>0.47</v>
      </c>
      <c r="CB46" s="66">
        <v>0.33</v>
      </c>
      <c r="CC46" s="66">
        <v>0.04</v>
      </c>
      <c r="CD46" s="66">
        <v>0.34</v>
      </c>
      <c r="CE46" s="66">
        <v>0.22</v>
      </c>
      <c r="CF46" s="66">
        <v>0.78</v>
      </c>
      <c r="CG46" s="66">
        <v>0.59</v>
      </c>
      <c r="CH46" s="66">
        <v>0.52</v>
      </c>
      <c r="CI46" s="66">
        <v>0.54</v>
      </c>
      <c r="CJ46" s="66">
        <v>0.14000000000000001</v>
      </c>
      <c r="CK46" s="66">
        <v>0.67</v>
      </c>
      <c r="CL46" s="66">
        <v>0.32</v>
      </c>
      <c r="CM46" s="66">
        <v>0.46</v>
      </c>
      <c r="CN46" s="66">
        <v>0.28999999999999998</v>
      </c>
      <c r="CO46" s="66">
        <v>0.44</v>
      </c>
      <c r="CP46" s="66">
        <v>0.19</v>
      </c>
      <c r="CQ46" s="66">
        <v>0.51</v>
      </c>
      <c r="CR46" s="66">
        <v>0.42</v>
      </c>
      <c r="CS46" s="12">
        <v>56</v>
      </c>
      <c r="CT46" s="12">
        <v>8</v>
      </c>
      <c r="CU46" s="63">
        <v>0</v>
      </c>
      <c r="CV46" s="63">
        <v>0.6</v>
      </c>
      <c r="CW46" s="63">
        <v>0.4</v>
      </c>
      <c r="CX46" s="63">
        <v>0</v>
      </c>
      <c r="CY46" s="63">
        <v>0.44</v>
      </c>
      <c r="CZ46" s="63">
        <v>0.2</v>
      </c>
      <c r="DA46" s="63">
        <v>0.44</v>
      </c>
      <c r="DB46" s="63">
        <v>0.22</v>
      </c>
      <c r="DC46" s="63">
        <v>0.18</v>
      </c>
      <c r="DD46" s="63">
        <v>0.67</v>
      </c>
      <c r="DE46" s="63">
        <v>0.36</v>
      </c>
      <c r="DF46" s="63">
        <v>0.62</v>
      </c>
      <c r="DG46" s="63">
        <v>0.28000000000000003</v>
      </c>
      <c r="DH46" s="63">
        <v>0.19</v>
      </c>
      <c r="DI46" s="63">
        <v>0.33</v>
      </c>
      <c r="DJ46" s="63">
        <v>0.46</v>
      </c>
      <c r="DK46" s="63">
        <v>0.21</v>
      </c>
      <c r="DL46" s="63">
        <v>0.2</v>
      </c>
      <c r="DM46" s="63">
        <v>0.44</v>
      </c>
      <c r="DN46" s="63">
        <v>0.28999999999999998</v>
      </c>
      <c r="DO46" s="63">
        <v>0.15</v>
      </c>
      <c r="DP46" s="63">
        <v>0.23</v>
      </c>
      <c r="DQ46" s="63">
        <v>0.44</v>
      </c>
      <c r="DR46" s="63">
        <v>0.05</v>
      </c>
      <c r="DS46" s="63">
        <v>0.3</v>
      </c>
      <c r="DT46" s="63">
        <v>0.35</v>
      </c>
      <c r="DU46" s="63">
        <v>0.13</v>
      </c>
      <c r="DV46" s="63">
        <v>0.72</v>
      </c>
      <c r="DW46" s="63">
        <v>0.28000000000000003</v>
      </c>
      <c r="DX46" s="35">
        <v>46</v>
      </c>
      <c r="DY46" s="35">
        <v>9</v>
      </c>
      <c r="DZ46" s="40">
        <v>0.23</v>
      </c>
      <c r="EA46" s="40">
        <v>0.62</v>
      </c>
      <c r="EB46" s="40">
        <v>0.15</v>
      </c>
      <c r="EC46" s="40">
        <v>0</v>
      </c>
      <c r="ED46" s="40">
        <v>0.56000000000000005</v>
      </c>
      <c r="EE46" s="40">
        <v>0.55000000000000004</v>
      </c>
      <c r="EF46" s="40">
        <v>0.53</v>
      </c>
      <c r="EG46" s="40">
        <v>0.14000000000000001</v>
      </c>
      <c r="EH46" s="40">
        <v>0.48</v>
      </c>
      <c r="EI46" s="40">
        <v>0.63</v>
      </c>
      <c r="EJ46" s="40">
        <v>0.77</v>
      </c>
      <c r="EK46" s="40">
        <v>0.17</v>
      </c>
      <c r="EL46" s="40">
        <v>0.65</v>
      </c>
      <c r="EM46" s="40">
        <v>0.71</v>
      </c>
      <c r="EN46" s="40">
        <v>0.5</v>
      </c>
      <c r="EO46" s="40">
        <v>0.69</v>
      </c>
      <c r="EP46" s="40">
        <v>0.33</v>
      </c>
      <c r="EQ46" s="40">
        <v>0.42</v>
      </c>
      <c r="ER46" s="40">
        <v>0.67</v>
      </c>
      <c r="ES46" s="40">
        <v>0.41</v>
      </c>
      <c r="ET46" s="40">
        <v>0.53</v>
      </c>
      <c r="EU46" s="40">
        <v>0.67</v>
      </c>
      <c r="EV46" s="40">
        <v>0.25</v>
      </c>
      <c r="EW46" s="40">
        <v>0.55000000000000004</v>
      </c>
      <c r="EX46" s="40">
        <v>1</v>
      </c>
      <c r="EY46" s="40">
        <v>0.64</v>
      </c>
      <c r="EZ46" s="40">
        <v>0.67</v>
      </c>
      <c r="FA46" s="40">
        <v>0.64</v>
      </c>
      <c r="FB46" s="647">
        <v>49</v>
      </c>
      <c r="FC46" s="647" t="s">
        <v>758</v>
      </c>
      <c r="FD46" s="647">
        <v>9</v>
      </c>
      <c r="FE46" s="647" t="s">
        <v>758</v>
      </c>
      <c r="FF46" s="648">
        <v>0.19</v>
      </c>
      <c r="FG46" s="648">
        <v>0.52</v>
      </c>
      <c r="FH46" s="648">
        <v>0.28999999999999998</v>
      </c>
      <c r="FI46" s="648">
        <v>0</v>
      </c>
      <c r="FJ46" s="648">
        <v>0.55000000000000004</v>
      </c>
      <c r="FK46" s="648">
        <v>0.68</v>
      </c>
      <c r="FL46" s="648">
        <v>0.42</v>
      </c>
      <c r="FM46" s="648">
        <v>0.5</v>
      </c>
      <c r="FN46" s="648">
        <v>0.27</v>
      </c>
      <c r="FO46" s="648">
        <v>0.26</v>
      </c>
      <c r="FP46" s="648">
        <v>0.5</v>
      </c>
      <c r="FQ46" s="648">
        <v>0.41</v>
      </c>
      <c r="FR46" s="648">
        <v>0.6</v>
      </c>
      <c r="FS46" s="648">
        <v>0.48</v>
      </c>
      <c r="FT46" s="648">
        <v>0.5</v>
      </c>
      <c r="FU46" s="648">
        <v>0.5</v>
      </c>
      <c r="FV46" s="648">
        <v>0.56999999999999995</v>
      </c>
      <c r="FW46" s="648">
        <v>0.55000000000000004</v>
      </c>
      <c r="FX46" s="648">
        <v>0.39</v>
      </c>
      <c r="FY46" s="648">
        <v>0.38</v>
      </c>
      <c r="FZ46" s="648">
        <v>0.33</v>
      </c>
      <c r="GA46" s="648">
        <v>0.52</v>
      </c>
      <c r="GB46" s="648">
        <v>0.59</v>
      </c>
      <c r="GC46" s="648">
        <v>0.43</v>
      </c>
      <c r="GD46" s="648">
        <v>0.71</v>
      </c>
      <c r="GE46" s="648">
        <v>0.56999999999999995</v>
      </c>
      <c r="GF46" s="648">
        <v>0.37</v>
      </c>
      <c r="GG46" s="648">
        <v>0.38</v>
      </c>
      <c r="GH46" s="648">
        <v>0.6</v>
      </c>
      <c r="GI46" s="648">
        <v>0.33</v>
      </c>
      <c r="GJ46" s="74">
        <v>50</v>
      </c>
      <c r="GK46" s="74" t="s">
        <v>758</v>
      </c>
      <c r="GL46" s="74">
        <v>7</v>
      </c>
      <c r="GM46" s="74" t="s">
        <v>758</v>
      </c>
      <c r="GN46" s="96">
        <v>0.08</v>
      </c>
      <c r="GO46" s="96">
        <v>0.72</v>
      </c>
      <c r="GP46" s="96">
        <v>0.2</v>
      </c>
      <c r="GQ46" s="96">
        <v>0</v>
      </c>
      <c r="GR46" s="96">
        <v>0.49</v>
      </c>
      <c r="GS46" s="96">
        <v>0.66</v>
      </c>
      <c r="GT46" s="96">
        <v>0.56999999999999995</v>
      </c>
      <c r="GU46" s="96">
        <v>0.31</v>
      </c>
      <c r="GV46" s="96">
        <v>0.66</v>
      </c>
      <c r="GW46" s="96">
        <v>0.42</v>
      </c>
      <c r="GX46" s="96">
        <v>0.46</v>
      </c>
      <c r="GY46" s="74" t="s">
        <v>173</v>
      </c>
      <c r="GZ46" s="96">
        <v>0.32</v>
      </c>
      <c r="HA46" s="96">
        <v>0.6</v>
      </c>
      <c r="HB46" s="96">
        <v>0.52</v>
      </c>
      <c r="HC46" s="96">
        <v>0.46</v>
      </c>
      <c r="HD46" s="96">
        <v>0.62</v>
      </c>
      <c r="HE46" s="96">
        <v>0.38</v>
      </c>
      <c r="HF46" s="96">
        <v>0.56000000000000005</v>
      </c>
      <c r="HG46" s="96">
        <v>0.55000000000000004</v>
      </c>
      <c r="HH46" s="96">
        <v>0.38</v>
      </c>
      <c r="HI46" s="96">
        <v>0.68</v>
      </c>
      <c r="HJ46" s="96">
        <v>0.63</v>
      </c>
      <c r="HK46" s="96">
        <v>0.34</v>
      </c>
      <c r="HL46" s="96">
        <v>0.36</v>
      </c>
      <c r="HM46" s="96">
        <v>0.59</v>
      </c>
      <c r="HN46" s="96">
        <v>0.47</v>
      </c>
      <c r="HO46" s="96">
        <v>0.41</v>
      </c>
      <c r="HP46" s="74" t="s">
        <v>173</v>
      </c>
      <c r="HQ46" s="96">
        <v>0.43</v>
      </c>
      <c r="HR46" s="652">
        <v>51</v>
      </c>
      <c r="HS46" s="652" t="s">
        <v>758</v>
      </c>
      <c r="HT46" s="652">
        <v>8</v>
      </c>
      <c r="HU46" s="652" t="s">
        <v>758</v>
      </c>
      <c r="HV46" s="653">
        <v>0.11</v>
      </c>
      <c r="HW46" s="653">
        <v>0.61</v>
      </c>
      <c r="HX46" s="653">
        <v>0.28000000000000003</v>
      </c>
      <c r="HY46" s="653">
        <v>0</v>
      </c>
      <c r="HZ46" s="653">
        <v>0.27</v>
      </c>
      <c r="IA46" s="653">
        <v>0.49</v>
      </c>
      <c r="IB46" s="653">
        <v>0.13</v>
      </c>
      <c r="IC46" s="653">
        <v>0.47</v>
      </c>
      <c r="ID46" s="653">
        <v>0.61</v>
      </c>
      <c r="IE46" s="653">
        <v>0.36</v>
      </c>
      <c r="IF46" s="653">
        <v>0.49</v>
      </c>
      <c r="IG46" s="653">
        <v>0.55000000000000004</v>
      </c>
      <c r="IH46" s="653">
        <v>0.65</v>
      </c>
      <c r="II46" s="653">
        <v>0.56999999999999995</v>
      </c>
      <c r="IJ46" s="653">
        <v>0.24</v>
      </c>
      <c r="IK46" s="653">
        <v>0.66</v>
      </c>
      <c r="IL46" s="653">
        <v>0.21</v>
      </c>
      <c r="IM46" s="653">
        <v>0.64</v>
      </c>
      <c r="IN46" s="653">
        <v>0.41</v>
      </c>
      <c r="IO46" s="653">
        <v>0.53</v>
      </c>
      <c r="IP46" s="653">
        <v>0.48</v>
      </c>
      <c r="IQ46" s="653">
        <v>0.72</v>
      </c>
      <c r="IR46" s="653">
        <v>0.44</v>
      </c>
      <c r="IS46" s="653">
        <v>0.39</v>
      </c>
      <c r="IT46" s="653">
        <v>0.44</v>
      </c>
      <c r="IU46" s="652" t="s">
        <v>173</v>
      </c>
      <c r="IV46" s="653">
        <v>0.74</v>
      </c>
      <c r="IW46" s="653">
        <v>0.49</v>
      </c>
      <c r="IX46" s="653">
        <v>0.52</v>
      </c>
      <c r="IY46" s="653">
        <v>0.55000000000000004</v>
      </c>
      <c r="IZ46" s="74">
        <v>46</v>
      </c>
      <c r="JA46" s="74" t="s">
        <v>758</v>
      </c>
      <c r="JB46" s="74">
        <v>9</v>
      </c>
      <c r="JC46" s="74" t="s">
        <v>758</v>
      </c>
      <c r="JD46" s="96">
        <v>0.23</v>
      </c>
      <c r="JE46" s="96">
        <v>0.65</v>
      </c>
      <c r="JF46" s="96">
        <v>0.1</v>
      </c>
      <c r="JG46" s="96">
        <v>0.03</v>
      </c>
      <c r="JH46" s="96">
        <v>0.55000000000000004</v>
      </c>
      <c r="JI46" s="96">
        <v>0.59</v>
      </c>
      <c r="JJ46" s="96">
        <v>0.57999999999999996</v>
      </c>
      <c r="JK46" s="96">
        <v>0.52</v>
      </c>
      <c r="JL46" s="96">
        <v>0.6</v>
      </c>
      <c r="JM46" s="96">
        <v>0.68</v>
      </c>
      <c r="JN46" s="96">
        <v>0.44</v>
      </c>
      <c r="JO46" s="96">
        <v>0.6</v>
      </c>
      <c r="JP46" s="96">
        <v>0.6</v>
      </c>
      <c r="JQ46" s="96">
        <v>0.45</v>
      </c>
      <c r="JR46" s="96">
        <v>0.7</v>
      </c>
      <c r="JS46" s="96">
        <v>0.73</v>
      </c>
      <c r="JT46" s="96">
        <v>0.65</v>
      </c>
      <c r="JU46" s="96">
        <v>0.75</v>
      </c>
      <c r="JV46" s="96">
        <v>0.63</v>
      </c>
      <c r="JW46" s="96">
        <v>0.56000000000000005</v>
      </c>
      <c r="JX46" s="96">
        <v>0.48</v>
      </c>
      <c r="JY46" s="96">
        <v>0.55000000000000004</v>
      </c>
      <c r="JZ46" s="96">
        <v>0.55000000000000004</v>
      </c>
      <c r="KA46" s="96">
        <v>0.71</v>
      </c>
      <c r="KB46" s="96">
        <v>0.6</v>
      </c>
      <c r="KC46" s="96">
        <v>0.76</v>
      </c>
      <c r="KD46" s="96">
        <v>0.44</v>
      </c>
      <c r="KE46" s="96">
        <v>0.64</v>
      </c>
      <c r="KF46" s="96">
        <v>0.49</v>
      </c>
      <c r="KG46" s="96">
        <v>0.59</v>
      </c>
      <c r="KH46" s="971">
        <v>53</v>
      </c>
      <c r="KI46" s="971" t="s">
        <v>758</v>
      </c>
      <c r="KJ46" s="971">
        <v>9</v>
      </c>
      <c r="KK46" s="971" t="s">
        <v>758</v>
      </c>
      <c r="KL46" s="949">
        <v>0.11</v>
      </c>
      <c r="KM46" s="949">
        <v>0.5</v>
      </c>
      <c r="KN46" s="949">
        <v>0.39</v>
      </c>
      <c r="KO46" s="949">
        <v>0</v>
      </c>
      <c r="KP46" s="949">
        <v>0.43</v>
      </c>
      <c r="KQ46" s="949">
        <v>0.12</v>
      </c>
      <c r="KR46" s="949">
        <v>0.6</v>
      </c>
      <c r="KS46" s="949">
        <v>0.47</v>
      </c>
      <c r="KT46" s="949">
        <v>0.53</v>
      </c>
      <c r="KU46" s="949">
        <v>0.42</v>
      </c>
      <c r="KV46" s="949">
        <v>0.72</v>
      </c>
      <c r="KW46" s="949">
        <v>0.34</v>
      </c>
      <c r="KX46" s="949">
        <v>0.26</v>
      </c>
      <c r="KY46" s="949">
        <v>0.56000000000000005</v>
      </c>
      <c r="KZ46" s="949">
        <v>0.36</v>
      </c>
      <c r="LA46" s="949">
        <v>0.33</v>
      </c>
      <c r="LB46" s="949">
        <v>0.35</v>
      </c>
      <c r="LC46" s="949">
        <v>0.47</v>
      </c>
      <c r="LD46" s="949">
        <v>0.46</v>
      </c>
      <c r="LE46" s="949">
        <v>0.38</v>
      </c>
      <c r="LF46" s="949">
        <v>0.34</v>
      </c>
      <c r="LG46" s="949">
        <v>0.54</v>
      </c>
      <c r="LH46" s="949">
        <v>0.6</v>
      </c>
      <c r="LI46" s="949">
        <v>0.43</v>
      </c>
      <c r="LJ46" s="949">
        <v>0.37</v>
      </c>
      <c r="LK46" s="949">
        <v>0.55000000000000004</v>
      </c>
      <c r="LL46" s="949" t="s">
        <v>173</v>
      </c>
      <c r="LM46" s="949">
        <v>0.5</v>
      </c>
      <c r="LN46" s="949">
        <v>0.93</v>
      </c>
      <c r="LO46" s="949">
        <v>0.33</v>
      </c>
      <c r="LP46" s="922">
        <v>325754004513</v>
      </c>
      <c r="LQ46" s="126" t="s">
        <v>40</v>
      </c>
      <c r="LR46" s="652">
        <v>51</v>
      </c>
      <c r="LS46" s="971">
        <v>53</v>
      </c>
      <c r="LT46" s="946"/>
    </row>
    <row r="47" spans="1:332" ht="24.95" customHeight="1" x14ac:dyDescent="0.2">
      <c r="A47" s="555" t="s">
        <v>31</v>
      </c>
      <c r="B47" s="1" t="s">
        <v>123</v>
      </c>
      <c r="C47" s="309">
        <v>1</v>
      </c>
      <c r="D47" s="328">
        <v>49</v>
      </c>
      <c r="E47" s="328">
        <v>8</v>
      </c>
      <c r="F47" s="333">
        <v>0.2</v>
      </c>
      <c r="G47" s="333">
        <v>0.6</v>
      </c>
      <c r="H47" s="333">
        <v>0.2</v>
      </c>
      <c r="I47" s="333">
        <v>0</v>
      </c>
      <c r="J47" s="333">
        <v>0.57999999999999996</v>
      </c>
      <c r="K47" s="333">
        <v>0.6</v>
      </c>
      <c r="L47" s="333">
        <v>0.79</v>
      </c>
      <c r="M47" s="333">
        <v>0.28999999999999998</v>
      </c>
      <c r="N47" s="333">
        <v>0.39</v>
      </c>
      <c r="O47" s="333">
        <v>0.78</v>
      </c>
      <c r="P47" s="333">
        <v>0.38</v>
      </c>
      <c r="Q47" s="333">
        <v>0.49</v>
      </c>
      <c r="R47" s="333">
        <v>0.61</v>
      </c>
      <c r="S47" s="333">
        <v>0.72</v>
      </c>
      <c r="T47" s="333">
        <v>0.46</v>
      </c>
      <c r="U47" s="333">
        <v>0.65</v>
      </c>
      <c r="V47" s="333">
        <v>0.13</v>
      </c>
      <c r="W47" s="333">
        <v>0.06</v>
      </c>
      <c r="X47" s="333">
        <v>0.49</v>
      </c>
      <c r="Y47" s="333">
        <v>0.6</v>
      </c>
      <c r="Z47" s="328" t="s">
        <v>173</v>
      </c>
      <c r="AA47" s="333">
        <v>0.27</v>
      </c>
      <c r="AB47" s="333">
        <v>0.53</v>
      </c>
      <c r="AC47" s="333">
        <v>0.3</v>
      </c>
      <c r="AD47" s="333">
        <v>0.6</v>
      </c>
      <c r="AE47" s="333">
        <v>0.5</v>
      </c>
      <c r="AF47" s="333">
        <v>0.75</v>
      </c>
      <c r="AG47" s="333">
        <v>0.56000000000000005</v>
      </c>
      <c r="AH47" s="328" t="s">
        <v>126</v>
      </c>
      <c r="AI47" s="328" t="s">
        <v>126</v>
      </c>
      <c r="AJ47" s="331"/>
      <c r="AK47" s="331"/>
      <c r="AL47" s="331"/>
      <c r="AM47" s="331"/>
      <c r="AN47" s="331"/>
      <c r="AO47" s="331"/>
      <c r="AP47" s="331"/>
      <c r="AQ47" s="331"/>
      <c r="AR47" s="331"/>
      <c r="AS47" s="331"/>
      <c r="AT47" s="331"/>
      <c r="AU47" s="331"/>
      <c r="AV47" s="331"/>
      <c r="AW47" s="331"/>
      <c r="AX47" s="331"/>
      <c r="AY47" s="331"/>
      <c r="AZ47" s="331"/>
      <c r="BA47" s="331"/>
      <c r="BB47" s="331"/>
      <c r="BC47" s="331"/>
      <c r="BD47" s="331"/>
      <c r="BE47" s="331"/>
      <c r="BF47" s="331"/>
      <c r="BG47" s="331"/>
      <c r="BH47" s="331"/>
      <c r="BI47" s="331"/>
      <c r="BJ47" s="331"/>
      <c r="BK47" s="331"/>
      <c r="BL47" s="331"/>
      <c r="BM47" s="328" t="s">
        <v>126</v>
      </c>
      <c r="BN47" s="328" t="s">
        <v>126</v>
      </c>
      <c r="BO47" s="328"/>
      <c r="BP47" s="328"/>
      <c r="BQ47" s="328"/>
      <c r="BR47" s="328"/>
      <c r="BS47" s="328"/>
      <c r="BT47" s="328"/>
      <c r="BU47" s="328"/>
      <c r="BV47" s="328"/>
      <c r="BW47" s="328"/>
      <c r="BX47" s="328"/>
      <c r="BY47" s="328"/>
      <c r="BZ47" s="328"/>
      <c r="CA47" s="328"/>
      <c r="CB47" s="328"/>
      <c r="CC47" s="328"/>
      <c r="CD47" s="328"/>
      <c r="CE47" s="328"/>
      <c r="CF47" s="328"/>
      <c r="CG47" s="328"/>
      <c r="CH47" s="328"/>
      <c r="CI47" s="328"/>
      <c r="CJ47" s="328"/>
      <c r="CK47" s="328"/>
      <c r="CL47" s="328"/>
      <c r="CM47" s="328"/>
      <c r="CN47" s="328"/>
      <c r="CO47" s="328"/>
      <c r="CP47" s="328"/>
      <c r="CQ47" s="328"/>
      <c r="CR47" s="328"/>
      <c r="CS47" s="328" t="s">
        <v>126</v>
      </c>
      <c r="CT47" s="328" t="s">
        <v>126</v>
      </c>
      <c r="CU47" s="309"/>
      <c r="CV47" s="309"/>
      <c r="CW47" s="309"/>
      <c r="CX47" s="309"/>
      <c r="CY47" s="309"/>
      <c r="CZ47" s="309"/>
      <c r="DA47" s="309"/>
      <c r="DB47" s="309"/>
      <c r="DC47" s="309"/>
      <c r="DD47" s="309"/>
      <c r="DE47" s="309"/>
      <c r="DF47" s="309"/>
      <c r="DG47" s="309"/>
      <c r="DH47" s="309"/>
      <c r="DI47" s="309"/>
      <c r="DJ47" s="309"/>
      <c r="DK47" s="309"/>
      <c r="DL47" s="309"/>
      <c r="DM47" s="309"/>
      <c r="DN47" s="309"/>
      <c r="DO47" s="309"/>
      <c r="DP47" s="309"/>
      <c r="DQ47" s="309"/>
      <c r="DR47" s="309"/>
      <c r="DS47" s="309"/>
      <c r="DT47" s="309"/>
      <c r="DU47" s="309"/>
      <c r="DV47" s="309"/>
      <c r="DW47" s="309"/>
      <c r="DX47" s="311"/>
      <c r="DY47" s="311"/>
      <c r="DZ47" s="331"/>
      <c r="EA47" s="331"/>
      <c r="EB47" s="331"/>
      <c r="EC47" s="331"/>
      <c r="ED47" s="331"/>
      <c r="EE47" s="331"/>
      <c r="EF47" s="331"/>
      <c r="EG47" s="331"/>
      <c r="EH47" s="331"/>
      <c r="EI47" s="331"/>
      <c r="EJ47" s="331"/>
      <c r="EK47" s="331"/>
      <c r="EL47" s="331"/>
      <c r="EM47" s="331"/>
      <c r="EN47" s="331"/>
      <c r="EO47" s="331"/>
      <c r="EP47" s="331"/>
      <c r="EQ47" s="331"/>
      <c r="ER47" s="331"/>
      <c r="ES47" s="331"/>
      <c r="ET47" s="331"/>
      <c r="EU47" s="331"/>
      <c r="EV47" s="331"/>
      <c r="EW47" s="331"/>
      <c r="EX47" s="331"/>
      <c r="EY47" s="331"/>
      <c r="EZ47" s="331"/>
      <c r="FA47" s="331"/>
      <c r="GJ47" s="649"/>
      <c r="GK47" s="649"/>
      <c r="GL47" s="649"/>
      <c r="GM47" s="649"/>
      <c r="GN47" s="649"/>
      <c r="GO47" s="649"/>
      <c r="GP47" s="649"/>
      <c r="GQ47" s="649"/>
      <c r="GR47" s="649"/>
      <c r="GS47" s="649"/>
      <c r="GT47" s="649"/>
      <c r="GU47" s="649"/>
      <c r="GV47" s="649"/>
      <c r="GW47" s="649"/>
      <c r="GX47" s="649"/>
      <c r="GY47" s="649"/>
      <c r="GZ47" s="649"/>
      <c r="HA47" s="649"/>
      <c r="HB47" s="649"/>
      <c r="HC47" s="649"/>
      <c r="HD47" s="649"/>
      <c r="HE47" s="649"/>
      <c r="HF47" s="649"/>
      <c r="HG47" s="649"/>
      <c r="HH47" s="649"/>
      <c r="HI47" s="649"/>
      <c r="HJ47" s="649"/>
      <c r="HK47" s="649"/>
      <c r="HL47" s="649"/>
      <c r="HM47" s="649"/>
      <c r="HN47" s="649"/>
      <c r="HO47" s="649"/>
      <c r="HP47" s="649"/>
      <c r="HQ47" s="649"/>
      <c r="HR47" s="651"/>
      <c r="HS47" s="651"/>
      <c r="HT47" s="651"/>
      <c r="HU47" s="651"/>
      <c r="HV47" s="651"/>
      <c r="HW47" s="651"/>
      <c r="HX47" s="651"/>
      <c r="HY47" s="651"/>
      <c r="HZ47" s="651"/>
      <c r="IA47" s="651"/>
      <c r="IB47" s="651"/>
      <c r="IC47" s="651"/>
      <c r="ID47" s="651"/>
      <c r="IE47" s="651"/>
      <c r="IF47" s="651"/>
      <c r="IG47" s="651"/>
      <c r="IH47" s="651"/>
      <c r="II47" s="651"/>
      <c r="IJ47" s="651"/>
      <c r="IK47" s="651"/>
      <c r="IL47" s="651"/>
      <c r="IM47" s="651"/>
      <c r="IN47" s="651"/>
      <c r="IO47" s="651"/>
      <c r="IP47" s="651"/>
      <c r="IQ47" s="651"/>
      <c r="IR47" s="651"/>
      <c r="IS47" s="651"/>
      <c r="IT47" s="651"/>
      <c r="IU47" s="651"/>
      <c r="IV47" s="651"/>
      <c r="IW47" s="651"/>
      <c r="IX47" s="651"/>
      <c r="IY47" s="651"/>
      <c r="IZ47" s="651"/>
      <c r="JA47" s="651"/>
      <c r="JB47" s="651"/>
      <c r="JC47" s="651"/>
      <c r="JD47" s="651"/>
      <c r="JE47" s="651"/>
      <c r="JF47" s="651"/>
      <c r="JG47" s="651"/>
      <c r="JH47" s="651"/>
      <c r="JI47" s="651"/>
      <c r="JJ47" s="651"/>
      <c r="JK47" s="651"/>
      <c r="JL47" s="651"/>
      <c r="JM47" s="651"/>
      <c r="JN47" s="651"/>
      <c r="JO47" s="651"/>
      <c r="JP47" s="651"/>
      <c r="JQ47" s="651"/>
      <c r="JR47" s="651"/>
      <c r="JS47" s="651"/>
      <c r="JT47" s="651"/>
      <c r="JU47" s="651"/>
      <c r="JV47" s="651"/>
      <c r="JW47" s="651"/>
      <c r="JX47" s="651"/>
      <c r="JY47" s="651"/>
      <c r="JZ47" s="651"/>
      <c r="KA47" s="651"/>
      <c r="KB47" s="651"/>
      <c r="KC47" s="651"/>
      <c r="KD47" s="651"/>
      <c r="KE47" s="651"/>
      <c r="KF47" s="651"/>
      <c r="KG47" s="651"/>
      <c r="KH47" s="971"/>
      <c r="KI47" s="971"/>
      <c r="KJ47" s="971"/>
      <c r="KK47" s="971"/>
      <c r="KL47" s="949"/>
      <c r="KM47" s="949"/>
      <c r="KN47" s="949"/>
      <c r="KO47" s="949"/>
      <c r="KP47" s="949"/>
      <c r="KQ47" s="949"/>
      <c r="KR47" s="949"/>
      <c r="KS47" s="949"/>
      <c r="KT47" s="949"/>
      <c r="KU47" s="949"/>
      <c r="KV47" s="949"/>
      <c r="KW47" s="949"/>
      <c r="KX47" s="949"/>
      <c r="KY47" s="949"/>
      <c r="KZ47" s="949"/>
      <c r="LA47" s="949"/>
      <c r="LB47" s="949"/>
      <c r="LC47" s="949"/>
      <c r="LD47" s="949"/>
      <c r="LE47" s="949"/>
      <c r="LF47" s="949"/>
      <c r="LG47" s="949"/>
      <c r="LH47" s="949"/>
      <c r="LI47" s="949"/>
      <c r="LJ47" s="949"/>
      <c r="LK47" s="949"/>
      <c r="LL47" s="949" t="s">
        <v>173</v>
      </c>
      <c r="LM47" s="949"/>
      <c r="LN47" s="949"/>
      <c r="LO47" s="949"/>
      <c r="LP47" s="922"/>
      <c r="LQ47" s="555" t="s">
        <v>31</v>
      </c>
      <c r="LR47" s="651"/>
      <c r="LS47" s="971"/>
      <c r="LT47" s="946"/>
    </row>
    <row r="48" spans="1:332" ht="24.95" customHeight="1" x14ac:dyDescent="0.2">
      <c r="A48" s="126" t="s">
        <v>43</v>
      </c>
      <c r="B48" s="1" t="s">
        <v>123</v>
      </c>
      <c r="C48" s="2">
        <v>2</v>
      </c>
      <c r="D48" s="12">
        <v>48</v>
      </c>
      <c r="E48" s="12">
        <v>7</v>
      </c>
      <c r="F48" s="66">
        <v>0.17</v>
      </c>
      <c r="G48" s="66">
        <v>0.75</v>
      </c>
      <c r="H48" s="66">
        <v>0.08</v>
      </c>
      <c r="I48" s="66">
        <v>0</v>
      </c>
      <c r="J48" s="66">
        <v>0.75</v>
      </c>
      <c r="K48" s="66">
        <v>0.5</v>
      </c>
      <c r="L48" s="66">
        <v>0.79</v>
      </c>
      <c r="M48" s="66">
        <v>0.5</v>
      </c>
      <c r="N48" s="66">
        <v>0.33</v>
      </c>
      <c r="O48" s="66">
        <v>0.78</v>
      </c>
      <c r="P48" s="66">
        <v>0.46</v>
      </c>
      <c r="Q48" s="66">
        <v>0.48</v>
      </c>
      <c r="R48" s="66">
        <v>0.67</v>
      </c>
      <c r="S48" s="66">
        <v>0.57999999999999996</v>
      </c>
      <c r="T48" s="66">
        <v>0.33</v>
      </c>
      <c r="U48" s="66">
        <v>0.83</v>
      </c>
      <c r="V48" s="66">
        <v>0.33</v>
      </c>
      <c r="W48" s="66">
        <v>0.33</v>
      </c>
      <c r="X48" s="66">
        <v>0.67</v>
      </c>
      <c r="Y48" s="66">
        <v>0.67</v>
      </c>
      <c r="Z48" s="12" t="s">
        <v>173</v>
      </c>
      <c r="AA48" s="66">
        <v>0.08</v>
      </c>
      <c r="AB48" s="66">
        <v>0.64</v>
      </c>
      <c r="AC48" s="66">
        <v>0.33</v>
      </c>
      <c r="AD48" s="66">
        <v>0.57999999999999996</v>
      </c>
      <c r="AE48" s="66">
        <v>0.57999999999999996</v>
      </c>
      <c r="AF48" s="66">
        <v>0.46</v>
      </c>
      <c r="AG48" s="66">
        <v>0.57999999999999996</v>
      </c>
      <c r="AH48" s="12" t="s">
        <v>126</v>
      </c>
      <c r="AI48" s="12" t="s">
        <v>126</v>
      </c>
      <c r="AJ48" s="40"/>
      <c r="AK48" s="40"/>
      <c r="AL48" s="40"/>
      <c r="AM48" s="40"/>
      <c r="AN48" s="40"/>
      <c r="AO48" s="40"/>
      <c r="AP48" s="40"/>
      <c r="AQ48" s="40"/>
      <c r="AR48" s="40"/>
      <c r="AS48" s="40"/>
      <c r="AT48" s="40"/>
      <c r="AU48" s="40"/>
      <c r="AV48" s="40"/>
      <c r="AW48" s="40"/>
      <c r="AX48" s="40"/>
      <c r="AY48" s="40"/>
      <c r="AZ48" s="40"/>
      <c r="BA48" s="40"/>
      <c r="BB48" s="40"/>
      <c r="BC48" s="40"/>
      <c r="BD48" s="40"/>
      <c r="BE48" s="40"/>
      <c r="BF48" s="40"/>
      <c r="BG48" s="40"/>
      <c r="BH48" s="40"/>
      <c r="BI48" s="40"/>
      <c r="BJ48" s="40"/>
      <c r="BK48" s="40"/>
      <c r="BL48" s="40"/>
      <c r="BM48" s="12">
        <v>44</v>
      </c>
      <c r="BN48" s="12">
        <v>5</v>
      </c>
      <c r="BO48" s="66">
        <v>0.28999999999999998</v>
      </c>
      <c r="BP48" s="66">
        <v>0.71</v>
      </c>
      <c r="BQ48" s="66">
        <v>0</v>
      </c>
      <c r="BR48" s="66">
        <v>0</v>
      </c>
      <c r="BS48" s="66">
        <v>0.6</v>
      </c>
      <c r="BT48" s="66">
        <v>0.75</v>
      </c>
      <c r="BU48" s="66">
        <v>0.5</v>
      </c>
      <c r="BV48" s="66">
        <v>0.25</v>
      </c>
      <c r="BW48" s="66">
        <v>0.92</v>
      </c>
      <c r="BX48" s="66">
        <v>0.6</v>
      </c>
      <c r="BY48" s="66">
        <v>0.56999999999999995</v>
      </c>
      <c r="BZ48" s="66">
        <v>0.73</v>
      </c>
      <c r="CA48" s="66">
        <v>0.25</v>
      </c>
      <c r="CB48" s="66">
        <v>0.75</v>
      </c>
      <c r="CC48" s="66">
        <v>0.33</v>
      </c>
      <c r="CD48" s="66">
        <v>0.69</v>
      </c>
      <c r="CE48" s="66">
        <v>0.43</v>
      </c>
      <c r="CF48" s="66">
        <v>0.33</v>
      </c>
      <c r="CG48" s="66">
        <v>0.7</v>
      </c>
      <c r="CH48" s="66">
        <v>0.68</v>
      </c>
      <c r="CI48" s="66">
        <v>0.72</v>
      </c>
      <c r="CJ48" s="66">
        <v>0.83</v>
      </c>
      <c r="CK48" s="66">
        <v>0.77</v>
      </c>
      <c r="CL48" s="66">
        <v>0.43</v>
      </c>
      <c r="CM48" s="66">
        <v>0.5</v>
      </c>
      <c r="CN48" s="66">
        <v>0.7</v>
      </c>
      <c r="CO48" s="66">
        <v>0.5</v>
      </c>
      <c r="CP48" s="66">
        <v>0.23</v>
      </c>
      <c r="CQ48" s="66">
        <v>0.57999999999999996</v>
      </c>
      <c r="CR48" s="66">
        <v>0.79</v>
      </c>
      <c r="CS48" s="12">
        <v>48</v>
      </c>
      <c r="CT48" s="12">
        <v>6</v>
      </c>
      <c r="CU48" s="63">
        <v>0.08</v>
      </c>
      <c r="CV48" s="63">
        <v>0.77</v>
      </c>
      <c r="CW48" s="63">
        <v>0.15</v>
      </c>
      <c r="CX48" s="63">
        <v>0</v>
      </c>
      <c r="CY48" s="63">
        <v>0.53</v>
      </c>
      <c r="CZ48" s="63">
        <v>0.25</v>
      </c>
      <c r="DA48" s="63">
        <v>0.67</v>
      </c>
      <c r="DB48" s="63">
        <v>0.48</v>
      </c>
      <c r="DC48" s="63">
        <v>0.48</v>
      </c>
      <c r="DD48" s="63">
        <v>0.6</v>
      </c>
      <c r="DE48" s="63">
        <v>0.46</v>
      </c>
      <c r="DF48" s="63">
        <v>0.48</v>
      </c>
      <c r="DG48" s="63">
        <v>0.39</v>
      </c>
      <c r="DH48" s="63">
        <v>0.42</v>
      </c>
      <c r="DI48" s="63">
        <v>0.48</v>
      </c>
      <c r="DJ48" s="63">
        <v>0.72</v>
      </c>
      <c r="DK48" s="63">
        <v>0.52</v>
      </c>
      <c r="DL48" s="63">
        <v>0</v>
      </c>
      <c r="DM48" s="63">
        <v>0.68</v>
      </c>
      <c r="DN48" s="63">
        <v>0.52</v>
      </c>
      <c r="DO48" s="63">
        <v>0.31</v>
      </c>
      <c r="DP48" s="63">
        <v>0.52</v>
      </c>
      <c r="DQ48" s="63">
        <v>0.56000000000000005</v>
      </c>
      <c r="DR48" s="63">
        <v>0.21</v>
      </c>
      <c r="DS48" s="63">
        <v>0.46</v>
      </c>
      <c r="DT48" s="63">
        <v>0.78</v>
      </c>
      <c r="DU48" s="63">
        <v>0.5</v>
      </c>
      <c r="DV48" s="63">
        <v>0.48</v>
      </c>
      <c r="DW48" s="63">
        <v>0.18</v>
      </c>
      <c r="DX48" s="35">
        <v>51</v>
      </c>
      <c r="DY48" s="35">
        <v>5</v>
      </c>
      <c r="DZ48" s="40">
        <v>0</v>
      </c>
      <c r="EA48" s="40">
        <v>0.83</v>
      </c>
      <c r="EB48" s="40">
        <v>0.17</v>
      </c>
      <c r="EC48" s="40">
        <v>0</v>
      </c>
      <c r="ED48" s="40">
        <v>0.42</v>
      </c>
      <c r="EE48" s="40">
        <v>0.44</v>
      </c>
      <c r="EF48" s="40">
        <v>0.5</v>
      </c>
      <c r="EG48" s="40">
        <v>0.33</v>
      </c>
      <c r="EH48" s="40">
        <v>0.4</v>
      </c>
      <c r="EI48" s="40">
        <v>0.33</v>
      </c>
      <c r="EJ48" s="40">
        <v>0.64</v>
      </c>
      <c r="EK48" s="40">
        <v>0.2</v>
      </c>
      <c r="EL48" s="40">
        <v>0.42</v>
      </c>
      <c r="EM48" s="40">
        <v>0.86</v>
      </c>
      <c r="EN48" s="40">
        <v>0.54</v>
      </c>
      <c r="EO48" s="40">
        <v>0.47</v>
      </c>
      <c r="EP48" s="40">
        <v>0.36</v>
      </c>
      <c r="EQ48" s="40">
        <v>0.17</v>
      </c>
      <c r="ER48" s="40">
        <v>0.45</v>
      </c>
      <c r="ES48" s="40">
        <v>0.3</v>
      </c>
      <c r="ET48" s="40">
        <v>0.56999999999999995</v>
      </c>
      <c r="EU48" s="40">
        <v>0.6</v>
      </c>
      <c r="EV48" s="40">
        <v>0.25</v>
      </c>
      <c r="EW48" s="40">
        <v>0.11</v>
      </c>
      <c r="EX48" s="40">
        <v>0.33</v>
      </c>
      <c r="EY48" s="40">
        <v>0.56999999999999995</v>
      </c>
      <c r="EZ48" s="40">
        <v>0</v>
      </c>
      <c r="FA48" s="40">
        <v>0.67</v>
      </c>
      <c r="FB48" s="246">
        <v>46</v>
      </c>
      <c r="FC48" s="246" t="s">
        <v>758</v>
      </c>
      <c r="FD48" s="246">
        <v>10</v>
      </c>
      <c r="FE48" s="246" t="s">
        <v>758</v>
      </c>
      <c r="FF48" s="263">
        <v>0.33</v>
      </c>
      <c r="FG48" s="263">
        <v>0.5</v>
      </c>
      <c r="FH48" s="263">
        <v>0.17</v>
      </c>
      <c r="FI48" s="263">
        <v>0</v>
      </c>
      <c r="FJ48" s="263">
        <v>0.57999999999999996</v>
      </c>
      <c r="FK48" s="263">
        <v>0.61</v>
      </c>
      <c r="FL48" s="263">
        <v>0.6</v>
      </c>
      <c r="FM48" s="263">
        <v>0.64</v>
      </c>
      <c r="FN48" s="263">
        <v>0.38</v>
      </c>
      <c r="FO48" s="263">
        <v>0.33</v>
      </c>
      <c r="FP48" s="263">
        <v>0.41</v>
      </c>
      <c r="FQ48" s="263">
        <v>0.33</v>
      </c>
      <c r="FR48" s="263">
        <v>0.64</v>
      </c>
      <c r="FS48" s="263">
        <v>0.65</v>
      </c>
      <c r="FT48" s="263">
        <v>0.5</v>
      </c>
      <c r="FU48" s="263">
        <v>0.5</v>
      </c>
      <c r="FV48" s="263">
        <v>0.59</v>
      </c>
      <c r="FW48" s="263">
        <v>0.54</v>
      </c>
      <c r="FX48" s="263">
        <v>0.61</v>
      </c>
      <c r="FY48" s="263">
        <v>0.52</v>
      </c>
      <c r="FZ48" s="263">
        <v>0.59</v>
      </c>
      <c r="GA48" s="263">
        <v>0.44</v>
      </c>
      <c r="GB48" s="263">
        <v>0.64</v>
      </c>
      <c r="GC48" s="263">
        <v>0.59</v>
      </c>
      <c r="GD48" s="263">
        <v>0.61</v>
      </c>
      <c r="GE48" s="263">
        <v>0.48</v>
      </c>
      <c r="GF48" s="263">
        <v>0.42</v>
      </c>
      <c r="GG48" s="263">
        <v>0.55000000000000004</v>
      </c>
      <c r="GH48" s="263">
        <v>0.79</v>
      </c>
      <c r="GI48" s="263">
        <v>0.45</v>
      </c>
      <c r="GJ48" s="649"/>
      <c r="GK48" s="649"/>
      <c r="GL48" s="649"/>
      <c r="GM48" s="649"/>
      <c r="GN48" s="649"/>
      <c r="GO48" s="649"/>
      <c r="GP48" s="649"/>
      <c r="GQ48" s="649"/>
      <c r="GR48" s="649"/>
      <c r="GS48" s="649"/>
      <c r="GT48" s="649"/>
      <c r="GU48" s="649"/>
      <c r="GV48" s="649"/>
      <c r="GW48" s="649"/>
      <c r="GX48" s="649"/>
      <c r="GY48" s="649"/>
      <c r="GZ48" s="649"/>
      <c r="HA48" s="649"/>
      <c r="HB48" s="649"/>
      <c r="HC48" s="649"/>
      <c r="HD48" s="649"/>
      <c r="HE48" s="649"/>
      <c r="HF48" s="649"/>
      <c r="HG48" s="649"/>
      <c r="HH48" s="649"/>
      <c r="HI48" s="649"/>
      <c r="HJ48" s="649"/>
      <c r="HK48" s="649"/>
      <c r="HL48" s="649"/>
      <c r="HM48" s="649"/>
      <c r="HN48" s="649"/>
      <c r="HO48" s="649"/>
      <c r="HP48" s="649"/>
      <c r="HQ48" s="649"/>
      <c r="HR48" s="424">
        <v>52</v>
      </c>
      <c r="HS48" s="424" t="s">
        <v>758</v>
      </c>
      <c r="HT48" s="424">
        <v>8</v>
      </c>
      <c r="HU48" s="424" t="s">
        <v>758</v>
      </c>
      <c r="HV48" s="428">
        <v>0</v>
      </c>
      <c r="HW48" s="428">
        <v>0.71</v>
      </c>
      <c r="HX48" s="428">
        <v>0.28999999999999998</v>
      </c>
      <c r="HY48" s="428">
        <v>0</v>
      </c>
      <c r="HZ48" s="428">
        <v>0.36</v>
      </c>
      <c r="IA48" s="428">
        <v>0.56000000000000005</v>
      </c>
      <c r="IB48" s="428">
        <v>0.17</v>
      </c>
      <c r="IC48" s="428">
        <v>0.41</v>
      </c>
      <c r="ID48" s="428">
        <v>0.59</v>
      </c>
      <c r="IE48" s="428">
        <v>0.21</v>
      </c>
      <c r="IF48" s="428">
        <v>0.38</v>
      </c>
      <c r="IG48" s="428">
        <v>0.64</v>
      </c>
      <c r="IH48" s="428">
        <v>0.47</v>
      </c>
      <c r="II48" s="428">
        <v>0.5</v>
      </c>
      <c r="IJ48" s="428">
        <v>0.26</v>
      </c>
      <c r="IK48" s="428">
        <v>0.56000000000000005</v>
      </c>
      <c r="IL48" s="428">
        <v>0.5</v>
      </c>
      <c r="IM48" s="428">
        <v>0.52</v>
      </c>
      <c r="IN48" s="428">
        <v>0.46</v>
      </c>
      <c r="IO48" s="428">
        <v>0.6</v>
      </c>
      <c r="IP48" s="428">
        <v>0.75</v>
      </c>
      <c r="IQ48" s="428">
        <v>0.76</v>
      </c>
      <c r="IR48" s="428">
        <v>0.45</v>
      </c>
      <c r="IS48" s="428">
        <v>0.45</v>
      </c>
      <c r="IT48" s="428">
        <v>0.33</v>
      </c>
      <c r="IU48" s="424" t="s">
        <v>173</v>
      </c>
      <c r="IV48" s="428">
        <v>0.59</v>
      </c>
      <c r="IW48" s="428">
        <v>0.43</v>
      </c>
      <c r="IX48" s="428">
        <v>0.6</v>
      </c>
      <c r="IY48" s="428">
        <v>0.76</v>
      </c>
      <c r="IZ48" s="464">
        <v>55</v>
      </c>
      <c r="JA48" s="464" t="s">
        <v>758</v>
      </c>
      <c r="JB48" s="464">
        <v>11</v>
      </c>
      <c r="JC48" s="464" t="s">
        <v>758</v>
      </c>
      <c r="JD48" s="476">
        <v>0.08</v>
      </c>
      <c r="JE48" s="476">
        <v>0.54</v>
      </c>
      <c r="JF48" s="476">
        <v>0.31</v>
      </c>
      <c r="JG48" s="476">
        <v>0.08</v>
      </c>
      <c r="JH48" s="476">
        <v>0.5</v>
      </c>
      <c r="JI48" s="476">
        <v>0.43</v>
      </c>
      <c r="JJ48" s="476">
        <v>0.26</v>
      </c>
      <c r="JK48" s="476">
        <v>0.32</v>
      </c>
      <c r="JL48" s="476">
        <v>0.26</v>
      </c>
      <c r="JM48" s="476">
        <v>0.45</v>
      </c>
      <c r="JN48" s="476">
        <v>0.47</v>
      </c>
      <c r="JO48" s="476">
        <v>0.41</v>
      </c>
      <c r="JP48" s="476">
        <v>0.43</v>
      </c>
      <c r="JQ48" s="476">
        <v>0.25</v>
      </c>
      <c r="JR48" s="476">
        <v>0.44</v>
      </c>
      <c r="JS48" s="476">
        <v>0.43</v>
      </c>
      <c r="JT48" s="476">
        <v>0.65</v>
      </c>
      <c r="JU48" s="476">
        <v>0.41</v>
      </c>
      <c r="JV48" s="476">
        <v>0.33</v>
      </c>
      <c r="JW48" s="476">
        <v>0.41</v>
      </c>
      <c r="JX48" s="476">
        <v>0.31</v>
      </c>
      <c r="JY48" s="476">
        <v>0.53</v>
      </c>
      <c r="JZ48" s="476">
        <v>0.59</v>
      </c>
      <c r="KA48" s="476">
        <v>0.28999999999999998</v>
      </c>
      <c r="KB48" s="476">
        <v>0.37</v>
      </c>
      <c r="KC48" s="476">
        <v>0.36</v>
      </c>
      <c r="KD48" s="476">
        <v>0.2</v>
      </c>
      <c r="KE48" s="476">
        <v>0.61</v>
      </c>
      <c r="KF48" s="476">
        <v>0.32</v>
      </c>
      <c r="KG48" s="476">
        <v>0.33</v>
      </c>
      <c r="KH48" s="971">
        <v>46</v>
      </c>
      <c r="KI48" s="971" t="s">
        <v>758</v>
      </c>
      <c r="KJ48" s="971">
        <v>5</v>
      </c>
      <c r="KK48" s="971" t="s">
        <v>760</v>
      </c>
      <c r="KL48" s="949">
        <v>0.14000000000000001</v>
      </c>
      <c r="KM48" s="949">
        <v>0.86</v>
      </c>
      <c r="KN48" s="949">
        <v>0</v>
      </c>
      <c r="KO48" s="949">
        <v>0</v>
      </c>
      <c r="KP48" s="949">
        <v>0.6</v>
      </c>
      <c r="KQ48" s="949">
        <v>0.18</v>
      </c>
      <c r="KR48" s="949">
        <v>0.88</v>
      </c>
      <c r="KS48" s="949">
        <v>0.44</v>
      </c>
      <c r="KT48" s="949">
        <v>0.67</v>
      </c>
      <c r="KU48" s="949">
        <v>0.56000000000000005</v>
      </c>
      <c r="KV48" s="949">
        <v>0.78</v>
      </c>
      <c r="KW48" s="949">
        <v>0.57999999999999996</v>
      </c>
      <c r="KX48" s="949">
        <v>0.38</v>
      </c>
      <c r="KY48" s="949">
        <v>0.9</v>
      </c>
      <c r="KZ48" s="949">
        <v>0.54</v>
      </c>
      <c r="LA48" s="949">
        <v>0.5</v>
      </c>
      <c r="LB48" s="949">
        <v>0.45</v>
      </c>
      <c r="LC48" s="949">
        <v>0.47</v>
      </c>
      <c r="LD48" s="949">
        <v>0.71</v>
      </c>
      <c r="LE48" s="949">
        <v>0.44</v>
      </c>
      <c r="LF48" s="949">
        <v>0.53</v>
      </c>
      <c r="LG48" s="949">
        <v>1</v>
      </c>
      <c r="LH48" s="949">
        <v>0.59</v>
      </c>
      <c r="LI48" s="949">
        <v>0.71</v>
      </c>
      <c r="LJ48" s="949">
        <v>0.42</v>
      </c>
      <c r="LK48" s="949">
        <v>0.65</v>
      </c>
      <c r="LL48" s="949" t="s">
        <v>173</v>
      </c>
      <c r="LM48" s="949">
        <v>0.87</v>
      </c>
      <c r="LN48" s="949">
        <v>1</v>
      </c>
      <c r="LO48" s="949">
        <v>0.55000000000000004</v>
      </c>
      <c r="LP48" s="922">
        <v>325754000160</v>
      </c>
      <c r="LQ48" s="126" t="s">
        <v>43</v>
      </c>
      <c r="LR48" s="424">
        <v>52</v>
      </c>
      <c r="LS48" s="971">
        <v>46</v>
      </c>
      <c r="LT48" s="946"/>
    </row>
    <row r="49" spans="1:332" ht="24.95" customHeight="1" x14ac:dyDescent="0.2">
      <c r="A49" s="36" t="s">
        <v>164</v>
      </c>
      <c r="B49" s="1" t="s">
        <v>123</v>
      </c>
      <c r="C49" s="2">
        <v>6</v>
      </c>
      <c r="D49" s="12"/>
      <c r="E49" s="12"/>
      <c r="F49" s="12"/>
      <c r="G49" s="12"/>
      <c r="H49" s="12"/>
      <c r="I49" s="12"/>
      <c r="J49" s="12"/>
      <c r="K49" s="12"/>
      <c r="L49" s="12"/>
      <c r="M49" s="12"/>
      <c r="N49" s="12"/>
      <c r="O49" s="12"/>
      <c r="P49" s="12"/>
      <c r="Q49" s="12"/>
      <c r="R49" s="12"/>
      <c r="S49" s="12"/>
      <c r="T49" s="12"/>
      <c r="U49" s="12"/>
      <c r="V49" s="12"/>
      <c r="W49" s="12"/>
      <c r="X49" s="12"/>
      <c r="Y49" s="12"/>
      <c r="Z49" s="12"/>
      <c r="AA49" s="12"/>
      <c r="AB49" s="12"/>
      <c r="AC49" s="12"/>
      <c r="AD49" s="12"/>
      <c r="AE49" s="12"/>
      <c r="AF49" s="12"/>
      <c r="AG49" s="12"/>
      <c r="AH49" s="12" t="s">
        <v>126</v>
      </c>
      <c r="AI49" s="12" t="s">
        <v>126</v>
      </c>
      <c r="AJ49" s="40"/>
      <c r="AK49" s="40"/>
      <c r="AL49" s="4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c r="BK49" s="40"/>
      <c r="BL49" s="40"/>
      <c r="BM49" s="12" t="s">
        <v>126</v>
      </c>
      <c r="BN49" s="12" t="s">
        <v>126</v>
      </c>
      <c r="BO49" s="12"/>
      <c r="BP49" s="12"/>
      <c r="BQ49" s="12"/>
      <c r="BR49" s="12"/>
      <c r="BS49" s="12"/>
      <c r="BT49" s="12"/>
      <c r="BU49" s="12"/>
      <c r="BV49" s="12"/>
      <c r="BW49" s="12"/>
      <c r="BX49" s="12"/>
      <c r="BY49" s="12"/>
      <c r="BZ49" s="12"/>
      <c r="CA49" s="12"/>
      <c r="CB49" s="12"/>
      <c r="CC49" s="12"/>
      <c r="CD49" s="12"/>
      <c r="CE49" s="12"/>
      <c r="CF49" s="12"/>
      <c r="CG49" s="12"/>
      <c r="CH49" s="12"/>
      <c r="CI49" s="12"/>
      <c r="CJ49" s="12"/>
      <c r="CK49" s="12"/>
      <c r="CL49" s="12"/>
      <c r="CM49" s="12"/>
      <c r="CN49" s="12"/>
      <c r="CO49" s="12"/>
      <c r="CP49" s="12"/>
      <c r="CQ49" s="12"/>
      <c r="CR49" s="12"/>
      <c r="CS49" s="12" t="s">
        <v>126</v>
      </c>
      <c r="CT49" s="12" t="s">
        <v>126</v>
      </c>
      <c r="CU49" s="2"/>
      <c r="CV49" s="2"/>
      <c r="CW49" s="2"/>
      <c r="CX49" s="2"/>
      <c r="CY49" s="2"/>
      <c r="CZ49" s="2"/>
      <c r="DA49" s="2"/>
      <c r="DB49" s="2"/>
      <c r="DC49" s="2"/>
      <c r="DD49" s="2"/>
      <c r="DE49" s="2"/>
      <c r="DF49" s="2"/>
      <c r="DG49" s="2"/>
      <c r="DH49" s="2"/>
      <c r="DI49" s="2"/>
      <c r="DJ49" s="2"/>
      <c r="DK49" s="2"/>
      <c r="DL49" s="2"/>
      <c r="DM49" s="2"/>
      <c r="DN49" s="2"/>
      <c r="DO49" s="2"/>
      <c r="DP49" s="2"/>
      <c r="DQ49" s="2"/>
      <c r="DR49" s="2"/>
      <c r="DS49" s="2"/>
      <c r="DT49" s="2"/>
      <c r="DU49" s="2"/>
      <c r="DV49" s="2"/>
      <c r="DW49" s="2"/>
      <c r="DX49" s="35">
        <v>47</v>
      </c>
      <c r="DY49" s="35">
        <v>7</v>
      </c>
      <c r="DZ49" s="40">
        <v>0.24</v>
      </c>
      <c r="EA49" s="40">
        <v>0.6</v>
      </c>
      <c r="EB49" s="40">
        <v>0.16</v>
      </c>
      <c r="EC49" s="40">
        <v>0</v>
      </c>
      <c r="ED49" s="40">
        <v>0.47</v>
      </c>
      <c r="EE49" s="40">
        <v>0.44</v>
      </c>
      <c r="EF49" s="40">
        <v>0.53</v>
      </c>
      <c r="EG49" s="40">
        <v>0.2</v>
      </c>
      <c r="EH49" s="40">
        <v>0.54</v>
      </c>
      <c r="EI49" s="40">
        <v>0.67</v>
      </c>
      <c r="EJ49" s="40">
        <v>0.71</v>
      </c>
      <c r="EK49" s="40">
        <v>0.33</v>
      </c>
      <c r="EL49" s="40">
        <v>0.42</v>
      </c>
      <c r="EM49" s="40">
        <v>0.57999999999999996</v>
      </c>
      <c r="EN49" s="40">
        <v>0.51</v>
      </c>
      <c r="EO49" s="40">
        <v>0.57999999999999996</v>
      </c>
      <c r="EP49" s="40">
        <v>0.56999999999999995</v>
      </c>
      <c r="EQ49" s="40">
        <v>0.4</v>
      </c>
      <c r="ER49" s="40">
        <v>0.79</v>
      </c>
      <c r="ES49" s="40">
        <v>0.45</v>
      </c>
      <c r="ET49" s="40">
        <v>0.4</v>
      </c>
      <c r="EU49" s="40">
        <v>0.67</v>
      </c>
      <c r="EV49" s="40">
        <v>0.67</v>
      </c>
      <c r="EW49" s="40">
        <v>0.48</v>
      </c>
      <c r="EX49" s="40">
        <v>0.69</v>
      </c>
      <c r="EY49" s="40">
        <v>0.69</v>
      </c>
      <c r="EZ49" s="40">
        <v>0.28999999999999998</v>
      </c>
      <c r="FA49" s="40">
        <v>0.63</v>
      </c>
      <c r="FB49" s="647">
        <v>51</v>
      </c>
      <c r="FC49" s="647" t="s">
        <v>758</v>
      </c>
      <c r="FD49" s="647">
        <v>8</v>
      </c>
      <c r="FE49" s="647" t="s">
        <v>758</v>
      </c>
      <c r="FF49" s="648">
        <v>0.08</v>
      </c>
      <c r="FG49" s="648">
        <v>0.65</v>
      </c>
      <c r="FH49" s="648">
        <v>0.27</v>
      </c>
      <c r="FI49" s="648">
        <v>0</v>
      </c>
      <c r="FJ49" s="648">
        <v>0.55000000000000004</v>
      </c>
      <c r="FK49" s="648">
        <v>0.47</v>
      </c>
      <c r="FL49" s="648">
        <v>0.51</v>
      </c>
      <c r="FM49" s="648">
        <v>0.41</v>
      </c>
      <c r="FN49" s="648">
        <v>0.24</v>
      </c>
      <c r="FO49" s="648">
        <v>0.21</v>
      </c>
      <c r="FP49" s="648">
        <v>0.4</v>
      </c>
      <c r="FQ49" s="648">
        <v>0.52</v>
      </c>
      <c r="FR49" s="648">
        <v>0.57999999999999996</v>
      </c>
      <c r="FS49" s="648">
        <v>0.51</v>
      </c>
      <c r="FT49" s="648">
        <v>0.44</v>
      </c>
      <c r="FU49" s="648">
        <v>0.22</v>
      </c>
      <c r="FV49" s="648">
        <v>0.49</v>
      </c>
      <c r="FW49" s="648">
        <v>0.51</v>
      </c>
      <c r="FX49" s="648">
        <v>0.44</v>
      </c>
      <c r="FY49" s="648">
        <v>0.28999999999999998</v>
      </c>
      <c r="FZ49" s="648">
        <v>0.49</v>
      </c>
      <c r="GA49" s="648">
        <v>0.43</v>
      </c>
      <c r="GB49" s="648">
        <v>0.53</v>
      </c>
      <c r="GC49" s="648">
        <v>0.45</v>
      </c>
      <c r="GD49" s="648">
        <v>0.63</v>
      </c>
      <c r="GE49" s="648">
        <v>0.53</v>
      </c>
      <c r="GF49" s="648">
        <v>0.56999999999999995</v>
      </c>
      <c r="GG49" s="648">
        <v>0.37</v>
      </c>
      <c r="GH49" s="648">
        <v>0.53</v>
      </c>
      <c r="GI49" s="648">
        <v>0.21</v>
      </c>
      <c r="GJ49" s="74">
        <v>43</v>
      </c>
      <c r="GK49" s="74" t="s">
        <v>760</v>
      </c>
      <c r="GL49" s="74">
        <v>10</v>
      </c>
      <c r="GM49" s="74" t="s">
        <v>758</v>
      </c>
      <c r="GN49" s="96">
        <v>0.56000000000000005</v>
      </c>
      <c r="GO49" s="96">
        <v>0.34</v>
      </c>
      <c r="GP49" s="96">
        <v>0.09</v>
      </c>
      <c r="GQ49" s="96">
        <v>0</v>
      </c>
      <c r="GR49" s="96">
        <v>0.6</v>
      </c>
      <c r="GS49" s="96">
        <v>0.64</v>
      </c>
      <c r="GT49" s="96">
        <v>0.7</v>
      </c>
      <c r="GU49" s="96">
        <v>0.43</v>
      </c>
      <c r="GV49" s="96">
        <v>0.62</v>
      </c>
      <c r="GW49" s="96">
        <v>0.83</v>
      </c>
      <c r="GX49" s="96">
        <v>0.55000000000000004</v>
      </c>
      <c r="GY49" s="74" t="s">
        <v>173</v>
      </c>
      <c r="GZ49" s="96">
        <v>0.46</v>
      </c>
      <c r="HA49" s="96">
        <v>0.78</v>
      </c>
      <c r="HB49" s="96">
        <v>0.55000000000000004</v>
      </c>
      <c r="HC49" s="96">
        <v>0.67</v>
      </c>
      <c r="HD49" s="96">
        <v>0.72</v>
      </c>
      <c r="HE49" s="96">
        <v>0.57999999999999996</v>
      </c>
      <c r="HF49" s="96">
        <v>0.67</v>
      </c>
      <c r="HG49" s="96">
        <v>0.72</v>
      </c>
      <c r="HH49" s="96">
        <v>0.54</v>
      </c>
      <c r="HI49" s="96">
        <v>0.66</v>
      </c>
      <c r="HJ49" s="96">
        <v>0.63</v>
      </c>
      <c r="HK49" s="96">
        <v>0.63</v>
      </c>
      <c r="HL49" s="96">
        <v>0.51</v>
      </c>
      <c r="HM49" s="96">
        <v>0.6</v>
      </c>
      <c r="HN49" s="96">
        <v>0.68</v>
      </c>
      <c r="HO49" s="96">
        <v>0.53</v>
      </c>
      <c r="HP49" s="74" t="s">
        <v>173</v>
      </c>
      <c r="HQ49" s="96">
        <v>0.59</v>
      </c>
      <c r="HR49" s="652">
        <v>50</v>
      </c>
      <c r="HS49" s="652" t="s">
        <v>758</v>
      </c>
      <c r="HT49" s="652">
        <v>10</v>
      </c>
      <c r="HU49" s="652" t="s">
        <v>758</v>
      </c>
      <c r="HV49" s="653">
        <v>0.25</v>
      </c>
      <c r="HW49" s="653">
        <v>0.43</v>
      </c>
      <c r="HX49" s="653">
        <v>0.32</v>
      </c>
      <c r="HY49" s="653">
        <v>0</v>
      </c>
      <c r="HZ49" s="653">
        <v>0.35</v>
      </c>
      <c r="IA49" s="653">
        <v>0.56999999999999995</v>
      </c>
      <c r="IB49" s="653">
        <v>0.23</v>
      </c>
      <c r="IC49" s="653">
        <v>0.52</v>
      </c>
      <c r="ID49" s="653">
        <v>0.59</v>
      </c>
      <c r="IE49" s="653">
        <v>0.37</v>
      </c>
      <c r="IF49" s="653">
        <v>0.42</v>
      </c>
      <c r="IG49" s="653">
        <v>0.4</v>
      </c>
      <c r="IH49" s="653">
        <v>0.51</v>
      </c>
      <c r="II49" s="653">
        <v>0.31</v>
      </c>
      <c r="IJ49" s="653">
        <v>0.45</v>
      </c>
      <c r="IK49" s="653">
        <v>0.57999999999999996</v>
      </c>
      <c r="IL49" s="653">
        <v>0.37</v>
      </c>
      <c r="IM49" s="653">
        <v>0.62</v>
      </c>
      <c r="IN49" s="653">
        <v>0.41</v>
      </c>
      <c r="IO49" s="653">
        <v>0.56999999999999995</v>
      </c>
      <c r="IP49" s="653">
        <v>0.53</v>
      </c>
      <c r="IQ49" s="653">
        <v>0.7</v>
      </c>
      <c r="IR49" s="653">
        <v>0.57999999999999996</v>
      </c>
      <c r="IS49" s="653">
        <v>0.47</v>
      </c>
      <c r="IT49" s="653">
        <v>0.47</v>
      </c>
      <c r="IU49" s="652" t="s">
        <v>173</v>
      </c>
      <c r="IV49" s="653">
        <v>0.57999999999999996</v>
      </c>
      <c r="IW49" s="653">
        <v>0.42</v>
      </c>
      <c r="IX49" s="653">
        <v>0.47</v>
      </c>
      <c r="IY49" s="653">
        <v>0.55000000000000004</v>
      </c>
      <c r="IZ49" s="74">
        <v>50</v>
      </c>
      <c r="JA49" s="74" t="s">
        <v>758</v>
      </c>
      <c r="JB49" s="74">
        <v>8</v>
      </c>
      <c r="JC49" s="74" t="s">
        <v>758</v>
      </c>
      <c r="JD49" s="96">
        <v>0.13</v>
      </c>
      <c r="JE49" s="96">
        <v>0.64</v>
      </c>
      <c r="JF49" s="96">
        <v>0.23</v>
      </c>
      <c r="JG49" s="96">
        <v>0</v>
      </c>
      <c r="JH49" s="96">
        <v>0.51</v>
      </c>
      <c r="JI49" s="96">
        <v>0.54</v>
      </c>
      <c r="JJ49" s="96">
        <v>0.43</v>
      </c>
      <c r="JK49" s="96">
        <v>0.52</v>
      </c>
      <c r="JL49" s="96">
        <v>0.51</v>
      </c>
      <c r="JM49" s="96">
        <v>0.56999999999999995</v>
      </c>
      <c r="JN49" s="96">
        <v>0.49</v>
      </c>
      <c r="JO49" s="96">
        <v>0.5</v>
      </c>
      <c r="JP49" s="96">
        <v>0.54</v>
      </c>
      <c r="JQ49" s="96">
        <v>0.28999999999999998</v>
      </c>
      <c r="JR49" s="96">
        <v>0.66</v>
      </c>
      <c r="JS49" s="96">
        <v>0.54</v>
      </c>
      <c r="JT49" s="96">
        <v>0.49</v>
      </c>
      <c r="JU49" s="96">
        <v>0.65</v>
      </c>
      <c r="JV49" s="96">
        <v>0.53</v>
      </c>
      <c r="JW49" s="96">
        <v>0.52</v>
      </c>
      <c r="JX49" s="96">
        <v>0.43</v>
      </c>
      <c r="JY49" s="96">
        <v>0.54</v>
      </c>
      <c r="JZ49" s="96">
        <v>0.44</v>
      </c>
      <c r="KA49" s="96">
        <v>0.68</v>
      </c>
      <c r="KB49" s="96">
        <v>0.54</v>
      </c>
      <c r="KC49" s="96">
        <v>0.79</v>
      </c>
      <c r="KD49" s="96">
        <v>0.39</v>
      </c>
      <c r="KE49" s="96">
        <v>0.49</v>
      </c>
      <c r="KF49" s="96">
        <v>0.47</v>
      </c>
      <c r="KG49" s="96">
        <v>0.48</v>
      </c>
      <c r="KH49" s="971">
        <v>54</v>
      </c>
      <c r="KI49" s="971" t="s">
        <v>758</v>
      </c>
      <c r="KJ49" s="971">
        <v>9</v>
      </c>
      <c r="KK49" s="971" t="s">
        <v>758</v>
      </c>
      <c r="KL49" s="949">
        <v>0.08</v>
      </c>
      <c r="KM49" s="949">
        <v>0.46</v>
      </c>
      <c r="KN49" s="949">
        <v>0.44</v>
      </c>
      <c r="KO49" s="949">
        <v>0.03</v>
      </c>
      <c r="KP49" s="949">
        <v>0.48</v>
      </c>
      <c r="KQ49" s="949">
        <v>0.18</v>
      </c>
      <c r="KR49" s="949">
        <v>0.54</v>
      </c>
      <c r="KS49" s="949">
        <v>0.53</v>
      </c>
      <c r="KT49" s="949">
        <v>0.63</v>
      </c>
      <c r="KU49" s="949">
        <v>0.32</v>
      </c>
      <c r="KV49" s="949">
        <v>0.56000000000000005</v>
      </c>
      <c r="KW49" s="949">
        <v>0.32</v>
      </c>
      <c r="KX49" s="949">
        <v>0.32</v>
      </c>
      <c r="KY49" s="949">
        <v>0.55000000000000004</v>
      </c>
      <c r="KZ49" s="949">
        <v>0.32</v>
      </c>
      <c r="LA49" s="949">
        <v>0.25</v>
      </c>
      <c r="LB49" s="949">
        <v>0.44</v>
      </c>
      <c r="LC49" s="949">
        <v>0.36</v>
      </c>
      <c r="LD49" s="949">
        <v>0.54</v>
      </c>
      <c r="LE49" s="949">
        <v>0.48</v>
      </c>
      <c r="LF49" s="949">
        <v>0.25</v>
      </c>
      <c r="LG49" s="949">
        <v>0.28999999999999998</v>
      </c>
      <c r="LH49" s="949">
        <v>0.55000000000000004</v>
      </c>
      <c r="LI49" s="949">
        <v>0.44</v>
      </c>
      <c r="LJ49" s="949">
        <v>0.32</v>
      </c>
      <c r="LK49" s="949">
        <v>0.47</v>
      </c>
      <c r="LL49" s="949" t="s">
        <v>173</v>
      </c>
      <c r="LM49" s="949">
        <v>0.48</v>
      </c>
      <c r="LN49" s="949">
        <v>0.59</v>
      </c>
      <c r="LO49" s="949">
        <v>0.3</v>
      </c>
      <c r="LP49" s="922">
        <v>325754003363</v>
      </c>
      <c r="LQ49" s="36" t="s">
        <v>164</v>
      </c>
      <c r="LR49" s="652">
        <v>50</v>
      </c>
      <c r="LS49" s="971">
        <v>54</v>
      </c>
      <c r="LT49" s="946"/>
    </row>
    <row r="50" spans="1:332" ht="24.95" customHeight="1" x14ac:dyDescent="0.2">
      <c r="A50" s="126" t="s">
        <v>125</v>
      </c>
      <c r="B50" s="1" t="s">
        <v>123</v>
      </c>
      <c r="C50" s="2">
        <v>3</v>
      </c>
      <c r="D50" s="12"/>
      <c r="E50" s="12"/>
      <c r="F50" s="12"/>
      <c r="G50" s="12"/>
      <c r="H50" s="12"/>
      <c r="I50" s="12"/>
      <c r="J50" s="12"/>
      <c r="K50" s="12"/>
      <c r="L50" s="12"/>
      <c r="M50" s="12"/>
      <c r="N50" s="12"/>
      <c r="O50" s="12"/>
      <c r="P50" s="12"/>
      <c r="Q50" s="12"/>
      <c r="R50" s="12"/>
      <c r="S50" s="12"/>
      <c r="T50" s="12"/>
      <c r="U50" s="12"/>
      <c r="V50" s="12"/>
      <c r="W50" s="12"/>
      <c r="X50" s="12"/>
      <c r="Y50" s="12"/>
      <c r="Z50" s="12"/>
      <c r="AA50" s="12"/>
      <c r="AB50" s="12"/>
      <c r="AC50" s="12"/>
      <c r="AD50" s="12"/>
      <c r="AE50" s="12"/>
      <c r="AF50" s="12"/>
      <c r="AG50" s="12"/>
      <c r="AH50" s="12">
        <v>52</v>
      </c>
      <c r="AI50" s="12">
        <v>8</v>
      </c>
      <c r="AJ50" s="40">
        <v>0.1</v>
      </c>
      <c r="AK50" s="40">
        <v>0.56999999999999995</v>
      </c>
      <c r="AL50" s="40">
        <v>0.32</v>
      </c>
      <c r="AM50" s="40">
        <v>0</v>
      </c>
      <c r="AN50" s="40">
        <v>0.3</v>
      </c>
      <c r="AO50" s="40">
        <v>0.48</v>
      </c>
      <c r="AP50" s="40">
        <v>0.62</v>
      </c>
      <c r="AQ50" s="40">
        <v>0.34</v>
      </c>
      <c r="AR50" s="40">
        <v>0.57999999999999996</v>
      </c>
      <c r="AS50" s="40">
        <v>0.48</v>
      </c>
      <c r="AT50" s="40">
        <v>0.56000000000000005</v>
      </c>
      <c r="AU50" s="40">
        <v>0.52</v>
      </c>
      <c r="AV50" s="40">
        <v>0.6</v>
      </c>
      <c r="AW50" s="40">
        <v>0.51</v>
      </c>
      <c r="AX50" s="40">
        <v>0.55000000000000004</v>
      </c>
      <c r="AY50" s="40">
        <v>0.33</v>
      </c>
      <c r="AZ50" s="40">
        <v>0.36</v>
      </c>
      <c r="BA50" s="40">
        <v>0.55000000000000004</v>
      </c>
      <c r="BB50" s="40">
        <v>0.62</v>
      </c>
      <c r="BC50" s="40">
        <v>0.69</v>
      </c>
      <c r="BD50" s="40">
        <v>0.37</v>
      </c>
      <c r="BE50" s="40">
        <v>0.68</v>
      </c>
      <c r="BF50" s="40">
        <v>0.51</v>
      </c>
      <c r="BG50" s="40">
        <v>0.56000000000000005</v>
      </c>
      <c r="BH50" s="40">
        <v>0.41</v>
      </c>
      <c r="BI50" s="40">
        <v>0.43</v>
      </c>
      <c r="BJ50" s="40">
        <v>0.35</v>
      </c>
      <c r="BK50" s="40">
        <v>0.41</v>
      </c>
      <c r="BL50" s="40">
        <v>0.48</v>
      </c>
      <c r="BM50" s="12">
        <v>48</v>
      </c>
      <c r="BN50" s="12">
        <v>8</v>
      </c>
      <c r="BO50" s="66">
        <v>0.19</v>
      </c>
      <c r="BP50" s="66">
        <v>0.57999999999999996</v>
      </c>
      <c r="BQ50" s="66">
        <v>0.23</v>
      </c>
      <c r="BR50" s="66">
        <v>0</v>
      </c>
      <c r="BS50" s="66">
        <v>0.42</v>
      </c>
      <c r="BT50" s="66">
        <v>0.74</v>
      </c>
      <c r="BU50" s="66">
        <v>0.7</v>
      </c>
      <c r="BV50" s="66">
        <v>0.49</v>
      </c>
      <c r="BW50" s="66">
        <v>0.54</v>
      </c>
      <c r="BX50" s="66">
        <v>0.41</v>
      </c>
      <c r="BY50" s="66">
        <v>0.47</v>
      </c>
      <c r="BZ50" s="66">
        <v>0.51</v>
      </c>
      <c r="CA50" s="66">
        <v>0.48</v>
      </c>
      <c r="CB50" s="66">
        <v>0.44</v>
      </c>
      <c r="CC50" s="66">
        <v>0.23</v>
      </c>
      <c r="CD50" s="66">
        <v>0.44</v>
      </c>
      <c r="CE50" s="66">
        <v>0.41</v>
      </c>
      <c r="CF50" s="66">
        <v>0.59</v>
      </c>
      <c r="CG50" s="66">
        <v>0.61</v>
      </c>
      <c r="CH50" s="66">
        <v>0.5</v>
      </c>
      <c r="CI50" s="66">
        <v>0.62</v>
      </c>
      <c r="CJ50" s="66">
        <v>0.39</v>
      </c>
      <c r="CK50" s="66">
        <v>0.73</v>
      </c>
      <c r="CL50" s="66">
        <v>0.34</v>
      </c>
      <c r="CM50" s="66">
        <v>0.47</v>
      </c>
      <c r="CN50" s="66">
        <v>0.51</v>
      </c>
      <c r="CO50" s="66">
        <v>0.53</v>
      </c>
      <c r="CP50" s="66">
        <v>0.44</v>
      </c>
      <c r="CQ50" s="66">
        <v>0.62</v>
      </c>
      <c r="CR50" s="66">
        <v>0.59</v>
      </c>
      <c r="CS50" s="12">
        <v>49</v>
      </c>
      <c r="CT50" s="12">
        <v>9</v>
      </c>
      <c r="CU50" s="63">
        <v>0.15</v>
      </c>
      <c r="CV50" s="63">
        <v>0.64</v>
      </c>
      <c r="CW50" s="63">
        <v>0.21</v>
      </c>
      <c r="CX50" s="63">
        <v>0.01</v>
      </c>
      <c r="CY50" s="63">
        <v>0.48</v>
      </c>
      <c r="CZ50" s="63">
        <v>0.28999999999999998</v>
      </c>
      <c r="DA50" s="63">
        <v>0.64</v>
      </c>
      <c r="DB50" s="63">
        <v>0.35</v>
      </c>
      <c r="DC50" s="63">
        <v>0.45</v>
      </c>
      <c r="DD50" s="63">
        <v>0.63</v>
      </c>
      <c r="DE50" s="63">
        <v>0.5</v>
      </c>
      <c r="DF50" s="63">
        <v>0.54</v>
      </c>
      <c r="DG50" s="63">
        <v>0.46</v>
      </c>
      <c r="DH50" s="63">
        <v>0.38</v>
      </c>
      <c r="DI50" s="63">
        <v>0.55000000000000004</v>
      </c>
      <c r="DJ50" s="63">
        <v>0.52</v>
      </c>
      <c r="DK50" s="63">
        <v>0.38</v>
      </c>
      <c r="DL50" s="63">
        <v>0.36</v>
      </c>
      <c r="DM50" s="63">
        <v>0.55000000000000004</v>
      </c>
      <c r="DN50" s="63">
        <v>0.54</v>
      </c>
      <c r="DO50" s="63">
        <v>0.52</v>
      </c>
      <c r="DP50" s="63">
        <v>0.49</v>
      </c>
      <c r="DQ50" s="63">
        <v>0.56999999999999995</v>
      </c>
      <c r="DR50" s="63">
        <v>0.2</v>
      </c>
      <c r="DS50" s="63">
        <v>0.37</v>
      </c>
      <c r="DT50" s="63">
        <v>0.59</v>
      </c>
      <c r="DU50" s="63">
        <v>0.56999999999999995</v>
      </c>
      <c r="DV50" s="63">
        <v>0.61</v>
      </c>
      <c r="DW50" s="63">
        <v>0.34</v>
      </c>
      <c r="DX50" s="35">
        <v>47</v>
      </c>
      <c r="DY50" s="35">
        <v>9</v>
      </c>
      <c r="DZ50" s="40">
        <v>0.26</v>
      </c>
      <c r="EA50" s="40">
        <v>0.55000000000000004</v>
      </c>
      <c r="EB50" s="40">
        <v>0.19</v>
      </c>
      <c r="EC50" s="40">
        <v>0</v>
      </c>
      <c r="ED50" s="40">
        <v>0.53</v>
      </c>
      <c r="EE50" s="40">
        <v>0.49</v>
      </c>
      <c r="EF50" s="40">
        <v>0.47</v>
      </c>
      <c r="EG50" s="40">
        <v>0.46</v>
      </c>
      <c r="EH50" s="40">
        <v>0.48</v>
      </c>
      <c r="EI50" s="40">
        <v>0.55000000000000004</v>
      </c>
      <c r="EJ50" s="40">
        <v>0.63</v>
      </c>
      <c r="EK50" s="40">
        <v>0.28000000000000003</v>
      </c>
      <c r="EL50" s="40">
        <v>0.53</v>
      </c>
      <c r="EM50" s="40">
        <v>0.67</v>
      </c>
      <c r="EN50" s="40">
        <v>0.47</v>
      </c>
      <c r="EO50" s="40">
        <v>0.62</v>
      </c>
      <c r="EP50" s="40">
        <v>0.47</v>
      </c>
      <c r="EQ50" s="40">
        <v>0.38</v>
      </c>
      <c r="ER50" s="40">
        <v>0.64</v>
      </c>
      <c r="ES50" s="40">
        <v>0.53</v>
      </c>
      <c r="ET50" s="40">
        <v>0.42</v>
      </c>
      <c r="EU50" s="40">
        <v>0.69</v>
      </c>
      <c r="EV50" s="40">
        <v>0.42</v>
      </c>
      <c r="EW50" s="40">
        <v>0.41</v>
      </c>
      <c r="EX50" s="40">
        <v>0.78</v>
      </c>
      <c r="EY50" s="40">
        <v>0.64</v>
      </c>
      <c r="EZ50" s="40">
        <v>0.37</v>
      </c>
      <c r="FA50" s="40">
        <v>0.67</v>
      </c>
      <c r="FB50" s="246">
        <v>47</v>
      </c>
      <c r="FC50" s="246" t="s">
        <v>758</v>
      </c>
      <c r="FD50" s="246">
        <v>8</v>
      </c>
      <c r="FE50" s="246" t="s">
        <v>758</v>
      </c>
      <c r="FF50" s="263">
        <v>0.22</v>
      </c>
      <c r="FG50" s="263">
        <v>0.64</v>
      </c>
      <c r="FH50" s="263">
        <v>0.13</v>
      </c>
      <c r="FI50" s="263">
        <v>0.01</v>
      </c>
      <c r="FJ50" s="263">
        <v>0.52</v>
      </c>
      <c r="FK50" s="263">
        <v>0.68</v>
      </c>
      <c r="FL50" s="263">
        <v>0.57999999999999996</v>
      </c>
      <c r="FM50" s="263">
        <v>0.47</v>
      </c>
      <c r="FN50" s="263">
        <v>0.3</v>
      </c>
      <c r="FO50" s="263">
        <v>0.4</v>
      </c>
      <c r="FP50" s="263">
        <v>0.49</v>
      </c>
      <c r="FQ50" s="263">
        <v>0.47</v>
      </c>
      <c r="FR50" s="263">
        <v>0.63</v>
      </c>
      <c r="FS50" s="263">
        <v>0.53</v>
      </c>
      <c r="FT50" s="263">
        <v>0.55000000000000004</v>
      </c>
      <c r="FU50" s="263">
        <v>0.49</v>
      </c>
      <c r="FV50" s="263">
        <v>0.6</v>
      </c>
      <c r="FW50" s="263">
        <v>0.59</v>
      </c>
      <c r="FX50" s="263">
        <v>0.5</v>
      </c>
      <c r="FY50" s="263">
        <v>0.42</v>
      </c>
      <c r="FZ50" s="263">
        <v>0.49</v>
      </c>
      <c r="GA50" s="263">
        <v>0.57999999999999996</v>
      </c>
      <c r="GB50" s="263">
        <v>0.59</v>
      </c>
      <c r="GC50" s="263">
        <v>0.54</v>
      </c>
      <c r="GD50" s="263">
        <v>0.63</v>
      </c>
      <c r="GE50" s="263">
        <v>0.61</v>
      </c>
      <c r="GF50" s="263">
        <v>0.52</v>
      </c>
      <c r="GG50" s="263">
        <v>0.53</v>
      </c>
      <c r="GH50" s="263">
        <v>0.63</v>
      </c>
      <c r="GI50" s="263">
        <v>0.33</v>
      </c>
      <c r="GJ50" s="74">
        <v>47</v>
      </c>
      <c r="GK50" s="74" t="s">
        <v>758</v>
      </c>
      <c r="GL50" s="74">
        <v>8</v>
      </c>
      <c r="GM50" s="74" t="s">
        <v>758</v>
      </c>
      <c r="GN50" s="96">
        <v>0.18</v>
      </c>
      <c r="GO50" s="96">
        <v>0.7</v>
      </c>
      <c r="GP50" s="96">
        <v>0.11</v>
      </c>
      <c r="GQ50" s="96">
        <v>0.01</v>
      </c>
      <c r="GR50" s="96">
        <v>0.5</v>
      </c>
      <c r="GS50" s="96">
        <v>0.57999999999999996</v>
      </c>
      <c r="GT50" s="96">
        <v>0.67</v>
      </c>
      <c r="GU50" s="96">
        <v>0.39</v>
      </c>
      <c r="GV50" s="96">
        <v>0.62</v>
      </c>
      <c r="GW50" s="96">
        <v>0.56000000000000005</v>
      </c>
      <c r="GX50" s="96">
        <v>0.54</v>
      </c>
      <c r="GY50" s="74" t="s">
        <v>173</v>
      </c>
      <c r="GZ50" s="96">
        <v>0.33</v>
      </c>
      <c r="HA50" s="96">
        <v>0.72</v>
      </c>
      <c r="HB50" s="96">
        <v>0.51</v>
      </c>
      <c r="HC50" s="96">
        <v>0.56999999999999995</v>
      </c>
      <c r="HD50" s="96">
        <v>0.63</v>
      </c>
      <c r="HE50" s="96">
        <v>0.56000000000000005</v>
      </c>
      <c r="HF50" s="96">
        <v>0.54</v>
      </c>
      <c r="HG50" s="96">
        <v>0.72</v>
      </c>
      <c r="HH50" s="96">
        <v>0.44</v>
      </c>
      <c r="HI50" s="96">
        <v>0.59</v>
      </c>
      <c r="HJ50" s="96">
        <v>0.62</v>
      </c>
      <c r="HK50" s="96">
        <v>0.56999999999999995</v>
      </c>
      <c r="HL50" s="96">
        <v>0.45</v>
      </c>
      <c r="HM50" s="96">
        <v>0.56000000000000005</v>
      </c>
      <c r="HN50" s="96">
        <v>0.51</v>
      </c>
      <c r="HO50" s="96">
        <v>0.51</v>
      </c>
      <c r="HP50" s="74" t="s">
        <v>173</v>
      </c>
      <c r="HQ50" s="96">
        <v>0.5</v>
      </c>
      <c r="HR50" s="424">
        <v>51</v>
      </c>
      <c r="HS50" s="424" t="s">
        <v>758</v>
      </c>
      <c r="HT50" s="424">
        <v>9</v>
      </c>
      <c r="HU50" s="424" t="s">
        <v>758</v>
      </c>
      <c r="HV50" s="428">
        <v>0.13</v>
      </c>
      <c r="HW50" s="428">
        <v>0.6</v>
      </c>
      <c r="HX50" s="428">
        <v>0.27</v>
      </c>
      <c r="HY50" s="428">
        <v>0.01</v>
      </c>
      <c r="HZ50" s="428">
        <v>0.35</v>
      </c>
      <c r="IA50" s="428">
        <v>0.51</v>
      </c>
      <c r="IB50" s="428">
        <v>0.4</v>
      </c>
      <c r="IC50" s="428">
        <v>0.47</v>
      </c>
      <c r="ID50" s="428">
        <v>0.63</v>
      </c>
      <c r="IE50" s="428">
        <v>0.36</v>
      </c>
      <c r="IF50" s="428">
        <v>0.42</v>
      </c>
      <c r="IG50" s="428">
        <v>0.55000000000000004</v>
      </c>
      <c r="IH50" s="428">
        <v>0.55000000000000004</v>
      </c>
      <c r="II50" s="428">
        <v>0.33</v>
      </c>
      <c r="IJ50" s="428">
        <v>0.26</v>
      </c>
      <c r="IK50" s="428">
        <v>0.6</v>
      </c>
      <c r="IL50" s="428">
        <v>0.38</v>
      </c>
      <c r="IM50" s="428">
        <v>0.57999999999999996</v>
      </c>
      <c r="IN50" s="428">
        <v>0.45</v>
      </c>
      <c r="IO50" s="428">
        <v>0.53</v>
      </c>
      <c r="IP50" s="428">
        <v>0.37</v>
      </c>
      <c r="IQ50" s="428">
        <v>0.69</v>
      </c>
      <c r="IR50" s="428">
        <v>0.62</v>
      </c>
      <c r="IS50" s="428">
        <v>0.59</v>
      </c>
      <c r="IT50" s="428">
        <v>0.45</v>
      </c>
      <c r="IU50" s="424" t="s">
        <v>173</v>
      </c>
      <c r="IV50" s="428">
        <v>0.62</v>
      </c>
      <c r="IW50" s="428">
        <v>0.45</v>
      </c>
      <c r="IX50" s="428">
        <v>0.45</v>
      </c>
      <c r="IY50" s="428">
        <v>0.57999999999999996</v>
      </c>
      <c r="IZ50" s="464">
        <v>49</v>
      </c>
      <c r="JA50" s="464" t="s">
        <v>758</v>
      </c>
      <c r="JB50" s="464">
        <v>9</v>
      </c>
      <c r="JC50" s="464" t="s">
        <v>758</v>
      </c>
      <c r="JD50" s="476">
        <v>0.21</v>
      </c>
      <c r="JE50" s="476">
        <v>0.52</v>
      </c>
      <c r="JF50" s="476">
        <v>0.26</v>
      </c>
      <c r="JG50" s="476">
        <v>0.01</v>
      </c>
      <c r="JH50" s="476">
        <v>0.5</v>
      </c>
      <c r="JI50" s="476">
        <v>0.47</v>
      </c>
      <c r="JJ50" s="476">
        <v>0.44</v>
      </c>
      <c r="JK50" s="476">
        <v>0.49</v>
      </c>
      <c r="JL50" s="476">
        <v>0.49</v>
      </c>
      <c r="JM50" s="476">
        <v>0.48</v>
      </c>
      <c r="JN50" s="476">
        <v>0.5</v>
      </c>
      <c r="JO50" s="476">
        <v>0.52</v>
      </c>
      <c r="JP50" s="476">
        <v>0.59</v>
      </c>
      <c r="JQ50" s="476">
        <v>0.37</v>
      </c>
      <c r="JR50" s="476">
        <v>0.61</v>
      </c>
      <c r="JS50" s="476">
        <v>0.48</v>
      </c>
      <c r="JT50" s="476">
        <v>0.45</v>
      </c>
      <c r="JU50" s="476">
        <v>0.53</v>
      </c>
      <c r="JV50" s="476">
        <v>0.55000000000000004</v>
      </c>
      <c r="JW50" s="476">
        <v>0.49</v>
      </c>
      <c r="JX50" s="476">
        <v>0.45</v>
      </c>
      <c r="JY50" s="476">
        <v>0.54</v>
      </c>
      <c r="JZ50" s="476">
        <v>0.47</v>
      </c>
      <c r="KA50" s="476">
        <v>0.68</v>
      </c>
      <c r="KB50" s="476">
        <v>0.53</v>
      </c>
      <c r="KC50" s="476">
        <v>0.71</v>
      </c>
      <c r="KD50" s="476">
        <v>0.36</v>
      </c>
      <c r="KE50" s="476">
        <v>0.55000000000000004</v>
      </c>
      <c r="KF50" s="476">
        <v>0.49</v>
      </c>
      <c r="KG50" s="476">
        <v>0.57999999999999996</v>
      </c>
      <c r="KH50" s="971">
        <v>50</v>
      </c>
      <c r="KI50" s="971" t="s">
        <v>758</v>
      </c>
      <c r="KJ50" s="971">
        <v>9</v>
      </c>
      <c r="KK50" s="971" t="s">
        <v>758</v>
      </c>
      <c r="KL50" s="949">
        <v>0.13</v>
      </c>
      <c r="KM50" s="949">
        <v>0.56999999999999995</v>
      </c>
      <c r="KN50" s="949">
        <v>0.26</v>
      </c>
      <c r="KO50" s="949">
        <v>0.03</v>
      </c>
      <c r="KP50" s="949">
        <v>0.53</v>
      </c>
      <c r="KQ50" s="949">
        <v>0.32</v>
      </c>
      <c r="KR50" s="949">
        <v>0.59</v>
      </c>
      <c r="KS50" s="949">
        <v>0.49</v>
      </c>
      <c r="KT50" s="949">
        <v>0.59</v>
      </c>
      <c r="KU50" s="949">
        <v>0.37</v>
      </c>
      <c r="KV50" s="949">
        <v>0.65</v>
      </c>
      <c r="KW50" s="949">
        <v>0.4</v>
      </c>
      <c r="KX50" s="949">
        <v>0.37</v>
      </c>
      <c r="KY50" s="949">
        <v>0.49</v>
      </c>
      <c r="KZ50" s="949">
        <v>0.39</v>
      </c>
      <c r="LA50" s="949">
        <v>0.46</v>
      </c>
      <c r="LB50" s="949">
        <v>0.41</v>
      </c>
      <c r="LC50" s="949">
        <v>0.4</v>
      </c>
      <c r="LD50" s="949">
        <v>0.64</v>
      </c>
      <c r="LE50" s="949">
        <v>0.54</v>
      </c>
      <c r="LF50" s="949">
        <v>0.35</v>
      </c>
      <c r="LG50" s="949">
        <v>0.57999999999999996</v>
      </c>
      <c r="LH50" s="949">
        <v>0.54</v>
      </c>
      <c r="LI50" s="949">
        <v>0.51</v>
      </c>
      <c r="LJ50" s="949">
        <v>0.42</v>
      </c>
      <c r="LK50" s="949">
        <v>0.54</v>
      </c>
      <c r="LL50" s="949" t="s">
        <v>173</v>
      </c>
      <c r="LM50" s="949">
        <v>0.62</v>
      </c>
      <c r="LN50" s="949">
        <v>0.56999999999999995</v>
      </c>
      <c r="LO50" s="949">
        <v>0.47</v>
      </c>
      <c r="LP50" s="922">
        <v>125754005189</v>
      </c>
      <c r="LQ50" s="126" t="s">
        <v>125</v>
      </c>
      <c r="LR50" s="424">
        <v>51</v>
      </c>
      <c r="LS50" s="971">
        <v>50</v>
      </c>
      <c r="LT50" s="946"/>
    </row>
    <row r="51" spans="1:332" ht="24.95" customHeight="1" x14ac:dyDescent="0.2">
      <c r="A51" s="126" t="s">
        <v>72</v>
      </c>
      <c r="B51" s="1" t="s">
        <v>123</v>
      </c>
      <c r="C51" s="2">
        <v>2</v>
      </c>
      <c r="D51" s="12">
        <v>60</v>
      </c>
      <c r="E51" s="12">
        <v>7</v>
      </c>
      <c r="F51" s="66">
        <v>0</v>
      </c>
      <c r="G51" s="66">
        <v>0.28000000000000003</v>
      </c>
      <c r="H51" s="66">
        <v>0.66</v>
      </c>
      <c r="I51" s="66">
        <v>7.0000000000000007E-2</v>
      </c>
      <c r="J51" s="66">
        <v>0.22</v>
      </c>
      <c r="K51" s="66">
        <v>0.2</v>
      </c>
      <c r="L51" s="66">
        <v>0.52</v>
      </c>
      <c r="M51" s="66">
        <v>7.0000000000000007E-2</v>
      </c>
      <c r="N51" s="66">
        <v>0.18</v>
      </c>
      <c r="O51" s="66">
        <v>0.53</v>
      </c>
      <c r="P51" s="66">
        <v>0.2</v>
      </c>
      <c r="Q51" s="66">
        <v>0.31</v>
      </c>
      <c r="R51" s="66">
        <v>0.4</v>
      </c>
      <c r="S51" s="66">
        <v>0.51</v>
      </c>
      <c r="T51" s="66">
        <v>0.42</v>
      </c>
      <c r="U51" s="66">
        <v>0.38</v>
      </c>
      <c r="V51" s="66">
        <v>0</v>
      </c>
      <c r="W51" s="66">
        <v>0.04</v>
      </c>
      <c r="X51" s="66">
        <v>0.28000000000000003</v>
      </c>
      <c r="Y51" s="66">
        <v>0.34</v>
      </c>
      <c r="Z51" s="66">
        <v>0.75</v>
      </c>
      <c r="AA51" s="66">
        <v>0.02</v>
      </c>
      <c r="AB51" s="66">
        <v>0.31</v>
      </c>
      <c r="AC51" s="66">
        <v>0.09</v>
      </c>
      <c r="AD51" s="66">
        <v>0.31</v>
      </c>
      <c r="AE51" s="66">
        <v>0.23</v>
      </c>
      <c r="AF51" s="66">
        <v>0.51</v>
      </c>
      <c r="AG51" s="66">
        <v>0.38</v>
      </c>
      <c r="AH51" s="12">
        <v>59</v>
      </c>
      <c r="AI51" s="12">
        <v>8</v>
      </c>
      <c r="AJ51" s="40">
        <v>0.02</v>
      </c>
      <c r="AK51" s="40">
        <v>0.31</v>
      </c>
      <c r="AL51" s="40">
        <v>0.61</v>
      </c>
      <c r="AM51" s="40">
        <v>0.06</v>
      </c>
      <c r="AN51" s="40">
        <v>0.11</v>
      </c>
      <c r="AO51" s="40">
        <v>0.34</v>
      </c>
      <c r="AP51" s="40">
        <v>0.41</v>
      </c>
      <c r="AQ51" s="40">
        <v>0.25</v>
      </c>
      <c r="AR51" s="40">
        <v>0.49</v>
      </c>
      <c r="AS51" s="40">
        <v>0.41</v>
      </c>
      <c r="AT51" s="40">
        <v>0.33</v>
      </c>
      <c r="AU51" s="40">
        <v>0.35</v>
      </c>
      <c r="AV51" s="40">
        <v>0.47</v>
      </c>
      <c r="AW51" s="40">
        <v>0.24</v>
      </c>
      <c r="AX51" s="40">
        <v>0.39</v>
      </c>
      <c r="AY51" s="40">
        <v>0.18</v>
      </c>
      <c r="AZ51" s="40">
        <v>0.16</v>
      </c>
      <c r="BA51" s="40">
        <v>0.3</v>
      </c>
      <c r="BB51" s="40">
        <v>0.56000000000000005</v>
      </c>
      <c r="BC51" s="40">
        <v>0.52</v>
      </c>
      <c r="BD51" s="40">
        <v>0.34</v>
      </c>
      <c r="BE51" s="40">
        <v>0.35</v>
      </c>
      <c r="BF51" s="40">
        <v>0.39</v>
      </c>
      <c r="BG51" s="40">
        <v>0.36</v>
      </c>
      <c r="BH51" s="40">
        <v>0.32</v>
      </c>
      <c r="BI51" s="40">
        <v>0.32</v>
      </c>
      <c r="BJ51" s="40">
        <v>0.28999999999999998</v>
      </c>
      <c r="BK51" s="40">
        <v>0.32</v>
      </c>
      <c r="BL51" s="40">
        <v>0.33</v>
      </c>
      <c r="BM51" s="12">
        <v>58</v>
      </c>
      <c r="BN51" s="12">
        <v>7</v>
      </c>
      <c r="BO51" s="66">
        <v>0.01</v>
      </c>
      <c r="BP51" s="66">
        <v>0.3</v>
      </c>
      <c r="BQ51" s="66">
        <v>0.66</v>
      </c>
      <c r="BR51" s="66">
        <v>0.02</v>
      </c>
      <c r="BS51" s="66">
        <v>0.2</v>
      </c>
      <c r="BT51" s="66">
        <v>0.48</v>
      </c>
      <c r="BU51" s="66">
        <v>0.54</v>
      </c>
      <c r="BV51" s="66">
        <v>0.13</v>
      </c>
      <c r="BW51" s="66">
        <v>0.52</v>
      </c>
      <c r="BX51" s="66">
        <v>0.2</v>
      </c>
      <c r="BY51" s="66">
        <v>0.34</v>
      </c>
      <c r="BZ51" s="66">
        <v>0.43</v>
      </c>
      <c r="CA51" s="66">
        <v>0.4</v>
      </c>
      <c r="CB51" s="66">
        <v>0.19</v>
      </c>
      <c r="CC51" s="66">
        <v>7.0000000000000007E-2</v>
      </c>
      <c r="CD51" s="66">
        <v>0.27</v>
      </c>
      <c r="CE51" s="66">
        <v>0.18</v>
      </c>
      <c r="CF51" s="66">
        <v>0.45</v>
      </c>
      <c r="CG51" s="66">
        <v>0.48</v>
      </c>
      <c r="CH51" s="66">
        <v>0.33</v>
      </c>
      <c r="CI51" s="66">
        <v>0.45</v>
      </c>
      <c r="CJ51" s="66">
        <v>0.18</v>
      </c>
      <c r="CK51" s="66">
        <v>0.56999999999999995</v>
      </c>
      <c r="CL51" s="66">
        <v>0.18</v>
      </c>
      <c r="CM51" s="66">
        <v>0.28999999999999998</v>
      </c>
      <c r="CN51" s="66">
        <v>0.28000000000000003</v>
      </c>
      <c r="CO51" s="66">
        <v>0.27</v>
      </c>
      <c r="CP51" s="66">
        <v>0.23</v>
      </c>
      <c r="CQ51" s="66">
        <v>0.42</v>
      </c>
      <c r="CR51" s="66">
        <v>0.45</v>
      </c>
      <c r="CS51" s="12">
        <v>57</v>
      </c>
      <c r="CT51" s="12">
        <v>8</v>
      </c>
      <c r="CU51" s="63">
        <v>0.02</v>
      </c>
      <c r="CV51" s="63">
        <v>0.43</v>
      </c>
      <c r="CW51" s="63">
        <v>0.52</v>
      </c>
      <c r="CX51" s="63">
        <v>0.03</v>
      </c>
      <c r="CY51" s="63">
        <v>0.39</v>
      </c>
      <c r="CZ51" s="63">
        <v>0.23</v>
      </c>
      <c r="DA51" s="63">
        <v>0.48</v>
      </c>
      <c r="DB51" s="63">
        <v>0.2</v>
      </c>
      <c r="DC51" s="63">
        <v>0.39</v>
      </c>
      <c r="DD51" s="63">
        <v>0.6</v>
      </c>
      <c r="DE51" s="63">
        <v>0.31</v>
      </c>
      <c r="DF51" s="63">
        <v>0.43</v>
      </c>
      <c r="DG51" s="63">
        <v>0.32</v>
      </c>
      <c r="DH51" s="63">
        <v>0.28000000000000003</v>
      </c>
      <c r="DI51" s="63">
        <v>0.37</v>
      </c>
      <c r="DJ51" s="63">
        <v>0.31</v>
      </c>
      <c r="DK51" s="63">
        <v>0.23</v>
      </c>
      <c r="DL51" s="63">
        <v>0.15</v>
      </c>
      <c r="DM51" s="63">
        <v>0.41</v>
      </c>
      <c r="DN51" s="63">
        <v>0.46</v>
      </c>
      <c r="DO51" s="63">
        <v>0.28000000000000003</v>
      </c>
      <c r="DP51" s="63">
        <v>0.33</v>
      </c>
      <c r="DQ51" s="63">
        <v>0.48</v>
      </c>
      <c r="DR51" s="63">
        <v>0.06</v>
      </c>
      <c r="DS51" s="63">
        <v>0.3</v>
      </c>
      <c r="DT51" s="63">
        <v>0.38</v>
      </c>
      <c r="DU51" s="63">
        <v>0.35</v>
      </c>
      <c r="DV51" s="63">
        <v>0.48</v>
      </c>
      <c r="DW51" s="63">
        <v>0.18</v>
      </c>
      <c r="DX51" s="35">
        <v>57</v>
      </c>
      <c r="DY51" s="35">
        <v>8</v>
      </c>
      <c r="DZ51" s="40">
        <v>0.03</v>
      </c>
      <c r="EA51" s="40">
        <v>0.36</v>
      </c>
      <c r="EB51" s="40">
        <v>0.55000000000000004</v>
      </c>
      <c r="EC51" s="40">
        <v>0.06</v>
      </c>
      <c r="ED51" s="40">
        <v>0.41</v>
      </c>
      <c r="EE51" s="40">
        <v>0.39</v>
      </c>
      <c r="EF51" s="40">
        <v>0.35</v>
      </c>
      <c r="EG51" s="40">
        <v>0.18</v>
      </c>
      <c r="EH51" s="40">
        <v>0.24</v>
      </c>
      <c r="EI51" s="40">
        <v>0.33</v>
      </c>
      <c r="EJ51" s="40">
        <v>0.43</v>
      </c>
      <c r="EK51" s="40">
        <v>0.19</v>
      </c>
      <c r="EL51" s="40">
        <v>0.37</v>
      </c>
      <c r="EM51" s="40">
        <v>0.69</v>
      </c>
      <c r="EN51" s="40">
        <v>0.22</v>
      </c>
      <c r="EO51" s="40">
        <v>0.47</v>
      </c>
      <c r="EP51" s="40">
        <v>0.19</v>
      </c>
      <c r="EQ51" s="40">
        <v>0.17</v>
      </c>
      <c r="ER51" s="40">
        <v>0.56000000000000005</v>
      </c>
      <c r="ES51" s="40">
        <v>0.31</v>
      </c>
      <c r="ET51" s="40">
        <v>0.17</v>
      </c>
      <c r="EU51" s="40">
        <v>0.4</v>
      </c>
      <c r="EV51" s="40">
        <v>0.2</v>
      </c>
      <c r="EW51" s="40">
        <v>0.24</v>
      </c>
      <c r="EX51" s="40">
        <v>0.69</v>
      </c>
      <c r="EY51" s="40">
        <v>0.39</v>
      </c>
      <c r="EZ51" s="40">
        <v>0.06</v>
      </c>
      <c r="FA51" s="40">
        <v>0.54</v>
      </c>
      <c r="FB51" s="246">
        <v>55</v>
      </c>
      <c r="FC51" s="246" t="s">
        <v>758</v>
      </c>
      <c r="FD51" s="246">
        <v>9</v>
      </c>
      <c r="FE51" s="246" t="s">
        <v>758</v>
      </c>
      <c r="FF51" s="263">
        <v>0.04</v>
      </c>
      <c r="FG51" s="263">
        <v>0.46</v>
      </c>
      <c r="FH51" s="263">
        <v>0.46</v>
      </c>
      <c r="FI51" s="263">
        <v>0.04</v>
      </c>
      <c r="FJ51" s="263">
        <v>0.34</v>
      </c>
      <c r="FK51" s="263">
        <v>0.59</v>
      </c>
      <c r="FL51" s="263">
        <v>0.37</v>
      </c>
      <c r="FM51" s="263">
        <v>0.25</v>
      </c>
      <c r="FN51" s="263">
        <v>0.25</v>
      </c>
      <c r="FO51" s="263">
        <v>0.21</v>
      </c>
      <c r="FP51" s="263">
        <v>0.28999999999999998</v>
      </c>
      <c r="FQ51" s="263">
        <v>0.4</v>
      </c>
      <c r="FR51" s="263">
        <v>0.46</v>
      </c>
      <c r="FS51" s="263">
        <v>0.5</v>
      </c>
      <c r="FT51" s="263">
        <v>0.39</v>
      </c>
      <c r="FU51" s="263">
        <v>0.24</v>
      </c>
      <c r="FV51" s="263">
        <v>0.46</v>
      </c>
      <c r="FW51" s="263">
        <v>0.46</v>
      </c>
      <c r="FX51" s="263">
        <v>0.26</v>
      </c>
      <c r="FY51" s="263">
        <v>0.25</v>
      </c>
      <c r="FZ51" s="263">
        <v>0.3</v>
      </c>
      <c r="GA51" s="263">
        <v>0.47</v>
      </c>
      <c r="GB51" s="263">
        <v>0.42</v>
      </c>
      <c r="GC51" s="263">
        <v>0.34</v>
      </c>
      <c r="GD51" s="263">
        <v>0.51</v>
      </c>
      <c r="GE51" s="263">
        <v>0.4</v>
      </c>
      <c r="GF51" s="263">
        <v>0.34</v>
      </c>
      <c r="GG51" s="263">
        <v>0.36</v>
      </c>
      <c r="GH51" s="263">
        <v>0.47</v>
      </c>
      <c r="GI51" s="263">
        <v>0.22</v>
      </c>
      <c r="GJ51" s="309">
        <v>56</v>
      </c>
      <c r="GK51" s="309" t="s">
        <v>758</v>
      </c>
      <c r="GL51" s="309">
        <v>9</v>
      </c>
      <c r="GM51" s="309" t="s">
        <v>758</v>
      </c>
      <c r="GN51" s="327">
        <v>0.03</v>
      </c>
      <c r="GO51" s="327">
        <v>0.44</v>
      </c>
      <c r="GP51" s="327">
        <v>0.48</v>
      </c>
      <c r="GQ51" s="327">
        <v>0.06</v>
      </c>
      <c r="GR51" s="327">
        <v>0.39</v>
      </c>
      <c r="GS51" s="327">
        <v>0.37</v>
      </c>
      <c r="GT51" s="327">
        <v>0.47</v>
      </c>
      <c r="GU51" s="327">
        <v>0.15</v>
      </c>
      <c r="GV51" s="327">
        <v>0.43</v>
      </c>
      <c r="GW51" s="327">
        <v>0.39</v>
      </c>
      <c r="GX51" s="327">
        <v>0.31</v>
      </c>
      <c r="GY51" s="309" t="s">
        <v>173</v>
      </c>
      <c r="GZ51" s="327">
        <v>0.2</v>
      </c>
      <c r="HA51" s="327">
        <v>0.59</v>
      </c>
      <c r="HB51" s="327">
        <v>0.36</v>
      </c>
      <c r="HC51" s="327">
        <v>0.46</v>
      </c>
      <c r="HD51" s="327">
        <v>0.47</v>
      </c>
      <c r="HE51" s="327">
        <v>0.32</v>
      </c>
      <c r="HF51" s="327">
        <v>0.36</v>
      </c>
      <c r="HG51" s="327">
        <v>0.56000000000000005</v>
      </c>
      <c r="HH51" s="327">
        <v>0.28000000000000003</v>
      </c>
      <c r="HI51" s="327">
        <v>0.42</v>
      </c>
      <c r="HJ51" s="327">
        <v>0.48</v>
      </c>
      <c r="HK51" s="327">
        <v>0.52</v>
      </c>
      <c r="HL51" s="327">
        <v>0.34</v>
      </c>
      <c r="HM51" s="327">
        <v>0.43</v>
      </c>
      <c r="HN51" s="327">
        <v>0.4</v>
      </c>
      <c r="HO51" s="327">
        <v>0.3</v>
      </c>
      <c r="HP51" s="309" t="s">
        <v>173</v>
      </c>
      <c r="HQ51" s="327">
        <v>0.34</v>
      </c>
      <c r="HR51" s="424">
        <v>58</v>
      </c>
      <c r="HS51" s="424" t="s">
        <v>758</v>
      </c>
      <c r="HT51" s="424">
        <v>8</v>
      </c>
      <c r="HU51" s="424" t="s">
        <v>758</v>
      </c>
      <c r="HV51" s="428">
        <v>0.03</v>
      </c>
      <c r="HW51" s="428">
        <v>0.37</v>
      </c>
      <c r="HX51" s="428">
        <v>0.56000000000000005</v>
      </c>
      <c r="HY51" s="428">
        <v>0.04</v>
      </c>
      <c r="HZ51" s="428">
        <v>0.24</v>
      </c>
      <c r="IA51" s="428">
        <v>0.39</v>
      </c>
      <c r="IB51" s="428">
        <v>0.21</v>
      </c>
      <c r="IC51" s="428">
        <v>0.4</v>
      </c>
      <c r="ID51" s="428">
        <v>0.54</v>
      </c>
      <c r="IE51" s="428">
        <v>0.19</v>
      </c>
      <c r="IF51" s="428">
        <v>0.34</v>
      </c>
      <c r="IG51" s="428">
        <v>0.47</v>
      </c>
      <c r="IH51" s="428">
        <v>0.35</v>
      </c>
      <c r="II51" s="428">
        <v>0.22</v>
      </c>
      <c r="IJ51" s="428">
        <v>0.16</v>
      </c>
      <c r="IK51" s="428">
        <v>0.46</v>
      </c>
      <c r="IL51" s="428">
        <v>0.19</v>
      </c>
      <c r="IM51" s="428">
        <v>0.49</v>
      </c>
      <c r="IN51" s="428">
        <v>0.36</v>
      </c>
      <c r="IO51" s="428">
        <v>0.39</v>
      </c>
      <c r="IP51" s="428">
        <v>0.28000000000000003</v>
      </c>
      <c r="IQ51" s="428">
        <v>0.56000000000000005</v>
      </c>
      <c r="IR51" s="428">
        <v>0.46</v>
      </c>
      <c r="IS51" s="428">
        <v>0.41</v>
      </c>
      <c r="IT51" s="428">
        <v>0.34</v>
      </c>
      <c r="IU51" s="424" t="s">
        <v>173</v>
      </c>
      <c r="IV51" s="428">
        <v>0.53</v>
      </c>
      <c r="IW51" s="428">
        <v>0.28999999999999998</v>
      </c>
      <c r="IX51" s="428">
        <v>0.4</v>
      </c>
      <c r="IY51" s="428">
        <v>0.36</v>
      </c>
      <c r="IZ51" s="464">
        <v>58</v>
      </c>
      <c r="JA51" s="464" t="s">
        <v>758</v>
      </c>
      <c r="JB51" s="464">
        <v>8</v>
      </c>
      <c r="JC51" s="464" t="s">
        <v>758</v>
      </c>
      <c r="JD51" s="476">
        <v>0.01</v>
      </c>
      <c r="JE51" s="476">
        <v>0.33</v>
      </c>
      <c r="JF51" s="476">
        <v>0.62</v>
      </c>
      <c r="JG51" s="476">
        <v>0.04</v>
      </c>
      <c r="JH51" s="476">
        <v>0.35</v>
      </c>
      <c r="JI51" s="476">
        <v>0.38</v>
      </c>
      <c r="JJ51" s="476">
        <v>0.23</v>
      </c>
      <c r="JK51" s="476">
        <v>0.37</v>
      </c>
      <c r="JL51" s="476">
        <v>0.39</v>
      </c>
      <c r="JM51" s="476">
        <v>0.35</v>
      </c>
      <c r="JN51" s="476">
        <v>0.25</v>
      </c>
      <c r="JO51" s="476">
        <v>0.33</v>
      </c>
      <c r="JP51" s="476">
        <v>0.43</v>
      </c>
      <c r="JQ51" s="476">
        <v>0.13</v>
      </c>
      <c r="JR51" s="476">
        <v>0.44</v>
      </c>
      <c r="JS51" s="476">
        <v>0.3</v>
      </c>
      <c r="JT51" s="476">
        <v>0.32</v>
      </c>
      <c r="JU51" s="476">
        <v>0.36</v>
      </c>
      <c r="JV51" s="476">
        <v>0.38</v>
      </c>
      <c r="JW51" s="476">
        <v>0.41</v>
      </c>
      <c r="JX51" s="476">
        <v>0.25</v>
      </c>
      <c r="JY51" s="476">
        <v>0.35</v>
      </c>
      <c r="JZ51" s="476">
        <v>0.32</v>
      </c>
      <c r="KA51" s="476">
        <v>0.42</v>
      </c>
      <c r="KB51" s="476">
        <v>0.28999999999999998</v>
      </c>
      <c r="KC51" s="476">
        <v>0.41</v>
      </c>
      <c r="KD51" s="476">
        <v>0.21</v>
      </c>
      <c r="KE51" s="476">
        <v>0.34</v>
      </c>
      <c r="KF51" s="476">
        <v>0.39</v>
      </c>
      <c r="KG51" s="476">
        <v>0.4</v>
      </c>
      <c r="KH51" s="971">
        <v>57</v>
      </c>
      <c r="KI51" s="971" t="s">
        <v>758</v>
      </c>
      <c r="KJ51" s="971">
        <v>9</v>
      </c>
      <c r="KK51" s="971" t="s">
        <v>758</v>
      </c>
      <c r="KL51" s="949">
        <v>0.04</v>
      </c>
      <c r="KM51" s="949">
        <v>0.43</v>
      </c>
      <c r="KN51" s="949">
        <v>0.46</v>
      </c>
      <c r="KO51" s="949">
        <v>7.0000000000000007E-2</v>
      </c>
      <c r="KP51" s="949">
        <v>0.43</v>
      </c>
      <c r="KQ51" s="949">
        <v>0.15</v>
      </c>
      <c r="KR51" s="949">
        <v>0.51</v>
      </c>
      <c r="KS51" s="949">
        <v>0.36</v>
      </c>
      <c r="KT51" s="949">
        <v>0.52</v>
      </c>
      <c r="KU51" s="949">
        <v>0.28999999999999998</v>
      </c>
      <c r="KV51" s="949">
        <v>0.44</v>
      </c>
      <c r="KW51" s="949">
        <v>0.21</v>
      </c>
      <c r="KX51" s="949">
        <v>0.26</v>
      </c>
      <c r="KY51" s="949">
        <v>0.43</v>
      </c>
      <c r="KZ51" s="949">
        <v>0.31</v>
      </c>
      <c r="LA51" s="949">
        <v>0.36</v>
      </c>
      <c r="LB51" s="949">
        <v>0.22</v>
      </c>
      <c r="LC51" s="949">
        <v>0.31</v>
      </c>
      <c r="LD51" s="949">
        <v>0.51</v>
      </c>
      <c r="LE51" s="949">
        <v>0.44</v>
      </c>
      <c r="LF51" s="949">
        <v>0.2</v>
      </c>
      <c r="LG51" s="949">
        <v>0.2</v>
      </c>
      <c r="LH51" s="949">
        <v>0.53</v>
      </c>
      <c r="LI51" s="949">
        <v>0.41</v>
      </c>
      <c r="LJ51" s="949">
        <v>0.31</v>
      </c>
      <c r="LK51" s="949">
        <v>0.44</v>
      </c>
      <c r="LL51" s="949" t="s">
        <v>173</v>
      </c>
      <c r="LM51" s="949">
        <v>0.47</v>
      </c>
      <c r="LN51" s="949">
        <v>0.6</v>
      </c>
      <c r="LO51" s="949">
        <v>0.38</v>
      </c>
      <c r="LP51" s="922">
        <v>325754001891</v>
      </c>
      <c r="LQ51" s="126" t="s">
        <v>72</v>
      </c>
      <c r="LR51" s="424">
        <v>58</v>
      </c>
      <c r="LS51" s="971">
        <v>57</v>
      </c>
      <c r="LT51" s="946"/>
    </row>
    <row r="52" spans="1:332" ht="24.95" customHeight="1" x14ac:dyDescent="0.2">
      <c r="A52" s="36" t="s">
        <v>165</v>
      </c>
      <c r="B52" s="1" t="s">
        <v>123</v>
      </c>
      <c r="C52" s="2">
        <v>2</v>
      </c>
      <c r="D52" s="12"/>
      <c r="E52" s="12"/>
      <c r="F52" s="12"/>
      <c r="G52" s="12"/>
      <c r="H52" s="12"/>
      <c r="I52" s="12"/>
      <c r="J52" s="12"/>
      <c r="K52" s="12"/>
      <c r="L52" s="12"/>
      <c r="M52" s="12"/>
      <c r="N52" s="12"/>
      <c r="O52" s="12"/>
      <c r="P52" s="12"/>
      <c r="Q52" s="12"/>
      <c r="R52" s="12"/>
      <c r="S52" s="12"/>
      <c r="T52" s="12"/>
      <c r="U52" s="12"/>
      <c r="V52" s="12"/>
      <c r="W52" s="12"/>
      <c r="X52" s="12"/>
      <c r="Y52" s="12"/>
      <c r="Z52" s="12"/>
      <c r="AA52" s="12"/>
      <c r="AB52" s="12"/>
      <c r="AC52" s="12"/>
      <c r="AD52" s="12"/>
      <c r="AE52" s="12"/>
      <c r="AF52" s="12"/>
      <c r="AG52" s="12"/>
      <c r="AH52" s="12" t="s">
        <v>126</v>
      </c>
      <c r="AI52" s="12" t="s">
        <v>126</v>
      </c>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12" t="s">
        <v>126</v>
      </c>
      <c r="BN52" s="12" t="s">
        <v>126</v>
      </c>
      <c r="BO52" s="12"/>
      <c r="BP52" s="12"/>
      <c r="BQ52" s="12"/>
      <c r="BR52" s="12"/>
      <c r="BS52" s="12"/>
      <c r="BT52" s="12"/>
      <c r="BU52" s="12"/>
      <c r="BV52" s="12"/>
      <c r="BW52" s="12"/>
      <c r="BX52" s="12"/>
      <c r="BY52" s="12"/>
      <c r="BZ52" s="12"/>
      <c r="CA52" s="12"/>
      <c r="CB52" s="12"/>
      <c r="CC52" s="12"/>
      <c r="CD52" s="12"/>
      <c r="CE52" s="12"/>
      <c r="CF52" s="12"/>
      <c r="CG52" s="12"/>
      <c r="CH52" s="12"/>
      <c r="CI52" s="12"/>
      <c r="CJ52" s="12"/>
      <c r="CK52" s="12"/>
      <c r="CL52" s="12"/>
      <c r="CM52" s="12"/>
      <c r="CN52" s="12"/>
      <c r="CO52" s="12"/>
      <c r="CP52" s="12"/>
      <c r="CQ52" s="12"/>
      <c r="CR52" s="12"/>
      <c r="CS52" s="12" t="s">
        <v>126</v>
      </c>
      <c r="CT52" s="12" t="s">
        <v>126</v>
      </c>
      <c r="CU52" s="2"/>
      <c r="CV52" s="2"/>
      <c r="CW52" s="2"/>
      <c r="CX52" s="2"/>
      <c r="CY52" s="2"/>
      <c r="CZ52" s="2"/>
      <c r="DA52" s="2"/>
      <c r="DB52" s="2"/>
      <c r="DC52" s="2"/>
      <c r="DD52" s="2"/>
      <c r="DE52" s="2"/>
      <c r="DF52" s="2"/>
      <c r="DG52" s="2"/>
      <c r="DH52" s="2"/>
      <c r="DI52" s="2"/>
      <c r="DJ52" s="2"/>
      <c r="DK52" s="2"/>
      <c r="DL52" s="2"/>
      <c r="DM52" s="2"/>
      <c r="DN52" s="2"/>
      <c r="DO52" s="2"/>
      <c r="DP52" s="2"/>
      <c r="DQ52" s="2"/>
      <c r="DR52" s="2"/>
      <c r="DS52" s="2"/>
      <c r="DT52" s="2"/>
      <c r="DU52" s="2"/>
      <c r="DV52" s="2"/>
      <c r="DW52" s="2"/>
      <c r="DX52" s="35">
        <v>40</v>
      </c>
      <c r="DY52" s="35">
        <v>0</v>
      </c>
      <c r="DZ52" s="40">
        <v>1</v>
      </c>
      <c r="EA52" s="40">
        <v>0</v>
      </c>
      <c r="EB52" s="40">
        <v>0</v>
      </c>
      <c r="EC52" s="40">
        <v>0</v>
      </c>
      <c r="ED52" s="40">
        <v>0.5</v>
      </c>
      <c r="EE52" s="40">
        <v>1</v>
      </c>
      <c r="EF52" s="40">
        <v>0.67</v>
      </c>
      <c r="EG52" s="40">
        <v>0</v>
      </c>
      <c r="EH52" s="40">
        <v>1</v>
      </c>
      <c r="EI52" s="40">
        <v>0</v>
      </c>
      <c r="EJ52" s="40">
        <v>0</v>
      </c>
      <c r="EK52" s="40">
        <v>0.5</v>
      </c>
      <c r="EL52" s="40">
        <v>1</v>
      </c>
      <c r="EM52" s="35" t="s">
        <v>173</v>
      </c>
      <c r="EN52" s="40">
        <v>0</v>
      </c>
      <c r="EO52" s="40">
        <v>1</v>
      </c>
      <c r="EP52" s="40">
        <v>1</v>
      </c>
      <c r="EQ52" s="40">
        <v>1</v>
      </c>
      <c r="ER52" s="40">
        <v>1</v>
      </c>
      <c r="ES52" s="40">
        <v>0.5</v>
      </c>
      <c r="ET52" s="40">
        <v>0.33</v>
      </c>
      <c r="EU52" s="40">
        <v>1</v>
      </c>
      <c r="EV52" s="35" t="s">
        <v>173</v>
      </c>
      <c r="EW52" s="40">
        <v>0.5</v>
      </c>
      <c r="EX52" s="35" t="s">
        <v>173</v>
      </c>
      <c r="EY52" s="40">
        <v>1</v>
      </c>
      <c r="EZ52" s="40">
        <v>1</v>
      </c>
      <c r="FA52" s="40">
        <v>0.67</v>
      </c>
      <c r="FB52" s="646"/>
      <c r="FC52" s="646"/>
      <c r="FD52" s="646"/>
      <c r="FE52" s="646"/>
      <c r="FF52" s="646"/>
      <c r="FG52" s="646"/>
      <c r="FH52" s="646"/>
      <c r="FI52" s="646"/>
      <c r="FJ52" s="646"/>
      <c r="FK52" s="646"/>
      <c r="FL52" s="646"/>
      <c r="FM52" s="646"/>
      <c r="FN52" s="646"/>
      <c r="FO52" s="646"/>
      <c r="FP52" s="646"/>
      <c r="FQ52" s="646"/>
      <c r="FR52" s="646"/>
      <c r="FS52" s="646"/>
      <c r="FT52" s="646"/>
      <c r="FU52" s="646"/>
      <c r="FV52" s="646"/>
      <c r="FW52" s="646"/>
      <c r="FX52" s="646"/>
      <c r="FY52" s="646"/>
      <c r="FZ52" s="646"/>
      <c r="GA52" s="646"/>
      <c r="GB52" s="646"/>
      <c r="GC52" s="646"/>
      <c r="GD52" s="646"/>
      <c r="GE52" s="646"/>
      <c r="GF52" s="646"/>
      <c r="GG52" s="646"/>
      <c r="GH52" s="646"/>
      <c r="GI52" s="646"/>
      <c r="GJ52" s="649"/>
      <c r="GK52" s="649"/>
      <c r="GL52" s="649"/>
      <c r="GM52" s="649"/>
      <c r="GN52" s="649"/>
      <c r="GO52" s="649"/>
      <c r="GP52" s="649"/>
      <c r="GQ52" s="649"/>
      <c r="GR52" s="649"/>
      <c r="GS52" s="649"/>
      <c r="GT52" s="649"/>
      <c r="GU52" s="649"/>
      <c r="GV52" s="649"/>
      <c r="GW52" s="649"/>
      <c r="GX52" s="649"/>
      <c r="GY52" s="649"/>
      <c r="GZ52" s="649"/>
      <c r="HA52" s="649"/>
      <c r="HB52" s="649"/>
      <c r="HC52" s="649"/>
      <c r="HD52" s="649"/>
      <c r="HE52" s="649"/>
      <c r="HF52" s="649"/>
      <c r="HG52" s="649"/>
      <c r="HH52" s="649"/>
      <c r="HI52" s="649"/>
      <c r="HJ52" s="649"/>
      <c r="HK52" s="649"/>
      <c r="HL52" s="649"/>
      <c r="HM52" s="649"/>
      <c r="HN52" s="649"/>
      <c r="HO52" s="649"/>
      <c r="HP52" s="649"/>
      <c r="HQ52" s="649"/>
      <c r="HR52" s="651"/>
      <c r="HS52" s="651"/>
      <c r="HT52" s="651"/>
      <c r="HU52" s="651"/>
      <c r="HV52" s="651"/>
      <c r="HW52" s="651"/>
      <c r="HX52" s="651"/>
      <c r="HY52" s="651"/>
      <c r="HZ52" s="651"/>
      <c r="IA52" s="651"/>
      <c r="IB52" s="651"/>
      <c r="IC52" s="651"/>
      <c r="ID52" s="651"/>
      <c r="IE52" s="651"/>
      <c r="IF52" s="651"/>
      <c r="IG52" s="651"/>
      <c r="IH52" s="651"/>
      <c r="II52" s="651"/>
      <c r="IJ52" s="651"/>
      <c r="IK52" s="651"/>
      <c r="IL52" s="651"/>
      <c r="IM52" s="651"/>
      <c r="IN52" s="651"/>
      <c r="IO52" s="651"/>
      <c r="IP52" s="651"/>
      <c r="IQ52" s="651"/>
      <c r="IR52" s="651"/>
      <c r="IS52" s="651"/>
      <c r="IT52" s="651"/>
      <c r="IU52" s="651"/>
      <c r="IV52" s="651"/>
      <c r="IW52" s="651"/>
      <c r="IX52" s="651"/>
      <c r="IY52" s="651"/>
      <c r="IZ52" s="650"/>
      <c r="JA52" s="650"/>
      <c r="JB52" s="650"/>
      <c r="JC52" s="650"/>
      <c r="JD52" s="650"/>
      <c r="JE52" s="650"/>
      <c r="JF52" s="650"/>
      <c r="JG52" s="650"/>
      <c r="JH52" s="650"/>
      <c r="JI52" s="650"/>
      <c r="JJ52" s="650"/>
      <c r="JK52" s="650"/>
      <c r="JL52" s="650"/>
      <c r="JM52" s="650"/>
      <c r="JN52" s="650"/>
      <c r="JO52" s="650"/>
      <c r="JP52" s="650"/>
      <c r="JQ52" s="650"/>
      <c r="JR52" s="650"/>
      <c r="JS52" s="650"/>
      <c r="JT52" s="650"/>
      <c r="JU52" s="650"/>
      <c r="JV52" s="650"/>
      <c r="JW52" s="650"/>
      <c r="JX52" s="650"/>
      <c r="JY52" s="650"/>
      <c r="JZ52" s="650"/>
      <c r="KA52" s="650"/>
      <c r="KB52" s="650"/>
      <c r="KC52" s="650"/>
      <c r="KD52" s="650"/>
      <c r="KE52" s="650"/>
      <c r="KF52" s="650"/>
      <c r="KG52" s="650"/>
      <c r="KH52" s="971">
        <v>49</v>
      </c>
      <c r="KI52" s="971" t="s">
        <v>758</v>
      </c>
      <c r="KJ52" s="971">
        <v>11</v>
      </c>
      <c r="KK52" s="971" t="s">
        <v>758</v>
      </c>
      <c r="KL52" s="949">
        <v>0.33</v>
      </c>
      <c r="KM52" s="949">
        <v>0.41</v>
      </c>
      <c r="KN52" s="949">
        <v>0.26</v>
      </c>
      <c r="KO52" s="949">
        <v>0</v>
      </c>
      <c r="KP52" s="949">
        <v>0.48</v>
      </c>
      <c r="KQ52" s="949">
        <v>0.41</v>
      </c>
      <c r="KR52" s="949">
        <v>0.59</v>
      </c>
      <c r="KS52" s="949">
        <v>0.51</v>
      </c>
      <c r="KT52" s="949">
        <v>0.56000000000000005</v>
      </c>
      <c r="KU52" s="949">
        <v>0.57999999999999996</v>
      </c>
      <c r="KV52" s="949">
        <v>0.67</v>
      </c>
      <c r="KW52" s="949">
        <v>0.49</v>
      </c>
      <c r="KX52" s="949">
        <v>0.37</v>
      </c>
      <c r="KY52" s="949">
        <v>0.54</v>
      </c>
      <c r="KZ52" s="949">
        <v>0.44</v>
      </c>
      <c r="LA52" s="949">
        <v>0.5</v>
      </c>
      <c r="LB52" s="949">
        <v>0.5</v>
      </c>
      <c r="LC52" s="949">
        <v>0.44</v>
      </c>
      <c r="LD52" s="949">
        <v>0.61</v>
      </c>
      <c r="LE52" s="949">
        <v>0.59</v>
      </c>
      <c r="LF52" s="949">
        <v>0.34</v>
      </c>
      <c r="LG52" s="949">
        <v>0.44</v>
      </c>
      <c r="LH52" s="949">
        <v>0.53</v>
      </c>
      <c r="LI52" s="949">
        <v>0.52</v>
      </c>
      <c r="LJ52" s="949">
        <v>0.43</v>
      </c>
      <c r="LK52" s="949">
        <v>0.64</v>
      </c>
      <c r="LL52" s="949" t="s">
        <v>173</v>
      </c>
      <c r="LM52" s="949">
        <v>0.66</v>
      </c>
      <c r="LN52" s="949">
        <v>0.47</v>
      </c>
      <c r="LO52" s="949">
        <v>0.41</v>
      </c>
      <c r="LP52" s="922">
        <v>325754005331</v>
      </c>
      <c r="LQ52" s="36" t="s">
        <v>165</v>
      </c>
      <c r="LR52" s="651"/>
      <c r="LS52" s="971">
        <v>49</v>
      </c>
      <c r="LT52" s="946"/>
    </row>
    <row r="53" spans="1:332" ht="24.95" customHeight="1" x14ac:dyDescent="0.2">
      <c r="A53" s="126" t="s">
        <v>76</v>
      </c>
      <c r="B53" s="1" t="s">
        <v>123</v>
      </c>
      <c r="C53" s="2">
        <v>5</v>
      </c>
      <c r="D53" s="12">
        <v>55</v>
      </c>
      <c r="E53" s="12">
        <v>6</v>
      </c>
      <c r="F53" s="66">
        <v>0</v>
      </c>
      <c r="G53" s="66">
        <v>0.57999999999999996</v>
      </c>
      <c r="H53" s="66">
        <v>0.42</v>
      </c>
      <c r="I53" s="66">
        <v>0</v>
      </c>
      <c r="J53" s="66">
        <v>0.59</v>
      </c>
      <c r="K53" s="66">
        <v>0.39</v>
      </c>
      <c r="L53" s="66">
        <v>0.72</v>
      </c>
      <c r="M53" s="66">
        <v>0.2</v>
      </c>
      <c r="N53" s="66">
        <v>0.24</v>
      </c>
      <c r="O53" s="66">
        <v>0.8</v>
      </c>
      <c r="P53" s="66">
        <v>0.28999999999999998</v>
      </c>
      <c r="Q53" s="66">
        <v>0.46</v>
      </c>
      <c r="R53" s="66">
        <v>0.46</v>
      </c>
      <c r="S53" s="66">
        <v>0.63</v>
      </c>
      <c r="T53" s="66">
        <v>0.27</v>
      </c>
      <c r="U53" s="66">
        <v>0.49</v>
      </c>
      <c r="V53" s="66">
        <v>0.05</v>
      </c>
      <c r="W53" s="66">
        <v>0.1</v>
      </c>
      <c r="X53" s="66">
        <v>0.51</v>
      </c>
      <c r="Y53" s="66">
        <v>0.44</v>
      </c>
      <c r="Z53" s="66">
        <v>1</v>
      </c>
      <c r="AA53" s="66">
        <v>0.04</v>
      </c>
      <c r="AB53" s="66">
        <v>0.46</v>
      </c>
      <c r="AC53" s="66">
        <v>0.18</v>
      </c>
      <c r="AD53" s="66">
        <v>0.38</v>
      </c>
      <c r="AE53" s="66">
        <v>0.38</v>
      </c>
      <c r="AF53" s="66">
        <v>0.52</v>
      </c>
      <c r="AG53" s="66">
        <v>0.6</v>
      </c>
      <c r="AH53" s="12">
        <v>53</v>
      </c>
      <c r="AI53" s="12">
        <v>9</v>
      </c>
      <c r="AJ53" s="40">
        <v>0.06</v>
      </c>
      <c r="AK53" s="40">
        <v>0.5</v>
      </c>
      <c r="AL53" s="40">
        <v>0.44</v>
      </c>
      <c r="AM53" s="40">
        <v>0</v>
      </c>
      <c r="AN53" s="40">
        <v>0.28999999999999998</v>
      </c>
      <c r="AO53" s="40">
        <v>0.41</v>
      </c>
      <c r="AP53" s="40">
        <v>0.56000000000000005</v>
      </c>
      <c r="AQ53" s="40">
        <v>0.26</v>
      </c>
      <c r="AR53" s="40">
        <v>0.56999999999999995</v>
      </c>
      <c r="AS53" s="40">
        <v>0.55000000000000004</v>
      </c>
      <c r="AT53" s="40">
        <v>0.56000000000000005</v>
      </c>
      <c r="AU53" s="40">
        <v>0.46</v>
      </c>
      <c r="AV53" s="40">
        <v>0.7</v>
      </c>
      <c r="AW53" s="40">
        <v>0.5</v>
      </c>
      <c r="AX53" s="40">
        <v>0.39</v>
      </c>
      <c r="AY53" s="40">
        <v>0.3</v>
      </c>
      <c r="AZ53" s="40">
        <v>0.21</v>
      </c>
      <c r="BA53" s="40">
        <v>0.42</v>
      </c>
      <c r="BB53" s="40">
        <v>0.49</v>
      </c>
      <c r="BC53" s="40">
        <v>0.69</v>
      </c>
      <c r="BD53" s="40">
        <v>0.46</v>
      </c>
      <c r="BE53" s="40">
        <v>0.38</v>
      </c>
      <c r="BF53" s="40">
        <v>0.64</v>
      </c>
      <c r="BG53" s="40">
        <v>0.48</v>
      </c>
      <c r="BH53" s="40">
        <v>0.44</v>
      </c>
      <c r="BI53" s="40">
        <v>0.44</v>
      </c>
      <c r="BJ53" s="40">
        <v>0.15</v>
      </c>
      <c r="BK53" s="40">
        <v>0.44</v>
      </c>
      <c r="BL53" s="40">
        <v>0.56000000000000005</v>
      </c>
      <c r="BM53" s="12">
        <v>52</v>
      </c>
      <c r="BN53" s="12">
        <v>8</v>
      </c>
      <c r="BO53" s="66">
        <v>0</v>
      </c>
      <c r="BP53" s="66">
        <v>0.72</v>
      </c>
      <c r="BQ53" s="66">
        <v>0.28000000000000003</v>
      </c>
      <c r="BR53" s="66">
        <v>0</v>
      </c>
      <c r="BS53" s="66">
        <v>0.24</v>
      </c>
      <c r="BT53" s="66">
        <v>0.4</v>
      </c>
      <c r="BU53" s="66">
        <v>0.61</v>
      </c>
      <c r="BV53" s="66">
        <v>0.25</v>
      </c>
      <c r="BW53" s="66">
        <v>0.7</v>
      </c>
      <c r="BX53" s="66">
        <v>0.35</v>
      </c>
      <c r="BY53" s="66">
        <v>0.32</v>
      </c>
      <c r="BZ53" s="66">
        <v>0.48</v>
      </c>
      <c r="CA53" s="66">
        <v>0.36</v>
      </c>
      <c r="CB53" s="66">
        <v>0.28999999999999998</v>
      </c>
      <c r="CC53" s="66">
        <v>0.17</v>
      </c>
      <c r="CD53" s="66">
        <v>0.43</v>
      </c>
      <c r="CE53" s="66">
        <v>0.28999999999999998</v>
      </c>
      <c r="CF53" s="66">
        <v>0.57999999999999996</v>
      </c>
      <c r="CG53" s="66">
        <v>0.67</v>
      </c>
      <c r="CH53" s="66">
        <v>0.53</v>
      </c>
      <c r="CI53" s="66">
        <v>0.6</v>
      </c>
      <c r="CJ53" s="66">
        <v>0.13</v>
      </c>
      <c r="CK53" s="66">
        <v>0.75</v>
      </c>
      <c r="CL53" s="66">
        <v>0.22</v>
      </c>
      <c r="CM53" s="66">
        <v>0.48</v>
      </c>
      <c r="CN53" s="66">
        <v>0.37</v>
      </c>
      <c r="CO53" s="66">
        <v>0.37</v>
      </c>
      <c r="CP53" s="66">
        <v>0.28999999999999998</v>
      </c>
      <c r="CQ53" s="66">
        <v>0.55000000000000004</v>
      </c>
      <c r="CR53" s="66">
        <v>0.43</v>
      </c>
      <c r="CS53" s="12">
        <v>54</v>
      </c>
      <c r="CT53" s="12">
        <v>7</v>
      </c>
      <c r="CU53" s="63">
        <v>0</v>
      </c>
      <c r="CV53" s="63">
        <v>0.47</v>
      </c>
      <c r="CW53" s="63">
        <v>0.53</v>
      </c>
      <c r="CX53" s="63">
        <v>0</v>
      </c>
      <c r="CY53" s="63">
        <v>0.44</v>
      </c>
      <c r="CZ53" s="63">
        <v>0.21</v>
      </c>
      <c r="DA53" s="63">
        <v>0.63</v>
      </c>
      <c r="DB53" s="63">
        <v>0.32</v>
      </c>
      <c r="DC53" s="63">
        <v>0.47</v>
      </c>
      <c r="DD53" s="63">
        <v>0.56999999999999995</v>
      </c>
      <c r="DE53" s="63">
        <v>0.41</v>
      </c>
      <c r="DF53" s="63">
        <v>0.4</v>
      </c>
      <c r="DG53" s="63">
        <v>0.48</v>
      </c>
      <c r="DH53" s="63">
        <v>0.44</v>
      </c>
      <c r="DI53" s="63">
        <v>0.35</v>
      </c>
      <c r="DJ53" s="63">
        <v>0.45</v>
      </c>
      <c r="DK53" s="63">
        <v>0.24</v>
      </c>
      <c r="DL53" s="63">
        <v>0.3</v>
      </c>
      <c r="DM53" s="63">
        <v>0.4</v>
      </c>
      <c r="DN53" s="63">
        <v>0.35</v>
      </c>
      <c r="DO53" s="63">
        <v>0.28000000000000003</v>
      </c>
      <c r="DP53" s="63">
        <v>0.42</v>
      </c>
      <c r="DQ53" s="63">
        <v>0.44</v>
      </c>
      <c r="DR53" s="63">
        <v>0.14000000000000001</v>
      </c>
      <c r="DS53" s="63">
        <v>0.35</v>
      </c>
      <c r="DT53" s="63">
        <v>0.59</v>
      </c>
      <c r="DU53" s="63">
        <v>0.14000000000000001</v>
      </c>
      <c r="DV53" s="63">
        <v>0.44</v>
      </c>
      <c r="DW53" s="63">
        <v>0.09</v>
      </c>
      <c r="DX53" s="35">
        <v>56</v>
      </c>
      <c r="DY53" s="35">
        <v>7</v>
      </c>
      <c r="DZ53" s="40">
        <v>0.05</v>
      </c>
      <c r="EA53" s="40">
        <v>0.52</v>
      </c>
      <c r="EB53" s="40">
        <v>0.43</v>
      </c>
      <c r="EC53" s="40">
        <v>0</v>
      </c>
      <c r="ED53" s="40">
        <v>0.33</v>
      </c>
      <c r="EE53" s="40">
        <v>0.38</v>
      </c>
      <c r="EF53" s="40">
        <v>0.35</v>
      </c>
      <c r="EG53" s="40">
        <v>0.14000000000000001</v>
      </c>
      <c r="EH53" s="40">
        <v>0.21</v>
      </c>
      <c r="EI53" s="40">
        <v>0.42</v>
      </c>
      <c r="EJ53" s="40">
        <v>0.54</v>
      </c>
      <c r="EK53" s="40">
        <v>0.15</v>
      </c>
      <c r="EL53" s="40">
        <v>0.36</v>
      </c>
      <c r="EM53" s="40">
        <v>0.47</v>
      </c>
      <c r="EN53" s="40">
        <v>0.24</v>
      </c>
      <c r="EO53" s="40">
        <v>0.49</v>
      </c>
      <c r="EP53" s="40">
        <v>0.35</v>
      </c>
      <c r="EQ53" s="40">
        <v>0.26</v>
      </c>
      <c r="ER53" s="40">
        <v>0.52</v>
      </c>
      <c r="ES53" s="40">
        <v>0.4</v>
      </c>
      <c r="ET53" s="40">
        <v>0.2</v>
      </c>
      <c r="EU53" s="40">
        <v>0.48</v>
      </c>
      <c r="EV53" s="40">
        <v>0</v>
      </c>
      <c r="EW53" s="40">
        <v>0.33</v>
      </c>
      <c r="EX53" s="40">
        <v>0.57999999999999996</v>
      </c>
      <c r="EY53" s="40">
        <v>0.49</v>
      </c>
      <c r="EZ53" s="40">
        <v>0</v>
      </c>
      <c r="FA53" s="40">
        <v>0.47</v>
      </c>
      <c r="FB53" s="246">
        <v>57</v>
      </c>
      <c r="FC53" s="246" t="s">
        <v>758</v>
      </c>
      <c r="FD53" s="246">
        <v>8</v>
      </c>
      <c r="FE53" s="246" t="s">
        <v>758</v>
      </c>
      <c r="FF53" s="263">
        <v>0</v>
      </c>
      <c r="FG53" s="263">
        <v>0.43</v>
      </c>
      <c r="FH53" s="263">
        <v>0.52</v>
      </c>
      <c r="FI53" s="263">
        <v>0.05</v>
      </c>
      <c r="FJ53" s="263">
        <v>0.35</v>
      </c>
      <c r="FK53" s="263">
        <v>0.56000000000000005</v>
      </c>
      <c r="FL53" s="263">
        <v>0.33</v>
      </c>
      <c r="FM53" s="263">
        <v>0.33</v>
      </c>
      <c r="FN53" s="263">
        <v>0.19</v>
      </c>
      <c r="FO53" s="263">
        <v>0.15</v>
      </c>
      <c r="FP53" s="263">
        <v>0.2</v>
      </c>
      <c r="FQ53" s="263">
        <v>0.24</v>
      </c>
      <c r="FR53" s="263">
        <v>0.4</v>
      </c>
      <c r="FS53" s="263">
        <v>0.32</v>
      </c>
      <c r="FT53" s="263">
        <v>0.4</v>
      </c>
      <c r="FU53" s="263">
        <v>0.11</v>
      </c>
      <c r="FV53" s="263">
        <v>0.48</v>
      </c>
      <c r="FW53" s="263">
        <v>0.51</v>
      </c>
      <c r="FX53" s="263">
        <v>0.28000000000000003</v>
      </c>
      <c r="FY53" s="263">
        <v>0.21</v>
      </c>
      <c r="FZ53" s="263">
        <v>0.41</v>
      </c>
      <c r="GA53" s="263">
        <v>0.43</v>
      </c>
      <c r="GB53" s="263">
        <v>0.35</v>
      </c>
      <c r="GC53" s="263">
        <v>0.3</v>
      </c>
      <c r="GD53" s="263">
        <v>0.45</v>
      </c>
      <c r="GE53" s="263">
        <v>0.42</v>
      </c>
      <c r="GF53" s="263">
        <v>0.27</v>
      </c>
      <c r="GG53" s="263">
        <v>0.26</v>
      </c>
      <c r="GH53" s="263">
        <v>0.49</v>
      </c>
      <c r="GI53" s="263">
        <v>0.17</v>
      </c>
      <c r="GJ53" s="309">
        <v>56</v>
      </c>
      <c r="GK53" s="309" t="s">
        <v>758</v>
      </c>
      <c r="GL53" s="309">
        <v>6</v>
      </c>
      <c r="GM53" s="309" t="s">
        <v>758</v>
      </c>
      <c r="GN53" s="327">
        <v>0</v>
      </c>
      <c r="GO53" s="327">
        <v>0.28000000000000003</v>
      </c>
      <c r="GP53" s="327">
        <v>0.72</v>
      </c>
      <c r="GQ53" s="327">
        <v>0</v>
      </c>
      <c r="GR53" s="327">
        <v>0.37</v>
      </c>
      <c r="GS53" s="327">
        <v>0.36</v>
      </c>
      <c r="GT53" s="327">
        <v>0.67</v>
      </c>
      <c r="GU53" s="327">
        <v>0.14000000000000001</v>
      </c>
      <c r="GV53" s="327">
        <v>0.44</v>
      </c>
      <c r="GW53" s="327">
        <v>0.18</v>
      </c>
      <c r="GX53" s="327">
        <v>0.39</v>
      </c>
      <c r="GY53" s="309" t="s">
        <v>173</v>
      </c>
      <c r="GZ53" s="327">
        <v>0.2</v>
      </c>
      <c r="HA53" s="327">
        <v>0.67</v>
      </c>
      <c r="HB53" s="327">
        <v>0.28999999999999998</v>
      </c>
      <c r="HC53" s="327">
        <v>0.52</v>
      </c>
      <c r="HD53" s="327">
        <v>0.49</v>
      </c>
      <c r="HE53" s="327">
        <v>0.41</v>
      </c>
      <c r="HF53" s="327">
        <v>0.45</v>
      </c>
      <c r="HG53" s="327">
        <v>0.7</v>
      </c>
      <c r="HH53" s="327">
        <v>0.27</v>
      </c>
      <c r="HI53" s="327">
        <v>0.39</v>
      </c>
      <c r="HJ53" s="327">
        <v>0.52</v>
      </c>
      <c r="HK53" s="327">
        <v>0.43</v>
      </c>
      <c r="HL53" s="327">
        <v>0.27</v>
      </c>
      <c r="HM53" s="327">
        <v>0.39</v>
      </c>
      <c r="HN53" s="327">
        <v>0.33</v>
      </c>
      <c r="HO53" s="327">
        <v>0.28999999999999998</v>
      </c>
      <c r="HP53" s="309" t="s">
        <v>173</v>
      </c>
      <c r="HQ53" s="327">
        <v>0.25</v>
      </c>
      <c r="HR53" s="424">
        <v>56</v>
      </c>
      <c r="HS53" s="424" t="s">
        <v>758</v>
      </c>
      <c r="HT53" s="424">
        <v>7</v>
      </c>
      <c r="HU53" s="424" t="s">
        <v>758</v>
      </c>
      <c r="HV53" s="428">
        <v>0</v>
      </c>
      <c r="HW53" s="428">
        <v>0.56999999999999995</v>
      </c>
      <c r="HX53" s="428">
        <v>0.43</v>
      </c>
      <c r="HY53" s="428">
        <v>0</v>
      </c>
      <c r="HZ53" s="428">
        <v>0.19</v>
      </c>
      <c r="IA53" s="428">
        <v>0.39</v>
      </c>
      <c r="IB53" s="428">
        <v>0.26</v>
      </c>
      <c r="IC53" s="428">
        <v>0.43</v>
      </c>
      <c r="ID53" s="428">
        <v>0.65</v>
      </c>
      <c r="IE53" s="428">
        <v>0.12</v>
      </c>
      <c r="IF53" s="428">
        <v>0.33</v>
      </c>
      <c r="IG53" s="428">
        <v>0.56000000000000005</v>
      </c>
      <c r="IH53" s="428">
        <v>0.4</v>
      </c>
      <c r="II53" s="428">
        <v>0.11</v>
      </c>
      <c r="IJ53" s="428">
        <v>0.17</v>
      </c>
      <c r="IK53" s="428">
        <v>0.53</v>
      </c>
      <c r="IL53" s="428">
        <v>0.33</v>
      </c>
      <c r="IM53" s="428">
        <v>0.54</v>
      </c>
      <c r="IN53" s="428">
        <v>0.25</v>
      </c>
      <c r="IO53" s="428">
        <v>0.49</v>
      </c>
      <c r="IP53" s="428">
        <v>0.32</v>
      </c>
      <c r="IQ53" s="428">
        <v>0.65</v>
      </c>
      <c r="IR53" s="428">
        <v>0.5</v>
      </c>
      <c r="IS53" s="428">
        <v>0.31</v>
      </c>
      <c r="IT53" s="428">
        <v>0.35</v>
      </c>
      <c r="IU53" s="424" t="s">
        <v>173</v>
      </c>
      <c r="IV53" s="428">
        <v>0.63</v>
      </c>
      <c r="IW53" s="428">
        <v>0.23</v>
      </c>
      <c r="IX53" s="428">
        <v>0.5</v>
      </c>
      <c r="IY53" s="428">
        <v>0.31</v>
      </c>
      <c r="IZ53" s="464">
        <v>55</v>
      </c>
      <c r="JA53" s="464" t="s">
        <v>758</v>
      </c>
      <c r="JB53" s="464">
        <v>9</v>
      </c>
      <c r="JC53" s="464" t="s">
        <v>758</v>
      </c>
      <c r="JD53" s="476">
        <v>0.05</v>
      </c>
      <c r="JE53" s="476">
        <v>0.43</v>
      </c>
      <c r="JF53" s="476">
        <v>0.52</v>
      </c>
      <c r="JG53" s="476">
        <v>0</v>
      </c>
      <c r="JH53" s="476">
        <v>0.31</v>
      </c>
      <c r="JI53" s="476">
        <v>0.4</v>
      </c>
      <c r="JJ53" s="476">
        <v>0.26</v>
      </c>
      <c r="JK53" s="476">
        <v>0.4</v>
      </c>
      <c r="JL53" s="476">
        <v>0.38</v>
      </c>
      <c r="JM53" s="476">
        <v>0.41</v>
      </c>
      <c r="JN53" s="476">
        <v>0.3</v>
      </c>
      <c r="JO53" s="476">
        <v>0.3</v>
      </c>
      <c r="JP53" s="476">
        <v>0.59</v>
      </c>
      <c r="JQ53" s="476">
        <v>0.14000000000000001</v>
      </c>
      <c r="JR53" s="476">
        <v>0.62</v>
      </c>
      <c r="JS53" s="476">
        <v>0.6</v>
      </c>
      <c r="JT53" s="476">
        <v>0.24</v>
      </c>
      <c r="JU53" s="476">
        <v>0.63</v>
      </c>
      <c r="JV53" s="476">
        <v>0.48</v>
      </c>
      <c r="JW53" s="476">
        <v>0.36</v>
      </c>
      <c r="JX53" s="476">
        <v>0.32</v>
      </c>
      <c r="JY53" s="476">
        <v>0.48</v>
      </c>
      <c r="JZ53" s="476">
        <v>0.42</v>
      </c>
      <c r="KA53" s="476">
        <v>0.5</v>
      </c>
      <c r="KB53" s="476">
        <v>0.41</v>
      </c>
      <c r="KC53" s="476">
        <v>0.48</v>
      </c>
      <c r="KD53" s="476">
        <v>0.35</v>
      </c>
      <c r="KE53" s="476">
        <v>0.53</v>
      </c>
      <c r="KF53" s="476">
        <v>0.35</v>
      </c>
      <c r="KG53" s="476">
        <v>0.35</v>
      </c>
      <c r="KH53" s="971">
        <v>58</v>
      </c>
      <c r="KI53" s="971" t="s">
        <v>758</v>
      </c>
      <c r="KJ53" s="971">
        <v>9</v>
      </c>
      <c r="KK53" s="971" t="s">
        <v>758</v>
      </c>
      <c r="KL53" s="949">
        <v>0.04</v>
      </c>
      <c r="KM53" s="949">
        <v>0.25</v>
      </c>
      <c r="KN53" s="949">
        <v>0.63</v>
      </c>
      <c r="KO53" s="949">
        <v>0.08</v>
      </c>
      <c r="KP53" s="949">
        <v>0.51</v>
      </c>
      <c r="KQ53" s="949">
        <v>0.05</v>
      </c>
      <c r="KR53" s="949">
        <v>0.44</v>
      </c>
      <c r="KS53" s="949">
        <v>0.3</v>
      </c>
      <c r="KT53" s="949">
        <v>0.43</v>
      </c>
      <c r="KU53" s="949">
        <v>0.41</v>
      </c>
      <c r="KV53" s="949">
        <v>0.46</v>
      </c>
      <c r="KW53" s="949">
        <v>0.3</v>
      </c>
      <c r="KX53" s="949">
        <v>0.26</v>
      </c>
      <c r="KY53" s="949">
        <v>0.4</v>
      </c>
      <c r="KZ53" s="949">
        <v>0.25</v>
      </c>
      <c r="LA53" s="949">
        <v>0.47</v>
      </c>
      <c r="LB53" s="949">
        <v>0.23</v>
      </c>
      <c r="LC53" s="949">
        <v>0.26</v>
      </c>
      <c r="LD53" s="949">
        <v>0.45</v>
      </c>
      <c r="LE53" s="949">
        <v>0.41</v>
      </c>
      <c r="LF53" s="949">
        <v>0.21</v>
      </c>
      <c r="LG53" s="949">
        <v>0.14000000000000001</v>
      </c>
      <c r="LH53" s="949">
        <v>0.41</v>
      </c>
      <c r="LI53" s="949">
        <v>0.4</v>
      </c>
      <c r="LJ53" s="949">
        <v>0.27</v>
      </c>
      <c r="LK53" s="949">
        <v>0.5</v>
      </c>
      <c r="LL53" s="949" t="s">
        <v>173</v>
      </c>
      <c r="LM53" s="949">
        <v>0.46</v>
      </c>
      <c r="LN53" s="949">
        <v>0.6</v>
      </c>
      <c r="LO53" s="949">
        <v>0.44</v>
      </c>
      <c r="LP53" s="922">
        <v>325754001361</v>
      </c>
      <c r="LQ53" s="126" t="s">
        <v>76</v>
      </c>
      <c r="LR53" s="424">
        <v>56</v>
      </c>
      <c r="LS53" s="971">
        <v>58</v>
      </c>
      <c r="LT53" s="946"/>
    </row>
    <row r="54" spans="1:332" ht="24.95" customHeight="1" x14ac:dyDescent="0.2">
      <c r="A54" s="126" t="s">
        <v>798</v>
      </c>
      <c r="B54" s="14" t="s">
        <v>123</v>
      </c>
      <c r="C54" s="2">
        <v>6</v>
      </c>
      <c r="D54" s="12"/>
      <c r="E54" s="12"/>
      <c r="F54" s="66"/>
      <c r="G54" s="66"/>
      <c r="H54" s="66"/>
      <c r="I54" s="66"/>
      <c r="J54" s="66"/>
      <c r="K54" s="66"/>
      <c r="L54" s="66"/>
      <c r="M54" s="66"/>
      <c r="N54" s="66"/>
      <c r="O54" s="66"/>
      <c r="P54" s="66"/>
      <c r="Q54" s="66"/>
      <c r="R54" s="66"/>
      <c r="S54" s="66"/>
      <c r="T54" s="66"/>
      <c r="U54" s="66"/>
      <c r="V54" s="66"/>
      <c r="W54" s="66"/>
      <c r="X54" s="66"/>
      <c r="Y54" s="66"/>
      <c r="Z54" s="66"/>
      <c r="AA54" s="66"/>
      <c r="AB54" s="66"/>
      <c r="AC54" s="66"/>
      <c r="AD54" s="66"/>
      <c r="AE54" s="66"/>
      <c r="AF54" s="66"/>
      <c r="AG54" s="66"/>
      <c r="AH54" s="12"/>
      <c r="AI54" s="12"/>
      <c r="AJ54" s="40"/>
      <c r="AK54" s="40"/>
      <c r="AL54" s="4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40"/>
      <c r="BK54" s="40"/>
      <c r="BL54" s="40"/>
      <c r="BM54" s="12"/>
      <c r="BN54" s="12"/>
      <c r="BO54" s="66"/>
      <c r="BP54" s="66"/>
      <c r="BQ54" s="66"/>
      <c r="BR54" s="66"/>
      <c r="BS54" s="66"/>
      <c r="BT54" s="66"/>
      <c r="BU54" s="66"/>
      <c r="BV54" s="66"/>
      <c r="BW54" s="66"/>
      <c r="BX54" s="66"/>
      <c r="BY54" s="66"/>
      <c r="BZ54" s="66"/>
      <c r="CA54" s="66"/>
      <c r="CB54" s="66"/>
      <c r="CC54" s="66"/>
      <c r="CD54" s="66"/>
      <c r="CE54" s="66"/>
      <c r="CF54" s="66"/>
      <c r="CG54" s="66"/>
      <c r="CH54" s="66"/>
      <c r="CI54" s="66"/>
      <c r="CJ54" s="66"/>
      <c r="CK54" s="66"/>
      <c r="CL54" s="66"/>
      <c r="CM54" s="66"/>
      <c r="CN54" s="66"/>
      <c r="CO54" s="66"/>
      <c r="CP54" s="66"/>
      <c r="CQ54" s="66"/>
      <c r="CR54" s="66"/>
      <c r="CS54" s="12"/>
      <c r="CT54" s="12"/>
      <c r="CU54" s="63"/>
      <c r="CV54" s="63"/>
      <c r="CW54" s="63"/>
      <c r="CX54" s="63"/>
      <c r="CY54" s="63"/>
      <c r="CZ54" s="63"/>
      <c r="DA54" s="63"/>
      <c r="DB54" s="63"/>
      <c r="DC54" s="63"/>
      <c r="DD54" s="63"/>
      <c r="DE54" s="63"/>
      <c r="DF54" s="63"/>
      <c r="DG54" s="63"/>
      <c r="DH54" s="63"/>
      <c r="DI54" s="63"/>
      <c r="DJ54" s="63"/>
      <c r="DK54" s="63"/>
      <c r="DL54" s="63"/>
      <c r="DM54" s="63"/>
      <c r="DN54" s="63"/>
      <c r="DO54" s="63"/>
      <c r="DP54" s="63"/>
      <c r="DQ54" s="63"/>
      <c r="DR54" s="63"/>
      <c r="DS54" s="63"/>
      <c r="DT54" s="63"/>
      <c r="DU54" s="63"/>
      <c r="DV54" s="63"/>
      <c r="DW54" s="63"/>
      <c r="DX54" s="35"/>
      <c r="DY54" s="35"/>
      <c r="DZ54" s="40"/>
      <c r="EA54" s="40"/>
      <c r="EB54" s="40"/>
      <c r="EC54" s="40"/>
      <c r="ED54" s="40"/>
      <c r="EE54" s="40"/>
      <c r="EF54" s="40"/>
      <c r="EG54" s="40"/>
      <c r="EH54" s="40"/>
      <c r="EI54" s="40"/>
      <c r="EJ54" s="40"/>
      <c r="EK54" s="40"/>
      <c r="EL54" s="40"/>
      <c r="EM54" s="40"/>
      <c r="EN54" s="40"/>
      <c r="EO54" s="40"/>
      <c r="EP54" s="40"/>
      <c r="EQ54" s="40"/>
      <c r="ER54" s="40"/>
      <c r="ES54" s="40"/>
      <c r="ET54" s="40"/>
      <c r="EU54" s="40"/>
      <c r="EV54" s="40"/>
      <c r="EW54" s="40"/>
      <c r="EX54" s="40"/>
      <c r="EY54" s="40"/>
      <c r="EZ54" s="40"/>
      <c r="FA54" s="40"/>
      <c r="FB54" s="647"/>
      <c r="FC54" s="647"/>
      <c r="FD54" s="647"/>
      <c r="FE54" s="647"/>
      <c r="FF54" s="648"/>
      <c r="FG54" s="648"/>
      <c r="FH54" s="648"/>
      <c r="FI54" s="648"/>
      <c r="FJ54" s="648"/>
      <c r="FK54" s="648"/>
      <c r="FL54" s="648"/>
      <c r="FM54" s="648"/>
      <c r="FN54" s="648"/>
      <c r="FO54" s="648"/>
      <c r="FP54" s="648"/>
      <c r="FQ54" s="648"/>
      <c r="FR54" s="648"/>
      <c r="FS54" s="648"/>
      <c r="FT54" s="648"/>
      <c r="FU54" s="648"/>
      <c r="FV54" s="648"/>
      <c r="FW54" s="648"/>
      <c r="FX54" s="648"/>
      <c r="FY54" s="648"/>
      <c r="FZ54" s="648"/>
      <c r="GA54" s="648"/>
      <c r="GB54" s="648"/>
      <c r="GC54" s="648"/>
      <c r="GD54" s="648"/>
      <c r="GE54" s="648"/>
      <c r="GF54" s="648"/>
      <c r="GG54" s="648"/>
      <c r="GH54" s="648"/>
      <c r="GI54" s="648"/>
      <c r="GJ54" s="74">
        <v>60</v>
      </c>
      <c r="GK54" s="74" t="s">
        <v>759</v>
      </c>
      <c r="GL54" s="74">
        <v>9</v>
      </c>
      <c r="GM54" s="74" t="s">
        <v>758</v>
      </c>
      <c r="GN54" s="96">
        <v>0.06</v>
      </c>
      <c r="GO54" s="96">
        <v>0.31</v>
      </c>
      <c r="GP54" s="96">
        <v>0.5</v>
      </c>
      <c r="GQ54" s="96">
        <v>0.13</v>
      </c>
      <c r="GR54" s="96">
        <v>0.42</v>
      </c>
      <c r="GS54" s="96">
        <v>0.48</v>
      </c>
      <c r="GT54" s="96">
        <v>0.31</v>
      </c>
      <c r="GU54" s="96">
        <v>0.17</v>
      </c>
      <c r="GV54" s="96">
        <v>0.33</v>
      </c>
      <c r="GW54" s="96">
        <v>0.24</v>
      </c>
      <c r="GX54" s="96">
        <v>0.37</v>
      </c>
      <c r="GY54" s="74" t="s">
        <v>173</v>
      </c>
      <c r="GZ54" s="96">
        <v>0.22</v>
      </c>
      <c r="HA54" s="96">
        <v>0.36</v>
      </c>
      <c r="HB54" s="96">
        <v>0.34</v>
      </c>
      <c r="HC54" s="96">
        <v>0.32</v>
      </c>
      <c r="HD54" s="96">
        <v>0.43</v>
      </c>
      <c r="HE54" s="96">
        <v>0.11</v>
      </c>
      <c r="HF54" s="96">
        <v>0.27</v>
      </c>
      <c r="HG54" s="96">
        <v>0.56000000000000005</v>
      </c>
      <c r="HH54" s="96">
        <v>0.18</v>
      </c>
      <c r="HI54" s="96">
        <v>0.45</v>
      </c>
      <c r="HJ54" s="96">
        <v>0.46</v>
      </c>
      <c r="HK54" s="96">
        <v>0.28000000000000003</v>
      </c>
      <c r="HL54" s="96">
        <v>0.12</v>
      </c>
      <c r="HM54" s="96">
        <v>0.32</v>
      </c>
      <c r="HN54" s="96">
        <v>0.33</v>
      </c>
      <c r="HO54" s="96">
        <v>0.1</v>
      </c>
      <c r="HP54" s="74" t="s">
        <v>173</v>
      </c>
      <c r="HQ54" s="96">
        <v>0.28000000000000003</v>
      </c>
      <c r="HR54" s="652">
        <v>58</v>
      </c>
      <c r="HS54" s="652" t="s">
        <v>758</v>
      </c>
      <c r="HT54" s="652">
        <v>8</v>
      </c>
      <c r="HU54" s="652" t="s">
        <v>758</v>
      </c>
      <c r="HV54" s="653">
        <v>0</v>
      </c>
      <c r="HW54" s="653">
        <v>0.44</v>
      </c>
      <c r="HX54" s="653">
        <v>0.52</v>
      </c>
      <c r="HY54" s="653">
        <v>0.04</v>
      </c>
      <c r="HZ54" s="653">
        <v>0.25</v>
      </c>
      <c r="IA54" s="653">
        <v>0.44</v>
      </c>
      <c r="IB54" s="653">
        <v>0.28999999999999998</v>
      </c>
      <c r="IC54" s="653">
        <v>0.38</v>
      </c>
      <c r="ID54" s="653">
        <v>0.62</v>
      </c>
      <c r="IE54" s="653">
        <v>0.18</v>
      </c>
      <c r="IF54" s="653">
        <v>0.24</v>
      </c>
      <c r="IG54" s="653">
        <v>0.52</v>
      </c>
      <c r="IH54" s="653">
        <v>0.47</v>
      </c>
      <c r="II54" s="653">
        <v>0</v>
      </c>
      <c r="IJ54" s="653">
        <v>0.21</v>
      </c>
      <c r="IK54" s="653">
        <v>0.48</v>
      </c>
      <c r="IL54" s="653">
        <v>0.17</v>
      </c>
      <c r="IM54" s="653">
        <v>0.56000000000000005</v>
      </c>
      <c r="IN54" s="653">
        <v>0.42</v>
      </c>
      <c r="IO54" s="653">
        <v>0.42</v>
      </c>
      <c r="IP54" s="653">
        <v>0.26</v>
      </c>
      <c r="IQ54" s="653">
        <v>0.54</v>
      </c>
      <c r="IR54" s="653">
        <v>0.24</v>
      </c>
      <c r="IS54" s="653">
        <v>0.5</v>
      </c>
      <c r="IT54" s="653">
        <v>0.3</v>
      </c>
      <c r="IU54" s="652" t="s">
        <v>173</v>
      </c>
      <c r="IV54" s="653">
        <v>0.39</v>
      </c>
      <c r="IW54" s="653">
        <v>0.3</v>
      </c>
      <c r="IX54" s="653">
        <v>0.38</v>
      </c>
      <c r="IY54" s="653">
        <v>0.27</v>
      </c>
      <c r="IZ54" s="74">
        <v>63</v>
      </c>
      <c r="JA54" s="74" t="s">
        <v>759</v>
      </c>
      <c r="JB54" s="74">
        <v>11</v>
      </c>
      <c r="JC54" s="74" t="s">
        <v>758</v>
      </c>
      <c r="JD54" s="96">
        <v>0</v>
      </c>
      <c r="JE54" s="96">
        <v>0.14000000000000001</v>
      </c>
      <c r="JF54" s="96">
        <v>0.73</v>
      </c>
      <c r="JG54" s="96">
        <v>0.14000000000000001</v>
      </c>
      <c r="JH54" s="96">
        <v>0.12</v>
      </c>
      <c r="JI54" s="96">
        <v>0.33</v>
      </c>
      <c r="JJ54" s="96">
        <v>0.25</v>
      </c>
      <c r="JK54" s="96">
        <v>0.36</v>
      </c>
      <c r="JL54" s="96">
        <v>0.24</v>
      </c>
      <c r="JM54" s="96">
        <v>0.25</v>
      </c>
      <c r="JN54" s="96">
        <v>0.22</v>
      </c>
      <c r="JO54" s="96">
        <v>0.32</v>
      </c>
      <c r="JP54" s="96">
        <v>0.4</v>
      </c>
      <c r="JQ54" s="96">
        <v>0.08</v>
      </c>
      <c r="JR54" s="96">
        <v>0.39</v>
      </c>
      <c r="JS54" s="96">
        <v>0.26</v>
      </c>
      <c r="JT54" s="96">
        <v>0.26</v>
      </c>
      <c r="JU54" s="96">
        <v>0.19</v>
      </c>
      <c r="JV54" s="96">
        <v>0.28999999999999998</v>
      </c>
      <c r="JW54" s="96">
        <v>0.27</v>
      </c>
      <c r="JX54" s="96">
        <v>0.17</v>
      </c>
      <c r="JY54" s="96">
        <v>0.3</v>
      </c>
      <c r="JZ54" s="96">
        <v>0.32</v>
      </c>
      <c r="KA54" s="96">
        <v>0.33</v>
      </c>
      <c r="KB54" s="96">
        <v>0.24</v>
      </c>
      <c r="KC54" s="96">
        <v>0.48</v>
      </c>
      <c r="KD54" s="96">
        <v>0.09</v>
      </c>
      <c r="KE54" s="96">
        <v>0.33</v>
      </c>
      <c r="KF54" s="96">
        <v>0.24</v>
      </c>
      <c r="KG54" s="96">
        <v>0.22</v>
      </c>
      <c r="KH54" s="971">
        <v>62</v>
      </c>
      <c r="KI54" s="971" t="s">
        <v>759</v>
      </c>
      <c r="KJ54" s="971">
        <v>6</v>
      </c>
      <c r="KK54" s="971" t="s">
        <v>758</v>
      </c>
      <c r="KL54" s="949">
        <v>0</v>
      </c>
      <c r="KM54" s="949">
        <v>0.15</v>
      </c>
      <c r="KN54" s="949">
        <v>0.81</v>
      </c>
      <c r="KO54" s="949">
        <v>0.04</v>
      </c>
      <c r="KP54" s="949">
        <v>0.39</v>
      </c>
      <c r="KQ54" s="949">
        <v>0.09</v>
      </c>
      <c r="KR54" s="949">
        <v>0.46</v>
      </c>
      <c r="KS54" s="949">
        <v>0.28999999999999998</v>
      </c>
      <c r="KT54" s="949">
        <v>0.41</v>
      </c>
      <c r="KU54" s="949">
        <v>0.3</v>
      </c>
      <c r="KV54" s="949">
        <v>0.3</v>
      </c>
      <c r="KW54" s="949">
        <v>0.25</v>
      </c>
      <c r="KX54" s="949">
        <v>0.15</v>
      </c>
      <c r="KY54" s="949">
        <v>0.25</v>
      </c>
      <c r="KZ54" s="949">
        <v>0.16</v>
      </c>
      <c r="LA54" s="949">
        <v>0.38</v>
      </c>
      <c r="LB54" s="949">
        <v>0.26</v>
      </c>
      <c r="LC54" s="949">
        <v>0.26</v>
      </c>
      <c r="LD54" s="949">
        <v>0.39</v>
      </c>
      <c r="LE54" s="949">
        <v>0.31</v>
      </c>
      <c r="LF54" s="949">
        <v>0.13</v>
      </c>
      <c r="LG54" s="949">
        <v>0.11</v>
      </c>
      <c r="LH54" s="949">
        <v>0.36</v>
      </c>
      <c r="LI54" s="949">
        <v>0.35</v>
      </c>
      <c r="LJ54" s="949">
        <v>0.15</v>
      </c>
      <c r="LK54" s="949">
        <v>0.39</v>
      </c>
      <c r="LL54" s="949" t="s">
        <v>173</v>
      </c>
      <c r="LM54" s="949">
        <v>0.32</v>
      </c>
      <c r="LN54" s="949">
        <v>0.75</v>
      </c>
      <c r="LO54" s="949">
        <v>0.43</v>
      </c>
      <c r="LP54" s="922">
        <v>325754005480</v>
      </c>
      <c r="LQ54" s="126" t="s">
        <v>798</v>
      </c>
      <c r="LR54" s="652">
        <v>58</v>
      </c>
      <c r="LS54" s="971">
        <v>62</v>
      </c>
      <c r="LT54" s="946"/>
    </row>
    <row r="55" spans="1:332" ht="24.95" customHeight="1" x14ac:dyDescent="0.2">
      <c r="A55" s="126" t="s">
        <v>60</v>
      </c>
      <c r="B55" s="1" t="s">
        <v>123</v>
      </c>
      <c r="C55" s="2">
        <v>1</v>
      </c>
      <c r="D55" s="12">
        <v>55</v>
      </c>
      <c r="E55" s="12">
        <v>7</v>
      </c>
      <c r="F55" s="66">
        <v>0</v>
      </c>
      <c r="G55" s="66">
        <v>0.55000000000000004</v>
      </c>
      <c r="H55" s="66">
        <v>0.43</v>
      </c>
      <c r="I55" s="66">
        <v>0.02</v>
      </c>
      <c r="J55" s="66">
        <v>0.27</v>
      </c>
      <c r="K55" s="66">
        <v>0.37</v>
      </c>
      <c r="L55" s="66">
        <v>0.73</v>
      </c>
      <c r="M55" s="66">
        <v>0.18</v>
      </c>
      <c r="N55" s="66">
        <v>0.28000000000000003</v>
      </c>
      <c r="O55" s="66">
        <v>0.55000000000000004</v>
      </c>
      <c r="P55" s="66">
        <v>0.25</v>
      </c>
      <c r="Q55" s="66">
        <v>0.49</v>
      </c>
      <c r="R55" s="66">
        <v>0.52</v>
      </c>
      <c r="S55" s="66">
        <v>0.7</v>
      </c>
      <c r="T55" s="66">
        <v>0.56000000000000005</v>
      </c>
      <c r="U55" s="66">
        <v>0.64</v>
      </c>
      <c r="V55" s="66">
        <v>0.06</v>
      </c>
      <c r="W55" s="66">
        <v>0.15</v>
      </c>
      <c r="X55" s="66">
        <v>0.34</v>
      </c>
      <c r="Y55" s="66">
        <v>0.52</v>
      </c>
      <c r="Z55" s="66">
        <v>0</v>
      </c>
      <c r="AA55" s="66">
        <v>0.11</v>
      </c>
      <c r="AB55" s="66">
        <v>0.52</v>
      </c>
      <c r="AC55" s="66">
        <v>0.15</v>
      </c>
      <c r="AD55" s="66">
        <v>0.41</v>
      </c>
      <c r="AE55" s="66">
        <v>0.45</v>
      </c>
      <c r="AF55" s="66">
        <v>0.49</v>
      </c>
      <c r="AG55" s="66">
        <v>0.43</v>
      </c>
      <c r="AH55" s="12">
        <v>53</v>
      </c>
      <c r="AI55" s="12">
        <v>7</v>
      </c>
      <c r="AJ55" s="40">
        <v>0.02</v>
      </c>
      <c r="AK55" s="40">
        <v>0.56000000000000005</v>
      </c>
      <c r="AL55" s="40">
        <v>0.4</v>
      </c>
      <c r="AM55" s="40">
        <v>0.02</v>
      </c>
      <c r="AN55" s="40">
        <v>0.28000000000000003</v>
      </c>
      <c r="AO55" s="40">
        <v>0.45</v>
      </c>
      <c r="AP55" s="40">
        <v>0.69</v>
      </c>
      <c r="AQ55" s="40">
        <v>0.32</v>
      </c>
      <c r="AR55" s="40">
        <v>0.46</v>
      </c>
      <c r="AS55" s="40">
        <v>0.5</v>
      </c>
      <c r="AT55" s="40">
        <v>0.54</v>
      </c>
      <c r="AU55" s="40">
        <v>0.46</v>
      </c>
      <c r="AV55" s="40">
        <v>0.67</v>
      </c>
      <c r="AW55" s="40">
        <v>0.52</v>
      </c>
      <c r="AX55" s="40">
        <v>0.6</v>
      </c>
      <c r="AY55" s="40">
        <v>0.26</v>
      </c>
      <c r="AZ55" s="40">
        <v>0.23</v>
      </c>
      <c r="BA55" s="40">
        <v>0.43</v>
      </c>
      <c r="BB55" s="40">
        <v>0.73</v>
      </c>
      <c r="BC55" s="40">
        <v>0.69</v>
      </c>
      <c r="BD55" s="40">
        <v>0.34</v>
      </c>
      <c r="BE55" s="40">
        <v>0.56000000000000005</v>
      </c>
      <c r="BF55" s="40">
        <v>0.63</v>
      </c>
      <c r="BG55" s="40">
        <v>0.52</v>
      </c>
      <c r="BH55" s="40">
        <v>0.43</v>
      </c>
      <c r="BI55" s="40">
        <v>0.4</v>
      </c>
      <c r="BJ55" s="40">
        <v>0.36</v>
      </c>
      <c r="BK55" s="40">
        <v>0.37</v>
      </c>
      <c r="BL55" s="40">
        <v>0.52</v>
      </c>
      <c r="BM55" s="12">
        <v>54</v>
      </c>
      <c r="BN55" s="12">
        <v>8</v>
      </c>
      <c r="BO55" s="66">
        <v>0.02</v>
      </c>
      <c r="BP55" s="66">
        <v>0.63</v>
      </c>
      <c r="BQ55" s="66">
        <v>0.32</v>
      </c>
      <c r="BR55" s="66">
        <v>0.04</v>
      </c>
      <c r="BS55" s="66">
        <v>0.26</v>
      </c>
      <c r="BT55" s="66">
        <v>0.5</v>
      </c>
      <c r="BU55" s="66">
        <v>0.71</v>
      </c>
      <c r="BV55" s="66">
        <v>0.1</v>
      </c>
      <c r="BW55" s="66">
        <v>0.62</v>
      </c>
      <c r="BX55" s="66">
        <v>0.34</v>
      </c>
      <c r="BY55" s="66">
        <v>0.37</v>
      </c>
      <c r="BZ55" s="66">
        <v>0.43</v>
      </c>
      <c r="CA55" s="66">
        <v>0.44</v>
      </c>
      <c r="CB55" s="66">
        <v>0.27</v>
      </c>
      <c r="CC55" s="66">
        <v>0.1</v>
      </c>
      <c r="CD55" s="66">
        <v>0.31</v>
      </c>
      <c r="CE55" s="66">
        <v>0.3</v>
      </c>
      <c r="CF55" s="66">
        <v>0.55000000000000004</v>
      </c>
      <c r="CG55" s="66">
        <v>0.56999999999999995</v>
      </c>
      <c r="CH55" s="66">
        <v>0.38</v>
      </c>
      <c r="CI55" s="66">
        <v>0.54</v>
      </c>
      <c r="CJ55" s="66">
        <v>0.28000000000000003</v>
      </c>
      <c r="CK55" s="66">
        <v>0.62</v>
      </c>
      <c r="CL55" s="66">
        <v>0.23</v>
      </c>
      <c r="CM55" s="66">
        <v>0.42</v>
      </c>
      <c r="CN55" s="66">
        <v>0.46</v>
      </c>
      <c r="CO55" s="66">
        <v>0.4</v>
      </c>
      <c r="CP55" s="66">
        <v>0.28999999999999998</v>
      </c>
      <c r="CQ55" s="66">
        <v>0.5</v>
      </c>
      <c r="CR55" s="66">
        <v>0.52</v>
      </c>
      <c r="CS55" s="12">
        <v>53</v>
      </c>
      <c r="CT55" s="12">
        <v>8</v>
      </c>
      <c r="CU55" s="63">
        <v>0.04</v>
      </c>
      <c r="CV55" s="63">
        <v>0.6</v>
      </c>
      <c r="CW55" s="63">
        <v>0.35</v>
      </c>
      <c r="CX55" s="63">
        <v>0.02</v>
      </c>
      <c r="CY55" s="63">
        <v>0.42</v>
      </c>
      <c r="CZ55" s="63">
        <v>0.26</v>
      </c>
      <c r="DA55" s="63">
        <v>0.52</v>
      </c>
      <c r="DB55" s="63">
        <v>0.28999999999999998</v>
      </c>
      <c r="DC55" s="63">
        <v>0.42</v>
      </c>
      <c r="DD55" s="63">
        <v>0.56000000000000005</v>
      </c>
      <c r="DE55" s="63">
        <v>0.37</v>
      </c>
      <c r="DF55" s="63">
        <v>0.49</v>
      </c>
      <c r="DG55" s="63">
        <v>0.42</v>
      </c>
      <c r="DH55" s="63">
        <v>0.33</v>
      </c>
      <c r="DI55" s="63">
        <v>0.48</v>
      </c>
      <c r="DJ55" s="63">
        <v>0.48</v>
      </c>
      <c r="DK55" s="63">
        <v>0.31</v>
      </c>
      <c r="DL55" s="63">
        <v>0.21</v>
      </c>
      <c r="DM55" s="63">
        <v>0.42</v>
      </c>
      <c r="DN55" s="63">
        <v>0.4</v>
      </c>
      <c r="DO55" s="63">
        <v>0.48</v>
      </c>
      <c r="DP55" s="63">
        <v>0.44</v>
      </c>
      <c r="DQ55" s="63">
        <v>0.5</v>
      </c>
      <c r="DR55" s="63">
        <v>0.12</v>
      </c>
      <c r="DS55" s="63">
        <v>0.38</v>
      </c>
      <c r="DT55" s="63">
        <v>0.51</v>
      </c>
      <c r="DU55" s="63">
        <v>0.4</v>
      </c>
      <c r="DV55" s="63">
        <v>0.56000000000000005</v>
      </c>
      <c r="DW55" s="63">
        <v>0.26</v>
      </c>
      <c r="DX55" s="35">
        <v>52</v>
      </c>
      <c r="DY55" s="35">
        <v>9</v>
      </c>
      <c r="DZ55" s="40">
        <v>0.05</v>
      </c>
      <c r="EA55" s="40">
        <v>0.62</v>
      </c>
      <c r="EB55" s="40">
        <v>0.28999999999999998</v>
      </c>
      <c r="EC55" s="40">
        <v>0.04</v>
      </c>
      <c r="ED55" s="40">
        <v>0.44</v>
      </c>
      <c r="EE55" s="40">
        <v>0.39</v>
      </c>
      <c r="EF55" s="40">
        <v>0.34</v>
      </c>
      <c r="EG55" s="40">
        <v>0.48</v>
      </c>
      <c r="EH55" s="40">
        <v>0.36</v>
      </c>
      <c r="EI55" s="40">
        <v>0.48</v>
      </c>
      <c r="EJ55" s="40">
        <v>0.56000000000000005</v>
      </c>
      <c r="EK55" s="40">
        <v>0.16</v>
      </c>
      <c r="EL55" s="40">
        <v>0.4</v>
      </c>
      <c r="EM55" s="40">
        <v>0.54</v>
      </c>
      <c r="EN55" s="40">
        <v>0.4</v>
      </c>
      <c r="EO55" s="40">
        <v>0.56999999999999995</v>
      </c>
      <c r="EP55" s="40">
        <v>0.35</v>
      </c>
      <c r="EQ55" s="40">
        <v>0.33</v>
      </c>
      <c r="ER55" s="40">
        <v>0.57999999999999996</v>
      </c>
      <c r="ES55" s="40">
        <v>0.47</v>
      </c>
      <c r="ET55" s="40">
        <v>0.28000000000000003</v>
      </c>
      <c r="EU55" s="40">
        <v>0.67</v>
      </c>
      <c r="EV55" s="40">
        <v>0.32</v>
      </c>
      <c r="EW55" s="40">
        <v>0.28999999999999998</v>
      </c>
      <c r="EX55" s="40">
        <v>0.66</v>
      </c>
      <c r="EY55" s="40">
        <v>0.52</v>
      </c>
      <c r="EZ55" s="40">
        <v>0.25</v>
      </c>
      <c r="FA55" s="40">
        <v>0.56000000000000005</v>
      </c>
      <c r="FB55" s="246">
        <v>52</v>
      </c>
      <c r="FC55" s="246" t="s">
        <v>758</v>
      </c>
      <c r="FD55" s="246">
        <v>8</v>
      </c>
      <c r="FE55" s="246" t="s">
        <v>758</v>
      </c>
      <c r="FF55" s="263">
        <v>7.0000000000000007E-2</v>
      </c>
      <c r="FG55" s="263">
        <v>0.6</v>
      </c>
      <c r="FH55" s="263">
        <v>0.33</v>
      </c>
      <c r="FI55" s="263">
        <v>0</v>
      </c>
      <c r="FJ55" s="263">
        <v>0.4</v>
      </c>
      <c r="FK55" s="263">
        <v>0.65</v>
      </c>
      <c r="FL55" s="263">
        <v>0.48</v>
      </c>
      <c r="FM55" s="263">
        <v>0.35</v>
      </c>
      <c r="FN55" s="263">
        <v>0.24</v>
      </c>
      <c r="FO55" s="263">
        <v>0.27</v>
      </c>
      <c r="FP55" s="263">
        <v>0.32</v>
      </c>
      <c r="FQ55" s="263">
        <v>0.36</v>
      </c>
      <c r="FR55" s="263">
        <v>0.52</v>
      </c>
      <c r="FS55" s="263">
        <v>0.53</v>
      </c>
      <c r="FT55" s="263">
        <v>0.43</v>
      </c>
      <c r="FU55" s="263">
        <v>0.32</v>
      </c>
      <c r="FV55" s="263">
        <v>0.56999999999999995</v>
      </c>
      <c r="FW55" s="263">
        <v>0.5</v>
      </c>
      <c r="FX55" s="263">
        <v>0.39</v>
      </c>
      <c r="FY55" s="263">
        <v>0.3</v>
      </c>
      <c r="FZ55" s="263">
        <v>0.4</v>
      </c>
      <c r="GA55" s="263">
        <v>0.49</v>
      </c>
      <c r="GB55" s="263">
        <v>0.43</v>
      </c>
      <c r="GC55" s="263">
        <v>0.37</v>
      </c>
      <c r="GD55" s="263">
        <v>0.6</v>
      </c>
      <c r="GE55" s="263">
        <v>0.52</v>
      </c>
      <c r="GF55" s="263">
        <v>0.39</v>
      </c>
      <c r="GG55" s="263">
        <v>0.5</v>
      </c>
      <c r="GH55" s="263">
        <v>0.56999999999999995</v>
      </c>
      <c r="GI55" s="263">
        <v>0.28000000000000003</v>
      </c>
      <c r="GJ55" s="309">
        <v>52</v>
      </c>
      <c r="GK55" s="309" t="s">
        <v>758</v>
      </c>
      <c r="GL55" s="309">
        <v>7</v>
      </c>
      <c r="GM55" s="309" t="s">
        <v>758</v>
      </c>
      <c r="GN55" s="327">
        <v>0.02</v>
      </c>
      <c r="GO55" s="327">
        <v>0.68</v>
      </c>
      <c r="GP55" s="327">
        <v>0.3</v>
      </c>
      <c r="GQ55" s="327">
        <v>0</v>
      </c>
      <c r="GR55" s="327">
        <v>0.42</v>
      </c>
      <c r="GS55" s="327">
        <v>0.56999999999999995</v>
      </c>
      <c r="GT55" s="327">
        <v>0.67</v>
      </c>
      <c r="GU55" s="327">
        <v>0.13</v>
      </c>
      <c r="GV55" s="327">
        <v>0.54</v>
      </c>
      <c r="GW55" s="327">
        <v>0.62</v>
      </c>
      <c r="GX55" s="327">
        <v>0.43</v>
      </c>
      <c r="GY55" s="309" t="s">
        <v>173</v>
      </c>
      <c r="GZ55" s="327">
        <v>0.2</v>
      </c>
      <c r="HA55" s="327">
        <v>0.32</v>
      </c>
      <c r="HB55" s="327">
        <v>0.41</v>
      </c>
      <c r="HC55" s="327">
        <v>0.49</v>
      </c>
      <c r="HD55" s="327">
        <v>0.53</v>
      </c>
      <c r="HE55" s="327">
        <v>0.47</v>
      </c>
      <c r="HF55" s="327">
        <v>0.41</v>
      </c>
      <c r="HG55" s="327">
        <v>0.68</v>
      </c>
      <c r="HH55" s="327">
        <v>0.33</v>
      </c>
      <c r="HI55" s="327">
        <v>0.49</v>
      </c>
      <c r="HJ55" s="327">
        <v>0.56000000000000005</v>
      </c>
      <c r="HK55" s="327">
        <v>0.46</v>
      </c>
      <c r="HL55" s="327">
        <v>0.37</v>
      </c>
      <c r="HM55" s="327">
        <v>0.44</v>
      </c>
      <c r="HN55" s="327">
        <v>0.49</v>
      </c>
      <c r="HO55" s="327">
        <v>0.47</v>
      </c>
      <c r="HP55" s="309" t="s">
        <v>173</v>
      </c>
      <c r="HQ55" s="327">
        <v>0.48</v>
      </c>
      <c r="HR55" s="424">
        <v>53</v>
      </c>
      <c r="HS55" s="424" t="s">
        <v>758</v>
      </c>
      <c r="HT55" s="424">
        <v>9</v>
      </c>
      <c r="HU55" s="424" t="s">
        <v>758</v>
      </c>
      <c r="HV55" s="428">
        <v>0.09</v>
      </c>
      <c r="HW55" s="428">
        <v>0.51</v>
      </c>
      <c r="HX55" s="428">
        <v>0.35</v>
      </c>
      <c r="HY55" s="428">
        <v>0.05</v>
      </c>
      <c r="HZ55" s="428">
        <v>0.34</v>
      </c>
      <c r="IA55" s="428">
        <v>0.59</v>
      </c>
      <c r="IB55" s="428">
        <v>0.32</v>
      </c>
      <c r="IC55" s="428">
        <v>0.47</v>
      </c>
      <c r="ID55" s="428">
        <v>0.59</v>
      </c>
      <c r="IE55" s="428">
        <v>0.32</v>
      </c>
      <c r="IF55" s="428">
        <v>0.35</v>
      </c>
      <c r="IG55" s="428">
        <v>0.53</v>
      </c>
      <c r="IH55" s="428">
        <v>0.49</v>
      </c>
      <c r="II55" s="428">
        <v>0.28000000000000003</v>
      </c>
      <c r="IJ55" s="428">
        <v>0.18</v>
      </c>
      <c r="IK55" s="428">
        <v>0.48</v>
      </c>
      <c r="IL55" s="428">
        <v>0.28000000000000003</v>
      </c>
      <c r="IM55" s="428">
        <v>0.56000000000000005</v>
      </c>
      <c r="IN55" s="428">
        <v>0.41</v>
      </c>
      <c r="IO55" s="428">
        <v>0.49</v>
      </c>
      <c r="IP55" s="428">
        <v>0.44</v>
      </c>
      <c r="IQ55" s="428">
        <v>0.63</v>
      </c>
      <c r="IR55" s="428">
        <v>0.56999999999999995</v>
      </c>
      <c r="IS55" s="428">
        <v>0.48</v>
      </c>
      <c r="IT55" s="428">
        <v>0.36</v>
      </c>
      <c r="IU55" s="424" t="s">
        <v>173</v>
      </c>
      <c r="IV55" s="428">
        <v>0.63</v>
      </c>
      <c r="IW55" s="428">
        <v>0.32</v>
      </c>
      <c r="IX55" s="428">
        <v>0.47</v>
      </c>
      <c r="IY55" s="428">
        <v>0.47</v>
      </c>
      <c r="IZ55" s="464">
        <v>52</v>
      </c>
      <c r="JA55" s="464" t="s">
        <v>758</v>
      </c>
      <c r="JB55" s="464">
        <v>9</v>
      </c>
      <c r="JC55" s="464" t="s">
        <v>758</v>
      </c>
      <c r="JD55" s="476">
        <v>0.06</v>
      </c>
      <c r="JE55" s="476">
        <v>0.6</v>
      </c>
      <c r="JF55" s="476">
        <v>0.28999999999999998</v>
      </c>
      <c r="JG55" s="476">
        <v>0.05</v>
      </c>
      <c r="JH55" s="476">
        <v>0.46</v>
      </c>
      <c r="JI55" s="476">
        <v>0.41</v>
      </c>
      <c r="JJ55" s="476">
        <v>0.47</v>
      </c>
      <c r="JK55" s="476">
        <v>0.47</v>
      </c>
      <c r="JL55" s="476">
        <v>0.5</v>
      </c>
      <c r="JM55" s="476">
        <v>0.53</v>
      </c>
      <c r="JN55" s="476">
        <v>0.41</v>
      </c>
      <c r="JO55" s="476">
        <v>0.41</v>
      </c>
      <c r="JP55" s="476">
        <v>0.46</v>
      </c>
      <c r="JQ55" s="476">
        <v>0.18</v>
      </c>
      <c r="JR55" s="476">
        <v>0.5</v>
      </c>
      <c r="JS55" s="476">
        <v>0.63</v>
      </c>
      <c r="JT55" s="476">
        <v>0.43</v>
      </c>
      <c r="JU55" s="476">
        <v>0.48</v>
      </c>
      <c r="JV55" s="476">
        <v>0.46</v>
      </c>
      <c r="JW55" s="476">
        <v>0.48</v>
      </c>
      <c r="JX55" s="476">
        <v>0.4</v>
      </c>
      <c r="JY55" s="476">
        <v>0.47</v>
      </c>
      <c r="JZ55" s="476">
        <v>0.4</v>
      </c>
      <c r="KA55" s="476">
        <v>0.59</v>
      </c>
      <c r="KB55" s="476">
        <v>0.46</v>
      </c>
      <c r="KC55" s="476">
        <v>0.65</v>
      </c>
      <c r="KD55" s="476">
        <v>0.34</v>
      </c>
      <c r="KE55" s="476">
        <v>0.45</v>
      </c>
      <c r="KF55" s="476">
        <v>0.46</v>
      </c>
      <c r="KG55" s="476">
        <v>0.54</v>
      </c>
      <c r="KH55" s="971">
        <v>57</v>
      </c>
      <c r="KI55" s="971" t="s">
        <v>758</v>
      </c>
      <c r="KJ55" s="971">
        <v>8</v>
      </c>
      <c r="KK55" s="971" t="s">
        <v>758</v>
      </c>
      <c r="KL55" s="949">
        <v>0.03</v>
      </c>
      <c r="KM55" s="949">
        <v>0.36</v>
      </c>
      <c r="KN55" s="949">
        <v>0.57999999999999996</v>
      </c>
      <c r="KO55" s="949">
        <v>0.03</v>
      </c>
      <c r="KP55" s="949">
        <v>0.42</v>
      </c>
      <c r="KQ55" s="949">
        <v>0.21</v>
      </c>
      <c r="KR55" s="949">
        <v>0.53</v>
      </c>
      <c r="KS55" s="949">
        <v>0.36</v>
      </c>
      <c r="KT55" s="949">
        <v>0.56000000000000005</v>
      </c>
      <c r="KU55" s="949">
        <v>0.34</v>
      </c>
      <c r="KV55" s="949">
        <v>0.54</v>
      </c>
      <c r="KW55" s="949">
        <v>0.25</v>
      </c>
      <c r="KX55" s="949">
        <v>0.26</v>
      </c>
      <c r="KY55" s="949">
        <v>0.46</v>
      </c>
      <c r="KZ55" s="949">
        <v>0.22</v>
      </c>
      <c r="LA55" s="949">
        <v>0.32</v>
      </c>
      <c r="LB55" s="949">
        <v>0.34</v>
      </c>
      <c r="LC55" s="949">
        <v>0.31</v>
      </c>
      <c r="LD55" s="949">
        <v>0.49</v>
      </c>
      <c r="LE55" s="949">
        <v>0.36</v>
      </c>
      <c r="LF55" s="949">
        <v>0.21</v>
      </c>
      <c r="LG55" s="949">
        <v>0.2</v>
      </c>
      <c r="LH55" s="949">
        <v>0.49</v>
      </c>
      <c r="LI55" s="949">
        <v>0.44</v>
      </c>
      <c r="LJ55" s="949">
        <v>0.28999999999999998</v>
      </c>
      <c r="LK55" s="949">
        <v>0.41</v>
      </c>
      <c r="LL55" s="949" t="s">
        <v>173</v>
      </c>
      <c r="LM55" s="949">
        <v>0.52</v>
      </c>
      <c r="LN55" s="949">
        <v>0.59</v>
      </c>
      <c r="LO55" s="949">
        <v>0.46</v>
      </c>
      <c r="LP55" s="922">
        <v>325754002961</v>
      </c>
      <c r="LQ55" s="126" t="s">
        <v>60</v>
      </c>
      <c r="LR55" s="424">
        <v>53</v>
      </c>
      <c r="LS55" s="971">
        <v>57</v>
      </c>
      <c r="LT55" s="946"/>
    </row>
    <row r="56" spans="1:332" ht="24.95" customHeight="1" x14ac:dyDescent="0.2">
      <c r="A56" s="555" t="s">
        <v>131</v>
      </c>
      <c r="B56" s="1" t="s">
        <v>123</v>
      </c>
      <c r="C56" s="309">
        <v>1</v>
      </c>
      <c r="D56" s="328"/>
      <c r="E56" s="328"/>
      <c r="F56" s="328"/>
      <c r="G56" s="328"/>
      <c r="H56" s="328"/>
      <c r="I56" s="328"/>
      <c r="J56" s="328"/>
      <c r="K56" s="328"/>
      <c r="L56" s="328"/>
      <c r="M56" s="328"/>
      <c r="N56" s="328"/>
      <c r="O56" s="328"/>
      <c r="P56" s="328"/>
      <c r="Q56" s="328"/>
      <c r="R56" s="328"/>
      <c r="S56" s="328"/>
      <c r="T56" s="328"/>
      <c r="U56" s="328"/>
      <c r="V56" s="328"/>
      <c r="W56" s="328"/>
      <c r="X56" s="328"/>
      <c r="Y56" s="328"/>
      <c r="Z56" s="328"/>
      <c r="AA56" s="328"/>
      <c r="AB56" s="328"/>
      <c r="AC56" s="328"/>
      <c r="AD56" s="328"/>
      <c r="AE56" s="328"/>
      <c r="AF56" s="328"/>
      <c r="AG56" s="328"/>
      <c r="AH56" s="328" t="s">
        <v>126</v>
      </c>
      <c r="AI56" s="328" t="s">
        <v>126</v>
      </c>
      <c r="AJ56" s="331"/>
      <c r="AK56" s="331"/>
      <c r="AL56" s="331"/>
      <c r="AM56" s="331"/>
      <c r="AN56" s="331"/>
      <c r="AO56" s="331"/>
      <c r="AP56" s="331"/>
      <c r="AQ56" s="331"/>
      <c r="AR56" s="331"/>
      <c r="AS56" s="331"/>
      <c r="AT56" s="331"/>
      <c r="AU56" s="331"/>
      <c r="AV56" s="331"/>
      <c r="AW56" s="331"/>
      <c r="AX56" s="331"/>
      <c r="AY56" s="331"/>
      <c r="AZ56" s="331"/>
      <c r="BA56" s="331"/>
      <c r="BB56" s="331"/>
      <c r="BC56" s="331"/>
      <c r="BD56" s="331"/>
      <c r="BE56" s="331"/>
      <c r="BF56" s="331"/>
      <c r="BG56" s="331"/>
      <c r="BH56" s="331"/>
      <c r="BI56" s="331"/>
      <c r="BJ56" s="331"/>
      <c r="BK56" s="331"/>
      <c r="BL56" s="331"/>
      <c r="BM56" s="328">
        <v>50</v>
      </c>
      <c r="BN56" s="328">
        <v>6</v>
      </c>
      <c r="BO56" s="333">
        <v>0</v>
      </c>
      <c r="BP56" s="333">
        <v>0.83</v>
      </c>
      <c r="BQ56" s="333">
        <v>0.17</v>
      </c>
      <c r="BR56" s="333">
        <v>0</v>
      </c>
      <c r="BS56" s="333">
        <v>0.4</v>
      </c>
      <c r="BT56" s="333">
        <v>1</v>
      </c>
      <c r="BU56" s="333">
        <v>0.75</v>
      </c>
      <c r="BV56" s="333">
        <v>0.5</v>
      </c>
      <c r="BW56" s="333">
        <v>0.28999999999999998</v>
      </c>
      <c r="BX56" s="333">
        <v>0.5</v>
      </c>
      <c r="BY56" s="333">
        <v>0.5</v>
      </c>
      <c r="BZ56" s="333">
        <v>0.61</v>
      </c>
      <c r="CA56" s="333">
        <v>0.2</v>
      </c>
      <c r="CB56" s="333">
        <v>0.43</v>
      </c>
      <c r="CC56" s="333">
        <v>0.09</v>
      </c>
      <c r="CD56" s="333">
        <v>0.35</v>
      </c>
      <c r="CE56" s="333">
        <v>0.21</v>
      </c>
      <c r="CF56" s="333">
        <v>0.5</v>
      </c>
      <c r="CG56" s="333">
        <v>0.75</v>
      </c>
      <c r="CH56" s="333">
        <v>0.26</v>
      </c>
      <c r="CI56" s="333">
        <v>0.53</v>
      </c>
      <c r="CJ56" s="333">
        <v>0.17</v>
      </c>
      <c r="CK56" s="333">
        <v>0.76</v>
      </c>
      <c r="CL56" s="333">
        <v>0.31</v>
      </c>
      <c r="CM56" s="333">
        <v>0.4</v>
      </c>
      <c r="CN56" s="333">
        <v>0.67</v>
      </c>
      <c r="CO56" s="333">
        <v>0.5</v>
      </c>
      <c r="CP56" s="333">
        <v>0.35</v>
      </c>
      <c r="CQ56" s="333">
        <v>0.71</v>
      </c>
      <c r="CR56" s="333">
        <v>0.45</v>
      </c>
      <c r="CS56" s="328">
        <v>49</v>
      </c>
      <c r="CT56" s="328">
        <v>7</v>
      </c>
      <c r="CU56" s="327">
        <v>0.1</v>
      </c>
      <c r="CV56" s="327">
        <v>0.7</v>
      </c>
      <c r="CW56" s="327">
        <v>0.2</v>
      </c>
      <c r="CX56" s="327">
        <v>0</v>
      </c>
      <c r="CY56" s="327">
        <v>0.54</v>
      </c>
      <c r="CZ56" s="327">
        <v>0.27</v>
      </c>
      <c r="DA56" s="327">
        <v>0.52</v>
      </c>
      <c r="DB56" s="327">
        <v>0.4</v>
      </c>
      <c r="DC56" s="327">
        <v>0.38</v>
      </c>
      <c r="DD56" s="327">
        <v>0.89</v>
      </c>
      <c r="DE56" s="327">
        <v>0.64</v>
      </c>
      <c r="DF56" s="327">
        <v>0.47</v>
      </c>
      <c r="DG56" s="327">
        <v>0.43</v>
      </c>
      <c r="DH56" s="327">
        <v>0.44</v>
      </c>
      <c r="DI56" s="327">
        <v>0.5</v>
      </c>
      <c r="DJ56" s="327">
        <v>0.59</v>
      </c>
      <c r="DK56" s="327">
        <v>0.33</v>
      </c>
      <c r="DL56" s="327">
        <v>0.44</v>
      </c>
      <c r="DM56" s="327">
        <v>0.56999999999999995</v>
      </c>
      <c r="DN56" s="327">
        <v>0.64</v>
      </c>
      <c r="DO56" s="327">
        <v>0.3</v>
      </c>
      <c r="DP56" s="327">
        <v>0.46</v>
      </c>
      <c r="DQ56" s="327">
        <v>0.55000000000000004</v>
      </c>
      <c r="DR56" s="327">
        <v>0.18</v>
      </c>
      <c r="DS56" s="327">
        <v>0.32</v>
      </c>
      <c r="DT56" s="327">
        <v>0.73</v>
      </c>
      <c r="DU56" s="327">
        <v>0.25</v>
      </c>
      <c r="DV56" s="327">
        <v>0.59</v>
      </c>
      <c r="DW56" s="327">
        <v>0.3</v>
      </c>
      <c r="DX56" s="311">
        <v>49</v>
      </c>
      <c r="DY56" s="311">
        <v>5</v>
      </c>
      <c r="DZ56" s="331">
        <v>0</v>
      </c>
      <c r="EA56" s="331">
        <v>0.8</v>
      </c>
      <c r="EB56" s="331">
        <v>0.2</v>
      </c>
      <c r="EC56" s="331">
        <v>0</v>
      </c>
      <c r="ED56" s="331">
        <v>0.48</v>
      </c>
      <c r="EE56" s="331">
        <v>0.38</v>
      </c>
      <c r="EF56" s="331">
        <v>0.35</v>
      </c>
      <c r="EG56" s="331">
        <v>0.38</v>
      </c>
      <c r="EH56" s="331">
        <v>0.35</v>
      </c>
      <c r="EI56" s="331">
        <v>0.33</v>
      </c>
      <c r="EJ56" s="331">
        <v>0.87</v>
      </c>
      <c r="EK56" s="331">
        <v>0.44</v>
      </c>
      <c r="EL56" s="331">
        <v>0.59</v>
      </c>
      <c r="EM56" s="331">
        <v>0.67</v>
      </c>
      <c r="EN56" s="331">
        <v>0.22</v>
      </c>
      <c r="EO56" s="331">
        <v>0.6</v>
      </c>
      <c r="EP56" s="331">
        <v>0.39</v>
      </c>
      <c r="EQ56" s="331">
        <v>0.44</v>
      </c>
      <c r="ER56" s="331">
        <v>0.53</v>
      </c>
      <c r="ES56" s="331">
        <v>0.57999999999999996</v>
      </c>
      <c r="ET56" s="331">
        <v>0.3</v>
      </c>
      <c r="EU56" s="331">
        <v>0.63</v>
      </c>
      <c r="EV56" s="331">
        <v>0.67</v>
      </c>
      <c r="EW56" s="331">
        <v>0.33</v>
      </c>
      <c r="EX56" s="331">
        <v>0.5</v>
      </c>
      <c r="EY56" s="331">
        <v>0.68</v>
      </c>
      <c r="EZ56" s="331">
        <v>0.25</v>
      </c>
      <c r="FA56" s="331">
        <v>0.65</v>
      </c>
      <c r="FB56" s="312">
        <v>54</v>
      </c>
      <c r="FC56" s="312" t="s">
        <v>758</v>
      </c>
      <c r="FD56" s="312">
        <v>4</v>
      </c>
      <c r="FE56" s="312" t="s">
        <v>760</v>
      </c>
      <c r="FF56" s="332">
        <v>0</v>
      </c>
      <c r="FG56" s="332">
        <v>0.5</v>
      </c>
      <c r="FH56" s="332">
        <v>0.5</v>
      </c>
      <c r="FI56" s="332">
        <v>0</v>
      </c>
      <c r="FJ56" s="332">
        <v>0.17</v>
      </c>
      <c r="FK56" s="332">
        <v>0.43</v>
      </c>
      <c r="FL56" s="332">
        <v>0.2</v>
      </c>
      <c r="FM56" s="332">
        <v>0</v>
      </c>
      <c r="FN56" s="332">
        <v>0</v>
      </c>
      <c r="FO56" s="332">
        <v>0</v>
      </c>
      <c r="FP56" s="332">
        <v>0.6</v>
      </c>
      <c r="FQ56" s="332">
        <v>0.4</v>
      </c>
      <c r="FR56" s="332">
        <v>0.28999999999999998</v>
      </c>
      <c r="FS56" s="332">
        <v>0.2</v>
      </c>
      <c r="FT56" s="332">
        <v>0.75</v>
      </c>
      <c r="FU56" s="332">
        <v>0.5</v>
      </c>
      <c r="FV56" s="332">
        <v>0.5</v>
      </c>
      <c r="FW56" s="332">
        <v>0.5</v>
      </c>
      <c r="FX56" s="332">
        <v>1</v>
      </c>
      <c r="FY56" s="332">
        <v>0.6</v>
      </c>
      <c r="FZ56" s="332">
        <v>0</v>
      </c>
      <c r="GA56" s="332">
        <v>0</v>
      </c>
      <c r="GB56" s="332">
        <v>0.5</v>
      </c>
      <c r="GC56" s="332">
        <v>0.2</v>
      </c>
      <c r="GD56" s="332">
        <v>0.8</v>
      </c>
      <c r="GE56" s="332">
        <v>0.4</v>
      </c>
      <c r="GF56" s="332">
        <v>0</v>
      </c>
      <c r="GG56" s="332">
        <v>0.5</v>
      </c>
      <c r="GH56" s="332">
        <v>1</v>
      </c>
      <c r="GI56" s="332">
        <v>0</v>
      </c>
      <c r="GJ56" s="309">
        <v>50</v>
      </c>
      <c r="GK56" s="309" t="s">
        <v>758</v>
      </c>
      <c r="GL56" s="309">
        <v>10</v>
      </c>
      <c r="GM56" s="309" t="s">
        <v>758</v>
      </c>
      <c r="GN56" s="327">
        <v>0.2</v>
      </c>
      <c r="GO56" s="327">
        <v>0.6</v>
      </c>
      <c r="GP56" s="327">
        <v>0.2</v>
      </c>
      <c r="GQ56" s="327">
        <v>0</v>
      </c>
      <c r="GR56" s="327">
        <v>0.43</v>
      </c>
      <c r="GS56" s="327">
        <v>0.53</v>
      </c>
      <c r="GT56" s="327">
        <v>0.61</v>
      </c>
      <c r="GU56" s="327">
        <v>0.28999999999999998</v>
      </c>
      <c r="GV56" s="327">
        <v>0.42</v>
      </c>
      <c r="GW56" s="327">
        <v>0.3</v>
      </c>
      <c r="GX56" s="327">
        <v>0.54</v>
      </c>
      <c r="GY56" s="309" t="s">
        <v>173</v>
      </c>
      <c r="GZ56" s="327">
        <v>0.2</v>
      </c>
      <c r="HA56" s="327">
        <v>1</v>
      </c>
      <c r="HB56" s="327">
        <v>0.41</v>
      </c>
      <c r="HC56" s="327">
        <v>0.33</v>
      </c>
      <c r="HD56" s="327">
        <v>0.5</v>
      </c>
      <c r="HE56" s="327">
        <v>0.47</v>
      </c>
      <c r="HF56" s="327">
        <v>0.48</v>
      </c>
      <c r="HG56" s="327">
        <v>0.54</v>
      </c>
      <c r="HH56" s="327">
        <v>0.42</v>
      </c>
      <c r="HI56" s="327">
        <v>0.56999999999999995</v>
      </c>
      <c r="HJ56" s="327">
        <v>0.64</v>
      </c>
      <c r="HK56" s="327">
        <v>0.56000000000000005</v>
      </c>
      <c r="HL56" s="327">
        <v>0.39</v>
      </c>
      <c r="HM56" s="327">
        <v>0.43</v>
      </c>
      <c r="HN56" s="327">
        <v>0.71</v>
      </c>
      <c r="HO56" s="327">
        <v>0.38</v>
      </c>
      <c r="HP56" s="309" t="s">
        <v>173</v>
      </c>
      <c r="HQ56" s="327">
        <v>0.5</v>
      </c>
      <c r="HR56" s="424">
        <v>56</v>
      </c>
      <c r="HS56" s="424" t="s">
        <v>758</v>
      </c>
      <c r="HT56" s="424">
        <v>8</v>
      </c>
      <c r="HU56" s="424" t="s">
        <v>758</v>
      </c>
      <c r="HV56" s="428">
        <v>0.05</v>
      </c>
      <c r="HW56" s="428">
        <v>0.45</v>
      </c>
      <c r="HX56" s="428">
        <v>0.5</v>
      </c>
      <c r="HY56" s="428">
        <v>0</v>
      </c>
      <c r="HZ56" s="428">
        <v>0.33</v>
      </c>
      <c r="IA56" s="428">
        <v>0.37</v>
      </c>
      <c r="IB56" s="428">
        <v>0.25</v>
      </c>
      <c r="IC56" s="428">
        <v>0.49</v>
      </c>
      <c r="ID56" s="428">
        <v>0.64</v>
      </c>
      <c r="IE56" s="428">
        <v>0.28999999999999998</v>
      </c>
      <c r="IF56" s="428">
        <v>0.33</v>
      </c>
      <c r="IG56" s="428">
        <v>0.56000000000000005</v>
      </c>
      <c r="IH56" s="428">
        <v>0.38</v>
      </c>
      <c r="II56" s="428">
        <v>0</v>
      </c>
      <c r="IJ56" s="428">
        <v>0.2</v>
      </c>
      <c r="IK56" s="428">
        <v>0.4</v>
      </c>
      <c r="IL56" s="428">
        <v>0.22</v>
      </c>
      <c r="IM56" s="428">
        <v>0.56999999999999995</v>
      </c>
      <c r="IN56" s="428">
        <v>0.35</v>
      </c>
      <c r="IO56" s="428">
        <v>0.51</v>
      </c>
      <c r="IP56" s="428">
        <v>0.37</v>
      </c>
      <c r="IQ56" s="428">
        <v>0.6</v>
      </c>
      <c r="IR56" s="428">
        <v>0.46</v>
      </c>
      <c r="IS56" s="428">
        <v>0.39</v>
      </c>
      <c r="IT56" s="428">
        <v>0.39</v>
      </c>
      <c r="IU56" s="424" t="s">
        <v>173</v>
      </c>
      <c r="IV56" s="428">
        <v>0.44</v>
      </c>
      <c r="IW56" s="428">
        <v>0.33</v>
      </c>
      <c r="IX56" s="428">
        <v>0.49</v>
      </c>
      <c r="IY56" s="428">
        <v>0.44</v>
      </c>
      <c r="IZ56" s="464">
        <v>48</v>
      </c>
      <c r="JA56" s="464" t="s">
        <v>758</v>
      </c>
      <c r="JB56" s="464">
        <v>8</v>
      </c>
      <c r="JC56" s="464" t="s">
        <v>758</v>
      </c>
      <c r="JD56" s="476">
        <v>0.14000000000000001</v>
      </c>
      <c r="JE56" s="476">
        <v>0.71</v>
      </c>
      <c r="JF56" s="476">
        <v>0.14000000000000001</v>
      </c>
      <c r="JG56" s="476">
        <v>0</v>
      </c>
      <c r="JH56" s="476">
        <v>0.5</v>
      </c>
      <c r="JI56" s="476">
        <v>0.56999999999999995</v>
      </c>
      <c r="JJ56" s="476">
        <v>0.38</v>
      </c>
      <c r="JK56" s="476">
        <v>0.56000000000000005</v>
      </c>
      <c r="JL56" s="476">
        <v>0.56000000000000005</v>
      </c>
      <c r="JM56" s="476">
        <v>0.55000000000000004</v>
      </c>
      <c r="JN56" s="476">
        <v>0.69</v>
      </c>
      <c r="JO56" s="476">
        <v>0.4</v>
      </c>
      <c r="JP56" s="476">
        <v>0.8</v>
      </c>
      <c r="JQ56" s="476">
        <v>0.28999999999999998</v>
      </c>
      <c r="JR56" s="476">
        <v>0.52</v>
      </c>
      <c r="JS56" s="476">
        <v>0.63</v>
      </c>
      <c r="JT56" s="476">
        <v>0.67</v>
      </c>
      <c r="JU56" s="476">
        <v>0.71</v>
      </c>
      <c r="JV56" s="476">
        <v>0.46</v>
      </c>
      <c r="JW56" s="476">
        <v>0.56000000000000005</v>
      </c>
      <c r="JX56" s="476">
        <v>0.71</v>
      </c>
      <c r="JY56" s="476">
        <v>0.44</v>
      </c>
      <c r="JZ56" s="476">
        <v>0.33</v>
      </c>
      <c r="KA56" s="476">
        <v>0</v>
      </c>
      <c r="KB56" s="476">
        <v>0.38</v>
      </c>
      <c r="KC56" s="476">
        <v>0.56999999999999995</v>
      </c>
      <c r="KD56" s="476">
        <v>0.31</v>
      </c>
      <c r="KE56" s="476">
        <v>0.5</v>
      </c>
      <c r="KF56" s="476">
        <v>0.56000000000000005</v>
      </c>
      <c r="KG56" s="476">
        <v>0.82</v>
      </c>
      <c r="KH56" s="971">
        <v>50</v>
      </c>
      <c r="KI56" s="971" t="s">
        <v>758</v>
      </c>
      <c r="KJ56" s="971">
        <v>9</v>
      </c>
      <c r="KK56" s="971" t="s">
        <v>758</v>
      </c>
      <c r="KL56" s="949">
        <v>0.15</v>
      </c>
      <c r="KM56" s="949">
        <v>0.54</v>
      </c>
      <c r="KN56" s="949">
        <v>0.31</v>
      </c>
      <c r="KO56" s="949">
        <v>0</v>
      </c>
      <c r="KP56" s="949">
        <v>0.52</v>
      </c>
      <c r="KQ56" s="949">
        <v>0.25</v>
      </c>
      <c r="KR56" s="949">
        <v>0.56000000000000005</v>
      </c>
      <c r="KS56" s="949">
        <v>0.56999999999999995</v>
      </c>
      <c r="KT56" s="949">
        <v>0.62</v>
      </c>
      <c r="KU56" s="949">
        <v>0.22</v>
      </c>
      <c r="KV56" s="949">
        <v>0.69</v>
      </c>
      <c r="KW56" s="949">
        <v>0.34</v>
      </c>
      <c r="KX56" s="949">
        <v>0.54</v>
      </c>
      <c r="KY56" s="949">
        <v>0.59</v>
      </c>
      <c r="KZ56" s="949">
        <v>0.36</v>
      </c>
      <c r="LA56" s="949">
        <v>0.5</v>
      </c>
      <c r="LB56" s="949">
        <v>0.39</v>
      </c>
      <c r="LC56" s="949">
        <v>0.51</v>
      </c>
      <c r="LD56" s="949">
        <v>0.71</v>
      </c>
      <c r="LE56" s="949">
        <v>0.56000000000000005</v>
      </c>
      <c r="LF56" s="949">
        <v>0.33</v>
      </c>
      <c r="LG56" s="949">
        <v>0.5</v>
      </c>
      <c r="LH56" s="949">
        <v>0.56999999999999995</v>
      </c>
      <c r="LI56" s="949">
        <v>0.42</v>
      </c>
      <c r="LJ56" s="949">
        <v>0.35</v>
      </c>
      <c r="LK56" s="949">
        <v>0.56000000000000005</v>
      </c>
      <c r="LL56" s="949" t="s">
        <v>173</v>
      </c>
      <c r="LM56" s="949">
        <v>0.54</v>
      </c>
      <c r="LN56" s="949">
        <v>0.44</v>
      </c>
      <c r="LO56" s="949">
        <v>0.17</v>
      </c>
      <c r="LP56" s="922">
        <v>325754005226</v>
      </c>
      <c r="LQ56" s="555" t="s">
        <v>131</v>
      </c>
      <c r="LR56" s="424">
        <v>56</v>
      </c>
      <c r="LS56" s="971">
        <v>50</v>
      </c>
      <c r="LT56" s="946"/>
    </row>
    <row r="57" spans="1:332" ht="24.95" customHeight="1" x14ac:dyDescent="0.2">
      <c r="A57" s="126" t="s">
        <v>67</v>
      </c>
      <c r="B57" s="1" t="s">
        <v>123</v>
      </c>
      <c r="C57" s="2">
        <v>2</v>
      </c>
      <c r="D57" s="12">
        <v>56</v>
      </c>
      <c r="E57" s="12">
        <v>7</v>
      </c>
      <c r="F57" s="66">
        <v>0.01</v>
      </c>
      <c r="G57" s="66">
        <v>0.42</v>
      </c>
      <c r="H57" s="66">
        <v>0.56999999999999995</v>
      </c>
      <c r="I57" s="66">
        <v>0</v>
      </c>
      <c r="J57" s="66">
        <v>0.43</v>
      </c>
      <c r="K57" s="66">
        <v>0.28000000000000003</v>
      </c>
      <c r="L57" s="66">
        <v>0.64</v>
      </c>
      <c r="M57" s="66">
        <v>0.13</v>
      </c>
      <c r="N57" s="66">
        <v>0.27</v>
      </c>
      <c r="O57" s="66">
        <v>0.62</v>
      </c>
      <c r="P57" s="66">
        <v>0.35</v>
      </c>
      <c r="Q57" s="66">
        <v>0.36</v>
      </c>
      <c r="R57" s="66">
        <v>0.51</v>
      </c>
      <c r="S57" s="66">
        <v>0.54</v>
      </c>
      <c r="T57" s="66">
        <v>0.44</v>
      </c>
      <c r="U57" s="66">
        <v>0.56000000000000005</v>
      </c>
      <c r="V57" s="66">
        <v>0.05</v>
      </c>
      <c r="W57" s="66">
        <v>7.0000000000000007E-2</v>
      </c>
      <c r="X57" s="66">
        <v>0.43</v>
      </c>
      <c r="Y57" s="66">
        <v>0.45</v>
      </c>
      <c r="Z57" s="12" t="s">
        <v>173</v>
      </c>
      <c r="AA57" s="66">
        <v>0.04</v>
      </c>
      <c r="AB57" s="66">
        <v>0.42</v>
      </c>
      <c r="AC57" s="66">
        <v>0.24</v>
      </c>
      <c r="AD57" s="66">
        <v>0.35</v>
      </c>
      <c r="AE57" s="66">
        <v>0.39</v>
      </c>
      <c r="AF57" s="66">
        <v>0.42</v>
      </c>
      <c r="AG57" s="66">
        <v>0.5</v>
      </c>
      <c r="AH57" s="12">
        <v>54</v>
      </c>
      <c r="AI57" s="12">
        <v>8</v>
      </c>
      <c r="AJ57" s="40">
        <v>0.06</v>
      </c>
      <c r="AK57" s="40">
        <v>0.52</v>
      </c>
      <c r="AL57" s="40">
        <v>0.43</v>
      </c>
      <c r="AM57" s="40">
        <v>0</v>
      </c>
      <c r="AN57" s="40">
        <v>0.17</v>
      </c>
      <c r="AO57" s="40">
        <v>0.43</v>
      </c>
      <c r="AP57" s="40">
        <v>0.51</v>
      </c>
      <c r="AQ57" s="40">
        <v>0.34</v>
      </c>
      <c r="AR57" s="40">
        <v>0.5</v>
      </c>
      <c r="AS57" s="40">
        <v>0.45</v>
      </c>
      <c r="AT57" s="40">
        <v>0.5</v>
      </c>
      <c r="AU57" s="40">
        <v>0.39</v>
      </c>
      <c r="AV57" s="40">
        <v>0.53</v>
      </c>
      <c r="AW57" s="40">
        <v>0.48</v>
      </c>
      <c r="AX57" s="40">
        <v>0.46</v>
      </c>
      <c r="AY57" s="40">
        <v>0.27</v>
      </c>
      <c r="AZ57" s="40">
        <v>0.28999999999999998</v>
      </c>
      <c r="BA57" s="40">
        <v>0.45</v>
      </c>
      <c r="BB57" s="40">
        <v>0.57999999999999996</v>
      </c>
      <c r="BC57" s="40">
        <v>0.62</v>
      </c>
      <c r="BD57" s="40">
        <v>0.41</v>
      </c>
      <c r="BE57" s="40">
        <v>0.59</v>
      </c>
      <c r="BF57" s="40">
        <v>0.5</v>
      </c>
      <c r="BG57" s="40">
        <v>0.39</v>
      </c>
      <c r="BH57" s="40">
        <v>0.41</v>
      </c>
      <c r="BI57" s="40">
        <v>0.39</v>
      </c>
      <c r="BJ57" s="40">
        <v>0.31</v>
      </c>
      <c r="BK57" s="40">
        <v>0.43</v>
      </c>
      <c r="BL57" s="40">
        <v>0.54</v>
      </c>
      <c r="BM57" s="12">
        <v>51</v>
      </c>
      <c r="BN57" s="12">
        <v>9</v>
      </c>
      <c r="BO57" s="66">
        <v>0.12</v>
      </c>
      <c r="BP57" s="66">
        <v>0.55000000000000004</v>
      </c>
      <c r="BQ57" s="66">
        <v>0.32</v>
      </c>
      <c r="BR57" s="66">
        <v>0.01</v>
      </c>
      <c r="BS57" s="66">
        <v>0.4</v>
      </c>
      <c r="BT57" s="66">
        <v>0.53</v>
      </c>
      <c r="BU57" s="66">
        <v>0.56999999999999995</v>
      </c>
      <c r="BV57" s="66">
        <v>0.22</v>
      </c>
      <c r="BW57" s="66">
        <v>0.61</v>
      </c>
      <c r="BX57" s="66">
        <v>0.37</v>
      </c>
      <c r="BY57" s="66">
        <v>0.47</v>
      </c>
      <c r="BZ57" s="66">
        <v>0.5</v>
      </c>
      <c r="CA57" s="66">
        <v>0.42</v>
      </c>
      <c r="CB57" s="66">
        <v>0.41</v>
      </c>
      <c r="CC57" s="66">
        <v>0.2</v>
      </c>
      <c r="CD57" s="66">
        <v>0.45</v>
      </c>
      <c r="CE57" s="66">
        <v>0.33</v>
      </c>
      <c r="CF57" s="66">
        <v>0.64</v>
      </c>
      <c r="CG57" s="66">
        <v>0.6</v>
      </c>
      <c r="CH57" s="66">
        <v>0.42</v>
      </c>
      <c r="CI57" s="66">
        <v>0.56999999999999995</v>
      </c>
      <c r="CJ57" s="66">
        <v>0.4</v>
      </c>
      <c r="CK57" s="66">
        <v>0.6</v>
      </c>
      <c r="CL57" s="66">
        <v>0.31</v>
      </c>
      <c r="CM57" s="66">
        <v>0.46</v>
      </c>
      <c r="CN57" s="66">
        <v>0.43</v>
      </c>
      <c r="CO57" s="66">
        <v>0.44</v>
      </c>
      <c r="CP57" s="66">
        <v>0.39</v>
      </c>
      <c r="CQ57" s="66">
        <v>0.49</v>
      </c>
      <c r="CR57" s="66">
        <v>0.52</v>
      </c>
      <c r="CS57" s="12">
        <v>52</v>
      </c>
      <c r="CT57" s="12">
        <v>9</v>
      </c>
      <c r="CU57" s="63">
        <v>0.14000000000000001</v>
      </c>
      <c r="CV57" s="63">
        <v>0.47</v>
      </c>
      <c r="CW57" s="63">
        <v>0.38</v>
      </c>
      <c r="CX57" s="63">
        <v>0.02</v>
      </c>
      <c r="CY57" s="63">
        <v>0.45</v>
      </c>
      <c r="CZ57" s="63">
        <v>0.27</v>
      </c>
      <c r="DA57" s="63">
        <v>0.53</v>
      </c>
      <c r="DB57" s="63">
        <v>0.36</v>
      </c>
      <c r="DC57" s="63">
        <v>0.44</v>
      </c>
      <c r="DD57" s="63">
        <v>0.69</v>
      </c>
      <c r="DE57" s="63">
        <v>0.39</v>
      </c>
      <c r="DF57" s="63">
        <v>0.52</v>
      </c>
      <c r="DG57" s="63">
        <v>0.34</v>
      </c>
      <c r="DH57" s="63">
        <v>0.31</v>
      </c>
      <c r="DI57" s="63">
        <v>0.48</v>
      </c>
      <c r="DJ57" s="63">
        <v>0.42</v>
      </c>
      <c r="DK57" s="63">
        <v>0.31</v>
      </c>
      <c r="DL57" s="63">
        <v>0.38</v>
      </c>
      <c r="DM57" s="63">
        <v>0.52</v>
      </c>
      <c r="DN57" s="63">
        <v>0.43</v>
      </c>
      <c r="DO57" s="63">
        <v>0.33</v>
      </c>
      <c r="DP57" s="63">
        <v>0.39</v>
      </c>
      <c r="DQ57" s="63">
        <v>0.5</v>
      </c>
      <c r="DR57" s="63">
        <v>0.18</v>
      </c>
      <c r="DS57" s="63">
        <v>0.45</v>
      </c>
      <c r="DT57" s="63">
        <v>0.59</v>
      </c>
      <c r="DU57" s="63">
        <v>0.54</v>
      </c>
      <c r="DV57" s="63">
        <v>0.51</v>
      </c>
      <c r="DW57" s="63">
        <v>0.27</v>
      </c>
      <c r="DX57" s="35">
        <v>48</v>
      </c>
      <c r="DY57" s="35">
        <v>9</v>
      </c>
      <c r="DZ57" s="40">
        <v>0.2</v>
      </c>
      <c r="EA57" s="40">
        <v>0.57999999999999996</v>
      </c>
      <c r="EB57" s="40">
        <v>0.21</v>
      </c>
      <c r="EC57" s="40">
        <v>0.01</v>
      </c>
      <c r="ED57" s="40">
        <v>0.52</v>
      </c>
      <c r="EE57" s="40">
        <v>0.44</v>
      </c>
      <c r="EF57" s="40">
        <v>0.57999999999999996</v>
      </c>
      <c r="EG57" s="40">
        <v>0.46</v>
      </c>
      <c r="EH57" s="40">
        <v>0.39</v>
      </c>
      <c r="EI57" s="40">
        <v>0.55000000000000004</v>
      </c>
      <c r="EJ57" s="40">
        <v>0.61</v>
      </c>
      <c r="EK57" s="40">
        <v>0.23</v>
      </c>
      <c r="EL57" s="40">
        <v>0.44</v>
      </c>
      <c r="EM57" s="40">
        <v>0.65</v>
      </c>
      <c r="EN57" s="40">
        <v>0.41</v>
      </c>
      <c r="EO57" s="40">
        <v>0.57999999999999996</v>
      </c>
      <c r="EP57" s="40">
        <v>0.46</v>
      </c>
      <c r="EQ57" s="40">
        <v>0.26</v>
      </c>
      <c r="ER57" s="40">
        <v>0.61</v>
      </c>
      <c r="ES57" s="40">
        <v>0.54</v>
      </c>
      <c r="ET57" s="40">
        <v>0.39</v>
      </c>
      <c r="EU57" s="40">
        <v>0.63</v>
      </c>
      <c r="EV57" s="40">
        <v>0.41</v>
      </c>
      <c r="EW57" s="40">
        <v>0.34</v>
      </c>
      <c r="EX57" s="40">
        <v>0.65</v>
      </c>
      <c r="EY57" s="40">
        <v>0.54</v>
      </c>
      <c r="EZ57" s="40">
        <v>0.35</v>
      </c>
      <c r="FA57" s="40">
        <v>0.65</v>
      </c>
      <c r="FB57" s="246">
        <v>53</v>
      </c>
      <c r="FC57" s="246" t="s">
        <v>758</v>
      </c>
      <c r="FD57" s="246">
        <v>8</v>
      </c>
      <c r="FE57" s="246" t="s">
        <v>758</v>
      </c>
      <c r="FF57" s="263">
        <v>7.0000000000000007E-2</v>
      </c>
      <c r="FG57" s="263">
        <v>0.53</v>
      </c>
      <c r="FH57" s="263">
        <v>0.4</v>
      </c>
      <c r="FI57" s="263">
        <v>0</v>
      </c>
      <c r="FJ57" s="263">
        <v>0.39</v>
      </c>
      <c r="FK57" s="263">
        <v>0.61</v>
      </c>
      <c r="FL57" s="263">
        <v>0.43</v>
      </c>
      <c r="FM57" s="263">
        <v>0.43</v>
      </c>
      <c r="FN57" s="263">
        <v>0.27</v>
      </c>
      <c r="FO57" s="263">
        <v>0.31</v>
      </c>
      <c r="FP57" s="263">
        <v>0.38</v>
      </c>
      <c r="FQ57" s="263">
        <v>0.36</v>
      </c>
      <c r="FR57" s="263">
        <v>0.54</v>
      </c>
      <c r="FS57" s="263">
        <v>0.51</v>
      </c>
      <c r="FT57" s="263">
        <v>0.45</v>
      </c>
      <c r="FU57" s="263">
        <v>0.3</v>
      </c>
      <c r="FV57" s="263">
        <v>0.51</v>
      </c>
      <c r="FW57" s="263">
        <v>0.49</v>
      </c>
      <c r="FX57" s="263">
        <v>0.41</v>
      </c>
      <c r="FY57" s="263">
        <v>0.31</v>
      </c>
      <c r="FZ57" s="263">
        <v>0.42</v>
      </c>
      <c r="GA57" s="263">
        <v>0.39</v>
      </c>
      <c r="GB57" s="263">
        <v>0.44</v>
      </c>
      <c r="GC57" s="263">
        <v>0.37</v>
      </c>
      <c r="GD57" s="263">
        <v>0.5</v>
      </c>
      <c r="GE57" s="263">
        <v>0.41</v>
      </c>
      <c r="GF57" s="263">
        <v>0.38</v>
      </c>
      <c r="GG57" s="263">
        <v>0.39</v>
      </c>
      <c r="GH57" s="263">
        <v>0.62</v>
      </c>
      <c r="GI57" s="263">
        <v>0.23</v>
      </c>
      <c r="GJ57" s="309">
        <v>54</v>
      </c>
      <c r="GK57" s="309" t="s">
        <v>758</v>
      </c>
      <c r="GL57" s="309">
        <v>10</v>
      </c>
      <c r="GM57" s="309" t="s">
        <v>758</v>
      </c>
      <c r="GN57" s="327">
        <v>0.13</v>
      </c>
      <c r="GO57" s="327">
        <v>0.41</v>
      </c>
      <c r="GP57" s="327">
        <v>0.47</v>
      </c>
      <c r="GQ57" s="327">
        <v>0</v>
      </c>
      <c r="GR57" s="327">
        <v>0.42</v>
      </c>
      <c r="GS57" s="327">
        <v>0.46</v>
      </c>
      <c r="GT57" s="327">
        <v>0.55000000000000004</v>
      </c>
      <c r="GU57" s="327">
        <v>0.28000000000000003</v>
      </c>
      <c r="GV57" s="327">
        <v>0.47</v>
      </c>
      <c r="GW57" s="327">
        <v>0.38</v>
      </c>
      <c r="GX57" s="327">
        <v>0.44</v>
      </c>
      <c r="GY57" s="309" t="s">
        <v>173</v>
      </c>
      <c r="GZ57" s="327">
        <v>0.27</v>
      </c>
      <c r="HA57" s="327">
        <v>0.52</v>
      </c>
      <c r="HB57" s="327">
        <v>0.41</v>
      </c>
      <c r="HC57" s="327">
        <v>0.42</v>
      </c>
      <c r="HD57" s="327">
        <v>0.41</v>
      </c>
      <c r="HE57" s="327">
        <v>0.37</v>
      </c>
      <c r="HF57" s="327">
        <v>0.4</v>
      </c>
      <c r="HG57" s="327">
        <v>0.57999999999999996</v>
      </c>
      <c r="HH57" s="327">
        <v>0.3</v>
      </c>
      <c r="HI57" s="327">
        <v>0.39</v>
      </c>
      <c r="HJ57" s="327">
        <v>0.55000000000000004</v>
      </c>
      <c r="HK57" s="327">
        <v>0.48</v>
      </c>
      <c r="HL57" s="327">
        <v>0.37</v>
      </c>
      <c r="HM57" s="327">
        <v>0.48</v>
      </c>
      <c r="HN57" s="327">
        <v>0.47</v>
      </c>
      <c r="HO57" s="327">
        <v>0.35</v>
      </c>
      <c r="HP57" s="309" t="s">
        <v>173</v>
      </c>
      <c r="HQ57" s="327">
        <v>0.37</v>
      </c>
      <c r="HR57" s="424">
        <v>54</v>
      </c>
      <c r="HS57" s="424" t="s">
        <v>758</v>
      </c>
      <c r="HT57" s="424">
        <v>10</v>
      </c>
      <c r="HU57" s="424" t="s">
        <v>758</v>
      </c>
      <c r="HV57" s="428">
        <v>0.09</v>
      </c>
      <c r="HW57" s="428">
        <v>0.4</v>
      </c>
      <c r="HX57" s="428">
        <v>0.49</v>
      </c>
      <c r="HY57" s="428">
        <v>0.03</v>
      </c>
      <c r="HZ57" s="428">
        <v>0.32</v>
      </c>
      <c r="IA57" s="428">
        <v>0.53</v>
      </c>
      <c r="IB57" s="428">
        <v>0.28999999999999998</v>
      </c>
      <c r="IC57" s="428">
        <v>0.45</v>
      </c>
      <c r="ID57" s="428">
        <v>0.56999999999999995</v>
      </c>
      <c r="IE57" s="428">
        <v>0.28000000000000003</v>
      </c>
      <c r="IF57" s="428">
        <v>0.36</v>
      </c>
      <c r="IG57" s="428">
        <v>0.56999999999999995</v>
      </c>
      <c r="IH57" s="428">
        <v>0.45</v>
      </c>
      <c r="II57" s="428">
        <v>0.24</v>
      </c>
      <c r="IJ57" s="428">
        <v>0.25</v>
      </c>
      <c r="IK57" s="428">
        <v>0.51</v>
      </c>
      <c r="IL57" s="428">
        <v>0.35</v>
      </c>
      <c r="IM57" s="428">
        <v>0.52</v>
      </c>
      <c r="IN57" s="428">
        <v>0.41</v>
      </c>
      <c r="IO57" s="428">
        <v>0.4</v>
      </c>
      <c r="IP57" s="428">
        <v>0.43</v>
      </c>
      <c r="IQ57" s="428">
        <v>0.56999999999999995</v>
      </c>
      <c r="IR57" s="428">
        <v>0.46</v>
      </c>
      <c r="IS57" s="428">
        <v>0.47</v>
      </c>
      <c r="IT57" s="428">
        <v>0.35</v>
      </c>
      <c r="IU57" s="424" t="s">
        <v>173</v>
      </c>
      <c r="IV57" s="428">
        <v>0.55000000000000004</v>
      </c>
      <c r="IW57" s="428">
        <v>0.38</v>
      </c>
      <c r="IX57" s="428">
        <v>0.42</v>
      </c>
      <c r="IY57" s="428">
        <v>0.43</v>
      </c>
      <c r="IZ57" s="464">
        <v>55</v>
      </c>
      <c r="JA57" s="464" t="s">
        <v>758</v>
      </c>
      <c r="JB57" s="464">
        <v>10</v>
      </c>
      <c r="JC57" s="464" t="s">
        <v>758</v>
      </c>
      <c r="JD57" s="476">
        <v>0.06</v>
      </c>
      <c r="JE57" s="476">
        <v>0.4</v>
      </c>
      <c r="JF57" s="476">
        <v>0.47</v>
      </c>
      <c r="JG57" s="476">
        <v>7.0000000000000007E-2</v>
      </c>
      <c r="JH57" s="476">
        <v>0.39</v>
      </c>
      <c r="JI57" s="476">
        <v>0.42</v>
      </c>
      <c r="JJ57" s="476">
        <v>0.33</v>
      </c>
      <c r="JK57" s="476">
        <v>0.41</v>
      </c>
      <c r="JL57" s="476">
        <v>0.37</v>
      </c>
      <c r="JM57" s="476">
        <v>0.43</v>
      </c>
      <c r="JN57" s="476">
        <v>0.34</v>
      </c>
      <c r="JO57" s="476">
        <v>0.39</v>
      </c>
      <c r="JP57" s="476">
        <v>0.54</v>
      </c>
      <c r="JQ57" s="476">
        <v>0.19</v>
      </c>
      <c r="JR57" s="476">
        <v>0.54</v>
      </c>
      <c r="JS57" s="476">
        <v>0.49</v>
      </c>
      <c r="JT57" s="476">
        <v>0.34</v>
      </c>
      <c r="JU57" s="476">
        <v>0.47</v>
      </c>
      <c r="JV57" s="476">
        <v>0.39</v>
      </c>
      <c r="JW57" s="476">
        <v>0.43</v>
      </c>
      <c r="JX57" s="476">
        <v>0.26</v>
      </c>
      <c r="JY57" s="476">
        <v>0.49</v>
      </c>
      <c r="JZ57" s="476">
        <v>0.38</v>
      </c>
      <c r="KA57" s="476">
        <v>0.71</v>
      </c>
      <c r="KB57" s="476">
        <v>0.37</v>
      </c>
      <c r="KC57" s="476">
        <v>0.56999999999999995</v>
      </c>
      <c r="KD57" s="476">
        <v>0.25</v>
      </c>
      <c r="KE57" s="476">
        <v>0.45</v>
      </c>
      <c r="KF57" s="476">
        <v>0.33</v>
      </c>
      <c r="KG57" s="476">
        <v>0.45</v>
      </c>
      <c r="KH57" s="971">
        <v>56</v>
      </c>
      <c r="KI57" s="971" t="s">
        <v>758</v>
      </c>
      <c r="KJ57" s="971">
        <v>10</v>
      </c>
      <c r="KK57" s="971" t="s">
        <v>758</v>
      </c>
      <c r="KL57" s="949">
        <v>0.03</v>
      </c>
      <c r="KM57" s="949">
        <v>0.49</v>
      </c>
      <c r="KN57" s="949">
        <v>0.43</v>
      </c>
      <c r="KO57" s="949">
        <v>0.05</v>
      </c>
      <c r="KP57" s="949">
        <v>0.43</v>
      </c>
      <c r="KQ57" s="949">
        <v>0.23</v>
      </c>
      <c r="KR57" s="949">
        <v>0.62</v>
      </c>
      <c r="KS57" s="949">
        <v>0.42</v>
      </c>
      <c r="KT57" s="949">
        <v>0.45</v>
      </c>
      <c r="KU57" s="949">
        <v>0.35</v>
      </c>
      <c r="KV57" s="949">
        <v>0.45</v>
      </c>
      <c r="KW57" s="949">
        <v>0.28999999999999998</v>
      </c>
      <c r="KX57" s="949">
        <v>0.34</v>
      </c>
      <c r="KY57" s="949">
        <v>0.46</v>
      </c>
      <c r="KZ57" s="949">
        <v>0.36</v>
      </c>
      <c r="LA57" s="949">
        <v>0.38</v>
      </c>
      <c r="LB57" s="949">
        <v>0.33</v>
      </c>
      <c r="LC57" s="949">
        <v>0.26</v>
      </c>
      <c r="LD57" s="949">
        <v>0.52</v>
      </c>
      <c r="LE57" s="949">
        <v>0.44</v>
      </c>
      <c r="LF57" s="949">
        <v>0.28000000000000003</v>
      </c>
      <c r="LG57" s="949">
        <v>0.38</v>
      </c>
      <c r="LH57" s="949">
        <v>0.43</v>
      </c>
      <c r="LI57" s="949">
        <v>0.42</v>
      </c>
      <c r="LJ57" s="949">
        <v>0.32</v>
      </c>
      <c r="LK57" s="949">
        <v>0.45</v>
      </c>
      <c r="LL57" s="949" t="s">
        <v>173</v>
      </c>
      <c r="LM57" s="949">
        <v>0.51</v>
      </c>
      <c r="LN57" s="949">
        <v>0.57999999999999996</v>
      </c>
      <c r="LO57" s="949">
        <v>0.4</v>
      </c>
      <c r="LP57" s="922">
        <v>325754004131</v>
      </c>
      <c r="LQ57" s="126" t="s">
        <v>67</v>
      </c>
      <c r="LR57" s="424">
        <v>54</v>
      </c>
      <c r="LS57" s="971">
        <v>56</v>
      </c>
      <c r="LT57" s="946"/>
    </row>
    <row r="58" spans="1:332" ht="24.95" customHeight="1" x14ac:dyDescent="0.2">
      <c r="A58" s="126" t="s">
        <v>85</v>
      </c>
      <c r="B58" s="1" t="s">
        <v>123</v>
      </c>
      <c r="C58" s="2">
        <v>3</v>
      </c>
      <c r="D58" s="12">
        <v>56</v>
      </c>
      <c r="E58" s="12">
        <v>8</v>
      </c>
      <c r="F58" s="66">
        <v>7.0000000000000007E-2</v>
      </c>
      <c r="G58" s="66">
        <v>0.37</v>
      </c>
      <c r="H58" s="66">
        <v>0.56000000000000005</v>
      </c>
      <c r="I58" s="66">
        <v>0</v>
      </c>
      <c r="J58" s="66">
        <v>0.26</v>
      </c>
      <c r="K58" s="66">
        <v>0.23</v>
      </c>
      <c r="L58" s="66">
        <v>0.56999999999999995</v>
      </c>
      <c r="M58" s="66">
        <v>0.15</v>
      </c>
      <c r="N58" s="66">
        <v>0.24</v>
      </c>
      <c r="O58" s="66">
        <v>0.66</v>
      </c>
      <c r="P58" s="66">
        <v>0.31</v>
      </c>
      <c r="Q58" s="66">
        <v>0.35</v>
      </c>
      <c r="R58" s="66">
        <v>0.46</v>
      </c>
      <c r="S58" s="66">
        <v>0.56000000000000005</v>
      </c>
      <c r="T58" s="66">
        <v>0.33</v>
      </c>
      <c r="U58" s="66">
        <v>0.6</v>
      </c>
      <c r="V58" s="66">
        <v>7.0000000000000007E-2</v>
      </c>
      <c r="W58" s="66">
        <v>0.14000000000000001</v>
      </c>
      <c r="X58" s="66">
        <v>0.49</v>
      </c>
      <c r="Y58" s="66">
        <v>0.37</v>
      </c>
      <c r="Z58" s="12" t="s">
        <v>173</v>
      </c>
      <c r="AA58" s="66">
        <v>0.11</v>
      </c>
      <c r="AB58" s="66">
        <v>0.5</v>
      </c>
      <c r="AC58" s="66">
        <v>0.17</v>
      </c>
      <c r="AD58" s="66">
        <v>0.46</v>
      </c>
      <c r="AE58" s="66">
        <v>0.42</v>
      </c>
      <c r="AF58" s="66">
        <v>0.53</v>
      </c>
      <c r="AG58" s="66">
        <v>0.48</v>
      </c>
      <c r="AH58" s="12">
        <v>50</v>
      </c>
      <c r="AI58" s="12">
        <v>7</v>
      </c>
      <c r="AJ58" s="40">
        <v>7.0000000000000007E-2</v>
      </c>
      <c r="AK58" s="40">
        <v>0.71</v>
      </c>
      <c r="AL58" s="40">
        <v>0.21</v>
      </c>
      <c r="AM58" s="40">
        <v>0</v>
      </c>
      <c r="AN58" s="40">
        <v>0.38</v>
      </c>
      <c r="AO58" s="40">
        <v>0.55000000000000004</v>
      </c>
      <c r="AP58" s="40">
        <v>0.57999999999999996</v>
      </c>
      <c r="AQ58" s="40">
        <v>0.32</v>
      </c>
      <c r="AR58" s="40">
        <v>0.76</v>
      </c>
      <c r="AS58" s="40">
        <v>0.62</v>
      </c>
      <c r="AT58" s="40">
        <v>0.62</v>
      </c>
      <c r="AU58" s="40">
        <v>0.48</v>
      </c>
      <c r="AV58" s="40">
        <v>0.59</v>
      </c>
      <c r="AW58" s="40">
        <v>0.5</v>
      </c>
      <c r="AX58" s="40">
        <v>0.63</v>
      </c>
      <c r="AY58" s="40">
        <v>0.33</v>
      </c>
      <c r="AZ58" s="40">
        <v>0.24</v>
      </c>
      <c r="BA58" s="40">
        <v>0.61</v>
      </c>
      <c r="BB58" s="40">
        <v>0.76</v>
      </c>
      <c r="BC58" s="40">
        <v>0.67</v>
      </c>
      <c r="BD58" s="40">
        <v>0.41</v>
      </c>
      <c r="BE58" s="40">
        <v>0.8</v>
      </c>
      <c r="BF58" s="40">
        <v>0.67</v>
      </c>
      <c r="BG58" s="40">
        <v>0.71</v>
      </c>
      <c r="BH58" s="40">
        <v>0.38</v>
      </c>
      <c r="BI58" s="40">
        <v>0.43</v>
      </c>
      <c r="BJ58" s="40">
        <v>0.5</v>
      </c>
      <c r="BK58" s="40">
        <v>0.54</v>
      </c>
      <c r="BL58" s="40">
        <v>0.75</v>
      </c>
      <c r="BM58" s="12">
        <v>52</v>
      </c>
      <c r="BN58" s="12">
        <v>7</v>
      </c>
      <c r="BO58" s="66">
        <v>0.04</v>
      </c>
      <c r="BP58" s="66">
        <v>0.52</v>
      </c>
      <c r="BQ58" s="66">
        <v>0.43</v>
      </c>
      <c r="BR58" s="66">
        <v>0</v>
      </c>
      <c r="BS58" s="66">
        <v>0.2</v>
      </c>
      <c r="BT58" s="66">
        <v>0.67</v>
      </c>
      <c r="BU58" s="66">
        <v>0.67</v>
      </c>
      <c r="BV58" s="66">
        <v>0.15</v>
      </c>
      <c r="BW58" s="66">
        <v>0.62</v>
      </c>
      <c r="BX58" s="66">
        <v>0.27</v>
      </c>
      <c r="BY58" s="66">
        <v>0.34</v>
      </c>
      <c r="BZ58" s="66">
        <v>0.39</v>
      </c>
      <c r="CA58" s="66">
        <v>0.46</v>
      </c>
      <c r="CB58" s="66">
        <v>0.43</v>
      </c>
      <c r="CC58" s="66">
        <v>0.16</v>
      </c>
      <c r="CD58" s="66">
        <v>0.53</v>
      </c>
      <c r="CE58" s="66">
        <v>0.32</v>
      </c>
      <c r="CF58" s="66">
        <v>0.52</v>
      </c>
      <c r="CG58" s="66">
        <v>0.68</v>
      </c>
      <c r="CH58" s="66">
        <v>0.45</v>
      </c>
      <c r="CI58" s="66">
        <v>0.47</v>
      </c>
      <c r="CJ58" s="66">
        <v>0.35</v>
      </c>
      <c r="CK58" s="66">
        <v>0.67</v>
      </c>
      <c r="CL58" s="66">
        <v>0.28000000000000003</v>
      </c>
      <c r="CM58" s="66">
        <v>0.38</v>
      </c>
      <c r="CN58" s="66">
        <v>0.38</v>
      </c>
      <c r="CO58" s="66">
        <v>0.33</v>
      </c>
      <c r="CP58" s="66">
        <v>0.37</v>
      </c>
      <c r="CQ58" s="66">
        <v>0.55000000000000004</v>
      </c>
      <c r="CR58" s="66">
        <v>0.54</v>
      </c>
      <c r="CS58" s="12">
        <v>47</v>
      </c>
      <c r="CT58" s="12">
        <v>9</v>
      </c>
      <c r="CU58" s="63">
        <v>0.27</v>
      </c>
      <c r="CV58" s="63">
        <v>0.41</v>
      </c>
      <c r="CW58" s="63">
        <v>0.32</v>
      </c>
      <c r="CX58" s="63">
        <v>0</v>
      </c>
      <c r="CY58" s="63">
        <v>0.53</v>
      </c>
      <c r="CZ58" s="63">
        <v>0.3</v>
      </c>
      <c r="DA58" s="63">
        <v>0.57999999999999996</v>
      </c>
      <c r="DB58" s="63">
        <v>0.46</v>
      </c>
      <c r="DC58" s="63">
        <v>0.57999999999999996</v>
      </c>
      <c r="DD58" s="63">
        <v>0.46</v>
      </c>
      <c r="DE58" s="63">
        <v>0.47</v>
      </c>
      <c r="DF58" s="63">
        <v>0.56000000000000005</v>
      </c>
      <c r="DG58" s="63">
        <v>0.52</v>
      </c>
      <c r="DH58" s="63">
        <v>0.48</v>
      </c>
      <c r="DI58" s="63">
        <v>0.47</v>
      </c>
      <c r="DJ58" s="63">
        <v>0.57999999999999996</v>
      </c>
      <c r="DK58" s="63">
        <v>0.59</v>
      </c>
      <c r="DL58" s="63">
        <v>0.27</v>
      </c>
      <c r="DM58" s="63">
        <v>0.51</v>
      </c>
      <c r="DN58" s="63">
        <v>0.53</v>
      </c>
      <c r="DO58" s="63">
        <v>0.53</v>
      </c>
      <c r="DP58" s="63">
        <v>0.5</v>
      </c>
      <c r="DQ58" s="63">
        <v>0.61</v>
      </c>
      <c r="DR58" s="63">
        <v>0.18</v>
      </c>
      <c r="DS58" s="63">
        <v>0.32</v>
      </c>
      <c r="DT58" s="63">
        <v>0.56000000000000005</v>
      </c>
      <c r="DU58" s="63">
        <v>0.5</v>
      </c>
      <c r="DV58" s="63">
        <v>0.6</v>
      </c>
      <c r="DW58" s="63">
        <v>0.41</v>
      </c>
      <c r="DX58" s="35">
        <v>51</v>
      </c>
      <c r="DY58" s="35">
        <v>8</v>
      </c>
      <c r="DZ58" s="40">
        <v>0.14000000000000001</v>
      </c>
      <c r="EA58" s="40">
        <v>0.62</v>
      </c>
      <c r="EB58" s="40">
        <v>0.24</v>
      </c>
      <c r="EC58" s="40">
        <v>0</v>
      </c>
      <c r="ED58" s="40">
        <v>0.51</v>
      </c>
      <c r="EE58" s="40">
        <v>0.46</v>
      </c>
      <c r="EF58" s="40">
        <v>0.46</v>
      </c>
      <c r="EG58" s="40">
        <v>0.38</v>
      </c>
      <c r="EH58" s="40">
        <v>0.47</v>
      </c>
      <c r="EI58" s="40">
        <v>0.43</v>
      </c>
      <c r="EJ58" s="40">
        <v>0.48</v>
      </c>
      <c r="EK58" s="40">
        <v>0.24</v>
      </c>
      <c r="EL58" s="40">
        <v>0.44</v>
      </c>
      <c r="EM58" s="40">
        <v>0.56999999999999995</v>
      </c>
      <c r="EN58" s="40">
        <v>0.26</v>
      </c>
      <c r="EO58" s="40">
        <v>0.55000000000000004</v>
      </c>
      <c r="EP58" s="40">
        <v>0.42</v>
      </c>
      <c r="EQ58" s="40">
        <v>0.28999999999999998</v>
      </c>
      <c r="ER58" s="40">
        <v>0.61</v>
      </c>
      <c r="ES58" s="40">
        <v>0.47</v>
      </c>
      <c r="ET58" s="40">
        <v>0.28999999999999998</v>
      </c>
      <c r="EU58" s="40">
        <v>0.56999999999999995</v>
      </c>
      <c r="EV58" s="40">
        <v>0.5</v>
      </c>
      <c r="EW58" s="40">
        <v>0.26</v>
      </c>
      <c r="EX58" s="40">
        <v>0.69</v>
      </c>
      <c r="EY58" s="40">
        <v>0.61</v>
      </c>
      <c r="EZ58" s="40">
        <v>0.19</v>
      </c>
      <c r="FA58" s="40">
        <v>0.66</v>
      </c>
      <c r="FB58" s="246">
        <v>50</v>
      </c>
      <c r="FC58" s="246" t="s">
        <v>758</v>
      </c>
      <c r="FD58" s="246">
        <v>8</v>
      </c>
      <c r="FE58" s="246" t="s">
        <v>758</v>
      </c>
      <c r="FF58" s="263">
        <v>0.13</v>
      </c>
      <c r="FG58" s="263">
        <v>0.61</v>
      </c>
      <c r="FH58" s="263">
        <v>0.26</v>
      </c>
      <c r="FI58" s="263">
        <v>0</v>
      </c>
      <c r="FJ58" s="263">
        <v>0.46</v>
      </c>
      <c r="FK58" s="263">
        <v>0.67</v>
      </c>
      <c r="FL58" s="263">
        <v>0.5</v>
      </c>
      <c r="FM58" s="263">
        <v>0.37</v>
      </c>
      <c r="FN58" s="263">
        <v>0.28000000000000003</v>
      </c>
      <c r="FO58" s="263">
        <v>0.42</v>
      </c>
      <c r="FP58" s="263">
        <v>0.35</v>
      </c>
      <c r="FQ58" s="263">
        <v>0.41</v>
      </c>
      <c r="FR58" s="263">
        <v>0.55000000000000004</v>
      </c>
      <c r="FS58" s="263">
        <v>0.49</v>
      </c>
      <c r="FT58" s="263">
        <v>0.48</v>
      </c>
      <c r="FU58" s="263">
        <v>0.39</v>
      </c>
      <c r="FV58" s="263">
        <v>0.67</v>
      </c>
      <c r="FW58" s="263">
        <v>0.55000000000000004</v>
      </c>
      <c r="FX58" s="263">
        <v>0.44</v>
      </c>
      <c r="FY58" s="263">
        <v>0.38</v>
      </c>
      <c r="FZ58" s="263">
        <v>0.37</v>
      </c>
      <c r="GA58" s="263">
        <v>0.46</v>
      </c>
      <c r="GB58" s="263">
        <v>0.61</v>
      </c>
      <c r="GC58" s="263">
        <v>0.46</v>
      </c>
      <c r="GD58" s="263">
        <v>0.6</v>
      </c>
      <c r="GE58" s="263">
        <v>0.52</v>
      </c>
      <c r="GF58" s="263">
        <v>0.47</v>
      </c>
      <c r="GG58" s="263">
        <v>0.43</v>
      </c>
      <c r="GH58" s="263">
        <v>0.6</v>
      </c>
      <c r="GI58" s="263">
        <v>0.26</v>
      </c>
      <c r="GJ58" s="309">
        <v>47</v>
      </c>
      <c r="GK58" s="309" t="s">
        <v>758</v>
      </c>
      <c r="GL58" s="309">
        <v>9</v>
      </c>
      <c r="GM58" s="309" t="s">
        <v>758</v>
      </c>
      <c r="GN58" s="327">
        <v>0.26</v>
      </c>
      <c r="GO58" s="327">
        <v>0.59</v>
      </c>
      <c r="GP58" s="327">
        <v>0.15</v>
      </c>
      <c r="GQ58" s="327">
        <v>0</v>
      </c>
      <c r="GR58" s="327">
        <v>0.56000000000000005</v>
      </c>
      <c r="GS58" s="327">
        <v>0.63</v>
      </c>
      <c r="GT58" s="327">
        <v>0.6</v>
      </c>
      <c r="GU58" s="327">
        <v>0.27</v>
      </c>
      <c r="GV58" s="327">
        <v>0.65</v>
      </c>
      <c r="GW58" s="327">
        <v>0.46</v>
      </c>
      <c r="GX58" s="327">
        <v>0.52</v>
      </c>
      <c r="GY58" s="309" t="s">
        <v>173</v>
      </c>
      <c r="GZ58" s="327">
        <v>0.33</v>
      </c>
      <c r="HA58" s="327">
        <v>0.62</v>
      </c>
      <c r="HB58" s="327">
        <v>0.52</v>
      </c>
      <c r="HC58" s="327">
        <v>0.59</v>
      </c>
      <c r="HD58" s="327">
        <v>0.68</v>
      </c>
      <c r="HE58" s="327">
        <v>0.57999999999999996</v>
      </c>
      <c r="HF58" s="327">
        <v>0.55000000000000004</v>
      </c>
      <c r="HG58" s="327">
        <v>0.72</v>
      </c>
      <c r="HH58" s="327">
        <v>0.41</v>
      </c>
      <c r="HI58" s="327">
        <v>0.62</v>
      </c>
      <c r="HJ58" s="327">
        <v>0.61</v>
      </c>
      <c r="HK58" s="327">
        <v>0.62</v>
      </c>
      <c r="HL58" s="327">
        <v>0.57999999999999996</v>
      </c>
      <c r="HM58" s="327">
        <v>0.56999999999999995</v>
      </c>
      <c r="HN58" s="327">
        <v>0.57999999999999996</v>
      </c>
      <c r="HO58" s="327">
        <v>0.52</v>
      </c>
      <c r="HP58" s="309" t="s">
        <v>173</v>
      </c>
      <c r="HQ58" s="327">
        <v>0.44</v>
      </c>
      <c r="HR58" s="424">
        <v>50</v>
      </c>
      <c r="HS58" s="424" t="s">
        <v>758</v>
      </c>
      <c r="HT58" s="424">
        <v>8</v>
      </c>
      <c r="HU58" s="424" t="s">
        <v>758</v>
      </c>
      <c r="HV58" s="428">
        <v>0.16</v>
      </c>
      <c r="HW58" s="428">
        <v>0.57999999999999996</v>
      </c>
      <c r="HX58" s="428">
        <v>0.26</v>
      </c>
      <c r="HY58" s="428">
        <v>0</v>
      </c>
      <c r="HZ58" s="428">
        <v>0.47</v>
      </c>
      <c r="IA58" s="428">
        <v>0.6</v>
      </c>
      <c r="IB58" s="428">
        <v>0.28999999999999998</v>
      </c>
      <c r="IC58" s="428">
        <v>0.43</v>
      </c>
      <c r="ID58" s="428">
        <v>0.66</v>
      </c>
      <c r="IE58" s="428">
        <v>0.39</v>
      </c>
      <c r="IF58" s="428">
        <v>0.42</v>
      </c>
      <c r="IG58" s="428">
        <v>0.55000000000000004</v>
      </c>
      <c r="IH58" s="428">
        <v>0.54</v>
      </c>
      <c r="II58" s="428">
        <v>0.32</v>
      </c>
      <c r="IJ58" s="428">
        <v>0.28000000000000003</v>
      </c>
      <c r="IK58" s="428">
        <v>0.59</v>
      </c>
      <c r="IL58" s="428">
        <v>0.44</v>
      </c>
      <c r="IM58" s="428">
        <v>0.56000000000000005</v>
      </c>
      <c r="IN58" s="428">
        <v>0.49</v>
      </c>
      <c r="IO58" s="428">
        <v>0.59</v>
      </c>
      <c r="IP58" s="428">
        <v>0.3</v>
      </c>
      <c r="IQ58" s="428">
        <v>0.75</v>
      </c>
      <c r="IR58" s="428">
        <v>0.67</v>
      </c>
      <c r="IS58" s="428">
        <v>0.56000000000000005</v>
      </c>
      <c r="IT58" s="428">
        <v>0.4</v>
      </c>
      <c r="IU58" s="424" t="s">
        <v>173</v>
      </c>
      <c r="IV58" s="428">
        <v>0.6</v>
      </c>
      <c r="IW58" s="428">
        <v>0.42</v>
      </c>
      <c r="IX58" s="428">
        <v>0.61</v>
      </c>
      <c r="IY58" s="428">
        <v>0.51</v>
      </c>
      <c r="IZ58" s="464">
        <v>51</v>
      </c>
      <c r="JA58" s="464" t="s">
        <v>758</v>
      </c>
      <c r="JB58" s="464">
        <v>9</v>
      </c>
      <c r="JC58" s="464" t="s">
        <v>758</v>
      </c>
      <c r="JD58" s="476">
        <v>0.11</v>
      </c>
      <c r="JE58" s="476">
        <v>0.56999999999999995</v>
      </c>
      <c r="JF58" s="476">
        <v>0.31</v>
      </c>
      <c r="JG58" s="476">
        <v>0</v>
      </c>
      <c r="JH58" s="476">
        <v>0.6</v>
      </c>
      <c r="JI58" s="476">
        <v>0.38</v>
      </c>
      <c r="JJ58" s="476">
        <v>0.44</v>
      </c>
      <c r="JK58" s="476">
        <v>0.46</v>
      </c>
      <c r="JL58" s="476">
        <v>0.46</v>
      </c>
      <c r="JM58" s="476">
        <v>0.55000000000000004</v>
      </c>
      <c r="JN58" s="476">
        <v>0.33</v>
      </c>
      <c r="JO58" s="476">
        <v>0.52</v>
      </c>
      <c r="JP58" s="476">
        <v>0.59</v>
      </c>
      <c r="JQ58" s="476">
        <v>0.26</v>
      </c>
      <c r="JR58" s="476">
        <v>0.62</v>
      </c>
      <c r="JS58" s="476">
        <v>0.43</v>
      </c>
      <c r="JT58" s="476">
        <v>0.49</v>
      </c>
      <c r="JU58" s="476">
        <v>0.47</v>
      </c>
      <c r="JV58" s="476">
        <v>0.5</v>
      </c>
      <c r="JW58" s="476">
        <v>0.56999999999999995</v>
      </c>
      <c r="JX58" s="476">
        <v>0.44</v>
      </c>
      <c r="JY58" s="476">
        <v>0.56000000000000005</v>
      </c>
      <c r="JZ58" s="476">
        <v>0.51</v>
      </c>
      <c r="KA58" s="476">
        <v>0.5</v>
      </c>
      <c r="KB58" s="476">
        <v>0.4</v>
      </c>
      <c r="KC58" s="476">
        <v>0.65</v>
      </c>
      <c r="KD58" s="476">
        <v>0.31</v>
      </c>
      <c r="KE58" s="476">
        <v>0.55000000000000004</v>
      </c>
      <c r="KF58" s="476">
        <v>0.45</v>
      </c>
      <c r="KG58" s="476">
        <v>0.52</v>
      </c>
      <c r="KH58" s="971">
        <v>50</v>
      </c>
      <c r="KI58" s="971" t="s">
        <v>758</v>
      </c>
      <c r="KJ58" s="971">
        <v>10</v>
      </c>
      <c r="KK58" s="971" t="s">
        <v>758</v>
      </c>
      <c r="KL58" s="949">
        <v>0.15</v>
      </c>
      <c r="KM58" s="949">
        <v>0.57999999999999996</v>
      </c>
      <c r="KN58" s="949">
        <v>0.27</v>
      </c>
      <c r="KO58" s="949">
        <v>0</v>
      </c>
      <c r="KP58" s="949">
        <v>0.54</v>
      </c>
      <c r="KQ58" s="949">
        <v>0.24</v>
      </c>
      <c r="KR58" s="949">
        <v>0.67</v>
      </c>
      <c r="KS58" s="949">
        <v>0.46</v>
      </c>
      <c r="KT58" s="949">
        <v>0.56999999999999995</v>
      </c>
      <c r="KU58" s="949">
        <v>0.34</v>
      </c>
      <c r="KV58" s="949">
        <v>0.68</v>
      </c>
      <c r="KW58" s="949">
        <v>0.48</v>
      </c>
      <c r="KX58" s="949">
        <v>0.36</v>
      </c>
      <c r="KY58" s="949">
        <v>0.59</v>
      </c>
      <c r="KZ58" s="949">
        <v>0.47</v>
      </c>
      <c r="LA58" s="949">
        <v>0.6</v>
      </c>
      <c r="LB58" s="949">
        <v>0.38</v>
      </c>
      <c r="LC58" s="949">
        <v>0.47</v>
      </c>
      <c r="LD58" s="949">
        <v>0.52</v>
      </c>
      <c r="LE58" s="949">
        <v>0.57999999999999996</v>
      </c>
      <c r="LF58" s="949">
        <v>0.3</v>
      </c>
      <c r="LG58" s="949">
        <v>0.56000000000000005</v>
      </c>
      <c r="LH58" s="949">
        <v>0.55000000000000004</v>
      </c>
      <c r="LI58" s="949">
        <v>0.59</v>
      </c>
      <c r="LJ58" s="949">
        <v>0.47</v>
      </c>
      <c r="LK58" s="949">
        <v>0.56999999999999995</v>
      </c>
      <c r="LL58" s="949" t="s">
        <v>173</v>
      </c>
      <c r="LM58" s="949">
        <v>0.6</v>
      </c>
      <c r="LN58" s="949">
        <v>0.65</v>
      </c>
      <c r="LO58" s="949">
        <v>0.43</v>
      </c>
      <c r="LP58" s="922">
        <v>325754000771</v>
      </c>
      <c r="LQ58" s="126" t="s">
        <v>85</v>
      </c>
      <c r="LR58" s="424">
        <v>50</v>
      </c>
      <c r="LS58" s="971">
        <v>50</v>
      </c>
      <c r="LT58" s="946"/>
    </row>
    <row r="59" spans="1:332" ht="24.95" customHeight="1" x14ac:dyDescent="0.2">
      <c r="A59" s="126" t="s">
        <v>727</v>
      </c>
      <c r="B59" s="1" t="s">
        <v>123</v>
      </c>
      <c r="C59" s="2">
        <v>4</v>
      </c>
      <c r="D59" s="12"/>
      <c r="E59" s="12"/>
      <c r="F59" s="66"/>
      <c r="G59" s="66"/>
      <c r="H59" s="66"/>
      <c r="I59" s="66"/>
      <c r="J59" s="66"/>
      <c r="K59" s="66"/>
      <c r="L59" s="66"/>
      <c r="M59" s="66"/>
      <c r="N59" s="66"/>
      <c r="O59" s="66"/>
      <c r="P59" s="66"/>
      <c r="Q59" s="66"/>
      <c r="R59" s="66"/>
      <c r="S59" s="66"/>
      <c r="T59" s="66"/>
      <c r="U59" s="66"/>
      <c r="V59" s="66"/>
      <c r="W59" s="66"/>
      <c r="X59" s="66"/>
      <c r="Y59" s="66"/>
      <c r="Z59" s="12"/>
      <c r="AA59" s="66"/>
      <c r="AB59" s="66"/>
      <c r="AC59" s="66"/>
      <c r="AD59" s="66"/>
      <c r="AE59" s="66"/>
      <c r="AF59" s="66"/>
      <c r="AG59" s="66"/>
      <c r="AH59" s="12"/>
      <c r="AI59" s="12"/>
      <c r="AJ59" s="40"/>
      <c r="AK59" s="40"/>
      <c r="AL59" s="40"/>
      <c r="AM59" s="40"/>
      <c r="AN59" s="40"/>
      <c r="AO59" s="40"/>
      <c r="AP59" s="40"/>
      <c r="AQ59" s="40"/>
      <c r="AR59" s="40"/>
      <c r="AS59" s="40"/>
      <c r="AT59" s="40"/>
      <c r="AU59" s="40"/>
      <c r="AV59" s="40"/>
      <c r="AW59" s="40"/>
      <c r="AX59" s="40"/>
      <c r="AY59" s="40"/>
      <c r="AZ59" s="40"/>
      <c r="BA59" s="40"/>
      <c r="BB59" s="40"/>
      <c r="BC59" s="40"/>
      <c r="BD59" s="40"/>
      <c r="BE59" s="40"/>
      <c r="BF59" s="40"/>
      <c r="BG59" s="40"/>
      <c r="BH59" s="40"/>
      <c r="BI59" s="40"/>
      <c r="BJ59" s="40"/>
      <c r="BK59" s="40"/>
      <c r="BL59" s="40"/>
      <c r="BM59" s="12"/>
      <c r="BN59" s="12"/>
      <c r="BO59" s="66"/>
      <c r="BP59" s="66"/>
      <c r="BQ59" s="66"/>
      <c r="BR59" s="66"/>
      <c r="BS59" s="66"/>
      <c r="BT59" s="66"/>
      <c r="BU59" s="66"/>
      <c r="BV59" s="66"/>
      <c r="BW59" s="66"/>
      <c r="BX59" s="66"/>
      <c r="BY59" s="66"/>
      <c r="BZ59" s="66"/>
      <c r="CA59" s="66"/>
      <c r="CB59" s="66"/>
      <c r="CC59" s="66"/>
      <c r="CD59" s="66"/>
      <c r="CE59" s="66"/>
      <c r="CF59" s="66"/>
      <c r="CG59" s="66"/>
      <c r="CH59" s="66"/>
      <c r="CI59" s="66"/>
      <c r="CJ59" s="66"/>
      <c r="CK59" s="66"/>
      <c r="CL59" s="66"/>
      <c r="CM59" s="66"/>
      <c r="CN59" s="66"/>
      <c r="CO59" s="66"/>
      <c r="CP59" s="66"/>
      <c r="CQ59" s="66"/>
      <c r="CR59" s="66"/>
      <c r="CS59" s="12"/>
      <c r="CT59" s="12"/>
      <c r="CU59" s="63"/>
      <c r="CV59" s="63"/>
      <c r="CW59" s="63"/>
      <c r="CX59" s="63"/>
      <c r="CY59" s="63"/>
      <c r="CZ59" s="63"/>
      <c r="DA59" s="63"/>
      <c r="DB59" s="63"/>
      <c r="DC59" s="63"/>
      <c r="DD59" s="63"/>
      <c r="DE59" s="63"/>
      <c r="DF59" s="63"/>
      <c r="DG59" s="63"/>
      <c r="DH59" s="63"/>
      <c r="DI59" s="63"/>
      <c r="DJ59" s="63"/>
      <c r="DK59" s="63"/>
      <c r="DL59" s="63"/>
      <c r="DM59" s="63"/>
      <c r="DN59" s="63"/>
      <c r="DO59" s="63"/>
      <c r="DP59" s="63"/>
      <c r="DQ59" s="63"/>
      <c r="DR59" s="63"/>
      <c r="DS59" s="63"/>
      <c r="DT59" s="63"/>
      <c r="DU59" s="63"/>
      <c r="DV59" s="63"/>
      <c r="DW59" s="63"/>
      <c r="DX59" s="35"/>
      <c r="DY59" s="35"/>
      <c r="DZ59" s="40"/>
      <c r="EA59" s="40"/>
      <c r="EB59" s="40"/>
      <c r="EC59" s="40"/>
      <c r="ED59" s="40"/>
      <c r="EE59" s="40"/>
      <c r="EF59" s="40"/>
      <c r="EG59" s="40"/>
      <c r="EH59" s="40"/>
      <c r="EI59" s="40"/>
      <c r="EJ59" s="40"/>
      <c r="EK59" s="40"/>
      <c r="EL59" s="40"/>
      <c r="EM59" s="40"/>
      <c r="EN59" s="40"/>
      <c r="EO59" s="40"/>
      <c r="EP59" s="40"/>
      <c r="EQ59" s="40"/>
      <c r="ER59" s="40"/>
      <c r="ES59" s="40"/>
      <c r="ET59" s="40"/>
      <c r="EU59" s="40"/>
      <c r="EV59" s="40"/>
      <c r="EW59" s="40"/>
      <c r="EX59" s="40"/>
      <c r="EY59" s="40"/>
      <c r="EZ59" s="40"/>
      <c r="FA59" s="40"/>
      <c r="FB59" s="646"/>
      <c r="FC59" s="646"/>
      <c r="FD59" s="646"/>
      <c r="FE59" s="646"/>
      <c r="FF59" s="646"/>
      <c r="FG59" s="646"/>
      <c r="FH59" s="646"/>
      <c r="FI59" s="646"/>
      <c r="FJ59" s="646"/>
      <c r="FK59" s="646"/>
      <c r="FL59" s="646"/>
      <c r="FM59" s="646"/>
      <c r="FN59" s="646"/>
      <c r="FO59" s="646"/>
      <c r="FP59" s="646"/>
      <c r="FQ59" s="646"/>
      <c r="FR59" s="646"/>
      <c r="FS59" s="646"/>
      <c r="FT59" s="646"/>
      <c r="FU59" s="646"/>
      <c r="FV59" s="646"/>
      <c r="FW59" s="646"/>
      <c r="FX59" s="646"/>
      <c r="FY59" s="646"/>
      <c r="FZ59" s="646"/>
      <c r="GA59" s="646"/>
      <c r="GB59" s="646"/>
      <c r="GC59" s="646"/>
      <c r="GD59" s="646"/>
      <c r="GE59" s="646"/>
      <c r="GF59" s="646"/>
      <c r="GG59" s="646"/>
      <c r="GH59" s="646"/>
      <c r="GI59" s="646"/>
      <c r="GJ59" s="649"/>
      <c r="GK59" s="649"/>
      <c r="GL59" s="649"/>
      <c r="GM59" s="649"/>
      <c r="GN59" s="649"/>
      <c r="GO59" s="649"/>
      <c r="GP59" s="649"/>
      <c r="GQ59" s="649"/>
      <c r="GR59" s="649"/>
      <c r="GS59" s="649"/>
      <c r="GT59" s="649"/>
      <c r="GU59" s="649"/>
      <c r="GV59" s="649"/>
      <c r="GW59" s="649"/>
      <c r="GX59" s="649"/>
      <c r="GY59" s="649"/>
      <c r="GZ59" s="649"/>
      <c r="HA59" s="649"/>
      <c r="HB59" s="649"/>
      <c r="HC59" s="649"/>
      <c r="HD59" s="649"/>
      <c r="HE59" s="649"/>
      <c r="HF59" s="649"/>
      <c r="HG59" s="649"/>
      <c r="HH59" s="649"/>
      <c r="HI59" s="649"/>
      <c r="HJ59" s="649"/>
      <c r="HK59" s="649"/>
      <c r="HL59" s="649"/>
      <c r="HM59" s="649"/>
      <c r="HN59" s="649"/>
      <c r="HO59" s="649"/>
      <c r="HP59" s="649"/>
      <c r="HQ59" s="649"/>
      <c r="HR59" s="651"/>
      <c r="HS59" s="651"/>
      <c r="HT59" s="651"/>
      <c r="HU59" s="651"/>
      <c r="HV59" s="651"/>
      <c r="HW59" s="651"/>
      <c r="HX59" s="651"/>
      <c r="HY59" s="651"/>
      <c r="HZ59" s="651"/>
      <c r="IA59" s="651"/>
      <c r="IB59" s="651"/>
      <c r="IC59" s="651"/>
      <c r="ID59" s="651"/>
      <c r="IE59" s="651"/>
      <c r="IF59" s="651"/>
      <c r="IG59" s="651"/>
      <c r="IH59" s="651"/>
      <c r="II59" s="651"/>
      <c r="IJ59" s="651"/>
      <c r="IK59" s="651"/>
      <c r="IL59" s="651"/>
      <c r="IM59" s="651"/>
      <c r="IN59" s="651"/>
      <c r="IO59" s="651"/>
      <c r="IP59" s="651"/>
      <c r="IQ59" s="651"/>
      <c r="IR59" s="651"/>
      <c r="IS59" s="651"/>
      <c r="IT59" s="651"/>
      <c r="IU59" s="651"/>
      <c r="IV59" s="651"/>
      <c r="IW59" s="651"/>
      <c r="IX59" s="651"/>
      <c r="IY59" s="651"/>
      <c r="IZ59" s="650"/>
      <c r="JA59" s="650"/>
      <c r="JB59" s="650"/>
      <c r="JC59" s="650"/>
      <c r="JD59" s="650"/>
      <c r="JE59" s="650"/>
      <c r="JF59" s="650"/>
      <c r="JG59" s="650"/>
      <c r="JH59" s="650"/>
      <c r="JI59" s="650"/>
      <c r="JJ59" s="650"/>
      <c r="JK59" s="650"/>
      <c r="JL59" s="650"/>
      <c r="JM59" s="650"/>
      <c r="JN59" s="650"/>
      <c r="JO59" s="650"/>
      <c r="JP59" s="650"/>
      <c r="JQ59" s="650"/>
      <c r="JR59" s="650"/>
      <c r="JS59" s="650"/>
      <c r="JT59" s="650"/>
      <c r="JU59" s="650"/>
      <c r="JV59" s="650"/>
      <c r="JW59" s="650"/>
      <c r="JX59" s="650"/>
      <c r="JY59" s="650"/>
      <c r="JZ59" s="650"/>
      <c r="KA59" s="650"/>
      <c r="KB59" s="650"/>
      <c r="KC59" s="650"/>
      <c r="KD59" s="650"/>
      <c r="KE59" s="650"/>
      <c r="KF59" s="650"/>
      <c r="KG59" s="650"/>
      <c r="KH59" s="971"/>
      <c r="KI59" s="971"/>
      <c r="KJ59" s="971"/>
      <c r="KK59" s="971"/>
      <c r="KL59" s="949"/>
      <c r="KM59" s="949"/>
      <c r="KN59" s="949"/>
      <c r="KO59" s="949"/>
      <c r="KP59" s="949"/>
      <c r="KQ59" s="949"/>
      <c r="KR59" s="949"/>
      <c r="KS59" s="949"/>
      <c r="KT59" s="949"/>
      <c r="KU59" s="949"/>
      <c r="KV59" s="949"/>
      <c r="KW59" s="949"/>
      <c r="KX59" s="949"/>
      <c r="KY59" s="949"/>
      <c r="KZ59" s="949"/>
      <c r="LA59" s="949"/>
      <c r="LB59" s="949"/>
      <c r="LC59" s="949"/>
      <c r="LD59" s="949"/>
      <c r="LE59" s="949"/>
      <c r="LF59" s="949"/>
      <c r="LG59" s="949"/>
      <c r="LH59" s="949"/>
      <c r="LI59" s="949"/>
      <c r="LJ59" s="949"/>
      <c r="LK59" s="949"/>
      <c r="LL59" s="949"/>
      <c r="LM59" s="949"/>
      <c r="LN59" s="949"/>
      <c r="LO59" s="949"/>
      <c r="LP59" s="26"/>
      <c r="LQ59" s="126" t="s">
        <v>727</v>
      </c>
      <c r="LR59" s="651"/>
      <c r="LS59" s="971"/>
      <c r="LT59" s="946"/>
    </row>
    <row r="60" spans="1:332" ht="24.95" customHeight="1" x14ac:dyDescent="0.2">
      <c r="A60" s="126" t="s">
        <v>109</v>
      </c>
      <c r="B60" s="1" t="s">
        <v>123</v>
      </c>
      <c r="C60" s="2">
        <v>3</v>
      </c>
      <c r="D60" s="12">
        <v>56</v>
      </c>
      <c r="E60" s="12">
        <v>8</v>
      </c>
      <c r="F60" s="66">
        <v>0.04</v>
      </c>
      <c r="G60" s="66">
        <v>0.45</v>
      </c>
      <c r="H60" s="66">
        <v>0.5</v>
      </c>
      <c r="I60" s="66">
        <v>0.01</v>
      </c>
      <c r="J60" s="66">
        <v>0.33</v>
      </c>
      <c r="K60" s="66">
        <v>0.31</v>
      </c>
      <c r="L60" s="66">
        <v>0.72</v>
      </c>
      <c r="M60" s="66">
        <v>0.17</v>
      </c>
      <c r="N60" s="66">
        <v>0.24</v>
      </c>
      <c r="O60" s="66">
        <v>0.53</v>
      </c>
      <c r="P60" s="66">
        <v>0.23</v>
      </c>
      <c r="Q60" s="66">
        <v>0.44</v>
      </c>
      <c r="R60" s="66">
        <v>0.42</v>
      </c>
      <c r="S60" s="66">
        <v>0.64</v>
      </c>
      <c r="T60" s="66">
        <v>0.43</v>
      </c>
      <c r="U60" s="66">
        <v>0.54</v>
      </c>
      <c r="V60" s="66">
        <v>0.02</v>
      </c>
      <c r="W60" s="66">
        <v>0.19</v>
      </c>
      <c r="X60" s="66">
        <v>0.39</v>
      </c>
      <c r="Y60" s="66">
        <v>0.44</v>
      </c>
      <c r="Z60" s="66">
        <v>1</v>
      </c>
      <c r="AA60" s="66">
        <v>0.09</v>
      </c>
      <c r="AB60" s="66">
        <v>0.28999999999999998</v>
      </c>
      <c r="AC60" s="66">
        <v>0.11</v>
      </c>
      <c r="AD60" s="66">
        <v>0.4</v>
      </c>
      <c r="AE60" s="66">
        <v>0.24</v>
      </c>
      <c r="AF60" s="66">
        <v>0.52</v>
      </c>
      <c r="AG60" s="66">
        <v>0.47</v>
      </c>
      <c r="AH60" s="12">
        <v>57</v>
      </c>
      <c r="AI60" s="12">
        <v>7</v>
      </c>
      <c r="AJ60" s="40">
        <v>0.02</v>
      </c>
      <c r="AK60" s="40">
        <v>0.42</v>
      </c>
      <c r="AL60" s="40">
        <v>0.53</v>
      </c>
      <c r="AM60" s="40">
        <v>0.03</v>
      </c>
      <c r="AN60" s="40">
        <v>0.18</v>
      </c>
      <c r="AO60" s="40">
        <v>0.41</v>
      </c>
      <c r="AP60" s="40">
        <v>0.46</v>
      </c>
      <c r="AQ60" s="40">
        <v>0.28000000000000003</v>
      </c>
      <c r="AR60" s="40">
        <v>0.47</v>
      </c>
      <c r="AS60" s="40">
        <v>0.4</v>
      </c>
      <c r="AT60" s="40">
        <v>0.45</v>
      </c>
      <c r="AU60" s="40">
        <v>0.41</v>
      </c>
      <c r="AV60" s="40">
        <v>0.52</v>
      </c>
      <c r="AW60" s="40">
        <v>0.38</v>
      </c>
      <c r="AX60" s="40">
        <v>0.4</v>
      </c>
      <c r="AY60" s="40">
        <v>0.17</v>
      </c>
      <c r="AZ60" s="40">
        <v>0.18</v>
      </c>
      <c r="BA60" s="40">
        <v>0.38</v>
      </c>
      <c r="BB60" s="40">
        <v>0.63</v>
      </c>
      <c r="BC60" s="40">
        <v>0.59</v>
      </c>
      <c r="BD60" s="40">
        <v>0.26</v>
      </c>
      <c r="BE60" s="40">
        <v>0.48</v>
      </c>
      <c r="BF60" s="40">
        <v>0.55000000000000004</v>
      </c>
      <c r="BG60" s="40">
        <v>0.4</v>
      </c>
      <c r="BH60" s="40">
        <v>0.35</v>
      </c>
      <c r="BI60" s="40">
        <v>0.35</v>
      </c>
      <c r="BJ60" s="40">
        <v>0.25</v>
      </c>
      <c r="BK60" s="40">
        <v>0.32</v>
      </c>
      <c r="BL60" s="40">
        <v>0.44</v>
      </c>
      <c r="BM60" s="12">
        <v>55</v>
      </c>
      <c r="BN60" s="12">
        <v>8</v>
      </c>
      <c r="BO60" s="66">
        <v>0.05</v>
      </c>
      <c r="BP60" s="66">
        <v>0.4</v>
      </c>
      <c r="BQ60" s="66">
        <v>0.55000000000000004</v>
      </c>
      <c r="BR60" s="66">
        <v>0.01</v>
      </c>
      <c r="BS60" s="66">
        <v>0.26</v>
      </c>
      <c r="BT60" s="66">
        <v>0.48</v>
      </c>
      <c r="BU60" s="66">
        <v>0.62</v>
      </c>
      <c r="BV60" s="66">
        <v>0.19</v>
      </c>
      <c r="BW60" s="66">
        <v>0.59</v>
      </c>
      <c r="BX60" s="66">
        <v>0.25</v>
      </c>
      <c r="BY60" s="66">
        <v>0.39</v>
      </c>
      <c r="BZ60" s="66">
        <v>0.47</v>
      </c>
      <c r="CA60" s="66">
        <v>0.4</v>
      </c>
      <c r="CB60" s="66">
        <v>0.24</v>
      </c>
      <c r="CC60" s="66">
        <v>0.11</v>
      </c>
      <c r="CD60" s="66">
        <v>0.35</v>
      </c>
      <c r="CE60" s="66">
        <v>0.26</v>
      </c>
      <c r="CF60" s="66">
        <v>0.54</v>
      </c>
      <c r="CG60" s="66">
        <v>0.51</v>
      </c>
      <c r="CH60" s="66">
        <v>0.36</v>
      </c>
      <c r="CI60" s="66">
        <v>0.52</v>
      </c>
      <c r="CJ60" s="66">
        <v>0.21</v>
      </c>
      <c r="CK60" s="66">
        <v>0.59</v>
      </c>
      <c r="CL60" s="66">
        <v>0.18</v>
      </c>
      <c r="CM60" s="66">
        <v>0.34</v>
      </c>
      <c r="CN60" s="66">
        <v>0.32</v>
      </c>
      <c r="CO60" s="66">
        <v>0.4</v>
      </c>
      <c r="CP60" s="66">
        <v>0.26</v>
      </c>
      <c r="CQ60" s="66">
        <v>0.48</v>
      </c>
      <c r="CR60" s="66">
        <v>0.47</v>
      </c>
      <c r="CS60" s="12">
        <v>54</v>
      </c>
      <c r="CT60" s="12">
        <v>8</v>
      </c>
      <c r="CU60" s="63">
        <v>0.04</v>
      </c>
      <c r="CV60" s="63">
        <v>0.54</v>
      </c>
      <c r="CW60" s="63">
        <v>0.41</v>
      </c>
      <c r="CX60" s="63">
        <v>0.01</v>
      </c>
      <c r="CY60" s="63">
        <v>0.46</v>
      </c>
      <c r="CZ60" s="63">
        <v>0.24</v>
      </c>
      <c r="DA60" s="63">
        <v>0.46</v>
      </c>
      <c r="DB60" s="63">
        <v>0.28000000000000003</v>
      </c>
      <c r="DC60" s="63">
        <v>0.4</v>
      </c>
      <c r="DD60" s="63">
        <v>0.56000000000000005</v>
      </c>
      <c r="DE60" s="63">
        <v>0.36</v>
      </c>
      <c r="DF60" s="63">
        <v>0.43</v>
      </c>
      <c r="DG60" s="63">
        <v>0.36</v>
      </c>
      <c r="DH60" s="63">
        <v>0.33</v>
      </c>
      <c r="DI60" s="63">
        <v>0.37</v>
      </c>
      <c r="DJ60" s="63">
        <v>0.43</v>
      </c>
      <c r="DK60" s="63">
        <v>0.27</v>
      </c>
      <c r="DL60" s="63">
        <v>0.21</v>
      </c>
      <c r="DM60" s="63">
        <v>0.44</v>
      </c>
      <c r="DN60" s="63">
        <v>0.43</v>
      </c>
      <c r="DO60" s="63">
        <v>0.36</v>
      </c>
      <c r="DP60" s="63">
        <v>0.44</v>
      </c>
      <c r="DQ60" s="63">
        <v>0.46</v>
      </c>
      <c r="DR60" s="63">
        <v>0.19</v>
      </c>
      <c r="DS60" s="63">
        <v>0.32</v>
      </c>
      <c r="DT60" s="63">
        <v>0.48</v>
      </c>
      <c r="DU60" s="63">
        <v>0.4</v>
      </c>
      <c r="DV60" s="63">
        <v>0.5</v>
      </c>
      <c r="DW60" s="63">
        <v>0.25</v>
      </c>
      <c r="DX60" s="35">
        <v>54</v>
      </c>
      <c r="DY60" s="35">
        <v>9</v>
      </c>
      <c r="DZ60" s="40">
        <v>0.09</v>
      </c>
      <c r="EA60" s="40">
        <v>0.44</v>
      </c>
      <c r="EB60" s="40">
        <v>0.47</v>
      </c>
      <c r="EC60" s="40">
        <v>0.01</v>
      </c>
      <c r="ED60" s="40">
        <v>0.4</v>
      </c>
      <c r="EE60" s="40">
        <v>0.4</v>
      </c>
      <c r="EF60" s="40">
        <v>0.5</v>
      </c>
      <c r="EG60" s="40">
        <v>0.22</v>
      </c>
      <c r="EH60" s="40">
        <v>0.34</v>
      </c>
      <c r="EI60" s="40">
        <v>0.42</v>
      </c>
      <c r="EJ60" s="40">
        <v>0.49</v>
      </c>
      <c r="EK60" s="40">
        <v>0.19</v>
      </c>
      <c r="EL60" s="40">
        <v>0.36</v>
      </c>
      <c r="EM60" s="40">
        <v>0.64</v>
      </c>
      <c r="EN60" s="40">
        <v>0.35</v>
      </c>
      <c r="EO60" s="40">
        <v>0.55000000000000004</v>
      </c>
      <c r="EP60" s="40">
        <v>0.28999999999999998</v>
      </c>
      <c r="EQ60" s="40">
        <v>0.17</v>
      </c>
      <c r="ER60" s="40">
        <v>0.6</v>
      </c>
      <c r="ES60" s="40">
        <v>0.35</v>
      </c>
      <c r="ET60" s="40">
        <v>0.25</v>
      </c>
      <c r="EU60" s="40">
        <v>0.49</v>
      </c>
      <c r="EV60" s="40">
        <v>0.33</v>
      </c>
      <c r="EW60" s="40">
        <v>0.2</v>
      </c>
      <c r="EX60" s="40">
        <v>0.62</v>
      </c>
      <c r="EY60" s="40">
        <v>0.48</v>
      </c>
      <c r="EZ60" s="40">
        <v>0.13</v>
      </c>
      <c r="FA60" s="40">
        <v>0.52</v>
      </c>
      <c r="FB60" s="246">
        <v>54</v>
      </c>
      <c r="FC60" s="246" t="s">
        <v>758</v>
      </c>
      <c r="FD60" s="246">
        <v>9</v>
      </c>
      <c r="FE60" s="246" t="s">
        <v>758</v>
      </c>
      <c r="FF60" s="263">
        <v>0.09</v>
      </c>
      <c r="FG60" s="263">
        <v>0.44</v>
      </c>
      <c r="FH60" s="263">
        <v>0.45</v>
      </c>
      <c r="FI60" s="263">
        <v>0.01</v>
      </c>
      <c r="FJ60" s="263">
        <v>0.38</v>
      </c>
      <c r="FK60" s="263">
        <v>0.59</v>
      </c>
      <c r="FL60" s="263">
        <v>0.38</v>
      </c>
      <c r="FM60" s="263">
        <v>0.3</v>
      </c>
      <c r="FN60" s="263">
        <v>0.2</v>
      </c>
      <c r="FO60" s="263">
        <v>0.27</v>
      </c>
      <c r="FP60" s="263">
        <v>0.33</v>
      </c>
      <c r="FQ60" s="263">
        <v>0.34</v>
      </c>
      <c r="FR60" s="263">
        <v>0.52</v>
      </c>
      <c r="FS60" s="263">
        <v>0.51</v>
      </c>
      <c r="FT60" s="263">
        <v>0.38</v>
      </c>
      <c r="FU60" s="263">
        <v>0.28000000000000003</v>
      </c>
      <c r="FV60" s="263">
        <v>0.54</v>
      </c>
      <c r="FW60" s="263">
        <v>0.46</v>
      </c>
      <c r="FX60" s="263">
        <v>0.34</v>
      </c>
      <c r="FY60" s="263">
        <v>0.26</v>
      </c>
      <c r="FZ60" s="263">
        <v>0.36</v>
      </c>
      <c r="GA60" s="263">
        <v>0.43</v>
      </c>
      <c r="GB60" s="263">
        <v>0.43</v>
      </c>
      <c r="GC60" s="263">
        <v>0.3</v>
      </c>
      <c r="GD60" s="263">
        <v>0.52</v>
      </c>
      <c r="GE60" s="263">
        <v>0.48</v>
      </c>
      <c r="GF60" s="263">
        <v>0.32</v>
      </c>
      <c r="GG60" s="263">
        <v>0.35</v>
      </c>
      <c r="GH60" s="263">
        <v>0.44</v>
      </c>
      <c r="GI60" s="263">
        <v>0.21</v>
      </c>
      <c r="GJ60" s="309">
        <v>56</v>
      </c>
      <c r="GK60" s="309" t="s">
        <v>758</v>
      </c>
      <c r="GL60" s="309">
        <v>10</v>
      </c>
      <c r="GM60" s="309" t="s">
        <v>758</v>
      </c>
      <c r="GN60" s="327">
        <v>0.09</v>
      </c>
      <c r="GO60" s="327">
        <v>0.39</v>
      </c>
      <c r="GP60" s="327">
        <v>0.45</v>
      </c>
      <c r="GQ60" s="327">
        <v>7.0000000000000007E-2</v>
      </c>
      <c r="GR60" s="327">
        <v>0.4</v>
      </c>
      <c r="GS60" s="327">
        <v>0.42</v>
      </c>
      <c r="GT60" s="327">
        <v>0.53</v>
      </c>
      <c r="GU60" s="327">
        <v>0.2</v>
      </c>
      <c r="GV60" s="327">
        <v>0.48</v>
      </c>
      <c r="GW60" s="327">
        <v>0.37</v>
      </c>
      <c r="GX60" s="327">
        <v>0.34</v>
      </c>
      <c r="GY60" s="309" t="s">
        <v>173</v>
      </c>
      <c r="GZ60" s="327">
        <v>0.24</v>
      </c>
      <c r="HA60" s="327">
        <v>0.69</v>
      </c>
      <c r="HB60" s="327">
        <v>0.37</v>
      </c>
      <c r="HC60" s="327">
        <v>0.41</v>
      </c>
      <c r="HD60" s="327">
        <v>0.44</v>
      </c>
      <c r="HE60" s="327">
        <v>0.38</v>
      </c>
      <c r="HF60" s="327">
        <v>0.37</v>
      </c>
      <c r="HG60" s="327">
        <v>0.54</v>
      </c>
      <c r="HH60" s="327">
        <v>0.3</v>
      </c>
      <c r="HI60" s="327">
        <v>0.37</v>
      </c>
      <c r="HJ60" s="327">
        <v>0.49</v>
      </c>
      <c r="HK60" s="327">
        <v>0.42</v>
      </c>
      <c r="HL60" s="327">
        <v>0.31</v>
      </c>
      <c r="HM60" s="327">
        <v>0.43</v>
      </c>
      <c r="HN60" s="327">
        <v>0.45</v>
      </c>
      <c r="HO60" s="327">
        <v>0.31</v>
      </c>
      <c r="HP60" s="309" t="s">
        <v>173</v>
      </c>
      <c r="HQ60" s="327">
        <v>0.28999999999999998</v>
      </c>
      <c r="HR60" s="424">
        <v>55</v>
      </c>
      <c r="HS60" s="424" t="s">
        <v>758</v>
      </c>
      <c r="HT60" s="424">
        <v>9</v>
      </c>
      <c r="HU60" s="424" t="s">
        <v>758</v>
      </c>
      <c r="HV60" s="428">
        <v>0.05</v>
      </c>
      <c r="HW60" s="428">
        <v>0.43</v>
      </c>
      <c r="HX60" s="428">
        <v>0.5</v>
      </c>
      <c r="HY60" s="428">
        <v>0.02</v>
      </c>
      <c r="HZ60" s="428">
        <v>0.31</v>
      </c>
      <c r="IA60" s="428">
        <v>0.47</v>
      </c>
      <c r="IB60" s="428">
        <v>0.28999999999999998</v>
      </c>
      <c r="IC60" s="428">
        <v>0.45</v>
      </c>
      <c r="ID60" s="428">
        <v>0.6</v>
      </c>
      <c r="IE60" s="428">
        <v>0.24</v>
      </c>
      <c r="IF60" s="428">
        <v>0.36</v>
      </c>
      <c r="IG60" s="428">
        <v>0.47</v>
      </c>
      <c r="IH60" s="428">
        <v>0.42</v>
      </c>
      <c r="II60" s="428">
        <v>0.16</v>
      </c>
      <c r="IJ60" s="428">
        <v>0.21</v>
      </c>
      <c r="IK60" s="428">
        <v>0.51</v>
      </c>
      <c r="IL60" s="428">
        <v>0.33</v>
      </c>
      <c r="IM60" s="428">
        <v>0.48</v>
      </c>
      <c r="IN60" s="428">
        <v>0.34</v>
      </c>
      <c r="IO60" s="428">
        <v>0.46</v>
      </c>
      <c r="IP60" s="428">
        <v>0.34</v>
      </c>
      <c r="IQ60" s="428">
        <v>0.62</v>
      </c>
      <c r="IR60" s="428">
        <v>0.5</v>
      </c>
      <c r="IS60" s="428">
        <v>0.43</v>
      </c>
      <c r="IT60" s="428">
        <v>0.35</v>
      </c>
      <c r="IU60" s="424" t="s">
        <v>173</v>
      </c>
      <c r="IV60" s="428">
        <v>0.56000000000000005</v>
      </c>
      <c r="IW60" s="428">
        <v>0.31</v>
      </c>
      <c r="IX60" s="428">
        <v>0.47</v>
      </c>
      <c r="IY60" s="428">
        <v>0.39</v>
      </c>
      <c r="IZ60" s="464">
        <v>58</v>
      </c>
      <c r="JA60" s="464" t="s">
        <v>758</v>
      </c>
      <c r="JB60" s="464">
        <v>8</v>
      </c>
      <c r="JC60" s="464" t="s">
        <v>758</v>
      </c>
      <c r="JD60" s="476">
        <v>0.03</v>
      </c>
      <c r="JE60" s="476">
        <v>0.33</v>
      </c>
      <c r="JF60" s="476">
        <v>0.57999999999999996</v>
      </c>
      <c r="JG60" s="476">
        <v>0.06</v>
      </c>
      <c r="JH60" s="476">
        <v>0.3</v>
      </c>
      <c r="JI60" s="476">
        <v>0.34</v>
      </c>
      <c r="JJ60" s="476">
        <v>0.3</v>
      </c>
      <c r="JK60" s="476">
        <v>0.34</v>
      </c>
      <c r="JL60" s="476">
        <v>0.38</v>
      </c>
      <c r="JM60" s="476">
        <v>0.38</v>
      </c>
      <c r="JN60" s="476">
        <v>0.26</v>
      </c>
      <c r="JO60" s="476">
        <v>0.33</v>
      </c>
      <c r="JP60" s="476">
        <v>0.44</v>
      </c>
      <c r="JQ60" s="476">
        <v>0.14000000000000001</v>
      </c>
      <c r="JR60" s="476">
        <v>0.46</v>
      </c>
      <c r="JS60" s="476">
        <v>0.43</v>
      </c>
      <c r="JT60" s="476">
        <v>0.28999999999999998</v>
      </c>
      <c r="JU60" s="476">
        <v>0.41</v>
      </c>
      <c r="JV60" s="476">
        <v>0.35</v>
      </c>
      <c r="JW60" s="476">
        <v>0.34</v>
      </c>
      <c r="JX60" s="476">
        <v>0.28000000000000003</v>
      </c>
      <c r="JY60" s="476">
        <v>0.44</v>
      </c>
      <c r="JZ60" s="476">
        <v>0.34</v>
      </c>
      <c r="KA60" s="476">
        <v>0.44</v>
      </c>
      <c r="KB60" s="476">
        <v>0.28999999999999998</v>
      </c>
      <c r="KC60" s="476">
        <v>0.56000000000000005</v>
      </c>
      <c r="KD60" s="476">
        <v>0.25</v>
      </c>
      <c r="KE60" s="476">
        <v>0.37</v>
      </c>
      <c r="KF60" s="476">
        <v>0.3</v>
      </c>
      <c r="KG60" s="476">
        <v>0.39</v>
      </c>
      <c r="KH60" s="971">
        <v>58</v>
      </c>
      <c r="KI60" s="971" t="s">
        <v>758</v>
      </c>
      <c r="KJ60" s="971">
        <v>9</v>
      </c>
      <c r="KK60" s="971" t="s">
        <v>758</v>
      </c>
      <c r="KL60" s="949">
        <v>0.02</v>
      </c>
      <c r="KM60" s="949">
        <v>0.38</v>
      </c>
      <c r="KN60" s="949">
        <v>0.53</v>
      </c>
      <c r="KO60" s="949">
        <v>7.0000000000000007E-2</v>
      </c>
      <c r="KP60" s="949">
        <v>0.41</v>
      </c>
      <c r="KQ60" s="949">
        <v>0.19</v>
      </c>
      <c r="KR60" s="949">
        <v>0.52</v>
      </c>
      <c r="KS60" s="949">
        <v>0.35</v>
      </c>
      <c r="KT60" s="949">
        <v>0.42</v>
      </c>
      <c r="KU60" s="949">
        <v>0.19</v>
      </c>
      <c r="KV60" s="949">
        <v>0.42</v>
      </c>
      <c r="KW60" s="949">
        <v>0.26</v>
      </c>
      <c r="KX60" s="949">
        <v>0.26</v>
      </c>
      <c r="KY60" s="949">
        <v>0.36</v>
      </c>
      <c r="KZ60" s="949">
        <v>0.27</v>
      </c>
      <c r="LA60" s="949">
        <v>0.26</v>
      </c>
      <c r="LB60" s="949">
        <v>0.34</v>
      </c>
      <c r="LC60" s="949">
        <v>0.28000000000000003</v>
      </c>
      <c r="LD60" s="949">
        <v>0.46</v>
      </c>
      <c r="LE60" s="949">
        <v>0.38</v>
      </c>
      <c r="LF60" s="949">
        <v>0.21</v>
      </c>
      <c r="LG60" s="949">
        <v>0.28999999999999998</v>
      </c>
      <c r="LH60" s="949">
        <v>0.44</v>
      </c>
      <c r="LI60" s="949">
        <v>0.38</v>
      </c>
      <c r="LJ60" s="949">
        <v>0.3</v>
      </c>
      <c r="LK60" s="949">
        <v>0.48</v>
      </c>
      <c r="LL60" s="949" t="s">
        <v>173</v>
      </c>
      <c r="LM60" s="949">
        <v>0.51</v>
      </c>
      <c r="LN60" s="949">
        <v>0.52</v>
      </c>
      <c r="LO60" s="949">
        <v>0.33</v>
      </c>
      <c r="LP60" s="922">
        <v>325754005412</v>
      </c>
      <c r="LQ60" s="126" t="s">
        <v>109</v>
      </c>
      <c r="LR60" s="424">
        <v>55</v>
      </c>
      <c r="LS60" s="971">
        <v>58</v>
      </c>
      <c r="LT60" s="946"/>
    </row>
    <row r="61" spans="1:332" s="892" customFormat="1" ht="24.95" customHeight="1" x14ac:dyDescent="0.2">
      <c r="A61" s="866" t="s">
        <v>960</v>
      </c>
      <c r="B61" s="1" t="s">
        <v>123</v>
      </c>
      <c r="C61" s="867">
        <v>6</v>
      </c>
      <c r="D61" s="868"/>
      <c r="E61" s="868"/>
      <c r="F61" s="908"/>
      <c r="G61" s="908"/>
      <c r="H61" s="908"/>
      <c r="I61" s="908"/>
      <c r="J61" s="908"/>
      <c r="K61" s="908"/>
      <c r="L61" s="908"/>
      <c r="M61" s="908"/>
      <c r="N61" s="908"/>
      <c r="O61" s="908"/>
      <c r="P61" s="908"/>
      <c r="Q61" s="908"/>
      <c r="R61" s="908"/>
      <c r="S61" s="908"/>
      <c r="T61" s="908"/>
      <c r="U61" s="908"/>
      <c r="V61" s="908"/>
      <c r="W61" s="908"/>
      <c r="X61" s="908"/>
      <c r="Y61" s="908"/>
      <c r="Z61" s="908"/>
      <c r="AA61" s="908"/>
      <c r="AB61" s="908"/>
      <c r="AC61" s="908"/>
      <c r="AD61" s="908"/>
      <c r="AE61" s="908"/>
      <c r="AF61" s="908"/>
      <c r="AG61" s="908"/>
      <c r="AH61" s="868"/>
      <c r="AI61" s="868"/>
      <c r="AJ61" s="910"/>
      <c r="AK61" s="910"/>
      <c r="AL61" s="910"/>
      <c r="AM61" s="910"/>
      <c r="AN61" s="910"/>
      <c r="AO61" s="910"/>
      <c r="AP61" s="910"/>
      <c r="AQ61" s="910"/>
      <c r="AR61" s="910"/>
      <c r="AS61" s="910"/>
      <c r="AT61" s="910"/>
      <c r="AU61" s="910"/>
      <c r="AV61" s="910"/>
      <c r="AW61" s="910"/>
      <c r="AX61" s="910"/>
      <c r="AY61" s="910"/>
      <c r="AZ61" s="910"/>
      <c r="BA61" s="910"/>
      <c r="BB61" s="910"/>
      <c r="BC61" s="910"/>
      <c r="BD61" s="910"/>
      <c r="BE61" s="910"/>
      <c r="BF61" s="910"/>
      <c r="BG61" s="910"/>
      <c r="BH61" s="910"/>
      <c r="BI61" s="910"/>
      <c r="BJ61" s="910"/>
      <c r="BK61" s="910"/>
      <c r="BL61" s="910"/>
      <c r="BM61" s="868"/>
      <c r="BN61" s="868"/>
      <c r="BO61" s="908"/>
      <c r="BP61" s="908"/>
      <c r="BQ61" s="908"/>
      <c r="BR61" s="908"/>
      <c r="BS61" s="908"/>
      <c r="BT61" s="908"/>
      <c r="BU61" s="908"/>
      <c r="BV61" s="908"/>
      <c r="BW61" s="908"/>
      <c r="BX61" s="908"/>
      <c r="BY61" s="908"/>
      <c r="BZ61" s="908"/>
      <c r="CA61" s="908"/>
      <c r="CB61" s="908"/>
      <c r="CC61" s="908"/>
      <c r="CD61" s="908"/>
      <c r="CE61" s="908"/>
      <c r="CF61" s="908"/>
      <c r="CG61" s="908"/>
      <c r="CH61" s="908"/>
      <c r="CI61" s="908"/>
      <c r="CJ61" s="908"/>
      <c r="CK61" s="908"/>
      <c r="CL61" s="908"/>
      <c r="CM61" s="908"/>
      <c r="CN61" s="908"/>
      <c r="CO61" s="908"/>
      <c r="CP61" s="908"/>
      <c r="CQ61" s="908"/>
      <c r="CR61" s="908"/>
      <c r="CS61" s="868"/>
      <c r="CT61" s="868"/>
      <c r="CU61" s="906"/>
      <c r="CV61" s="906"/>
      <c r="CW61" s="906"/>
      <c r="CX61" s="906"/>
      <c r="CY61" s="906"/>
      <c r="CZ61" s="906"/>
      <c r="DA61" s="906"/>
      <c r="DB61" s="906"/>
      <c r="DC61" s="906"/>
      <c r="DD61" s="906"/>
      <c r="DE61" s="906"/>
      <c r="DF61" s="906"/>
      <c r="DG61" s="906"/>
      <c r="DH61" s="906"/>
      <c r="DI61" s="906"/>
      <c r="DJ61" s="906"/>
      <c r="DK61" s="906"/>
      <c r="DL61" s="906"/>
      <c r="DM61" s="906"/>
      <c r="DN61" s="906"/>
      <c r="DO61" s="906"/>
      <c r="DP61" s="906"/>
      <c r="DQ61" s="906"/>
      <c r="DR61" s="906"/>
      <c r="DS61" s="906"/>
      <c r="DT61" s="906"/>
      <c r="DU61" s="906"/>
      <c r="DV61" s="906"/>
      <c r="DW61" s="906"/>
      <c r="DX61" s="909"/>
      <c r="DY61" s="909"/>
      <c r="DZ61" s="910"/>
      <c r="EA61" s="910"/>
      <c r="EB61" s="910"/>
      <c r="EC61" s="910"/>
      <c r="ED61" s="910"/>
      <c r="EE61" s="910"/>
      <c r="EF61" s="910"/>
      <c r="EG61" s="910"/>
      <c r="EH61" s="910"/>
      <c r="EI61" s="910"/>
      <c r="EJ61" s="910"/>
      <c r="EK61" s="910"/>
      <c r="EL61" s="910"/>
      <c r="EM61" s="910"/>
      <c r="EN61" s="910"/>
      <c r="EO61" s="910"/>
      <c r="EP61" s="910"/>
      <c r="EQ61" s="910"/>
      <c r="ER61" s="910"/>
      <c r="ES61" s="910"/>
      <c r="ET61" s="910"/>
      <c r="EU61" s="910"/>
      <c r="EV61" s="910"/>
      <c r="EW61" s="910"/>
      <c r="EX61" s="910"/>
      <c r="EY61" s="910"/>
      <c r="EZ61" s="910"/>
      <c r="FA61" s="910"/>
      <c r="FB61" s="915"/>
      <c r="FC61" s="915"/>
      <c r="FD61" s="915"/>
      <c r="FE61" s="915"/>
      <c r="FF61" s="916"/>
      <c r="FG61" s="916"/>
      <c r="FH61" s="916"/>
      <c r="FI61" s="916"/>
      <c r="FJ61" s="916"/>
      <c r="FK61" s="916"/>
      <c r="FL61" s="916"/>
      <c r="FM61" s="916"/>
      <c r="FN61" s="916"/>
      <c r="FO61" s="916"/>
      <c r="FP61" s="916"/>
      <c r="FQ61" s="916"/>
      <c r="FR61" s="916"/>
      <c r="FS61" s="916"/>
      <c r="FT61" s="916"/>
      <c r="FU61" s="916"/>
      <c r="FV61" s="916"/>
      <c r="FW61" s="916"/>
      <c r="FX61" s="916"/>
      <c r="FY61" s="916"/>
      <c r="FZ61" s="916"/>
      <c r="GA61" s="916"/>
      <c r="GB61" s="916"/>
      <c r="GC61" s="916"/>
      <c r="GD61" s="916"/>
      <c r="GE61" s="916"/>
      <c r="GF61" s="916"/>
      <c r="GG61" s="916"/>
      <c r="GH61" s="916"/>
      <c r="GI61" s="916"/>
      <c r="GJ61" s="917"/>
      <c r="GK61" s="917"/>
      <c r="GL61" s="917"/>
      <c r="GM61" s="917"/>
      <c r="GN61" s="918"/>
      <c r="GO61" s="918"/>
      <c r="GP61" s="918"/>
      <c r="GQ61" s="918"/>
      <c r="GR61" s="918"/>
      <c r="GS61" s="918"/>
      <c r="GT61" s="918"/>
      <c r="GU61" s="918"/>
      <c r="GV61" s="918"/>
      <c r="GW61" s="918"/>
      <c r="GX61" s="918"/>
      <c r="GY61" s="917"/>
      <c r="GZ61" s="918"/>
      <c r="HA61" s="918"/>
      <c r="HB61" s="918"/>
      <c r="HC61" s="918"/>
      <c r="HD61" s="918"/>
      <c r="HE61" s="918"/>
      <c r="HF61" s="918"/>
      <c r="HG61" s="918"/>
      <c r="HH61" s="918"/>
      <c r="HI61" s="918"/>
      <c r="HJ61" s="918"/>
      <c r="HK61" s="918"/>
      <c r="HL61" s="918"/>
      <c r="HM61" s="918"/>
      <c r="HN61" s="918"/>
      <c r="HO61" s="918"/>
      <c r="HP61" s="917"/>
      <c r="HQ61" s="918"/>
      <c r="HR61" s="919"/>
      <c r="HS61" s="919"/>
      <c r="HT61" s="919"/>
      <c r="HU61" s="919"/>
      <c r="HV61" s="920"/>
      <c r="HW61" s="920"/>
      <c r="HX61" s="920"/>
      <c r="HY61" s="920"/>
      <c r="HZ61" s="920"/>
      <c r="IA61" s="920"/>
      <c r="IB61" s="920"/>
      <c r="IC61" s="920"/>
      <c r="ID61" s="920"/>
      <c r="IE61" s="920"/>
      <c r="IF61" s="920"/>
      <c r="IG61" s="920"/>
      <c r="IH61" s="920"/>
      <c r="II61" s="920"/>
      <c r="IJ61" s="920"/>
      <c r="IK61" s="920"/>
      <c r="IL61" s="920"/>
      <c r="IM61" s="920"/>
      <c r="IN61" s="920"/>
      <c r="IO61" s="920"/>
      <c r="IP61" s="920"/>
      <c r="IQ61" s="920"/>
      <c r="IR61" s="920"/>
      <c r="IS61" s="920"/>
      <c r="IT61" s="920"/>
      <c r="IU61" s="919"/>
      <c r="IV61" s="920"/>
      <c r="IW61" s="920"/>
      <c r="IX61" s="920"/>
      <c r="IY61" s="920"/>
      <c r="IZ61" s="917"/>
      <c r="JA61" s="917"/>
      <c r="JB61" s="917"/>
      <c r="JC61" s="917"/>
      <c r="JD61" s="918"/>
      <c r="JE61" s="918"/>
      <c r="JF61" s="918"/>
      <c r="JG61" s="918"/>
      <c r="JH61" s="918"/>
      <c r="JI61" s="918"/>
      <c r="JJ61" s="918"/>
      <c r="JK61" s="918"/>
      <c r="JL61" s="918"/>
      <c r="JM61" s="918"/>
      <c r="JN61" s="918"/>
      <c r="JO61" s="918"/>
      <c r="JP61" s="918"/>
      <c r="JQ61" s="918"/>
      <c r="JR61" s="918"/>
      <c r="JS61" s="918"/>
      <c r="JT61" s="918"/>
      <c r="JU61" s="918"/>
      <c r="JV61" s="918"/>
      <c r="JW61" s="918"/>
      <c r="JX61" s="918"/>
      <c r="JY61" s="918"/>
      <c r="JZ61" s="918"/>
      <c r="KA61" s="918"/>
      <c r="KB61" s="918"/>
      <c r="KC61" s="918"/>
      <c r="KD61" s="918"/>
      <c r="KE61" s="918"/>
      <c r="KF61" s="918"/>
      <c r="KG61" s="918"/>
      <c r="KH61" s="971">
        <v>45</v>
      </c>
      <c r="KI61" s="971" t="s">
        <v>760</v>
      </c>
      <c r="KJ61" s="971">
        <v>7</v>
      </c>
      <c r="KK61" s="971" t="s">
        <v>758</v>
      </c>
      <c r="KL61" s="949">
        <v>0.28999999999999998</v>
      </c>
      <c r="KM61" s="949">
        <v>0.59</v>
      </c>
      <c r="KN61" s="949">
        <v>0.12</v>
      </c>
      <c r="KO61" s="949">
        <v>0</v>
      </c>
      <c r="KP61" s="949">
        <v>0.44</v>
      </c>
      <c r="KQ61" s="949">
        <v>0.48</v>
      </c>
      <c r="KR61" s="949">
        <v>0.59</v>
      </c>
      <c r="KS61" s="949">
        <v>0.57999999999999996</v>
      </c>
      <c r="KT61" s="949">
        <v>0.61</v>
      </c>
      <c r="KU61" s="949">
        <v>0.5</v>
      </c>
      <c r="KV61" s="949">
        <v>0.63</v>
      </c>
      <c r="KW61" s="949">
        <v>0.37</v>
      </c>
      <c r="KX61" s="949">
        <v>0.57999999999999996</v>
      </c>
      <c r="KY61" s="949">
        <v>0.72</v>
      </c>
      <c r="KZ61" s="949">
        <v>0.48</v>
      </c>
      <c r="LA61" s="949">
        <v>0.71</v>
      </c>
      <c r="LB61" s="949">
        <v>0.48</v>
      </c>
      <c r="LC61" s="949">
        <v>0.49</v>
      </c>
      <c r="LD61" s="949">
        <v>0.7</v>
      </c>
      <c r="LE61" s="949">
        <v>0.63</v>
      </c>
      <c r="LF61" s="949">
        <v>0.47</v>
      </c>
      <c r="LG61" s="949">
        <v>0.56999999999999995</v>
      </c>
      <c r="LH61" s="949">
        <v>0.79</v>
      </c>
      <c r="LI61" s="949">
        <v>0.56999999999999995</v>
      </c>
      <c r="LJ61" s="949">
        <v>0.56999999999999995</v>
      </c>
      <c r="LK61" s="949">
        <v>0.6</v>
      </c>
      <c r="LL61" s="949" t="s">
        <v>173</v>
      </c>
      <c r="LM61" s="949">
        <v>0.75</v>
      </c>
      <c r="LN61" s="949">
        <v>0.67</v>
      </c>
      <c r="LO61" s="949">
        <v>0.67</v>
      </c>
      <c r="LP61" s="26">
        <v>325754003622</v>
      </c>
      <c r="LQ61" s="866" t="s">
        <v>960</v>
      </c>
      <c r="LR61" s="919"/>
      <c r="LS61" s="971">
        <v>45</v>
      </c>
      <c r="LT61" s="946"/>
    </row>
    <row r="62" spans="1:332" ht="24.95" customHeight="1" x14ac:dyDescent="0.2">
      <c r="A62" s="126" t="s">
        <v>97</v>
      </c>
      <c r="B62" s="1" t="s">
        <v>123</v>
      </c>
      <c r="C62" s="2">
        <v>2</v>
      </c>
      <c r="D62" s="12">
        <v>52</v>
      </c>
      <c r="E62" s="12">
        <v>8</v>
      </c>
      <c r="F62" s="66">
        <v>0.05</v>
      </c>
      <c r="G62" s="66">
        <v>0.64</v>
      </c>
      <c r="H62" s="66">
        <v>0.31</v>
      </c>
      <c r="I62" s="66">
        <v>0</v>
      </c>
      <c r="J62" s="66">
        <v>0.49</v>
      </c>
      <c r="K62" s="66">
        <v>0.35</v>
      </c>
      <c r="L62" s="66">
        <v>0.74</v>
      </c>
      <c r="M62" s="66">
        <v>0.46</v>
      </c>
      <c r="N62" s="66">
        <v>0.31</v>
      </c>
      <c r="O62" s="66">
        <v>0.71</v>
      </c>
      <c r="P62" s="66">
        <v>0.35</v>
      </c>
      <c r="Q62" s="66">
        <v>0.36</v>
      </c>
      <c r="R62" s="66">
        <v>0.52</v>
      </c>
      <c r="S62" s="66">
        <v>0.54</v>
      </c>
      <c r="T62" s="66">
        <v>0.51</v>
      </c>
      <c r="U62" s="66">
        <v>0.59</v>
      </c>
      <c r="V62" s="66">
        <v>0.08</v>
      </c>
      <c r="W62" s="66">
        <v>0.2</v>
      </c>
      <c r="X62" s="66">
        <v>0.54</v>
      </c>
      <c r="Y62" s="66">
        <v>0.64</v>
      </c>
      <c r="Z62" s="12" t="s">
        <v>173</v>
      </c>
      <c r="AA62" s="66">
        <v>0.1</v>
      </c>
      <c r="AB62" s="66">
        <v>0.46</v>
      </c>
      <c r="AC62" s="66">
        <v>0.28000000000000003</v>
      </c>
      <c r="AD62" s="66">
        <v>0.49</v>
      </c>
      <c r="AE62" s="66">
        <v>0.52</v>
      </c>
      <c r="AF62" s="66">
        <v>0.47</v>
      </c>
      <c r="AG62" s="66">
        <v>0.52</v>
      </c>
      <c r="AH62" s="12">
        <v>50</v>
      </c>
      <c r="AI62" s="12">
        <v>7</v>
      </c>
      <c r="AJ62" s="40">
        <v>0.13</v>
      </c>
      <c r="AK62" s="40">
        <v>0.63</v>
      </c>
      <c r="AL62" s="40">
        <v>0.23</v>
      </c>
      <c r="AM62" s="40">
        <v>0</v>
      </c>
      <c r="AN62" s="40">
        <v>0.43</v>
      </c>
      <c r="AO62" s="40">
        <v>0.52</v>
      </c>
      <c r="AP62" s="40">
        <v>0.55000000000000004</v>
      </c>
      <c r="AQ62" s="40">
        <v>0.46</v>
      </c>
      <c r="AR62" s="40">
        <v>0.56999999999999995</v>
      </c>
      <c r="AS62" s="40">
        <v>0.54</v>
      </c>
      <c r="AT62" s="40">
        <v>0.59</v>
      </c>
      <c r="AU62" s="40">
        <v>0.6</v>
      </c>
      <c r="AV62" s="40">
        <v>0.65</v>
      </c>
      <c r="AW62" s="40">
        <v>0.67</v>
      </c>
      <c r="AX62" s="40">
        <v>0.62</v>
      </c>
      <c r="AY62" s="40">
        <v>0.43</v>
      </c>
      <c r="AZ62" s="40">
        <v>0.26</v>
      </c>
      <c r="BA62" s="40">
        <v>0.62</v>
      </c>
      <c r="BB62" s="40">
        <v>0.68</v>
      </c>
      <c r="BC62" s="40">
        <v>0.73</v>
      </c>
      <c r="BD62" s="40">
        <v>0.43</v>
      </c>
      <c r="BE62" s="40">
        <v>0.59</v>
      </c>
      <c r="BF62" s="40">
        <v>0.72</v>
      </c>
      <c r="BG62" s="40">
        <v>0.56000000000000005</v>
      </c>
      <c r="BH62" s="40">
        <v>0.5</v>
      </c>
      <c r="BI62" s="40">
        <v>0.48</v>
      </c>
      <c r="BJ62" s="40">
        <v>0.35</v>
      </c>
      <c r="BK62" s="40">
        <v>0.53</v>
      </c>
      <c r="BL62" s="40">
        <v>0.77</v>
      </c>
      <c r="BM62" s="12">
        <v>50</v>
      </c>
      <c r="BN62" s="12">
        <v>8</v>
      </c>
      <c r="BO62" s="66">
        <v>0.11</v>
      </c>
      <c r="BP62" s="66">
        <v>0.69</v>
      </c>
      <c r="BQ62" s="66">
        <v>0.19</v>
      </c>
      <c r="BR62" s="66">
        <v>0</v>
      </c>
      <c r="BS62" s="66">
        <v>0.3</v>
      </c>
      <c r="BT62" s="66">
        <v>0.71</v>
      </c>
      <c r="BU62" s="66">
        <v>0.7</v>
      </c>
      <c r="BV62" s="66">
        <v>0.4</v>
      </c>
      <c r="BW62" s="66">
        <v>0.65</v>
      </c>
      <c r="BX62" s="66">
        <v>0.39</v>
      </c>
      <c r="BY62" s="66">
        <v>0.42</v>
      </c>
      <c r="BZ62" s="66">
        <v>0.5</v>
      </c>
      <c r="CA62" s="66">
        <v>0.35</v>
      </c>
      <c r="CB62" s="66">
        <v>0.49</v>
      </c>
      <c r="CC62" s="66">
        <v>0.21</v>
      </c>
      <c r="CD62" s="66">
        <v>0.37</v>
      </c>
      <c r="CE62" s="66">
        <v>0.35</v>
      </c>
      <c r="CF62" s="66">
        <v>0.56999999999999995</v>
      </c>
      <c r="CG62" s="66">
        <v>0.66</v>
      </c>
      <c r="CH62" s="66">
        <v>0.47</v>
      </c>
      <c r="CI62" s="66">
        <v>0.56999999999999995</v>
      </c>
      <c r="CJ62" s="66">
        <v>0.39</v>
      </c>
      <c r="CK62" s="66">
        <v>0.75</v>
      </c>
      <c r="CL62" s="66">
        <v>0.33</v>
      </c>
      <c r="CM62" s="66">
        <v>0.48</v>
      </c>
      <c r="CN62" s="66">
        <v>0.47</v>
      </c>
      <c r="CO62" s="66">
        <v>0.42</v>
      </c>
      <c r="CP62" s="66">
        <v>0.36</v>
      </c>
      <c r="CQ62" s="66">
        <v>0.6</v>
      </c>
      <c r="CR62" s="66">
        <v>0.51</v>
      </c>
      <c r="CS62" s="12">
        <v>53</v>
      </c>
      <c r="CT62" s="12">
        <v>8</v>
      </c>
      <c r="CU62" s="63">
        <v>0.15</v>
      </c>
      <c r="CV62" s="63">
        <v>0.5</v>
      </c>
      <c r="CW62" s="63">
        <v>0.35</v>
      </c>
      <c r="CX62" s="63">
        <v>0</v>
      </c>
      <c r="CY62" s="63">
        <v>0.48</v>
      </c>
      <c r="CZ62" s="63">
        <v>0.25</v>
      </c>
      <c r="DA62" s="63">
        <v>0.52</v>
      </c>
      <c r="DB62" s="63">
        <v>0.18</v>
      </c>
      <c r="DC62" s="63">
        <v>0.45</v>
      </c>
      <c r="DD62" s="63">
        <v>0.61</v>
      </c>
      <c r="DE62" s="63">
        <v>0.34</v>
      </c>
      <c r="DF62" s="63">
        <v>0.56999999999999995</v>
      </c>
      <c r="DG62" s="63">
        <v>0.38</v>
      </c>
      <c r="DH62" s="63">
        <v>0.16</v>
      </c>
      <c r="DI62" s="63">
        <v>0.48</v>
      </c>
      <c r="DJ62" s="63">
        <v>0.42</v>
      </c>
      <c r="DK62" s="63">
        <v>0.36</v>
      </c>
      <c r="DL62" s="63">
        <v>0.21</v>
      </c>
      <c r="DM62" s="63">
        <v>0.48</v>
      </c>
      <c r="DN62" s="63">
        <v>0.46</v>
      </c>
      <c r="DO62" s="63">
        <v>0.48</v>
      </c>
      <c r="DP62" s="63">
        <v>0.43</v>
      </c>
      <c r="DQ62" s="63">
        <v>0.52</v>
      </c>
      <c r="DR62" s="63">
        <v>0.12</v>
      </c>
      <c r="DS62" s="63">
        <v>0.4</v>
      </c>
      <c r="DT62" s="63">
        <v>0.57999999999999996</v>
      </c>
      <c r="DU62" s="63">
        <v>0.38</v>
      </c>
      <c r="DV62" s="63">
        <v>0.6</v>
      </c>
      <c r="DW62" s="63">
        <v>0.38</v>
      </c>
      <c r="DX62" s="35">
        <v>48</v>
      </c>
      <c r="DY62" s="35">
        <v>9</v>
      </c>
      <c r="DZ62" s="40">
        <v>0.22</v>
      </c>
      <c r="EA62" s="40">
        <v>0.61</v>
      </c>
      <c r="EB62" s="40">
        <v>0.17</v>
      </c>
      <c r="EC62" s="40">
        <v>0</v>
      </c>
      <c r="ED62" s="40">
        <v>0.55000000000000004</v>
      </c>
      <c r="EE62" s="40">
        <v>0.49</v>
      </c>
      <c r="EF62" s="40">
        <v>0.45</v>
      </c>
      <c r="EG62" s="40">
        <v>0.36</v>
      </c>
      <c r="EH62" s="40">
        <v>0.48</v>
      </c>
      <c r="EI62" s="40">
        <v>0.52</v>
      </c>
      <c r="EJ62" s="40">
        <v>0.56999999999999995</v>
      </c>
      <c r="EK62" s="40">
        <v>0.3</v>
      </c>
      <c r="EL62" s="40">
        <v>0.45</v>
      </c>
      <c r="EM62" s="40">
        <v>0.72</v>
      </c>
      <c r="EN62" s="40">
        <v>0.43</v>
      </c>
      <c r="EO62" s="40">
        <v>0.55000000000000004</v>
      </c>
      <c r="EP62" s="40">
        <v>0.34</v>
      </c>
      <c r="EQ62" s="40">
        <v>0.31</v>
      </c>
      <c r="ER62" s="40">
        <v>0.67</v>
      </c>
      <c r="ES62" s="40">
        <v>0.53</v>
      </c>
      <c r="ET62" s="40">
        <v>0.38</v>
      </c>
      <c r="EU62" s="40">
        <v>0.63</v>
      </c>
      <c r="EV62" s="40">
        <v>0.43</v>
      </c>
      <c r="EW62" s="40">
        <v>0.34</v>
      </c>
      <c r="EX62" s="40">
        <v>0.64</v>
      </c>
      <c r="EY62" s="40">
        <v>0.65</v>
      </c>
      <c r="EZ62" s="40">
        <v>0.33</v>
      </c>
      <c r="FA62" s="40">
        <v>0.49</v>
      </c>
      <c r="FB62" s="647">
        <v>51</v>
      </c>
      <c r="FC62" s="647" t="s">
        <v>758</v>
      </c>
      <c r="FD62" s="647">
        <v>10</v>
      </c>
      <c r="FE62" s="647" t="s">
        <v>758</v>
      </c>
      <c r="FF62" s="648">
        <v>0.22</v>
      </c>
      <c r="FG62" s="648">
        <v>0.41</v>
      </c>
      <c r="FH62" s="648">
        <v>0.38</v>
      </c>
      <c r="FI62" s="648">
        <v>0</v>
      </c>
      <c r="FJ62" s="648">
        <v>0.41</v>
      </c>
      <c r="FK62" s="648">
        <v>0.67</v>
      </c>
      <c r="FL62" s="648">
        <v>0.51</v>
      </c>
      <c r="FM62" s="648">
        <v>0.4</v>
      </c>
      <c r="FN62" s="648">
        <v>0.26</v>
      </c>
      <c r="FO62" s="648">
        <v>0.36</v>
      </c>
      <c r="FP62" s="648">
        <v>0.32</v>
      </c>
      <c r="FQ62" s="648">
        <v>0.49</v>
      </c>
      <c r="FR62" s="648">
        <v>0.65</v>
      </c>
      <c r="FS62" s="648">
        <v>0.47</v>
      </c>
      <c r="FT62" s="648">
        <v>0.54</v>
      </c>
      <c r="FU62" s="648">
        <v>0.41</v>
      </c>
      <c r="FV62" s="648">
        <v>0.56999999999999995</v>
      </c>
      <c r="FW62" s="648">
        <v>0.52</v>
      </c>
      <c r="FX62" s="648">
        <v>0.55000000000000004</v>
      </c>
      <c r="FY62" s="648">
        <v>0.34</v>
      </c>
      <c r="FZ62" s="648">
        <v>0.44</v>
      </c>
      <c r="GA62" s="648">
        <v>0.48</v>
      </c>
      <c r="GB62" s="648">
        <v>0.48</v>
      </c>
      <c r="GC62" s="648">
        <v>0.41</v>
      </c>
      <c r="GD62" s="648">
        <v>0.64</v>
      </c>
      <c r="GE62" s="648">
        <v>0.51</v>
      </c>
      <c r="GF62" s="648">
        <v>0.51</v>
      </c>
      <c r="GG62" s="648">
        <v>0.36</v>
      </c>
      <c r="GH62" s="648">
        <v>0.61</v>
      </c>
      <c r="GI62" s="648">
        <v>0.22</v>
      </c>
      <c r="GJ62" s="74">
        <v>54</v>
      </c>
      <c r="GK62" s="74" t="s">
        <v>758</v>
      </c>
      <c r="GL62" s="74">
        <v>9</v>
      </c>
      <c r="GM62" s="74" t="s">
        <v>758</v>
      </c>
      <c r="GN62" s="96">
        <v>0.11</v>
      </c>
      <c r="GO62" s="96">
        <v>0.45</v>
      </c>
      <c r="GP62" s="96">
        <v>0.42</v>
      </c>
      <c r="GQ62" s="96">
        <v>0.03</v>
      </c>
      <c r="GR62" s="96">
        <v>0.48</v>
      </c>
      <c r="GS62" s="96">
        <v>0.54</v>
      </c>
      <c r="GT62" s="96">
        <v>0.57999999999999996</v>
      </c>
      <c r="GU62" s="96">
        <v>0.12</v>
      </c>
      <c r="GV62" s="96">
        <v>0.53</v>
      </c>
      <c r="GW62" s="96">
        <v>0.31</v>
      </c>
      <c r="GX62" s="96">
        <v>0.4</v>
      </c>
      <c r="GY62" s="74" t="s">
        <v>173</v>
      </c>
      <c r="GZ62" s="96">
        <v>0.18</v>
      </c>
      <c r="HA62" s="96">
        <v>0.86</v>
      </c>
      <c r="HB62" s="96">
        <v>0.39</v>
      </c>
      <c r="HC62" s="96">
        <v>0.52</v>
      </c>
      <c r="HD62" s="96">
        <v>0.48</v>
      </c>
      <c r="HE62" s="96">
        <v>0.33</v>
      </c>
      <c r="HF62" s="96">
        <v>0.42</v>
      </c>
      <c r="HG62" s="96">
        <v>0.61</v>
      </c>
      <c r="HH62" s="96">
        <v>0.33</v>
      </c>
      <c r="HI62" s="96">
        <v>0.39</v>
      </c>
      <c r="HJ62" s="96">
        <v>0.56999999999999995</v>
      </c>
      <c r="HK62" s="96">
        <v>0.42</v>
      </c>
      <c r="HL62" s="96">
        <v>0.34</v>
      </c>
      <c r="HM62" s="96">
        <v>0.41</v>
      </c>
      <c r="HN62" s="96">
        <v>0.47</v>
      </c>
      <c r="HO62" s="96">
        <v>0.27</v>
      </c>
      <c r="HP62" s="74" t="s">
        <v>173</v>
      </c>
      <c r="HQ62" s="96">
        <v>0.31</v>
      </c>
      <c r="HR62" s="652">
        <v>53</v>
      </c>
      <c r="HS62" s="652" t="s">
        <v>758</v>
      </c>
      <c r="HT62" s="652">
        <v>10</v>
      </c>
      <c r="HU62" s="652" t="s">
        <v>758</v>
      </c>
      <c r="HV62" s="653">
        <v>0.12</v>
      </c>
      <c r="HW62" s="653">
        <v>0.45</v>
      </c>
      <c r="HX62" s="653">
        <v>0.42</v>
      </c>
      <c r="HY62" s="653">
        <v>0</v>
      </c>
      <c r="HZ62" s="653">
        <v>0.28000000000000003</v>
      </c>
      <c r="IA62" s="653">
        <v>0.47</v>
      </c>
      <c r="IB62" s="653">
        <v>0.26</v>
      </c>
      <c r="IC62" s="653">
        <v>0.5</v>
      </c>
      <c r="ID62" s="653">
        <v>0.68</v>
      </c>
      <c r="IE62" s="653">
        <v>0.3</v>
      </c>
      <c r="IF62" s="653">
        <v>0.42</v>
      </c>
      <c r="IG62" s="653">
        <v>0.48</v>
      </c>
      <c r="IH62" s="653">
        <v>0.52</v>
      </c>
      <c r="II62" s="653">
        <v>0.31</v>
      </c>
      <c r="IJ62" s="653">
        <v>0.27</v>
      </c>
      <c r="IK62" s="653">
        <v>0.56000000000000005</v>
      </c>
      <c r="IL62" s="653">
        <v>0.23</v>
      </c>
      <c r="IM62" s="653">
        <v>0.46</v>
      </c>
      <c r="IN62" s="653">
        <v>0.41</v>
      </c>
      <c r="IO62" s="653">
        <v>0.4</v>
      </c>
      <c r="IP62" s="653">
        <v>0.44</v>
      </c>
      <c r="IQ62" s="653">
        <v>0.73</v>
      </c>
      <c r="IR62" s="653">
        <v>0.55000000000000004</v>
      </c>
      <c r="IS62" s="653">
        <v>0.59</v>
      </c>
      <c r="IT62" s="653">
        <v>0.4</v>
      </c>
      <c r="IU62" s="652" t="s">
        <v>173</v>
      </c>
      <c r="IV62" s="653">
        <v>0.55000000000000004</v>
      </c>
      <c r="IW62" s="653">
        <v>0.4</v>
      </c>
      <c r="IX62" s="653">
        <v>0.52</v>
      </c>
      <c r="IY62" s="653">
        <v>0.51</v>
      </c>
      <c r="IZ62" s="74">
        <v>50</v>
      </c>
      <c r="JA62" s="74" t="s">
        <v>758</v>
      </c>
      <c r="JB62" s="74">
        <v>10</v>
      </c>
      <c r="JC62" s="74" t="s">
        <v>758</v>
      </c>
      <c r="JD62" s="96">
        <v>0.11</v>
      </c>
      <c r="JE62" s="96">
        <v>0.63</v>
      </c>
      <c r="JF62" s="96">
        <v>0.26</v>
      </c>
      <c r="JG62" s="96">
        <v>0</v>
      </c>
      <c r="JH62" s="96">
        <v>0.43</v>
      </c>
      <c r="JI62" s="96">
        <v>0.44</v>
      </c>
      <c r="JJ62" s="96">
        <v>0.5</v>
      </c>
      <c r="JK62" s="96">
        <v>0.55000000000000004</v>
      </c>
      <c r="JL62" s="96">
        <v>0.47</v>
      </c>
      <c r="JM62" s="96">
        <v>0.62</v>
      </c>
      <c r="JN62" s="96">
        <v>0.47</v>
      </c>
      <c r="JO62" s="96">
        <v>0.5</v>
      </c>
      <c r="JP62" s="96">
        <v>0.51</v>
      </c>
      <c r="JQ62" s="96">
        <v>0.3</v>
      </c>
      <c r="JR62" s="96">
        <v>0.63</v>
      </c>
      <c r="JS62" s="96">
        <v>0.51</v>
      </c>
      <c r="JT62" s="96">
        <v>0.42</v>
      </c>
      <c r="JU62" s="96">
        <v>0.56000000000000005</v>
      </c>
      <c r="JV62" s="96">
        <v>0.48</v>
      </c>
      <c r="JW62" s="96">
        <v>0.45</v>
      </c>
      <c r="JX62" s="96">
        <v>0.51</v>
      </c>
      <c r="JY62" s="96">
        <v>0.33</v>
      </c>
      <c r="JZ62" s="96">
        <v>0.44</v>
      </c>
      <c r="KA62" s="96">
        <v>0.83</v>
      </c>
      <c r="KB62" s="96">
        <v>0.54</v>
      </c>
      <c r="KC62" s="96">
        <v>0.71</v>
      </c>
      <c r="KD62" s="96">
        <v>0.44</v>
      </c>
      <c r="KE62" s="96">
        <v>0.37</v>
      </c>
      <c r="KF62" s="96">
        <v>0.46</v>
      </c>
      <c r="KG62" s="96">
        <v>0.43</v>
      </c>
      <c r="KH62" s="971">
        <v>54</v>
      </c>
      <c r="KI62" s="971" t="s">
        <v>758</v>
      </c>
      <c r="KJ62" s="971">
        <v>11</v>
      </c>
      <c r="KK62" s="971" t="s">
        <v>758</v>
      </c>
      <c r="KL62" s="949">
        <v>0.11</v>
      </c>
      <c r="KM62" s="949">
        <v>0.47</v>
      </c>
      <c r="KN62" s="949">
        <v>0.39</v>
      </c>
      <c r="KO62" s="949">
        <v>0.03</v>
      </c>
      <c r="KP62" s="949">
        <v>0.52</v>
      </c>
      <c r="KQ62" s="949">
        <v>0.27</v>
      </c>
      <c r="KR62" s="949">
        <v>0.55000000000000004</v>
      </c>
      <c r="KS62" s="949">
        <v>0.4</v>
      </c>
      <c r="KT62" s="949">
        <v>0.55000000000000004</v>
      </c>
      <c r="KU62" s="949">
        <v>0.3</v>
      </c>
      <c r="KV62" s="949">
        <v>0.62</v>
      </c>
      <c r="KW62" s="949">
        <v>0.32</v>
      </c>
      <c r="KX62" s="949">
        <v>0.38</v>
      </c>
      <c r="KY62" s="949">
        <v>0.55000000000000004</v>
      </c>
      <c r="KZ62" s="949">
        <v>0.32</v>
      </c>
      <c r="LA62" s="949">
        <v>0.39</v>
      </c>
      <c r="LB62" s="949">
        <v>0.4</v>
      </c>
      <c r="LC62" s="949">
        <v>0.31</v>
      </c>
      <c r="LD62" s="949">
        <v>0.56999999999999995</v>
      </c>
      <c r="LE62" s="949">
        <v>0.49</v>
      </c>
      <c r="LF62" s="949">
        <v>0.3</v>
      </c>
      <c r="LG62" s="949">
        <v>0.41</v>
      </c>
      <c r="LH62" s="949">
        <v>0.52</v>
      </c>
      <c r="LI62" s="949">
        <v>0.5</v>
      </c>
      <c r="LJ62" s="949">
        <v>0.33</v>
      </c>
      <c r="LK62" s="949">
        <v>0.48</v>
      </c>
      <c r="LL62" s="949" t="s">
        <v>173</v>
      </c>
      <c r="LM62" s="949">
        <v>0.59</v>
      </c>
      <c r="LN62" s="949">
        <v>0.43</v>
      </c>
      <c r="LO62" s="949">
        <v>0.38</v>
      </c>
      <c r="LP62" s="922">
        <v>325754000950</v>
      </c>
      <c r="LQ62" s="126" t="s">
        <v>97</v>
      </c>
      <c r="LR62" s="652">
        <v>53</v>
      </c>
      <c r="LS62" s="971">
        <v>54</v>
      </c>
      <c r="LT62" s="946"/>
    </row>
    <row r="63" spans="1:332" ht="24.95" customHeight="1" x14ac:dyDescent="0.2">
      <c r="A63" s="126" t="s">
        <v>51</v>
      </c>
      <c r="B63" s="1" t="s">
        <v>123</v>
      </c>
      <c r="C63" s="2">
        <v>2</v>
      </c>
      <c r="D63" s="12">
        <v>58</v>
      </c>
      <c r="E63" s="12">
        <v>4</v>
      </c>
      <c r="F63" s="66">
        <v>0</v>
      </c>
      <c r="G63" s="66">
        <v>0.43</v>
      </c>
      <c r="H63" s="66">
        <v>0.56999999999999995</v>
      </c>
      <c r="I63" s="66">
        <v>0</v>
      </c>
      <c r="J63" s="66">
        <v>0.22</v>
      </c>
      <c r="K63" s="66">
        <v>0.26</v>
      </c>
      <c r="L63" s="66">
        <v>0.75</v>
      </c>
      <c r="M63" s="66">
        <v>0.04</v>
      </c>
      <c r="N63" s="66">
        <v>0.25</v>
      </c>
      <c r="O63" s="66">
        <v>0.69</v>
      </c>
      <c r="P63" s="66">
        <v>0.23</v>
      </c>
      <c r="Q63" s="66">
        <v>0.28000000000000003</v>
      </c>
      <c r="R63" s="66">
        <v>0.49</v>
      </c>
      <c r="S63" s="66">
        <v>0.46</v>
      </c>
      <c r="T63" s="66">
        <v>0.36</v>
      </c>
      <c r="U63" s="66">
        <v>0.45</v>
      </c>
      <c r="V63" s="66">
        <v>0</v>
      </c>
      <c r="W63" s="66">
        <v>0.04</v>
      </c>
      <c r="X63" s="66">
        <v>0.39</v>
      </c>
      <c r="Y63" s="66">
        <v>0.48</v>
      </c>
      <c r="Z63" s="12" t="s">
        <v>173</v>
      </c>
      <c r="AA63" s="66">
        <v>0.09</v>
      </c>
      <c r="AB63" s="66">
        <v>0.33</v>
      </c>
      <c r="AC63" s="66">
        <v>7.0000000000000007E-2</v>
      </c>
      <c r="AD63" s="66">
        <v>0.43</v>
      </c>
      <c r="AE63" s="66">
        <v>0.23</v>
      </c>
      <c r="AF63" s="66">
        <v>0.35</v>
      </c>
      <c r="AG63" s="66">
        <v>0.51</v>
      </c>
      <c r="AH63" s="12">
        <v>59</v>
      </c>
      <c r="AI63" s="12">
        <v>3</v>
      </c>
      <c r="AJ63" s="40">
        <v>0</v>
      </c>
      <c r="AK63" s="40">
        <v>0.21</v>
      </c>
      <c r="AL63" s="40">
        <v>0.79</v>
      </c>
      <c r="AM63" s="40">
        <v>0</v>
      </c>
      <c r="AN63" s="40">
        <v>0.1</v>
      </c>
      <c r="AO63" s="40">
        <v>0.39</v>
      </c>
      <c r="AP63" s="40">
        <v>0.46</v>
      </c>
      <c r="AQ63" s="40">
        <v>0.1</v>
      </c>
      <c r="AR63" s="40">
        <v>0.37</v>
      </c>
      <c r="AS63" s="40">
        <v>0.4</v>
      </c>
      <c r="AT63" s="40">
        <v>0.44</v>
      </c>
      <c r="AU63" s="40">
        <v>0.47</v>
      </c>
      <c r="AV63" s="40">
        <v>0.4</v>
      </c>
      <c r="AW63" s="40">
        <v>0.43</v>
      </c>
      <c r="AX63" s="40">
        <v>0.28000000000000003</v>
      </c>
      <c r="AY63" s="40">
        <v>0.18</v>
      </c>
      <c r="AZ63" s="40">
        <v>7.0000000000000007E-2</v>
      </c>
      <c r="BA63" s="40">
        <v>0.4</v>
      </c>
      <c r="BB63" s="40">
        <v>0.57999999999999996</v>
      </c>
      <c r="BC63" s="40">
        <v>0.51</v>
      </c>
      <c r="BD63" s="40">
        <v>0.32</v>
      </c>
      <c r="BE63" s="40">
        <v>0.33</v>
      </c>
      <c r="BF63" s="40">
        <v>0.73</v>
      </c>
      <c r="BG63" s="40">
        <v>0.26</v>
      </c>
      <c r="BH63" s="40">
        <v>0.31</v>
      </c>
      <c r="BI63" s="40">
        <v>0.31</v>
      </c>
      <c r="BJ63" s="40">
        <v>0.2</v>
      </c>
      <c r="BK63" s="40">
        <v>0.46</v>
      </c>
      <c r="BL63" s="40">
        <v>0.56000000000000005</v>
      </c>
      <c r="BM63" s="12">
        <v>59</v>
      </c>
      <c r="BN63" s="12">
        <v>7</v>
      </c>
      <c r="BO63" s="66">
        <v>0</v>
      </c>
      <c r="BP63" s="66">
        <v>0.44</v>
      </c>
      <c r="BQ63" s="66">
        <v>0.5</v>
      </c>
      <c r="BR63" s="66">
        <v>0.06</v>
      </c>
      <c r="BS63" s="66">
        <v>0.26</v>
      </c>
      <c r="BT63" s="66">
        <v>0.28999999999999998</v>
      </c>
      <c r="BU63" s="66">
        <v>0.5</v>
      </c>
      <c r="BV63" s="66">
        <v>0.17</v>
      </c>
      <c r="BW63" s="66">
        <v>0.52</v>
      </c>
      <c r="BX63" s="66">
        <v>0.25</v>
      </c>
      <c r="BY63" s="66">
        <v>0.23</v>
      </c>
      <c r="BZ63" s="66">
        <v>0.44</v>
      </c>
      <c r="CA63" s="66">
        <v>0.22</v>
      </c>
      <c r="CB63" s="66">
        <v>0.09</v>
      </c>
      <c r="CC63" s="66">
        <v>0.03</v>
      </c>
      <c r="CD63" s="66">
        <v>0.19</v>
      </c>
      <c r="CE63" s="66">
        <v>0.12</v>
      </c>
      <c r="CF63" s="66">
        <v>0.5</v>
      </c>
      <c r="CG63" s="66">
        <v>0.56999999999999995</v>
      </c>
      <c r="CH63" s="66">
        <v>0.31</v>
      </c>
      <c r="CI63" s="66">
        <v>0.53</v>
      </c>
      <c r="CJ63" s="66">
        <v>0.16</v>
      </c>
      <c r="CK63" s="66">
        <v>0.52</v>
      </c>
      <c r="CL63" s="66">
        <v>0.21</v>
      </c>
      <c r="CM63" s="66">
        <v>0.2</v>
      </c>
      <c r="CN63" s="66">
        <v>0.31</v>
      </c>
      <c r="CO63" s="66">
        <v>0.22</v>
      </c>
      <c r="CP63" s="66">
        <v>0.23</v>
      </c>
      <c r="CQ63" s="66">
        <v>0.43</v>
      </c>
      <c r="CR63" s="66">
        <v>0.41</v>
      </c>
      <c r="CS63" s="12">
        <v>54</v>
      </c>
      <c r="CT63" s="12">
        <v>7</v>
      </c>
      <c r="CU63" s="63">
        <v>0</v>
      </c>
      <c r="CV63" s="63">
        <v>0.59</v>
      </c>
      <c r="CW63" s="63">
        <v>0.41</v>
      </c>
      <c r="CX63" s="63">
        <v>0</v>
      </c>
      <c r="CY63" s="63">
        <v>0.49</v>
      </c>
      <c r="CZ63" s="63">
        <v>0.2</v>
      </c>
      <c r="DA63" s="63">
        <v>0.45</v>
      </c>
      <c r="DB63" s="63">
        <v>0.16</v>
      </c>
      <c r="DC63" s="63">
        <v>0.5</v>
      </c>
      <c r="DD63" s="63">
        <v>0.59</v>
      </c>
      <c r="DE63" s="63">
        <v>0.49</v>
      </c>
      <c r="DF63" s="63">
        <v>0.57999999999999996</v>
      </c>
      <c r="DG63" s="63">
        <v>0.45</v>
      </c>
      <c r="DH63" s="63">
        <v>0.28000000000000003</v>
      </c>
      <c r="DI63" s="63">
        <v>0.5</v>
      </c>
      <c r="DJ63" s="63">
        <v>0.35</v>
      </c>
      <c r="DK63" s="63">
        <v>0.37</v>
      </c>
      <c r="DL63" s="63">
        <v>0.3</v>
      </c>
      <c r="DM63" s="63">
        <v>0.44</v>
      </c>
      <c r="DN63" s="63">
        <v>0.52</v>
      </c>
      <c r="DO63" s="63">
        <v>0.16</v>
      </c>
      <c r="DP63" s="63">
        <v>0.39</v>
      </c>
      <c r="DQ63" s="63">
        <v>0.56000000000000005</v>
      </c>
      <c r="DR63" s="63">
        <v>0.05</v>
      </c>
      <c r="DS63" s="63">
        <v>0.37</v>
      </c>
      <c r="DT63" s="63">
        <v>0.45</v>
      </c>
      <c r="DU63" s="63">
        <v>0.25</v>
      </c>
      <c r="DV63" s="63">
        <v>0.45</v>
      </c>
      <c r="DW63" s="63">
        <v>0.28999999999999998</v>
      </c>
      <c r="DX63" s="35">
        <v>57</v>
      </c>
      <c r="DY63" s="35">
        <v>7</v>
      </c>
      <c r="DZ63" s="40">
        <v>0</v>
      </c>
      <c r="EA63" s="40">
        <v>0.37</v>
      </c>
      <c r="EB63" s="40">
        <v>0.59</v>
      </c>
      <c r="EC63" s="40">
        <v>0.04</v>
      </c>
      <c r="ED63" s="40">
        <v>0.35</v>
      </c>
      <c r="EE63" s="40">
        <v>0.42</v>
      </c>
      <c r="EF63" s="40">
        <v>0.52</v>
      </c>
      <c r="EG63" s="40">
        <v>0</v>
      </c>
      <c r="EH63" s="40">
        <v>0.36</v>
      </c>
      <c r="EI63" s="40">
        <v>0.32</v>
      </c>
      <c r="EJ63" s="40">
        <v>0.48</v>
      </c>
      <c r="EK63" s="40">
        <v>0.13</v>
      </c>
      <c r="EL63" s="40">
        <v>0.38</v>
      </c>
      <c r="EM63" s="40">
        <v>0.56000000000000005</v>
      </c>
      <c r="EN63" s="40">
        <v>0.2</v>
      </c>
      <c r="EO63" s="40">
        <v>0.5</v>
      </c>
      <c r="EP63" s="40">
        <v>0.22</v>
      </c>
      <c r="EQ63" s="40">
        <v>0.11</v>
      </c>
      <c r="ER63" s="40">
        <v>0.6</v>
      </c>
      <c r="ES63" s="40">
        <v>0.08</v>
      </c>
      <c r="ET63" s="40">
        <v>0.2</v>
      </c>
      <c r="EU63" s="40">
        <v>0.52</v>
      </c>
      <c r="EV63" s="40">
        <v>0.17</v>
      </c>
      <c r="EW63" s="40">
        <v>0.11</v>
      </c>
      <c r="EX63" s="40">
        <v>0.67</v>
      </c>
      <c r="EY63" s="40">
        <v>0.45</v>
      </c>
      <c r="EZ63" s="40">
        <v>7.0000000000000007E-2</v>
      </c>
      <c r="FA63" s="40">
        <v>0.54</v>
      </c>
      <c r="FB63" s="246">
        <v>54</v>
      </c>
      <c r="FC63" s="246" t="s">
        <v>758</v>
      </c>
      <c r="FD63" s="246">
        <v>6</v>
      </c>
      <c r="FE63" s="246" t="s">
        <v>758</v>
      </c>
      <c r="FF63" s="263">
        <v>0</v>
      </c>
      <c r="FG63" s="263">
        <v>0.62</v>
      </c>
      <c r="FH63" s="263">
        <v>0.38</v>
      </c>
      <c r="FI63" s="263">
        <v>0</v>
      </c>
      <c r="FJ63" s="263">
        <v>0.38</v>
      </c>
      <c r="FK63" s="263">
        <v>0.65</v>
      </c>
      <c r="FL63" s="263">
        <v>0.44</v>
      </c>
      <c r="FM63" s="263">
        <v>0.35</v>
      </c>
      <c r="FN63" s="263">
        <v>0.12</v>
      </c>
      <c r="FO63" s="263">
        <v>0.28999999999999998</v>
      </c>
      <c r="FP63" s="263">
        <v>0.39</v>
      </c>
      <c r="FQ63" s="263">
        <v>0.35</v>
      </c>
      <c r="FR63" s="263">
        <v>0.56000000000000005</v>
      </c>
      <c r="FS63" s="263">
        <v>0.37</v>
      </c>
      <c r="FT63" s="263">
        <v>0.47</v>
      </c>
      <c r="FU63" s="263">
        <v>0.11</v>
      </c>
      <c r="FV63" s="263">
        <v>0.47</v>
      </c>
      <c r="FW63" s="263">
        <v>0.36</v>
      </c>
      <c r="FX63" s="263">
        <v>0.47</v>
      </c>
      <c r="FY63" s="263">
        <v>0.3</v>
      </c>
      <c r="FZ63" s="263">
        <v>0.38</v>
      </c>
      <c r="GA63" s="263">
        <v>0.48</v>
      </c>
      <c r="GB63" s="263">
        <v>0.4</v>
      </c>
      <c r="GC63" s="263">
        <v>0.38</v>
      </c>
      <c r="GD63" s="263">
        <v>0.6</v>
      </c>
      <c r="GE63" s="263">
        <v>0.43</v>
      </c>
      <c r="GF63" s="263">
        <v>0.19</v>
      </c>
      <c r="GG63" s="263">
        <v>0.25</v>
      </c>
      <c r="GH63" s="263">
        <v>0.59</v>
      </c>
      <c r="GI63" s="263">
        <v>0.24</v>
      </c>
      <c r="GJ63" s="309">
        <v>56</v>
      </c>
      <c r="GK63" s="309" t="s">
        <v>758</v>
      </c>
      <c r="GL63" s="309">
        <v>6</v>
      </c>
      <c r="GM63" s="309" t="s">
        <v>758</v>
      </c>
      <c r="GN63" s="327">
        <v>0</v>
      </c>
      <c r="GO63" s="327">
        <v>0.45</v>
      </c>
      <c r="GP63" s="327">
        <v>0.55000000000000004</v>
      </c>
      <c r="GQ63" s="327">
        <v>0</v>
      </c>
      <c r="GR63" s="327">
        <v>0.39</v>
      </c>
      <c r="GS63" s="327">
        <v>0.35</v>
      </c>
      <c r="GT63" s="327">
        <v>0.6</v>
      </c>
      <c r="GU63" s="327">
        <v>0.18</v>
      </c>
      <c r="GV63" s="327">
        <v>0.43</v>
      </c>
      <c r="GW63" s="327">
        <v>0.21</v>
      </c>
      <c r="GX63" s="327">
        <v>0.33</v>
      </c>
      <c r="GY63" s="309" t="s">
        <v>173</v>
      </c>
      <c r="GZ63" s="327">
        <v>0.26</v>
      </c>
      <c r="HA63" s="327">
        <v>0.86</v>
      </c>
      <c r="HB63" s="327">
        <v>0.33</v>
      </c>
      <c r="HC63" s="327">
        <v>0.52</v>
      </c>
      <c r="HD63" s="327">
        <v>0.48</v>
      </c>
      <c r="HE63" s="327">
        <v>0.44</v>
      </c>
      <c r="HF63" s="327">
        <v>0.36</v>
      </c>
      <c r="HG63" s="327">
        <v>0.7</v>
      </c>
      <c r="HH63" s="327">
        <v>0.18</v>
      </c>
      <c r="HI63" s="327">
        <v>0.53</v>
      </c>
      <c r="HJ63" s="327">
        <v>0.56000000000000005</v>
      </c>
      <c r="HK63" s="327">
        <v>0.38</v>
      </c>
      <c r="HL63" s="327">
        <v>0.34</v>
      </c>
      <c r="HM63" s="327">
        <v>0.3</v>
      </c>
      <c r="HN63" s="327">
        <v>0.31</v>
      </c>
      <c r="HO63" s="327">
        <v>0.44</v>
      </c>
      <c r="HP63" s="309" t="s">
        <v>173</v>
      </c>
      <c r="HQ63" s="327">
        <v>0.3</v>
      </c>
      <c r="HR63" s="424">
        <v>58</v>
      </c>
      <c r="HS63" s="424" t="s">
        <v>758</v>
      </c>
      <c r="HT63" s="424">
        <v>7</v>
      </c>
      <c r="HU63" s="424" t="s">
        <v>758</v>
      </c>
      <c r="HV63" s="428">
        <v>0</v>
      </c>
      <c r="HW63" s="428">
        <v>0.38</v>
      </c>
      <c r="HX63" s="428">
        <v>0.56000000000000005</v>
      </c>
      <c r="HY63" s="428">
        <v>0.06</v>
      </c>
      <c r="HZ63" s="428">
        <v>0.15</v>
      </c>
      <c r="IA63" s="428">
        <v>0.52</v>
      </c>
      <c r="IB63" s="428">
        <v>0.21</v>
      </c>
      <c r="IC63" s="428">
        <v>0.47</v>
      </c>
      <c r="ID63" s="428">
        <v>0.54</v>
      </c>
      <c r="IE63" s="428">
        <v>0.27</v>
      </c>
      <c r="IF63" s="428">
        <v>0.28999999999999998</v>
      </c>
      <c r="IG63" s="428">
        <v>0.52</v>
      </c>
      <c r="IH63" s="428">
        <v>0.45</v>
      </c>
      <c r="II63" s="428">
        <v>0.2</v>
      </c>
      <c r="IJ63" s="428">
        <v>0.16</v>
      </c>
      <c r="IK63" s="428">
        <v>0.38</v>
      </c>
      <c r="IL63" s="428">
        <v>0.25</v>
      </c>
      <c r="IM63" s="428">
        <v>0.59</v>
      </c>
      <c r="IN63" s="428">
        <v>0.38</v>
      </c>
      <c r="IO63" s="428">
        <v>0.42</v>
      </c>
      <c r="IP63" s="428">
        <v>0.28999999999999998</v>
      </c>
      <c r="IQ63" s="428">
        <v>0.52</v>
      </c>
      <c r="IR63" s="428">
        <v>0.55000000000000004</v>
      </c>
      <c r="IS63" s="428">
        <v>0.25</v>
      </c>
      <c r="IT63" s="428">
        <v>0.21</v>
      </c>
      <c r="IU63" s="424" t="s">
        <v>173</v>
      </c>
      <c r="IV63" s="428">
        <v>0.44</v>
      </c>
      <c r="IW63" s="428">
        <v>0.25</v>
      </c>
      <c r="IX63" s="428">
        <v>0.36</v>
      </c>
      <c r="IY63" s="428">
        <v>0.27</v>
      </c>
      <c r="IZ63" s="464">
        <v>57</v>
      </c>
      <c r="JA63" s="464" t="s">
        <v>758</v>
      </c>
      <c r="JB63" s="464">
        <v>9</v>
      </c>
      <c r="JC63" s="464" t="s">
        <v>758</v>
      </c>
      <c r="JD63" s="476">
        <v>0</v>
      </c>
      <c r="JE63" s="476">
        <v>0.5</v>
      </c>
      <c r="JF63" s="476">
        <v>0.42</v>
      </c>
      <c r="JG63" s="476">
        <v>0.08</v>
      </c>
      <c r="JH63" s="476">
        <v>0.33</v>
      </c>
      <c r="JI63" s="476">
        <v>0.34</v>
      </c>
      <c r="JJ63" s="476">
        <v>0.26</v>
      </c>
      <c r="JK63" s="476">
        <v>0.31</v>
      </c>
      <c r="JL63" s="476">
        <v>0.37</v>
      </c>
      <c r="JM63" s="476">
        <v>0.39</v>
      </c>
      <c r="JN63" s="476">
        <v>0.33</v>
      </c>
      <c r="JO63" s="476">
        <v>0.41</v>
      </c>
      <c r="JP63" s="476">
        <v>0.36</v>
      </c>
      <c r="JQ63" s="476">
        <v>0.16</v>
      </c>
      <c r="JR63" s="476">
        <v>0.44</v>
      </c>
      <c r="JS63" s="476">
        <v>0.69</v>
      </c>
      <c r="JT63" s="476">
        <v>0.16</v>
      </c>
      <c r="JU63" s="476">
        <v>0.5</v>
      </c>
      <c r="JV63" s="476">
        <v>0.38</v>
      </c>
      <c r="JW63" s="476">
        <v>0.44</v>
      </c>
      <c r="JX63" s="476">
        <v>0.28999999999999998</v>
      </c>
      <c r="JY63" s="476">
        <v>0.42</v>
      </c>
      <c r="JZ63" s="476">
        <v>0.43</v>
      </c>
      <c r="KA63" s="476">
        <v>0.5</v>
      </c>
      <c r="KB63" s="476">
        <v>0.36</v>
      </c>
      <c r="KC63" s="476">
        <v>0.73</v>
      </c>
      <c r="KD63" s="476">
        <v>0.3</v>
      </c>
      <c r="KE63" s="476">
        <v>0.28999999999999998</v>
      </c>
      <c r="KF63" s="476">
        <v>0.33</v>
      </c>
      <c r="KG63" s="476">
        <v>0.39</v>
      </c>
      <c r="KH63" s="971">
        <v>55</v>
      </c>
      <c r="KI63" s="971" t="s">
        <v>758</v>
      </c>
      <c r="KJ63" s="971">
        <v>7</v>
      </c>
      <c r="KK63" s="971" t="s">
        <v>758</v>
      </c>
      <c r="KL63" s="949">
        <v>0</v>
      </c>
      <c r="KM63" s="949">
        <v>0.7</v>
      </c>
      <c r="KN63" s="949">
        <v>0.3</v>
      </c>
      <c r="KO63" s="949">
        <v>0</v>
      </c>
      <c r="KP63" s="949">
        <v>0.45</v>
      </c>
      <c r="KQ63" s="949">
        <v>7.0000000000000007E-2</v>
      </c>
      <c r="KR63" s="949">
        <v>0.56999999999999995</v>
      </c>
      <c r="KS63" s="949">
        <v>0.39</v>
      </c>
      <c r="KT63" s="949">
        <v>0.25</v>
      </c>
      <c r="KU63" s="949">
        <v>0.43</v>
      </c>
      <c r="KV63" s="949">
        <v>0.67</v>
      </c>
      <c r="KW63" s="949">
        <v>0.16</v>
      </c>
      <c r="KX63" s="949">
        <v>0.32</v>
      </c>
      <c r="KY63" s="949">
        <v>0.47</v>
      </c>
      <c r="KZ63" s="949">
        <v>0.43</v>
      </c>
      <c r="LA63" s="949">
        <v>0.67</v>
      </c>
      <c r="LB63" s="949">
        <v>0.33</v>
      </c>
      <c r="LC63" s="949">
        <v>0.41</v>
      </c>
      <c r="LD63" s="949">
        <v>0.56000000000000005</v>
      </c>
      <c r="LE63" s="949">
        <v>0.54</v>
      </c>
      <c r="LF63" s="949">
        <v>0.06</v>
      </c>
      <c r="LG63" s="949">
        <v>0.33</v>
      </c>
      <c r="LH63" s="949">
        <v>0.54</v>
      </c>
      <c r="LI63" s="949">
        <v>0.36</v>
      </c>
      <c r="LJ63" s="949">
        <v>0.26</v>
      </c>
      <c r="LK63" s="949">
        <v>0.61</v>
      </c>
      <c r="LL63" s="949" t="s">
        <v>173</v>
      </c>
      <c r="LM63" s="949">
        <v>0.68</v>
      </c>
      <c r="LN63" s="949">
        <v>0.4</v>
      </c>
      <c r="LO63" s="949">
        <v>0.37</v>
      </c>
      <c r="LP63" s="922">
        <v>325754000721</v>
      </c>
      <c r="LQ63" s="126" t="s">
        <v>51</v>
      </c>
      <c r="LR63" s="424">
        <v>58</v>
      </c>
      <c r="LS63" s="971">
        <v>55</v>
      </c>
      <c r="LT63" s="946"/>
    </row>
    <row r="64" spans="1:332" ht="24.95" customHeight="1" x14ac:dyDescent="0.2">
      <c r="A64" s="126" t="s">
        <v>102</v>
      </c>
      <c r="B64" s="1" t="s">
        <v>123</v>
      </c>
      <c r="C64" s="2">
        <v>1</v>
      </c>
      <c r="D64" s="12">
        <v>50</v>
      </c>
      <c r="E64" s="12">
        <v>6</v>
      </c>
      <c r="F64" s="66">
        <v>0.08</v>
      </c>
      <c r="G64" s="66">
        <v>0.69</v>
      </c>
      <c r="H64" s="66">
        <v>0.23</v>
      </c>
      <c r="I64" s="66">
        <v>0</v>
      </c>
      <c r="J64" s="66">
        <v>0.63</v>
      </c>
      <c r="K64" s="66">
        <v>0.48</v>
      </c>
      <c r="L64" s="66">
        <v>0.79</v>
      </c>
      <c r="M64" s="66">
        <v>0.23</v>
      </c>
      <c r="N64" s="66">
        <v>0.35</v>
      </c>
      <c r="O64" s="66">
        <v>0.8</v>
      </c>
      <c r="P64" s="66">
        <v>0.32</v>
      </c>
      <c r="Q64" s="66">
        <v>0.53</v>
      </c>
      <c r="R64" s="66">
        <v>0.49</v>
      </c>
      <c r="S64" s="66">
        <v>0.74</v>
      </c>
      <c r="T64" s="66">
        <v>0.5</v>
      </c>
      <c r="U64" s="66">
        <v>0.85</v>
      </c>
      <c r="V64" s="66">
        <v>0.08</v>
      </c>
      <c r="W64" s="66">
        <v>0.25</v>
      </c>
      <c r="X64" s="66">
        <v>0.57999999999999996</v>
      </c>
      <c r="Y64" s="66">
        <v>0.56999999999999995</v>
      </c>
      <c r="Z64" s="12" t="s">
        <v>173</v>
      </c>
      <c r="AA64" s="66">
        <v>0.15</v>
      </c>
      <c r="AB64" s="66">
        <v>0.53</v>
      </c>
      <c r="AC64" s="66">
        <v>0.17</v>
      </c>
      <c r="AD64" s="66">
        <v>0.57999999999999996</v>
      </c>
      <c r="AE64" s="66">
        <v>0.55000000000000004</v>
      </c>
      <c r="AF64" s="66">
        <v>0.64</v>
      </c>
      <c r="AG64" s="66">
        <v>0.69</v>
      </c>
      <c r="AH64" s="12">
        <v>51</v>
      </c>
      <c r="AI64" s="12">
        <v>4</v>
      </c>
      <c r="AJ64" s="40">
        <v>0</v>
      </c>
      <c r="AK64" s="40">
        <v>0.9</v>
      </c>
      <c r="AL64" s="40">
        <v>0.1</v>
      </c>
      <c r="AM64" s="40">
        <v>0</v>
      </c>
      <c r="AN64" s="40">
        <v>0</v>
      </c>
      <c r="AO64" s="40">
        <v>0.5</v>
      </c>
      <c r="AP64" s="40">
        <v>0.61</v>
      </c>
      <c r="AQ64" s="40">
        <v>0.46</v>
      </c>
      <c r="AR64" s="40">
        <v>0.9</v>
      </c>
      <c r="AS64" s="40">
        <v>0.54</v>
      </c>
      <c r="AT64" s="40">
        <v>0.37</v>
      </c>
      <c r="AU64" s="40">
        <v>0.3</v>
      </c>
      <c r="AV64" s="40">
        <v>0.8</v>
      </c>
      <c r="AW64" s="40">
        <v>0</v>
      </c>
      <c r="AX64" s="40">
        <v>0.75</v>
      </c>
      <c r="AY64" s="40">
        <v>0.43</v>
      </c>
      <c r="AZ64" s="40">
        <v>0.28000000000000003</v>
      </c>
      <c r="BA64" s="40">
        <v>0.61</v>
      </c>
      <c r="BB64" s="40">
        <v>0.56999999999999995</v>
      </c>
      <c r="BC64" s="40">
        <v>0.67</v>
      </c>
      <c r="BD64" s="40">
        <v>0.43</v>
      </c>
      <c r="BE64" s="40">
        <v>0</v>
      </c>
      <c r="BF64" s="40">
        <v>0.43</v>
      </c>
      <c r="BG64" s="40">
        <v>0.72</v>
      </c>
      <c r="BH64" s="40">
        <v>0.32</v>
      </c>
      <c r="BI64" s="40">
        <v>0.42</v>
      </c>
      <c r="BJ64" s="40">
        <v>0.36</v>
      </c>
      <c r="BK64" s="40">
        <v>0.5</v>
      </c>
      <c r="BL64" s="40">
        <v>0.33</v>
      </c>
      <c r="BM64" s="12">
        <v>50</v>
      </c>
      <c r="BN64" s="12">
        <v>8</v>
      </c>
      <c r="BO64" s="66">
        <v>0.11</v>
      </c>
      <c r="BP64" s="66">
        <v>0.63</v>
      </c>
      <c r="BQ64" s="66">
        <v>0.26</v>
      </c>
      <c r="BR64" s="66">
        <v>0</v>
      </c>
      <c r="BS64" s="66">
        <v>0.33</v>
      </c>
      <c r="BT64" s="66">
        <v>0.2</v>
      </c>
      <c r="BU64" s="66">
        <v>0.57999999999999996</v>
      </c>
      <c r="BV64" s="66">
        <v>0.4</v>
      </c>
      <c r="BW64" s="66">
        <v>0.74</v>
      </c>
      <c r="BX64" s="66">
        <v>0.43</v>
      </c>
      <c r="BY64" s="66">
        <v>0.43</v>
      </c>
      <c r="BZ64" s="66">
        <v>0.62</v>
      </c>
      <c r="CA64" s="66">
        <v>0.52</v>
      </c>
      <c r="CB64" s="66">
        <v>0.33</v>
      </c>
      <c r="CC64" s="66">
        <v>0.16</v>
      </c>
      <c r="CD64" s="66">
        <v>0.43</v>
      </c>
      <c r="CE64" s="66">
        <v>0.32</v>
      </c>
      <c r="CF64" s="66">
        <v>0.33</v>
      </c>
      <c r="CG64" s="66">
        <v>0.62</v>
      </c>
      <c r="CH64" s="66">
        <v>0.52</v>
      </c>
      <c r="CI64" s="66">
        <v>0.53</v>
      </c>
      <c r="CJ64" s="66">
        <v>0.25</v>
      </c>
      <c r="CK64" s="66">
        <v>0.82</v>
      </c>
      <c r="CL64" s="66">
        <v>0.3</v>
      </c>
      <c r="CM64" s="66">
        <v>0.46</v>
      </c>
      <c r="CN64" s="66">
        <v>0.56999999999999995</v>
      </c>
      <c r="CO64" s="66">
        <v>0.35</v>
      </c>
      <c r="CP64" s="66">
        <v>0.36</v>
      </c>
      <c r="CQ64" s="66">
        <v>0.59</v>
      </c>
      <c r="CR64" s="66">
        <v>0.54</v>
      </c>
      <c r="CS64" s="12">
        <v>43</v>
      </c>
      <c r="CT64" s="12">
        <v>8</v>
      </c>
      <c r="CU64" s="63">
        <v>0.47</v>
      </c>
      <c r="CV64" s="63">
        <v>0.47</v>
      </c>
      <c r="CW64" s="63">
        <v>0.06</v>
      </c>
      <c r="CX64" s="63">
        <v>0</v>
      </c>
      <c r="CY64" s="63">
        <v>0.59</v>
      </c>
      <c r="CZ64" s="63">
        <v>0.37</v>
      </c>
      <c r="DA64" s="63">
        <v>0.7</v>
      </c>
      <c r="DB64" s="63">
        <v>0.63</v>
      </c>
      <c r="DC64" s="63">
        <v>0.53</v>
      </c>
      <c r="DD64" s="63">
        <v>0.62</v>
      </c>
      <c r="DE64" s="63">
        <v>0.75</v>
      </c>
      <c r="DF64" s="63">
        <v>0.7</v>
      </c>
      <c r="DG64" s="63">
        <v>0.59</v>
      </c>
      <c r="DH64" s="63">
        <v>0.44</v>
      </c>
      <c r="DI64" s="63">
        <v>0.77</v>
      </c>
      <c r="DJ64" s="63">
        <v>0.68</v>
      </c>
      <c r="DK64" s="63">
        <v>0.54</v>
      </c>
      <c r="DL64" s="63">
        <v>0.56000000000000005</v>
      </c>
      <c r="DM64" s="63">
        <v>0.57999999999999996</v>
      </c>
      <c r="DN64" s="63">
        <v>0.61</v>
      </c>
      <c r="DO64" s="63">
        <v>0.4</v>
      </c>
      <c r="DP64" s="63">
        <v>0.43</v>
      </c>
      <c r="DQ64" s="63">
        <v>0.7</v>
      </c>
      <c r="DR64" s="63">
        <v>0.33</v>
      </c>
      <c r="DS64" s="63">
        <v>0.52</v>
      </c>
      <c r="DT64" s="63">
        <v>0.59</v>
      </c>
      <c r="DU64" s="63">
        <v>0.83</v>
      </c>
      <c r="DV64" s="63">
        <v>0.67</v>
      </c>
      <c r="DW64" s="63">
        <v>0.37</v>
      </c>
      <c r="DX64" s="35">
        <v>42</v>
      </c>
      <c r="DY64" s="35">
        <v>7</v>
      </c>
      <c r="DZ64" s="40">
        <v>0.47</v>
      </c>
      <c r="EA64" s="40">
        <v>0.47</v>
      </c>
      <c r="EB64" s="40">
        <v>0.06</v>
      </c>
      <c r="EC64" s="40">
        <v>0</v>
      </c>
      <c r="ED64" s="40">
        <v>0.53</v>
      </c>
      <c r="EE64" s="40">
        <v>0.59</v>
      </c>
      <c r="EF64" s="40">
        <v>0.39</v>
      </c>
      <c r="EG64" s="40">
        <v>0.8</v>
      </c>
      <c r="EH64" s="40">
        <v>0.65</v>
      </c>
      <c r="EI64" s="40">
        <v>0.7</v>
      </c>
      <c r="EJ64" s="40">
        <v>0.65</v>
      </c>
      <c r="EK64" s="40">
        <v>0.28000000000000003</v>
      </c>
      <c r="EL64" s="40">
        <v>0.64</v>
      </c>
      <c r="EM64" s="40">
        <v>0.75</v>
      </c>
      <c r="EN64" s="40">
        <v>0.5</v>
      </c>
      <c r="EO64" s="40">
        <v>0.53</v>
      </c>
      <c r="EP64" s="40">
        <v>0.52</v>
      </c>
      <c r="EQ64" s="40">
        <v>0.5</v>
      </c>
      <c r="ER64" s="40">
        <v>0.71</v>
      </c>
      <c r="ES64" s="40">
        <v>0.7</v>
      </c>
      <c r="ET64" s="40">
        <v>0.5</v>
      </c>
      <c r="EU64" s="40">
        <v>0.86</v>
      </c>
      <c r="EV64" s="40">
        <v>0.7</v>
      </c>
      <c r="EW64" s="40">
        <v>0.36</v>
      </c>
      <c r="EX64" s="40">
        <v>0.33</v>
      </c>
      <c r="EY64" s="40">
        <v>0.83</v>
      </c>
      <c r="EZ64" s="40">
        <v>0.71</v>
      </c>
      <c r="FA64" s="40">
        <v>0.66</v>
      </c>
      <c r="FB64" s="246">
        <v>46</v>
      </c>
      <c r="FC64" s="246" t="s">
        <v>758</v>
      </c>
      <c r="FD64" s="246">
        <v>5</v>
      </c>
      <c r="FE64" s="246" t="s">
        <v>760</v>
      </c>
      <c r="FF64" s="263">
        <v>0.13</v>
      </c>
      <c r="FG64" s="263">
        <v>0.88</v>
      </c>
      <c r="FH64" s="263">
        <v>0</v>
      </c>
      <c r="FI64" s="263">
        <v>0</v>
      </c>
      <c r="FJ64" s="263">
        <v>0.56999999999999995</v>
      </c>
      <c r="FK64" s="263">
        <v>0.6</v>
      </c>
      <c r="FL64" s="263">
        <v>0.61</v>
      </c>
      <c r="FM64" s="263">
        <v>0.74</v>
      </c>
      <c r="FN64" s="263">
        <v>0.27</v>
      </c>
      <c r="FO64" s="263">
        <v>0.28999999999999998</v>
      </c>
      <c r="FP64" s="263">
        <v>0.4</v>
      </c>
      <c r="FQ64" s="263">
        <v>0.48</v>
      </c>
      <c r="FR64" s="263">
        <v>0.67</v>
      </c>
      <c r="FS64" s="263">
        <v>0.57999999999999996</v>
      </c>
      <c r="FT64" s="263">
        <v>0.65</v>
      </c>
      <c r="FU64" s="263">
        <v>0.43</v>
      </c>
      <c r="FV64" s="263">
        <v>0.68</v>
      </c>
      <c r="FW64" s="263">
        <v>0.67</v>
      </c>
      <c r="FX64" s="263">
        <v>0.71</v>
      </c>
      <c r="FY64" s="263">
        <v>0.42</v>
      </c>
      <c r="FZ64" s="263">
        <v>0.46</v>
      </c>
      <c r="GA64" s="263">
        <v>0.53</v>
      </c>
      <c r="GB64" s="263">
        <v>0.68</v>
      </c>
      <c r="GC64" s="263">
        <v>0.56999999999999995</v>
      </c>
      <c r="GD64" s="263">
        <v>0.8</v>
      </c>
      <c r="GE64" s="263">
        <v>0.57999999999999996</v>
      </c>
      <c r="GF64" s="263">
        <v>0.72</v>
      </c>
      <c r="GG64" s="263">
        <v>0.57999999999999996</v>
      </c>
      <c r="GH64" s="263">
        <v>0.59</v>
      </c>
      <c r="GI64" s="263">
        <v>0.36</v>
      </c>
      <c r="GJ64" s="309">
        <v>43</v>
      </c>
      <c r="GK64" s="309" t="s">
        <v>760</v>
      </c>
      <c r="GL64" s="309">
        <v>7</v>
      </c>
      <c r="GM64" s="309" t="s">
        <v>758</v>
      </c>
      <c r="GN64" s="327">
        <v>0.31</v>
      </c>
      <c r="GO64" s="327">
        <v>0.69</v>
      </c>
      <c r="GP64" s="327">
        <v>0</v>
      </c>
      <c r="GQ64" s="327">
        <v>0</v>
      </c>
      <c r="GR64" s="327">
        <v>0.54</v>
      </c>
      <c r="GS64" s="327">
        <v>0.78</v>
      </c>
      <c r="GT64" s="327">
        <v>0.76</v>
      </c>
      <c r="GU64" s="327">
        <v>0.2</v>
      </c>
      <c r="GV64" s="327">
        <v>0.67</v>
      </c>
      <c r="GW64" s="327">
        <v>0.83</v>
      </c>
      <c r="GX64" s="327">
        <v>0.73</v>
      </c>
      <c r="GY64" s="309" t="s">
        <v>173</v>
      </c>
      <c r="GZ64" s="327">
        <v>0.25</v>
      </c>
      <c r="HA64" s="327">
        <v>0.86</v>
      </c>
      <c r="HB64" s="327">
        <v>0.62</v>
      </c>
      <c r="HC64" s="327">
        <v>0.55000000000000004</v>
      </c>
      <c r="HD64" s="327">
        <v>0.66</v>
      </c>
      <c r="HE64" s="327">
        <v>0.79</v>
      </c>
      <c r="HF64" s="327">
        <v>0.56000000000000005</v>
      </c>
      <c r="HG64" s="327">
        <v>0.69</v>
      </c>
      <c r="HH64" s="327">
        <v>0.51</v>
      </c>
      <c r="HI64" s="327">
        <v>0.67</v>
      </c>
      <c r="HJ64" s="327">
        <v>0.75</v>
      </c>
      <c r="HK64" s="327">
        <v>0.64</v>
      </c>
      <c r="HL64" s="327">
        <v>0.56000000000000005</v>
      </c>
      <c r="HM64" s="327">
        <v>0.63</v>
      </c>
      <c r="HN64" s="327">
        <v>0.53</v>
      </c>
      <c r="HO64" s="327">
        <v>0.65</v>
      </c>
      <c r="HP64" s="309" t="s">
        <v>173</v>
      </c>
      <c r="HQ64" s="327">
        <v>0.56999999999999995</v>
      </c>
      <c r="HR64" s="424">
        <v>49</v>
      </c>
      <c r="HS64" s="424" t="s">
        <v>758</v>
      </c>
      <c r="HT64" s="424">
        <v>7</v>
      </c>
      <c r="HU64" s="424" t="s">
        <v>758</v>
      </c>
      <c r="HV64" s="428">
        <v>0.13</v>
      </c>
      <c r="HW64" s="428">
        <v>0.88</v>
      </c>
      <c r="HX64" s="428">
        <v>0</v>
      </c>
      <c r="HY64" s="428">
        <v>0</v>
      </c>
      <c r="HZ64" s="428">
        <v>0.44</v>
      </c>
      <c r="IA64" s="428">
        <v>0.65</v>
      </c>
      <c r="IB64" s="428">
        <v>0.63</v>
      </c>
      <c r="IC64" s="428">
        <v>0.52</v>
      </c>
      <c r="ID64" s="428">
        <v>0.65</v>
      </c>
      <c r="IE64" s="428">
        <v>0.25</v>
      </c>
      <c r="IF64" s="428">
        <v>0.31</v>
      </c>
      <c r="IG64" s="428">
        <v>0.67</v>
      </c>
      <c r="IH64" s="428">
        <v>0.59</v>
      </c>
      <c r="II64" s="428">
        <v>0</v>
      </c>
      <c r="IJ64" s="428">
        <v>0.19</v>
      </c>
      <c r="IK64" s="428">
        <v>0.76</v>
      </c>
      <c r="IL64" s="428">
        <v>0.45</v>
      </c>
      <c r="IM64" s="428">
        <v>0.6</v>
      </c>
      <c r="IN64" s="428">
        <v>0.67</v>
      </c>
      <c r="IO64" s="428">
        <v>0.55000000000000004</v>
      </c>
      <c r="IP64" s="428">
        <v>0.25</v>
      </c>
      <c r="IQ64" s="428">
        <v>0.69</v>
      </c>
      <c r="IR64" s="428">
        <v>1</v>
      </c>
      <c r="IS64" s="428">
        <v>0.73</v>
      </c>
      <c r="IT64" s="428">
        <v>0.4</v>
      </c>
      <c r="IU64" s="424" t="s">
        <v>173</v>
      </c>
      <c r="IV64" s="428">
        <v>0.65</v>
      </c>
      <c r="IW64" s="428">
        <v>0.38</v>
      </c>
      <c r="IX64" s="428">
        <v>0.64</v>
      </c>
      <c r="IY64" s="428">
        <v>0.5</v>
      </c>
      <c r="IZ64" s="464">
        <v>50</v>
      </c>
      <c r="JA64" s="464" t="s">
        <v>758</v>
      </c>
      <c r="JB64" s="464">
        <v>9</v>
      </c>
      <c r="JC64" s="464" t="s">
        <v>758</v>
      </c>
      <c r="JD64" s="476">
        <v>0.08</v>
      </c>
      <c r="JE64" s="476">
        <v>0.64</v>
      </c>
      <c r="JF64" s="476">
        <v>0.28000000000000003</v>
      </c>
      <c r="JG64" s="476">
        <v>0</v>
      </c>
      <c r="JH64" s="476">
        <v>0.45</v>
      </c>
      <c r="JI64" s="476">
        <v>0.42</v>
      </c>
      <c r="JJ64" s="476">
        <v>0.45</v>
      </c>
      <c r="JK64" s="476">
        <v>0.46</v>
      </c>
      <c r="JL64" s="476">
        <v>0.6</v>
      </c>
      <c r="JM64" s="476">
        <v>0.63</v>
      </c>
      <c r="JN64" s="476">
        <v>0.4</v>
      </c>
      <c r="JO64" s="476">
        <v>0.43</v>
      </c>
      <c r="JP64" s="476">
        <v>0.59</v>
      </c>
      <c r="JQ64" s="476">
        <v>0.3</v>
      </c>
      <c r="JR64" s="476">
        <v>0.67</v>
      </c>
      <c r="JS64" s="476">
        <v>0.56000000000000005</v>
      </c>
      <c r="JT64" s="476">
        <v>0.49</v>
      </c>
      <c r="JU64" s="476">
        <v>0.6</v>
      </c>
      <c r="JV64" s="476">
        <v>0.57999999999999996</v>
      </c>
      <c r="JW64" s="476">
        <v>0.52</v>
      </c>
      <c r="JX64" s="476">
        <v>0.4</v>
      </c>
      <c r="JY64" s="476">
        <v>0.47</v>
      </c>
      <c r="JZ64" s="476">
        <v>0.63</v>
      </c>
      <c r="KA64" s="476">
        <v>0.5</v>
      </c>
      <c r="KB64" s="476">
        <v>0.39</v>
      </c>
      <c r="KC64" s="476">
        <v>0.61</v>
      </c>
      <c r="KD64" s="476">
        <v>0.39</v>
      </c>
      <c r="KE64" s="476">
        <v>0.45</v>
      </c>
      <c r="KF64" s="476">
        <v>0.54</v>
      </c>
      <c r="KG64" s="476">
        <v>0.5</v>
      </c>
      <c r="KH64" s="971">
        <v>49</v>
      </c>
      <c r="KI64" s="971" t="s">
        <v>758</v>
      </c>
      <c r="KJ64" s="971">
        <v>7</v>
      </c>
      <c r="KK64" s="971" t="s">
        <v>758</v>
      </c>
      <c r="KL64" s="949">
        <v>0.13</v>
      </c>
      <c r="KM64" s="949">
        <v>0.67</v>
      </c>
      <c r="KN64" s="949">
        <v>0.2</v>
      </c>
      <c r="KO64" s="949">
        <v>0</v>
      </c>
      <c r="KP64" s="949">
        <v>0.65</v>
      </c>
      <c r="KQ64" s="949">
        <v>0.28999999999999998</v>
      </c>
      <c r="KR64" s="949">
        <v>0.63</v>
      </c>
      <c r="KS64" s="949">
        <v>0.62</v>
      </c>
      <c r="KT64" s="949">
        <v>0.67</v>
      </c>
      <c r="KU64" s="949">
        <v>0.6</v>
      </c>
      <c r="KV64" s="949">
        <v>0.56000000000000005</v>
      </c>
      <c r="KW64" s="949">
        <v>0.4</v>
      </c>
      <c r="KX64" s="949">
        <v>0.35</v>
      </c>
      <c r="KY64" s="949">
        <v>0.52</v>
      </c>
      <c r="KZ64" s="949">
        <v>0.35</v>
      </c>
      <c r="LA64" s="949">
        <v>0.63</v>
      </c>
      <c r="LB64" s="949">
        <v>0.67</v>
      </c>
      <c r="LC64" s="949">
        <v>0.46</v>
      </c>
      <c r="LD64" s="949">
        <v>0.68</v>
      </c>
      <c r="LE64" s="949">
        <v>0.41</v>
      </c>
      <c r="LF64" s="949">
        <v>0.38</v>
      </c>
      <c r="LG64" s="949">
        <v>0.63</v>
      </c>
      <c r="LH64" s="949">
        <v>0.62</v>
      </c>
      <c r="LI64" s="949">
        <v>0.57999999999999996</v>
      </c>
      <c r="LJ64" s="949">
        <v>0.48</v>
      </c>
      <c r="LK64" s="949">
        <v>0.53</v>
      </c>
      <c r="LL64" s="949" t="s">
        <v>173</v>
      </c>
      <c r="LM64" s="949">
        <v>0.56999999999999995</v>
      </c>
      <c r="LN64" s="949">
        <v>0.67</v>
      </c>
      <c r="LO64" s="949">
        <v>0.46</v>
      </c>
      <c r="LP64" s="922">
        <v>325754004959</v>
      </c>
      <c r="LQ64" s="126" t="s">
        <v>102</v>
      </c>
      <c r="LR64" s="424">
        <v>49</v>
      </c>
      <c r="LS64" s="971">
        <v>49</v>
      </c>
      <c r="LT64" s="946"/>
    </row>
    <row r="65" spans="1:332" ht="24.95" customHeight="1" x14ac:dyDescent="0.2">
      <c r="A65" s="126" t="s">
        <v>90</v>
      </c>
      <c r="B65" s="1" t="s">
        <v>123</v>
      </c>
      <c r="C65" s="2">
        <v>4</v>
      </c>
      <c r="D65" s="12">
        <v>55</v>
      </c>
      <c r="E65" s="12">
        <v>8</v>
      </c>
      <c r="F65" s="66">
        <v>0.02</v>
      </c>
      <c r="G65" s="66">
        <v>0.51</v>
      </c>
      <c r="H65" s="66">
        <v>0.46</v>
      </c>
      <c r="I65" s="66">
        <v>0</v>
      </c>
      <c r="J65" s="66">
        <v>0.41</v>
      </c>
      <c r="K65" s="66">
        <v>0.37</v>
      </c>
      <c r="L65" s="66">
        <v>0.8</v>
      </c>
      <c r="M65" s="66">
        <v>0.28000000000000003</v>
      </c>
      <c r="N65" s="66">
        <v>0.23</v>
      </c>
      <c r="O65" s="66">
        <v>0.56000000000000005</v>
      </c>
      <c r="P65" s="66">
        <v>0.41</v>
      </c>
      <c r="Q65" s="66">
        <v>0.4</v>
      </c>
      <c r="R65" s="66">
        <v>0.45</v>
      </c>
      <c r="S65" s="66">
        <v>0.56000000000000005</v>
      </c>
      <c r="T65" s="66">
        <v>0.43</v>
      </c>
      <c r="U65" s="66">
        <v>0.46</v>
      </c>
      <c r="V65" s="66">
        <v>0.08</v>
      </c>
      <c r="W65" s="66">
        <v>0.08</v>
      </c>
      <c r="X65" s="66">
        <v>0.45</v>
      </c>
      <c r="Y65" s="66">
        <v>0.5</v>
      </c>
      <c r="Z65" s="66">
        <v>1</v>
      </c>
      <c r="AA65" s="66">
        <v>0.08</v>
      </c>
      <c r="AB65" s="66">
        <v>0.44</v>
      </c>
      <c r="AC65" s="66">
        <v>0.44</v>
      </c>
      <c r="AD65" s="66">
        <v>0.37</v>
      </c>
      <c r="AE65" s="66">
        <v>0.28000000000000003</v>
      </c>
      <c r="AF65" s="66">
        <v>0.51</v>
      </c>
      <c r="AG65" s="66">
        <v>0.39</v>
      </c>
      <c r="AH65" s="12">
        <v>53</v>
      </c>
      <c r="AI65" s="12">
        <v>5</v>
      </c>
      <c r="AJ65" s="40">
        <v>0</v>
      </c>
      <c r="AK65" s="40">
        <v>0.64</v>
      </c>
      <c r="AL65" s="40">
        <v>0.36</v>
      </c>
      <c r="AM65" s="40">
        <v>0</v>
      </c>
      <c r="AN65" s="40">
        <v>0.35</v>
      </c>
      <c r="AO65" s="40">
        <v>0.44</v>
      </c>
      <c r="AP65" s="40">
        <v>0.55000000000000004</v>
      </c>
      <c r="AQ65" s="40">
        <v>0.35</v>
      </c>
      <c r="AR65" s="40">
        <v>0.52</v>
      </c>
      <c r="AS65" s="40">
        <v>0.49</v>
      </c>
      <c r="AT65" s="40">
        <v>0.49</v>
      </c>
      <c r="AU65" s="40">
        <v>0.47</v>
      </c>
      <c r="AV65" s="40">
        <v>0.59</v>
      </c>
      <c r="AW65" s="40">
        <v>0.5</v>
      </c>
      <c r="AX65" s="40">
        <v>0.53</v>
      </c>
      <c r="AY65" s="40">
        <v>0.27</v>
      </c>
      <c r="AZ65" s="40">
        <v>0.25</v>
      </c>
      <c r="BA65" s="40">
        <v>0.38</v>
      </c>
      <c r="BB65" s="40">
        <v>0.63</v>
      </c>
      <c r="BC65" s="40">
        <v>0.72</v>
      </c>
      <c r="BD65" s="40">
        <v>0.43</v>
      </c>
      <c r="BE65" s="40">
        <v>0.6</v>
      </c>
      <c r="BF65" s="40">
        <v>0.56000000000000005</v>
      </c>
      <c r="BG65" s="40">
        <v>0.42</v>
      </c>
      <c r="BH65" s="40">
        <v>0.42</v>
      </c>
      <c r="BI65" s="40">
        <v>0.4</v>
      </c>
      <c r="BJ65" s="40">
        <v>0.36</v>
      </c>
      <c r="BK65" s="40">
        <v>0.4</v>
      </c>
      <c r="BL65" s="40">
        <v>0.6</v>
      </c>
      <c r="BM65" s="12">
        <v>50</v>
      </c>
      <c r="BN65" s="12">
        <v>9</v>
      </c>
      <c r="BO65" s="66">
        <v>0.12</v>
      </c>
      <c r="BP65" s="66">
        <v>0.63</v>
      </c>
      <c r="BQ65" s="66">
        <v>0.23</v>
      </c>
      <c r="BR65" s="66">
        <v>0.02</v>
      </c>
      <c r="BS65" s="66">
        <v>0.43</v>
      </c>
      <c r="BT65" s="66">
        <v>0.64</v>
      </c>
      <c r="BU65" s="66">
        <v>0.7</v>
      </c>
      <c r="BV65" s="66">
        <v>0.35</v>
      </c>
      <c r="BW65" s="66">
        <v>0.61</v>
      </c>
      <c r="BX65" s="66">
        <v>0.37</v>
      </c>
      <c r="BY65" s="66">
        <v>0.48</v>
      </c>
      <c r="BZ65" s="66">
        <v>0.56000000000000005</v>
      </c>
      <c r="CA65" s="66">
        <v>0.47</v>
      </c>
      <c r="CB65" s="66">
        <v>0.41</v>
      </c>
      <c r="CC65" s="66">
        <v>0.19</v>
      </c>
      <c r="CD65" s="66">
        <v>0.37</v>
      </c>
      <c r="CE65" s="66">
        <v>0.26</v>
      </c>
      <c r="CF65" s="66">
        <v>0.57999999999999996</v>
      </c>
      <c r="CG65" s="66">
        <v>0.54</v>
      </c>
      <c r="CH65" s="66">
        <v>0.47</v>
      </c>
      <c r="CI65" s="66">
        <v>0.61</v>
      </c>
      <c r="CJ65" s="66">
        <v>0.21</v>
      </c>
      <c r="CK65" s="66">
        <v>0.74</v>
      </c>
      <c r="CL65" s="66">
        <v>0.34</v>
      </c>
      <c r="CM65" s="66">
        <v>0.5</v>
      </c>
      <c r="CN65" s="66">
        <v>0.43</v>
      </c>
      <c r="CO65" s="66">
        <v>0.44</v>
      </c>
      <c r="CP65" s="66">
        <v>0.41</v>
      </c>
      <c r="CQ65" s="66">
        <v>0.51</v>
      </c>
      <c r="CR65" s="66">
        <v>0.62</v>
      </c>
      <c r="CS65" s="12">
        <v>50</v>
      </c>
      <c r="CT65" s="12">
        <v>9</v>
      </c>
      <c r="CU65" s="63">
        <v>0.22</v>
      </c>
      <c r="CV65" s="63">
        <v>0.51</v>
      </c>
      <c r="CW65" s="63">
        <v>0.27</v>
      </c>
      <c r="CX65" s="63">
        <v>0</v>
      </c>
      <c r="CY65" s="63">
        <v>0.56999999999999995</v>
      </c>
      <c r="CZ65" s="63">
        <v>0.28000000000000003</v>
      </c>
      <c r="DA65" s="63">
        <v>0.64</v>
      </c>
      <c r="DB65" s="63">
        <v>0.31</v>
      </c>
      <c r="DC65" s="63">
        <v>0.46</v>
      </c>
      <c r="DD65" s="63">
        <v>0.63</v>
      </c>
      <c r="DE65" s="63">
        <v>0.53</v>
      </c>
      <c r="DF65" s="63">
        <v>0.5</v>
      </c>
      <c r="DG65" s="63">
        <v>0.42</v>
      </c>
      <c r="DH65" s="63">
        <v>0.36</v>
      </c>
      <c r="DI65" s="63">
        <v>0.44</v>
      </c>
      <c r="DJ65" s="63">
        <v>0.47</v>
      </c>
      <c r="DK65" s="63">
        <v>0.4</v>
      </c>
      <c r="DL65" s="63">
        <v>0.16</v>
      </c>
      <c r="DM65" s="63">
        <v>0.45</v>
      </c>
      <c r="DN65" s="63">
        <v>0.47</v>
      </c>
      <c r="DO65" s="63">
        <v>0.45</v>
      </c>
      <c r="DP65" s="63">
        <v>0.4</v>
      </c>
      <c r="DQ65" s="63">
        <v>0.52</v>
      </c>
      <c r="DR65" s="63">
        <v>0.22</v>
      </c>
      <c r="DS65" s="63">
        <v>0.44</v>
      </c>
      <c r="DT65" s="63">
        <v>0.72</v>
      </c>
      <c r="DU65" s="63">
        <v>0.44</v>
      </c>
      <c r="DV65" s="63">
        <v>0.69</v>
      </c>
      <c r="DW65" s="63">
        <v>0.32</v>
      </c>
      <c r="DX65" s="35">
        <v>51</v>
      </c>
      <c r="DY65" s="35">
        <v>9</v>
      </c>
      <c r="DZ65" s="40">
        <v>0.12</v>
      </c>
      <c r="EA65" s="40">
        <v>0.49</v>
      </c>
      <c r="EB65" s="40">
        <v>0.37</v>
      </c>
      <c r="EC65" s="40">
        <v>0.02</v>
      </c>
      <c r="ED65" s="40">
        <v>0.45</v>
      </c>
      <c r="EE65" s="40">
        <v>0.48</v>
      </c>
      <c r="EF65" s="40">
        <v>0.41</v>
      </c>
      <c r="EG65" s="40">
        <v>0.43</v>
      </c>
      <c r="EH65" s="40">
        <v>0.47</v>
      </c>
      <c r="EI65" s="40">
        <v>0.38</v>
      </c>
      <c r="EJ65" s="40">
        <v>0.48</v>
      </c>
      <c r="EK65" s="40">
        <v>0.32</v>
      </c>
      <c r="EL65" s="40">
        <v>0.43</v>
      </c>
      <c r="EM65" s="40">
        <v>0.7</v>
      </c>
      <c r="EN65" s="40">
        <v>0.4</v>
      </c>
      <c r="EO65" s="40">
        <v>0.46</v>
      </c>
      <c r="EP65" s="40">
        <v>0.41</v>
      </c>
      <c r="EQ65" s="40">
        <v>0.24</v>
      </c>
      <c r="ER65" s="40">
        <v>0.55000000000000004</v>
      </c>
      <c r="ES65" s="40">
        <v>0.64</v>
      </c>
      <c r="ET65" s="40">
        <v>0.3</v>
      </c>
      <c r="EU65" s="40">
        <v>0.56999999999999995</v>
      </c>
      <c r="EV65" s="40">
        <v>0.24</v>
      </c>
      <c r="EW65" s="40">
        <v>0.2</v>
      </c>
      <c r="EX65" s="40">
        <v>0.54</v>
      </c>
      <c r="EY65" s="40">
        <v>0.56000000000000005</v>
      </c>
      <c r="EZ65" s="40">
        <v>0.21</v>
      </c>
      <c r="FA65" s="40">
        <v>0.47</v>
      </c>
      <c r="FB65" s="246">
        <v>51</v>
      </c>
      <c r="FC65" s="246" t="s">
        <v>758</v>
      </c>
      <c r="FD65" s="246">
        <v>7</v>
      </c>
      <c r="FE65" s="246" t="s">
        <v>758</v>
      </c>
      <c r="FF65" s="263">
        <v>0.03</v>
      </c>
      <c r="FG65" s="263">
        <v>0.78</v>
      </c>
      <c r="FH65" s="263">
        <v>0.2</v>
      </c>
      <c r="FI65" s="263">
        <v>0</v>
      </c>
      <c r="FJ65" s="263">
        <v>0.39</v>
      </c>
      <c r="FK65" s="263">
        <v>0.63</v>
      </c>
      <c r="FL65" s="263">
        <v>0.43</v>
      </c>
      <c r="FM65" s="263">
        <v>0.38</v>
      </c>
      <c r="FN65" s="263">
        <v>0.28999999999999998</v>
      </c>
      <c r="FO65" s="263">
        <v>0.38</v>
      </c>
      <c r="FP65" s="263">
        <v>0.37</v>
      </c>
      <c r="FQ65" s="263">
        <v>0.3</v>
      </c>
      <c r="FR65" s="263">
        <v>0.57999999999999996</v>
      </c>
      <c r="FS65" s="263">
        <v>0.47</v>
      </c>
      <c r="FT65" s="263">
        <v>0.36</v>
      </c>
      <c r="FU65" s="263">
        <v>0.36</v>
      </c>
      <c r="FV65" s="263">
        <v>0.53</v>
      </c>
      <c r="FW65" s="263">
        <v>0.57999999999999996</v>
      </c>
      <c r="FX65" s="263">
        <v>0.53</v>
      </c>
      <c r="FY65" s="263">
        <v>0.3</v>
      </c>
      <c r="FZ65" s="263">
        <v>0.47</v>
      </c>
      <c r="GA65" s="263">
        <v>0.47</v>
      </c>
      <c r="GB65" s="263">
        <v>0.64</v>
      </c>
      <c r="GC65" s="263">
        <v>0.41</v>
      </c>
      <c r="GD65" s="263">
        <v>0.61</v>
      </c>
      <c r="GE65" s="263">
        <v>0.43</v>
      </c>
      <c r="GF65" s="263">
        <v>0.44</v>
      </c>
      <c r="GG65" s="263">
        <v>0.43</v>
      </c>
      <c r="GH65" s="263">
        <v>0.51</v>
      </c>
      <c r="GI65" s="263">
        <v>0.3</v>
      </c>
      <c r="GJ65" s="309">
        <v>50</v>
      </c>
      <c r="GK65" s="309" t="s">
        <v>758</v>
      </c>
      <c r="GL65" s="309">
        <v>10</v>
      </c>
      <c r="GM65" s="309" t="s">
        <v>758</v>
      </c>
      <c r="GN65" s="327">
        <v>0.16</v>
      </c>
      <c r="GO65" s="327">
        <v>0.54</v>
      </c>
      <c r="GP65" s="327">
        <v>0.3</v>
      </c>
      <c r="GQ65" s="327">
        <v>0</v>
      </c>
      <c r="GR65" s="327">
        <v>0.51</v>
      </c>
      <c r="GS65" s="327">
        <v>0.59</v>
      </c>
      <c r="GT65" s="327">
        <v>0.57999999999999996</v>
      </c>
      <c r="GU65" s="327">
        <v>0.24</v>
      </c>
      <c r="GV65" s="327">
        <v>0.6</v>
      </c>
      <c r="GW65" s="327">
        <v>0.5</v>
      </c>
      <c r="GX65" s="327">
        <v>0.45</v>
      </c>
      <c r="GY65" s="309" t="s">
        <v>173</v>
      </c>
      <c r="GZ65" s="327">
        <v>0.38</v>
      </c>
      <c r="HA65" s="327">
        <v>0.74</v>
      </c>
      <c r="HB65" s="327">
        <v>0.44</v>
      </c>
      <c r="HC65" s="327">
        <v>0.54</v>
      </c>
      <c r="HD65" s="327">
        <v>0.53</v>
      </c>
      <c r="HE65" s="327">
        <v>0.42</v>
      </c>
      <c r="HF65" s="327">
        <v>0.49</v>
      </c>
      <c r="HG65" s="327">
        <v>0.65</v>
      </c>
      <c r="HH65" s="327">
        <v>0.44</v>
      </c>
      <c r="HI65" s="327">
        <v>0.52</v>
      </c>
      <c r="HJ65" s="327">
        <v>0.6</v>
      </c>
      <c r="HK65" s="327">
        <v>0.52</v>
      </c>
      <c r="HL65" s="327">
        <v>0.46</v>
      </c>
      <c r="HM65" s="327">
        <v>0.46</v>
      </c>
      <c r="HN65" s="327">
        <v>0.43</v>
      </c>
      <c r="HO65" s="327">
        <v>0.45</v>
      </c>
      <c r="HP65" s="309" t="s">
        <v>173</v>
      </c>
      <c r="HQ65" s="327">
        <v>0.42</v>
      </c>
      <c r="HR65" s="424">
        <v>53</v>
      </c>
      <c r="HS65" s="424" t="s">
        <v>758</v>
      </c>
      <c r="HT65" s="424">
        <v>7</v>
      </c>
      <c r="HU65" s="424" t="s">
        <v>758</v>
      </c>
      <c r="HV65" s="428">
        <v>0.05</v>
      </c>
      <c r="HW65" s="428">
        <v>0.56999999999999995</v>
      </c>
      <c r="HX65" s="428">
        <v>0.38</v>
      </c>
      <c r="HY65" s="428">
        <v>0</v>
      </c>
      <c r="HZ65" s="428">
        <v>0.31</v>
      </c>
      <c r="IA65" s="428">
        <v>0.53</v>
      </c>
      <c r="IB65" s="428">
        <v>0.43</v>
      </c>
      <c r="IC65" s="428">
        <v>0.43</v>
      </c>
      <c r="ID65" s="428">
        <v>0.66</v>
      </c>
      <c r="IE65" s="428">
        <v>0.35</v>
      </c>
      <c r="IF65" s="428">
        <v>0.32</v>
      </c>
      <c r="IG65" s="428">
        <v>0.51</v>
      </c>
      <c r="IH65" s="428">
        <v>0.52</v>
      </c>
      <c r="II65" s="428">
        <v>0.4</v>
      </c>
      <c r="IJ65" s="428">
        <v>0.22</v>
      </c>
      <c r="IK65" s="428">
        <v>0.59</v>
      </c>
      <c r="IL65" s="428">
        <v>0.31</v>
      </c>
      <c r="IM65" s="428">
        <v>0.55000000000000004</v>
      </c>
      <c r="IN65" s="428">
        <v>0.43</v>
      </c>
      <c r="IO65" s="428">
        <v>0.5</v>
      </c>
      <c r="IP65" s="428">
        <v>0.42</v>
      </c>
      <c r="IQ65" s="428">
        <v>0.59</v>
      </c>
      <c r="IR65" s="428">
        <v>0.59</v>
      </c>
      <c r="IS65" s="428">
        <v>0.61</v>
      </c>
      <c r="IT65" s="428">
        <v>0.35</v>
      </c>
      <c r="IU65" s="424" t="s">
        <v>173</v>
      </c>
      <c r="IV65" s="428">
        <v>0.66</v>
      </c>
      <c r="IW65" s="428">
        <v>0.26</v>
      </c>
      <c r="IX65" s="428">
        <v>0.44</v>
      </c>
      <c r="IY65" s="428">
        <v>0.47</v>
      </c>
      <c r="IZ65" s="464">
        <v>53</v>
      </c>
      <c r="JA65" s="464" t="s">
        <v>758</v>
      </c>
      <c r="JB65" s="464">
        <v>9</v>
      </c>
      <c r="JC65" s="464" t="s">
        <v>758</v>
      </c>
      <c r="JD65" s="476">
        <v>0.04</v>
      </c>
      <c r="JE65" s="476">
        <v>0.56999999999999995</v>
      </c>
      <c r="JF65" s="476">
        <v>0.38</v>
      </c>
      <c r="JG65" s="476">
        <v>0.02</v>
      </c>
      <c r="JH65" s="476">
        <v>0.35</v>
      </c>
      <c r="JI65" s="476">
        <v>0.42</v>
      </c>
      <c r="JJ65" s="476">
        <v>0.38</v>
      </c>
      <c r="JK65" s="476">
        <v>0.49</v>
      </c>
      <c r="JL65" s="476">
        <v>0.46</v>
      </c>
      <c r="JM65" s="476">
        <v>0.44</v>
      </c>
      <c r="JN65" s="476">
        <v>0.33</v>
      </c>
      <c r="JO65" s="476">
        <v>0.46</v>
      </c>
      <c r="JP65" s="476">
        <v>0.56999999999999995</v>
      </c>
      <c r="JQ65" s="476">
        <v>0.22</v>
      </c>
      <c r="JR65" s="476">
        <v>0.66</v>
      </c>
      <c r="JS65" s="476">
        <v>0.45</v>
      </c>
      <c r="JT65" s="476">
        <v>0.38</v>
      </c>
      <c r="JU65" s="476">
        <v>0.52</v>
      </c>
      <c r="JV65" s="476">
        <v>0.43</v>
      </c>
      <c r="JW65" s="476">
        <v>0.37</v>
      </c>
      <c r="JX65" s="476">
        <v>0.34</v>
      </c>
      <c r="JY65" s="476">
        <v>0.49</v>
      </c>
      <c r="JZ65" s="476">
        <v>0.27</v>
      </c>
      <c r="KA65" s="476">
        <v>0.56999999999999995</v>
      </c>
      <c r="KB65" s="476">
        <v>0.45</v>
      </c>
      <c r="KC65" s="476">
        <v>0.56000000000000005</v>
      </c>
      <c r="KD65" s="476">
        <v>0.28999999999999998</v>
      </c>
      <c r="KE65" s="476">
        <v>0.49</v>
      </c>
      <c r="KF65" s="476">
        <v>0.48</v>
      </c>
      <c r="KG65" s="476">
        <v>0.5</v>
      </c>
      <c r="KH65" s="971">
        <v>52</v>
      </c>
      <c r="KI65" s="971" t="s">
        <v>758</v>
      </c>
      <c r="KJ65" s="971">
        <v>7</v>
      </c>
      <c r="KK65" s="971" t="s">
        <v>758</v>
      </c>
      <c r="KL65" s="949">
        <v>0.06</v>
      </c>
      <c r="KM65" s="949">
        <v>0.63</v>
      </c>
      <c r="KN65" s="949">
        <v>0.28999999999999998</v>
      </c>
      <c r="KO65" s="949">
        <v>0.02</v>
      </c>
      <c r="KP65" s="949">
        <v>0.48</v>
      </c>
      <c r="KQ65" s="949">
        <v>0.28000000000000003</v>
      </c>
      <c r="KR65" s="949">
        <v>0.62</v>
      </c>
      <c r="KS65" s="949">
        <v>0.48</v>
      </c>
      <c r="KT65" s="949">
        <v>0.7</v>
      </c>
      <c r="KU65" s="949">
        <v>0.36</v>
      </c>
      <c r="KV65" s="949">
        <v>0.59</v>
      </c>
      <c r="KW65" s="949">
        <v>0.28000000000000003</v>
      </c>
      <c r="KX65" s="949">
        <v>0.28999999999999998</v>
      </c>
      <c r="KY65" s="949">
        <v>0.43</v>
      </c>
      <c r="KZ65" s="949">
        <v>0.38</v>
      </c>
      <c r="LA65" s="949">
        <v>0.38</v>
      </c>
      <c r="LB65" s="949">
        <v>0.4</v>
      </c>
      <c r="LC65" s="949">
        <v>0.44</v>
      </c>
      <c r="LD65" s="949">
        <v>0.55000000000000004</v>
      </c>
      <c r="LE65" s="949">
        <v>0.5</v>
      </c>
      <c r="LF65" s="949">
        <v>0.32</v>
      </c>
      <c r="LG65" s="949">
        <v>0.43</v>
      </c>
      <c r="LH65" s="949">
        <v>0.61</v>
      </c>
      <c r="LI65" s="949">
        <v>0.47</v>
      </c>
      <c r="LJ65" s="949">
        <v>0.42</v>
      </c>
      <c r="LK65" s="949">
        <v>0.48</v>
      </c>
      <c r="LL65" s="949" t="s">
        <v>173</v>
      </c>
      <c r="LM65" s="949">
        <v>0.59</v>
      </c>
      <c r="LN65" s="949">
        <v>0.44</v>
      </c>
      <c r="LO65" s="949">
        <v>0.55000000000000004</v>
      </c>
      <c r="LP65" s="922">
        <v>325754003347</v>
      </c>
      <c r="LQ65" s="126" t="s">
        <v>90</v>
      </c>
      <c r="LR65" s="424">
        <v>53</v>
      </c>
      <c r="LS65" s="971">
        <v>52</v>
      </c>
      <c r="LT65" s="946"/>
    </row>
    <row r="66" spans="1:332" ht="24.95" customHeight="1" x14ac:dyDescent="0.2">
      <c r="A66" s="126" t="s">
        <v>66</v>
      </c>
      <c r="B66" s="1" t="s">
        <v>123</v>
      </c>
      <c r="C66" s="2">
        <v>3</v>
      </c>
      <c r="D66" s="12">
        <v>56</v>
      </c>
      <c r="E66" s="12">
        <v>6</v>
      </c>
      <c r="F66" s="66">
        <v>0.02</v>
      </c>
      <c r="G66" s="66">
        <v>0.53</v>
      </c>
      <c r="H66" s="66">
        <v>0.43</v>
      </c>
      <c r="I66" s="66">
        <v>0.02</v>
      </c>
      <c r="J66" s="66">
        <v>0.38</v>
      </c>
      <c r="K66" s="66">
        <v>0.24</v>
      </c>
      <c r="L66" s="66">
        <v>0.79</v>
      </c>
      <c r="M66" s="66">
        <v>0.08</v>
      </c>
      <c r="N66" s="66">
        <v>0.23</v>
      </c>
      <c r="O66" s="66">
        <v>0.64</v>
      </c>
      <c r="P66" s="66">
        <v>0.28999999999999998</v>
      </c>
      <c r="Q66" s="66">
        <v>0.31</v>
      </c>
      <c r="R66" s="66">
        <v>0.48</v>
      </c>
      <c r="S66" s="66">
        <v>0.57999999999999996</v>
      </c>
      <c r="T66" s="66">
        <v>0.38</v>
      </c>
      <c r="U66" s="66">
        <v>0.5</v>
      </c>
      <c r="V66" s="66">
        <v>0.02</v>
      </c>
      <c r="W66" s="66">
        <v>0.15</v>
      </c>
      <c r="X66" s="66">
        <v>0.48</v>
      </c>
      <c r="Y66" s="66">
        <v>0.48</v>
      </c>
      <c r="Z66" s="12" t="s">
        <v>173</v>
      </c>
      <c r="AA66" s="66">
        <v>0.06</v>
      </c>
      <c r="AB66" s="66">
        <v>0.46</v>
      </c>
      <c r="AC66" s="66">
        <v>0.23</v>
      </c>
      <c r="AD66" s="66">
        <v>0.34</v>
      </c>
      <c r="AE66" s="66">
        <v>0.34</v>
      </c>
      <c r="AF66" s="66">
        <v>0.45</v>
      </c>
      <c r="AG66" s="66">
        <v>0.49</v>
      </c>
      <c r="AH66" s="12">
        <v>58</v>
      </c>
      <c r="AI66" s="12">
        <v>10</v>
      </c>
      <c r="AJ66" s="40">
        <v>0</v>
      </c>
      <c r="AK66" s="40">
        <v>0.47</v>
      </c>
      <c r="AL66" s="40">
        <v>0.5</v>
      </c>
      <c r="AM66" s="40">
        <v>0.03</v>
      </c>
      <c r="AN66" s="40">
        <v>0.14000000000000001</v>
      </c>
      <c r="AO66" s="40">
        <v>0.32</v>
      </c>
      <c r="AP66" s="40">
        <v>0.48</v>
      </c>
      <c r="AQ66" s="40">
        <v>0.27</v>
      </c>
      <c r="AR66" s="40">
        <v>0.6</v>
      </c>
      <c r="AS66" s="40">
        <v>0.44</v>
      </c>
      <c r="AT66" s="40">
        <v>0.41</v>
      </c>
      <c r="AU66" s="40">
        <v>0.3</v>
      </c>
      <c r="AV66" s="40">
        <v>0.45</v>
      </c>
      <c r="AW66" s="40">
        <v>0.25</v>
      </c>
      <c r="AX66" s="40">
        <v>0.28999999999999998</v>
      </c>
      <c r="AY66" s="40">
        <v>0.2</v>
      </c>
      <c r="AZ66" s="40">
        <v>0.21</v>
      </c>
      <c r="BA66" s="40">
        <v>0.4</v>
      </c>
      <c r="BB66" s="40">
        <v>0.59</v>
      </c>
      <c r="BC66" s="40">
        <v>0.59</v>
      </c>
      <c r="BD66" s="40">
        <v>0.4</v>
      </c>
      <c r="BE66" s="40">
        <v>0.5</v>
      </c>
      <c r="BF66" s="40">
        <v>0.56000000000000005</v>
      </c>
      <c r="BG66" s="40">
        <v>0.44</v>
      </c>
      <c r="BH66" s="40">
        <v>0.41</v>
      </c>
      <c r="BI66" s="40">
        <v>0.35</v>
      </c>
      <c r="BJ66" s="40">
        <v>0.28999999999999998</v>
      </c>
      <c r="BK66" s="40">
        <v>0.3</v>
      </c>
      <c r="BL66" s="40">
        <v>0.37</v>
      </c>
      <c r="BM66" s="12">
        <v>53</v>
      </c>
      <c r="BN66" s="12">
        <v>9</v>
      </c>
      <c r="BO66" s="66">
        <v>0.04</v>
      </c>
      <c r="BP66" s="66">
        <v>0.52</v>
      </c>
      <c r="BQ66" s="66">
        <v>0.42</v>
      </c>
      <c r="BR66" s="66">
        <v>0.02</v>
      </c>
      <c r="BS66" s="66">
        <v>0.3</v>
      </c>
      <c r="BT66" s="66">
        <v>0.46</v>
      </c>
      <c r="BU66" s="66">
        <v>0.54</v>
      </c>
      <c r="BV66" s="66">
        <v>0.31</v>
      </c>
      <c r="BW66" s="66">
        <v>0.69</v>
      </c>
      <c r="BX66" s="66">
        <v>0.32</v>
      </c>
      <c r="BY66" s="66">
        <v>0.39</v>
      </c>
      <c r="BZ66" s="66">
        <v>0.45</v>
      </c>
      <c r="CA66" s="66">
        <v>0.41</v>
      </c>
      <c r="CB66" s="66">
        <v>0.26</v>
      </c>
      <c r="CC66" s="66">
        <v>0.19</v>
      </c>
      <c r="CD66" s="66">
        <v>0.35</v>
      </c>
      <c r="CE66" s="66">
        <v>0.25</v>
      </c>
      <c r="CF66" s="66">
        <v>0.56000000000000005</v>
      </c>
      <c r="CG66" s="66">
        <v>0.57999999999999996</v>
      </c>
      <c r="CH66" s="66">
        <v>0.42</v>
      </c>
      <c r="CI66" s="66">
        <v>0.52</v>
      </c>
      <c r="CJ66" s="66">
        <v>0.28999999999999998</v>
      </c>
      <c r="CK66" s="66">
        <v>0.68</v>
      </c>
      <c r="CL66" s="66">
        <v>0.3</v>
      </c>
      <c r="CM66" s="66">
        <v>0.43</v>
      </c>
      <c r="CN66" s="66">
        <v>0.38</v>
      </c>
      <c r="CO66" s="66">
        <v>0.31</v>
      </c>
      <c r="CP66" s="66">
        <v>0.3</v>
      </c>
      <c r="CQ66" s="66">
        <v>0.47</v>
      </c>
      <c r="CR66" s="66">
        <v>0.47</v>
      </c>
      <c r="CS66" s="12">
        <v>53</v>
      </c>
      <c r="CT66" s="12">
        <v>8</v>
      </c>
      <c r="CU66" s="63">
        <v>0.03</v>
      </c>
      <c r="CV66" s="63">
        <v>0.56999999999999995</v>
      </c>
      <c r="CW66" s="63">
        <v>0.4</v>
      </c>
      <c r="CX66" s="63">
        <v>0</v>
      </c>
      <c r="CY66" s="63">
        <v>0.48</v>
      </c>
      <c r="CZ66" s="63">
        <v>0.27</v>
      </c>
      <c r="DA66" s="63">
        <v>0.59</v>
      </c>
      <c r="DB66" s="63">
        <v>0.21</v>
      </c>
      <c r="DC66" s="63">
        <v>0.52</v>
      </c>
      <c r="DD66" s="63">
        <v>0.6</v>
      </c>
      <c r="DE66" s="63">
        <v>0.27</v>
      </c>
      <c r="DF66" s="63">
        <v>0.51</v>
      </c>
      <c r="DG66" s="63">
        <v>0.46</v>
      </c>
      <c r="DH66" s="63">
        <v>0.33</v>
      </c>
      <c r="DI66" s="63">
        <v>0.35</v>
      </c>
      <c r="DJ66" s="63">
        <v>0.42</v>
      </c>
      <c r="DK66" s="63">
        <v>0.37</v>
      </c>
      <c r="DL66" s="63">
        <v>0.31</v>
      </c>
      <c r="DM66" s="63">
        <v>0.5</v>
      </c>
      <c r="DN66" s="63">
        <v>0.35</v>
      </c>
      <c r="DO66" s="63">
        <v>0.32</v>
      </c>
      <c r="DP66" s="63">
        <v>0.49</v>
      </c>
      <c r="DQ66" s="63">
        <v>0.47</v>
      </c>
      <c r="DR66" s="63">
        <v>0.13</v>
      </c>
      <c r="DS66" s="63">
        <v>0.24</v>
      </c>
      <c r="DT66" s="63">
        <v>0.49</v>
      </c>
      <c r="DU66" s="63">
        <v>0.3</v>
      </c>
      <c r="DV66" s="63">
        <v>0.53</v>
      </c>
      <c r="DW66" s="63">
        <v>0.34</v>
      </c>
      <c r="DX66" s="35">
        <v>54</v>
      </c>
      <c r="DY66" s="35">
        <v>9</v>
      </c>
      <c r="DZ66" s="40">
        <v>0.08</v>
      </c>
      <c r="EA66" s="40">
        <v>0.42</v>
      </c>
      <c r="EB66" s="40">
        <v>0.5</v>
      </c>
      <c r="EC66" s="40">
        <v>0</v>
      </c>
      <c r="ED66" s="40">
        <v>0.4</v>
      </c>
      <c r="EE66" s="40">
        <v>0.45</v>
      </c>
      <c r="EF66" s="40">
        <v>0.54</v>
      </c>
      <c r="EG66" s="40">
        <v>0.35</v>
      </c>
      <c r="EH66" s="40">
        <v>0.31</v>
      </c>
      <c r="EI66" s="40">
        <v>0.32</v>
      </c>
      <c r="EJ66" s="40">
        <v>0.52</v>
      </c>
      <c r="EK66" s="40">
        <v>0.21</v>
      </c>
      <c r="EL66" s="40">
        <v>0.44</v>
      </c>
      <c r="EM66" s="40">
        <v>0.47</v>
      </c>
      <c r="EN66" s="40">
        <v>0.32</v>
      </c>
      <c r="EO66" s="40">
        <v>0.53</v>
      </c>
      <c r="EP66" s="40">
        <v>0.28999999999999998</v>
      </c>
      <c r="EQ66" s="40">
        <v>0.18</v>
      </c>
      <c r="ER66" s="40">
        <v>0.6</v>
      </c>
      <c r="ES66" s="40">
        <v>0.47</v>
      </c>
      <c r="ET66" s="40">
        <v>0.19</v>
      </c>
      <c r="EU66" s="40">
        <v>0.61</v>
      </c>
      <c r="EV66" s="40">
        <v>0.05</v>
      </c>
      <c r="EW66" s="40">
        <v>0.26</v>
      </c>
      <c r="EX66" s="40">
        <v>0.47</v>
      </c>
      <c r="EY66" s="40">
        <v>0.49</v>
      </c>
      <c r="EZ66" s="40">
        <v>0.13</v>
      </c>
      <c r="FA66" s="40">
        <v>0.47</v>
      </c>
      <c r="FB66" s="246">
        <v>54</v>
      </c>
      <c r="FC66" s="246" t="s">
        <v>758</v>
      </c>
      <c r="FD66" s="246">
        <v>9</v>
      </c>
      <c r="FE66" s="246" t="s">
        <v>758</v>
      </c>
      <c r="FF66" s="263">
        <v>0.1</v>
      </c>
      <c r="FG66" s="263">
        <v>0.48</v>
      </c>
      <c r="FH66" s="263">
        <v>0.4</v>
      </c>
      <c r="FI66" s="263">
        <v>0.02</v>
      </c>
      <c r="FJ66" s="263">
        <v>0.38</v>
      </c>
      <c r="FK66" s="263">
        <v>0.62</v>
      </c>
      <c r="FL66" s="263">
        <v>0.39</v>
      </c>
      <c r="FM66" s="263">
        <v>0.33</v>
      </c>
      <c r="FN66" s="263">
        <v>0.23</v>
      </c>
      <c r="FO66" s="263">
        <v>0.26</v>
      </c>
      <c r="FP66" s="263">
        <v>0.3</v>
      </c>
      <c r="FQ66" s="263">
        <v>0.37</v>
      </c>
      <c r="FR66" s="263">
        <v>0.53</v>
      </c>
      <c r="FS66" s="263">
        <v>0.5</v>
      </c>
      <c r="FT66" s="263">
        <v>0.42</v>
      </c>
      <c r="FU66" s="263">
        <v>0.24</v>
      </c>
      <c r="FV66" s="263">
        <v>0.51</v>
      </c>
      <c r="FW66" s="263">
        <v>0.5</v>
      </c>
      <c r="FX66" s="263">
        <v>0.33</v>
      </c>
      <c r="FY66" s="263">
        <v>0.3</v>
      </c>
      <c r="FZ66" s="263">
        <v>0.35</v>
      </c>
      <c r="GA66" s="263">
        <v>0.42</v>
      </c>
      <c r="GB66" s="263">
        <v>0.55000000000000004</v>
      </c>
      <c r="GC66" s="263">
        <v>0.36</v>
      </c>
      <c r="GD66" s="263">
        <v>0.52</v>
      </c>
      <c r="GE66" s="263">
        <v>0.49</v>
      </c>
      <c r="GF66" s="263">
        <v>0.4</v>
      </c>
      <c r="GG66" s="263">
        <v>0.36</v>
      </c>
      <c r="GH66" s="263">
        <v>0.44</v>
      </c>
      <c r="GI66" s="263">
        <v>0.19</v>
      </c>
      <c r="GJ66" s="309">
        <v>56</v>
      </c>
      <c r="GK66" s="309" t="s">
        <v>758</v>
      </c>
      <c r="GL66" s="309">
        <v>9</v>
      </c>
      <c r="GM66" s="309" t="s">
        <v>758</v>
      </c>
      <c r="GN66" s="327">
        <v>0</v>
      </c>
      <c r="GO66" s="327">
        <v>0.48</v>
      </c>
      <c r="GP66" s="327">
        <v>0.46</v>
      </c>
      <c r="GQ66" s="327">
        <v>0.06</v>
      </c>
      <c r="GR66" s="327">
        <v>0.43</v>
      </c>
      <c r="GS66" s="327">
        <v>0.41</v>
      </c>
      <c r="GT66" s="327">
        <v>0.48</v>
      </c>
      <c r="GU66" s="327">
        <v>0.24</v>
      </c>
      <c r="GV66" s="327">
        <v>0.43</v>
      </c>
      <c r="GW66" s="327">
        <v>0.41</v>
      </c>
      <c r="GX66" s="327">
        <v>0.31</v>
      </c>
      <c r="GY66" s="309" t="s">
        <v>173</v>
      </c>
      <c r="GZ66" s="327">
        <v>0.24</v>
      </c>
      <c r="HA66" s="327">
        <v>0.56000000000000005</v>
      </c>
      <c r="HB66" s="327">
        <v>0.34</v>
      </c>
      <c r="HC66" s="327">
        <v>0.45</v>
      </c>
      <c r="HD66" s="327">
        <v>0.45</v>
      </c>
      <c r="HE66" s="327">
        <v>0.27</v>
      </c>
      <c r="HF66" s="327">
        <v>0.41</v>
      </c>
      <c r="HG66" s="327">
        <v>0.53</v>
      </c>
      <c r="HH66" s="327">
        <v>0.24</v>
      </c>
      <c r="HI66" s="327">
        <v>0.44</v>
      </c>
      <c r="HJ66" s="327">
        <v>0.5</v>
      </c>
      <c r="HK66" s="327">
        <v>0.54</v>
      </c>
      <c r="HL66" s="327">
        <v>0.37</v>
      </c>
      <c r="HM66" s="327">
        <v>0.42</v>
      </c>
      <c r="HN66" s="327">
        <v>0.43</v>
      </c>
      <c r="HO66" s="327">
        <v>0.32</v>
      </c>
      <c r="HP66" s="309" t="s">
        <v>173</v>
      </c>
      <c r="HQ66" s="327">
        <v>0.28999999999999998</v>
      </c>
      <c r="HR66" s="424">
        <v>56</v>
      </c>
      <c r="HS66" s="424" t="s">
        <v>758</v>
      </c>
      <c r="HT66" s="424">
        <v>8</v>
      </c>
      <c r="HU66" s="424" t="s">
        <v>758</v>
      </c>
      <c r="HV66" s="428">
        <v>0.02</v>
      </c>
      <c r="HW66" s="428">
        <v>0.43</v>
      </c>
      <c r="HX66" s="428">
        <v>0.54</v>
      </c>
      <c r="HY66" s="428">
        <v>0.02</v>
      </c>
      <c r="HZ66" s="428">
        <v>0.27</v>
      </c>
      <c r="IA66" s="428">
        <v>0.4</v>
      </c>
      <c r="IB66" s="428">
        <v>0.23</v>
      </c>
      <c r="IC66" s="428">
        <v>0.4</v>
      </c>
      <c r="ID66" s="428">
        <v>0.61</v>
      </c>
      <c r="IE66" s="428">
        <v>0.23</v>
      </c>
      <c r="IF66" s="428">
        <v>0.28999999999999998</v>
      </c>
      <c r="IG66" s="428">
        <v>0.51</v>
      </c>
      <c r="IH66" s="428">
        <v>0.42</v>
      </c>
      <c r="II66" s="428">
        <v>0.26</v>
      </c>
      <c r="IJ66" s="428">
        <v>0.17</v>
      </c>
      <c r="IK66" s="428">
        <v>0.51</v>
      </c>
      <c r="IL66" s="428">
        <v>0.3</v>
      </c>
      <c r="IM66" s="428">
        <v>0.53</v>
      </c>
      <c r="IN66" s="428">
        <v>0.32</v>
      </c>
      <c r="IO66" s="428">
        <v>0.43</v>
      </c>
      <c r="IP66" s="428">
        <v>0.34</v>
      </c>
      <c r="IQ66" s="428">
        <v>0.46</v>
      </c>
      <c r="IR66" s="428">
        <v>0.43</v>
      </c>
      <c r="IS66" s="428">
        <v>0.52</v>
      </c>
      <c r="IT66" s="428">
        <v>0.28000000000000003</v>
      </c>
      <c r="IU66" s="424" t="s">
        <v>173</v>
      </c>
      <c r="IV66" s="428">
        <v>0.56000000000000005</v>
      </c>
      <c r="IW66" s="428">
        <v>0.26</v>
      </c>
      <c r="IX66" s="428">
        <v>0.43</v>
      </c>
      <c r="IY66" s="428">
        <v>0.41</v>
      </c>
      <c r="IZ66" s="464">
        <v>56</v>
      </c>
      <c r="JA66" s="464" t="s">
        <v>758</v>
      </c>
      <c r="JB66" s="464">
        <v>7</v>
      </c>
      <c r="JC66" s="464" t="s">
        <v>758</v>
      </c>
      <c r="JD66" s="476">
        <v>0</v>
      </c>
      <c r="JE66" s="476">
        <v>0.45</v>
      </c>
      <c r="JF66" s="476">
        <v>0.55000000000000004</v>
      </c>
      <c r="JG66" s="476">
        <v>0</v>
      </c>
      <c r="JH66" s="476">
        <v>0.35</v>
      </c>
      <c r="JI66" s="476">
        <v>0.44</v>
      </c>
      <c r="JJ66" s="476">
        <v>0.32</v>
      </c>
      <c r="JK66" s="476">
        <v>0.36</v>
      </c>
      <c r="JL66" s="476">
        <v>0.33</v>
      </c>
      <c r="JM66" s="476">
        <v>0.38</v>
      </c>
      <c r="JN66" s="476">
        <v>0.26</v>
      </c>
      <c r="JO66" s="476">
        <v>0.44</v>
      </c>
      <c r="JP66" s="476">
        <v>0.46</v>
      </c>
      <c r="JQ66" s="476">
        <v>0.15</v>
      </c>
      <c r="JR66" s="476">
        <v>0.54</v>
      </c>
      <c r="JS66" s="476">
        <v>0.49</v>
      </c>
      <c r="JT66" s="476">
        <v>0.34</v>
      </c>
      <c r="JU66" s="476">
        <v>0.39</v>
      </c>
      <c r="JV66" s="476">
        <v>0.35</v>
      </c>
      <c r="JW66" s="476">
        <v>0.4</v>
      </c>
      <c r="JX66" s="476">
        <v>0.37</v>
      </c>
      <c r="JY66" s="476">
        <v>0.36</v>
      </c>
      <c r="JZ66" s="476">
        <v>0.36</v>
      </c>
      <c r="KA66" s="476">
        <v>0.36</v>
      </c>
      <c r="KB66" s="476">
        <v>0.3</v>
      </c>
      <c r="KC66" s="476">
        <v>0.45</v>
      </c>
      <c r="KD66" s="476">
        <v>0.17</v>
      </c>
      <c r="KE66" s="476">
        <v>0.37</v>
      </c>
      <c r="KF66" s="476">
        <v>0.38</v>
      </c>
      <c r="KG66" s="476">
        <v>0.38</v>
      </c>
      <c r="KH66" s="971">
        <v>57</v>
      </c>
      <c r="KI66" s="971" t="s">
        <v>758</v>
      </c>
      <c r="KJ66" s="971">
        <v>9</v>
      </c>
      <c r="KK66" s="971" t="s">
        <v>758</v>
      </c>
      <c r="KL66" s="949">
        <v>0.05</v>
      </c>
      <c r="KM66" s="949">
        <v>0.3</v>
      </c>
      <c r="KN66" s="949">
        <v>0.6</v>
      </c>
      <c r="KO66" s="949">
        <v>0.05</v>
      </c>
      <c r="KP66" s="949">
        <v>0.43</v>
      </c>
      <c r="KQ66" s="949">
        <v>0.12</v>
      </c>
      <c r="KR66" s="949">
        <v>0.53</v>
      </c>
      <c r="KS66" s="949">
        <v>0.47</v>
      </c>
      <c r="KT66" s="949">
        <v>0.47</v>
      </c>
      <c r="KU66" s="949">
        <v>0.31</v>
      </c>
      <c r="KV66" s="949">
        <v>0.55000000000000004</v>
      </c>
      <c r="KW66" s="949">
        <v>0.26</v>
      </c>
      <c r="KX66" s="949">
        <v>0.24</v>
      </c>
      <c r="KY66" s="949">
        <v>0.43</v>
      </c>
      <c r="KZ66" s="949">
        <v>0.23</v>
      </c>
      <c r="LA66" s="949">
        <v>0.26</v>
      </c>
      <c r="LB66" s="949">
        <v>0.25</v>
      </c>
      <c r="LC66" s="949">
        <v>0.31</v>
      </c>
      <c r="LD66" s="949">
        <v>0.5</v>
      </c>
      <c r="LE66" s="949">
        <v>0.35</v>
      </c>
      <c r="LF66" s="949">
        <v>0.19</v>
      </c>
      <c r="LG66" s="949">
        <v>0.25</v>
      </c>
      <c r="LH66" s="949">
        <v>0.45</v>
      </c>
      <c r="LI66" s="949">
        <v>0.38</v>
      </c>
      <c r="LJ66" s="949">
        <v>0.32</v>
      </c>
      <c r="LK66" s="949">
        <v>0.47</v>
      </c>
      <c r="LL66" s="949" t="s">
        <v>173</v>
      </c>
      <c r="LM66" s="949">
        <v>0.46</v>
      </c>
      <c r="LN66" s="949">
        <v>0.59</v>
      </c>
      <c r="LO66" s="949">
        <v>0.52</v>
      </c>
      <c r="LP66" s="922">
        <v>325754004122</v>
      </c>
      <c r="LQ66" s="126" t="s">
        <v>66</v>
      </c>
      <c r="LR66" s="424">
        <v>56</v>
      </c>
      <c r="LS66" s="971">
        <v>57</v>
      </c>
      <c r="LT66" s="946"/>
    </row>
    <row r="67" spans="1:332" ht="24.95" customHeight="1" x14ac:dyDescent="0.2">
      <c r="A67" s="126" t="s">
        <v>73</v>
      </c>
      <c r="B67" s="1" t="s">
        <v>123</v>
      </c>
      <c r="C67" s="2">
        <v>5</v>
      </c>
      <c r="D67" s="12">
        <v>55</v>
      </c>
      <c r="E67" s="12">
        <v>7</v>
      </c>
      <c r="F67" s="66">
        <v>0.03</v>
      </c>
      <c r="G67" s="66">
        <v>0.47</v>
      </c>
      <c r="H67" s="66">
        <v>0.5</v>
      </c>
      <c r="I67" s="66">
        <v>0</v>
      </c>
      <c r="J67" s="66">
        <v>0.44</v>
      </c>
      <c r="K67" s="66">
        <v>0.28000000000000003</v>
      </c>
      <c r="L67" s="66">
        <v>0.69</v>
      </c>
      <c r="M67" s="66">
        <v>0.26</v>
      </c>
      <c r="N67" s="66">
        <v>0.24</v>
      </c>
      <c r="O67" s="66">
        <v>0.71</v>
      </c>
      <c r="P67" s="66">
        <v>0.28000000000000003</v>
      </c>
      <c r="Q67" s="66">
        <v>0.42</v>
      </c>
      <c r="R67" s="66">
        <v>0.51</v>
      </c>
      <c r="S67" s="66">
        <v>0.56999999999999995</v>
      </c>
      <c r="T67" s="66">
        <v>0.41</v>
      </c>
      <c r="U67" s="66">
        <v>0.45</v>
      </c>
      <c r="V67" s="66">
        <v>7.0000000000000007E-2</v>
      </c>
      <c r="W67" s="66">
        <v>0.19</v>
      </c>
      <c r="X67" s="66">
        <v>0.46</v>
      </c>
      <c r="Y67" s="66">
        <v>0.56000000000000005</v>
      </c>
      <c r="Z67" s="66">
        <v>1</v>
      </c>
      <c r="AA67" s="66">
        <v>0.28000000000000003</v>
      </c>
      <c r="AB67" s="66">
        <v>0.49</v>
      </c>
      <c r="AC67" s="66">
        <v>0.09</v>
      </c>
      <c r="AD67" s="66">
        <v>0.39</v>
      </c>
      <c r="AE67" s="66">
        <v>0.25</v>
      </c>
      <c r="AF67" s="66">
        <v>0.49</v>
      </c>
      <c r="AG67" s="66">
        <v>0.4</v>
      </c>
      <c r="AH67" s="12">
        <v>54</v>
      </c>
      <c r="AI67" s="12">
        <v>7</v>
      </c>
      <c r="AJ67" s="40">
        <v>0</v>
      </c>
      <c r="AK67" s="40">
        <v>0.72</v>
      </c>
      <c r="AL67" s="40">
        <v>0.28000000000000003</v>
      </c>
      <c r="AM67" s="40">
        <v>0</v>
      </c>
      <c r="AN67" s="40">
        <v>0.33</v>
      </c>
      <c r="AO67" s="40">
        <v>0.47</v>
      </c>
      <c r="AP67" s="40">
        <v>0.56999999999999995</v>
      </c>
      <c r="AQ67" s="40">
        <v>0.37</v>
      </c>
      <c r="AR67" s="40">
        <v>0.52</v>
      </c>
      <c r="AS67" s="40">
        <v>0.52</v>
      </c>
      <c r="AT67" s="40">
        <v>0.51</v>
      </c>
      <c r="AU67" s="40">
        <v>0.47</v>
      </c>
      <c r="AV67" s="40">
        <v>0.65</v>
      </c>
      <c r="AW67" s="40">
        <v>0.56999999999999995</v>
      </c>
      <c r="AX67" s="40">
        <v>0.5</v>
      </c>
      <c r="AY67" s="40">
        <v>0.21</v>
      </c>
      <c r="AZ67" s="40">
        <v>0.31</v>
      </c>
      <c r="BA67" s="40">
        <v>0.59</v>
      </c>
      <c r="BB67" s="40">
        <v>0.84</v>
      </c>
      <c r="BC67" s="40">
        <v>0.68</v>
      </c>
      <c r="BD67" s="40">
        <v>0.41</v>
      </c>
      <c r="BE67" s="40">
        <v>0.7</v>
      </c>
      <c r="BF67" s="40">
        <v>0.89</v>
      </c>
      <c r="BG67" s="40">
        <v>0.41</v>
      </c>
      <c r="BH67" s="40">
        <v>0.4</v>
      </c>
      <c r="BI67" s="40">
        <v>0.37</v>
      </c>
      <c r="BJ67" s="40">
        <v>0.28999999999999998</v>
      </c>
      <c r="BK67" s="40">
        <v>0.33</v>
      </c>
      <c r="BL67" s="40">
        <v>0.38</v>
      </c>
      <c r="BM67" s="12">
        <v>55</v>
      </c>
      <c r="BN67" s="12">
        <v>7</v>
      </c>
      <c r="BO67" s="66">
        <v>7.0000000000000007E-2</v>
      </c>
      <c r="BP67" s="66">
        <v>0.52</v>
      </c>
      <c r="BQ67" s="66">
        <v>0.41</v>
      </c>
      <c r="BR67" s="66">
        <v>0</v>
      </c>
      <c r="BS67" s="66">
        <v>0.23</v>
      </c>
      <c r="BT67" s="66">
        <v>0.64</v>
      </c>
      <c r="BU67" s="66">
        <v>0.46</v>
      </c>
      <c r="BV67" s="66">
        <v>0.05</v>
      </c>
      <c r="BW67" s="66">
        <v>0.66</v>
      </c>
      <c r="BX67" s="66">
        <v>0.3</v>
      </c>
      <c r="BY67" s="66">
        <v>0.52</v>
      </c>
      <c r="BZ67" s="66">
        <v>0.44</v>
      </c>
      <c r="CA67" s="66">
        <v>0.45</v>
      </c>
      <c r="CB67" s="66">
        <v>0.33</v>
      </c>
      <c r="CC67" s="66">
        <v>0.1</v>
      </c>
      <c r="CD67" s="66">
        <v>0.33</v>
      </c>
      <c r="CE67" s="66">
        <v>0.15</v>
      </c>
      <c r="CF67" s="66">
        <v>0.59</v>
      </c>
      <c r="CG67" s="66">
        <v>0.48</v>
      </c>
      <c r="CH67" s="66">
        <v>0.31</v>
      </c>
      <c r="CI67" s="66">
        <v>0.52</v>
      </c>
      <c r="CJ67" s="66">
        <v>0.41</v>
      </c>
      <c r="CK67" s="66">
        <v>0.53</v>
      </c>
      <c r="CL67" s="66">
        <v>0.28000000000000003</v>
      </c>
      <c r="CM67" s="66">
        <v>0.35</v>
      </c>
      <c r="CN67" s="66">
        <v>0.34</v>
      </c>
      <c r="CO67" s="66">
        <v>0.28000000000000003</v>
      </c>
      <c r="CP67" s="66">
        <v>0.28000000000000003</v>
      </c>
      <c r="CQ67" s="66">
        <v>0.5</v>
      </c>
      <c r="CR67" s="66">
        <v>0.43</v>
      </c>
      <c r="CS67" s="12">
        <v>55</v>
      </c>
      <c r="CT67" s="12">
        <v>9</v>
      </c>
      <c r="CU67" s="63">
        <v>0.06</v>
      </c>
      <c r="CV67" s="63">
        <v>0.39</v>
      </c>
      <c r="CW67" s="63">
        <v>0.56000000000000005</v>
      </c>
      <c r="CX67" s="63">
        <v>0</v>
      </c>
      <c r="CY67" s="63">
        <v>0.35</v>
      </c>
      <c r="CZ67" s="63">
        <v>0.21</v>
      </c>
      <c r="DA67" s="63">
        <v>0.56000000000000005</v>
      </c>
      <c r="DB67" s="63">
        <v>0.32</v>
      </c>
      <c r="DC67" s="63">
        <v>0.33</v>
      </c>
      <c r="DD67" s="63">
        <v>0.52</v>
      </c>
      <c r="DE67" s="63">
        <v>0.16</v>
      </c>
      <c r="DF67" s="63">
        <v>0.48</v>
      </c>
      <c r="DG67" s="63">
        <v>0.36</v>
      </c>
      <c r="DH67" s="63">
        <v>0.26</v>
      </c>
      <c r="DI67" s="63">
        <v>0.57999999999999996</v>
      </c>
      <c r="DJ67" s="63">
        <v>0.41</v>
      </c>
      <c r="DK67" s="63">
        <v>0.25</v>
      </c>
      <c r="DL67" s="63">
        <v>0.17</v>
      </c>
      <c r="DM67" s="63">
        <v>0.52</v>
      </c>
      <c r="DN67" s="63">
        <v>0.42</v>
      </c>
      <c r="DO67" s="63">
        <v>0.25</v>
      </c>
      <c r="DP67" s="63">
        <v>0.42</v>
      </c>
      <c r="DQ67" s="63">
        <v>0.49</v>
      </c>
      <c r="DR67" s="63">
        <v>0.06</v>
      </c>
      <c r="DS67" s="63">
        <v>0.28999999999999998</v>
      </c>
      <c r="DT67" s="63">
        <v>0.44</v>
      </c>
      <c r="DU67" s="63">
        <v>0.11</v>
      </c>
      <c r="DV67" s="63">
        <v>0.56000000000000005</v>
      </c>
      <c r="DW67" s="63">
        <v>0.38</v>
      </c>
      <c r="DX67" s="35">
        <v>54</v>
      </c>
      <c r="DY67" s="35">
        <v>8</v>
      </c>
      <c r="DZ67" s="40">
        <v>0.05</v>
      </c>
      <c r="EA67" s="40">
        <v>0.45</v>
      </c>
      <c r="EB67" s="40">
        <v>0.5</v>
      </c>
      <c r="EC67" s="40">
        <v>0</v>
      </c>
      <c r="ED67" s="40">
        <v>0.39</v>
      </c>
      <c r="EE67" s="40">
        <v>0.3</v>
      </c>
      <c r="EF67" s="40">
        <v>0.52</v>
      </c>
      <c r="EG67" s="40">
        <v>0</v>
      </c>
      <c r="EH67" s="40">
        <v>0.55000000000000004</v>
      </c>
      <c r="EI67" s="40">
        <v>0.46</v>
      </c>
      <c r="EJ67" s="40">
        <v>0.39</v>
      </c>
      <c r="EK67" s="40">
        <v>0.2</v>
      </c>
      <c r="EL67" s="40">
        <v>0.26</v>
      </c>
      <c r="EM67" s="40">
        <v>0.5</v>
      </c>
      <c r="EN67" s="40">
        <v>0.33</v>
      </c>
      <c r="EO67" s="40">
        <v>0.62</v>
      </c>
      <c r="EP67" s="40">
        <v>0.33</v>
      </c>
      <c r="EQ67" s="40">
        <v>0.05</v>
      </c>
      <c r="ER67" s="40">
        <v>0.56000000000000005</v>
      </c>
      <c r="ES67" s="40">
        <v>0.35</v>
      </c>
      <c r="ET67" s="40">
        <v>0.16</v>
      </c>
      <c r="EU67" s="40">
        <v>0.53</v>
      </c>
      <c r="EV67" s="40">
        <v>0.33</v>
      </c>
      <c r="EW67" s="40">
        <v>0.25</v>
      </c>
      <c r="EX67" s="40">
        <v>0.67</v>
      </c>
      <c r="EY67" s="40">
        <v>0.39</v>
      </c>
      <c r="EZ67" s="40">
        <v>0.2</v>
      </c>
      <c r="FA67" s="40">
        <v>0.53</v>
      </c>
      <c r="FB67" s="246">
        <v>53</v>
      </c>
      <c r="FC67" s="246" t="s">
        <v>758</v>
      </c>
      <c r="FD67" s="246">
        <v>8</v>
      </c>
      <c r="FE67" s="246" t="s">
        <v>758</v>
      </c>
      <c r="FF67" s="263">
        <v>0.05</v>
      </c>
      <c r="FG67" s="263">
        <v>0.6</v>
      </c>
      <c r="FH67" s="263">
        <v>0.35</v>
      </c>
      <c r="FI67" s="263">
        <v>0</v>
      </c>
      <c r="FJ67" s="263">
        <v>0.28999999999999998</v>
      </c>
      <c r="FK67" s="263">
        <v>0.68</v>
      </c>
      <c r="FL67" s="263">
        <v>0.43</v>
      </c>
      <c r="FM67" s="263">
        <v>0.44</v>
      </c>
      <c r="FN67" s="263">
        <v>0.24</v>
      </c>
      <c r="FO67" s="263">
        <v>0.27</v>
      </c>
      <c r="FP67" s="263">
        <v>0.28999999999999998</v>
      </c>
      <c r="FQ67" s="263">
        <v>0.39</v>
      </c>
      <c r="FR67" s="263">
        <v>0.63</v>
      </c>
      <c r="FS67" s="263">
        <v>0.5</v>
      </c>
      <c r="FT67" s="263">
        <v>0.31</v>
      </c>
      <c r="FU67" s="263">
        <v>0.31</v>
      </c>
      <c r="FV67" s="263">
        <v>0.41</v>
      </c>
      <c r="FW67" s="263">
        <v>0.41</v>
      </c>
      <c r="FX67" s="263">
        <v>0.42</v>
      </c>
      <c r="FY67" s="263">
        <v>0.27</v>
      </c>
      <c r="FZ67" s="263">
        <v>0.37</v>
      </c>
      <c r="GA67" s="263">
        <v>0.52</v>
      </c>
      <c r="GB67" s="263">
        <v>0.56999999999999995</v>
      </c>
      <c r="GC67" s="263">
        <v>0.35</v>
      </c>
      <c r="GD67" s="263">
        <v>0.52</v>
      </c>
      <c r="GE67" s="263">
        <v>0.54</v>
      </c>
      <c r="GF67" s="263">
        <v>0.32</v>
      </c>
      <c r="GG67" s="263">
        <v>0.46</v>
      </c>
      <c r="GH67" s="263">
        <v>0.51</v>
      </c>
      <c r="GI67" s="263">
        <v>0.26</v>
      </c>
      <c r="GJ67" s="309">
        <v>54</v>
      </c>
      <c r="GK67" s="309" t="s">
        <v>758</v>
      </c>
      <c r="GL67" s="309">
        <v>9</v>
      </c>
      <c r="GM67" s="309" t="s">
        <v>758</v>
      </c>
      <c r="GN67" s="327">
        <v>0.04</v>
      </c>
      <c r="GO67" s="327">
        <v>0.5</v>
      </c>
      <c r="GP67" s="327">
        <v>0.46</v>
      </c>
      <c r="GQ67" s="327">
        <v>0</v>
      </c>
      <c r="GR67" s="327">
        <v>0.48</v>
      </c>
      <c r="GS67" s="327">
        <v>0.49</v>
      </c>
      <c r="GT67" s="327">
        <v>0.61</v>
      </c>
      <c r="GU67" s="327">
        <v>0</v>
      </c>
      <c r="GV67" s="327">
        <v>0.5</v>
      </c>
      <c r="GW67" s="327">
        <v>0.39</v>
      </c>
      <c r="GX67" s="327">
        <v>0.38</v>
      </c>
      <c r="GY67" s="309" t="s">
        <v>173</v>
      </c>
      <c r="GZ67" s="327">
        <v>0.14000000000000001</v>
      </c>
      <c r="HA67" s="327">
        <v>0.73</v>
      </c>
      <c r="HB67" s="327">
        <v>0.28999999999999998</v>
      </c>
      <c r="HC67" s="327">
        <v>0.5</v>
      </c>
      <c r="HD67" s="327">
        <v>0.52</v>
      </c>
      <c r="HE67" s="327">
        <v>0.55000000000000004</v>
      </c>
      <c r="HF67" s="327">
        <v>0.38</v>
      </c>
      <c r="HG67" s="327">
        <v>0.62</v>
      </c>
      <c r="HH67" s="327">
        <v>0.22</v>
      </c>
      <c r="HI67" s="327">
        <v>0.45</v>
      </c>
      <c r="HJ67" s="327">
        <v>0.51</v>
      </c>
      <c r="HK67" s="327">
        <v>0.55000000000000004</v>
      </c>
      <c r="HL67" s="327">
        <v>0.45</v>
      </c>
      <c r="HM67" s="327">
        <v>0.43</v>
      </c>
      <c r="HN67" s="327">
        <v>0.36</v>
      </c>
      <c r="HO67" s="327">
        <v>0.33</v>
      </c>
      <c r="HP67" s="309" t="s">
        <v>173</v>
      </c>
      <c r="HQ67" s="327">
        <v>0.41</v>
      </c>
      <c r="HR67" s="424">
        <v>55</v>
      </c>
      <c r="HS67" s="424" t="s">
        <v>758</v>
      </c>
      <c r="HT67" s="424">
        <v>6</v>
      </c>
      <c r="HU67" s="424" t="s">
        <v>758</v>
      </c>
      <c r="HV67" s="428">
        <v>0</v>
      </c>
      <c r="HW67" s="428">
        <v>0.52</v>
      </c>
      <c r="HX67" s="428">
        <v>0.48</v>
      </c>
      <c r="HY67" s="428">
        <v>0</v>
      </c>
      <c r="HZ67" s="428">
        <v>0.28999999999999998</v>
      </c>
      <c r="IA67" s="428">
        <v>0.39</v>
      </c>
      <c r="IB67" s="428">
        <v>0.32</v>
      </c>
      <c r="IC67" s="428">
        <v>0.47</v>
      </c>
      <c r="ID67" s="428">
        <v>0.56999999999999995</v>
      </c>
      <c r="IE67" s="428">
        <v>0.3</v>
      </c>
      <c r="IF67" s="428">
        <v>0.33</v>
      </c>
      <c r="IG67" s="428">
        <v>0.38</v>
      </c>
      <c r="IH67" s="428">
        <v>0.46</v>
      </c>
      <c r="II67" s="428">
        <v>0.13</v>
      </c>
      <c r="IJ67" s="428">
        <v>0.14000000000000001</v>
      </c>
      <c r="IK67" s="428">
        <v>0.62</v>
      </c>
      <c r="IL67" s="428">
        <v>0.28000000000000003</v>
      </c>
      <c r="IM67" s="428">
        <v>0.56999999999999995</v>
      </c>
      <c r="IN67" s="428">
        <v>0.4</v>
      </c>
      <c r="IO67" s="428">
        <v>0.51</v>
      </c>
      <c r="IP67" s="428">
        <v>0.25</v>
      </c>
      <c r="IQ67" s="428">
        <v>0.55000000000000004</v>
      </c>
      <c r="IR67" s="428">
        <v>0.51</v>
      </c>
      <c r="IS67" s="428">
        <v>0.48</v>
      </c>
      <c r="IT67" s="428">
        <v>0.35</v>
      </c>
      <c r="IU67" s="424" t="s">
        <v>173</v>
      </c>
      <c r="IV67" s="428">
        <v>0.56999999999999995</v>
      </c>
      <c r="IW67" s="428">
        <v>0.27</v>
      </c>
      <c r="IX67" s="428">
        <v>0.47</v>
      </c>
      <c r="IY67" s="428">
        <v>0.39</v>
      </c>
      <c r="IZ67" s="464">
        <v>53</v>
      </c>
      <c r="JA67" s="464" t="s">
        <v>758</v>
      </c>
      <c r="JB67" s="464">
        <v>6</v>
      </c>
      <c r="JC67" s="464" t="s">
        <v>758</v>
      </c>
      <c r="JD67" s="476">
        <v>0</v>
      </c>
      <c r="JE67" s="476">
        <v>0.67</v>
      </c>
      <c r="JF67" s="476">
        <v>0.33</v>
      </c>
      <c r="JG67" s="476">
        <v>0</v>
      </c>
      <c r="JH67" s="476">
        <v>0.32</v>
      </c>
      <c r="JI67" s="476">
        <v>0.47</v>
      </c>
      <c r="JJ67" s="476">
        <v>0.35</v>
      </c>
      <c r="JK67" s="476">
        <v>0.38</v>
      </c>
      <c r="JL67" s="476">
        <v>0.44</v>
      </c>
      <c r="JM67" s="476">
        <v>0.51</v>
      </c>
      <c r="JN67" s="476">
        <v>0.45</v>
      </c>
      <c r="JO67" s="476">
        <v>0.43</v>
      </c>
      <c r="JP67" s="476">
        <v>0.52</v>
      </c>
      <c r="JQ67" s="476">
        <v>0.21</v>
      </c>
      <c r="JR67" s="476">
        <v>0.62</v>
      </c>
      <c r="JS67" s="476">
        <v>0.67</v>
      </c>
      <c r="JT67" s="476">
        <v>0.31</v>
      </c>
      <c r="JU67" s="476">
        <v>0.57999999999999996</v>
      </c>
      <c r="JV67" s="476">
        <v>0.35</v>
      </c>
      <c r="JW67" s="476">
        <v>0.49</v>
      </c>
      <c r="JX67" s="476">
        <v>0.31</v>
      </c>
      <c r="JY67" s="476">
        <v>0.52</v>
      </c>
      <c r="JZ67" s="476">
        <v>0.42</v>
      </c>
      <c r="KA67" s="476">
        <v>0.67</v>
      </c>
      <c r="KB67" s="476">
        <v>0.52</v>
      </c>
      <c r="KC67" s="476">
        <v>0.93</v>
      </c>
      <c r="KD67" s="476">
        <v>0.26</v>
      </c>
      <c r="KE67" s="476">
        <v>0.52</v>
      </c>
      <c r="KF67" s="476">
        <v>0.54</v>
      </c>
      <c r="KG67" s="476">
        <v>0.52</v>
      </c>
      <c r="KH67" s="971">
        <v>50</v>
      </c>
      <c r="KI67" s="971" t="s">
        <v>758</v>
      </c>
      <c r="KJ67" s="971">
        <v>9</v>
      </c>
      <c r="KK67" s="971" t="s">
        <v>758</v>
      </c>
      <c r="KL67" s="949">
        <v>0.1</v>
      </c>
      <c r="KM67" s="949">
        <v>0.65</v>
      </c>
      <c r="KN67" s="949">
        <v>0.26</v>
      </c>
      <c r="KO67" s="949">
        <v>0</v>
      </c>
      <c r="KP67" s="949">
        <v>0.54</v>
      </c>
      <c r="KQ67" s="949">
        <v>0.28999999999999998</v>
      </c>
      <c r="KR67" s="949">
        <v>0.57999999999999996</v>
      </c>
      <c r="KS67" s="949">
        <v>0.47</v>
      </c>
      <c r="KT67" s="949">
        <v>0.41</v>
      </c>
      <c r="KU67" s="949">
        <v>0.31</v>
      </c>
      <c r="KV67" s="949">
        <v>0.7</v>
      </c>
      <c r="KW67" s="949">
        <v>0.42</v>
      </c>
      <c r="KX67" s="949">
        <v>0.38</v>
      </c>
      <c r="KY67" s="949">
        <v>0.48</v>
      </c>
      <c r="KZ67" s="949">
        <v>0.49</v>
      </c>
      <c r="LA67" s="949">
        <v>0.23</v>
      </c>
      <c r="LB67" s="949">
        <v>0.39</v>
      </c>
      <c r="LC67" s="949">
        <v>0.39</v>
      </c>
      <c r="LD67" s="949">
        <v>0.52</v>
      </c>
      <c r="LE67" s="949">
        <v>0.51</v>
      </c>
      <c r="LF67" s="949">
        <v>0.36</v>
      </c>
      <c r="LG67" s="949">
        <v>0.69</v>
      </c>
      <c r="LH67" s="949">
        <v>0.63</v>
      </c>
      <c r="LI67" s="949">
        <v>0.48</v>
      </c>
      <c r="LJ67" s="949">
        <v>0.42</v>
      </c>
      <c r="LK67" s="949">
        <v>0.51</v>
      </c>
      <c r="LL67" s="949" t="s">
        <v>173</v>
      </c>
      <c r="LM67" s="949">
        <v>0.62</v>
      </c>
      <c r="LN67" s="949">
        <v>0.63</v>
      </c>
      <c r="LO67" s="949">
        <v>0.36</v>
      </c>
      <c r="LP67" s="922">
        <v>325754002154</v>
      </c>
      <c r="LQ67" s="126" t="s">
        <v>73</v>
      </c>
      <c r="LR67" s="424">
        <v>55</v>
      </c>
      <c r="LS67" s="971">
        <v>50</v>
      </c>
      <c r="LT67" s="946"/>
    </row>
    <row r="68" spans="1:332" ht="24.95" customHeight="1" x14ac:dyDescent="0.2">
      <c r="A68" s="126" t="s">
        <v>89</v>
      </c>
      <c r="B68" s="1" t="s">
        <v>123</v>
      </c>
      <c r="C68" s="2">
        <v>3</v>
      </c>
      <c r="D68" s="12">
        <v>57</v>
      </c>
      <c r="E68" s="12">
        <v>7</v>
      </c>
      <c r="F68" s="66">
        <v>0.03</v>
      </c>
      <c r="G68" s="66">
        <v>0.39</v>
      </c>
      <c r="H68" s="66">
        <v>0.57999999999999996</v>
      </c>
      <c r="I68" s="66">
        <v>0</v>
      </c>
      <c r="J68" s="66">
        <v>0.4</v>
      </c>
      <c r="K68" s="66">
        <v>0.3</v>
      </c>
      <c r="L68" s="66">
        <v>0.7</v>
      </c>
      <c r="M68" s="66">
        <v>0.12</v>
      </c>
      <c r="N68" s="66">
        <v>0.21</v>
      </c>
      <c r="O68" s="66">
        <v>0.69</v>
      </c>
      <c r="P68" s="66">
        <v>0.28000000000000003</v>
      </c>
      <c r="Q68" s="66">
        <v>0.3</v>
      </c>
      <c r="R68" s="66">
        <v>0.48</v>
      </c>
      <c r="S68" s="66">
        <v>0.59</v>
      </c>
      <c r="T68" s="66">
        <v>0.46</v>
      </c>
      <c r="U68" s="66">
        <v>0.49</v>
      </c>
      <c r="V68" s="66">
        <v>0.03</v>
      </c>
      <c r="W68" s="66">
        <v>0.05</v>
      </c>
      <c r="X68" s="66">
        <v>0.41</v>
      </c>
      <c r="Y68" s="66">
        <v>0.42</v>
      </c>
      <c r="Z68" s="12" t="s">
        <v>173</v>
      </c>
      <c r="AA68" s="66">
        <v>0.1</v>
      </c>
      <c r="AB68" s="66">
        <v>0.34</v>
      </c>
      <c r="AC68" s="66">
        <v>0.15</v>
      </c>
      <c r="AD68" s="66">
        <v>0.35</v>
      </c>
      <c r="AE68" s="66">
        <v>0.33</v>
      </c>
      <c r="AF68" s="66">
        <v>0.45</v>
      </c>
      <c r="AG68" s="66">
        <v>0.48</v>
      </c>
      <c r="AH68" s="12">
        <v>56</v>
      </c>
      <c r="AI68" s="12">
        <v>7</v>
      </c>
      <c r="AJ68" s="40">
        <v>0</v>
      </c>
      <c r="AK68" s="40">
        <v>0.56999999999999995</v>
      </c>
      <c r="AL68" s="40">
        <v>0.39</v>
      </c>
      <c r="AM68" s="40">
        <v>0.04</v>
      </c>
      <c r="AN68" s="40">
        <v>0.36</v>
      </c>
      <c r="AO68" s="40">
        <v>0.39</v>
      </c>
      <c r="AP68" s="40">
        <v>0.35</v>
      </c>
      <c r="AQ68" s="40">
        <v>0.25</v>
      </c>
      <c r="AR68" s="40">
        <v>0.5</v>
      </c>
      <c r="AS68" s="40">
        <v>0.46</v>
      </c>
      <c r="AT68" s="40">
        <v>0.45</v>
      </c>
      <c r="AU68" s="40">
        <v>0.45</v>
      </c>
      <c r="AV68" s="40">
        <v>0.56000000000000005</v>
      </c>
      <c r="AW68" s="40">
        <v>0.22</v>
      </c>
      <c r="AX68" s="40">
        <v>0.41</v>
      </c>
      <c r="AY68" s="40">
        <v>0.28999999999999998</v>
      </c>
      <c r="AZ68" s="40">
        <v>0.2</v>
      </c>
      <c r="BA68" s="40">
        <v>0.34</v>
      </c>
      <c r="BB68" s="40">
        <v>0.71</v>
      </c>
      <c r="BC68" s="40">
        <v>0.65</v>
      </c>
      <c r="BD68" s="40">
        <v>0.37</v>
      </c>
      <c r="BE68" s="40">
        <v>0.43</v>
      </c>
      <c r="BF68" s="40">
        <v>0.64</v>
      </c>
      <c r="BG68" s="40">
        <v>0.5</v>
      </c>
      <c r="BH68" s="40">
        <v>0.36</v>
      </c>
      <c r="BI68" s="40">
        <v>0.39</v>
      </c>
      <c r="BJ68" s="40">
        <v>0.33</v>
      </c>
      <c r="BK68" s="40">
        <v>0.37</v>
      </c>
      <c r="BL68" s="40">
        <v>0.45</v>
      </c>
      <c r="BM68" s="12">
        <v>61</v>
      </c>
      <c r="BN68" s="12">
        <v>8</v>
      </c>
      <c r="BO68" s="66">
        <v>0.06</v>
      </c>
      <c r="BP68" s="66">
        <v>0.11</v>
      </c>
      <c r="BQ68" s="66">
        <v>0.78</v>
      </c>
      <c r="BR68" s="66">
        <v>0.06</v>
      </c>
      <c r="BS68" s="66">
        <v>0.31</v>
      </c>
      <c r="BT68" s="66">
        <v>0.36</v>
      </c>
      <c r="BU68" s="66">
        <v>0.41</v>
      </c>
      <c r="BV68" s="66">
        <v>0.17</v>
      </c>
      <c r="BW68" s="66">
        <v>0.52</v>
      </c>
      <c r="BX68" s="66">
        <v>0.13</v>
      </c>
      <c r="BY68" s="66">
        <v>0.24</v>
      </c>
      <c r="BZ68" s="66">
        <v>0.37</v>
      </c>
      <c r="CA68" s="66">
        <v>0.46</v>
      </c>
      <c r="CB68" s="66">
        <v>0.2</v>
      </c>
      <c r="CC68" s="66">
        <v>0.11</v>
      </c>
      <c r="CD68" s="66">
        <v>0.17</v>
      </c>
      <c r="CE68" s="66">
        <v>0.1</v>
      </c>
      <c r="CF68" s="66">
        <v>0.5</v>
      </c>
      <c r="CG68" s="66">
        <v>0.27</v>
      </c>
      <c r="CH68" s="66">
        <v>0.19</v>
      </c>
      <c r="CI68" s="66">
        <v>0.39</v>
      </c>
      <c r="CJ68" s="66">
        <v>0.22</v>
      </c>
      <c r="CK68" s="66">
        <v>0.42</v>
      </c>
      <c r="CL68" s="66">
        <v>0.1</v>
      </c>
      <c r="CM68" s="66">
        <v>0.22</v>
      </c>
      <c r="CN68" s="66">
        <v>0.31</v>
      </c>
      <c r="CO68" s="66">
        <v>0.23</v>
      </c>
      <c r="CP68" s="66">
        <v>0.17</v>
      </c>
      <c r="CQ68" s="66">
        <v>0.4</v>
      </c>
      <c r="CR68" s="66">
        <v>0.4</v>
      </c>
      <c r="CS68" s="12">
        <v>55</v>
      </c>
      <c r="CT68" s="12">
        <v>7</v>
      </c>
      <c r="CU68" s="63">
        <v>0</v>
      </c>
      <c r="CV68" s="63">
        <v>0.54</v>
      </c>
      <c r="CW68" s="63">
        <v>0.46</v>
      </c>
      <c r="CX68" s="63">
        <v>0</v>
      </c>
      <c r="CY68" s="63">
        <v>0.48</v>
      </c>
      <c r="CZ68" s="63">
        <v>0.23</v>
      </c>
      <c r="DA68" s="63">
        <v>0.36</v>
      </c>
      <c r="DB68" s="63">
        <v>0.44</v>
      </c>
      <c r="DC68" s="63">
        <v>0.43</v>
      </c>
      <c r="DD68" s="63">
        <v>0.62</v>
      </c>
      <c r="DE68" s="63">
        <v>0.34</v>
      </c>
      <c r="DF68" s="63">
        <v>0.46</v>
      </c>
      <c r="DG68" s="63">
        <v>0.38</v>
      </c>
      <c r="DH68" s="63">
        <v>0.33</v>
      </c>
      <c r="DI68" s="63">
        <v>0.48</v>
      </c>
      <c r="DJ68" s="63">
        <v>0.42</v>
      </c>
      <c r="DK68" s="63">
        <v>0.23</v>
      </c>
      <c r="DL68" s="63">
        <v>0.67</v>
      </c>
      <c r="DM68" s="63">
        <v>0.35</v>
      </c>
      <c r="DN68" s="63">
        <v>0.38</v>
      </c>
      <c r="DO68" s="63">
        <v>0.3</v>
      </c>
      <c r="DP68" s="63">
        <v>0.35</v>
      </c>
      <c r="DQ68" s="63">
        <v>0.49</v>
      </c>
      <c r="DR68" s="63">
        <v>0.09</v>
      </c>
      <c r="DS68" s="63">
        <v>0.23</v>
      </c>
      <c r="DT68" s="63">
        <v>0.46</v>
      </c>
      <c r="DU68" s="63">
        <v>0.44</v>
      </c>
      <c r="DV68" s="63">
        <v>0.55000000000000004</v>
      </c>
      <c r="DW68" s="63">
        <v>0.27</v>
      </c>
      <c r="DX68" s="35">
        <v>58</v>
      </c>
      <c r="DY68" s="35">
        <v>5</v>
      </c>
      <c r="DZ68" s="40">
        <v>0</v>
      </c>
      <c r="EA68" s="40">
        <v>0.42</v>
      </c>
      <c r="EB68" s="40">
        <v>0.53</v>
      </c>
      <c r="EC68" s="40">
        <v>0.05</v>
      </c>
      <c r="ED68" s="40">
        <v>0.46</v>
      </c>
      <c r="EE68" s="40">
        <v>0.34</v>
      </c>
      <c r="EF68" s="40">
        <v>0.31</v>
      </c>
      <c r="EG68" s="40">
        <v>0.22</v>
      </c>
      <c r="EH68" s="40">
        <v>0.39</v>
      </c>
      <c r="EI68" s="40">
        <v>0.41</v>
      </c>
      <c r="EJ68" s="40">
        <v>0.41</v>
      </c>
      <c r="EK68" s="40">
        <v>0.06</v>
      </c>
      <c r="EL68" s="40">
        <v>0.21</v>
      </c>
      <c r="EM68" s="40">
        <v>0.45</v>
      </c>
      <c r="EN68" s="40">
        <v>0.15</v>
      </c>
      <c r="EO68" s="40">
        <v>0.46</v>
      </c>
      <c r="EP68" s="40">
        <v>0.14000000000000001</v>
      </c>
      <c r="EQ68" s="40">
        <v>0.05</v>
      </c>
      <c r="ER68" s="40">
        <v>0.43</v>
      </c>
      <c r="ES68" s="40">
        <v>0.28000000000000003</v>
      </c>
      <c r="ET68" s="40">
        <v>0.28999999999999998</v>
      </c>
      <c r="EU68" s="40">
        <v>0.56000000000000005</v>
      </c>
      <c r="EV68" s="40">
        <v>0.27</v>
      </c>
      <c r="EW68" s="40">
        <v>0.21</v>
      </c>
      <c r="EX68" s="40">
        <v>0.55000000000000004</v>
      </c>
      <c r="EY68" s="40">
        <v>0.41</v>
      </c>
      <c r="EZ68" s="40">
        <v>0</v>
      </c>
      <c r="FA68" s="40">
        <v>0.48</v>
      </c>
      <c r="FB68" s="246">
        <v>56</v>
      </c>
      <c r="FC68" s="246" t="s">
        <v>758</v>
      </c>
      <c r="FD68" s="246">
        <v>9</v>
      </c>
      <c r="FE68" s="246" t="s">
        <v>758</v>
      </c>
      <c r="FF68" s="263">
        <v>0.03</v>
      </c>
      <c r="FG68" s="263">
        <v>0.47</v>
      </c>
      <c r="FH68" s="263">
        <v>0.41</v>
      </c>
      <c r="FI68" s="263">
        <v>0.09</v>
      </c>
      <c r="FJ68" s="263">
        <v>0.45</v>
      </c>
      <c r="FK68" s="263">
        <v>0.55000000000000004</v>
      </c>
      <c r="FL68" s="263">
        <v>0.44</v>
      </c>
      <c r="FM68" s="263">
        <v>0.35</v>
      </c>
      <c r="FN68" s="263">
        <v>0.2</v>
      </c>
      <c r="FO68" s="263">
        <v>0.23</v>
      </c>
      <c r="FP68" s="263">
        <v>0.28000000000000003</v>
      </c>
      <c r="FQ68" s="263">
        <v>0.32</v>
      </c>
      <c r="FR68" s="263">
        <v>0.4</v>
      </c>
      <c r="FS68" s="263">
        <v>0.45</v>
      </c>
      <c r="FT68" s="263">
        <v>0.4</v>
      </c>
      <c r="FU68" s="263">
        <v>0.2</v>
      </c>
      <c r="FV68" s="263">
        <v>0.5</v>
      </c>
      <c r="FW68" s="263">
        <v>0.43</v>
      </c>
      <c r="FX68" s="263">
        <v>0.41</v>
      </c>
      <c r="FY68" s="263">
        <v>0.23</v>
      </c>
      <c r="FZ68" s="263">
        <v>0.26</v>
      </c>
      <c r="GA68" s="263">
        <v>0.43</v>
      </c>
      <c r="GB68" s="263">
        <v>0.42</v>
      </c>
      <c r="GC68" s="263">
        <v>0.27</v>
      </c>
      <c r="GD68" s="263">
        <v>0.46</v>
      </c>
      <c r="GE68" s="263">
        <v>0.37</v>
      </c>
      <c r="GF68" s="263">
        <v>0.18</v>
      </c>
      <c r="GG68" s="263">
        <v>0.37</v>
      </c>
      <c r="GH68" s="263">
        <v>0.46</v>
      </c>
      <c r="GI68" s="263">
        <v>0.12</v>
      </c>
      <c r="GJ68" s="309">
        <v>57</v>
      </c>
      <c r="GK68" s="309" t="s">
        <v>758</v>
      </c>
      <c r="GL68" s="309">
        <v>8</v>
      </c>
      <c r="GM68" s="309" t="s">
        <v>758</v>
      </c>
      <c r="GN68" s="327">
        <v>0.03</v>
      </c>
      <c r="GO68" s="327">
        <v>0.42</v>
      </c>
      <c r="GP68" s="327">
        <v>0.5</v>
      </c>
      <c r="GQ68" s="327">
        <v>0.05</v>
      </c>
      <c r="GR68" s="327">
        <v>0.32</v>
      </c>
      <c r="GS68" s="327">
        <v>0.43</v>
      </c>
      <c r="GT68" s="327">
        <v>0.53</v>
      </c>
      <c r="GU68" s="327">
        <v>0.11</v>
      </c>
      <c r="GV68" s="327">
        <v>0.39</v>
      </c>
      <c r="GW68" s="327">
        <v>0.31</v>
      </c>
      <c r="GX68" s="327">
        <v>0.38</v>
      </c>
      <c r="GY68" s="309" t="s">
        <v>173</v>
      </c>
      <c r="GZ68" s="327">
        <v>0.15</v>
      </c>
      <c r="HA68" s="327">
        <v>0.81</v>
      </c>
      <c r="HB68" s="327">
        <v>0.35</v>
      </c>
      <c r="HC68" s="327">
        <v>0.38</v>
      </c>
      <c r="HD68" s="327">
        <v>0.38</v>
      </c>
      <c r="HE68" s="327">
        <v>0.38</v>
      </c>
      <c r="HF68" s="327">
        <v>0.35</v>
      </c>
      <c r="HG68" s="327">
        <v>0.6</v>
      </c>
      <c r="HH68" s="327">
        <v>0.18</v>
      </c>
      <c r="HI68" s="327">
        <v>0.32</v>
      </c>
      <c r="HJ68" s="327">
        <v>0.55000000000000004</v>
      </c>
      <c r="HK68" s="327">
        <v>0.45</v>
      </c>
      <c r="HL68" s="327">
        <v>0.32</v>
      </c>
      <c r="HM68" s="327">
        <v>0.43</v>
      </c>
      <c r="HN68" s="327">
        <v>0.35</v>
      </c>
      <c r="HO68" s="327">
        <v>0.34</v>
      </c>
      <c r="HP68" s="309" t="s">
        <v>173</v>
      </c>
      <c r="HQ68" s="327">
        <v>0.38</v>
      </c>
      <c r="HR68" s="424">
        <v>56</v>
      </c>
      <c r="HS68" s="424" t="s">
        <v>758</v>
      </c>
      <c r="HT68" s="424">
        <v>7</v>
      </c>
      <c r="HU68" s="424" t="s">
        <v>758</v>
      </c>
      <c r="HV68" s="428">
        <v>0.02</v>
      </c>
      <c r="HW68" s="428">
        <v>0.45</v>
      </c>
      <c r="HX68" s="428">
        <v>0.5</v>
      </c>
      <c r="HY68" s="428">
        <v>0.02</v>
      </c>
      <c r="HZ68" s="428">
        <v>0.2</v>
      </c>
      <c r="IA68" s="428">
        <v>0.46</v>
      </c>
      <c r="IB68" s="428">
        <v>0.27</v>
      </c>
      <c r="IC68" s="428">
        <v>0.4</v>
      </c>
      <c r="ID68" s="428">
        <v>0.6</v>
      </c>
      <c r="IE68" s="428">
        <v>0.19</v>
      </c>
      <c r="IF68" s="428">
        <v>0.36</v>
      </c>
      <c r="IG68" s="428">
        <v>0.44</v>
      </c>
      <c r="IH68" s="428">
        <v>0.37</v>
      </c>
      <c r="II68" s="428">
        <v>0.2</v>
      </c>
      <c r="IJ68" s="428">
        <v>0.21</v>
      </c>
      <c r="IK68" s="428">
        <v>0.45</v>
      </c>
      <c r="IL68" s="428">
        <v>0.24</v>
      </c>
      <c r="IM68" s="428">
        <v>0.51</v>
      </c>
      <c r="IN68" s="428">
        <v>0.32</v>
      </c>
      <c r="IO68" s="428">
        <v>0.43</v>
      </c>
      <c r="IP68" s="428">
        <v>0.35</v>
      </c>
      <c r="IQ68" s="428">
        <v>0.52</v>
      </c>
      <c r="IR68" s="428">
        <v>0.44</v>
      </c>
      <c r="IS68" s="428">
        <v>0.4</v>
      </c>
      <c r="IT68" s="428">
        <v>0.31</v>
      </c>
      <c r="IU68" s="424" t="s">
        <v>173</v>
      </c>
      <c r="IV68" s="428">
        <v>0.61</v>
      </c>
      <c r="IW68" s="428">
        <v>0.36</v>
      </c>
      <c r="IX68" s="428">
        <v>0.38</v>
      </c>
      <c r="IY68" s="428">
        <v>0.48</v>
      </c>
      <c r="IZ68" s="464">
        <v>62</v>
      </c>
      <c r="JA68" s="464" t="s">
        <v>759</v>
      </c>
      <c r="JB68" s="464">
        <v>7</v>
      </c>
      <c r="JC68" s="464" t="s">
        <v>758</v>
      </c>
      <c r="JD68" s="476">
        <v>0</v>
      </c>
      <c r="JE68" s="476">
        <v>0.14000000000000001</v>
      </c>
      <c r="JF68" s="476">
        <v>0.79</v>
      </c>
      <c r="JG68" s="476">
        <v>7.0000000000000007E-2</v>
      </c>
      <c r="JH68" s="476">
        <v>0.28999999999999998</v>
      </c>
      <c r="JI68" s="476">
        <v>0.32</v>
      </c>
      <c r="JJ68" s="476">
        <v>0.15</v>
      </c>
      <c r="JK68" s="476">
        <v>0.25</v>
      </c>
      <c r="JL68" s="476">
        <v>0.28999999999999998</v>
      </c>
      <c r="JM68" s="476">
        <v>0.2</v>
      </c>
      <c r="JN68" s="476">
        <v>0.16</v>
      </c>
      <c r="JO68" s="476">
        <v>0.34</v>
      </c>
      <c r="JP68" s="476">
        <v>0.28999999999999998</v>
      </c>
      <c r="JQ68" s="476">
        <v>0.09</v>
      </c>
      <c r="JR68" s="476">
        <v>0.42</v>
      </c>
      <c r="JS68" s="476">
        <v>0.27</v>
      </c>
      <c r="JT68" s="476">
        <v>0.16</v>
      </c>
      <c r="JU68" s="476">
        <v>0.31</v>
      </c>
      <c r="JV68" s="476">
        <v>0.25</v>
      </c>
      <c r="JW68" s="476">
        <v>0.32</v>
      </c>
      <c r="JX68" s="476">
        <v>0.17</v>
      </c>
      <c r="JY68" s="476">
        <v>0.48</v>
      </c>
      <c r="JZ68" s="476">
        <v>0.37</v>
      </c>
      <c r="KA68" s="476">
        <v>0.56999999999999995</v>
      </c>
      <c r="KB68" s="476">
        <v>0.23</v>
      </c>
      <c r="KC68" s="476">
        <v>0.39</v>
      </c>
      <c r="KD68" s="476">
        <v>0.21</v>
      </c>
      <c r="KE68" s="476">
        <v>0.16</v>
      </c>
      <c r="KF68" s="476">
        <v>0.25</v>
      </c>
      <c r="KG68" s="476">
        <v>0.31</v>
      </c>
      <c r="KH68" s="971">
        <v>58</v>
      </c>
      <c r="KI68" s="971" t="s">
        <v>758</v>
      </c>
      <c r="KJ68" s="971">
        <v>8</v>
      </c>
      <c r="KK68" s="971" t="s">
        <v>758</v>
      </c>
      <c r="KL68" s="949">
        <v>0.03</v>
      </c>
      <c r="KM68" s="949">
        <v>0.34</v>
      </c>
      <c r="KN68" s="949">
        <v>0.56000000000000005</v>
      </c>
      <c r="KO68" s="949">
        <v>0.06</v>
      </c>
      <c r="KP68" s="949">
        <v>0.37</v>
      </c>
      <c r="KQ68" s="949">
        <v>0.13</v>
      </c>
      <c r="KR68" s="949">
        <v>0.56999999999999995</v>
      </c>
      <c r="KS68" s="949">
        <v>0.38</v>
      </c>
      <c r="KT68" s="949">
        <v>0.45</v>
      </c>
      <c r="KU68" s="949">
        <v>0.28999999999999998</v>
      </c>
      <c r="KV68" s="949">
        <v>0.51</v>
      </c>
      <c r="KW68" s="949">
        <v>0.26</v>
      </c>
      <c r="KX68" s="949">
        <v>0.34</v>
      </c>
      <c r="KY68" s="949">
        <v>0.38</v>
      </c>
      <c r="KZ68" s="949">
        <v>0.24</v>
      </c>
      <c r="LA68" s="949">
        <v>0.38</v>
      </c>
      <c r="LB68" s="949">
        <v>0.33</v>
      </c>
      <c r="LC68" s="949">
        <v>0.27</v>
      </c>
      <c r="LD68" s="949">
        <v>0.45</v>
      </c>
      <c r="LE68" s="949">
        <v>0.37</v>
      </c>
      <c r="LF68" s="949">
        <v>0.2</v>
      </c>
      <c r="LG68" s="949">
        <v>0.24</v>
      </c>
      <c r="LH68" s="949">
        <v>0.46</v>
      </c>
      <c r="LI68" s="949">
        <v>0.34</v>
      </c>
      <c r="LJ68" s="949">
        <v>0.25</v>
      </c>
      <c r="LK68" s="949">
        <v>0.45</v>
      </c>
      <c r="LL68" s="949" t="s">
        <v>173</v>
      </c>
      <c r="LM68" s="949">
        <v>0.41</v>
      </c>
      <c r="LN68" s="949">
        <v>0.6</v>
      </c>
      <c r="LO68" s="949">
        <v>0.33</v>
      </c>
      <c r="LP68" s="922">
        <v>325754001662</v>
      </c>
      <c r="LQ68" s="126" t="s">
        <v>89</v>
      </c>
      <c r="LR68" s="424">
        <v>56</v>
      </c>
      <c r="LS68" s="971">
        <v>58</v>
      </c>
      <c r="LT68" s="946"/>
    </row>
    <row r="69" spans="1:332" ht="24.95" customHeight="1" x14ac:dyDescent="0.2">
      <c r="A69" s="126" t="s">
        <v>38</v>
      </c>
      <c r="B69" s="1" t="s">
        <v>123</v>
      </c>
      <c r="C69" s="2">
        <v>1</v>
      </c>
      <c r="D69" s="12">
        <v>53</v>
      </c>
      <c r="E69" s="12">
        <v>5</v>
      </c>
      <c r="F69" s="66">
        <v>0</v>
      </c>
      <c r="G69" s="66">
        <v>0.67</v>
      </c>
      <c r="H69" s="66">
        <v>0.33</v>
      </c>
      <c r="I69" s="66">
        <v>0</v>
      </c>
      <c r="J69" s="66">
        <v>0.56000000000000005</v>
      </c>
      <c r="K69" s="66">
        <v>0.35</v>
      </c>
      <c r="L69" s="66">
        <v>0.71</v>
      </c>
      <c r="M69" s="66">
        <v>0.28000000000000003</v>
      </c>
      <c r="N69" s="66">
        <v>0.25</v>
      </c>
      <c r="O69" s="66">
        <v>0.79</v>
      </c>
      <c r="P69" s="66">
        <v>0.41</v>
      </c>
      <c r="Q69" s="66">
        <v>0.41</v>
      </c>
      <c r="R69" s="66">
        <v>0.59</v>
      </c>
      <c r="S69" s="66">
        <v>0.79</v>
      </c>
      <c r="T69" s="66">
        <v>0.38</v>
      </c>
      <c r="U69" s="66">
        <v>0.68</v>
      </c>
      <c r="V69" s="66">
        <v>0.06</v>
      </c>
      <c r="W69" s="66">
        <v>0.16</v>
      </c>
      <c r="X69" s="66">
        <v>0.55000000000000004</v>
      </c>
      <c r="Y69" s="66">
        <v>0.34</v>
      </c>
      <c r="Z69" s="12" t="s">
        <v>173</v>
      </c>
      <c r="AA69" s="66">
        <v>0</v>
      </c>
      <c r="AB69" s="66">
        <v>0.49</v>
      </c>
      <c r="AC69" s="66">
        <v>0.31</v>
      </c>
      <c r="AD69" s="66">
        <v>0.48</v>
      </c>
      <c r="AE69" s="66">
        <v>0.45</v>
      </c>
      <c r="AF69" s="66">
        <v>0.55000000000000004</v>
      </c>
      <c r="AG69" s="66">
        <v>0.6</v>
      </c>
      <c r="AH69" s="12">
        <v>51</v>
      </c>
      <c r="AI69" s="12">
        <v>6</v>
      </c>
      <c r="AJ69" s="40">
        <v>0.03</v>
      </c>
      <c r="AK69" s="40">
        <v>0.7</v>
      </c>
      <c r="AL69" s="40">
        <v>0.27</v>
      </c>
      <c r="AM69" s="40">
        <v>0</v>
      </c>
      <c r="AN69" s="40">
        <v>0.27</v>
      </c>
      <c r="AO69" s="40">
        <v>0.46</v>
      </c>
      <c r="AP69" s="40">
        <v>0.59</v>
      </c>
      <c r="AQ69" s="40">
        <v>0.4</v>
      </c>
      <c r="AR69" s="40">
        <v>0.59</v>
      </c>
      <c r="AS69" s="40">
        <v>0.59</v>
      </c>
      <c r="AT69" s="40">
        <v>0.53</v>
      </c>
      <c r="AU69" s="40">
        <v>0.6</v>
      </c>
      <c r="AV69" s="40">
        <v>0.63</v>
      </c>
      <c r="AW69" s="40">
        <v>0.61</v>
      </c>
      <c r="AX69" s="40">
        <v>0.5</v>
      </c>
      <c r="AY69" s="40">
        <v>0.4</v>
      </c>
      <c r="AZ69" s="40">
        <v>0.28000000000000003</v>
      </c>
      <c r="BA69" s="40">
        <v>0.57999999999999996</v>
      </c>
      <c r="BB69" s="40">
        <v>0.72</v>
      </c>
      <c r="BC69" s="40">
        <v>0.66</v>
      </c>
      <c r="BD69" s="40">
        <v>0.33</v>
      </c>
      <c r="BE69" s="40">
        <v>0.64</v>
      </c>
      <c r="BF69" s="40">
        <v>0.85</v>
      </c>
      <c r="BG69" s="40">
        <v>0.48</v>
      </c>
      <c r="BH69" s="40">
        <v>0.46</v>
      </c>
      <c r="BI69" s="40">
        <v>0.39</v>
      </c>
      <c r="BJ69" s="40">
        <v>0.25</v>
      </c>
      <c r="BK69" s="40">
        <v>0.52</v>
      </c>
      <c r="BL69" s="40">
        <v>0.31</v>
      </c>
      <c r="BM69" s="12">
        <v>47</v>
      </c>
      <c r="BN69" s="12">
        <v>6</v>
      </c>
      <c r="BO69" s="66">
        <v>0.14000000000000001</v>
      </c>
      <c r="BP69" s="66">
        <v>0.77</v>
      </c>
      <c r="BQ69" s="66">
        <v>0.09</v>
      </c>
      <c r="BR69" s="66">
        <v>0</v>
      </c>
      <c r="BS69" s="66">
        <v>0.44</v>
      </c>
      <c r="BT69" s="66">
        <v>0.78</v>
      </c>
      <c r="BU69" s="66">
        <v>0.55000000000000004</v>
      </c>
      <c r="BV69" s="66">
        <v>0.4</v>
      </c>
      <c r="BW69" s="66">
        <v>0.69</v>
      </c>
      <c r="BX69" s="66">
        <v>0.45</v>
      </c>
      <c r="BY69" s="66">
        <v>0.56000000000000005</v>
      </c>
      <c r="BZ69" s="66">
        <v>0.6</v>
      </c>
      <c r="CA69" s="66">
        <v>0.49</v>
      </c>
      <c r="CB69" s="66">
        <v>0.41</v>
      </c>
      <c r="CC69" s="66">
        <v>0.28000000000000003</v>
      </c>
      <c r="CD69" s="66">
        <v>0.48</v>
      </c>
      <c r="CE69" s="66">
        <v>0.43</v>
      </c>
      <c r="CF69" s="66">
        <v>0.73</v>
      </c>
      <c r="CG69" s="66">
        <v>0.59</v>
      </c>
      <c r="CH69" s="66">
        <v>0.56999999999999995</v>
      </c>
      <c r="CI69" s="66">
        <v>0.65</v>
      </c>
      <c r="CJ69" s="66">
        <v>0.52</v>
      </c>
      <c r="CK69" s="66">
        <v>0.75</v>
      </c>
      <c r="CL69" s="66">
        <v>0.53</v>
      </c>
      <c r="CM69" s="66">
        <v>0.57999999999999996</v>
      </c>
      <c r="CN69" s="66">
        <v>0.63</v>
      </c>
      <c r="CO69" s="66">
        <v>0.53</v>
      </c>
      <c r="CP69" s="66">
        <v>0.44</v>
      </c>
      <c r="CQ69" s="66">
        <v>0.56000000000000005</v>
      </c>
      <c r="CR69" s="66">
        <v>0.53</v>
      </c>
      <c r="CS69" s="12">
        <v>47</v>
      </c>
      <c r="CT69" s="12">
        <v>9</v>
      </c>
      <c r="CU69" s="63">
        <v>0.15</v>
      </c>
      <c r="CV69" s="63">
        <v>0.69</v>
      </c>
      <c r="CW69" s="63">
        <v>0.12</v>
      </c>
      <c r="CX69" s="63">
        <v>0.04</v>
      </c>
      <c r="CY69" s="63">
        <v>0.51</v>
      </c>
      <c r="CZ69" s="63">
        <v>0.3</v>
      </c>
      <c r="DA69" s="63">
        <v>0.49</v>
      </c>
      <c r="DB69" s="63">
        <v>0.37</v>
      </c>
      <c r="DC69" s="63">
        <v>0.41</v>
      </c>
      <c r="DD69" s="63">
        <v>0.56000000000000005</v>
      </c>
      <c r="DE69" s="63">
        <v>0.62</v>
      </c>
      <c r="DF69" s="63">
        <v>0.61</v>
      </c>
      <c r="DG69" s="63">
        <v>0.57999999999999996</v>
      </c>
      <c r="DH69" s="63">
        <v>0.32</v>
      </c>
      <c r="DI69" s="63">
        <v>0.57999999999999996</v>
      </c>
      <c r="DJ69" s="63">
        <v>0.7</v>
      </c>
      <c r="DK69" s="63">
        <v>0.46</v>
      </c>
      <c r="DL69" s="63">
        <v>0.62</v>
      </c>
      <c r="DM69" s="63">
        <v>0.6</v>
      </c>
      <c r="DN69" s="63">
        <v>0.56000000000000005</v>
      </c>
      <c r="DO69" s="63">
        <v>0.56999999999999995</v>
      </c>
      <c r="DP69" s="63">
        <v>0.49</v>
      </c>
      <c r="DQ69" s="63">
        <v>0.65</v>
      </c>
      <c r="DR69" s="63">
        <v>0.2</v>
      </c>
      <c r="DS69" s="63">
        <v>0.46</v>
      </c>
      <c r="DT69" s="63">
        <v>0.63</v>
      </c>
      <c r="DU69" s="63">
        <v>0.54</v>
      </c>
      <c r="DV69" s="63">
        <v>0.69</v>
      </c>
      <c r="DW69" s="63">
        <v>0.43</v>
      </c>
      <c r="DX69" s="35">
        <v>44</v>
      </c>
      <c r="DY69" s="35">
        <v>9</v>
      </c>
      <c r="DZ69" s="40">
        <v>0.32</v>
      </c>
      <c r="EA69" s="40">
        <v>0.56000000000000005</v>
      </c>
      <c r="EB69" s="40">
        <v>0.12</v>
      </c>
      <c r="EC69" s="40">
        <v>0</v>
      </c>
      <c r="ED69" s="40">
        <v>0.53</v>
      </c>
      <c r="EE69" s="40">
        <v>0.6</v>
      </c>
      <c r="EF69" s="40">
        <v>0.56999999999999995</v>
      </c>
      <c r="EG69" s="40">
        <v>0</v>
      </c>
      <c r="EH69" s="40">
        <v>0.59</v>
      </c>
      <c r="EI69" s="40">
        <v>0.71</v>
      </c>
      <c r="EJ69" s="40">
        <v>0.78</v>
      </c>
      <c r="EK69" s="40">
        <v>0.32</v>
      </c>
      <c r="EL69" s="40">
        <v>0.59</v>
      </c>
      <c r="EM69" s="40">
        <v>0.74</v>
      </c>
      <c r="EN69" s="40">
        <v>0.56999999999999995</v>
      </c>
      <c r="EO69" s="40">
        <v>0.53</v>
      </c>
      <c r="EP69" s="40">
        <v>0.51</v>
      </c>
      <c r="EQ69" s="40">
        <v>0.55000000000000004</v>
      </c>
      <c r="ER69" s="40">
        <v>0.59</v>
      </c>
      <c r="ES69" s="40">
        <v>0.42</v>
      </c>
      <c r="ET69" s="40">
        <v>0.56000000000000005</v>
      </c>
      <c r="EU69" s="40">
        <v>0.64</v>
      </c>
      <c r="EV69" s="40">
        <v>0.5</v>
      </c>
      <c r="EW69" s="40">
        <v>0.33</v>
      </c>
      <c r="EX69" s="40">
        <v>0.6</v>
      </c>
      <c r="EY69" s="40">
        <v>0.68</v>
      </c>
      <c r="EZ69" s="40">
        <v>0.33</v>
      </c>
      <c r="FA69" s="40">
        <v>0.73</v>
      </c>
      <c r="FB69" s="246">
        <v>48</v>
      </c>
      <c r="FC69" s="246" t="s">
        <v>758</v>
      </c>
      <c r="FD69" s="246">
        <v>9</v>
      </c>
      <c r="FE69" s="246" t="s">
        <v>758</v>
      </c>
      <c r="FF69" s="263">
        <v>0.22</v>
      </c>
      <c r="FG69" s="263">
        <v>0.59</v>
      </c>
      <c r="FH69" s="263">
        <v>0.19</v>
      </c>
      <c r="FI69" s="263">
        <v>0</v>
      </c>
      <c r="FJ69" s="263">
        <v>0.44</v>
      </c>
      <c r="FK69" s="263">
        <v>0.6</v>
      </c>
      <c r="FL69" s="263">
        <v>0.6</v>
      </c>
      <c r="FM69" s="263">
        <v>0.43</v>
      </c>
      <c r="FN69" s="263">
        <v>0.24</v>
      </c>
      <c r="FO69" s="263">
        <v>0.42</v>
      </c>
      <c r="FP69" s="263">
        <v>0.49</v>
      </c>
      <c r="FQ69" s="263">
        <v>0.5</v>
      </c>
      <c r="FR69" s="263">
        <v>0.57999999999999996</v>
      </c>
      <c r="FS69" s="263">
        <v>0.51</v>
      </c>
      <c r="FT69" s="263">
        <v>0.56000000000000005</v>
      </c>
      <c r="FU69" s="263">
        <v>0.46</v>
      </c>
      <c r="FV69" s="263">
        <v>0.6</v>
      </c>
      <c r="FW69" s="263">
        <v>0.69</v>
      </c>
      <c r="FX69" s="263">
        <v>0.5</v>
      </c>
      <c r="FY69" s="263">
        <v>0.44</v>
      </c>
      <c r="FZ69" s="263">
        <v>0.4</v>
      </c>
      <c r="GA69" s="263">
        <v>0.42</v>
      </c>
      <c r="GB69" s="263">
        <v>0.48</v>
      </c>
      <c r="GC69" s="263">
        <v>0.42</v>
      </c>
      <c r="GD69" s="263">
        <v>0.62</v>
      </c>
      <c r="GE69" s="263">
        <v>0.56999999999999995</v>
      </c>
      <c r="GF69" s="263">
        <v>0.64</v>
      </c>
      <c r="GG69" s="263">
        <v>0.55000000000000004</v>
      </c>
      <c r="GH69" s="263">
        <v>0.56999999999999995</v>
      </c>
      <c r="GI69" s="263">
        <v>0.25</v>
      </c>
      <c r="GJ69" s="309">
        <v>49</v>
      </c>
      <c r="GK69" s="309" t="s">
        <v>758</v>
      </c>
      <c r="GL69" s="309">
        <v>9</v>
      </c>
      <c r="GM69" s="309" t="s">
        <v>758</v>
      </c>
      <c r="GN69" s="327">
        <v>0.18</v>
      </c>
      <c r="GO69" s="327">
        <v>0.56999999999999995</v>
      </c>
      <c r="GP69" s="327">
        <v>0.21</v>
      </c>
      <c r="GQ69" s="327">
        <v>0.04</v>
      </c>
      <c r="GR69" s="327">
        <v>0.46</v>
      </c>
      <c r="GS69" s="327">
        <v>0.45</v>
      </c>
      <c r="GT69" s="327">
        <v>0.72</v>
      </c>
      <c r="GU69" s="327">
        <v>0.19</v>
      </c>
      <c r="GV69" s="327">
        <v>0.61</v>
      </c>
      <c r="GW69" s="327">
        <v>0.61</v>
      </c>
      <c r="GX69" s="327">
        <v>0.42</v>
      </c>
      <c r="GY69" s="309" t="s">
        <v>173</v>
      </c>
      <c r="GZ69" s="327">
        <v>0.6</v>
      </c>
      <c r="HA69" s="327">
        <v>0.5</v>
      </c>
      <c r="HB69" s="327">
        <v>0.51</v>
      </c>
      <c r="HC69" s="327">
        <v>0.49</v>
      </c>
      <c r="HD69" s="327">
        <v>0.56000000000000005</v>
      </c>
      <c r="HE69" s="327">
        <v>0.57999999999999996</v>
      </c>
      <c r="HF69" s="327">
        <v>0.52</v>
      </c>
      <c r="HG69" s="327">
        <v>0.69</v>
      </c>
      <c r="HH69" s="327">
        <v>0.49</v>
      </c>
      <c r="HI69" s="327">
        <v>0.57999999999999996</v>
      </c>
      <c r="HJ69" s="327">
        <v>0.56000000000000005</v>
      </c>
      <c r="HK69" s="327">
        <v>0.47</v>
      </c>
      <c r="HL69" s="327">
        <v>0.31</v>
      </c>
      <c r="HM69" s="327">
        <v>0.55000000000000004</v>
      </c>
      <c r="HN69" s="327">
        <v>0.67</v>
      </c>
      <c r="HO69" s="327">
        <v>0.41</v>
      </c>
      <c r="HP69" s="309" t="s">
        <v>173</v>
      </c>
      <c r="HQ69" s="327">
        <v>0.47</v>
      </c>
      <c r="HR69" s="424">
        <v>47</v>
      </c>
      <c r="HS69" s="424" t="s">
        <v>758</v>
      </c>
      <c r="HT69" s="424">
        <v>8</v>
      </c>
      <c r="HU69" s="424" t="s">
        <v>758</v>
      </c>
      <c r="HV69" s="428">
        <v>0.23</v>
      </c>
      <c r="HW69" s="428">
        <v>0.55000000000000004</v>
      </c>
      <c r="HX69" s="428">
        <v>0.23</v>
      </c>
      <c r="HY69" s="428">
        <v>0</v>
      </c>
      <c r="HZ69" s="428">
        <v>0.47</v>
      </c>
      <c r="IA69" s="428">
        <v>0.68</v>
      </c>
      <c r="IB69" s="428">
        <v>0.23</v>
      </c>
      <c r="IC69" s="428">
        <v>0.75</v>
      </c>
      <c r="ID69" s="428">
        <v>0.67</v>
      </c>
      <c r="IE69" s="428">
        <v>0.56000000000000005</v>
      </c>
      <c r="IF69" s="428">
        <v>0.43</v>
      </c>
      <c r="IG69" s="428">
        <v>0.73</v>
      </c>
      <c r="IH69" s="428">
        <v>0.56000000000000005</v>
      </c>
      <c r="II69" s="428">
        <v>0.56000000000000005</v>
      </c>
      <c r="IJ69" s="428">
        <v>0.35</v>
      </c>
      <c r="IK69" s="428">
        <v>0.62</v>
      </c>
      <c r="IL69" s="428">
        <v>0.45</v>
      </c>
      <c r="IM69" s="428">
        <v>0.72</v>
      </c>
      <c r="IN69" s="428">
        <v>0.54</v>
      </c>
      <c r="IO69" s="428">
        <v>0.47</v>
      </c>
      <c r="IP69" s="428">
        <v>0.53</v>
      </c>
      <c r="IQ69" s="428">
        <v>0.66</v>
      </c>
      <c r="IR69" s="428">
        <v>0.59</v>
      </c>
      <c r="IS69" s="428">
        <v>0.38</v>
      </c>
      <c r="IT69" s="428">
        <v>0.43</v>
      </c>
      <c r="IU69" s="424" t="s">
        <v>173</v>
      </c>
      <c r="IV69" s="428">
        <v>0.67</v>
      </c>
      <c r="IW69" s="428">
        <v>0.46</v>
      </c>
      <c r="IX69" s="428">
        <v>0.55000000000000004</v>
      </c>
      <c r="IY69" s="428">
        <v>0.6</v>
      </c>
      <c r="IZ69" s="464">
        <v>46</v>
      </c>
      <c r="JA69" s="464" t="s">
        <v>758</v>
      </c>
      <c r="JB69" s="464">
        <v>10</v>
      </c>
      <c r="JC69" s="464" t="s">
        <v>758</v>
      </c>
      <c r="JD69" s="476">
        <v>0.31</v>
      </c>
      <c r="JE69" s="476">
        <v>0.5</v>
      </c>
      <c r="JF69" s="476">
        <v>0.19</v>
      </c>
      <c r="JG69" s="476">
        <v>0</v>
      </c>
      <c r="JH69" s="476">
        <v>0.67</v>
      </c>
      <c r="JI69" s="476">
        <v>0.47</v>
      </c>
      <c r="JJ69" s="476">
        <v>0.5</v>
      </c>
      <c r="JK69" s="476">
        <v>0.66</v>
      </c>
      <c r="JL69" s="476">
        <v>0.5</v>
      </c>
      <c r="JM69" s="476">
        <v>0.67</v>
      </c>
      <c r="JN69" s="476">
        <v>0.49</v>
      </c>
      <c r="JO69" s="476">
        <v>0.6</v>
      </c>
      <c r="JP69" s="476">
        <v>0.64</v>
      </c>
      <c r="JQ69" s="476">
        <v>0.38</v>
      </c>
      <c r="JR69" s="476">
        <v>0.67</v>
      </c>
      <c r="JS69" s="476">
        <v>0.71</v>
      </c>
      <c r="JT69" s="476">
        <v>0.41</v>
      </c>
      <c r="JU69" s="476">
        <v>0.64</v>
      </c>
      <c r="JV69" s="476">
        <v>0.57999999999999996</v>
      </c>
      <c r="JW69" s="476">
        <v>0.47</v>
      </c>
      <c r="JX69" s="476">
        <v>0.72</v>
      </c>
      <c r="JY69" s="476">
        <v>0.63</v>
      </c>
      <c r="JZ69" s="476">
        <v>0.38</v>
      </c>
      <c r="KA69" s="476">
        <v>0.57999999999999996</v>
      </c>
      <c r="KB69" s="476">
        <v>0.46</v>
      </c>
      <c r="KC69" s="476">
        <v>0.6</v>
      </c>
      <c r="KD69" s="476">
        <v>0.4</v>
      </c>
      <c r="KE69" s="476">
        <v>0.55000000000000004</v>
      </c>
      <c r="KF69" s="476">
        <v>0.69</v>
      </c>
      <c r="KG69" s="476">
        <v>0.57999999999999996</v>
      </c>
      <c r="KH69" s="971">
        <v>46</v>
      </c>
      <c r="KI69" s="971" t="s">
        <v>758</v>
      </c>
      <c r="KJ69" s="971">
        <v>6</v>
      </c>
      <c r="KK69" s="971" t="s">
        <v>758</v>
      </c>
      <c r="KL69" s="949">
        <v>0.14000000000000001</v>
      </c>
      <c r="KM69" s="949">
        <v>0.86</v>
      </c>
      <c r="KN69" s="949">
        <v>0</v>
      </c>
      <c r="KO69" s="949">
        <v>0</v>
      </c>
      <c r="KP69" s="949">
        <v>0.7</v>
      </c>
      <c r="KQ69" s="949">
        <v>0.45</v>
      </c>
      <c r="KR69" s="949">
        <v>0.56000000000000005</v>
      </c>
      <c r="KS69" s="949">
        <v>0.56000000000000005</v>
      </c>
      <c r="KT69" s="949">
        <v>0.5</v>
      </c>
      <c r="KU69" s="949">
        <v>0.36</v>
      </c>
      <c r="KV69" s="949">
        <v>0.68</v>
      </c>
      <c r="KW69" s="949">
        <v>0.47</v>
      </c>
      <c r="KX69" s="949">
        <v>0.54</v>
      </c>
      <c r="KY69" s="949">
        <v>0.63</v>
      </c>
      <c r="KZ69" s="949">
        <v>0.36</v>
      </c>
      <c r="LA69" s="949">
        <v>1</v>
      </c>
      <c r="LB69" s="949">
        <v>0.54</v>
      </c>
      <c r="LC69" s="949">
        <v>0.5</v>
      </c>
      <c r="LD69" s="949">
        <v>0.73</v>
      </c>
      <c r="LE69" s="949">
        <v>0.57999999999999996</v>
      </c>
      <c r="LF69" s="949">
        <v>0.56000000000000005</v>
      </c>
      <c r="LG69" s="949">
        <v>0.8</v>
      </c>
      <c r="LH69" s="949">
        <v>0.67</v>
      </c>
      <c r="LI69" s="949">
        <v>0.56999999999999995</v>
      </c>
      <c r="LJ69" s="949">
        <v>0.55000000000000004</v>
      </c>
      <c r="LK69" s="949">
        <v>0.67</v>
      </c>
      <c r="LL69" s="949" t="s">
        <v>173</v>
      </c>
      <c r="LM69" s="949">
        <v>0.69</v>
      </c>
      <c r="LN69" s="949">
        <v>0.75</v>
      </c>
      <c r="LO69" s="949">
        <v>0.5</v>
      </c>
      <c r="LP69" s="922">
        <v>325754001671</v>
      </c>
      <c r="LQ69" s="126" t="s">
        <v>38</v>
      </c>
      <c r="LR69" s="424">
        <v>47</v>
      </c>
      <c r="LS69" s="971">
        <v>46</v>
      </c>
      <c r="LT69" s="946"/>
    </row>
    <row r="70" spans="1:332" ht="24.95" customHeight="1" x14ac:dyDescent="0.2">
      <c r="A70" s="126" t="s">
        <v>75</v>
      </c>
      <c r="B70" s="1" t="s">
        <v>123</v>
      </c>
      <c r="C70" s="2">
        <v>3</v>
      </c>
      <c r="D70" s="12">
        <v>59</v>
      </c>
      <c r="E70" s="12">
        <v>7</v>
      </c>
      <c r="F70" s="66">
        <v>0</v>
      </c>
      <c r="G70" s="66">
        <v>0.35</v>
      </c>
      <c r="H70" s="66">
        <v>0.62</v>
      </c>
      <c r="I70" s="66">
        <v>0.03</v>
      </c>
      <c r="J70" s="66">
        <v>0.22</v>
      </c>
      <c r="K70" s="66">
        <v>0.33</v>
      </c>
      <c r="L70" s="66">
        <v>0.48</v>
      </c>
      <c r="M70" s="66">
        <v>0.2</v>
      </c>
      <c r="N70" s="66">
        <v>0.27</v>
      </c>
      <c r="O70" s="66">
        <v>0.69</v>
      </c>
      <c r="P70" s="66">
        <v>0.18</v>
      </c>
      <c r="Q70" s="66">
        <v>0.42</v>
      </c>
      <c r="R70" s="66">
        <v>0.44</v>
      </c>
      <c r="S70" s="66">
        <v>0.7</v>
      </c>
      <c r="T70" s="66">
        <v>0.36</v>
      </c>
      <c r="U70" s="66">
        <v>0.64</v>
      </c>
      <c r="V70" s="66">
        <v>0.03</v>
      </c>
      <c r="W70" s="66">
        <v>0</v>
      </c>
      <c r="X70" s="66">
        <v>0.4</v>
      </c>
      <c r="Y70" s="66">
        <v>0.45</v>
      </c>
      <c r="Z70" s="66">
        <v>1</v>
      </c>
      <c r="AA70" s="66">
        <v>0.05</v>
      </c>
      <c r="AB70" s="66">
        <v>0.42</v>
      </c>
      <c r="AC70" s="66">
        <v>0.12</v>
      </c>
      <c r="AD70" s="66">
        <v>0.31</v>
      </c>
      <c r="AE70" s="66">
        <v>0.22</v>
      </c>
      <c r="AF70" s="66">
        <v>0.49</v>
      </c>
      <c r="AG70" s="66">
        <v>0.32</v>
      </c>
      <c r="AH70" s="12">
        <v>57</v>
      </c>
      <c r="AI70" s="12">
        <v>8</v>
      </c>
      <c r="AJ70" s="40">
        <v>0</v>
      </c>
      <c r="AK70" s="40">
        <v>0.46</v>
      </c>
      <c r="AL70" s="40">
        <v>0.49</v>
      </c>
      <c r="AM70" s="40">
        <v>0.05</v>
      </c>
      <c r="AN70" s="40">
        <v>0.23</v>
      </c>
      <c r="AO70" s="40">
        <v>0.42</v>
      </c>
      <c r="AP70" s="40">
        <v>0.5</v>
      </c>
      <c r="AQ70" s="40">
        <v>0.32</v>
      </c>
      <c r="AR70" s="40">
        <v>0.49</v>
      </c>
      <c r="AS70" s="40">
        <v>0.37</v>
      </c>
      <c r="AT70" s="40">
        <v>0.45</v>
      </c>
      <c r="AU70" s="40">
        <v>0.45</v>
      </c>
      <c r="AV70" s="40">
        <v>0.47</v>
      </c>
      <c r="AW70" s="40">
        <v>0.52</v>
      </c>
      <c r="AX70" s="40">
        <v>0.45</v>
      </c>
      <c r="AY70" s="40">
        <v>0.21</v>
      </c>
      <c r="AZ70" s="40">
        <v>0.16</v>
      </c>
      <c r="BA70" s="40">
        <v>0.28000000000000003</v>
      </c>
      <c r="BB70" s="40">
        <v>0.51</v>
      </c>
      <c r="BC70" s="40">
        <v>0.63</v>
      </c>
      <c r="BD70" s="40">
        <v>0.33</v>
      </c>
      <c r="BE70" s="40">
        <v>0.46</v>
      </c>
      <c r="BF70" s="40">
        <v>0.52</v>
      </c>
      <c r="BG70" s="40">
        <v>0.45</v>
      </c>
      <c r="BH70" s="40">
        <v>0.34</v>
      </c>
      <c r="BI70" s="40">
        <v>0.34</v>
      </c>
      <c r="BJ70" s="40">
        <v>0.27</v>
      </c>
      <c r="BK70" s="40">
        <v>0.39</v>
      </c>
      <c r="BL70" s="40">
        <v>0.34</v>
      </c>
      <c r="BM70" s="12">
        <v>55</v>
      </c>
      <c r="BN70" s="12">
        <v>9</v>
      </c>
      <c r="BO70" s="66">
        <v>0.05</v>
      </c>
      <c r="BP70" s="66">
        <v>0.48</v>
      </c>
      <c r="BQ70" s="66">
        <v>0.45</v>
      </c>
      <c r="BR70" s="66">
        <v>0.02</v>
      </c>
      <c r="BS70" s="66">
        <v>0.37</v>
      </c>
      <c r="BT70" s="66">
        <v>0.43</v>
      </c>
      <c r="BU70" s="66">
        <v>0.56000000000000005</v>
      </c>
      <c r="BV70" s="66">
        <v>0.27</v>
      </c>
      <c r="BW70" s="66">
        <v>0.57999999999999996</v>
      </c>
      <c r="BX70" s="66">
        <v>0.24</v>
      </c>
      <c r="BY70" s="66">
        <v>0.35</v>
      </c>
      <c r="BZ70" s="66">
        <v>0.46</v>
      </c>
      <c r="CA70" s="66">
        <v>0.3</v>
      </c>
      <c r="CB70" s="66">
        <v>0.26</v>
      </c>
      <c r="CC70" s="66">
        <v>0.1</v>
      </c>
      <c r="CD70" s="66">
        <v>0.31</v>
      </c>
      <c r="CE70" s="66">
        <v>0.31</v>
      </c>
      <c r="CF70" s="66">
        <v>0.56999999999999995</v>
      </c>
      <c r="CG70" s="66">
        <v>0.44</v>
      </c>
      <c r="CH70" s="66">
        <v>0.33</v>
      </c>
      <c r="CI70" s="66">
        <v>0.55000000000000004</v>
      </c>
      <c r="CJ70" s="66">
        <v>0.32</v>
      </c>
      <c r="CK70" s="66">
        <v>0.67</v>
      </c>
      <c r="CL70" s="66">
        <v>0.21</v>
      </c>
      <c r="CM70" s="66">
        <v>0.39</v>
      </c>
      <c r="CN70" s="66">
        <v>0.33</v>
      </c>
      <c r="CO70" s="66">
        <v>0.43</v>
      </c>
      <c r="CP70" s="66">
        <v>0.32</v>
      </c>
      <c r="CQ70" s="66">
        <v>0.45</v>
      </c>
      <c r="CR70" s="66">
        <v>0.46</v>
      </c>
      <c r="CS70" s="12">
        <v>54</v>
      </c>
      <c r="CT70" s="12">
        <v>7</v>
      </c>
      <c r="CU70" s="63">
        <v>0.04</v>
      </c>
      <c r="CV70" s="63">
        <v>0.53</v>
      </c>
      <c r="CW70" s="63">
        <v>0.43</v>
      </c>
      <c r="CX70" s="63">
        <v>0</v>
      </c>
      <c r="CY70" s="63">
        <v>0.49</v>
      </c>
      <c r="CZ70" s="63">
        <v>0.28999999999999998</v>
      </c>
      <c r="DA70" s="63">
        <v>0.52</v>
      </c>
      <c r="DB70" s="63">
        <v>0.33</v>
      </c>
      <c r="DC70" s="63">
        <v>0.42</v>
      </c>
      <c r="DD70" s="63">
        <v>0.63</v>
      </c>
      <c r="DE70" s="63">
        <v>0.44</v>
      </c>
      <c r="DF70" s="63">
        <v>0.43</v>
      </c>
      <c r="DG70" s="63">
        <v>0.35</v>
      </c>
      <c r="DH70" s="63">
        <v>0.28999999999999998</v>
      </c>
      <c r="DI70" s="63">
        <v>0.43</v>
      </c>
      <c r="DJ70" s="63">
        <v>0.33</v>
      </c>
      <c r="DK70" s="63">
        <v>0.32</v>
      </c>
      <c r="DL70" s="63">
        <v>0.32</v>
      </c>
      <c r="DM70" s="63">
        <v>0.39</v>
      </c>
      <c r="DN70" s="63">
        <v>0.47</v>
      </c>
      <c r="DO70" s="63">
        <v>0.4</v>
      </c>
      <c r="DP70" s="63">
        <v>0.39</v>
      </c>
      <c r="DQ70" s="63">
        <v>0.48</v>
      </c>
      <c r="DR70" s="63">
        <v>0.12</v>
      </c>
      <c r="DS70" s="63">
        <v>0.3</v>
      </c>
      <c r="DT70" s="63">
        <v>0.46</v>
      </c>
      <c r="DU70" s="63">
        <v>0.47</v>
      </c>
      <c r="DV70" s="63">
        <v>0.52</v>
      </c>
      <c r="DW70" s="63">
        <v>0.36</v>
      </c>
      <c r="DX70" s="35">
        <v>54</v>
      </c>
      <c r="DY70" s="35">
        <v>9</v>
      </c>
      <c r="DZ70" s="40">
        <v>0.04</v>
      </c>
      <c r="EA70" s="40">
        <v>0.53</v>
      </c>
      <c r="EB70" s="40">
        <v>0.41</v>
      </c>
      <c r="EC70" s="40">
        <v>0.02</v>
      </c>
      <c r="ED70" s="40">
        <v>0.39</v>
      </c>
      <c r="EE70" s="40">
        <v>0.39</v>
      </c>
      <c r="EF70" s="40">
        <v>0.27</v>
      </c>
      <c r="EG70" s="40">
        <v>0.21</v>
      </c>
      <c r="EH70" s="40">
        <v>0.34</v>
      </c>
      <c r="EI70" s="40">
        <v>0.48</v>
      </c>
      <c r="EJ70" s="40">
        <v>0.55000000000000004</v>
      </c>
      <c r="EK70" s="40">
        <v>0.21</v>
      </c>
      <c r="EL70" s="40">
        <v>0.35</v>
      </c>
      <c r="EM70" s="40">
        <v>0.62</v>
      </c>
      <c r="EN70" s="40">
        <v>0.38</v>
      </c>
      <c r="EO70" s="40">
        <v>0.52</v>
      </c>
      <c r="EP70" s="40">
        <v>0.28999999999999998</v>
      </c>
      <c r="EQ70" s="40">
        <v>0.26</v>
      </c>
      <c r="ER70" s="40">
        <v>0.54</v>
      </c>
      <c r="ES70" s="40">
        <v>0.34</v>
      </c>
      <c r="ET70" s="40">
        <v>0.19</v>
      </c>
      <c r="EU70" s="40">
        <v>0.63</v>
      </c>
      <c r="EV70" s="40">
        <v>0.46</v>
      </c>
      <c r="EW70" s="40">
        <v>0.28000000000000003</v>
      </c>
      <c r="EX70" s="40">
        <v>0.74</v>
      </c>
      <c r="EY70" s="40">
        <v>0.46</v>
      </c>
      <c r="EZ70" s="40">
        <v>0.1</v>
      </c>
      <c r="FA70" s="40">
        <v>0.5</v>
      </c>
      <c r="FB70" s="246">
        <v>55</v>
      </c>
      <c r="FC70" s="246" t="s">
        <v>758</v>
      </c>
      <c r="FD70" s="246">
        <v>8</v>
      </c>
      <c r="FE70" s="246" t="s">
        <v>758</v>
      </c>
      <c r="FF70" s="263">
        <v>0</v>
      </c>
      <c r="FG70" s="263">
        <v>0.56999999999999995</v>
      </c>
      <c r="FH70" s="263">
        <v>0.4</v>
      </c>
      <c r="FI70" s="263">
        <v>0.03</v>
      </c>
      <c r="FJ70" s="263">
        <v>0.34</v>
      </c>
      <c r="FK70" s="263">
        <v>0.6</v>
      </c>
      <c r="FL70" s="263">
        <v>0.41</v>
      </c>
      <c r="FM70" s="263">
        <v>0.26</v>
      </c>
      <c r="FN70" s="263">
        <v>0.17</v>
      </c>
      <c r="FO70" s="263">
        <v>0.11</v>
      </c>
      <c r="FP70" s="263">
        <v>0.31</v>
      </c>
      <c r="FQ70" s="263">
        <v>0.36</v>
      </c>
      <c r="FR70" s="263">
        <v>0.56999999999999995</v>
      </c>
      <c r="FS70" s="263">
        <v>0.53</v>
      </c>
      <c r="FT70" s="263">
        <v>0.28999999999999998</v>
      </c>
      <c r="FU70" s="263">
        <v>0.23</v>
      </c>
      <c r="FV70" s="263">
        <v>0.38</v>
      </c>
      <c r="FW70" s="263">
        <v>0.51</v>
      </c>
      <c r="FX70" s="263">
        <v>0.33</v>
      </c>
      <c r="FY70" s="263">
        <v>0.27</v>
      </c>
      <c r="FZ70" s="263">
        <v>0.35</v>
      </c>
      <c r="GA70" s="263">
        <v>0.53</v>
      </c>
      <c r="GB70" s="263">
        <v>0.37</v>
      </c>
      <c r="GC70" s="263">
        <v>0.36</v>
      </c>
      <c r="GD70" s="263">
        <v>0.56999999999999995</v>
      </c>
      <c r="GE70" s="263">
        <v>0.48</v>
      </c>
      <c r="GF70" s="263">
        <v>0.3</v>
      </c>
      <c r="GG70" s="263">
        <v>0.37</v>
      </c>
      <c r="GH70" s="263">
        <v>0.45</v>
      </c>
      <c r="GI70" s="263">
        <v>0.26</v>
      </c>
      <c r="GJ70" s="309">
        <v>57</v>
      </c>
      <c r="GK70" s="309" t="s">
        <v>758</v>
      </c>
      <c r="GL70" s="309">
        <v>7</v>
      </c>
      <c r="GM70" s="309" t="s">
        <v>758</v>
      </c>
      <c r="GN70" s="327">
        <v>0.03</v>
      </c>
      <c r="GO70" s="327">
        <v>0.34</v>
      </c>
      <c r="GP70" s="327">
        <v>0.6</v>
      </c>
      <c r="GQ70" s="327">
        <v>0.03</v>
      </c>
      <c r="GR70" s="327">
        <v>0.44</v>
      </c>
      <c r="GS70" s="327">
        <v>0.39</v>
      </c>
      <c r="GT70" s="327">
        <v>0.5</v>
      </c>
      <c r="GU70" s="327">
        <v>0.05</v>
      </c>
      <c r="GV70" s="327">
        <v>0.45</v>
      </c>
      <c r="GW70" s="327">
        <v>0.31</v>
      </c>
      <c r="GX70" s="327">
        <v>0.38</v>
      </c>
      <c r="GY70" s="309" t="s">
        <v>173</v>
      </c>
      <c r="GZ70" s="327">
        <v>0.08</v>
      </c>
      <c r="HA70" s="327">
        <v>0.42</v>
      </c>
      <c r="HB70" s="327">
        <v>0.45</v>
      </c>
      <c r="HC70" s="327">
        <v>0.28000000000000003</v>
      </c>
      <c r="HD70" s="327">
        <v>0.4</v>
      </c>
      <c r="HE70" s="327">
        <v>0.34</v>
      </c>
      <c r="HF70" s="327">
        <v>0.36</v>
      </c>
      <c r="HG70" s="327">
        <v>0.52</v>
      </c>
      <c r="HH70" s="327">
        <v>0.26</v>
      </c>
      <c r="HI70" s="327">
        <v>0.46</v>
      </c>
      <c r="HJ70" s="327">
        <v>0.5</v>
      </c>
      <c r="HK70" s="327">
        <v>0.47</v>
      </c>
      <c r="HL70" s="327">
        <v>0.37</v>
      </c>
      <c r="HM70" s="327">
        <v>0.34</v>
      </c>
      <c r="HN70" s="327">
        <v>0.37</v>
      </c>
      <c r="HO70" s="327">
        <v>0.4</v>
      </c>
      <c r="HP70" s="309" t="s">
        <v>173</v>
      </c>
      <c r="HQ70" s="327">
        <v>0.31</v>
      </c>
      <c r="HR70" s="424">
        <v>58</v>
      </c>
      <c r="HS70" s="424" t="s">
        <v>758</v>
      </c>
      <c r="HT70" s="424">
        <v>8</v>
      </c>
      <c r="HU70" s="424" t="s">
        <v>758</v>
      </c>
      <c r="HV70" s="428">
        <v>0.02</v>
      </c>
      <c r="HW70" s="428">
        <v>0.28000000000000003</v>
      </c>
      <c r="HX70" s="428">
        <v>0.69</v>
      </c>
      <c r="HY70" s="428">
        <v>0.02</v>
      </c>
      <c r="HZ70" s="428">
        <v>0.25</v>
      </c>
      <c r="IA70" s="428">
        <v>0.39</v>
      </c>
      <c r="IB70" s="428">
        <v>0.27</v>
      </c>
      <c r="IC70" s="428">
        <v>0.38</v>
      </c>
      <c r="ID70" s="428">
        <v>0.53</v>
      </c>
      <c r="IE70" s="428">
        <v>0.2</v>
      </c>
      <c r="IF70" s="428">
        <v>0.34</v>
      </c>
      <c r="IG70" s="428">
        <v>0.41</v>
      </c>
      <c r="IH70" s="428">
        <v>0.45</v>
      </c>
      <c r="II70" s="428">
        <v>0.16</v>
      </c>
      <c r="IJ70" s="428">
        <v>0.19</v>
      </c>
      <c r="IK70" s="428">
        <v>0.44</v>
      </c>
      <c r="IL70" s="428">
        <v>0.2</v>
      </c>
      <c r="IM70" s="428">
        <v>0.44</v>
      </c>
      <c r="IN70" s="428">
        <v>0.31</v>
      </c>
      <c r="IO70" s="428">
        <v>0.43</v>
      </c>
      <c r="IP70" s="428">
        <v>0.28999999999999998</v>
      </c>
      <c r="IQ70" s="428">
        <v>0.54</v>
      </c>
      <c r="IR70" s="428">
        <v>0.39</v>
      </c>
      <c r="IS70" s="428">
        <v>0.36</v>
      </c>
      <c r="IT70" s="428">
        <v>0.31</v>
      </c>
      <c r="IU70" s="424" t="s">
        <v>173</v>
      </c>
      <c r="IV70" s="428">
        <v>0.49</v>
      </c>
      <c r="IW70" s="428">
        <v>0.28999999999999998</v>
      </c>
      <c r="IX70" s="428">
        <v>0.26</v>
      </c>
      <c r="IY70" s="428">
        <v>0.39</v>
      </c>
      <c r="IZ70" s="464">
        <v>58</v>
      </c>
      <c r="JA70" s="464" t="s">
        <v>758</v>
      </c>
      <c r="JB70" s="464">
        <v>8</v>
      </c>
      <c r="JC70" s="464" t="s">
        <v>758</v>
      </c>
      <c r="JD70" s="476">
        <v>0.04</v>
      </c>
      <c r="JE70" s="476">
        <v>0.25</v>
      </c>
      <c r="JF70" s="476">
        <v>0.67</v>
      </c>
      <c r="JG70" s="476">
        <v>0.04</v>
      </c>
      <c r="JH70" s="476">
        <v>0.34</v>
      </c>
      <c r="JI70" s="476">
        <v>0.3</v>
      </c>
      <c r="JJ70" s="476">
        <v>0.31</v>
      </c>
      <c r="JK70" s="476">
        <v>0.44</v>
      </c>
      <c r="JL70" s="476">
        <v>0.34</v>
      </c>
      <c r="JM70" s="476">
        <v>0.36</v>
      </c>
      <c r="JN70" s="476">
        <v>0.27</v>
      </c>
      <c r="JO70" s="476">
        <v>0.32</v>
      </c>
      <c r="JP70" s="476">
        <v>0.43</v>
      </c>
      <c r="JQ70" s="476">
        <v>0.16</v>
      </c>
      <c r="JR70" s="476">
        <v>0.44</v>
      </c>
      <c r="JS70" s="476">
        <v>0.41</v>
      </c>
      <c r="JT70" s="476">
        <v>0.24</v>
      </c>
      <c r="JU70" s="476">
        <v>0.46</v>
      </c>
      <c r="JV70" s="476">
        <v>0.4</v>
      </c>
      <c r="JW70" s="476">
        <v>0.33</v>
      </c>
      <c r="JX70" s="476">
        <v>0.28000000000000003</v>
      </c>
      <c r="JY70" s="476">
        <v>0.31</v>
      </c>
      <c r="JZ70" s="476">
        <v>0.4</v>
      </c>
      <c r="KA70" s="476">
        <v>0.5</v>
      </c>
      <c r="KB70" s="476">
        <v>0.27</v>
      </c>
      <c r="KC70" s="476">
        <v>0.56999999999999995</v>
      </c>
      <c r="KD70" s="476">
        <v>0.24</v>
      </c>
      <c r="KE70" s="476">
        <v>0.41</v>
      </c>
      <c r="KF70" s="476">
        <v>0.35</v>
      </c>
      <c r="KG70" s="476">
        <v>0.39</v>
      </c>
      <c r="KH70" s="971">
        <v>60</v>
      </c>
      <c r="KI70" s="971" t="s">
        <v>758</v>
      </c>
      <c r="KJ70" s="971">
        <v>11</v>
      </c>
      <c r="KK70" s="971" t="s">
        <v>758</v>
      </c>
      <c r="KL70" s="949">
        <v>0.02</v>
      </c>
      <c r="KM70" s="949">
        <v>0.32</v>
      </c>
      <c r="KN70" s="949">
        <v>0.57999999999999996</v>
      </c>
      <c r="KO70" s="949">
        <v>0.09</v>
      </c>
      <c r="KP70" s="949">
        <v>0.45</v>
      </c>
      <c r="KQ70" s="949">
        <v>0.15</v>
      </c>
      <c r="KR70" s="949">
        <v>0.5</v>
      </c>
      <c r="KS70" s="949">
        <v>0.32</v>
      </c>
      <c r="KT70" s="949">
        <v>0.4</v>
      </c>
      <c r="KU70" s="949">
        <v>0.24</v>
      </c>
      <c r="KV70" s="949">
        <v>0.47</v>
      </c>
      <c r="KW70" s="949">
        <v>0.19</v>
      </c>
      <c r="KX70" s="949">
        <v>0.24</v>
      </c>
      <c r="KY70" s="949">
        <v>0.4</v>
      </c>
      <c r="KZ70" s="949">
        <v>0.27</v>
      </c>
      <c r="LA70" s="949">
        <v>0.24</v>
      </c>
      <c r="LB70" s="949">
        <v>0.31</v>
      </c>
      <c r="LC70" s="949">
        <v>0.28999999999999998</v>
      </c>
      <c r="LD70" s="949">
        <v>0.47</v>
      </c>
      <c r="LE70" s="949">
        <v>0.34</v>
      </c>
      <c r="LF70" s="949">
        <v>0.2</v>
      </c>
      <c r="LG70" s="949">
        <v>0.2</v>
      </c>
      <c r="LH70" s="949">
        <v>0.33</v>
      </c>
      <c r="LI70" s="949">
        <v>0.32</v>
      </c>
      <c r="LJ70" s="949">
        <v>0.26</v>
      </c>
      <c r="LK70" s="949">
        <v>0.45</v>
      </c>
      <c r="LL70" s="949" t="s">
        <v>173</v>
      </c>
      <c r="LM70" s="949">
        <v>0.43</v>
      </c>
      <c r="LN70" s="949">
        <v>0.62</v>
      </c>
      <c r="LO70" s="949">
        <v>0.28000000000000003</v>
      </c>
      <c r="LP70" s="922">
        <v>325754002162</v>
      </c>
      <c r="LQ70" s="126" t="s">
        <v>75</v>
      </c>
      <c r="LR70" s="424">
        <v>58</v>
      </c>
      <c r="LS70" s="971">
        <v>60</v>
      </c>
      <c r="LT70" s="946"/>
    </row>
    <row r="71" spans="1:332" ht="24.95" customHeight="1" x14ac:dyDescent="0.2">
      <c r="A71" s="126" t="s">
        <v>99</v>
      </c>
      <c r="B71" s="1" t="s">
        <v>123</v>
      </c>
      <c r="C71" s="2">
        <v>5</v>
      </c>
      <c r="D71" s="12">
        <v>57</v>
      </c>
      <c r="E71" s="12">
        <v>7</v>
      </c>
      <c r="F71" s="66">
        <v>0.02</v>
      </c>
      <c r="G71" s="66">
        <v>0.41</v>
      </c>
      <c r="H71" s="66">
        <v>0.55000000000000004</v>
      </c>
      <c r="I71" s="66">
        <v>0.02</v>
      </c>
      <c r="J71" s="66">
        <v>0.24</v>
      </c>
      <c r="K71" s="66">
        <v>0.26</v>
      </c>
      <c r="L71" s="66">
        <v>0.7</v>
      </c>
      <c r="M71" s="66">
        <v>0.18</v>
      </c>
      <c r="N71" s="66">
        <v>0.24</v>
      </c>
      <c r="O71" s="66">
        <v>0.63</v>
      </c>
      <c r="P71" s="66">
        <v>0.31</v>
      </c>
      <c r="Q71" s="66">
        <v>0.34</v>
      </c>
      <c r="R71" s="66">
        <v>0.41</v>
      </c>
      <c r="S71" s="66">
        <v>0.47</v>
      </c>
      <c r="T71" s="66">
        <v>0.53</v>
      </c>
      <c r="U71" s="66">
        <v>0.52</v>
      </c>
      <c r="V71" s="66">
        <v>7.0000000000000007E-2</v>
      </c>
      <c r="W71" s="66">
        <v>0.14000000000000001</v>
      </c>
      <c r="X71" s="66">
        <v>0.4</v>
      </c>
      <c r="Y71" s="66">
        <v>0.55000000000000004</v>
      </c>
      <c r="Z71" s="12" t="s">
        <v>173</v>
      </c>
      <c r="AA71" s="66">
        <v>0.06</v>
      </c>
      <c r="AB71" s="66">
        <v>0.38</v>
      </c>
      <c r="AC71" s="66">
        <v>0.18</v>
      </c>
      <c r="AD71" s="66">
        <v>0.4</v>
      </c>
      <c r="AE71" s="66">
        <v>0.36</v>
      </c>
      <c r="AF71" s="66">
        <v>0.47</v>
      </c>
      <c r="AG71" s="66">
        <v>0.51</v>
      </c>
      <c r="AH71" s="12">
        <v>55</v>
      </c>
      <c r="AI71" s="12">
        <v>8</v>
      </c>
      <c r="AJ71" s="40">
        <v>0.03</v>
      </c>
      <c r="AK71" s="40">
        <v>0.51</v>
      </c>
      <c r="AL71" s="40">
        <v>0.43</v>
      </c>
      <c r="AM71" s="40">
        <v>0.03</v>
      </c>
      <c r="AN71" s="40">
        <v>0.28000000000000003</v>
      </c>
      <c r="AO71" s="40">
        <v>0.43</v>
      </c>
      <c r="AP71" s="40">
        <v>0.53</v>
      </c>
      <c r="AQ71" s="40">
        <v>0.33</v>
      </c>
      <c r="AR71" s="40">
        <v>0.5</v>
      </c>
      <c r="AS71" s="40">
        <v>0.48</v>
      </c>
      <c r="AT71" s="40">
        <v>0.43</v>
      </c>
      <c r="AU71" s="40">
        <v>0.45</v>
      </c>
      <c r="AV71" s="40">
        <v>0.55000000000000004</v>
      </c>
      <c r="AW71" s="40">
        <v>0.31</v>
      </c>
      <c r="AX71" s="40">
        <v>0.47</v>
      </c>
      <c r="AY71" s="40">
        <v>0.28999999999999998</v>
      </c>
      <c r="AZ71" s="40">
        <v>0.22</v>
      </c>
      <c r="BA71" s="40">
        <v>0.4</v>
      </c>
      <c r="BB71" s="40">
        <v>0.49</v>
      </c>
      <c r="BC71" s="40">
        <v>0.56000000000000005</v>
      </c>
      <c r="BD71" s="40">
        <v>0.37</v>
      </c>
      <c r="BE71" s="40">
        <v>0.52</v>
      </c>
      <c r="BF71" s="40">
        <v>0.47</v>
      </c>
      <c r="BG71" s="40">
        <v>0.43</v>
      </c>
      <c r="BH71" s="40">
        <v>0.42</v>
      </c>
      <c r="BI71" s="40">
        <v>0.34</v>
      </c>
      <c r="BJ71" s="40">
        <v>0.33</v>
      </c>
      <c r="BK71" s="40">
        <v>0.37</v>
      </c>
      <c r="BL71" s="40">
        <v>0.38</v>
      </c>
      <c r="BM71" s="12">
        <v>53</v>
      </c>
      <c r="BN71" s="12">
        <v>8</v>
      </c>
      <c r="BO71" s="66">
        <v>0.05</v>
      </c>
      <c r="BP71" s="66">
        <v>0.56000000000000005</v>
      </c>
      <c r="BQ71" s="66">
        <v>0.38</v>
      </c>
      <c r="BR71" s="66">
        <v>0.01</v>
      </c>
      <c r="BS71" s="66">
        <v>0.3</v>
      </c>
      <c r="BT71" s="66">
        <v>0.65</v>
      </c>
      <c r="BU71" s="66">
        <v>0.64</v>
      </c>
      <c r="BV71" s="66">
        <v>0.34</v>
      </c>
      <c r="BW71" s="66">
        <v>0.56999999999999995</v>
      </c>
      <c r="BX71" s="66">
        <v>0.28999999999999998</v>
      </c>
      <c r="BY71" s="66">
        <v>0.42</v>
      </c>
      <c r="BZ71" s="66">
        <v>0.47</v>
      </c>
      <c r="CA71" s="66">
        <v>0.37</v>
      </c>
      <c r="CB71" s="66">
        <v>0.3</v>
      </c>
      <c r="CC71" s="66">
        <v>0.14000000000000001</v>
      </c>
      <c r="CD71" s="66">
        <v>0.38</v>
      </c>
      <c r="CE71" s="66">
        <v>0.32</v>
      </c>
      <c r="CF71" s="66">
        <v>0.68</v>
      </c>
      <c r="CG71" s="66">
        <v>0.53</v>
      </c>
      <c r="CH71" s="66">
        <v>0.42</v>
      </c>
      <c r="CI71" s="66">
        <v>0.57999999999999996</v>
      </c>
      <c r="CJ71" s="66">
        <v>0.3</v>
      </c>
      <c r="CK71" s="66">
        <v>0.66</v>
      </c>
      <c r="CL71" s="66">
        <v>0.28999999999999998</v>
      </c>
      <c r="CM71" s="66">
        <v>0.37</v>
      </c>
      <c r="CN71" s="66">
        <v>0.39</v>
      </c>
      <c r="CO71" s="66">
        <v>0.43</v>
      </c>
      <c r="CP71" s="66">
        <v>0.28999999999999998</v>
      </c>
      <c r="CQ71" s="66">
        <v>0.47</v>
      </c>
      <c r="CR71" s="66">
        <v>0.5</v>
      </c>
      <c r="CS71" s="12">
        <v>53</v>
      </c>
      <c r="CT71" s="12">
        <v>9</v>
      </c>
      <c r="CU71" s="63">
        <v>0.08</v>
      </c>
      <c r="CV71" s="63">
        <v>0.56999999999999995</v>
      </c>
      <c r="CW71" s="63">
        <v>0.31</v>
      </c>
      <c r="CX71" s="63">
        <v>0.04</v>
      </c>
      <c r="CY71" s="63">
        <v>0.46</v>
      </c>
      <c r="CZ71" s="63">
        <v>0.27</v>
      </c>
      <c r="DA71" s="63">
        <v>0.52</v>
      </c>
      <c r="DB71" s="63">
        <v>0.25</v>
      </c>
      <c r="DC71" s="63">
        <v>0.48</v>
      </c>
      <c r="DD71" s="63">
        <v>0.57999999999999996</v>
      </c>
      <c r="DE71" s="63">
        <v>0.47</v>
      </c>
      <c r="DF71" s="63">
        <v>0.51</v>
      </c>
      <c r="DG71" s="63">
        <v>0.38</v>
      </c>
      <c r="DH71" s="63">
        <v>0.32</v>
      </c>
      <c r="DI71" s="63">
        <v>0.51</v>
      </c>
      <c r="DJ71" s="63">
        <v>0.36</v>
      </c>
      <c r="DK71" s="63">
        <v>0.3</v>
      </c>
      <c r="DL71" s="63">
        <v>0.3</v>
      </c>
      <c r="DM71" s="63">
        <v>0.47</v>
      </c>
      <c r="DN71" s="63">
        <v>0.48</v>
      </c>
      <c r="DO71" s="63">
        <v>0.39</v>
      </c>
      <c r="DP71" s="63">
        <v>0.4</v>
      </c>
      <c r="DQ71" s="63">
        <v>0.54</v>
      </c>
      <c r="DR71" s="63">
        <v>0.21</v>
      </c>
      <c r="DS71" s="63">
        <v>0.33</v>
      </c>
      <c r="DT71" s="63">
        <v>0.52</v>
      </c>
      <c r="DU71" s="63">
        <v>0.35</v>
      </c>
      <c r="DV71" s="63">
        <v>0.54</v>
      </c>
      <c r="DW71" s="63">
        <v>0.26</v>
      </c>
      <c r="DX71" s="35">
        <v>50</v>
      </c>
      <c r="DY71" s="35">
        <v>9</v>
      </c>
      <c r="DZ71" s="40">
        <v>0.11</v>
      </c>
      <c r="EA71" s="40">
        <v>0.6</v>
      </c>
      <c r="EB71" s="40">
        <v>0.27</v>
      </c>
      <c r="EC71" s="40">
        <v>0.02</v>
      </c>
      <c r="ED71" s="40">
        <v>0.5</v>
      </c>
      <c r="EE71" s="40">
        <v>0.49</v>
      </c>
      <c r="EF71" s="40">
        <v>0.46</v>
      </c>
      <c r="EG71" s="40">
        <v>0.3</v>
      </c>
      <c r="EH71" s="40">
        <v>0.38</v>
      </c>
      <c r="EI71" s="40">
        <v>0.47</v>
      </c>
      <c r="EJ71" s="40">
        <v>0.59</v>
      </c>
      <c r="EK71" s="40">
        <v>0.27</v>
      </c>
      <c r="EL71" s="40">
        <v>0.41</v>
      </c>
      <c r="EM71" s="40">
        <v>0.68</v>
      </c>
      <c r="EN71" s="40">
        <v>0.38</v>
      </c>
      <c r="EO71" s="40">
        <v>0.49</v>
      </c>
      <c r="EP71" s="40">
        <v>0.4</v>
      </c>
      <c r="EQ71" s="40">
        <v>0.28000000000000003</v>
      </c>
      <c r="ER71" s="40">
        <v>0.57999999999999996</v>
      </c>
      <c r="ES71" s="40">
        <v>0.56000000000000005</v>
      </c>
      <c r="ET71" s="40">
        <v>0.33</v>
      </c>
      <c r="EU71" s="40">
        <v>0.59</v>
      </c>
      <c r="EV71" s="40">
        <v>0.35</v>
      </c>
      <c r="EW71" s="40">
        <v>0.3</v>
      </c>
      <c r="EX71" s="40">
        <v>0.59</v>
      </c>
      <c r="EY71" s="40">
        <v>0.59</v>
      </c>
      <c r="EZ71" s="40">
        <v>0.15</v>
      </c>
      <c r="FA71" s="40">
        <v>0.64</v>
      </c>
      <c r="FB71" s="246">
        <v>51</v>
      </c>
      <c r="FC71" s="246" t="s">
        <v>758</v>
      </c>
      <c r="FD71" s="246">
        <v>9</v>
      </c>
      <c r="FE71" s="246" t="s">
        <v>758</v>
      </c>
      <c r="FF71" s="263">
        <v>0.12</v>
      </c>
      <c r="FG71" s="263">
        <v>0.54</v>
      </c>
      <c r="FH71" s="263">
        <v>0.34</v>
      </c>
      <c r="FI71" s="263">
        <v>0</v>
      </c>
      <c r="FJ71" s="263">
        <v>0.43</v>
      </c>
      <c r="FK71" s="263">
        <v>0.61</v>
      </c>
      <c r="FL71" s="263">
        <v>0.46</v>
      </c>
      <c r="FM71" s="263">
        <v>0.43</v>
      </c>
      <c r="FN71" s="263">
        <v>0.25</v>
      </c>
      <c r="FO71" s="263">
        <v>0.33</v>
      </c>
      <c r="FP71" s="263">
        <v>0.37</v>
      </c>
      <c r="FQ71" s="263">
        <v>0.41</v>
      </c>
      <c r="FR71" s="263">
        <v>0.6</v>
      </c>
      <c r="FS71" s="263">
        <v>0.55000000000000004</v>
      </c>
      <c r="FT71" s="263">
        <v>0.46</v>
      </c>
      <c r="FU71" s="263">
        <v>0.41</v>
      </c>
      <c r="FV71" s="263">
        <v>0.51</v>
      </c>
      <c r="FW71" s="263">
        <v>0.53</v>
      </c>
      <c r="FX71" s="263">
        <v>0.44</v>
      </c>
      <c r="FY71" s="263">
        <v>0.34</v>
      </c>
      <c r="FZ71" s="263">
        <v>0.41</v>
      </c>
      <c r="GA71" s="263">
        <v>0.46</v>
      </c>
      <c r="GB71" s="263">
        <v>0.48</v>
      </c>
      <c r="GC71" s="263">
        <v>0.39</v>
      </c>
      <c r="GD71" s="263">
        <v>0.54</v>
      </c>
      <c r="GE71" s="263">
        <v>0.49</v>
      </c>
      <c r="GF71" s="263">
        <v>0.47</v>
      </c>
      <c r="GG71" s="263">
        <v>0.4</v>
      </c>
      <c r="GH71" s="263">
        <v>0.5</v>
      </c>
      <c r="GI71" s="263">
        <v>0.25</v>
      </c>
      <c r="GJ71" s="309">
        <v>52</v>
      </c>
      <c r="GK71" s="309" t="s">
        <v>758</v>
      </c>
      <c r="GL71" s="309">
        <v>9</v>
      </c>
      <c r="GM71" s="309" t="s">
        <v>758</v>
      </c>
      <c r="GN71" s="327">
        <v>0.09</v>
      </c>
      <c r="GO71" s="327">
        <v>0.6</v>
      </c>
      <c r="GP71" s="327">
        <v>0.31</v>
      </c>
      <c r="GQ71" s="327">
        <v>0.01</v>
      </c>
      <c r="GR71" s="327">
        <v>0.48</v>
      </c>
      <c r="GS71" s="327">
        <v>0.48</v>
      </c>
      <c r="GT71" s="327">
        <v>0.59</v>
      </c>
      <c r="GU71" s="327">
        <v>0.16</v>
      </c>
      <c r="GV71" s="327">
        <v>0.53</v>
      </c>
      <c r="GW71" s="327">
        <v>0.53</v>
      </c>
      <c r="GX71" s="327">
        <v>0.46</v>
      </c>
      <c r="GY71" s="309" t="s">
        <v>173</v>
      </c>
      <c r="GZ71" s="327">
        <v>0.27</v>
      </c>
      <c r="HA71" s="327">
        <v>0.6</v>
      </c>
      <c r="HB71" s="327">
        <v>0.43</v>
      </c>
      <c r="HC71" s="327">
        <v>0.46</v>
      </c>
      <c r="HD71" s="327">
        <v>0.56000000000000005</v>
      </c>
      <c r="HE71" s="327">
        <v>0.48</v>
      </c>
      <c r="HF71" s="327">
        <v>0.46</v>
      </c>
      <c r="HG71" s="327">
        <v>0.67</v>
      </c>
      <c r="HH71" s="327">
        <v>0.37</v>
      </c>
      <c r="HI71" s="327">
        <v>0.47</v>
      </c>
      <c r="HJ71" s="327">
        <v>0.56999999999999995</v>
      </c>
      <c r="HK71" s="327">
        <v>0.51</v>
      </c>
      <c r="HL71" s="327">
        <v>0.39</v>
      </c>
      <c r="HM71" s="327">
        <v>0.44</v>
      </c>
      <c r="HN71" s="327">
        <v>0.39</v>
      </c>
      <c r="HO71" s="327">
        <v>0.35</v>
      </c>
      <c r="HP71" s="309" t="s">
        <v>173</v>
      </c>
      <c r="HQ71" s="327">
        <v>0.41</v>
      </c>
      <c r="HR71" s="424">
        <v>53</v>
      </c>
      <c r="HS71" s="424" t="s">
        <v>758</v>
      </c>
      <c r="HT71" s="424">
        <v>10</v>
      </c>
      <c r="HU71" s="424" t="s">
        <v>758</v>
      </c>
      <c r="HV71" s="428">
        <v>0.13</v>
      </c>
      <c r="HW71" s="428">
        <v>0.43</v>
      </c>
      <c r="HX71" s="428">
        <v>0.41</v>
      </c>
      <c r="HY71" s="428">
        <v>0.03</v>
      </c>
      <c r="HZ71" s="428">
        <v>0.32</v>
      </c>
      <c r="IA71" s="428">
        <v>0.49</v>
      </c>
      <c r="IB71" s="428">
        <v>0.25</v>
      </c>
      <c r="IC71" s="428">
        <v>0.46</v>
      </c>
      <c r="ID71" s="428">
        <v>0.64</v>
      </c>
      <c r="IE71" s="428">
        <v>0.31</v>
      </c>
      <c r="IF71" s="428">
        <v>0.3</v>
      </c>
      <c r="IG71" s="428">
        <v>0.48</v>
      </c>
      <c r="IH71" s="428">
        <v>0.4</v>
      </c>
      <c r="II71" s="428">
        <v>0.38</v>
      </c>
      <c r="IJ71" s="428">
        <v>0.26</v>
      </c>
      <c r="IK71" s="428">
        <v>0.55000000000000004</v>
      </c>
      <c r="IL71" s="428">
        <v>0.25</v>
      </c>
      <c r="IM71" s="428">
        <v>0.57999999999999996</v>
      </c>
      <c r="IN71" s="428">
        <v>0.43</v>
      </c>
      <c r="IO71" s="428">
        <v>0.38</v>
      </c>
      <c r="IP71" s="428">
        <v>0.42</v>
      </c>
      <c r="IQ71" s="428">
        <v>0.62</v>
      </c>
      <c r="IR71" s="428">
        <v>0.4</v>
      </c>
      <c r="IS71" s="428">
        <v>0.56999999999999995</v>
      </c>
      <c r="IT71" s="428">
        <v>0.44</v>
      </c>
      <c r="IU71" s="424" t="s">
        <v>173</v>
      </c>
      <c r="IV71" s="428">
        <v>0.64</v>
      </c>
      <c r="IW71" s="428">
        <v>0.36</v>
      </c>
      <c r="IX71" s="428">
        <v>0.46</v>
      </c>
      <c r="IY71" s="428">
        <v>0.43</v>
      </c>
      <c r="IZ71" s="464">
        <v>51</v>
      </c>
      <c r="JA71" s="464" t="s">
        <v>758</v>
      </c>
      <c r="JB71" s="464">
        <v>9</v>
      </c>
      <c r="JC71" s="464" t="s">
        <v>758</v>
      </c>
      <c r="JD71" s="476">
        <v>0.15</v>
      </c>
      <c r="JE71" s="476">
        <v>0.51</v>
      </c>
      <c r="JF71" s="476">
        <v>0.33</v>
      </c>
      <c r="JG71" s="476">
        <v>0.01</v>
      </c>
      <c r="JH71" s="476">
        <v>0.43</v>
      </c>
      <c r="JI71" s="476">
        <v>0.46</v>
      </c>
      <c r="JJ71" s="476">
        <v>0.43</v>
      </c>
      <c r="JK71" s="476">
        <v>0.5</v>
      </c>
      <c r="JL71" s="476">
        <v>0.45</v>
      </c>
      <c r="JM71" s="476">
        <v>0.47</v>
      </c>
      <c r="JN71" s="476">
        <v>0.44</v>
      </c>
      <c r="JO71" s="476">
        <v>0.48</v>
      </c>
      <c r="JP71" s="476">
        <v>0.53</v>
      </c>
      <c r="JQ71" s="476">
        <v>0.24</v>
      </c>
      <c r="JR71" s="476">
        <v>0.59</v>
      </c>
      <c r="JS71" s="476">
        <v>0.45</v>
      </c>
      <c r="JT71" s="476">
        <v>0.35</v>
      </c>
      <c r="JU71" s="476">
        <v>0.46</v>
      </c>
      <c r="JV71" s="476">
        <v>0.52</v>
      </c>
      <c r="JW71" s="476">
        <v>0.44</v>
      </c>
      <c r="JX71" s="476">
        <v>0.51</v>
      </c>
      <c r="JY71" s="476">
        <v>0.5</v>
      </c>
      <c r="JZ71" s="476">
        <v>0.47</v>
      </c>
      <c r="KA71" s="476">
        <v>0.54</v>
      </c>
      <c r="KB71" s="476">
        <v>0.4</v>
      </c>
      <c r="KC71" s="476">
        <v>0.68</v>
      </c>
      <c r="KD71" s="476">
        <v>0.38</v>
      </c>
      <c r="KE71" s="476">
        <v>0.49</v>
      </c>
      <c r="KF71" s="476">
        <v>0.49</v>
      </c>
      <c r="KG71" s="476">
        <v>0.55000000000000004</v>
      </c>
      <c r="KH71" s="971">
        <v>53</v>
      </c>
      <c r="KI71" s="971" t="s">
        <v>758</v>
      </c>
      <c r="KJ71" s="971">
        <v>9</v>
      </c>
      <c r="KK71" s="971" t="s">
        <v>758</v>
      </c>
      <c r="KL71" s="949">
        <v>0.13</v>
      </c>
      <c r="KM71" s="949">
        <v>0.43</v>
      </c>
      <c r="KN71" s="949">
        <v>0.43</v>
      </c>
      <c r="KO71" s="949">
        <v>0.03</v>
      </c>
      <c r="KP71" s="949">
        <v>0.42</v>
      </c>
      <c r="KQ71" s="949">
        <v>0.31</v>
      </c>
      <c r="KR71" s="949">
        <v>0.53</v>
      </c>
      <c r="KS71" s="949">
        <v>0.49</v>
      </c>
      <c r="KT71" s="949">
        <v>0.55000000000000004</v>
      </c>
      <c r="KU71" s="949">
        <v>0.36</v>
      </c>
      <c r="KV71" s="949">
        <v>0.56999999999999995</v>
      </c>
      <c r="KW71" s="949">
        <v>0.32</v>
      </c>
      <c r="KX71" s="949">
        <v>0.31</v>
      </c>
      <c r="KY71" s="949">
        <v>0.51</v>
      </c>
      <c r="KZ71" s="949">
        <v>0.37</v>
      </c>
      <c r="LA71" s="949">
        <v>0.19</v>
      </c>
      <c r="LB71" s="949">
        <v>0.47</v>
      </c>
      <c r="LC71" s="949">
        <v>0.31</v>
      </c>
      <c r="LD71" s="949">
        <v>0.56000000000000005</v>
      </c>
      <c r="LE71" s="949">
        <v>0.4</v>
      </c>
      <c r="LF71" s="949">
        <v>0.25</v>
      </c>
      <c r="LG71" s="949">
        <v>0.4</v>
      </c>
      <c r="LH71" s="949">
        <v>0.51</v>
      </c>
      <c r="LI71" s="949">
        <v>0.46</v>
      </c>
      <c r="LJ71" s="949">
        <v>0.35</v>
      </c>
      <c r="LK71" s="949">
        <v>0.55000000000000004</v>
      </c>
      <c r="LL71" s="949" t="s">
        <v>173</v>
      </c>
      <c r="LM71" s="949">
        <v>0.57999999999999996</v>
      </c>
      <c r="LN71" s="949">
        <v>0.63</v>
      </c>
      <c r="LO71" s="949">
        <v>0.45</v>
      </c>
      <c r="LP71" s="922">
        <v>325754003312</v>
      </c>
      <c r="LQ71" s="126" t="s">
        <v>99</v>
      </c>
      <c r="LR71" s="424">
        <v>53</v>
      </c>
      <c r="LS71" s="971">
        <v>53</v>
      </c>
      <c r="LT71" s="946"/>
    </row>
    <row r="72" spans="1:332" ht="24.95" customHeight="1" x14ac:dyDescent="0.2">
      <c r="A72" s="126" t="s">
        <v>46</v>
      </c>
      <c r="B72" s="1" t="s">
        <v>123</v>
      </c>
      <c r="C72" s="2">
        <v>1</v>
      </c>
      <c r="D72" s="12">
        <v>51</v>
      </c>
      <c r="E72" s="12">
        <v>7</v>
      </c>
      <c r="F72" s="66">
        <v>0.11</v>
      </c>
      <c r="G72" s="66">
        <v>0.66</v>
      </c>
      <c r="H72" s="66">
        <v>0.23</v>
      </c>
      <c r="I72" s="66">
        <v>0</v>
      </c>
      <c r="J72" s="66">
        <v>0.42</v>
      </c>
      <c r="K72" s="66">
        <v>0.45</v>
      </c>
      <c r="L72" s="66">
        <v>0.78</v>
      </c>
      <c r="M72" s="66">
        <v>0.35</v>
      </c>
      <c r="N72" s="66">
        <v>0.38</v>
      </c>
      <c r="O72" s="66">
        <v>0.7</v>
      </c>
      <c r="P72" s="66">
        <v>0.45</v>
      </c>
      <c r="Q72" s="66">
        <v>0.4</v>
      </c>
      <c r="R72" s="66">
        <v>0.56000000000000005</v>
      </c>
      <c r="S72" s="66">
        <v>0.65</v>
      </c>
      <c r="T72" s="66">
        <v>0.62</v>
      </c>
      <c r="U72" s="66">
        <v>0.68</v>
      </c>
      <c r="V72" s="66">
        <v>0.09</v>
      </c>
      <c r="W72" s="66">
        <v>0.23</v>
      </c>
      <c r="X72" s="66">
        <v>0.61</v>
      </c>
      <c r="Y72" s="66">
        <v>0.63</v>
      </c>
      <c r="Z72" s="12" t="s">
        <v>173</v>
      </c>
      <c r="AA72" s="66">
        <v>0.12</v>
      </c>
      <c r="AB72" s="66">
        <v>0.41</v>
      </c>
      <c r="AC72" s="66">
        <v>0.28000000000000003</v>
      </c>
      <c r="AD72" s="66">
        <v>0.53</v>
      </c>
      <c r="AE72" s="66">
        <v>0.43</v>
      </c>
      <c r="AF72" s="66">
        <v>0.46</v>
      </c>
      <c r="AG72" s="66">
        <v>0.65</v>
      </c>
      <c r="AH72" s="12">
        <v>52</v>
      </c>
      <c r="AI72" s="12">
        <v>7</v>
      </c>
      <c r="AJ72" s="40">
        <v>0.06</v>
      </c>
      <c r="AK72" s="40">
        <v>0.56000000000000005</v>
      </c>
      <c r="AL72" s="40">
        <v>0.39</v>
      </c>
      <c r="AM72" s="40">
        <v>0</v>
      </c>
      <c r="AN72" s="40">
        <v>0.3</v>
      </c>
      <c r="AO72" s="40">
        <v>0.44</v>
      </c>
      <c r="AP72" s="40">
        <v>0.67</v>
      </c>
      <c r="AQ72" s="40">
        <v>0.42</v>
      </c>
      <c r="AR72" s="40">
        <v>0.64</v>
      </c>
      <c r="AS72" s="40">
        <v>0.56000000000000005</v>
      </c>
      <c r="AT72" s="40">
        <v>0.43</v>
      </c>
      <c r="AU72" s="40">
        <v>0.61</v>
      </c>
      <c r="AV72" s="40">
        <v>0.62</v>
      </c>
      <c r="AW72" s="40">
        <v>0.5</v>
      </c>
      <c r="AX72" s="40">
        <v>0.66</v>
      </c>
      <c r="AY72" s="40">
        <v>0.27</v>
      </c>
      <c r="AZ72" s="40">
        <v>0.23</v>
      </c>
      <c r="BA72" s="40">
        <v>0.54</v>
      </c>
      <c r="BB72" s="40">
        <v>0.68</v>
      </c>
      <c r="BC72" s="40">
        <v>0.59</v>
      </c>
      <c r="BD72" s="40">
        <v>0.35</v>
      </c>
      <c r="BE72" s="40">
        <v>0.44</v>
      </c>
      <c r="BF72" s="40">
        <v>0.5</v>
      </c>
      <c r="BG72" s="40">
        <v>0.47</v>
      </c>
      <c r="BH72" s="40">
        <v>0.39</v>
      </c>
      <c r="BI72" s="40">
        <v>0.42</v>
      </c>
      <c r="BJ72" s="40">
        <v>0.35</v>
      </c>
      <c r="BK72" s="40">
        <v>0.46</v>
      </c>
      <c r="BL72" s="40">
        <v>0.37</v>
      </c>
      <c r="BM72" s="12">
        <v>51</v>
      </c>
      <c r="BN72" s="12">
        <v>8</v>
      </c>
      <c r="BO72" s="66">
        <v>0.04</v>
      </c>
      <c r="BP72" s="66">
        <v>0.64</v>
      </c>
      <c r="BQ72" s="66">
        <v>0.32</v>
      </c>
      <c r="BR72" s="66">
        <v>0</v>
      </c>
      <c r="BS72" s="66">
        <v>0.36</v>
      </c>
      <c r="BT72" s="66">
        <v>0.42</v>
      </c>
      <c r="BU72" s="66">
        <v>0.56999999999999995</v>
      </c>
      <c r="BV72" s="66">
        <v>0.11</v>
      </c>
      <c r="BW72" s="66">
        <v>0.63</v>
      </c>
      <c r="BX72" s="66">
        <v>0.3</v>
      </c>
      <c r="BY72" s="66">
        <v>0.49</v>
      </c>
      <c r="BZ72" s="66">
        <v>0.59</v>
      </c>
      <c r="CA72" s="66">
        <v>0.48</v>
      </c>
      <c r="CB72" s="66">
        <v>0.38</v>
      </c>
      <c r="CC72" s="66">
        <v>0.14000000000000001</v>
      </c>
      <c r="CD72" s="66">
        <v>0.48</v>
      </c>
      <c r="CE72" s="66">
        <v>0.39</v>
      </c>
      <c r="CF72" s="66">
        <v>0.79</v>
      </c>
      <c r="CG72" s="66">
        <v>0.54</v>
      </c>
      <c r="CH72" s="66">
        <v>0.49</v>
      </c>
      <c r="CI72" s="66">
        <v>0.55000000000000004</v>
      </c>
      <c r="CJ72" s="66">
        <v>0.46</v>
      </c>
      <c r="CK72" s="66">
        <v>0.7</v>
      </c>
      <c r="CL72" s="66">
        <v>0.26</v>
      </c>
      <c r="CM72" s="66">
        <v>0.43</v>
      </c>
      <c r="CN72" s="66">
        <v>0.44</v>
      </c>
      <c r="CO72" s="66">
        <v>0.42</v>
      </c>
      <c r="CP72" s="66">
        <v>0.37</v>
      </c>
      <c r="CQ72" s="66">
        <v>0.48</v>
      </c>
      <c r="CR72" s="66">
        <v>0.55000000000000004</v>
      </c>
      <c r="CS72" s="12">
        <v>49</v>
      </c>
      <c r="CT72" s="12">
        <v>7</v>
      </c>
      <c r="CU72" s="63">
        <v>0.17</v>
      </c>
      <c r="CV72" s="63">
        <v>0.64</v>
      </c>
      <c r="CW72" s="63">
        <v>0.19</v>
      </c>
      <c r="CX72" s="63">
        <v>0</v>
      </c>
      <c r="CY72" s="63">
        <v>0.5</v>
      </c>
      <c r="CZ72" s="63">
        <v>0.33</v>
      </c>
      <c r="DA72" s="63">
        <v>0.65</v>
      </c>
      <c r="DB72" s="63">
        <v>0.35</v>
      </c>
      <c r="DC72" s="63">
        <v>0.42</v>
      </c>
      <c r="DD72" s="63">
        <v>0.69</v>
      </c>
      <c r="DE72" s="63">
        <v>0.57999999999999996</v>
      </c>
      <c r="DF72" s="63">
        <v>0.61</v>
      </c>
      <c r="DG72" s="63">
        <v>0.45</v>
      </c>
      <c r="DH72" s="63">
        <v>0.35</v>
      </c>
      <c r="DI72" s="63">
        <v>0.53</v>
      </c>
      <c r="DJ72" s="63">
        <v>0.5</v>
      </c>
      <c r="DK72" s="63">
        <v>0.44</v>
      </c>
      <c r="DL72" s="63">
        <v>0.38</v>
      </c>
      <c r="DM72" s="63">
        <v>0.54</v>
      </c>
      <c r="DN72" s="63">
        <v>0.49</v>
      </c>
      <c r="DO72" s="63">
        <v>0.54</v>
      </c>
      <c r="DP72" s="63">
        <v>0.43</v>
      </c>
      <c r="DQ72" s="63">
        <v>0.61</v>
      </c>
      <c r="DR72" s="63">
        <v>0.28000000000000003</v>
      </c>
      <c r="DS72" s="63">
        <v>0.34</v>
      </c>
      <c r="DT72" s="63">
        <v>0.68</v>
      </c>
      <c r="DU72" s="63">
        <v>0.5</v>
      </c>
      <c r="DV72" s="63">
        <v>0.51</v>
      </c>
      <c r="DW72" s="63">
        <v>0.37</v>
      </c>
      <c r="DX72" s="35">
        <v>52</v>
      </c>
      <c r="DY72" s="35">
        <v>8</v>
      </c>
      <c r="DZ72" s="40">
        <v>0.11</v>
      </c>
      <c r="EA72" s="40">
        <v>0.57999999999999996</v>
      </c>
      <c r="EB72" s="40">
        <v>0.31</v>
      </c>
      <c r="EC72" s="40">
        <v>0</v>
      </c>
      <c r="ED72" s="40">
        <v>0.5</v>
      </c>
      <c r="EE72" s="40">
        <v>0.37</v>
      </c>
      <c r="EF72" s="40">
        <v>0.43</v>
      </c>
      <c r="EG72" s="40">
        <v>0.26</v>
      </c>
      <c r="EH72" s="40">
        <v>0.39</v>
      </c>
      <c r="EI72" s="40">
        <v>0.45</v>
      </c>
      <c r="EJ72" s="40">
        <v>0.61</v>
      </c>
      <c r="EK72" s="40">
        <v>0.19</v>
      </c>
      <c r="EL72" s="40">
        <v>0.44</v>
      </c>
      <c r="EM72" s="40">
        <v>0.63</v>
      </c>
      <c r="EN72" s="40">
        <v>0.45</v>
      </c>
      <c r="EO72" s="40">
        <v>0.48</v>
      </c>
      <c r="EP72" s="40">
        <v>0.39</v>
      </c>
      <c r="EQ72" s="40">
        <v>0.21</v>
      </c>
      <c r="ER72" s="40">
        <v>0.55000000000000004</v>
      </c>
      <c r="ES72" s="40">
        <v>0.45</v>
      </c>
      <c r="ET72" s="40">
        <v>0.23</v>
      </c>
      <c r="EU72" s="40">
        <v>0.52</v>
      </c>
      <c r="EV72" s="40">
        <v>0.2</v>
      </c>
      <c r="EW72" s="40">
        <v>0.28999999999999998</v>
      </c>
      <c r="EX72" s="40">
        <v>0.55000000000000004</v>
      </c>
      <c r="EY72" s="40">
        <v>0.61</v>
      </c>
      <c r="EZ72" s="40">
        <v>0.25</v>
      </c>
      <c r="FA72" s="40">
        <v>0.56999999999999995</v>
      </c>
      <c r="FB72" s="246">
        <v>51</v>
      </c>
      <c r="FC72" s="246" t="s">
        <v>758</v>
      </c>
      <c r="FD72" s="246">
        <v>8</v>
      </c>
      <c r="FE72" s="246" t="s">
        <v>758</v>
      </c>
      <c r="FF72" s="263">
        <v>0.03</v>
      </c>
      <c r="FG72" s="263">
        <v>0.72</v>
      </c>
      <c r="FH72" s="263">
        <v>0.22</v>
      </c>
      <c r="FI72" s="263">
        <v>0.03</v>
      </c>
      <c r="FJ72" s="263">
        <v>0.44</v>
      </c>
      <c r="FK72" s="263">
        <v>0.56999999999999995</v>
      </c>
      <c r="FL72" s="263">
        <v>0.49</v>
      </c>
      <c r="FM72" s="263">
        <v>0.52</v>
      </c>
      <c r="FN72" s="263">
        <v>0.3</v>
      </c>
      <c r="FO72" s="263">
        <v>0.26</v>
      </c>
      <c r="FP72" s="263">
        <v>0.3</v>
      </c>
      <c r="FQ72" s="263">
        <v>0.36</v>
      </c>
      <c r="FR72" s="263">
        <v>0.63</v>
      </c>
      <c r="FS72" s="263">
        <v>0.52</v>
      </c>
      <c r="FT72" s="263">
        <v>0.48</v>
      </c>
      <c r="FU72" s="263">
        <v>0.33</v>
      </c>
      <c r="FV72" s="263">
        <v>0.5</v>
      </c>
      <c r="FW72" s="263">
        <v>0.63</v>
      </c>
      <c r="FX72" s="263">
        <v>0.31</v>
      </c>
      <c r="FY72" s="263">
        <v>0.25</v>
      </c>
      <c r="FZ72" s="263">
        <v>0.47</v>
      </c>
      <c r="GA72" s="263">
        <v>0.55000000000000004</v>
      </c>
      <c r="GB72" s="263">
        <v>0.5</v>
      </c>
      <c r="GC72" s="263">
        <v>0.42</v>
      </c>
      <c r="GD72" s="263">
        <v>0.61</v>
      </c>
      <c r="GE72" s="263">
        <v>0.44</v>
      </c>
      <c r="GF72" s="263">
        <v>0.4</v>
      </c>
      <c r="GG72" s="263">
        <v>0.4</v>
      </c>
      <c r="GH72" s="263">
        <v>0.61</v>
      </c>
      <c r="GI72" s="263">
        <v>0.18</v>
      </c>
      <c r="GJ72" s="309">
        <v>50</v>
      </c>
      <c r="GK72" s="309" t="s">
        <v>758</v>
      </c>
      <c r="GL72" s="309">
        <v>9</v>
      </c>
      <c r="GM72" s="309" t="s">
        <v>758</v>
      </c>
      <c r="GN72" s="327">
        <v>0.18</v>
      </c>
      <c r="GO72" s="327">
        <v>0.48</v>
      </c>
      <c r="GP72" s="327">
        <v>0.33</v>
      </c>
      <c r="GQ72" s="327">
        <v>0</v>
      </c>
      <c r="GR72" s="327">
        <v>0.61</v>
      </c>
      <c r="GS72" s="327">
        <v>0.55000000000000004</v>
      </c>
      <c r="GT72" s="327">
        <v>0.56000000000000005</v>
      </c>
      <c r="GU72" s="327">
        <v>0.25</v>
      </c>
      <c r="GV72" s="327">
        <v>0.54</v>
      </c>
      <c r="GW72" s="327">
        <v>0.62</v>
      </c>
      <c r="GX72" s="327">
        <v>0.56000000000000005</v>
      </c>
      <c r="GY72" s="309" t="s">
        <v>173</v>
      </c>
      <c r="GZ72" s="327">
        <v>0.31</v>
      </c>
      <c r="HA72" s="327">
        <v>0.67</v>
      </c>
      <c r="HB72" s="327">
        <v>0.53</v>
      </c>
      <c r="HC72" s="327">
        <v>0.52</v>
      </c>
      <c r="HD72" s="327">
        <v>0.62</v>
      </c>
      <c r="HE72" s="327">
        <v>0.48</v>
      </c>
      <c r="HF72" s="327">
        <v>0.45</v>
      </c>
      <c r="HG72" s="327">
        <v>0.69</v>
      </c>
      <c r="HH72" s="327">
        <v>0.37</v>
      </c>
      <c r="HI72" s="327">
        <v>0.55000000000000004</v>
      </c>
      <c r="HJ72" s="327">
        <v>0.57999999999999996</v>
      </c>
      <c r="HK72" s="327">
        <v>0.39</v>
      </c>
      <c r="HL72" s="327">
        <v>0.23</v>
      </c>
      <c r="HM72" s="327">
        <v>0.48</v>
      </c>
      <c r="HN72" s="327">
        <v>0.56000000000000005</v>
      </c>
      <c r="HO72" s="327">
        <v>0.38</v>
      </c>
      <c r="HP72" s="309" t="s">
        <v>173</v>
      </c>
      <c r="HQ72" s="327">
        <v>0.39</v>
      </c>
      <c r="HR72" s="424">
        <v>50</v>
      </c>
      <c r="HS72" s="424" t="s">
        <v>758</v>
      </c>
      <c r="HT72" s="424">
        <v>9</v>
      </c>
      <c r="HU72" s="424" t="s">
        <v>758</v>
      </c>
      <c r="HV72" s="428">
        <v>0.17</v>
      </c>
      <c r="HW72" s="428">
        <v>0.62</v>
      </c>
      <c r="HX72" s="428">
        <v>0.17</v>
      </c>
      <c r="HY72" s="428">
        <v>0.03</v>
      </c>
      <c r="HZ72" s="428">
        <v>0.4</v>
      </c>
      <c r="IA72" s="428">
        <v>0.63</v>
      </c>
      <c r="IB72" s="428">
        <v>0.35</v>
      </c>
      <c r="IC72" s="428">
        <v>0.54</v>
      </c>
      <c r="ID72" s="428">
        <v>0.64</v>
      </c>
      <c r="IE72" s="428">
        <v>0.32</v>
      </c>
      <c r="IF72" s="428">
        <v>0.35</v>
      </c>
      <c r="IG72" s="428">
        <v>0.61</v>
      </c>
      <c r="IH72" s="428">
        <v>0.48</v>
      </c>
      <c r="II72" s="428">
        <v>0.28999999999999998</v>
      </c>
      <c r="IJ72" s="428">
        <v>0.26</v>
      </c>
      <c r="IK72" s="428">
        <v>0.65</v>
      </c>
      <c r="IL72" s="428">
        <v>0.3</v>
      </c>
      <c r="IM72" s="428">
        <v>0.65</v>
      </c>
      <c r="IN72" s="428">
        <v>0.42</v>
      </c>
      <c r="IO72" s="428">
        <v>0.61</v>
      </c>
      <c r="IP72" s="428">
        <v>0.52</v>
      </c>
      <c r="IQ72" s="428">
        <v>0.61</v>
      </c>
      <c r="IR72" s="428">
        <v>0.63</v>
      </c>
      <c r="IS72" s="428">
        <v>0.57999999999999996</v>
      </c>
      <c r="IT72" s="428">
        <v>0.45</v>
      </c>
      <c r="IU72" s="424" t="s">
        <v>173</v>
      </c>
      <c r="IV72" s="428">
        <v>0.62</v>
      </c>
      <c r="IW72" s="428">
        <v>0.52</v>
      </c>
      <c r="IX72" s="428">
        <v>0.56999999999999995</v>
      </c>
      <c r="IY72" s="428">
        <v>0.61</v>
      </c>
      <c r="IZ72" s="464">
        <v>53</v>
      </c>
      <c r="JA72" s="464" t="s">
        <v>758</v>
      </c>
      <c r="JB72" s="464">
        <v>8</v>
      </c>
      <c r="JC72" s="464" t="s">
        <v>758</v>
      </c>
      <c r="JD72" s="476">
        <v>7.0000000000000007E-2</v>
      </c>
      <c r="JE72" s="476">
        <v>0.56999999999999995</v>
      </c>
      <c r="JF72" s="476">
        <v>0.34</v>
      </c>
      <c r="JG72" s="476">
        <v>0.02</v>
      </c>
      <c r="JH72" s="476">
        <v>0.45</v>
      </c>
      <c r="JI72" s="476">
        <v>0.4</v>
      </c>
      <c r="JJ72" s="476">
        <v>0.36</v>
      </c>
      <c r="JK72" s="476">
        <v>0.39</v>
      </c>
      <c r="JL72" s="476">
        <v>0.59</v>
      </c>
      <c r="JM72" s="476">
        <v>0.42</v>
      </c>
      <c r="JN72" s="476">
        <v>0.37</v>
      </c>
      <c r="JO72" s="476">
        <v>0.39</v>
      </c>
      <c r="JP72" s="476">
        <v>0.54</v>
      </c>
      <c r="JQ72" s="476">
        <v>0.23</v>
      </c>
      <c r="JR72" s="476">
        <v>0.59</v>
      </c>
      <c r="JS72" s="476">
        <v>0.48</v>
      </c>
      <c r="JT72" s="476">
        <v>0.35</v>
      </c>
      <c r="JU72" s="476">
        <v>0.49</v>
      </c>
      <c r="JV72" s="476">
        <v>0.52</v>
      </c>
      <c r="JW72" s="476">
        <v>0.39</v>
      </c>
      <c r="JX72" s="476">
        <v>0.24</v>
      </c>
      <c r="JY72" s="476">
        <v>0.46</v>
      </c>
      <c r="JZ72" s="476">
        <v>0.39</v>
      </c>
      <c r="KA72" s="476">
        <v>0.62</v>
      </c>
      <c r="KB72" s="476">
        <v>0.42</v>
      </c>
      <c r="KC72" s="476">
        <v>0.6</v>
      </c>
      <c r="KD72" s="476">
        <v>0.4</v>
      </c>
      <c r="KE72" s="476">
        <v>0.44</v>
      </c>
      <c r="KF72" s="476">
        <v>0.41</v>
      </c>
      <c r="KG72" s="476">
        <v>0.51</v>
      </c>
      <c r="KH72" s="971">
        <v>52</v>
      </c>
      <c r="KI72" s="971" t="s">
        <v>758</v>
      </c>
      <c r="KJ72" s="971">
        <v>9</v>
      </c>
      <c r="KK72" s="971" t="s">
        <v>758</v>
      </c>
      <c r="KL72" s="949">
        <v>0.1</v>
      </c>
      <c r="KM72" s="949">
        <v>0.55000000000000004</v>
      </c>
      <c r="KN72" s="949">
        <v>0.36</v>
      </c>
      <c r="KO72" s="949">
        <v>0</v>
      </c>
      <c r="KP72" s="949">
        <v>0.37</v>
      </c>
      <c r="KQ72" s="949">
        <v>0.31</v>
      </c>
      <c r="KR72" s="949">
        <v>0.57999999999999996</v>
      </c>
      <c r="KS72" s="949">
        <v>0.4</v>
      </c>
      <c r="KT72" s="949">
        <v>0.62</v>
      </c>
      <c r="KU72" s="949">
        <v>0.41</v>
      </c>
      <c r="KV72" s="949">
        <v>0.6</v>
      </c>
      <c r="KW72" s="949">
        <v>0.35</v>
      </c>
      <c r="KX72" s="949">
        <v>0.3</v>
      </c>
      <c r="KY72" s="949">
        <v>0.39</v>
      </c>
      <c r="KZ72" s="949">
        <v>0.41</v>
      </c>
      <c r="LA72" s="949">
        <v>0.45</v>
      </c>
      <c r="LB72" s="949">
        <v>0.4</v>
      </c>
      <c r="LC72" s="949">
        <v>0.38</v>
      </c>
      <c r="LD72" s="949">
        <v>0.61</v>
      </c>
      <c r="LE72" s="949">
        <v>0.48</v>
      </c>
      <c r="LF72" s="949">
        <v>0.31</v>
      </c>
      <c r="LG72" s="949">
        <v>0.36</v>
      </c>
      <c r="LH72" s="949">
        <v>0.6</v>
      </c>
      <c r="LI72" s="949">
        <v>0.46</v>
      </c>
      <c r="LJ72" s="949">
        <v>0.39</v>
      </c>
      <c r="LK72" s="949">
        <v>0.52</v>
      </c>
      <c r="LL72" s="949" t="s">
        <v>173</v>
      </c>
      <c r="LM72" s="949">
        <v>0.6</v>
      </c>
      <c r="LN72" s="949">
        <v>0.6</v>
      </c>
      <c r="LO72" s="949">
        <v>0.48</v>
      </c>
      <c r="LP72" s="922">
        <v>325754002073</v>
      </c>
      <c r="LQ72" s="126" t="s">
        <v>46</v>
      </c>
      <c r="LR72" s="424">
        <v>50</v>
      </c>
      <c r="LS72" s="971">
        <v>52</v>
      </c>
      <c r="LT72" s="946"/>
    </row>
    <row r="73" spans="1:332" ht="24.95" customHeight="1" x14ac:dyDescent="0.2">
      <c r="A73" s="126" t="s">
        <v>21</v>
      </c>
      <c r="B73" s="1" t="s">
        <v>123</v>
      </c>
      <c r="C73" s="2">
        <v>3</v>
      </c>
      <c r="D73" s="12">
        <v>56</v>
      </c>
      <c r="E73" s="12">
        <v>7</v>
      </c>
      <c r="F73" s="66">
        <v>0</v>
      </c>
      <c r="G73" s="66">
        <v>0.48</v>
      </c>
      <c r="H73" s="66">
        <v>0.48</v>
      </c>
      <c r="I73" s="66">
        <v>0.04</v>
      </c>
      <c r="J73" s="66">
        <v>0.3</v>
      </c>
      <c r="K73" s="66">
        <v>0.22</v>
      </c>
      <c r="L73" s="66">
        <v>0.54</v>
      </c>
      <c r="M73" s="66">
        <v>0.19</v>
      </c>
      <c r="N73" s="66">
        <v>0.21</v>
      </c>
      <c r="O73" s="66">
        <v>0.51</v>
      </c>
      <c r="P73" s="66">
        <v>0.28999999999999998</v>
      </c>
      <c r="Q73" s="66">
        <v>0.42</v>
      </c>
      <c r="R73" s="66">
        <v>0.37</v>
      </c>
      <c r="S73" s="66">
        <v>0.47</v>
      </c>
      <c r="T73" s="66">
        <v>0.38</v>
      </c>
      <c r="U73" s="66">
        <v>0.53</v>
      </c>
      <c r="V73" s="66">
        <v>0.04</v>
      </c>
      <c r="W73" s="66">
        <v>0.05</v>
      </c>
      <c r="X73" s="66">
        <v>0.46</v>
      </c>
      <c r="Y73" s="66">
        <v>0.48</v>
      </c>
      <c r="Z73" s="66">
        <v>1</v>
      </c>
      <c r="AA73" s="66">
        <v>0.02</v>
      </c>
      <c r="AB73" s="66">
        <v>0.31</v>
      </c>
      <c r="AC73" s="66">
        <v>0.2</v>
      </c>
      <c r="AD73" s="66">
        <v>0.41</v>
      </c>
      <c r="AE73" s="66">
        <v>0.47</v>
      </c>
      <c r="AF73" s="66">
        <v>0.46</v>
      </c>
      <c r="AG73" s="66">
        <v>0.39</v>
      </c>
      <c r="AH73" s="12">
        <v>56</v>
      </c>
      <c r="AI73" s="12">
        <v>7</v>
      </c>
      <c r="AJ73" s="40">
        <v>0</v>
      </c>
      <c r="AK73" s="40">
        <v>0.42</v>
      </c>
      <c r="AL73" s="40">
        <v>0.57999999999999996</v>
      </c>
      <c r="AM73" s="40">
        <v>0</v>
      </c>
      <c r="AN73" s="40">
        <v>0.15</v>
      </c>
      <c r="AO73" s="40">
        <v>0.51</v>
      </c>
      <c r="AP73" s="40">
        <v>0.59</v>
      </c>
      <c r="AQ73" s="40">
        <v>0.25</v>
      </c>
      <c r="AR73" s="40">
        <v>0.5</v>
      </c>
      <c r="AS73" s="40">
        <v>0.4</v>
      </c>
      <c r="AT73" s="40">
        <v>0.45</v>
      </c>
      <c r="AU73" s="40">
        <v>0.5</v>
      </c>
      <c r="AV73" s="40">
        <v>0.63</v>
      </c>
      <c r="AW73" s="40">
        <v>0.38</v>
      </c>
      <c r="AX73" s="40">
        <v>0.41</v>
      </c>
      <c r="AY73" s="40">
        <v>0.2</v>
      </c>
      <c r="AZ73" s="40">
        <v>0.18</v>
      </c>
      <c r="BA73" s="40">
        <v>0.47</v>
      </c>
      <c r="BB73" s="40">
        <v>0.67</v>
      </c>
      <c r="BC73" s="40">
        <v>0.64</v>
      </c>
      <c r="BD73" s="40">
        <v>0.34</v>
      </c>
      <c r="BE73" s="40">
        <v>0.33</v>
      </c>
      <c r="BF73" s="40">
        <v>0.57999999999999996</v>
      </c>
      <c r="BG73" s="40">
        <v>0.44</v>
      </c>
      <c r="BH73" s="40">
        <v>0.34</v>
      </c>
      <c r="BI73" s="40">
        <v>0.41</v>
      </c>
      <c r="BJ73" s="40">
        <v>0.27</v>
      </c>
      <c r="BK73" s="40">
        <v>0.33</v>
      </c>
      <c r="BL73" s="40">
        <v>0.64</v>
      </c>
      <c r="BM73" s="12">
        <v>50</v>
      </c>
      <c r="BN73" s="12">
        <v>9</v>
      </c>
      <c r="BO73" s="66">
        <v>0.13</v>
      </c>
      <c r="BP73" s="66">
        <v>0.53</v>
      </c>
      <c r="BQ73" s="66">
        <v>0.3</v>
      </c>
      <c r="BR73" s="66">
        <v>0.03</v>
      </c>
      <c r="BS73" s="66">
        <v>0.36</v>
      </c>
      <c r="BT73" s="66">
        <v>0.63</v>
      </c>
      <c r="BU73" s="66">
        <v>0.66</v>
      </c>
      <c r="BV73" s="66">
        <v>0.33</v>
      </c>
      <c r="BW73" s="66">
        <v>0.8</v>
      </c>
      <c r="BX73" s="66">
        <v>0.36</v>
      </c>
      <c r="BY73" s="66">
        <v>0.38</v>
      </c>
      <c r="BZ73" s="66">
        <v>0.48</v>
      </c>
      <c r="CA73" s="66">
        <v>0.49</v>
      </c>
      <c r="CB73" s="66">
        <v>0.46</v>
      </c>
      <c r="CC73" s="66">
        <v>0.21</v>
      </c>
      <c r="CD73" s="66">
        <v>0.38</v>
      </c>
      <c r="CE73" s="66">
        <v>0.37</v>
      </c>
      <c r="CF73" s="66">
        <v>0.52</v>
      </c>
      <c r="CG73" s="66">
        <v>0.64</v>
      </c>
      <c r="CH73" s="66">
        <v>0.47</v>
      </c>
      <c r="CI73" s="66">
        <v>0.47</v>
      </c>
      <c r="CJ73" s="66">
        <v>0.36</v>
      </c>
      <c r="CK73" s="66">
        <v>0.67</v>
      </c>
      <c r="CL73" s="66">
        <v>0.35</v>
      </c>
      <c r="CM73" s="66">
        <v>0.44</v>
      </c>
      <c r="CN73" s="66">
        <v>0.52</v>
      </c>
      <c r="CO73" s="66">
        <v>0.44</v>
      </c>
      <c r="CP73" s="66">
        <v>0.39</v>
      </c>
      <c r="CQ73" s="66">
        <v>0.56000000000000005</v>
      </c>
      <c r="CR73" s="66">
        <v>0.48</v>
      </c>
      <c r="CS73" s="12">
        <v>52</v>
      </c>
      <c r="CT73" s="12">
        <v>8</v>
      </c>
      <c r="CU73" s="63">
        <v>0.09</v>
      </c>
      <c r="CV73" s="63">
        <v>0.59</v>
      </c>
      <c r="CW73" s="63">
        <v>0.32</v>
      </c>
      <c r="CX73" s="63">
        <v>0</v>
      </c>
      <c r="CY73" s="63">
        <v>0.44</v>
      </c>
      <c r="CZ73" s="63">
        <v>0.27</v>
      </c>
      <c r="DA73" s="63">
        <v>0.52</v>
      </c>
      <c r="DB73" s="63">
        <v>0.28999999999999998</v>
      </c>
      <c r="DC73" s="63">
        <v>0.37</v>
      </c>
      <c r="DD73" s="63">
        <v>0.61</v>
      </c>
      <c r="DE73" s="63">
        <v>0.23</v>
      </c>
      <c r="DF73" s="63">
        <v>0.56999999999999995</v>
      </c>
      <c r="DG73" s="63">
        <v>0.39</v>
      </c>
      <c r="DH73" s="63">
        <v>0.3</v>
      </c>
      <c r="DI73" s="63">
        <v>0.35</v>
      </c>
      <c r="DJ73" s="63">
        <v>0.48</v>
      </c>
      <c r="DK73" s="63">
        <v>0.2</v>
      </c>
      <c r="DL73" s="63">
        <v>0.13</v>
      </c>
      <c r="DM73" s="63">
        <v>0.49</v>
      </c>
      <c r="DN73" s="63">
        <v>0.49</v>
      </c>
      <c r="DO73" s="63">
        <v>0.38</v>
      </c>
      <c r="DP73" s="63">
        <v>0.42</v>
      </c>
      <c r="DQ73" s="63">
        <v>0.5</v>
      </c>
      <c r="DR73" s="63">
        <v>0.19</v>
      </c>
      <c r="DS73" s="63">
        <v>0.41</v>
      </c>
      <c r="DT73" s="63">
        <v>0.54</v>
      </c>
      <c r="DU73" s="63">
        <v>0.61</v>
      </c>
      <c r="DV73" s="63">
        <v>0.57999999999999996</v>
      </c>
      <c r="DW73" s="63">
        <v>0.28999999999999998</v>
      </c>
      <c r="DX73" s="35">
        <v>51</v>
      </c>
      <c r="DY73" s="35">
        <v>10</v>
      </c>
      <c r="DZ73" s="40">
        <v>0.19</v>
      </c>
      <c r="EA73" s="40">
        <v>0.49</v>
      </c>
      <c r="EB73" s="40">
        <v>0.32</v>
      </c>
      <c r="EC73" s="40">
        <v>0</v>
      </c>
      <c r="ED73" s="40">
        <v>0.5</v>
      </c>
      <c r="EE73" s="40">
        <v>0.45</v>
      </c>
      <c r="EF73" s="40">
        <v>0.52</v>
      </c>
      <c r="EG73" s="40">
        <v>0.26</v>
      </c>
      <c r="EH73" s="40">
        <v>0.43</v>
      </c>
      <c r="EI73" s="40">
        <v>0.43</v>
      </c>
      <c r="EJ73" s="40">
        <v>0.55000000000000004</v>
      </c>
      <c r="EK73" s="40">
        <v>0.23</v>
      </c>
      <c r="EL73" s="40">
        <v>0.48</v>
      </c>
      <c r="EM73" s="40">
        <v>0.57999999999999996</v>
      </c>
      <c r="EN73" s="40">
        <v>0.51</v>
      </c>
      <c r="EO73" s="40">
        <v>0.6</v>
      </c>
      <c r="EP73" s="40">
        <v>0.3</v>
      </c>
      <c r="EQ73" s="40">
        <v>0.34</v>
      </c>
      <c r="ER73" s="40">
        <v>0.55000000000000004</v>
      </c>
      <c r="ES73" s="40">
        <v>0.59</v>
      </c>
      <c r="ET73" s="40">
        <v>0.31</v>
      </c>
      <c r="EU73" s="40">
        <v>0.56999999999999995</v>
      </c>
      <c r="EV73" s="40">
        <v>0.24</v>
      </c>
      <c r="EW73" s="40">
        <v>0.19</v>
      </c>
      <c r="EX73" s="40">
        <v>0.64</v>
      </c>
      <c r="EY73" s="40">
        <v>0.59</v>
      </c>
      <c r="EZ73" s="40">
        <v>0.15</v>
      </c>
      <c r="FA73" s="40">
        <v>0.56000000000000005</v>
      </c>
      <c r="FB73" s="246">
        <v>52</v>
      </c>
      <c r="FC73" s="246" t="s">
        <v>758</v>
      </c>
      <c r="FD73" s="246">
        <v>7</v>
      </c>
      <c r="FE73" s="246" t="s">
        <v>758</v>
      </c>
      <c r="FF73" s="263">
        <v>0.06</v>
      </c>
      <c r="FG73" s="263">
        <v>0.69</v>
      </c>
      <c r="FH73" s="263">
        <v>0.25</v>
      </c>
      <c r="FI73" s="263">
        <v>0</v>
      </c>
      <c r="FJ73" s="263">
        <v>0.4</v>
      </c>
      <c r="FK73" s="263">
        <v>0.63</v>
      </c>
      <c r="FL73" s="263">
        <v>0.4</v>
      </c>
      <c r="FM73" s="263">
        <v>0.51</v>
      </c>
      <c r="FN73" s="263">
        <v>0.28999999999999998</v>
      </c>
      <c r="FO73" s="263">
        <v>0.37</v>
      </c>
      <c r="FP73" s="263">
        <v>0.27</v>
      </c>
      <c r="FQ73" s="263">
        <v>0.33</v>
      </c>
      <c r="FR73" s="263">
        <v>0.51</v>
      </c>
      <c r="FS73" s="263">
        <v>0.5</v>
      </c>
      <c r="FT73" s="263">
        <v>0.47</v>
      </c>
      <c r="FU73" s="263">
        <v>0.4</v>
      </c>
      <c r="FV73" s="263">
        <v>0.65</v>
      </c>
      <c r="FW73" s="263">
        <v>0.59</v>
      </c>
      <c r="FX73" s="263">
        <v>0.44</v>
      </c>
      <c r="FY73" s="263">
        <v>0.39</v>
      </c>
      <c r="FZ73" s="263">
        <v>0.4</v>
      </c>
      <c r="GA73" s="263">
        <v>0.48</v>
      </c>
      <c r="GB73" s="263">
        <v>0.53</v>
      </c>
      <c r="GC73" s="263">
        <v>0.37</v>
      </c>
      <c r="GD73" s="263">
        <v>0.56999999999999995</v>
      </c>
      <c r="GE73" s="263">
        <v>0.56000000000000005</v>
      </c>
      <c r="GF73" s="263">
        <v>0.45</v>
      </c>
      <c r="GG73" s="263">
        <v>0.38</v>
      </c>
      <c r="GH73" s="263">
        <v>0.49</v>
      </c>
      <c r="GI73" s="263">
        <v>0.16</v>
      </c>
      <c r="GJ73" s="309">
        <v>53</v>
      </c>
      <c r="GK73" s="309" t="s">
        <v>758</v>
      </c>
      <c r="GL73" s="309">
        <v>7</v>
      </c>
      <c r="GM73" s="309" t="s">
        <v>758</v>
      </c>
      <c r="GN73" s="327">
        <v>0.04</v>
      </c>
      <c r="GO73" s="327">
        <v>0.54</v>
      </c>
      <c r="GP73" s="327">
        <v>0.43</v>
      </c>
      <c r="GQ73" s="327">
        <v>0</v>
      </c>
      <c r="GR73" s="327">
        <v>0.36</v>
      </c>
      <c r="GS73" s="327">
        <v>0.4</v>
      </c>
      <c r="GT73" s="327">
        <v>0.6</v>
      </c>
      <c r="GU73" s="327">
        <v>0.03</v>
      </c>
      <c r="GV73" s="327">
        <v>0.56000000000000005</v>
      </c>
      <c r="GW73" s="327">
        <v>0.43</v>
      </c>
      <c r="GX73" s="327">
        <v>0.38</v>
      </c>
      <c r="GY73" s="309" t="s">
        <v>173</v>
      </c>
      <c r="GZ73" s="327">
        <v>0.26</v>
      </c>
      <c r="HA73" s="327">
        <v>0.65</v>
      </c>
      <c r="HB73" s="327">
        <v>0.44</v>
      </c>
      <c r="HC73" s="327">
        <v>0.43</v>
      </c>
      <c r="HD73" s="327">
        <v>0.54</v>
      </c>
      <c r="HE73" s="327">
        <v>0.53</v>
      </c>
      <c r="HF73" s="327">
        <v>0.5</v>
      </c>
      <c r="HG73" s="327">
        <v>0.66</v>
      </c>
      <c r="HH73" s="327">
        <v>0.38</v>
      </c>
      <c r="HI73" s="327">
        <v>0.48</v>
      </c>
      <c r="HJ73" s="327">
        <v>0.56999999999999995</v>
      </c>
      <c r="HK73" s="327">
        <v>0.43</v>
      </c>
      <c r="HL73" s="327">
        <v>0.34</v>
      </c>
      <c r="HM73" s="327">
        <v>0.42</v>
      </c>
      <c r="HN73" s="327">
        <v>0.43</v>
      </c>
      <c r="HO73" s="327">
        <v>0.45</v>
      </c>
      <c r="HP73" s="309" t="s">
        <v>173</v>
      </c>
      <c r="HQ73" s="327">
        <v>0.32</v>
      </c>
      <c r="HR73" s="424">
        <v>52</v>
      </c>
      <c r="HS73" s="424" t="s">
        <v>758</v>
      </c>
      <c r="HT73" s="424">
        <v>8</v>
      </c>
      <c r="HU73" s="424" t="s">
        <v>758</v>
      </c>
      <c r="HV73" s="428">
        <v>0.04</v>
      </c>
      <c r="HW73" s="428">
        <v>0.65</v>
      </c>
      <c r="HX73" s="428">
        <v>0.27</v>
      </c>
      <c r="HY73" s="428">
        <v>0.04</v>
      </c>
      <c r="HZ73" s="428">
        <v>0.25</v>
      </c>
      <c r="IA73" s="428">
        <v>0.49</v>
      </c>
      <c r="IB73" s="428">
        <v>0.25</v>
      </c>
      <c r="IC73" s="428">
        <v>0.47</v>
      </c>
      <c r="ID73" s="428">
        <v>0.66</v>
      </c>
      <c r="IE73" s="428">
        <v>0.26</v>
      </c>
      <c r="IF73" s="428">
        <v>0.46</v>
      </c>
      <c r="IG73" s="428">
        <v>0.56999999999999995</v>
      </c>
      <c r="IH73" s="428">
        <v>0.5</v>
      </c>
      <c r="II73" s="428">
        <v>0.32</v>
      </c>
      <c r="IJ73" s="428">
        <v>0.24</v>
      </c>
      <c r="IK73" s="428">
        <v>0.63</v>
      </c>
      <c r="IL73" s="428">
        <v>0.33</v>
      </c>
      <c r="IM73" s="428">
        <v>0.51</v>
      </c>
      <c r="IN73" s="428">
        <v>0.41</v>
      </c>
      <c r="IO73" s="428">
        <v>0.56999999999999995</v>
      </c>
      <c r="IP73" s="428">
        <v>0.38</v>
      </c>
      <c r="IQ73" s="428">
        <v>0.59</v>
      </c>
      <c r="IR73" s="428">
        <v>0.68</v>
      </c>
      <c r="IS73" s="428">
        <v>0.49</v>
      </c>
      <c r="IT73" s="428">
        <v>0.43</v>
      </c>
      <c r="IU73" s="424" t="s">
        <v>173</v>
      </c>
      <c r="IV73" s="428">
        <v>0.66</v>
      </c>
      <c r="IW73" s="428">
        <v>0.37</v>
      </c>
      <c r="IX73" s="428">
        <v>0.53</v>
      </c>
      <c r="IY73" s="428">
        <v>0.51</v>
      </c>
      <c r="IZ73" s="464">
        <v>54</v>
      </c>
      <c r="JA73" s="464" t="s">
        <v>758</v>
      </c>
      <c r="JB73" s="464">
        <v>8</v>
      </c>
      <c r="JC73" s="464" t="s">
        <v>758</v>
      </c>
      <c r="JD73" s="476">
        <v>7.0000000000000007E-2</v>
      </c>
      <c r="JE73" s="476">
        <v>0.48</v>
      </c>
      <c r="JF73" s="476">
        <v>0.45</v>
      </c>
      <c r="JG73" s="476">
        <v>0</v>
      </c>
      <c r="JH73" s="476">
        <v>0.41</v>
      </c>
      <c r="JI73" s="476">
        <v>0.33</v>
      </c>
      <c r="JJ73" s="476">
        <v>0.4</v>
      </c>
      <c r="JK73" s="476">
        <v>0.46</v>
      </c>
      <c r="JL73" s="476">
        <v>0.45</v>
      </c>
      <c r="JM73" s="476">
        <v>0.52</v>
      </c>
      <c r="JN73" s="476">
        <v>0.36</v>
      </c>
      <c r="JO73" s="476">
        <v>0.41</v>
      </c>
      <c r="JP73" s="476">
        <v>0.52</v>
      </c>
      <c r="JQ73" s="476">
        <v>0.21</v>
      </c>
      <c r="JR73" s="476">
        <v>0.55000000000000004</v>
      </c>
      <c r="JS73" s="476">
        <v>0.33</v>
      </c>
      <c r="JT73" s="476">
        <v>0.27</v>
      </c>
      <c r="JU73" s="476">
        <v>0.56999999999999995</v>
      </c>
      <c r="JV73" s="476">
        <v>0.42</v>
      </c>
      <c r="JW73" s="476">
        <v>0.43</v>
      </c>
      <c r="JX73" s="476">
        <v>0.35</v>
      </c>
      <c r="JY73" s="476">
        <v>0.45</v>
      </c>
      <c r="JZ73" s="476">
        <v>0.4</v>
      </c>
      <c r="KA73" s="476">
        <v>0.56000000000000005</v>
      </c>
      <c r="KB73" s="476">
        <v>0.38</v>
      </c>
      <c r="KC73" s="476">
        <v>0.66</v>
      </c>
      <c r="KD73" s="476">
        <v>0.3</v>
      </c>
      <c r="KE73" s="476">
        <v>0.46</v>
      </c>
      <c r="KF73" s="476">
        <v>0.42</v>
      </c>
      <c r="KG73" s="476">
        <v>0.4</v>
      </c>
      <c r="KH73" s="971">
        <v>52</v>
      </c>
      <c r="KI73" s="971" t="s">
        <v>758</v>
      </c>
      <c r="KJ73" s="971">
        <v>10</v>
      </c>
      <c r="KK73" s="971" t="s">
        <v>758</v>
      </c>
      <c r="KL73" s="949">
        <v>0.12</v>
      </c>
      <c r="KM73" s="949">
        <v>0.53</v>
      </c>
      <c r="KN73" s="949">
        <v>0.31</v>
      </c>
      <c r="KO73" s="949">
        <v>0.04</v>
      </c>
      <c r="KP73" s="949">
        <v>0.39</v>
      </c>
      <c r="KQ73" s="949">
        <v>0.23</v>
      </c>
      <c r="KR73" s="949">
        <v>0.59</v>
      </c>
      <c r="KS73" s="949">
        <v>0.52</v>
      </c>
      <c r="KT73" s="949">
        <v>0.52</v>
      </c>
      <c r="KU73" s="949">
        <v>0.45</v>
      </c>
      <c r="KV73" s="949">
        <v>0.64</v>
      </c>
      <c r="KW73" s="949">
        <v>0.39</v>
      </c>
      <c r="KX73" s="949">
        <v>0.34</v>
      </c>
      <c r="KY73" s="949">
        <v>0.52</v>
      </c>
      <c r="KZ73" s="949">
        <v>0.39</v>
      </c>
      <c r="LA73" s="949">
        <v>0.34</v>
      </c>
      <c r="LB73" s="949">
        <v>0.44</v>
      </c>
      <c r="LC73" s="949">
        <v>0.41</v>
      </c>
      <c r="LD73" s="949">
        <v>0.66</v>
      </c>
      <c r="LE73" s="949">
        <v>0.5</v>
      </c>
      <c r="LF73" s="949">
        <v>0.42</v>
      </c>
      <c r="LG73" s="949">
        <v>0.46</v>
      </c>
      <c r="LH73" s="949">
        <v>0.53</v>
      </c>
      <c r="LI73" s="949">
        <v>0.41</v>
      </c>
      <c r="LJ73" s="949">
        <v>0.41</v>
      </c>
      <c r="LK73" s="949">
        <v>0.48</v>
      </c>
      <c r="LL73" s="949" t="s">
        <v>173</v>
      </c>
      <c r="LM73" s="949">
        <v>0.52</v>
      </c>
      <c r="LN73" s="949">
        <v>0.55000000000000004</v>
      </c>
      <c r="LO73" s="949">
        <v>0.43</v>
      </c>
      <c r="LP73" s="922">
        <v>125754001833</v>
      </c>
      <c r="LQ73" s="126" t="s">
        <v>21</v>
      </c>
      <c r="LR73" s="424">
        <v>52</v>
      </c>
      <c r="LS73" s="971">
        <v>52</v>
      </c>
      <c r="LT73" s="946"/>
    </row>
    <row r="74" spans="1:332" ht="24.95" customHeight="1" x14ac:dyDescent="0.2">
      <c r="A74" s="126" t="s">
        <v>56</v>
      </c>
      <c r="B74" s="1" t="s">
        <v>123</v>
      </c>
      <c r="C74" s="2">
        <v>6</v>
      </c>
      <c r="D74" s="12">
        <v>56</v>
      </c>
      <c r="E74" s="12">
        <v>3</v>
      </c>
      <c r="F74" s="66">
        <v>0</v>
      </c>
      <c r="G74" s="66">
        <v>0.25</v>
      </c>
      <c r="H74" s="66">
        <v>0.75</v>
      </c>
      <c r="I74" s="66">
        <v>0</v>
      </c>
      <c r="J74" s="66">
        <v>0.25</v>
      </c>
      <c r="K74" s="66">
        <v>0.5</v>
      </c>
      <c r="L74" s="66">
        <v>0.63</v>
      </c>
      <c r="M74" s="66">
        <v>0</v>
      </c>
      <c r="N74" s="66">
        <v>0.2</v>
      </c>
      <c r="O74" s="66">
        <v>0.71</v>
      </c>
      <c r="P74" s="66">
        <v>0.38</v>
      </c>
      <c r="Q74" s="66">
        <v>0.31</v>
      </c>
      <c r="R74" s="66">
        <v>0.55000000000000004</v>
      </c>
      <c r="S74" s="66">
        <v>0.75</v>
      </c>
      <c r="T74" s="66">
        <v>0.75</v>
      </c>
      <c r="U74" s="66">
        <v>0.75</v>
      </c>
      <c r="V74" s="66">
        <v>0</v>
      </c>
      <c r="W74" s="66">
        <v>0</v>
      </c>
      <c r="X74" s="66">
        <v>0.44</v>
      </c>
      <c r="Y74" s="66">
        <v>0.25</v>
      </c>
      <c r="Z74" s="12" t="s">
        <v>173</v>
      </c>
      <c r="AA74" s="66">
        <v>0.25</v>
      </c>
      <c r="AB74" s="66">
        <v>0.25</v>
      </c>
      <c r="AC74" s="66">
        <v>0</v>
      </c>
      <c r="AD74" s="66">
        <v>0.5</v>
      </c>
      <c r="AE74" s="66">
        <v>0.63</v>
      </c>
      <c r="AF74" s="66">
        <v>0.5</v>
      </c>
      <c r="AG74" s="66">
        <v>0.67</v>
      </c>
      <c r="AH74" s="12">
        <v>52</v>
      </c>
      <c r="AI74" s="12">
        <v>5</v>
      </c>
      <c r="AJ74" s="40">
        <v>0</v>
      </c>
      <c r="AK74" s="40">
        <v>0.75</v>
      </c>
      <c r="AL74" s="40">
        <v>0.25</v>
      </c>
      <c r="AM74" s="40">
        <v>0</v>
      </c>
      <c r="AN74" s="40">
        <v>0.25</v>
      </c>
      <c r="AO74" s="40">
        <v>0.62</v>
      </c>
      <c r="AP74" s="40">
        <v>0.67</v>
      </c>
      <c r="AQ74" s="40">
        <v>0.14000000000000001</v>
      </c>
      <c r="AR74" s="40">
        <v>0.4</v>
      </c>
      <c r="AS74" s="40">
        <v>0.6</v>
      </c>
      <c r="AT74" s="40">
        <v>0.25</v>
      </c>
      <c r="AU74" s="40">
        <v>0.67</v>
      </c>
      <c r="AV74" s="40">
        <v>0.56999999999999995</v>
      </c>
      <c r="AW74" s="40">
        <v>1</v>
      </c>
      <c r="AX74" s="40">
        <v>0.5</v>
      </c>
      <c r="AY74" s="40">
        <v>0.52</v>
      </c>
      <c r="AZ74" s="40">
        <v>0.4</v>
      </c>
      <c r="BA74" s="40">
        <v>0.63</v>
      </c>
      <c r="BB74" s="40">
        <v>0.67</v>
      </c>
      <c r="BC74" s="40">
        <v>0.38</v>
      </c>
      <c r="BD74" s="40">
        <v>0.5</v>
      </c>
      <c r="BE74" s="40">
        <v>0.33</v>
      </c>
      <c r="BF74" s="40">
        <v>1</v>
      </c>
      <c r="BG74" s="40">
        <v>0.44</v>
      </c>
      <c r="BH74" s="40">
        <v>0.36</v>
      </c>
      <c r="BI74" s="40">
        <v>0.6</v>
      </c>
      <c r="BJ74" s="40">
        <v>0.33</v>
      </c>
      <c r="BK74" s="40">
        <v>0.33</v>
      </c>
      <c r="BL74" s="40">
        <v>0</v>
      </c>
      <c r="BM74" s="12" t="s">
        <v>126</v>
      </c>
      <c r="BN74" s="12" t="s">
        <v>128</v>
      </c>
      <c r="BO74" s="12"/>
      <c r="BP74" s="12"/>
      <c r="BQ74" s="12"/>
      <c r="BR74" s="12"/>
      <c r="BS74" s="12"/>
      <c r="BT74" s="12"/>
      <c r="BU74" s="12"/>
      <c r="BV74" s="12"/>
      <c r="BW74" s="12"/>
      <c r="BX74" s="12"/>
      <c r="BY74" s="12"/>
      <c r="BZ74" s="12"/>
      <c r="CA74" s="12"/>
      <c r="CB74" s="12"/>
      <c r="CC74" s="12"/>
      <c r="CD74" s="12"/>
      <c r="CE74" s="12"/>
      <c r="CF74" s="12"/>
      <c r="CG74" s="12"/>
      <c r="CH74" s="12"/>
      <c r="CI74" s="12"/>
      <c r="CJ74" s="12"/>
      <c r="CK74" s="12"/>
      <c r="CL74" s="12"/>
      <c r="CM74" s="12"/>
      <c r="CN74" s="12"/>
      <c r="CO74" s="12"/>
      <c r="CP74" s="12"/>
      <c r="CQ74" s="12"/>
      <c r="CR74" s="12"/>
      <c r="CS74" s="12">
        <v>46</v>
      </c>
      <c r="CT74" s="12">
        <v>13</v>
      </c>
      <c r="CU74" s="63">
        <v>0.5</v>
      </c>
      <c r="CV74" s="63">
        <v>0.5</v>
      </c>
      <c r="CW74" s="63">
        <v>0</v>
      </c>
      <c r="CX74" s="63">
        <v>0</v>
      </c>
      <c r="CY74" s="63">
        <v>0.63</v>
      </c>
      <c r="CZ74" s="63">
        <v>0.4</v>
      </c>
      <c r="DA74" s="63">
        <v>0.25</v>
      </c>
      <c r="DB74" s="63">
        <v>1</v>
      </c>
      <c r="DC74" s="63">
        <v>0.4</v>
      </c>
      <c r="DD74" s="63">
        <v>0.5</v>
      </c>
      <c r="DE74" s="63">
        <v>0.5</v>
      </c>
      <c r="DF74" s="63">
        <v>0.43</v>
      </c>
      <c r="DG74" s="63">
        <v>0.2</v>
      </c>
      <c r="DH74" s="63">
        <v>0.6</v>
      </c>
      <c r="DI74" s="63">
        <v>0.5</v>
      </c>
      <c r="DJ74" s="63">
        <v>1</v>
      </c>
      <c r="DK74" s="63">
        <v>1</v>
      </c>
      <c r="DL74" s="2" t="s">
        <v>173</v>
      </c>
      <c r="DM74" s="63">
        <v>0.75</v>
      </c>
      <c r="DN74" s="63">
        <v>0.2</v>
      </c>
      <c r="DO74" s="63">
        <v>0.67</v>
      </c>
      <c r="DP74" s="63">
        <v>0.75</v>
      </c>
      <c r="DQ74" s="63">
        <v>0.5</v>
      </c>
      <c r="DR74" s="63">
        <v>0.33</v>
      </c>
      <c r="DS74" s="63">
        <v>0.33</v>
      </c>
      <c r="DT74" s="63">
        <v>0.75</v>
      </c>
      <c r="DU74" s="63">
        <v>1</v>
      </c>
      <c r="DV74" s="63">
        <v>0.25</v>
      </c>
      <c r="DW74" s="63">
        <v>1</v>
      </c>
      <c r="DX74" s="35">
        <v>46</v>
      </c>
      <c r="DY74" s="35">
        <v>10</v>
      </c>
      <c r="DZ74" s="40">
        <v>0.25</v>
      </c>
      <c r="EA74" s="40">
        <v>0.63</v>
      </c>
      <c r="EB74" s="40">
        <v>0.13</v>
      </c>
      <c r="EC74" s="40">
        <v>0</v>
      </c>
      <c r="ED74" s="40">
        <v>0.47</v>
      </c>
      <c r="EE74" s="40">
        <v>0.45</v>
      </c>
      <c r="EF74" s="40">
        <v>0.8</v>
      </c>
      <c r="EG74" s="40">
        <v>1</v>
      </c>
      <c r="EH74" s="40">
        <v>0.54</v>
      </c>
      <c r="EI74" s="40">
        <v>0.55000000000000004</v>
      </c>
      <c r="EJ74" s="40">
        <v>0.44</v>
      </c>
      <c r="EK74" s="40">
        <v>0.25</v>
      </c>
      <c r="EL74" s="40">
        <v>0.53</v>
      </c>
      <c r="EM74" s="40">
        <v>0.82</v>
      </c>
      <c r="EN74" s="40">
        <v>0.56000000000000005</v>
      </c>
      <c r="EO74" s="40">
        <v>0.55000000000000004</v>
      </c>
      <c r="EP74" s="40">
        <v>0.44</v>
      </c>
      <c r="EQ74" s="40">
        <v>0.56999999999999995</v>
      </c>
      <c r="ER74" s="40">
        <v>0.59</v>
      </c>
      <c r="ES74" s="40">
        <v>0.89</v>
      </c>
      <c r="ET74" s="40">
        <v>0.24</v>
      </c>
      <c r="EU74" s="40">
        <v>0.28999999999999998</v>
      </c>
      <c r="EV74" s="40">
        <v>0.6</v>
      </c>
      <c r="EW74" s="40">
        <v>0.54</v>
      </c>
      <c r="EX74" s="40">
        <v>0.67</v>
      </c>
      <c r="EY74" s="40">
        <v>0.56000000000000005</v>
      </c>
      <c r="EZ74" s="40">
        <v>0.75</v>
      </c>
      <c r="FA74" s="40">
        <v>0.52</v>
      </c>
      <c r="FB74" s="646"/>
      <c r="FC74" s="646"/>
      <c r="FD74" s="646"/>
      <c r="FE74" s="646"/>
      <c r="FF74" s="646"/>
      <c r="FG74" s="646"/>
      <c r="FH74" s="646"/>
      <c r="FI74" s="646"/>
      <c r="FJ74" s="646"/>
      <c r="FK74" s="646"/>
      <c r="FL74" s="646"/>
      <c r="FM74" s="646"/>
      <c r="FN74" s="646"/>
      <c r="FO74" s="646"/>
      <c r="FP74" s="646"/>
      <c r="FQ74" s="646"/>
      <c r="FR74" s="646"/>
      <c r="FS74" s="646"/>
      <c r="FT74" s="646"/>
      <c r="FU74" s="646"/>
      <c r="FV74" s="646"/>
      <c r="FW74" s="646"/>
      <c r="FX74" s="646"/>
      <c r="FY74" s="646"/>
      <c r="FZ74" s="646"/>
      <c r="GA74" s="646"/>
      <c r="GB74" s="646"/>
      <c r="GC74" s="646"/>
      <c r="GD74" s="646"/>
      <c r="GE74" s="646"/>
      <c r="GF74" s="646"/>
      <c r="GG74" s="646"/>
      <c r="GH74" s="646"/>
      <c r="GI74" s="646"/>
      <c r="GJ74" s="649"/>
      <c r="GK74" s="649"/>
      <c r="GL74" s="649"/>
      <c r="GM74" s="649"/>
      <c r="GN74" s="649"/>
      <c r="GO74" s="649"/>
      <c r="GP74" s="649"/>
      <c r="GQ74" s="649"/>
      <c r="GR74" s="649"/>
      <c r="GS74" s="649"/>
      <c r="GT74" s="649"/>
      <c r="GU74" s="649"/>
      <c r="GV74" s="649"/>
      <c r="GW74" s="649"/>
      <c r="GX74" s="649"/>
      <c r="GY74" s="649"/>
      <c r="GZ74" s="649"/>
      <c r="HA74" s="649"/>
      <c r="HB74" s="649"/>
      <c r="HC74" s="649"/>
      <c r="HD74" s="649"/>
      <c r="HE74" s="649"/>
      <c r="HF74" s="649"/>
      <c r="HG74" s="649"/>
      <c r="HH74" s="649"/>
      <c r="HI74" s="649"/>
      <c r="HJ74" s="649"/>
      <c r="HK74" s="649"/>
      <c r="HL74" s="649"/>
      <c r="HM74" s="649"/>
      <c r="HN74" s="649"/>
      <c r="HO74" s="649"/>
      <c r="HP74" s="649"/>
      <c r="HQ74" s="649"/>
      <c r="HR74" s="424">
        <v>52</v>
      </c>
      <c r="HS74" s="424" t="s">
        <v>758</v>
      </c>
      <c r="HT74" s="424">
        <v>13</v>
      </c>
      <c r="HU74" s="424" t="s">
        <v>759</v>
      </c>
      <c r="HV74" s="428">
        <v>0.2</v>
      </c>
      <c r="HW74" s="428">
        <v>0.2</v>
      </c>
      <c r="HX74" s="428">
        <v>0.6</v>
      </c>
      <c r="HY74" s="428">
        <v>0</v>
      </c>
      <c r="HZ74" s="428">
        <v>0.28999999999999998</v>
      </c>
      <c r="IA74" s="428">
        <v>0.44</v>
      </c>
      <c r="IB74" s="428">
        <v>0.33</v>
      </c>
      <c r="IC74" s="428">
        <v>0.44</v>
      </c>
      <c r="ID74" s="428">
        <v>0.47</v>
      </c>
      <c r="IE74" s="428">
        <v>0.46</v>
      </c>
      <c r="IF74" s="428">
        <v>0.2</v>
      </c>
      <c r="IG74" s="428">
        <v>0.6</v>
      </c>
      <c r="IH74" s="428">
        <v>0.38</v>
      </c>
      <c r="II74" s="428">
        <v>0.25</v>
      </c>
      <c r="IJ74" s="428">
        <v>0.09</v>
      </c>
      <c r="IK74" s="428">
        <v>0.46</v>
      </c>
      <c r="IL74" s="428">
        <v>0.5</v>
      </c>
      <c r="IM74" s="428">
        <v>0.92</v>
      </c>
      <c r="IN74" s="428">
        <v>0.44</v>
      </c>
      <c r="IO74" s="428">
        <v>0.44</v>
      </c>
      <c r="IP74" s="428">
        <v>0.6</v>
      </c>
      <c r="IQ74" s="428">
        <v>0.75</v>
      </c>
      <c r="IR74" s="428">
        <v>0.7</v>
      </c>
      <c r="IS74" s="428">
        <v>0.64</v>
      </c>
      <c r="IT74" s="428">
        <v>0.36</v>
      </c>
      <c r="IU74" s="424" t="s">
        <v>173</v>
      </c>
      <c r="IV74" s="428">
        <v>0.36</v>
      </c>
      <c r="IW74" s="428">
        <v>0.42</v>
      </c>
      <c r="IX74" s="428">
        <v>0.33</v>
      </c>
      <c r="IY74" s="428">
        <v>0.5</v>
      </c>
      <c r="IZ74" s="464">
        <v>48</v>
      </c>
      <c r="JA74" s="464" t="s">
        <v>758</v>
      </c>
      <c r="JB74" s="464">
        <v>11</v>
      </c>
      <c r="JC74" s="464" t="s">
        <v>758</v>
      </c>
      <c r="JD74" s="476">
        <v>0.25</v>
      </c>
      <c r="JE74" s="476">
        <v>0.5</v>
      </c>
      <c r="JF74" s="476">
        <v>0.25</v>
      </c>
      <c r="JG74" s="476">
        <v>0</v>
      </c>
      <c r="JH74" s="476">
        <v>0.75</v>
      </c>
      <c r="JI74" s="476">
        <v>0.36</v>
      </c>
      <c r="JJ74" s="476">
        <v>0.5</v>
      </c>
      <c r="JK74" s="476">
        <v>0.4</v>
      </c>
      <c r="JL74" s="476">
        <v>0.28999999999999998</v>
      </c>
      <c r="JM74" s="476">
        <v>0.5</v>
      </c>
      <c r="JN74" s="476">
        <v>0.4</v>
      </c>
      <c r="JO74" s="476">
        <v>0.78</v>
      </c>
      <c r="JP74" s="476">
        <v>0.78</v>
      </c>
      <c r="JQ74" s="476">
        <v>0.33</v>
      </c>
      <c r="JR74" s="476">
        <v>0.42</v>
      </c>
      <c r="JS74" s="476">
        <v>0.4</v>
      </c>
      <c r="JT74" s="476">
        <v>0.67</v>
      </c>
      <c r="JU74" s="476">
        <v>0.56000000000000005</v>
      </c>
      <c r="JV74" s="476">
        <v>0.67</v>
      </c>
      <c r="JW74" s="476">
        <v>0.5</v>
      </c>
      <c r="JX74" s="476">
        <v>0.6</v>
      </c>
      <c r="JY74" s="476">
        <v>0.71</v>
      </c>
      <c r="JZ74" s="476">
        <v>0.75</v>
      </c>
      <c r="KA74" s="476">
        <v>0</v>
      </c>
      <c r="KB74" s="476">
        <v>0.75</v>
      </c>
      <c r="KC74" s="476">
        <v>0.67</v>
      </c>
      <c r="KD74" s="476">
        <v>0.38</v>
      </c>
      <c r="KE74" s="476">
        <v>0.56000000000000005</v>
      </c>
      <c r="KF74" s="476">
        <v>0.73</v>
      </c>
      <c r="KG74" s="476">
        <v>0.33</v>
      </c>
      <c r="KH74" s="971">
        <v>54</v>
      </c>
      <c r="KI74" s="971" t="s">
        <v>758</v>
      </c>
      <c r="KJ74" s="971">
        <v>14</v>
      </c>
      <c r="KK74" s="971" t="s">
        <v>759</v>
      </c>
      <c r="KL74" s="949">
        <v>0.17</v>
      </c>
      <c r="KM74" s="949">
        <v>0.33</v>
      </c>
      <c r="KN74" s="949">
        <v>0.33</v>
      </c>
      <c r="KO74" s="949">
        <v>0.17</v>
      </c>
      <c r="KP74" s="949">
        <v>0.55000000000000004</v>
      </c>
      <c r="KQ74" s="949">
        <v>0.11</v>
      </c>
      <c r="KR74" s="949">
        <v>0.47</v>
      </c>
      <c r="KS74" s="949">
        <v>0.36</v>
      </c>
      <c r="KT74" s="949">
        <v>0.38</v>
      </c>
      <c r="KU74" s="949">
        <v>0.2</v>
      </c>
      <c r="KV74" s="949">
        <v>0.6</v>
      </c>
      <c r="KW74" s="949">
        <v>0.36</v>
      </c>
      <c r="KX74" s="949">
        <v>0.42</v>
      </c>
      <c r="KY74" s="949">
        <v>0.5</v>
      </c>
      <c r="KZ74" s="949">
        <v>0.35</v>
      </c>
      <c r="LA74" s="949">
        <v>0.33</v>
      </c>
      <c r="LB74" s="949">
        <v>0.56000000000000005</v>
      </c>
      <c r="LC74" s="949">
        <v>0.5</v>
      </c>
      <c r="LD74" s="949">
        <v>0.5</v>
      </c>
      <c r="LE74" s="949">
        <v>0.47</v>
      </c>
      <c r="LF74" s="949">
        <v>0.25</v>
      </c>
      <c r="LG74" s="949">
        <v>0.67</v>
      </c>
      <c r="LH74" s="949">
        <v>0.54</v>
      </c>
      <c r="LI74" s="949">
        <v>0.35</v>
      </c>
      <c r="LJ74" s="949">
        <v>0.38</v>
      </c>
      <c r="LK74" s="949">
        <v>0.37</v>
      </c>
      <c r="LL74" s="949" t="s">
        <v>173</v>
      </c>
      <c r="LM74" s="949">
        <v>0.42</v>
      </c>
      <c r="LN74" s="949">
        <v>0.75</v>
      </c>
      <c r="LO74" s="949">
        <v>0.13</v>
      </c>
      <c r="LP74" s="922">
        <v>325754002979</v>
      </c>
      <c r="LQ74" s="126" t="s">
        <v>56</v>
      </c>
      <c r="LR74" s="424">
        <v>52</v>
      </c>
      <c r="LS74" s="971">
        <v>54</v>
      </c>
      <c r="LT74" s="946"/>
    </row>
    <row r="75" spans="1:332" ht="24.95" customHeight="1" x14ac:dyDescent="0.2">
      <c r="A75" s="644" t="s">
        <v>761</v>
      </c>
      <c r="B75" s="1" t="s">
        <v>123</v>
      </c>
      <c r="C75" s="2">
        <v>6</v>
      </c>
      <c r="D75" s="12"/>
      <c r="E75" s="12"/>
      <c r="F75" s="66"/>
      <c r="G75" s="66"/>
      <c r="H75" s="66"/>
      <c r="I75" s="66"/>
      <c r="J75" s="66"/>
      <c r="K75" s="66"/>
      <c r="L75" s="66"/>
      <c r="M75" s="66"/>
      <c r="N75" s="66"/>
      <c r="O75" s="66"/>
      <c r="P75" s="66"/>
      <c r="Q75" s="66"/>
      <c r="R75" s="66"/>
      <c r="S75" s="66"/>
      <c r="T75" s="66"/>
      <c r="U75" s="66"/>
      <c r="V75" s="66"/>
      <c r="W75" s="66"/>
      <c r="X75" s="66"/>
      <c r="Y75" s="66"/>
      <c r="Z75" s="66"/>
      <c r="AA75" s="66"/>
      <c r="AB75" s="66"/>
      <c r="AC75" s="66"/>
      <c r="AD75" s="66"/>
      <c r="AE75" s="66"/>
      <c r="AF75" s="66"/>
      <c r="AG75" s="66"/>
      <c r="AH75" s="12"/>
      <c r="AI75" s="12"/>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12"/>
      <c r="BN75" s="12"/>
      <c r="BO75" s="66"/>
      <c r="BP75" s="66"/>
      <c r="BQ75" s="66"/>
      <c r="BR75" s="66"/>
      <c r="BS75" s="66"/>
      <c r="BT75" s="66"/>
      <c r="BU75" s="66"/>
      <c r="BV75" s="66"/>
      <c r="BW75" s="66"/>
      <c r="BX75" s="66"/>
      <c r="BY75" s="66"/>
      <c r="BZ75" s="66"/>
      <c r="CA75" s="66"/>
      <c r="CB75" s="66"/>
      <c r="CC75" s="66"/>
      <c r="CD75" s="66"/>
      <c r="CE75" s="66"/>
      <c r="CF75" s="66"/>
      <c r="CG75" s="66"/>
      <c r="CH75" s="66"/>
      <c r="CI75" s="66"/>
      <c r="CJ75" s="66"/>
      <c r="CK75" s="66"/>
      <c r="CL75" s="66"/>
      <c r="CM75" s="66"/>
      <c r="CN75" s="66"/>
      <c r="CO75" s="66"/>
      <c r="CP75" s="66"/>
      <c r="CQ75" s="66"/>
      <c r="CR75" s="66"/>
      <c r="CS75" s="12"/>
      <c r="CT75" s="12"/>
      <c r="CU75" s="63"/>
      <c r="CV75" s="63"/>
      <c r="CW75" s="63"/>
      <c r="CX75" s="63"/>
      <c r="CY75" s="63"/>
      <c r="CZ75" s="63"/>
      <c r="DA75" s="63"/>
      <c r="DB75" s="63"/>
      <c r="DC75" s="63"/>
      <c r="DD75" s="63"/>
      <c r="DE75" s="63"/>
      <c r="DF75" s="63"/>
      <c r="DG75" s="63"/>
      <c r="DH75" s="63"/>
      <c r="DI75" s="63"/>
      <c r="DJ75" s="63"/>
      <c r="DK75" s="63"/>
      <c r="DL75" s="63"/>
      <c r="DM75" s="63"/>
      <c r="DN75" s="63"/>
      <c r="DO75" s="63"/>
      <c r="DP75" s="63"/>
      <c r="DQ75" s="63"/>
      <c r="DR75" s="63"/>
      <c r="DS75" s="63"/>
      <c r="DT75" s="63"/>
      <c r="DU75" s="63"/>
      <c r="DV75" s="63"/>
      <c r="DW75" s="63"/>
      <c r="DX75" s="35"/>
      <c r="DY75" s="35"/>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246">
        <v>48</v>
      </c>
      <c r="FC75" s="246" t="s">
        <v>758</v>
      </c>
      <c r="FD75" s="246">
        <v>8</v>
      </c>
      <c r="FE75" s="246" t="s">
        <v>758</v>
      </c>
      <c r="FF75" s="263">
        <v>0.22</v>
      </c>
      <c r="FG75" s="263">
        <v>0.61</v>
      </c>
      <c r="FH75" s="263">
        <v>0.17</v>
      </c>
      <c r="FI75" s="263">
        <v>0</v>
      </c>
      <c r="FJ75" s="263">
        <v>0.38</v>
      </c>
      <c r="FK75" s="263">
        <v>0.66</v>
      </c>
      <c r="FL75" s="263">
        <v>0.56999999999999995</v>
      </c>
      <c r="FM75" s="263">
        <v>0.28999999999999998</v>
      </c>
      <c r="FN75" s="263">
        <v>0.52</v>
      </c>
      <c r="FO75" s="263">
        <v>0.43</v>
      </c>
      <c r="FP75" s="263">
        <v>0.4</v>
      </c>
      <c r="FQ75" s="263">
        <v>0.44</v>
      </c>
      <c r="FR75" s="263">
        <v>0.57999999999999996</v>
      </c>
      <c r="FS75" s="263">
        <v>0.54</v>
      </c>
      <c r="FT75" s="263">
        <v>0.45</v>
      </c>
      <c r="FU75" s="263">
        <v>0.45</v>
      </c>
      <c r="FV75" s="263">
        <v>0.64</v>
      </c>
      <c r="FW75" s="263">
        <v>0.46</v>
      </c>
      <c r="FX75" s="263">
        <v>0.61</v>
      </c>
      <c r="FY75" s="263">
        <v>0.21</v>
      </c>
      <c r="FZ75" s="263">
        <v>0.41</v>
      </c>
      <c r="GA75" s="263">
        <v>0.56999999999999995</v>
      </c>
      <c r="GB75" s="263">
        <v>0.7</v>
      </c>
      <c r="GC75" s="263">
        <v>0.59</v>
      </c>
      <c r="GD75" s="263">
        <v>0.66</v>
      </c>
      <c r="GE75" s="263">
        <v>0.53</v>
      </c>
      <c r="GF75" s="263">
        <v>0.52</v>
      </c>
      <c r="GG75" s="263">
        <v>0.43</v>
      </c>
      <c r="GH75" s="263">
        <v>0.69</v>
      </c>
      <c r="GI75" s="263">
        <v>0.34</v>
      </c>
      <c r="GJ75" s="309">
        <v>48</v>
      </c>
      <c r="GK75" s="309" t="s">
        <v>758</v>
      </c>
      <c r="GL75" s="309">
        <v>8</v>
      </c>
      <c r="GM75" s="309" t="s">
        <v>758</v>
      </c>
      <c r="GN75" s="327">
        <v>0.19</v>
      </c>
      <c r="GO75" s="327">
        <v>0.65</v>
      </c>
      <c r="GP75" s="327">
        <v>0.16</v>
      </c>
      <c r="GQ75" s="327">
        <v>0</v>
      </c>
      <c r="GR75" s="327">
        <v>0.49</v>
      </c>
      <c r="GS75" s="327">
        <v>0.54</v>
      </c>
      <c r="GT75" s="327">
        <v>0.75</v>
      </c>
      <c r="GU75" s="327">
        <v>0.2</v>
      </c>
      <c r="GV75" s="327">
        <v>0.54</v>
      </c>
      <c r="GW75" s="327">
        <v>0.45</v>
      </c>
      <c r="GX75" s="327">
        <v>0.5</v>
      </c>
      <c r="GY75" s="309" t="s">
        <v>173</v>
      </c>
      <c r="GZ75" s="327">
        <v>0.31</v>
      </c>
      <c r="HA75" s="327">
        <v>0.71</v>
      </c>
      <c r="HB75" s="327">
        <v>0.53</v>
      </c>
      <c r="HC75" s="327">
        <v>0.57999999999999996</v>
      </c>
      <c r="HD75" s="327">
        <v>0.67</v>
      </c>
      <c r="HE75" s="327">
        <v>0.53</v>
      </c>
      <c r="HF75" s="327">
        <v>0.57999999999999996</v>
      </c>
      <c r="HG75" s="327">
        <v>0.73</v>
      </c>
      <c r="HH75" s="327">
        <v>0.53</v>
      </c>
      <c r="HI75" s="327">
        <v>0.61</v>
      </c>
      <c r="HJ75" s="327">
        <v>0.64</v>
      </c>
      <c r="HK75" s="327">
        <v>0.53</v>
      </c>
      <c r="HL75" s="327">
        <v>0.49</v>
      </c>
      <c r="HM75" s="327">
        <v>0.52</v>
      </c>
      <c r="HN75" s="327">
        <v>0.53</v>
      </c>
      <c r="HO75" s="327">
        <v>0.56000000000000005</v>
      </c>
      <c r="HP75" s="309" t="s">
        <v>173</v>
      </c>
      <c r="HQ75" s="327">
        <v>0.48</v>
      </c>
      <c r="HR75" s="424">
        <v>49</v>
      </c>
      <c r="HS75" s="424" t="s">
        <v>758</v>
      </c>
      <c r="HT75" s="424">
        <v>8</v>
      </c>
      <c r="HU75" s="424" t="s">
        <v>758</v>
      </c>
      <c r="HV75" s="428">
        <v>0.17</v>
      </c>
      <c r="HW75" s="428">
        <v>0.59</v>
      </c>
      <c r="HX75" s="428">
        <v>0.24</v>
      </c>
      <c r="HY75" s="428">
        <v>0</v>
      </c>
      <c r="HZ75" s="428">
        <v>0.4</v>
      </c>
      <c r="IA75" s="428">
        <v>0.54</v>
      </c>
      <c r="IB75" s="428">
        <v>0.26</v>
      </c>
      <c r="IC75" s="428">
        <v>0.44</v>
      </c>
      <c r="ID75" s="428">
        <v>0.67</v>
      </c>
      <c r="IE75" s="428">
        <v>0.34</v>
      </c>
      <c r="IF75" s="428">
        <v>0.47</v>
      </c>
      <c r="IG75" s="428">
        <v>0.55000000000000004</v>
      </c>
      <c r="IH75" s="428">
        <v>0.44</v>
      </c>
      <c r="II75" s="428">
        <v>0.5</v>
      </c>
      <c r="IJ75" s="428">
        <v>0.36</v>
      </c>
      <c r="IK75" s="428">
        <v>0.64</v>
      </c>
      <c r="IL75" s="428">
        <v>0.41</v>
      </c>
      <c r="IM75" s="428">
        <v>0.59</v>
      </c>
      <c r="IN75" s="428">
        <v>0.55000000000000004</v>
      </c>
      <c r="IO75" s="428">
        <v>0.49</v>
      </c>
      <c r="IP75" s="428">
        <v>0.56000000000000005</v>
      </c>
      <c r="IQ75" s="428">
        <v>0.7</v>
      </c>
      <c r="IR75" s="428">
        <v>0.6</v>
      </c>
      <c r="IS75" s="428">
        <v>0.71</v>
      </c>
      <c r="IT75" s="428">
        <v>0.38</v>
      </c>
      <c r="IU75" s="424" t="s">
        <v>173</v>
      </c>
      <c r="IV75" s="428">
        <v>0.65</v>
      </c>
      <c r="IW75" s="428">
        <v>0.43</v>
      </c>
      <c r="IX75" s="428">
        <v>0.49</v>
      </c>
      <c r="IY75" s="428">
        <v>0.54</v>
      </c>
      <c r="IZ75" s="464">
        <v>53</v>
      </c>
      <c r="JA75" s="464" t="s">
        <v>758</v>
      </c>
      <c r="JB75" s="464">
        <v>8</v>
      </c>
      <c r="JC75" s="464" t="s">
        <v>758</v>
      </c>
      <c r="JD75" s="476">
        <v>0.11</v>
      </c>
      <c r="JE75" s="476">
        <v>0.44</v>
      </c>
      <c r="JF75" s="476">
        <v>0.44</v>
      </c>
      <c r="JG75" s="476">
        <v>0</v>
      </c>
      <c r="JH75" s="476">
        <v>0.45</v>
      </c>
      <c r="JI75" s="476">
        <v>0.42</v>
      </c>
      <c r="JJ75" s="476">
        <v>0.28999999999999998</v>
      </c>
      <c r="JK75" s="476">
        <v>0.36</v>
      </c>
      <c r="JL75" s="476">
        <v>0.38</v>
      </c>
      <c r="JM75" s="476">
        <v>0.42</v>
      </c>
      <c r="JN75" s="476">
        <v>0.44</v>
      </c>
      <c r="JO75" s="476">
        <v>0.42</v>
      </c>
      <c r="JP75" s="476">
        <v>0.54</v>
      </c>
      <c r="JQ75" s="476">
        <v>0.24</v>
      </c>
      <c r="JR75" s="476">
        <v>0.46</v>
      </c>
      <c r="JS75" s="476">
        <v>0.64</v>
      </c>
      <c r="JT75" s="476">
        <v>0.4</v>
      </c>
      <c r="JU75" s="476">
        <v>0.42</v>
      </c>
      <c r="JV75" s="476">
        <v>0.56999999999999995</v>
      </c>
      <c r="JW75" s="476">
        <v>0.47</v>
      </c>
      <c r="JX75" s="476">
        <v>0.43</v>
      </c>
      <c r="JY75" s="476">
        <v>0.38</v>
      </c>
      <c r="JZ75" s="476">
        <v>0.42</v>
      </c>
      <c r="KA75" s="476">
        <v>0.43</v>
      </c>
      <c r="KB75" s="476">
        <v>0.45</v>
      </c>
      <c r="KC75" s="476">
        <v>0.71</v>
      </c>
      <c r="KD75" s="476">
        <v>0.3</v>
      </c>
      <c r="KE75" s="476">
        <v>0.53</v>
      </c>
      <c r="KF75" s="476">
        <v>0.36</v>
      </c>
      <c r="KG75" s="476">
        <v>0.56999999999999995</v>
      </c>
      <c r="KH75" s="971">
        <v>57</v>
      </c>
      <c r="KI75" s="971" t="s">
        <v>758</v>
      </c>
      <c r="KJ75" s="971">
        <v>11</v>
      </c>
      <c r="KK75" s="971" t="s">
        <v>758</v>
      </c>
      <c r="KL75" s="949">
        <v>0.11</v>
      </c>
      <c r="KM75" s="949">
        <v>0.25</v>
      </c>
      <c r="KN75" s="949">
        <v>0.54</v>
      </c>
      <c r="KO75" s="949">
        <v>0.11</v>
      </c>
      <c r="KP75" s="949">
        <v>0.51</v>
      </c>
      <c r="KQ75" s="949">
        <v>0.16</v>
      </c>
      <c r="KR75" s="949">
        <v>0.45</v>
      </c>
      <c r="KS75" s="949">
        <v>0.38</v>
      </c>
      <c r="KT75" s="949">
        <v>0.48</v>
      </c>
      <c r="KU75" s="949">
        <v>0.35</v>
      </c>
      <c r="KV75" s="949">
        <v>0.4</v>
      </c>
      <c r="KW75" s="949">
        <v>0.32</v>
      </c>
      <c r="KX75" s="949">
        <v>0.26</v>
      </c>
      <c r="KY75" s="949">
        <v>0.5</v>
      </c>
      <c r="KZ75" s="949">
        <v>0.37</v>
      </c>
      <c r="LA75" s="949">
        <v>0.28999999999999998</v>
      </c>
      <c r="LB75" s="949">
        <v>0.32</v>
      </c>
      <c r="LC75" s="949">
        <v>0.37</v>
      </c>
      <c r="LD75" s="949">
        <v>0.46</v>
      </c>
      <c r="LE75" s="949">
        <v>0.4</v>
      </c>
      <c r="LF75" s="949">
        <v>0.2</v>
      </c>
      <c r="LG75" s="949">
        <v>0.28999999999999998</v>
      </c>
      <c r="LH75" s="949">
        <v>0.4</v>
      </c>
      <c r="LI75" s="949">
        <v>0.43</v>
      </c>
      <c r="LJ75" s="949">
        <v>0.31</v>
      </c>
      <c r="LK75" s="949">
        <v>0.43</v>
      </c>
      <c r="LL75" s="949" t="s">
        <v>173</v>
      </c>
      <c r="LM75" s="949">
        <v>0.5</v>
      </c>
      <c r="LN75" s="949">
        <v>0.65</v>
      </c>
      <c r="LO75" s="949">
        <v>0.26</v>
      </c>
      <c r="LP75" s="922">
        <v>325754001549</v>
      </c>
      <c r="LQ75" s="644" t="s">
        <v>761</v>
      </c>
      <c r="LR75" s="424">
        <v>49</v>
      </c>
      <c r="LS75" s="971">
        <v>57</v>
      </c>
      <c r="LT75" s="946"/>
    </row>
    <row r="76" spans="1:332" ht="24.95" customHeight="1" x14ac:dyDescent="0.2">
      <c r="A76" s="645" t="s">
        <v>93</v>
      </c>
      <c r="B76" s="1" t="s">
        <v>123</v>
      </c>
      <c r="C76" s="249">
        <v>3</v>
      </c>
      <c r="D76" s="254">
        <v>50</v>
      </c>
      <c r="E76" s="254">
        <v>5</v>
      </c>
      <c r="F76" s="258">
        <v>0</v>
      </c>
      <c r="G76" s="258">
        <v>0.89</v>
      </c>
      <c r="H76" s="258">
        <v>0.11</v>
      </c>
      <c r="I76" s="258">
        <v>0</v>
      </c>
      <c r="J76" s="258">
        <v>0.33</v>
      </c>
      <c r="K76" s="258">
        <v>0.46</v>
      </c>
      <c r="L76" s="258">
        <v>1</v>
      </c>
      <c r="M76" s="258">
        <v>0.21</v>
      </c>
      <c r="N76" s="258">
        <v>0.37</v>
      </c>
      <c r="O76" s="258">
        <v>0.83</v>
      </c>
      <c r="P76" s="258">
        <v>0.35</v>
      </c>
      <c r="Q76" s="258">
        <v>0.4</v>
      </c>
      <c r="R76" s="258">
        <v>0.55000000000000004</v>
      </c>
      <c r="S76" s="258">
        <v>0.56000000000000005</v>
      </c>
      <c r="T76" s="258">
        <v>0.71</v>
      </c>
      <c r="U76" s="258">
        <v>0.75</v>
      </c>
      <c r="V76" s="258">
        <v>0.13</v>
      </c>
      <c r="W76" s="258">
        <v>0.21</v>
      </c>
      <c r="X76" s="258">
        <v>0.73</v>
      </c>
      <c r="Y76" s="258">
        <v>0.6</v>
      </c>
      <c r="Z76" s="254" t="s">
        <v>173</v>
      </c>
      <c r="AA76" s="258">
        <v>0.21</v>
      </c>
      <c r="AB76" s="258">
        <v>0.62</v>
      </c>
      <c r="AC76" s="258">
        <v>0.15</v>
      </c>
      <c r="AD76" s="258">
        <v>0.63</v>
      </c>
      <c r="AE76" s="258">
        <v>0.33</v>
      </c>
      <c r="AF76" s="258">
        <v>0.63</v>
      </c>
      <c r="AG76" s="258">
        <v>0.39</v>
      </c>
      <c r="AH76" s="254">
        <v>50</v>
      </c>
      <c r="AI76" s="254">
        <v>9</v>
      </c>
      <c r="AJ76" s="259">
        <v>0.16</v>
      </c>
      <c r="AK76" s="259">
        <v>0.6</v>
      </c>
      <c r="AL76" s="259">
        <v>0.24</v>
      </c>
      <c r="AM76" s="259">
        <v>0</v>
      </c>
      <c r="AN76" s="259">
        <v>0.45</v>
      </c>
      <c r="AO76" s="259">
        <v>0.51</v>
      </c>
      <c r="AP76" s="259">
        <v>0.67</v>
      </c>
      <c r="AQ76" s="259">
        <v>0.45</v>
      </c>
      <c r="AR76" s="259">
        <v>0.56999999999999995</v>
      </c>
      <c r="AS76" s="259">
        <v>0.47</v>
      </c>
      <c r="AT76" s="259">
        <v>0.48</v>
      </c>
      <c r="AU76" s="259">
        <v>0.62</v>
      </c>
      <c r="AV76" s="259">
        <v>0.71</v>
      </c>
      <c r="AW76" s="259">
        <v>0.57999999999999996</v>
      </c>
      <c r="AX76" s="259">
        <v>0.5</v>
      </c>
      <c r="AY76" s="259">
        <v>0.3</v>
      </c>
      <c r="AZ76" s="259">
        <v>0.46</v>
      </c>
      <c r="BA76" s="259">
        <v>0.45</v>
      </c>
      <c r="BB76" s="259">
        <v>0.71</v>
      </c>
      <c r="BC76" s="259">
        <v>0.6</v>
      </c>
      <c r="BD76" s="259">
        <v>0.39</v>
      </c>
      <c r="BE76" s="259">
        <v>0.55000000000000004</v>
      </c>
      <c r="BF76" s="259">
        <v>0.5</v>
      </c>
      <c r="BG76" s="259">
        <v>0.54</v>
      </c>
      <c r="BH76" s="259">
        <v>0.48</v>
      </c>
      <c r="BI76" s="259">
        <v>0.45</v>
      </c>
      <c r="BJ76" s="259">
        <v>0.36</v>
      </c>
      <c r="BK76" s="259">
        <v>0.56000000000000005</v>
      </c>
      <c r="BL76" s="259">
        <v>0.73</v>
      </c>
      <c r="BM76" s="254">
        <v>55</v>
      </c>
      <c r="BN76" s="254">
        <v>10</v>
      </c>
      <c r="BO76" s="258">
        <v>0.09</v>
      </c>
      <c r="BP76" s="258">
        <v>0.39</v>
      </c>
      <c r="BQ76" s="258">
        <v>0.48</v>
      </c>
      <c r="BR76" s="258">
        <v>0.04</v>
      </c>
      <c r="BS76" s="258">
        <v>0.28000000000000003</v>
      </c>
      <c r="BT76" s="258">
        <v>0.46</v>
      </c>
      <c r="BU76" s="258">
        <v>0.56000000000000005</v>
      </c>
      <c r="BV76" s="258">
        <v>0.23</v>
      </c>
      <c r="BW76" s="258">
        <v>0.64</v>
      </c>
      <c r="BX76" s="258">
        <v>0.28000000000000003</v>
      </c>
      <c r="BY76" s="258">
        <v>0.45</v>
      </c>
      <c r="BZ76" s="258">
        <v>0.44</v>
      </c>
      <c r="CA76" s="258">
        <v>0.34</v>
      </c>
      <c r="CB76" s="258">
        <v>0.42</v>
      </c>
      <c r="CC76" s="258">
        <v>0.17</v>
      </c>
      <c r="CD76" s="258">
        <v>0.23</v>
      </c>
      <c r="CE76" s="258">
        <v>0.24</v>
      </c>
      <c r="CF76" s="258">
        <v>0.55000000000000004</v>
      </c>
      <c r="CG76" s="258">
        <v>0.53</v>
      </c>
      <c r="CH76" s="258">
        <v>0.3</v>
      </c>
      <c r="CI76" s="258">
        <v>0.45</v>
      </c>
      <c r="CJ76" s="258">
        <v>0.11</v>
      </c>
      <c r="CK76" s="258">
        <v>0.56000000000000005</v>
      </c>
      <c r="CL76" s="258">
        <v>0.25</v>
      </c>
      <c r="CM76" s="258">
        <v>0.25</v>
      </c>
      <c r="CN76" s="258">
        <v>0.33</v>
      </c>
      <c r="CO76" s="258">
        <v>0.43</v>
      </c>
      <c r="CP76" s="258">
        <v>0.28000000000000003</v>
      </c>
      <c r="CQ76" s="258">
        <v>0.48</v>
      </c>
      <c r="CR76" s="258">
        <v>0.34</v>
      </c>
      <c r="CS76" s="254">
        <v>49</v>
      </c>
      <c r="CT76" s="254">
        <v>7</v>
      </c>
      <c r="CU76" s="255">
        <v>0.11</v>
      </c>
      <c r="CV76" s="255">
        <v>0.78</v>
      </c>
      <c r="CW76" s="255">
        <v>0.11</v>
      </c>
      <c r="CX76" s="255">
        <v>0</v>
      </c>
      <c r="CY76" s="255">
        <v>0.52</v>
      </c>
      <c r="CZ76" s="255">
        <v>0.36</v>
      </c>
      <c r="DA76" s="255">
        <v>0.74</v>
      </c>
      <c r="DB76" s="255">
        <v>0.51</v>
      </c>
      <c r="DC76" s="255">
        <v>0.39</v>
      </c>
      <c r="DD76" s="255">
        <v>0.52</v>
      </c>
      <c r="DE76" s="255">
        <v>0.45</v>
      </c>
      <c r="DF76" s="255">
        <v>0.62</v>
      </c>
      <c r="DG76" s="255">
        <v>0.41</v>
      </c>
      <c r="DH76" s="255">
        <v>0.28999999999999998</v>
      </c>
      <c r="DI76" s="255">
        <v>0.45</v>
      </c>
      <c r="DJ76" s="255">
        <v>0.5</v>
      </c>
      <c r="DK76" s="255">
        <v>0.44</v>
      </c>
      <c r="DL76" s="255">
        <v>0.17</v>
      </c>
      <c r="DM76" s="255">
        <v>0.53</v>
      </c>
      <c r="DN76" s="255">
        <v>0.44</v>
      </c>
      <c r="DO76" s="255">
        <v>0.37</v>
      </c>
      <c r="DP76" s="255">
        <v>0.5</v>
      </c>
      <c r="DQ76" s="255">
        <v>0.57999999999999996</v>
      </c>
      <c r="DR76" s="255">
        <v>0.28999999999999998</v>
      </c>
      <c r="DS76" s="255">
        <v>0.38</v>
      </c>
      <c r="DT76" s="255">
        <v>0.45</v>
      </c>
      <c r="DU76" s="255">
        <v>0.57999999999999996</v>
      </c>
      <c r="DV76" s="255">
        <v>0.68</v>
      </c>
      <c r="DW76" s="255">
        <v>0.33</v>
      </c>
      <c r="DX76" s="250">
        <v>48</v>
      </c>
      <c r="DY76" s="250">
        <v>8</v>
      </c>
      <c r="DZ76" s="259">
        <v>0.19</v>
      </c>
      <c r="EA76" s="259">
        <v>0.65</v>
      </c>
      <c r="EB76" s="259">
        <v>0.15</v>
      </c>
      <c r="EC76" s="259">
        <v>0</v>
      </c>
      <c r="ED76" s="259">
        <v>0.56999999999999995</v>
      </c>
      <c r="EE76" s="259">
        <v>0.5</v>
      </c>
      <c r="EF76" s="259">
        <v>0.46</v>
      </c>
      <c r="EG76" s="259">
        <v>0.38</v>
      </c>
      <c r="EH76" s="259">
        <v>0.51</v>
      </c>
      <c r="EI76" s="259">
        <v>0.55000000000000004</v>
      </c>
      <c r="EJ76" s="259">
        <v>0.62</v>
      </c>
      <c r="EK76" s="259">
        <v>0.17</v>
      </c>
      <c r="EL76" s="259">
        <v>0.59</v>
      </c>
      <c r="EM76" s="259">
        <v>0.78</v>
      </c>
      <c r="EN76" s="259">
        <v>0.48</v>
      </c>
      <c r="EO76" s="259">
        <v>0.59</v>
      </c>
      <c r="EP76" s="259">
        <v>0.28000000000000003</v>
      </c>
      <c r="EQ76" s="259">
        <v>0.22</v>
      </c>
      <c r="ER76" s="259">
        <v>0.67</v>
      </c>
      <c r="ES76" s="259">
        <v>0.55000000000000004</v>
      </c>
      <c r="ET76" s="259">
        <v>0.27</v>
      </c>
      <c r="EU76" s="259">
        <v>0.63</v>
      </c>
      <c r="EV76" s="259">
        <v>0.53</v>
      </c>
      <c r="EW76" s="259">
        <v>0.43</v>
      </c>
      <c r="EX76" s="259">
        <v>0.6</v>
      </c>
      <c r="EY76" s="259">
        <v>0.59</v>
      </c>
      <c r="EZ76" s="259">
        <v>0.17</v>
      </c>
      <c r="FA76" s="259">
        <v>0.64</v>
      </c>
      <c r="FB76" s="246">
        <v>46</v>
      </c>
      <c r="FC76" s="246" t="s">
        <v>758</v>
      </c>
      <c r="FD76" s="246">
        <v>6</v>
      </c>
      <c r="FE76" s="246" t="s">
        <v>758</v>
      </c>
      <c r="FF76" s="263">
        <v>0.06</v>
      </c>
      <c r="FG76" s="263">
        <v>0.88</v>
      </c>
      <c r="FH76" s="263">
        <v>0.06</v>
      </c>
      <c r="FI76" s="263">
        <v>0</v>
      </c>
      <c r="FJ76" s="263">
        <v>0.65</v>
      </c>
      <c r="FK76" s="263">
        <v>0.86</v>
      </c>
      <c r="FL76" s="263">
        <v>0.52</v>
      </c>
      <c r="FM76" s="263">
        <v>0.42</v>
      </c>
      <c r="FN76" s="263">
        <v>0.32</v>
      </c>
      <c r="FO76" s="263">
        <v>0.32</v>
      </c>
      <c r="FP76" s="263">
        <v>0.36</v>
      </c>
      <c r="FQ76" s="263">
        <v>0.38</v>
      </c>
      <c r="FR76" s="263">
        <v>0.57999999999999996</v>
      </c>
      <c r="FS76" s="263">
        <v>0.73</v>
      </c>
      <c r="FT76" s="263">
        <v>0.71</v>
      </c>
      <c r="FU76" s="263">
        <v>0.5</v>
      </c>
      <c r="FV76" s="263">
        <v>0.69</v>
      </c>
      <c r="FW76" s="263">
        <v>0.52</v>
      </c>
      <c r="FX76" s="263">
        <v>0.59</v>
      </c>
      <c r="FY76" s="263">
        <v>0.43</v>
      </c>
      <c r="FZ76" s="263">
        <v>0.56999999999999995</v>
      </c>
      <c r="GA76" s="263">
        <v>0.43</v>
      </c>
      <c r="GB76" s="263">
        <v>0.56999999999999995</v>
      </c>
      <c r="GC76" s="263">
        <v>0.45</v>
      </c>
      <c r="GD76" s="263">
        <v>0.69</v>
      </c>
      <c r="GE76" s="263">
        <v>0.52</v>
      </c>
      <c r="GF76" s="263">
        <v>0.68</v>
      </c>
      <c r="GG76" s="263">
        <v>0.5</v>
      </c>
      <c r="GH76" s="263">
        <v>0.76</v>
      </c>
      <c r="GI76" s="263">
        <v>0.32</v>
      </c>
      <c r="GJ76" s="309">
        <v>51</v>
      </c>
      <c r="GK76" s="309" t="s">
        <v>758</v>
      </c>
      <c r="GL76" s="309">
        <v>10</v>
      </c>
      <c r="GM76" s="309" t="s">
        <v>758</v>
      </c>
      <c r="GN76" s="327">
        <v>0.08</v>
      </c>
      <c r="GO76" s="327">
        <v>0.71</v>
      </c>
      <c r="GP76" s="327">
        <v>0.13</v>
      </c>
      <c r="GQ76" s="327">
        <v>0.08</v>
      </c>
      <c r="GR76" s="327">
        <v>0.56000000000000005</v>
      </c>
      <c r="GS76" s="327">
        <v>0.54</v>
      </c>
      <c r="GT76" s="327">
        <v>0.59</v>
      </c>
      <c r="GU76" s="327">
        <v>0.33</v>
      </c>
      <c r="GV76" s="327">
        <v>0.64</v>
      </c>
      <c r="GW76" s="327">
        <v>0.39</v>
      </c>
      <c r="GX76" s="327">
        <v>0.47</v>
      </c>
      <c r="GY76" s="309" t="s">
        <v>173</v>
      </c>
      <c r="GZ76" s="327">
        <v>0.24</v>
      </c>
      <c r="HA76" s="327">
        <v>0.73</v>
      </c>
      <c r="HB76" s="327">
        <v>0.42</v>
      </c>
      <c r="HC76" s="327">
        <v>0.42</v>
      </c>
      <c r="HD76" s="327">
        <v>0.56999999999999995</v>
      </c>
      <c r="HE76" s="327">
        <v>0.48</v>
      </c>
      <c r="HF76" s="327">
        <v>0.47</v>
      </c>
      <c r="HG76" s="327">
        <v>0.64</v>
      </c>
      <c r="HH76" s="327">
        <v>0.39</v>
      </c>
      <c r="HI76" s="327">
        <v>0.63</v>
      </c>
      <c r="HJ76" s="327">
        <v>0.5</v>
      </c>
      <c r="HK76" s="327">
        <v>0.61</v>
      </c>
      <c r="HL76" s="327">
        <v>0.51</v>
      </c>
      <c r="HM76" s="327">
        <v>0.45</v>
      </c>
      <c r="HN76" s="327">
        <v>0.61</v>
      </c>
      <c r="HO76" s="327">
        <v>0.42</v>
      </c>
      <c r="HP76" s="309" t="s">
        <v>173</v>
      </c>
      <c r="HQ76" s="327">
        <v>0.43</v>
      </c>
      <c r="HR76" s="424">
        <v>54</v>
      </c>
      <c r="HS76" s="424" t="s">
        <v>758</v>
      </c>
      <c r="HT76" s="424">
        <v>11</v>
      </c>
      <c r="HU76" s="424" t="s">
        <v>758</v>
      </c>
      <c r="HV76" s="428">
        <v>0.13</v>
      </c>
      <c r="HW76" s="428">
        <v>0.28999999999999998</v>
      </c>
      <c r="HX76" s="428">
        <v>0.57999999999999996</v>
      </c>
      <c r="HY76" s="428">
        <v>0</v>
      </c>
      <c r="HZ76" s="428">
        <v>0.26</v>
      </c>
      <c r="IA76" s="428">
        <v>0.49</v>
      </c>
      <c r="IB76" s="428">
        <v>0.3</v>
      </c>
      <c r="IC76" s="428">
        <v>0.35</v>
      </c>
      <c r="ID76" s="428">
        <v>0.62</v>
      </c>
      <c r="IE76" s="428">
        <v>0.28999999999999998</v>
      </c>
      <c r="IF76" s="428">
        <v>0.32</v>
      </c>
      <c r="IG76" s="428">
        <v>0.49</v>
      </c>
      <c r="IH76" s="428">
        <v>0.48</v>
      </c>
      <c r="II76" s="428">
        <v>0.33</v>
      </c>
      <c r="IJ76" s="428">
        <v>0.2</v>
      </c>
      <c r="IK76" s="428">
        <v>0.5</v>
      </c>
      <c r="IL76" s="428">
        <v>0.31</v>
      </c>
      <c r="IM76" s="428">
        <v>0.57999999999999996</v>
      </c>
      <c r="IN76" s="428">
        <v>0.36</v>
      </c>
      <c r="IO76" s="428">
        <v>0.45</v>
      </c>
      <c r="IP76" s="428">
        <v>0.33</v>
      </c>
      <c r="IQ76" s="428">
        <v>0.63</v>
      </c>
      <c r="IR76" s="428">
        <v>0.53</v>
      </c>
      <c r="IS76" s="428">
        <v>0.46</v>
      </c>
      <c r="IT76" s="428">
        <v>0.42</v>
      </c>
      <c r="IU76" s="424" t="s">
        <v>173</v>
      </c>
      <c r="IV76" s="428">
        <v>0.49</v>
      </c>
      <c r="IW76" s="428">
        <v>0.35</v>
      </c>
      <c r="IX76" s="428">
        <v>0.5</v>
      </c>
      <c r="IY76" s="428">
        <v>0.39</v>
      </c>
      <c r="IZ76" s="464">
        <v>56</v>
      </c>
      <c r="JA76" s="464" t="s">
        <v>758</v>
      </c>
      <c r="JB76" s="464">
        <v>9</v>
      </c>
      <c r="JC76" s="464" t="s">
        <v>758</v>
      </c>
      <c r="JD76" s="476">
        <v>0.05</v>
      </c>
      <c r="JE76" s="476">
        <v>0.45</v>
      </c>
      <c r="JF76" s="476">
        <v>0.45</v>
      </c>
      <c r="JG76" s="476">
        <v>0.05</v>
      </c>
      <c r="JH76" s="476">
        <v>0.23</v>
      </c>
      <c r="JI76" s="476">
        <v>0.33</v>
      </c>
      <c r="JJ76" s="476">
        <v>0.23</v>
      </c>
      <c r="JK76" s="476">
        <v>0.38</v>
      </c>
      <c r="JL76" s="476">
        <v>0.35</v>
      </c>
      <c r="JM76" s="476">
        <v>0.39</v>
      </c>
      <c r="JN76" s="476">
        <v>0.38</v>
      </c>
      <c r="JO76" s="476">
        <v>0.45</v>
      </c>
      <c r="JP76" s="476">
        <v>0.38</v>
      </c>
      <c r="JQ76" s="476">
        <v>0.39</v>
      </c>
      <c r="JR76" s="476">
        <v>0.53</v>
      </c>
      <c r="JS76" s="476">
        <v>0.5</v>
      </c>
      <c r="JT76" s="476">
        <v>0.39</v>
      </c>
      <c r="JU76" s="476">
        <v>0.51</v>
      </c>
      <c r="JV76" s="476">
        <v>0.31</v>
      </c>
      <c r="JW76" s="476">
        <v>0.36</v>
      </c>
      <c r="JX76" s="476">
        <v>0.33</v>
      </c>
      <c r="JY76" s="476">
        <v>0.5</v>
      </c>
      <c r="JZ76" s="476">
        <v>0.21</v>
      </c>
      <c r="KA76" s="476">
        <v>0.57999999999999996</v>
      </c>
      <c r="KB76" s="476">
        <v>0.27</v>
      </c>
      <c r="KC76" s="476">
        <v>0.52</v>
      </c>
      <c r="KD76" s="476">
        <v>0.32</v>
      </c>
      <c r="KE76" s="476">
        <v>0.4</v>
      </c>
      <c r="KF76" s="476">
        <v>0.38</v>
      </c>
      <c r="KG76" s="476">
        <v>0.52</v>
      </c>
      <c r="KH76" s="971">
        <v>56</v>
      </c>
      <c r="KI76" s="971" t="s">
        <v>758</v>
      </c>
      <c r="KJ76" s="971">
        <v>8</v>
      </c>
      <c r="KK76" s="971" t="s">
        <v>758</v>
      </c>
      <c r="KL76" s="949">
        <v>0.09</v>
      </c>
      <c r="KM76" s="949">
        <v>0.18</v>
      </c>
      <c r="KN76" s="949">
        <v>0.73</v>
      </c>
      <c r="KO76" s="949">
        <v>0</v>
      </c>
      <c r="KP76" s="949">
        <v>0.45</v>
      </c>
      <c r="KQ76" s="949">
        <v>0.12</v>
      </c>
      <c r="KR76" s="949">
        <v>0.56000000000000005</v>
      </c>
      <c r="KS76" s="949">
        <v>0.35</v>
      </c>
      <c r="KT76" s="949">
        <v>0.42</v>
      </c>
      <c r="KU76" s="949">
        <v>0.2</v>
      </c>
      <c r="KV76" s="949">
        <v>0.62</v>
      </c>
      <c r="KW76" s="949">
        <v>0.2</v>
      </c>
      <c r="KX76" s="949">
        <v>0.26</v>
      </c>
      <c r="KY76" s="949">
        <v>0.56999999999999995</v>
      </c>
      <c r="KZ76" s="949">
        <v>0.37</v>
      </c>
      <c r="LA76" s="949">
        <v>0.42</v>
      </c>
      <c r="LB76" s="949">
        <v>0.42</v>
      </c>
      <c r="LC76" s="949">
        <v>0.31</v>
      </c>
      <c r="LD76" s="949">
        <v>0.48</v>
      </c>
      <c r="LE76" s="949">
        <v>0.48</v>
      </c>
      <c r="LF76" s="949">
        <v>0.22</v>
      </c>
      <c r="LG76" s="949">
        <v>0.08</v>
      </c>
      <c r="LH76" s="949">
        <v>0.53</v>
      </c>
      <c r="LI76" s="949">
        <v>0.42</v>
      </c>
      <c r="LJ76" s="949">
        <v>0.36</v>
      </c>
      <c r="LK76" s="949">
        <v>0.44</v>
      </c>
      <c r="LL76" s="949" t="s">
        <v>173</v>
      </c>
      <c r="LM76" s="949">
        <v>0.43</v>
      </c>
      <c r="LN76" s="949">
        <v>0.5</v>
      </c>
      <c r="LO76" s="949">
        <v>0.26</v>
      </c>
      <c r="LP76" s="922">
        <v>325754001921</v>
      </c>
      <c r="LQ76" s="645" t="s">
        <v>93</v>
      </c>
      <c r="LR76" s="424">
        <v>54</v>
      </c>
      <c r="LS76" s="971">
        <v>56</v>
      </c>
      <c r="LT76" s="946"/>
    </row>
    <row r="77" spans="1:332" ht="24.95" customHeight="1" x14ac:dyDescent="0.2">
      <c r="A77" s="126" t="s">
        <v>111</v>
      </c>
      <c r="B77" s="1" t="s">
        <v>123</v>
      </c>
      <c r="C77" s="2">
        <v>1</v>
      </c>
      <c r="D77" s="12">
        <v>56</v>
      </c>
      <c r="E77" s="12">
        <v>4</v>
      </c>
      <c r="F77" s="66">
        <v>0</v>
      </c>
      <c r="G77" s="66">
        <v>0.59</v>
      </c>
      <c r="H77" s="66">
        <v>0.41</v>
      </c>
      <c r="I77" s="66">
        <v>0</v>
      </c>
      <c r="J77" s="66">
        <v>0.35</v>
      </c>
      <c r="K77" s="66">
        <v>0.28000000000000003</v>
      </c>
      <c r="L77" s="66">
        <v>0.66</v>
      </c>
      <c r="M77" s="66">
        <v>0.13</v>
      </c>
      <c r="N77" s="66">
        <v>0.21</v>
      </c>
      <c r="O77" s="66">
        <v>0.78</v>
      </c>
      <c r="P77" s="66">
        <v>0.34</v>
      </c>
      <c r="Q77" s="66">
        <v>0.28999999999999998</v>
      </c>
      <c r="R77" s="66">
        <v>0.56999999999999995</v>
      </c>
      <c r="S77" s="66">
        <v>0.77</v>
      </c>
      <c r="T77" s="66">
        <v>0.3</v>
      </c>
      <c r="U77" s="66">
        <v>0.59</v>
      </c>
      <c r="V77" s="66">
        <v>0</v>
      </c>
      <c r="W77" s="66">
        <v>0.06</v>
      </c>
      <c r="X77" s="66">
        <v>0.41</v>
      </c>
      <c r="Y77" s="66">
        <v>0.53</v>
      </c>
      <c r="Z77" s="12" t="s">
        <v>173</v>
      </c>
      <c r="AA77" s="66">
        <v>0.06</v>
      </c>
      <c r="AB77" s="66">
        <v>0.51</v>
      </c>
      <c r="AC77" s="66">
        <v>0.08</v>
      </c>
      <c r="AD77" s="66">
        <v>0.4</v>
      </c>
      <c r="AE77" s="66">
        <v>0.31</v>
      </c>
      <c r="AF77" s="66">
        <v>0.27</v>
      </c>
      <c r="AG77" s="66">
        <v>0.59</v>
      </c>
      <c r="AH77" s="12">
        <v>50</v>
      </c>
      <c r="AI77" s="12">
        <v>10</v>
      </c>
      <c r="AJ77" s="40">
        <v>0.22</v>
      </c>
      <c r="AK77" s="40">
        <v>0.33</v>
      </c>
      <c r="AL77" s="40">
        <v>0.44</v>
      </c>
      <c r="AM77" s="40">
        <v>0</v>
      </c>
      <c r="AN77" s="40">
        <v>0.28999999999999998</v>
      </c>
      <c r="AO77" s="40">
        <v>0.3</v>
      </c>
      <c r="AP77" s="40">
        <v>0.57999999999999996</v>
      </c>
      <c r="AQ77" s="40">
        <v>0.5</v>
      </c>
      <c r="AR77" s="40">
        <v>0.73</v>
      </c>
      <c r="AS77" s="40">
        <v>0.63</v>
      </c>
      <c r="AT77" s="40">
        <v>0.33</v>
      </c>
      <c r="AU77" s="40">
        <v>0.48</v>
      </c>
      <c r="AV77" s="40">
        <v>0.33</v>
      </c>
      <c r="AW77" s="40">
        <v>0.5</v>
      </c>
      <c r="AX77" s="40">
        <v>0.63</v>
      </c>
      <c r="AY77" s="40">
        <v>0.39</v>
      </c>
      <c r="AZ77" s="40">
        <v>0.47</v>
      </c>
      <c r="BA77" s="40">
        <v>0.45</v>
      </c>
      <c r="BB77" s="40">
        <v>0.69</v>
      </c>
      <c r="BC77" s="40">
        <v>0.79</v>
      </c>
      <c r="BD77" s="40">
        <v>0.45</v>
      </c>
      <c r="BE77" s="40">
        <v>0.33</v>
      </c>
      <c r="BF77" s="40">
        <v>0.5</v>
      </c>
      <c r="BG77" s="40">
        <v>0.62</v>
      </c>
      <c r="BH77" s="40">
        <v>0.49</v>
      </c>
      <c r="BI77" s="40">
        <v>0.42</v>
      </c>
      <c r="BJ77" s="40">
        <v>0.5</v>
      </c>
      <c r="BK77" s="40">
        <v>0.41</v>
      </c>
      <c r="BL77" s="40">
        <v>0.75</v>
      </c>
      <c r="BM77" s="12">
        <v>50</v>
      </c>
      <c r="BN77" s="12">
        <v>8</v>
      </c>
      <c r="BO77" s="66">
        <v>0.13</v>
      </c>
      <c r="BP77" s="66">
        <v>0.63</v>
      </c>
      <c r="BQ77" s="66">
        <v>0.25</v>
      </c>
      <c r="BR77" s="66">
        <v>0</v>
      </c>
      <c r="BS77" s="66">
        <v>0.53</v>
      </c>
      <c r="BT77" s="66">
        <v>0.33</v>
      </c>
      <c r="BU77" s="66">
        <v>0.38</v>
      </c>
      <c r="BV77" s="66">
        <v>0.5</v>
      </c>
      <c r="BW77" s="66">
        <v>0.5</v>
      </c>
      <c r="BX77" s="66">
        <v>0.35</v>
      </c>
      <c r="BY77" s="66">
        <v>0.38</v>
      </c>
      <c r="BZ77" s="66">
        <v>0.65</v>
      </c>
      <c r="CA77" s="66">
        <v>0.43</v>
      </c>
      <c r="CB77" s="66">
        <v>0.42</v>
      </c>
      <c r="CC77" s="66">
        <v>0.13</v>
      </c>
      <c r="CD77" s="66">
        <v>0.41</v>
      </c>
      <c r="CE77" s="66">
        <v>0.33</v>
      </c>
      <c r="CF77" s="66">
        <v>0.17</v>
      </c>
      <c r="CG77" s="66">
        <v>0.6</v>
      </c>
      <c r="CH77" s="66">
        <v>0.41</v>
      </c>
      <c r="CI77" s="66">
        <v>0.72</v>
      </c>
      <c r="CJ77" s="66">
        <v>0.4</v>
      </c>
      <c r="CK77" s="66">
        <v>0.6</v>
      </c>
      <c r="CL77" s="66">
        <v>0.35</v>
      </c>
      <c r="CM77" s="66">
        <v>0.4</v>
      </c>
      <c r="CN77" s="66">
        <v>0.52</v>
      </c>
      <c r="CO77" s="66">
        <v>0.69</v>
      </c>
      <c r="CP77" s="66">
        <v>0.33</v>
      </c>
      <c r="CQ77" s="66">
        <v>0.59</v>
      </c>
      <c r="CR77" s="66">
        <v>0.63</v>
      </c>
      <c r="CS77" s="12">
        <v>48</v>
      </c>
      <c r="CT77" s="12">
        <v>8</v>
      </c>
      <c r="CU77" s="63">
        <v>0.22</v>
      </c>
      <c r="CV77" s="63">
        <v>0.67</v>
      </c>
      <c r="CW77" s="63">
        <v>0.11</v>
      </c>
      <c r="CX77" s="63">
        <v>0</v>
      </c>
      <c r="CY77" s="63">
        <v>0.67</v>
      </c>
      <c r="CZ77" s="63">
        <v>0.43</v>
      </c>
      <c r="DA77" s="63">
        <v>0.59</v>
      </c>
      <c r="DB77" s="63">
        <v>0.57999999999999996</v>
      </c>
      <c r="DC77" s="63">
        <v>0.47</v>
      </c>
      <c r="DD77" s="63">
        <v>0.57999999999999996</v>
      </c>
      <c r="DE77" s="63">
        <v>0.42</v>
      </c>
      <c r="DF77" s="63">
        <v>0.64</v>
      </c>
      <c r="DG77" s="63">
        <v>0.76</v>
      </c>
      <c r="DH77" s="63">
        <v>0.48</v>
      </c>
      <c r="DI77" s="63">
        <v>0.23</v>
      </c>
      <c r="DJ77" s="63">
        <v>0.64</v>
      </c>
      <c r="DK77" s="63">
        <v>0.57999999999999996</v>
      </c>
      <c r="DL77" s="63">
        <v>0.67</v>
      </c>
      <c r="DM77" s="63">
        <v>0.46</v>
      </c>
      <c r="DN77" s="63">
        <v>0.43</v>
      </c>
      <c r="DO77" s="63">
        <v>0.5</v>
      </c>
      <c r="DP77" s="63">
        <v>0.37</v>
      </c>
      <c r="DQ77" s="63">
        <v>0.57999999999999996</v>
      </c>
      <c r="DR77" s="63">
        <v>0</v>
      </c>
      <c r="DS77" s="63">
        <v>0.47</v>
      </c>
      <c r="DT77" s="63">
        <v>0.65</v>
      </c>
      <c r="DU77" s="63">
        <v>0.67</v>
      </c>
      <c r="DV77" s="63">
        <v>0.59</v>
      </c>
      <c r="DW77" s="63">
        <v>0.2</v>
      </c>
      <c r="DX77" s="35">
        <v>53</v>
      </c>
      <c r="DY77" s="35">
        <v>9</v>
      </c>
      <c r="DZ77" s="40">
        <v>0</v>
      </c>
      <c r="EA77" s="40">
        <v>0.63</v>
      </c>
      <c r="EB77" s="40">
        <v>0.38</v>
      </c>
      <c r="EC77" s="40">
        <v>0</v>
      </c>
      <c r="ED77" s="40">
        <v>0.4</v>
      </c>
      <c r="EE77" s="40">
        <v>0.35</v>
      </c>
      <c r="EF77" s="40">
        <v>0.33</v>
      </c>
      <c r="EG77" s="40">
        <v>0</v>
      </c>
      <c r="EH77" s="40">
        <v>0.56000000000000005</v>
      </c>
      <c r="EI77" s="40">
        <v>0.56000000000000005</v>
      </c>
      <c r="EJ77" s="40">
        <v>0.61</v>
      </c>
      <c r="EK77" s="40">
        <v>0.3</v>
      </c>
      <c r="EL77" s="40">
        <v>0.48</v>
      </c>
      <c r="EM77" s="40">
        <v>0.43</v>
      </c>
      <c r="EN77" s="40">
        <v>0.39</v>
      </c>
      <c r="EO77" s="40">
        <v>0.5</v>
      </c>
      <c r="EP77" s="40">
        <v>0.38</v>
      </c>
      <c r="EQ77" s="40">
        <v>0.18</v>
      </c>
      <c r="ER77" s="40">
        <v>0.47</v>
      </c>
      <c r="ES77" s="40">
        <v>0.33</v>
      </c>
      <c r="ET77" s="40">
        <v>0.33</v>
      </c>
      <c r="EU77" s="40">
        <v>0.56000000000000005</v>
      </c>
      <c r="EV77" s="40">
        <v>0.4</v>
      </c>
      <c r="EW77" s="40">
        <v>0.2</v>
      </c>
      <c r="EX77" s="40">
        <v>0.5</v>
      </c>
      <c r="EY77" s="40">
        <v>0.55000000000000004</v>
      </c>
      <c r="EZ77" s="40">
        <v>0.25</v>
      </c>
      <c r="FA77" s="40">
        <v>0.63</v>
      </c>
      <c r="FB77" s="647">
        <v>52</v>
      </c>
      <c r="FC77" s="647" t="s">
        <v>758</v>
      </c>
      <c r="FD77" s="647">
        <v>6</v>
      </c>
      <c r="FE77" s="647" t="s">
        <v>758</v>
      </c>
      <c r="FF77" s="648">
        <v>0.09</v>
      </c>
      <c r="FG77" s="648">
        <v>0.64</v>
      </c>
      <c r="FH77" s="648">
        <v>0.27</v>
      </c>
      <c r="FI77" s="648">
        <v>0</v>
      </c>
      <c r="FJ77" s="648">
        <v>0.39</v>
      </c>
      <c r="FK77" s="648">
        <v>0.62</v>
      </c>
      <c r="FL77" s="648">
        <v>0.42</v>
      </c>
      <c r="FM77" s="648">
        <v>0.33</v>
      </c>
      <c r="FN77" s="648">
        <v>0.22</v>
      </c>
      <c r="FO77" s="648">
        <v>0.35</v>
      </c>
      <c r="FP77" s="648">
        <v>0.24</v>
      </c>
      <c r="FQ77" s="648">
        <v>0.42</v>
      </c>
      <c r="FR77" s="648">
        <v>0.56999999999999995</v>
      </c>
      <c r="FS77" s="648">
        <v>0.5</v>
      </c>
      <c r="FT77" s="648">
        <v>0.52</v>
      </c>
      <c r="FU77" s="648">
        <v>0.25</v>
      </c>
      <c r="FV77" s="648">
        <v>0.31</v>
      </c>
      <c r="FW77" s="648">
        <v>0.52</v>
      </c>
      <c r="FX77" s="648">
        <v>0.4</v>
      </c>
      <c r="FY77" s="648">
        <v>0.25</v>
      </c>
      <c r="FZ77" s="648">
        <v>0.45</v>
      </c>
      <c r="GA77" s="648">
        <v>0.57999999999999996</v>
      </c>
      <c r="GB77" s="648">
        <v>0.53</v>
      </c>
      <c r="GC77" s="648">
        <v>0.61</v>
      </c>
      <c r="GD77" s="648">
        <v>0.73</v>
      </c>
      <c r="GE77" s="648">
        <v>0.36</v>
      </c>
      <c r="GF77" s="648">
        <v>0.38</v>
      </c>
      <c r="GG77" s="648">
        <v>0.35</v>
      </c>
      <c r="GH77" s="648">
        <v>0.52</v>
      </c>
      <c r="GI77" s="648">
        <v>0.18</v>
      </c>
      <c r="GJ77" s="74">
        <v>52</v>
      </c>
      <c r="GK77" s="74" t="s">
        <v>758</v>
      </c>
      <c r="GL77" s="74">
        <v>9</v>
      </c>
      <c r="GM77" s="74" t="s">
        <v>758</v>
      </c>
      <c r="GN77" s="96">
        <v>0.17</v>
      </c>
      <c r="GO77" s="96">
        <v>0.35</v>
      </c>
      <c r="GP77" s="96">
        <v>0.48</v>
      </c>
      <c r="GQ77" s="96">
        <v>0</v>
      </c>
      <c r="GR77" s="96">
        <v>0.5</v>
      </c>
      <c r="GS77" s="96">
        <v>0.38</v>
      </c>
      <c r="GT77" s="96">
        <v>0.51</v>
      </c>
      <c r="GU77" s="96">
        <v>0.33</v>
      </c>
      <c r="GV77" s="96">
        <v>0.52</v>
      </c>
      <c r="GW77" s="96">
        <v>0.5</v>
      </c>
      <c r="GX77" s="96">
        <v>0.46</v>
      </c>
      <c r="GY77" s="74" t="s">
        <v>173</v>
      </c>
      <c r="GZ77" s="96">
        <v>0.32</v>
      </c>
      <c r="HA77" s="96">
        <v>0.77</v>
      </c>
      <c r="HB77" s="96">
        <v>0.56000000000000005</v>
      </c>
      <c r="HC77" s="96">
        <v>0.53</v>
      </c>
      <c r="HD77" s="96">
        <v>0.57999999999999996</v>
      </c>
      <c r="HE77" s="96">
        <v>0.39</v>
      </c>
      <c r="HF77" s="96">
        <v>0.52</v>
      </c>
      <c r="HG77" s="96">
        <v>0.62</v>
      </c>
      <c r="HH77" s="96">
        <v>0.26</v>
      </c>
      <c r="HI77" s="96">
        <v>0.44</v>
      </c>
      <c r="HJ77" s="96">
        <v>0.56999999999999995</v>
      </c>
      <c r="HK77" s="96">
        <v>0.45</v>
      </c>
      <c r="HL77" s="96">
        <v>0.26</v>
      </c>
      <c r="HM77" s="96">
        <v>0.44</v>
      </c>
      <c r="HN77" s="96">
        <v>0.46</v>
      </c>
      <c r="HO77" s="96">
        <v>0.42</v>
      </c>
      <c r="HP77" s="74" t="s">
        <v>173</v>
      </c>
      <c r="HQ77" s="96">
        <v>0.42</v>
      </c>
      <c r="HR77" s="424">
        <v>51</v>
      </c>
      <c r="HS77" s="424" t="s">
        <v>758</v>
      </c>
      <c r="HT77" s="424">
        <v>8</v>
      </c>
      <c r="HU77" s="424" t="s">
        <v>758</v>
      </c>
      <c r="HV77" s="428">
        <v>0.05</v>
      </c>
      <c r="HW77" s="428">
        <v>0.68</v>
      </c>
      <c r="HX77" s="428">
        <v>0.27</v>
      </c>
      <c r="HY77" s="428">
        <v>0</v>
      </c>
      <c r="HZ77" s="428">
        <v>0.39</v>
      </c>
      <c r="IA77" s="428">
        <v>0.46</v>
      </c>
      <c r="IB77" s="428">
        <v>0.48</v>
      </c>
      <c r="IC77" s="428">
        <v>0.49</v>
      </c>
      <c r="ID77" s="428">
        <v>0.57999999999999996</v>
      </c>
      <c r="IE77" s="428">
        <v>0.32</v>
      </c>
      <c r="IF77" s="428">
        <v>0.43</v>
      </c>
      <c r="IG77" s="428">
        <v>0.69</v>
      </c>
      <c r="IH77" s="428">
        <v>0.4</v>
      </c>
      <c r="II77" s="428">
        <v>0.25</v>
      </c>
      <c r="IJ77" s="428">
        <v>0.33</v>
      </c>
      <c r="IK77" s="428">
        <v>0.56999999999999995</v>
      </c>
      <c r="IL77" s="428">
        <v>0.4</v>
      </c>
      <c r="IM77" s="428">
        <v>0.51</v>
      </c>
      <c r="IN77" s="428">
        <v>0.36</v>
      </c>
      <c r="IO77" s="428">
        <v>0.56000000000000005</v>
      </c>
      <c r="IP77" s="428">
        <v>0.35</v>
      </c>
      <c r="IQ77" s="428">
        <v>0.48</v>
      </c>
      <c r="IR77" s="428">
        <v>0.48</v>
      </c>
      <c r="IS77" s="428">
        <v>0.63</v>
      </c>
      <c r="IT77" s="428">
        <v>0.43</v>
      </c>
      <c r="IU77" s="424" t="s">
        <v>173</v>
      </c>
      <c r="IV77" s="428">
        <v>0.72</v>
      </c>
      <c r="IW77" s="428">
        <v>0.3</v>
      </c>
      <c r="IX77" s="428">
        <v>0.54</v>
      </c>
      <c r="IY77" s="428">
        <v>0.6</v>
      </c>
      <c r="IZ77" s="464">
        <v>55</v>
      </c>
      <c r="JA77" s="464" t="s">
        <v>758</v>
      </c>
      <c r="JB77" s="464">
        <v>6</v>
      </c>
      <c r="JC77" s="464" t="s">
        <v>758</v>
      </c>
      <c r="JD77" s="476">
        <v>0</v>
      </c>
      <c r="JE77" s="476">
        <v>0.42</v>
      </c>
      <c r="JF77" s="476">
        <v>0.57999999999999996</v>
      </c>
      <c r="JG77" s="476">
        <v>0</v>
      </c>
      <c r="JH77" s="476">
        <v>0.44</v>
      </c>
      <c r="JI77" s="476">
        <v>0.35</v>
      </c>
      <c r="JJ77" s="476">
        <v>0.33</v>
      </c>
      <c r="JK77" s="476">
        <v>0.37</v>
      </c>
      <c r="JL77" s="476">
        <v>0.34</v>
      </c>
      <c r="JM77" s="476">
        <v>0.34</v>
      </c>
      <c r="JN77" s="476">
        <v>0.35</v>
      </c>
      <c r="JO77" s="476">
        <v>0.4</v>
      </c>
      <c r="JP77" s="476">
        <v>0.63</v>
      </c>
      <c r="JQ77" s="476">
        <v>0.16</v>
      </c>
      <c r="JR77" s="476">
        <v>0.6</v>
      </c>
      <c r="JS77" s="476">
        <v>0.57999999999999996</v>
      </c>
      <c r="JT77" s="476">
        <v>0.33</v>
      </c>
      <c r="JU77" s="476">
        <v>0.37</v>
      </c>
      <c r="JV77" s="476">
        <v>0.44</v>
      </c>
      <c r="JW77" s="476">
        <v>0.48</v>
      </c>
      <c r="JX77" s="476">
        <v>0.35</v>
      </c>
      <c r="JY77" s="476">
        <v>0.38</v>
      </c>
      <c r="JZ77" s="476">
        <v>0.38</v>
      </c>
      <c r="KA77" s="476">
        <v>0.88</v>
      </c>
      <c r="KB77" s="476">
        <v>0.5</v>
      </c>
      <c r="KC77" s="476">
        <v>0.63</v>
      </c>
      <c r="KD77" s="476">
        <v>0.28000000000000003</v>
      </c>
      <c r="KE77" s="476">
        <v>0.41</v>
      </c>
      <c r="KF77" s="476">
        <v>0.44</v>
      </c>
      <c r="KG77" s="476">
        <v>0.45</v>
      </c>
      <c r="KH77" s="971">
        <v>52</v>
      </c>
      <c r="KI77" s="971" t="s">
        <v>758</v>
      </c>
      <c r="KJ77" s="971">
        <v>9</v>
      </c>
      <c r="KK77" s="971" t="s">
        <v>758</v>
      </c>
      <c r="KL77" s="949">
        <v>0.05</v>
      </c>
      <c r="KM77" s="949">
        <v>0.65</v>
      </c>
      <c r="KN77" s="949">
        <v>0.3</v>
      </c>
      <c r="KO77" s="949">
        <v>0</v>
      </c>
      <c r="KP77" s="949">
        <v>0.54</v>
      </c>
      <c r="KQ77" s="949">
        <v>0.21</v>
      </c>
      <c r="KR77" s="949">
        <v>0.66</v>
      </c>
      <c r="KS77" s="949">
        <v>0.48</v>
      </c>
      <c r="KT77" s="949">
        <v>0.53</v>
      </c>
      <c r="KU77" s="949">
        <v>0.45</v>
      </c>
      <c r="KV77" s="949">
        <v>0.63</v>
      </c>
      <c r="KW77" s="949">
        <v>0.35</v>
      </c>
      <c r="KX77" s="949">
        <v>0.24</v>
      </c>
      <c r="KY77" s="949">
        <v>0.36</v>
      </c>
      <c r="KZ77" s="949">
        <v>0.5</v>
      </c>
      <c r="LA77" s="949">
        <v>0.31</v>
      </c>
      <c r="LB77" s="949">
        <v>0.41</v>
      </c>
      <c r="LC77" s="949">
        <v>0.34</v>
      </c>
      <c r="LD77" s="949">
        <v>0.46</v>
      </c>
      <c r="LE77" s="949">
        <v>0.55000000000000004</v>
      </c>
      <c r="LF77" s="949">
        <v>0.35</v>
      </c>
      <c r="LG77" s="949">
        <v>0.54</v>
      </c>
      <c r="LH77" s="949">
        <v>0.62</v>
      </c>
      <c r="LI77" s="949">
        <v>0.56000000000000005</v>
      </c>
      <c r="LJ77" s="949">
        <v>0.36</v>
      </c>
      <c r="LK77" s="949">
        <v>0.56000000000000005</v>
      </c>
      <c r="LL77" s="949" t="s">
        <v>173</v>
      </c>
      <c r="LM77" s="949">
        <v>0.7</v>
      </c>
      <c r="LN77" s="949">
        <v>0.5</v>
      </c>
      <c r="LO77" s="949">
        <v>0.3</v>
      </c>
      <c r="LP77" s="922">
        <v>325754004581</v>
      </c>
      <c r="LQ77" s="126" t="s">
        <v>111</v>
      </c>
      <c r="LR77" s="424">
        <v>51</v>
      </c>
      <c r="LS77" s="971">
        <v>52</v>
      </c>
      <c r="LT77" s="946"/>
    </row>
    <row r="78" spans="1:332" ht="24.95" customHeight="1" x14ac:dyDescent="0.2">
      <c r="A78" s="126" t="s">
        <v>799</v>
      </c>
      <c r="B78" s="14" t="s">
        <v>123</v>
      </c>
      <c r="C78" s="2">
        <v>2</v>
      </c>
      <c r="D78" s="12"/>
      <c r="E78" s="12"/>
      <c r="F78" s="66"/>
      <c r="G78" s="66"/>
      <c r="H78" s="66"/>
      <c r="I78" s="66"/>
      <c r="J78" s="66"/>
      <c r="K78" s="66"/>
      <c r="L78" s="66"/>
      <c r="M78" s="66"/>
      <c r="N78" s="66"/>
      <c r="O78" s="66"/>
      <c r="P78" s="66"/>
      <c r="Q78" s="66"/>
      <c r="R78" s="66"/>
      <c r="S78" s="66"/>
      <c r="T78" s="66"/>
      <c r="U78" s="66"/>
      <c r="V78" s="66"/>
      <c r="W78" s="66"/>
      <c r="X78" s="66"/>
      <c r="Y78" s="66"/>
      <c r="Z78" s="12"/>
      <c r="AA78" s="66"/>
      <c r="AB78" s="66"/>
      <c r="AC78" s="66"/>
      <c r="AD78" s="66"/>
      <c r="AE78" s="66"/>
      <c r="AF78" s="66"/>
      <c r="AG78" s="66"/>
      <c r="AH78" s="12"/>
      <c r="AI78" s="12"/>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12"/>
      <c r="BN78" s="12"/>
      <c r="BO78" s="66"/>
      <c r="BP78" s="66"/>
      <c r="BQ78" s="66"/>
      <c r="BR78" s="66"/>
      <c r="BS78" s="66"/>
      <c r="BT78" s="66"/>
      <c r="BU78" s="66"/>
      <c r="BV78" s="66"/>
      <c r="BW78" s="66"/>
      <c r="BX78" s="66"/>
      <c r="BY78" s="66"/>
      <c r="BZ78" s="66"/>
      <c r="CA78" s="66"/>
      <c r="CB78" s="66"/>
      <c r="CC78" s="66"/>
      <c r="CD78" s="66"/>
      <c r="CE78" s="66"/>
      <c r="CF78" s="66"/>
      <c r="CG78" s="66"/>
      <c r="CH78" s="66"/>
      <c r="CI78" s="66"/>
      <c r="CJ78" s="66"/>
      <c r="CK78" s="66"/>
      <c r="CL78" s="66"/>
      <c r="CM78" s="66"/>
      <c r="CN78" s="66"/>
      <c r="CO78" s="66"/>
      <c r="CP78" s="66"/>
      <c r="CQ78" s="66"/>
      <c r="CR78" s="66"/>
      <c r="CS78" s="12"/>
      <c r="CT78" s="12"/>
      <c r="CU78" s="63"/>
      <c r="CV78" s="63"/>
      <c r="CW78" s="63"/>
      <c r="CX78" s="63"/>
      <c r="CY78" s="63"/>
      <c r="CZ78" s="63"/>
      <c r="DA78" s="63"/>
      <c r="DB78" s="63"/>
      <c r="DC78" s="63"/>
      <c r="DD78" s="63"/>
      <c r="DE78" s="63"/>
      <c r="DF78" s="63"/>
      <c r="DG78" s="63"/>
      <c r="DH78" s="63"/>
      <c r="DI78" s="63"/>
      <c r="DJ78" s="63"/>
      <c r="DK78" s="63"/>
      <c r="DL78" s="63"/>
      <c r="DM78" s="63"/>
      <c r="DN78" s="63"/>
      <c r="DO78" s="63"/>
      <c r="DP78" s="63"/>
      <c r="DQ78" s="63"/>
      <c r="DR78" s="63"/>
      <c r="DS78" s="63"/>
      <c r="DT78" s="63"/>
      <c r="DU78" s="63"/>
      <c r="DV78" s="63"/>
      <c r="DW78" s="63"/>
      <c r="DX78" s="35"/>
      <c r="DY78" s="35"/>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246"/>
      <c r="FC78" s="246"/>
      <c r="FD78" s="246"/>
      <c r="FE78" s="246"/>
      <c r="FF78" s="263"/>
      <c r="FG78" s="263"/>
      <c r="FH78" s="263"/>
      <c r="FI78" s="263"/>
      <c r="FJ78" s="263"/>
      <c r="FK78" s="263"/>
      <c r="FL78" s="263"/>
      <c r="FM78" s="263"/>
      <c r="FN78" s="263"/>
      <c r="FO78" s="263"/>
      <c r="FP78" s="263"/>
      <c r="FQ78" s="263"/>
      <c r="FR78" s="263"/>
      <c r="FS78" s="263"/>
      <c r="FT78" s="263"/>
      <c r="FU78" s="263"/>
      <c r="FV78" s="263"/>
      <c r="FW78" s="263"/>
      <c r="FX78" s="263"/>
      <c r="FY78" s="263"/>
      <c r="FZ78" s="263"/>
      <c r="GA78" s="263"/>
      <c r="GB78" s="263"/>
      <c r="GC78" s="263"/>
      <c r="GD78" s="263"/>
      <c r="GE78" s="263"/>
      <c r="GF78" s="263"/>
      <c r="GG78" s="263"/>
      <c r="GH78" s="263"/>
      <c r="GI78" s="263"/>
      <c r="GJ78" s="309">
        <v>53</v>
      </c>
      <c r="GK78" s="309" t="s">
        <v>758</v>
      </c>
      <c r="GL78" s="309">
        <v>6</v>
      </c>
      <c r="GM78" s="309" t="s">
        <v>758</v>
      </c>
      <c r="GN78" s="327">
        <v>0</v>
      </c>
      <c r="GO78" s="327">
        <v>0.6</v>
      </c>
      <c r="GP78" s="327">
        <v>0.4</v>
      </c>
      <c r="GQ78" s="327">
        <v>0</v>
      </c>
      <c r="GR78" s="327">
        <v>0.64</v>
      </c>
      <c r="GS78" s="327">
        <v>0.28000000000000003</v>
      </c>
      <c r="GT78" s="327">
        <v>0.57999999999999996</v>
      </c>
      <c r="GU78" s="327">
        <v>0.25</v>
      </c>
      <c r="GV78" s="327">
        <v>0.48</v>
      </c>
      <c r="GW78" s="327">
        <v>0.47</v>
      </c>
      <c r="GX78" s="327">
        <v>0.38</v>
      </c>
      <c r="GY78" s="309" t="s">
        <v>173</v>
      </c>
      <c r="GZ78" s="327">
        <v>0.33</v>
      </c>
      <c r="HA78" s="327">
        <v>0.8</v>
      </c>
      <c r="HB78" s="327">
        <v>0.36</v>
      </c>
      <c r="HC78" s="327">
        <v>0.5</v>
      </c>
      <c r="HD78" s="327">
        <v>0.66</v>
      </c>
      <c r="HE78" s="327">
        <v>0.41</v>
      </c>
      <c r="HF78" s="327">
        <v>0.35</v>
      </c>
      <c r="HG78" s="327">
        <v>0.85</v>
      </c>
      <c r="HH78" s="327">
        <v>0.22</v>
      </c>
      <c r="HI78" s="327">
        <v>0.48</v>
      </c>
      <c r="HJ78" s="327">
        <v>0.64</v>
      </c>
      <c r="HK78" s="327">
        <v>0.63</v>
      </c>
      <c r="HL78" s="327">
        <v>0.34</v>
      </c>
      <c r="HM78" s="327">
        <v>0.54</v>
      </c>
      <c r="HN78" s="327">
        <v>0.43</v>
      </c>
      <c r="HO78" s="327">
        <v>0.36</v>
      </c>
      <c r="HP78" s="309" t="s">
        <v>173</v>
      </c>
      <c r="HQ78" s="327">
        <v>0.32</v>
      </c>
      <c r="HR78" s="424">
        <v>51</v>
      </c>
      <c r="HS78" s="424" t="s">
        <v>758</v>
      </c>
      <c r="HT78" s="424">
        <v>8</v>
      </c>
      <c r="HU78" s="424" t="s">
        <v>758</v>
      </c>
      <c r="HV78" s="428">
        <v>0.14000000000000001</v>
      </c>
      <c r="HW78" s="428">
        <v>0.52</v>
      </c>
      <c r="HX78" s="428">
        <v>0.33</v>
      </c>
      <c r="HY78" s="428">
        <v>0</v>
      </c>
      <c r="HZ78" s="428">
        <v>0.38</v>
      </c>
      <c r="IA78" s="428">
        <v>0.5</v>
      </c>
      <c r="IB78" s="428">
        <v>0.3</v>
      </c>
      <c r="IC78" s="428">
        <v>0.54</v>
      </c>
      <c r="ID78" s="428">
        <v>0.68</v>
      </c>
      <c r="IE78" s="428">
        <v>0.31</v>
      </c>
      <c r="IF78" s="428">
        <v>0.39</v>
      </c>
      <c r="IG78" s="428">
        <v>0.67</v>
      </c>
      <c r="IH78" s="428">
        <v>0.61</v>
      </c>
      <c r="II78" s="428">
        <v>0.44</v>
      </c>
      <c r="IJ78" s="428">
        <v>0.24</v>
      </c>
      <c r="IK78" s="428">
        <v>0.62</v>
      </c>
      <c r="IL78" s="428">
        <v>0.41</v>
      </c>
      <c r="IM78" s="428">
        <v>0.63</v>
      </c>
      <c r="IN78" s="428">
        <v>0.56000000000000005</v>
      </c>
      <c r="IO78" s="428">
        <v>0.6</v>
      </c>
      <c r="IP78" s="428">
        <v>0.41</v>
      </c>
      <c r="IQ78" s="428">
        <v>0.79</v>
      </c>
      <c r="IR78" s="428">
        <v>0.49</v>
      </c>
      <c r="IS78" s="428">
        <v>0.55000000000000004</v>
      </c>
      <c r="IT78" s="428">
        <v>0.41</v>
      </c>
      <c r="IU78" s="424" t="s">
        <v>173</v>
      </c>
      <c r="IV78" s="428">
        <v>0.59</v>
      </c>
      <c r="IW78" s="428">
        <v>0.37</v>
      </c>
      <c r="IX78" s="428">
        <v>0.47</v>
      </c>
      <c r="IY78" s="428">
        <v>0.56999999999999995</v>
      </c>
      <c r="IZ78" s="464">
        <v>49</v>
      </c>
      <c r="JA78" s="464" t="s">
        <v>758</v>
      </c>
      <c r="JB78" s="464">
        <v>10</v>
      </c>
      <c r="JC78" s="464" t="s">
        <v>758</v>
      </c>
      <c r="JD78" s="476">
        <v>0.14000000000000001</v>
      </c>
      <c r="JE78" s="476">
        <v>0.61</v>
      </c>
      <c r="JF78" s="476">
        <v>0.21</v>
      </c>
      <c r="JG78" s="476">
        <v>0.04</v>
      </c>
      <c r="JH78" s="476">
        <v>0.43</v>
      </c>
      <c r="JI78" s="476">
        <v>0.44</v>
      </c>
      <c r="JJ78" s="476">
        <v>0.37</v>
      </c>
      <c r="JK78" s="476">
        <v>0.51</v>
      </c>
      <c r="JL78" s="476">
        <v>0.61</v>
      </c>
      <c r="JM78" s="476">
        <v>0.5</v>
      </c>
      <c r="JN78" s="476">
        <v>0.39</v>
      </c>
      <c r="JO78" s="476">
        <v>0.54</v>
      </c>
      <c r="JP78" s="476">
        <v>0.42</v>
      </c>
      <c r="JQ78" s="476">
        <v>0.37</v>
      </c>
      <c r="JR78" s="476">
        <v>0.61</v>
      </c>
      <c r="JS78" s="476">
        <v>0.54</v>
      </c>
      <c r="JT78" s="476">
        <v>0.55000000000000004</v>
      </c>
      <c r="JU78" s="476">
        <v>0.51</v>
      </c>
      <c r="JV78" s="476">
        <v>0.65</v>
      </c>
      <c r="JW78" s="476">
        <v>0.48</v>
      </c>
      <c r="JX78" s="476">
        <v>0.54</v>
      </c>
      <c r="JY78" s="476">
        <v>0.67</v>
      </c>
      <c r="JZ78" s="476">
        <v>0.49</v>
      </c>
      <c r="KA78" s="476">
        <v>0.8</v>
      </c>
      <c r="KB78" s="476">
        <v>0.62</v>
      </c>
      <c r="KC78" s="476">
        <v>0.59</v>
      </c>
      <c r="KD78" s="476">
        <v>0.41</v>
      </c>
      <c r="KE78" s="476">
        <v>0.48</v>
      </c>
      <c r="KF78" s="476">
        <v>0.39</v>
      </c>
      <c r="KG78" s="476">
        <v>0.44</v>
      </c>
      <c r="KH78" s="971">
        <v>53</v>
      </c>
      <c r="KI78" s="971" t="s">
        <v>758</v>
      </c>
      <c r="KJ78" s="971">
        <v>8</v>
      </c>
      <c r="KK78" s="971" t="s">
        <v>758</v>
      </c>
      <c r="KL78" s="949">
        <v>0.08</v>
      </c>
      <c r="KM78" s="949">
        <v>0.48</v>
      </c>
      <c r="KN78" s="949">
        <v>0.45</v>
      </c>
      <c r="KO78" s="949">
        <v>0</v>
      </c>
      <c r="KP78" s="949">
        <v>0.46</v>
      </c>
      <c r="KQ78" s="949">
        <v>0.27</v>
      </c>
      <c r="KR78" s="949">
        <v>0.56000000000000005</v>
      </c>
      <c r="KS78" s="949">
        <v>0.52</v>
      </c>
      <c r="KT78" s="949">
        <v>0.63</v>
      </c>
      <c r="KU78" s="949">
        <v>0.38</v>
      </c>
      <c r="KV78" s="949">
        <v>0.51</v>
      </c>
      <c r="KW78" s="949">
        <v>0.36</v>
      </c>
      <c r="KX78" s="949">
        <v>0.31</v>
      </c>
      <c r="KY78" s="949">
        <v>0.54</v>
      </c>
      <c r="KZ78" s="949">
        <v>0.39</v>
      </c>
      <c r="LA78" s="949">
        <v>0.21</v>
      </c>
      <c r="LB78" s="949">
        <v>0.34</v>
      </c>
      <c r="LC78" s="949">
        <v>0.36</v>
      </c>
      <c r="LD78" s="949">
        <v>0.53</v>
      </c>
      <c r="LE78" s="949">
        <v>0.38</v>
      </c>
      <c r="LF78" s="949">
        <v>0.28999999999999998</v>
      </c>
      <c r="LG78" s="949">
        <v>0.4</v>
      </c>
      <c r="LH78" s="949">
        <v>0.56000000000000005</v>
      </c>
      <c r="LI78" s="949">
        <v>0.46</v>
      </c>
      <c r="LJ78" s="949">
        <v>0.41</v>
      </c>
      <c r="LK78" s="949">
        <v>0.5</v>
      </c>
      <c r="LL78" s="949" t="s">
        <v>173</v>
      </c>
      <c r="LM78" s="949">
        <v>0.59</v>
      </c>
      <c r="LN78" s="949">
        <v>0.67</v>
      </c>
      <c r="LO78" s="949">
        <v>0.32</v>
      </c>
      <c r="LP78" s="922">
        <v>325754001531</v>
      </c>
      <c r="LQ78" s="126" t="s">
        <v>799</v>
      </c>
      <c r="LR78" s="424">
        <v>51</v>
      </c>
      <c r="LS78" s="971">
        <v>53</v>
      </c>
      <c r="LT78" s="946"/>
    </row>
    <row r="79" spans="1:332" ht="24.95" customHeight="1" x14ac:dyDescent="0.2">
      <c r="A79" s="126" t="s">
        <v>959</v>
      </c>
      <c r="B79" s="1" t="s">
        <v>123</v>
      </c>
      <c r="C79" s="2">
        <v>4</v>
      </c>
      <c r="D79" s="12">
        <v>48</v>
      </c>
      <c r="E79" s="12">
        <v>7</v>
      </c>
      <c r="F79" s="66">
        <v>0.18</v>
      </c>
      <c r="G79" s="66">
        <v>0.69</v>
      </c>
      <c r="H79" s="66">
        <v>0.14000000000000001</v>
      </c>
      <c r="I79" s="66">
        <v>0</v>
      </c>
      <c r="J79" s="66">
        <v>0.65</v>
      </c>
      <c r="K79" s="66">
        <v>0.37</v>
      </c>
      <c r="L79" s="66">
        <v>0.72</v>
      </c>
      <c r="M79" s="66">
        <v>0.43</v>
      </c>
      <c r="N79" s="66">
        <v>0.45</v>
      </c>
      <c r="O79" s="66">
        <v>0.61</v>
      </c>
      <c r="P79" s="66">
        <v>0.33</v>
      </c>
      <c r="Q79" s="66">
        <v>0.48</v>
      </c>
      <c r="R79" s="66">
        <v>0.62</v>
      </c>
      <c r="S79" s="66">
        <v>0.68</v>
      </c>
      <c r="T79" s="66">
        <v>0.51</v>
      </c>
      <c r="U79" s="66">
        <v>0.68</v>
      </c>
      <c r="V79" s="66">
        <v>0.12</v>
      </c>
      <c r="W79" s="66">
        <v>0.36</v>
      </c>
      <c r="X79" s="66">
        <v>0.57999999999999996</v>
      </c>
      <c r="Y79" s="66">
        <v>0.56999999999999995</v>
      </c>
      <c r="Z79" s="66">
        <v>1</v>
      </c>
      <c r="AA79" s="66">
        <v>0.24</v>
      </c>
      <c r="AB79" s="66">
        <v>0.56000000000000005</v>
      </c>
      <c r="AC79" s="66">
        <v>0.46</v>
      </c>
      <c r="AD79" s="66">
        <v>0.61</v>
      </c>
      <c r="AE79" s="66">
        <v>0.49</v>
      </c>
      <c r="AF79" s="66">
        <v>0.63</v>
      </c>
      <c r="AG79" s="66">
        <v>0.61</v>
      </c>
      <c r="AH79" s="12">
        <v>47</v>
      </c>
      <c r="AI79" s="12">
        <v>9</v>
      </c>
      <c r="AJ79" s="40">
        <v>0.25</v>
      </c>
      <c r="AK79" s="40">
        <v>0.55000000000000004</v>
      </c>
      <c r="AL79" s="40">
        <v>0.2</v>
      </c>
      <c r="AM79" s="40">
        <v>0</v>
      </c>
      <c r="AN79" s="40">
        <v>0.37</v>
      </c>
      <c r="AO79" s="40">
        <v>0.6</v>
      </c>
      <c r="AP79" s="40">
        <v>0.6</v>
      </c>
      <c r="AQ79" s="40">
        <v>0.54</v>
      </c>
      <c r="AR79" s="40">
        <v>0.57999999999999996</v>
      </c>
      <c r="AS79" s="40">
        <v>0.61</v>
      </c>
      <c r="AT79" s="40">
        <v>0.54</v>
      </c>
      <c r="AU79" s="40">
        <v>0.54</v>
      </c>
      <c r="AV79" s="40">
        <v>0.62</v>
      </c>
      <c r="AW79" s="40">
        <v>0.52</v>
      </c>
      <c r="AX79" s="40">
        <v>0.73</v>
      </c>
      <c r="AY79" s="40">
        <v>0.45</v>
      </c>
      <c r="AZ79" s="40">
        <v>0.42</v>
      </c>
      <c r="BA79" s="40">
        <v>0.55000000000000004</v>
      </c>
      <c r="BB79" s="40">
        <v>0.78</v>
      </c>
      <c r="BC79" s="40">
        <v>0.56999999999999995</v>
      </c>
      <c r="BD79" s="40">
        <v>0.53</v>
      </c>
      <c r="BE79" s="40">
        <v>0.77</v>
      </c>
      <c r="BF79" s="40">
        <v>0.73</v>
      </c>
      <c r="BG79" s="40">
        <v>0.61</v>
      </c>
      <c r="BH79" s="40">
        <v>0.53</v>
      </c>
      <c r="BI79" s="40">
        <v>0.5</v>
      </c>
      <c r="BJ79" s="40">
        <v>0.44</v>
      </c>
      <c r="BK79" s="40">
        <v>0.5</v>
      </c>
      <c r="BL79" s="40">
        <v>0.54</v>
      </c>
      <c r="BM79" s="12">
        <v>50</v>
      </c>
      <c r="BN79" s="12">
        <v>9</v>
      </c>
      <c r="BO79" s="66">
        <v>0.17</v>
      </c>
      <c r="BP79" s="66">
        <v>0.57999999999999996</v>
      </c>
      <c r="BQ79" s="66">
        <v>0.25</v>
      </c>
      <c r="BR79" s="66">
        <v>0</v>
      </c>
      <c r="BS79" s="66">
        <v>0.43</v>
      </c>
      <c r="BT79" s="66">
        <v>0.8</v>
      </c>
      <c r="BU79" s="66">
        <v>0.73</v>
      </c>
      <c r="BV79" s="66">
        <v>0.28999999999999998</v>
      </c>
      <c r="BW79" s="66">
        <v>0.57999999999999996</v>
      </c>
      <c r="BX79" s="66">
        <v>0.38</v>
      </c>
      <c r="BY79" s="66">
        <v>0.61</v>
      </c>
      <c r="BZ79" s="66">
        <v>0.55000000000000004</v>
      </c>
      <c r="CA79" s="66">
        <v>0.42</v>
      </c>
      <c r="CB79" s="66">
        <v>0.2</v>
      </c>
      <c r="CC79" s="66">
        <v>0.26</v>
      </c>
      <c r="CD79" s="66">
        <v>0.55000000000000004</v>
      </c>
      <c r="CE79" s="66">
        <v>0.3</v>
      </c>
      <c r="CF79" s="66">
        <v>0.56999999999999995</v>
      </c>
      <c r="CG79" s="66">
        <v>0.54</v>
      </c>
      <c r="CH79" s="66">
        <v>0.38</v>
      </c>
      <c r="CI79" s="66">
        <v>0.47</v>
      </c>
      <c r="CJ79" s="66">
        <v>0.38</v>
      </c>
      <c r="CK79" s="66">
        <v>0.8</v>
      </c>
      <c r="CL79" s="66">
        <v>0.37</v>
      </c>
      <c r="CM79" s="66">
        <v>0.55000000000000004</v>
      </c>
      <c r="CN79" s="66">
        <v>0.49</v>
      </c>
      <c r="CO79" s="66">
        <v>0.5</v>
      </c>
      <c r="CP79" s="66">
        <v>0.33</v>
      </c>
      <c r="CQ79" s="66">
        <v>0.41</v>
      </c>
      <c r="CR79" s="66">
        <v>0.52</v>
      </c>
      <c r="CS79" s="12">
        <v>45</v>
      </c>
      <c r="CT79" s="12">
        <v>7</v>
      </c>
      <c r="CU79" s="63">
        <v>0.28000000000000003</v>
      </c>
      <c r="CV79" s="63">
        <v>0.65</v>
      </c>
      <c r="CW79" s="63">
        <v>7.0000000000000007E-2</v>
      </c>
      <c r="CX79" s="63">
        <v>0</v>
      </c>
      <c r="CY79" s="63">
        <v>0.61</v>
      </c>
      <c r="CZ79" s="63">
        <v>0.38</v>
      </c>
      <c r="DA79" s="63">
        <v>0.61</v>
      </c>
      <c r="DB79" s="63">
        <v>0.44</v>
      </c>
      <c r="DC79" s="63">
        <v>0.44</v>
      </c>
      <c r="DD79" s="63">
        <v>0.67</v>
      </c>
      <c r="DE79" s="63">
        <v>0.59</v>
      </c>
      <c r="DF79" s="63">
        <v>0.66</v>
      </c>
      <c r="DG79" s="63">
        <v>0.56999999999999995</v>
      </c>
      <c r="DH79" s="63">
        <v>0.46</v>
      </c>
      <c r="DI79" s="63">
        <v>0.67</v>
      </c>
      <c r="DJ79" s="63">
        <v>0.68</v>
      </c>
      <c r="DK79" s="63">
        <v>0.53</v>
      </c>
      <c r="DL79" s="63">
        <v>0.47</v>
      </c>
      <c r="DM79" s="63">
        <v>0.54</v>
      </c>
      <c r="DN79" s="63">
        <v>0.61</v>
      </c>
      <c r="DO79" s="63">
        <v>0.56000000000000005</v>
      </c>
      <c r="DP79" s="63">
        <v>0.54</v>
      </c>
      <c r="DQ79" s="63">
        <v>0.59</v>
      </c>
      <c r="DR79" s="63">
        <v>0.24</v>
      </c>
      <c r="DS79" s="63">
        <v>0.39</v>
      </c>
      <c r="DT79" s="63">
        <v>0.68</v>
      </c>
      <c r="DU79" s="63">
        <v>0.65</v>
      </c>
      <c r="DV79" s="63">
        <v>0.64</v>
      </c>
      <c r="DW79" s="63">
        <v>0.46</v>
      </c>
      <c r="DX79" s="35"/>
      <c r="DY79" s="35"/>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246">
        <v>43</v>
      </c>
      <c r="FC79" s="246" t="s">
        <v>758</v>
      </c>
      <c r="FD79" s="246">
        <v>0</v>
      </c>
      <c r="FE79" s="246" t="s">
        <v>760</v>
      </c>
      <c r="FF79" s="263">
        <v>0</v>
      </c>
      <c r="FG79" s="263">
        <v>1</v>
      </c>
      <c r="FH79" s="263">
        <v>0</v>
      </c>
      <c r="FI79" s="263">
        <v>0</v>
      </c>
      <c r="FJ79" s="263">
        <v>1</v>
      </c>
      <c r="FK79" s="263">
        <v>0.67</v>
      </c>
      <c r="FL79" s="263">
        <v>1</v>
      </c>
      <c r="FM79" s="263">
        <v>1</v>
      </c>
      <c r="FN79" s="246" t="s">
        <v>173</v>
      </c>
      <c r="FO79" s="263">
        <v>0.67</v>
      </c>
      <c r="FP79" s="263">
        <v>0.67</v>
      </c>
      <c r="FQ79" s="263">
        <v>0.67</v>
      </c>
      <c r="FR79" s="263">
        <v>0.5</v>
      </c>
      <c r="FS79" s="263">
        <v>1</v>
      </c>
      <c r="FT79" s="263">
        <v>0.5</v>
      </c>
      <c r="FU79" s="246" t="s">
        <v>173</v>
      </c>
      <c r="FV79" s="263">
        <v>1</v>
      </c>
      <c r="FW79" s="263">
        <v>0.5</v>
      </c>
      <c r="FX79" s="263">
        <v>0.5</v>
      </c>
      <c r="FY79" s="263">
        <v>0</v>
      </c>
      <c r="FZ79" s="263">
        <v>0.33</v>
      </c>
      <c r="GA79" s="263">
        <v>0.5</v>
      </c>
      <c r="GB79" s="263">
        <v>1</v>
      </c>
      <c r="GC79" s="263">
        <v>0.75</v>
      </c>
      <c r="GD79" s="263">
        <v>1</v>
      </c>
      <c r="GE79" s="263">
        <v>0</v>
      </c>
      <c r="GF79" s="246" t="s">
        <v>173</v>
      </c>
      <c r="GG79" s="263">
        <v>0.67</v>
      </c>
      <c r="GH79" s="263">
        <v>0</v>
      </c>
      <c r="GI79" s="263">
        <v>0</v>
      </c>
      <c r="GJ79" s="649"/>
      <c r="GK79" s="649"/>
      <c r="GL79" s="649"/>
      <c r="GM79" s="649"/>
      <c r="GN79" s="649"/>
      <c r="GO79" s="649"/>
      <c r="GP79" s="649"/>
      <c r="GQ79" s="649"/>
      <c r="GR79" s="649"/>
      <c r="GS79" s="649"/>
      <c r="GT79" s="649"/>
      <c r="GU79" s="649"/>
      <c r="GV79" s="649"/>
      <c r="GW79" s="649"/>
      <c r="GX79" s="649"/>
      <c r="GY79" s="649"/>
      <c r="GZ79" s="649"/>
      <c r="HA79" s="649"/>
      <c r="HB79" s="649"/>
      <c r="HC79" s="649"/>
      <c r="HD79" s="649"/>
      <c r="HE79" s="649"/>
      <c r="HF79" s="649"/>
      <c r="HG79" s="649"/>
      <c r="HH79" s="649"/>
      <c r="HI79" s="649"/>
      <c r="HJ79" s="649"/>
      <c r="HK79" s="649"/>
      <c r="HL79" s="649"/>
      <c r="HM79" s="649"/>
      <c r="HN79" s="649"/>
      <c r="HO79" s="649"/>
      <c r="HP79" s="649"/>
      <c r="HQ79" s="649"/>
      <c r="HR79" s="651"/>
      <c r="HS79" s="651"/>
      <c r="HT79" s="651"/>
      <c r="HU79" s="651"/>
      <c r="HV79" s="651"/>
      <c r="HW79" s="651"/>
      <c r="HX79" s="651"/>
      <c r="HY79" s="651"/>
      <c r="HZ79" s="651"/>
      <c r="IA79" s="651"/>
      <c r="IB79" s="651"/>
      <c r="IC79" s="651"/>
      <c r="ID79" s="651"/>
      <c r="IE79" s="651"/>
      <c r="IF79" s="651"/>
      <c r="IG79" s="651"/>
      <c r="IH79" s="651"/>
      <c r="II79" s="651"/>
      <c r="IJ79" s="651"/>
      <c r="IK79" s="651"/>
      <c r="IL79" s="651"/>
      <c r="IM79" s="651"/>
      <c r="IN79" s="651"/>
      <c r="IO79" s="651"/>
      <c r="IP79" s="651"/>
      <c r="IQ79" s="651"/>
      <c r="IR79" s="651"/>
      <c r="IS79" s="651"/>
      <c r="IT79" s="651"/>
      <c r="IU79" s="651"/>
      <c r="IV79" s="651"/>
      <c r="IW79" s="651"/>
      <c r="IX79" s="651"/>
      <c r="IY79" s="651"/>
      <c r="IZ79" s="650"/>
      <c r="JA79" s="650"/>
      <c r="JB79" s="650"/>
      <c r="JC79" s="650"/>
      <c r="JD79" s="650"/>
      <c r="JE79" s="650"/>
      <c r="JF79" s="650"/>
      <c r="JG79" s="650"/>
      <c r="JH79" s="650"/>
      <c r="JI79" s="650"/>
      <c r="JJ79" s="650"/>
      <c r="JK79" s="650"/>
      <c r="JL79" s="650"/>
      <c r="JM79" s="650"/>
      <c r="JN79" s="650"/>
      <c r="JO79" s="650"/>
      <c r="JP79" s="650"/>
      <c r="JQ79" s="650"/>
      <c r="JR79" s="650"/>
      <c r="JS79" s="650"/>
      <c r="JT79" s="650"/>
      <c r="JU79" s="650"/>
      <c r="JV79" s="650"/>
      <c r="JW79" s="650"/>
      <c r="JX79" s="650"/>
      <c r="JY79" s="650"/>
      <c r="JZ79" s="650"/>
      <c r="KA79" s="650"/>
      <c r="KB79" s="650"/>
      <c r="KC79" s="650"/>
      <c r="KD79" s="650"/>
      <c r="KE79" s="650"/>
      <c r="KF79" s="650"/>
      <c r="KG79" s="650"/>
      <c r="KH79" s="971">
        <v>52</v>
      </c>
      <c r="KI79" s="971" t="s">
        <v>758</v>
      </c>
      <c r="KJ79" s="971">
        <v>0</v>
      </c>
      <c r="KK79" s="971" t="s">
        <v>760</v>
      </c>
      <c r="KL79" s="949">
        <v>0</v>
      </c>
      <c r="KM79" s="949">
        <v>1</v>
      </c>
      <c r="KN79" s="949">
        <v>0</v>
      </c>
      <c r="KO79" s="949">
        <v>0</v>
      </c>
      <c r="KP79" s="949">
        <v>0.33</v>
      </c>
      <c r="KQ79" s="949">
        <v>0</v>
      </c>
      <c r="KR79" s="949">
        <v>0.5</v>
      </c>
      <c r="KS79" s="949">
        <v>0.5</v>
      </c>
      <c r="KT79" s="949">
        <v>0</v>
      </c>
      <c r="KU79" s="949">
        <v>1</v>
      </c>
      <c r="KV79" s="949">
        <v>1</v>
      </c>
      <c r="KW79" s="949">
        <v>0.5</v>
      </c>
      <c r="KX79" s="949">
        <v>0</v>
      </c>
      <c r="KY79" s="949">
        <v>1</v>
      </c>
      <c r="KZ79" s="949">
        <v>0.33</v>
      </c>
      <c r="LA79" s="949">
        <v>0</v>
      </c>
      <c r="LB79" s="949">
        <v>0</v>
      </c>
      <c r="LC79" s="949">
        <v>0</v>
      </c>
      <c r="LD79" s="949">
        <v>0.5</v>
      </c>
      <c r="LE79" s="949">
        <v>0.5</v>
      </c>
      <c r="LF79" s="949">
        <v>0.33</v>
      </c>
      <c r="LG79" s="949" t="s">
        <v>173</v>
      </c>
      <c r="LH79" s="949">
        <v>1</v>
      </c>
      <c r="LI79" s="949">
        <v>0.67</v>
      </c>
      <c r="LJ79" s="949">
        <v>0.67</v>
      </c>
      <c r="LK79" s="949">
        <v>0.33</v>
      </c>
      <c r="LL79" s="949" t="s">
        <v>173</v>
      </c>
      <c r="LM79" s="949">
        <v>0</v>
      </c>
      <c r="LN79" s="949">
        <v>1</v>
      </c>
      <c r="LO79" s="949" t="s">
        <v>173</v>
      </c>
      <c r="LP79" s="922">
        <v>325754001875</v>
      </c>
      <c r="LQ79" s="126" t="s">
        <v>959</v>
      </c>
      <c r="LR79" s="651"/>
      <c r="LS79" s="971">
        <v>52</v>
      </c>
      <c r="LT79" s="946"/>
    </row>
    <row r="80" spans="1:332" ht="24.95" customHeight="1" x14ac:dyDescent="0.2">
      <c r="A80" s="555" t="s">
        <v>94</v>
      </c>
      <c r="B80" s="1" t="s">
        <v>123</v>
      </c>
      <c r="C80" s="309">
        <v>6</v>
      </c>
      <c r="D80" s="328">
        <v>53</v>
      </c>
      <c r="E80" s="328">
        <v>5</v>
      </c>
      <c r="F80" s="333">
        <v>0</v>
      </c>
      <c r="G80" s="333">
        <v>0.87</v>
      </c>
      <c r="H80" s="333">
        <v>0.13</v>
      </c>
      <c r="I80" s="333">
        <v>0</v>
      </c>
      <c r="J80" s="333">
        <v>0.48</v>
      </c>
      <c r="K80" s="333">
        <v>0.4</v>
      </c>
      <c r="L80" s="333">
        <v>0.97</v>
      </c>
      <c r="M80" s="333">
        <v>0.27</v>
      </c>
      <c r="N80" s="333">
        <v>0.33</v>
      </c>
      <c r="O80" s="333">
        <v>0.71</v>
      </c>
      <c r="P80" s="333">
        <v>0.4</v>
      </c>
      <c r="Q80" s="333">
        <v>0.43</v>
      </c>
      <c r="R80" s="333">
        <v>0.5</v>
      </c>
      <c r="S80" s="333">
        <v>0.56999999999999995</v>
      </c>
      <c r="T80" s="333">
        <v>0.65</v>
      </c>
      <c r="U80" s="333">
        <v>0.5</v>
      </c>
      <c r="V80" s="333">
        <v>0.15</v>
      </c>
      <c r="W80" s="333">
        <v>0.13</v>
      </c>
      <c r="X80" s="333">
        <v>0.43</v>
      </c>
      <c r="Y80" s="333">
        <v>0.44</v>
      </c>
      <c r="Z80" s="328" t="s">
        <v>173</v>
      </c>
      <c r="AA80" s="333">
        <v>0</v>
      </c>
      <c r="AB80" s="333">
        <v>0.43</v>
      </c>
      <c r="AC80" s="333">
        <v>0.24</v>
      </c>
      <c r="AD80" s="333">
        <v>0.35</v>
      </c>
      <c r="AE80" s="333">
        <v>0.55000000000000004</v>
      </c>
      <c r="AF80" s="333">
        <v>0.6</v>
      </c>
      <c r="AG80" s="333">
        <v>0.65</v>
      </c>
      <c r="AH80" s="328">
        <v>48</v>
      </c>
      <c r="AI80" s="328">
        <v>6</v>
      </c>
      <c r="AJ80" s="331">
        <v>0</v>
      </c>
      <c r="AK80" s="331">
        <v>0.86</v>
      </c>
      <c r="AL80" s="331">
        <v>0.14000000000000001</v>
      </c>
      <c r="AM80" s="331">
        <v>0</v>
      </c>
      <c r="AN80" s="331">
        <v>0.25</v>
      </c>
      <c r="AO80" s="331">
        <v>0.56999999999999995</v>
      </c>
      <c r="AP80" s="331">
        <v>0.67</v>
      </c>
      <c r="AQ80" s="331">
        <v>0.4</v>
      </c>
      <c r="AR80" s="331">
        <v>0.45</v>
      </c>
      <c r="AS80" s="331">
        <v>0.71</v>
      </c>
      <c r="AT80" s="331">
        <v>0.57999999999999996</v>
      </c>
      <c r="AU80" s="331">
        <v>0.62</v>
      </c>
      <c r="AV80" s="331">
        <v>0.53</v>
      </c>
      <c r="AW80" s="331">
        <v>0.67</v>
      </c>
      <c r="AX80" s="331">
        <v>0.75</v>
      </c>
      <c r="AY80" s="331">
        <v>0.45</v>
      </c>
      <c r="AZ80" s="331">
        <v>0.38</v>
      </c>
      <c r="BA80" s="331">
        <v>0.67</v>
      </c>
      <c r="BB80" s="331">
        <v>0.6</v>
      </c>
      <c r="BC80" s="331">
        <v>0.5</v>
      </c>
      <c r="BD80" s="331">
        <v>0.28000000000000003</v>
      </c>
      <c r="BE80" s="331">
        <v>0.75</v>
      </c>
      <c r="BF80" s="331">
        <v>0.67</v>
      </c>
      <c r="BG80" s="331">
        <v>0.67</v>
      </c>
      <c r="BH80" s="331">
        <v>0.46</v>
      </c>
      <c r="BI80" s="331">
        <v>0.52</v>
      </c>
      <c r="BJ80" s="331">
        <v>0.56000000000000005</v>
      </c>
      <c r="BK80" s="331">
        <v>0.46</v>
      </c>
      <c r="BL80" s="331">
        <v>0.75</v>
      </c>
      <c r="BM80" s="328">
        <v>48</v>
      </c>
      <c r="BN80" s="328">
        <v>6</v>
      </c>
      <c r="BO80" s="333">
        <v>0</v>
      </c>
      <c r="BP80" s="333">
        <v>0.88</v>
      </c>
      <c r="BQ80" s="333">
        <v>0.13</v>
      </c>
      <c r="BR80" s="333">
        <v>0</v>
      </c>
      <c r="BS80" s="333">
        <v>0.18</v>
      </c>
      <c r="BT80" s="333">
        <v>0</v>
      </c>
      <c r="BU80" s="333">
        <v>0.56999999999999995</v>
      </c>
      <c r="BV80" s="333">
        <v>0.67</v>
      </c>
      <c r="BW80" s="333">
        <v>0.57999999999999996</v>
      </c>
      <c r="BX80" s="333">
        <v>0.41</v>
      </c>
      <c r="BY80" s="333">
        <v>0.35</v>
      </c>
      <c r="BZ80" s="333">
        <v>0.6</v>
      </c>
      <c r="CA80" s="333">
        <v>0.46</v>
      </c>
      <c r="CB80" s="333">
        <v>0.38</v>
      </c>
      <c r="CC80" s="333">
        <v>0.13</v>
      </c>
      <c r="CD80" s="333">
        <v>0.55000000000000004</v>
      </c>
      <c r="CE80" s="333">
        <v>0.47</v>
      </c>
      <c r="CF80" s="333">
        <v>0.5</v>
      </c>
      <c r="CG80" s="333">
        <v>0.69</v>
      </c>
      <c r="CH80" s="333">
        <v>0.63</v>
      </c>
      <c r="CI80" s="333">
        <v>0.62</v>
      </c>
      <c r="CJ80" s="333">
        <v>0.25</v>
      </c>
      <c r="CK80" s="333">
        <v>0.74</v>
      </c>
      <c r="CL80" s="333">
        <v>0.5</v>
      </c>
      <c r="CM80" s="333">
        <v>0.67</v>
      </c>
      <c r="CN80" s="333">
        <v>0.54</v>
      </c>
      <c r="CO80" s="333">
        <v>0.67</v>
      </c>
      <c r="CP80" s="333">
        <v>0.37</v>
      </c>
      <c r="CQ80" s="333">
        <v>0.77</v>
      </c>
      <c r="CR80" s="333">
        <v>0.64</v>
      </c>
      <c r="CS80" s="328">
        <v>51</v>
      </c>
      <c r="CT80" s="328">
        <v>9</v>
      </c>
      <c r="CU80" s="327">
        <v>0.09</v>
      </c>
      <c r="CV80" s="327">
        <v>0.64</v>
      </c>
      <c r="CW80" s="327">
        <v>0.18</v>
      </c>
      <c r="CX80" s="327">
        <v>0.09</v>
      </c>
      <c r="CY80" s="327">
        <v>0.49</v>
      </c>
      <c r="CZ80" s="327">
        <v>0.35</v>
      </c>
      <c r="DA80" s="327">
        <v>0.5</v>
      </c>
      <c r="DB80" s="327">
        <v>0.42</v>
      </c>
      <c r="DC80" s="327">
        <v>0.43</v>
      </c>
      <c r="DD80" s="327">
        <v>0.83</v>
      </c>
      <c r="DE80" s="327">
        <v>0.55000000000000004</v>
      </c>
      <c r="DF80" s="327">
        <v>0.56000000000000005</v>
      </c>
      <c r="DG80" s="327">
        <v>0.33</v>
      </c>
      <c r="DH80" s="327">
        <v>0.2</v>
      </c>
      <c r="DI80" s="327">
        <v>0.32</v>
      </c>
      <c r="DJ80" s="327">
        <v>0.42</v>
      </c>
      <c r="DK80" s="327">
        <v>0.2</v>
      </c>
      <c r="DL80" s="327">
        <v>0.43</v>
      </c>
      <c r="DM80" s="327">
        <v>0.48</v>
      </c>
      <c r="DN80" s="327">
        <v>0.54</v>
      </c>
      <c r="DO80" s="327">
        <v>0.63</v>
      </c>
      <c r="DP80" s="327">
        <v>0.33</v>
      </c>
      <c r="DQ80" s="327">
        <v>0.7</v>
      </c>
      <c r="DR80" s="327">
        <v>0.05</v>
      </c>
      <c r="DS80" s="327">
        <v>0.39</v>
      </c>
      <c r="DT80" s="327">
        <v>0.53</v>
      </c>
      <c r="DU80" s="327">
        <v>0.6</v>
      </c>
      <c r="DV80" s="327">
        <v>0.54</v>
      </c>
      <c r="DW80" s="327">
        <v>0.13</v>
      </c>
      <c r="DX80" s="311">
        <v>47</v>
      </c>
      <c r="DY80" s="311">
        <v>9</v>
      </c>
      <c r="DZ80" s="331">
        <v>0.27</v>
      </c>
      <c r="EA80" s="331">
        <v>0.55000000000000004</v>
      </c>
      <c r="EB80" s="331">
        <v>0.18</v>
      </c>
      <c r="EC80" s="331">
        <v>0</v>
      </c>
      <c r="ED80" s="331">
        <v>0.59</v>
      </c>
      <c r="EE80" s="331">
        <v>0.46</v>
      </c>
      <c r="EF80" s="331">
        <v>0.62</v>
      </c>
      <c r="EG80" s="331">
        <v>0</v>
      </c>
      <c r="EH80" s="331">
        <v>0.53</v>
      </c>
      <c r="EI80" s="331">
        <v>0.61</v>
      </c>
      <c r="EJ80" s="331">
        <v>0.65</v>
      </c>
      <c r="EK80" s="331">
        <v>0.56000000000000005</v>
      </c>
      <c r="EL80" s="331">
        <v>0.47</v>
      </c>
      <c r="EM80" s="331">
        <v>0.77</v>
      </c>
      <c r="EN80" s="331">
        <v>0.57999999999999996</v>
      </c>
      <c r="EO80" s="331">
        <v>0.67</v>
      </c>
      <c r="EP80" s="331">
        <v>0.38</v>
      </c>
      <c r="EQ80" s="331">
        <v>0.36</v>
      </c>
      <c r="ER80" s="331">
        <v>0.56999999999999995</v>
      </c>
      <c r="ES80" s="331">
        <v>0.28999999999999998</v>
      </c>
      <c r="ET80" s="331">
        <v>0.37</v>
      </c>
      <c r="EU80" s="331">
        <v>0.83</v>
      </c>
      <c r="EV80" s="331">
        <v>0.33</v>
      </c>
      <c r="EW80" s="331">
        <v>0.27</v>
      </c>
      <c r="EX80" s="331">
        <v>0.71</v>
      </c>
      <c r="EY80" s="331">
        <v>0.68</v>
      </c>
      <c r="EZ80" s="331">
        <v>0.2</v>
      </c>
      <c r="FA80" s="331">
        <v>0.77</v>
      </c>
      <c r="FB80" s="312">
        <v>48</v>
      </c>
      <c r="FC80" s="312" t="s">
        <v>758</v>
      </c>
      <c r="FD80" s="312">
        <v>8</v>
      </c>
      <c r="FE80" s="312" t="s">
        <v>758</v>
      </c>
      <c r="FF80" s="332">
        <v>0.2</v>
      </c>
      <c r="FG80" s="332">
        <v>0.6</v>
      </c>
      <c r="FH80" s="332">
        <v>0.2</v>
      </c>
      <c r="FI80" s="332">
        <v>0</v>
      </c>
      <c r="FJ80" s="332">
        <v>0.49</v>
      </c>
      <c r="FK80" s="332">
        <v>0.69</v>
      </c>
      <c r="FL80" s="332">
        <v>0.48</v>
      </c>
      <c r="FM80" s="332">
        <v>0.38</v>
      </c>
      <c r="FN80" s="332">
        <v>0.44</v>
      </c>
      <c r="FO80" s="332">
        <v>0.43</v>
      </c>
      <c r="FP80" s="332">
        <v>0.43</v>
      </c>
      <c r="FQ80" s="332">
        <v>0.42</v>
      </c>
      <c r="FR80" s="332">
        <v>0.64</v>
      </c>
      <c r="FS80" s="332">
        <v>0.46</v>
      </c>
      <c r="FT80" s="332">
        <v>0.56999999999999995</v>
      </c>
      <c r="FU80" s="332">
        <v>0.5</v>
      </c>
      <c r="FV80" s="332">
        <v>0.83</v>
      </c>
      <c r="FW80" s="332">
        <v>0.6</v>
      </c>
      <c r="FX80" s="332">
        <v>0.48</v>
      </c>
      <c r="FY80" s="332">
        <v>0.33</v>
      </c>
      <c r="FZ80" s="332">
        <v>0.41</v>
      </c>
      <c r="GA80" s="332">
        <v>0.62</v>
      </c>
      <c r="GB80" s="332">
        <v>0.53</v>
      </c>
      <c r="GC80" s="332">
        <v>0.53</v>
      </c>
      <c r="GD80" s="332">
        <v>0.74</v>
      </c>
      <c r="GE80" s="332">
        <v>0.65</v>
      </c>
      <c r="GF80" s="332">
        <v>0.5</v>
      </c>
      <c r="GG80" s="332">
        <v>0.43</v>
      </c>
      <c r="GH80" s="332">
        <v>0.48</v>
      </c>
      <c r="GI80" s="332">
        <v>0.2</v>
      </c>
      <c r="GJ80" s="309">
        <v>47</v>
      </c>
      <c r="GK80" s="309" t="s">
        <v>758</v>
      </c>
      <c r="GL80" s="309">
        <v>8</v>
      </c>
      <c r="GM80" s="309" t="s">
        <v>758</v>
      </c>
      <c r="GN80" s="327">
        <v>0.25</v>
      </c>
      <c r="GO80" s="327">
        <v>0.6</v>
      </c>
      <c r="GP80" s="327">
        <v>0.15</v>
      </c>
      <c r="GQ80" s="327">
        <v>0</v>
      </c>
      <c r="GR80" s="327">
        <v>0.56000000000000005</v>
      </c>
      <c r="GS80" s="327">
        <v>0.57999999999999996</v>
      </c>
      <c r="GT80" s="327">
        <v>0.71</v>
      </c>
      <c r="GU80" s="327">
        <v>0.33</v>
      </c>
      <c r="GV80" s="327">
        <v>0.54</v>
      </c>
      <c r="GW80" s="327">
        <v>0.56999999999999995</v>
      </c>
      <c r="GX80" s="327">
        <v>0.42</v>
      </c>
      <c r="GY80" s="309" t="s">
        <v>173</v>
      </c>
      <c r="GZ80" s="327">
        <v>0.38</v>
      </c>
      <c r="HA80" s="327">
        <v>0.67</v>
      </c>
      <c r="HB80" s="327">
        <v>0.56999999999999995</v>
      </c>
      <c r="HC80" s="327">
        <v>0.43</v>
      </c>
      <c r="HD80" s="327">
        <v>0.62</v>
      </c>
      <c r="HE80" s="327">
        <v>0.66</v>
      </c>
      <c r="HF80" s="327">
        <v>0.63</v>
      </c>
      <c r="HG80" s="327">
        <v>0.67</v>
      </c>
      <c r="HH80" s="327">
        <v>0.47</v>
      </c>
      <c r="HI80" s="327">
        <v>0.64</v>
      </c>
      <c r="HJ80" s="327">
        <v>0.56000000000000005</v>
      </c>
      <c r="HK80" s="327">
        <v>0.7</v>
      </c>
      <c r="HL80" s="327">
        <v>0.56000000000000005</v>
      </c>
      <c r="HM80" s="327">
        <v>0.56999999999999995</v>
      </c>
      <c r="HN80" s="327">
        <v>0.59</v>
      </c>
      <c r="HO80" s="327">
        <v>0.55000000000000004</v>
      </c>
      <c r="HP80" s="309" t="s">
        <v>173</v>
      </c>
      <c r="HQ80" s="327">
        <v>0.31</v>
      </c>
      <c r="HR80" s="424">
        <v>41</v>
      </c>
      <c r="HS80" s="424" t="s">
        <v>760</v>
      </c>
      <c r="HT80" s="424">
        <v>7</v>
      </c>
      <c r="HU80" s="424" t="s">
        <v>758</v>
      </c>
      <c r="HV80" s="428">
        <v>0.53</v>
      </c>
      <c r="HW80" s="428">
        <v>0.4</v>
      </c>
      <c r="HX80" s="428">
        <v>7.0000000000000007E-2</v>
      </c>
      <c r="HY80" s="428">
        <v>0</v>
      </c>
      <c r="HZ80" s="428">
        <v>0.63</v>
      </c>
      <c r="IA80" s="428">
        <v>0.75</v>
      </c>
      <c r="IB80" s="428">
        <v>0.67</v>
      </c>
      <c r="IC80" s="428">
        <v>0.67</v>
      </c>
      <c r="ID80" s="428">
        <v>0.72</v>
      </c>
      <c r="IE80" s="428">
        <v>0.5</v>
      </c>
      <c r="IF80" s="428">
        <v>0.54</v>
      </c>
      <c r="IG80" s="428">
        <v>0.71</v>
      </c>
      <c r="IH80" s="428">
        <v>0.63</v>
      </c>
      <c r="II80" s="428">
        <v>0.4</v>
      </c>
      <c r="IJ80" s="428">
        <v>0.69</v>
      </c>
      <c r="IK80" s="428">
        <v>0.59</v>
      </c>
      <c r="IL80" s="428">
        <v>0.5</v>
      </c>
      <c r="IM80" s="428">
        <v>0.67</v>
      </c>
      <c r="IN80" s="428">
        <v>0.67</v>
      </c>
      <c r="IO80" s="428">
        <v>0.64</v>
      </c>
      <c r="IP80" s="428">
        <v>0.65</v>
      </c>
      <c r="IQ80" s="428">
        <v>0.84</v>
      </c>
      <c r="IR80" s="428">
        <v>0.73</v>
      </c>
      <c r="IS80" s="428">
        <v>0.46</v>
      </c>
      <c r="IT80" s="428">
        <v>0.64</v>
      </c>
      <c r="IU80" s="424" t="s">
        <v>173</v>
      </c>
      <c r="IV80" s="428">
        <v>0.6</v>
      </c>
      <c r="IW80" s="428">
        <v>0.64</v>
      </c>
      <c r="IX80" s="428">
        <v>0.63</v>
      </c>
      <c r="IY80" s="428">
        <v>0.57999999999999996</v>
      </c>
      <c r="IZ80" s="464">
        <v>45</v>
      </c>
      <c r="JA80" s="464" t="s">
        <v>758</v>
      </c>
      <c r="JB80" s="464">
        <v>9</v>
      </c>
      <c r="JC80" s="464" t="s">
        <v>758</v>
      </c>
      <c r="JD80" s="476">
        <v>0.36</v>
      </c>
      <c r="JE80" s="476">
        <v>0.52</v>
      </c>
      <c r="JF80" s="476">
        <v>0.12</v>
      </c>
      <c r="JG80" s="476">
        <v>0</v>
      </c>
      <c r="JH80" s="476">
        <v>0.57999999999999996</v>
      </c>
      <c r="JI80" s="476">
        <v>0.54</v>
      </c>
      <c r="JJ80" s="476">
        <v>0.59</v>
      </c>
      <c r="JK80" s="476">
        <v>0.57999999999999996</v>
      </c>
      <c r="JL80" s="476">
        <v>0.62</v>
      </c>
      <c r="JM80" s="476">
        <v>0.57999999999999996</v>
      </c>
      <c r="JN80" s="476">
        <v>0.45</v>
      </c>
      <c r="JO80" s="476">
        <v>0.59</v>
      </c>
      <c r="JP80" s="476">
        <v>0.65</v>
      </c>
      <c r="JQ80" s="476">
        <v>0.37</v>
      </c>
      <c r="JR80" s="476">
        <v>0.69</v>
      </c>
      <c r="JS80" s="476">
        <v>0.61</v>
      </c>
      <c r="JT80" s="476">
        <v>0.51</v>
      </c>
      <c r="JU80" s="476">
        <v>0.62</v>
      </c>
      <c r="JV80" s="476">
        <v>0.64</v>
      </c>
      <c r="JW80" s="476">
        <v>0.55000000000000004</v>
      </c>
      <c r="JX80" s="476">
        <v>0.53</v>
      </c>
      <c r="JY80" s="476">
        <v>0.59</v>
      </c>
      <c r="JZ80" s="476">
        <v>0.56999999999999995</v>
      </c>
      <c r="KA80" s="476">
        <v>0.46</v>
      </c>
      <c r="KB80" s="476">
        <v>0.61</v>
      </c>
      <c r="KC80" s="476">
        <v>0.84</v>
      </c>
      <c r="KD80" s="476">
        <v>0.55000000000000004</v>
      </c>
      <c r="KE80" s="476">
        <v>0.56999999999999995</v>
      </c>
      <c r="KF80" s="476">
        <v>0.53</v>
      </c>
      <c r="KG80" s="476">
        <v>0.7</v>
      </c>
      <c r="KH80" s="971">
        <v>49</v>
      </c>
      <c r="KI80" s="971" t="s">
        <v>758</v>
      </c>
      <c r="KJ80" s="971">
        <v>9</v>
      </c>
      <c r="KK80" s="971" t="s">
        <v>758</v>
      </c>
      <c r="KL80" s="949">
        <v>0.21</v>
      </c>
      <c r="KM80" s="949">
        <v>0.59</v>
      </c>
      <c r="KN80" s="949">
        <v>0.21</v>
      </c>
      <c r="KO80" s="949">
        <v>0</v>
      </c>
      <c r="KP80" s="949">
        <v>0.7</v>
      </c>
      <c r="KQ80" s="949">
        <v>0.31</v>
      </c>
      <c r="KR80" s="949">
        <v>0.64</v>
      </c>
      <c r="KS80" s="949">
        <v>0.56000000000000005</v>
      </c>
      <c r="KT80" s="949">
        <v>0.5</v>
      </c>
      <c r="KU80" s="949">
        <v>0.5</v>
      </c>
      <c r="KV80" s="949">
        <v>0.69</v>
      </c>
      <c r="KW80" s="949">
        <v>0.41</v>
      </c>
      <c r="KX80" s="949">
        <v>0.46</v>
      </c>
      <c r="KY80" s="949">
        <v>0.51</v>
      </c>
      <c r="KZ80" s="949">
        <v>0.44</v>
      </c>
      <c r="LA80" s="949">
        <v>0.44</v>
      </c>
      <c r="LB80" s="949">
        <v>0.45</v>
      </c>
      <c r="LC80" s="949">
        <v>0.38</v>
      </c>
      <c r="LD80" s="949">
        <v>0.62</v>
      </c>
      <c r="LE80" s="949">
        <v>0.64</v>
      </c>
      <c r="LF80" s="949">
        <v>0.44</v>
      </c>
      <c r="LG80" s="949">
        <v>0.53</v>
      </c>
      <c r="LH80" s="949">
        <v>0.6</v>
      </c>
      <c r="LI80" s="949">
        <v>0.56000000000000005</v>
      </c>
      <c r="LJ80" s="949">
        <v>0.44</v>
      </c>
      <c r="LK80" s="949">
        <v>0.51</v>
      </c>
      <c r="LL80" s="949" t="s">
        <v>173</v>
      </c>
      <c r="LM80" s="949">
        <v>0.68</v>
      </c>
      <c r="LN80" s="949">
        <v>0.5</v>
      </c>
      <c r="LO80" s="949">
        <v>0.56999999999999995</v>
      </c>
      <c r="LP80" s="922">
        <v>325754001221</v>
      </c>
      <c r="LQ80" s="555" t="s">
        <v>94</v>
      </c>
      <c r="LR80" s="424">
        <v>41</v>
      </c>
      <c r="LS80" s="971">
        <v>49</v>
      </c>
      <c r="LT80" s="946"/>
    </row>
    <row r="81" spans="1:332" ht="24.6" customHeight="1" x14ac:dyDescent="0.2">
      <c r="A81" s="126" t="s">
        <v>132</v>
      </c>
      <c r="B81" s="1" t="s">
        <v>123</v>
      </c>
      <c r="C81" s="2">
        <v>2</v>
      </c>
      <c r="D81" s="12" t="s">
        <v>126</v>
      </c>
      <c r="E81" s="12" t="s">
        <v>126</v>
      </c>
      <c r="F81" s="12"/>
      <c r="G81" s="12"/>
      <c r="H81" s="12"/>
      <c r="I81" s="12"/>
      <c r="J81" s="12"/>
      <c r="K81" s="12"/>
      <c r="L81" s="12"/>
      <c r="M81" s="12"/>
      <c r="N81" s="12"/>
      <c r="O81" s="12"/>
      <c r="P81" s="12"/>
      <c r="Q81" s="12"/>
      <c r="R81" s="12"/>
      <c r="S81" s="12"/>
      <c r="T81" s="12"/>
      <c r="U81" s="12"/>
      <c r="V81" s="12"/>
      <c r="W81" s="12"/>
      <c r="X81" s="12"/>
      <c r="Y81" s="12"/>
      <c r="Z81" s="12"/>
      <c r="AA81" s="12"/>
      <c r="AB81" s="12"/>
      <c r="AC81" s="12"/>
      <c r="AD81" s="12"/>
      <c r="AE81" s="12"/>
      <c r="AF81" s="12"/>
      <c r="AG81" s="12"/>
      <c r="AH81" s="12">
        <v>57</v>
      </c>
      <c r="AI81" s="12">
        <v>7</v>
      </c>
      <c r="AJ81" s="40">
        <v>0.04</v>
      </c>
      <c r="AK81" s="40">
        <v>0.28999999999999998</v>
      </c>
      <c r="AL81" s="40">
        <v>0.63</v>
      </c>
      <c r="AM81" s="40">
        <v>0.04</v>
      </c>
      <c r="AN81" s="40">
        <v>0.27</v>
      </c>
      <c r="AO81" s="40">
        <v>0.37</v>
      </c>
      <c r="AP81" s="40">
        <v>0.3</v>
      </c>
      <c r="AQ81" s="40">
        <v>0.28999999999999998</v>
      </c>
      <c r="AR81" s="40">
        <v>0.38</v>
      </c>
      <c r="AS81" s="40">
        <v>0.45</v>
      </c>
      <c r="AT81" s="40">
        <v>0.3</v>
      </c>
      <c r="AU81" s="40">
        <v>0.56999999999999995</v>
      </c>
      <c r="AV81" s="40">
        <v>0.67</v>
      </c>
      <c r="AW81" s="40">
        <v>0.27</v>
      </c>
      <c r="AX81" s="40">
        <v>0.38</v>
      </c>
      <c r="AY81" s="40">
        <v>0.21</v>
      </c>
      <c r="AZ81" s="40">
        <v>0.19</v>
      </c>
      <c r="BA81" s="40">
        <v>0.44</v>
      </c>
      <c r="BB81" s="40">
        <v>0.52</v>
      </c>
      <c r="BC81" s="40">
        <v>0.52</v>
      </c>
      <c r="BD81" s="40">
        <v>0.23</v>
      </c>
      <c r="BE81" s="40">
        <v>0.56999999999999995</v>
      </c>
      <c r="BF81" s="40">
        <v>0.43</v>
      </c>
      <c r="BG81" s="40">
        <v>0.47</v>
      </c>
      <c r="BH81" s="40">
        <v>0.37</v>
      </c>
      <c r="BI81" s="40">
        <v>0.36</v>
      </c>
      <c r="BJ81" s="40">
        <v>0.25</v>
      </c>
      <c r="BK81" s="40">
        <v>0.32</v>
      </c>
      <c r="BL81" s="40">
        <v>0.17</v>
      </c>
      <c r="BM81" s="12">
        <v>57</v>
      </c>
      <c r="BN81" s="12">
        <v>11</v>
      </c>
      <c r="BO81" s="66">
        <v>7.0000000000000007E-2</v>
      </c>
      <c r="BP81" s="66">
        <v>0.43</v>
      </c>
      <c r="BQ81" s="66">
        <v>0.36</v>
      </c>
      <c r="BR81" s="66">
        <v>0.14000000000000001</v>
      </c>
      <c r="BS81" s="66">
        <v>0.32</v>
      </c>
      <c r="BT81" s="66">
        <v>0.25</v>
      </c>
      <c r="BU81" s="66">
        <v>0.8</v>
      </c>
      <c r="BV81" s="66">
        <v>0.13</v>
      </c>
      <c r="BW81" s="66">
        <v>0.45</v>
      </c>
      <c r="BX81" s="66">
        <v>0.36</v>
      </c>
      <c r="BY81" s="66">
        <v>0.31</v>
      </c>
      <c r="BZ81" s="66">
        <v>0.34</v>
      </c>
      <c r="CA81" s="66">
        <v>0.41</v>
      </c>
      <c r="CB81" s="66">
        <v>0.19</v>
      </c>
      <c r="CC81" s="66">
        <v>7.0000000000000007E-2</v>
      </c>
      <c r="CD81" s="66">
        <v>0.28999999999999998</v>
      </c>
      <c r="CE81" s="66">
        <v>0.34</v>
      </c>
      <c r="CF81" s="66">
        <v>0.5</v>
      </c>
      <c r="CG81" s="66">
        <v>0.55000000000000004</v>
      </c>
      <c r="CH81" s="66">
        <v>0.34</v>
      </c>
      <c r="CI81" s="66">
        <v>0.48</v>
      </c>
      <c r="CJ81" s="66">
        <v>0.08</v>
      </c>
      <c r="CK81" s="66">
        <v>0.43</v>
      </c>
      <c r="CL81" s="66">
        <v>0.15</v>
      </c>
      <c r="CM81" s="66">
        <v>0.28000000000000003</v>
      </c>
      <c r="CN81" s="66">
        <v>0.27</v>
      </c>
      <c r="CO81" s="66">
        <v>0.26</v>
      </c>
      <c r="CP81" s="66">
        <v>0.23</v>
      </c>
      <c r="CQ81" s="66">
        <v>0.53</v>
      </c>
      <c r="CR81" s="66">
        <v>0.42</v>
      </c>
      <c r="CS81" s="12">
        <v>58</v>
      </c>
      <c r="CT81" s="12">
        <v>9</v>
      </c>
      <c r="CU81" s="63">
        <v>0.06</v>
      </c>
      <c r="CV81" s="63">
        <v>0.25</v>
      </c>
      <c r="CW81" s="63">
        <v>0.63</v>
      </c>
      <c r="CX81" s="63">
        <v>0.06</v>
      </c>
      <c r="CY81" s="63">
        <v>0.26</v>
      </c>
      <c r="CZ81" s="63">
        <v>0.23</v>
      </c>
      <c r="DA81" s="63">
        <v>0.53</v>
      </c>
      <c r="DB81" s="63">
        <v>0.31</v>
      </c>
      <c r="DC81" s="63">
        <v>0.38</v>
      </c>
      <c r="DD81" s="63">
        <v>0.55000000000000004</v>
      </c>
      <c r="DE81" s="63">
        <v>0.25</v>
      </c>
      <c r="DF81" s="63">
        <v>0.35</v>
      </c>
      <c r="DG81" s="63">
        <v>0.31</v>
      </c>
      <c r="DH81" s="63">
        <v>0.28000000000000003</v>
      </c>
      <c r="DI81" s="63">
        <v>0.39</v>
      </c>
      <c r="DJ81" s="63">
        <v>0.21</v>
      </c>
      <c r="DK81" s="63">
        <v>0.33</v>
      </c>
      <c r="DL81" s="63">
        <v>0</v>
      </c>
      <c r="DM81" s="63">
        <v>0.33</v>
      </c>
      <c r="DN81" s="63">
        <v>0.28999999999999998</v>
      </c>
      <c r="DO81" s="63">
        <v>0.31</v>
      </c>
      <c r="DP81" s="63">
        <v>0.41</v>
      </c>
      <c r="DQ81" s="63">
        <v>0.34</v>
      </c>
      <c r="DR81" s="63">
        <v>0.1</v>
      </c>
      <c r="DS81" s="63">
        <v>0.33</v>
      </c>
      <c r="DT81" s="63">
        <v>0.41</v>
      </c>
      <c r="DU81" s="63">
        <v>0.67</v>
      </c>
      <c r="DV81" s="63">
        <v>0.38</v>
      </c>
      <c r="DW81" s="63">
        <v>0.32</v>
      </c>
      <c r="DX81" s="35">
        <v>61</v>
      </c>
      <c r="DY81" s="35">
        <v>7</v>
      </c>
      <c r="DZ81" s="40">
        <v>0</v>
      </c>
      <c r="EA81" s="40">
        <v>0.19</v>
      </c>
      <c r="EB81" s="40">
        <v>0.75</v>
      </c>
      <c r="EC81" s="40">
        <v>0.06</v>
      </c>
      <c r="ED81" s="40">
        <v>0.23</v>
      </c>
      <c r="EE81" s="40">
        <v>0.33</v>
      </c>
      <c r="EF81" s="40">
        <v>0.28999999999999998</v>
      </c>
      <c r="EG81" s="40">
        <v>0.1</v>
      </c>
      <c r="EH81" s="40">
        <v>0.28999999999999998</v>
      </c>
      <c r="EI81" s="40">
        <v>0.19</v>
      </c>
      <c r="EJ81" s="40">
        <v>0.28000000000000003</v>
      </c>
      <c r="EK81" s="40">
        <v>0.14000000000000001</v>
      </c>
      <c r="EL81" s="40">
        <v>0.34</v>
      </c>
      <c r="EM81" s="40">
        <v>0.56000000000000005</v>
      </c>
      <c r="EN81" s="40">
        <v>0.22</v>
      </c>
      <c r="EO81" s="40">
        <v>0.4</v>
      </c>
      <c r="EP81" s="40">
        <v>0.21</v>
      </c>
      <c r="EQ81" s="40">
        <v>7.0000000000000007E-2</v>
      </c>
      <c r="ER81" s="40">
        <v>0.45</v>
      </c>
      <c r="ES81" s="40">
        <v>0.22</v>
      </c>
      <c r="ET81" s="40">
        <v>0.14000000000000001</v>
      </c>
      <c r="EU81" s="40">
        <v>0.17</v>
      </c>
      <c r="EV81" s="40">
        <v>0</v>
      </c>
      <c r="EW81" s="40">
        <v>0.14000000000000001</v>
      </c>
      <c r="EX81" s="40">
        <v>0.82</v>
      </c>
      <c r="EY81" s="40">
        <v>0.3</v>
      </c>
      <c r="EZ81" s="40">
        <v>0</v>
      </c>
      <c r="FA81" s="40">
        <v>0.45</v>
      </c>
      <c r="FB81" s="246">
        <v>62</v>
      </c>
      <c r="FC81" s="246" t="s">
        <v>759</v>
      </c>
      <c r="FD81" s="246">
        <v>6</v>
      </c>
      <c r="FE81" s="246" t="s">
        <v>758</v>
      </c>
      <c r="FF81" s="263">
        <v>0</v>
      </c>
      <c r="FG81" s="263">
        <v>0.25</v>
      </c>
      <c r="FH81" s="263">
        <v>0.65</v>
      </c>
      <c r="FI81" s="263">
        <v>0.1</v>
      </c>
      <c r="FJ81" s="263">
        <v>0.26</v>
      </c>
      <c r="FK81" s="263">
        <v>0.42</v>
      </c>
      <c r="FL81" s="263">
        <v>0.35</v>
      </c>
      <c r="FM81" s="263">
        <v>0.15</v>
      </c>
      <c r="FN81" s="263">
        <v>0.05</v>
      </c>
      <c r="FO81" s="263">
        <v>7.0000000000000007E-2</v>
      </c>
      <c r="FP81" s="263">
        <v>0.16</v>
      </c>
      <c r="FQ81" s="263">
        <v>0.28999999999999998</v>
      </c>
      <c r="FR81" s="263">
        <v>0.37</v>
      </c>
      <c r="FS81" s="263">
        <v>0.26</v>
      </c>
      <c r="FT81" s="263">
        <v>0.36</v>
      </c>
      <c r="FU81" s="263">
        <v>0.06</v>
      </c>
      <c r="FV81" s="263">
        <v>0.3</v>
      </c>
      <c r="FW81" s="263">
        <v>0.5</v>
      </c>
      <c r="FX81" s="263">
        <v>0.03</v>
      </c>
      <c r="FY81" s="263">
        <v>0.11</v>
      </c>
      <c r="FZ81" s="263">
        <v>0.15</v>
      </c>
      <c r="GA81" s="263">
        <v>0.21</v>
      </c>
      <c r="GB81" s="263">
        <v>0.18</v>
      </c>
      <c r="GC81" s="263">
        <v>0.17</v>
      </c>
      <c r="GD81" s="263">
        <v>0.36</v>
      </c>
      <c r="GE81" s="263">
        <v>0.34</v>
      </c>
      <c r="GF81" s="263">
        <v>0.25</v>
      </c>
      <c r="GG81" s="263">
        <v>0.2</v>
      </c>
      <c r="GH81" s="263">
        <v>0.28000000000000003</v>
      </c>
      <c r="GI81" s="263">
        <v>0.1</v>
      </c>
      <c r="GJ81" s="74">
        <v>60</v>
      </c>
      <c r="GK81" s="74" t="s">
        <v>759</v>
      </c>
      <c r="GL81" s="74">
        <v>5</v>
      </c>
      <c r="GM81" s="74" t="s">
        <v>760</v>
      </c>
      <c r="GN81" s="96">
        <v>0</v>
      </c>
      <c r="GO81" s="96">
        <v>0.19</v>
      </c>
      <c r="GP81" s="96">
        <v>0.81</v>
      </c>
      <c r="GQ81" s="96">
        <v>0</v>
      </c>
      <c r="GR81" s="96">
        <v>0.26</v>
      </c>
      <c r="GS81" s="96">
        <v>0.39</v>
      </c>
      <c r="GT81" s="96">
        <v>0.46</v>
      </c>
      <c r="GU81" s="96">
        <v>0.11</v>
      </c>
      <c r="GV81" s="96">
        <v>0.3</v>
      </c>
      <c r="GW81" s="96">
        <v>0.36</v>
      </c>
      <c r="GX81" s="96">
        <v>0.26</v>
      </c>
      <c r="GY81" s="74" t="s">
        <v>173</v>
      </c>
      <c r="GZ81" s="96">
        <v>0.17</v>
      </c>
      <c r="HA81" s="96">
        <v>0.73</v>
      </c>
      <c r="HB81" s="96">
        <v>0.34</v>
      </c>
      <c r="HC81" s="96">
        <v>0.35</v>
      </c>
      <c r="HD81" s="96">
        <v>0.35</v>
      </c>
      <c r="HE81" s="96">
        <v>0.28999999999999998</v>
      </c>
      <c r="HF81" s="96">
        <v>0.25</v>
      </c>
      <c r="HG81" s="96">
        <v>0.68</v>
      </c>
      <c r="HH81" s="96">
        <v>0.24</v>
      </c>
      <c r="HI81" s="96">
        <v>0.31</v>
      </c>
      <c r="HJ81" s="96">
        <v>0.48</v>
      </c>
      <c r="HK81" s="96">
        <v>0.21</v>
      </c>
      <c r="HL81" s="96">
        <v>0.2</v>
      </c>
      <c r="HM81" s="96">
        <v>0.38</v>
      </c>
      <c r="HN81" s="96">
        <v>0.25</v>
      </c>
      <c r="HO81" s="96">
        <v>0.12</v>
      </c>
      <c r="HP81" s="74" t="s">
        <v>173</v>
      </c>
      <c r="HQ81" s="96">
        <v>0.22</v>
      </c>
      <c r="HR81" s="652">
        <v>59</v>
      </c>
      <c r="HS81" s="652" t="s">
        <v>759</v>
      </c>
      <c r="HT81" s="652">
        <v>7</v>
      </c>
      <c r="HU81" s="652" t="s">
        <v>758</v>
      </c>
      <c r="HV81" s="653">
        <v>0</v>
      </c>
      <c r="HW81" s="653">
        <v>0.28000000000000003</v>
      </c>
      <c r="HX81" s="653">
        <v>0.66</v>
      </c>
      <c r="HY81" s="653">
        <v>7.0000000000000007E-2</v>
      </c>
      <c r="HZ81" s="653">
        <v>0.28000000000000003</v>
      </c>
      <c r="IA81" s="653">
        <v>0.44</v>
      </c>
      <c r="IB81" s="653">
        <v>0.14000000000000001</v>
      </c>
      <c r="IC81" s="653">
        <v>0.44</v>
      </c>
      <c r="ID81" s="653">
        <v>0.53</v>
      </c>
      <c r="IE81" s="653">
        <v>0.19</v>
      </c>
      <c r="IF81" s="653">
        <v>0.25</v>
      </c>
      <c r="IG81" s="653">
        <v>0.47</v>
      </c>
      <c r="IH81" s="653">
        <v>0.54</v>
      </c>
      <c r="II81" s="653">
        <v>0.27</v>
      </c>
      <c r="IJ81" s="653">
        <v>0.15</v>
      </c>
      <c r="IK81" s="653">
        <v>0.4</v>
      </c>
      <c r="IL81" s="653">
        <v>0.17</v>
      </c>
      <c r="IM81" s="653">
        <v>0.47</v>
      </c>
      <c r="IN81" s="653">
        <v>0.26</v>
      </c>
      <c r="IO81" s="653">
        <v>0.39</v>
      </c>
      <c r="IP81" s="653">
        <v>0.15</v>
      </c>
      <c r="IQ81" s="653">
        <v>0.56999999999999995</v>
      </c>
      <c r="IR81" s="653">
        <v>0.37</v>
      </c>
      <c r="IS81" s="653">
        <v>0.3</v>
      </c>
      <c r="IT81" s="653">
        <v>0.3</v>
      </c>
      <c r="IU81" s="652" t="s">
        <v>173</v>
      </c>
      <c r="IV81" s="653">
        <v>0.53</v>
      </c>
      <c r="IW81" s="653">
        <v>0.16</v>
      </c>
      <c r="IX81" s="653">
        <v>0.38</v>
      </c>
      <c r="IY81" s="653">
        <v>0.35</v>
      </c>
      <c r="IZ81" s="74">
        <v>62</v>
      </c>
      <c r="JA81" s="74" t="s">
        <v>759</v>
      </c>
      <c r="JB81" s="74">
        <v>6</v>
      </c>
      <c r="JC81" s="74" t="s">
        <v>758</v>
      </c>
      <c r="JD81" s="96">
        <v>0</v>
      </c>
      <c r="JE81" s="96">
        <v>0.11</v>
      </c>
      <c r="JF81" s="96">
        <v>0.79</v>
      </c>
      <c r="JG81" s="96">
        <v>0.11</v>
      </c>
      <c r="JH81" s="96">
        <v>0.21</v>
      </c>
      <c r="JI81" s="96">
        <v>0.26</v>
      </c>
      <c r="JJ81" s="96">
        <v>0.27</v>
      </c>
      <c r="JK81" s="96">
        <v>0.24</v>
      </c>
      <c r="JL81" s="96">
        <v>0.4</v>
      </c>
      <c r="JM81" s="96">
        <v>0.24</v>
      </c>
      <c r="JN81" s="96">
        <v>0.19</v>
      </c>
      <c r="JO81" s="96">
        <v>0.3</v>
      </c>
      <c r="JP81" s="96">
        <v>0.45</v>
      </c>
      <c r="JQ81" s="96">
        <v>0.08</v>
      </c>
      <c r="JR81" s="96">
        <v>0.4</v>
      </c>
      <c r="JS81" s="96">
        <v>0.17</v>
      </c>
      <c r="JT81" s="96">
        <v>0.2</v>
      </c>
      <c r="JU81" s="96">
        <v>0.26</v>
      </c>
      <c r="JV81" s="96">
        <v>0.39</v>
      </c>
      <c r="JW81" s="96">
        <v>0.3</v>
      </c>
      <c r="JX81" s="96">
        <v>0.26</v>
      </c>
      <c r="JY81" s="96">
        <v>0.24</v>
      </c>
      <c r="JZ81" s="96">
        <v>0.3</v>
      </c>
      <c r="KA81" s="96">
        <v>0.43</v>
      </c>
      <c r="KB81" s="96">
        <v>0.13</v>
      </c>
      <c r="KC81" s="96">
        <v>0.52</v>
      </c>
      <c r="KD81" s="96">
        <v>0.09</v>
      </c>
      <c r="KE81" s="96">
        <v>0.32</v>
      </c>
      <c r="KF81" s="96">
        <v>0.28000000000000003</v>
      </c>
      <c r="KG81" s="96">
        <v>0.26</v>
      </c>
      <c r="KH81" s="971">
        <v>60</v>
      </c>
      <c r="KI81" s="971" t="s">
        <v>758</v>
      </c>
      <c r="KJ81" s="971">
        <v>7</v>
      </c>
      <c r="KK81" s="971" t="s">
        <v>758</v>
      </c>
      <c r="KL81" s="949">
        <v>0</v>
      </c>
      <c r="KM81" s="949">
        <v>0.28999999999999998</v>
      </c>
      <c r="KN81" s="949">
        <v>0.68</v>
      </c>
      <c r="KO81" s="949">
        <v>0.04</v>
      </c>
      <c r="KP81" s="949">
        <v>0.49</v>
      </c>
      <c r="KQ81" s="949">
        <v>0.16</v>
      </c>
      <c r="KR81" s="949">
        <v>0.42</v>
      </c>
      <c r="KS81" s="949">
        <v>0.44</v>
      </c>
      <c r="KT81" s="949">
        <v>0.37</v>
      </c>
      <c r="KU81" s="949">
        <v>0.18</v>
      </c>
      <c r="KV81" s="949">
        <v>0.41</v>
      </c>
      <c r="KW81" s="949">
        <v>0.21</v>
      </c>
      <c r="KX81" s="949">
        <v>0.18</v>
      </c>
      <c r="KY81" s="949">
        <v>0.4</v>
      </c>
      <c r="KZ81" s="949">
        <v>0.13</v>
      </c>
      <c r="LA81" s="949">
        <v>0.33</v>
      </c>
      <c r="LB81" s="949">
        <v>0.23</v>
      </c>
      <c r="LC81" s="949">
        <v>0.23</v>
      </c>
      <c r="LD81" s="949">
        <v>0.42</v>
      </c>
      <c r="LE81" s="949">
        <v>0.3</v>
      </c>
      <c r="LF81" s="949">
        <v>0.12</v>
      </c>
      <c r="LG81" s="949">
        <v>0.13</v>
      </c>
      <c r="LH81" s="949">
        <v>0.37</v>
      </c>
      <c r="LI81" s="949">
        <v>0.37</v>
      </c>
      <c r="LJ81" s="949">
        <v>0.15</v>
      </c>
      <c r="LK81" s="949">
        <v>0.42</v>
      </c>
      <c r="LL81" s="949" t="s">
        <v>173</v>
      </c>
      <c r="LM81" s="949">
        <v>0.43</v>
      </c>
      <c r="LN81" s="949">
        <v>0.4</v>
      </c>
      <c r="LO81" s="949">
        <v>0.38</v>
      </c>
      <c r="LP81" s="922">
        <v>325754003169</v>
      </c>
      <c r="LQ81" s="126" t="s">
        <v>132</v>
      </c>
      <c r="LR81" s="652">
        <v>59</v>
      </c>
      <c r="LS81" s="971">
        <v>60</v>
      </c>
      <c r="LT81" s="946"/>
    </row>
    <row r="82" spans="1:332" ht="24.95" customHeight="1" x14ac:dyDescent="0.2">
      <c r="A82" s="126" t="s">
        <v>30</v>
      </c>
      <c r="B82" s="1" t="s">
        <v>123</v>
      </c>
      <c r="C82" s="2">
        <v>6</v>
      </c>
      <c r="D82" s="12">
        <v>56</v>
      </c>
      <c r="E82" s="12">
        <v>6</v>
      </c>
      <c r="F82" s="66">
        <v>0.03</v>
      </c>
      <c r="G82" s="66">
        <v>0.42</v>
      </c>
      <c r="H82" s="66">
        <v>0.52</v>
      </c>
      <c r="I82" s="66">
        <v>0.03</v>
      </c>
      <c r="J82" s="66">
        <v>0.32</v>
      </c>
      <c r="K82" s="66">
        <v>0.37</v>
      </c>
      <c r="L82" s="66">
        <v>0.7</v>
      </c>
      <c r="M82" s="66">
        <v>0.18</v>
      </c>
      <c r="N82" s="66">
        <v>0.22</v>
      </c>
      <c r="O82" s="66">
        <v>0.53</v>
      </c>
      <c r="P82" s="66">
        <v>0.42</v>
      </c>
      <c r="Q82" s="66">
        <v>0.5</v>
      </c>
      <c r="R82" s="66">
        <v>0.42</v>
      </c>
      <c r="S82" s="66">
        <v>0.56000000000000005</v>
      </c>
      <c r="T82" s="66">
        <v>0.36</v>
      </c>
      <c r="U82" s="66">
        <v>0.66</v>
      </c>
      <c r="V82" s="66">
        <v>0.06</v>
      </c>
      <c r="W82" s="66">
        <v>0.15</v>
      </c>
      <c r="X82" s="66">
        <v>0.42</v>
      </c>
      <c r="Y82" s="66">
        <v>0.42</v>
      </c>
      <c r="Z82" s="66">
        <v>1</v>
      </c>
      <c r="AA82" s="66">
        <v>0.08</v>
      </c>
      <c r="AB82" s="66">
        <v>0.41</v>
      </c>
      <c r="AC82" s="66">
        <v>0.17</v>
      </c>
      <c r="AD82" s="66">
        <v>0.39</v>
      </c>
      <c r="AE82" s="66">
        <v>0.37</v>
      </c>
      <c r="AF82" s="66">
        <v>0.39</v>
      </c>
      <c r="AG82" s="66">
        <v>0.43</v>
      </c>
      <c r="AH82" s="12">
        <v>54</v>
      </c>
      <c r="AI82" s="12">
        <v>8</v>
      </c>
      <c r="AJ82" s="40">
        <v>0.04</v>
      </c>
      <c r="AK82" s="40">
        <v>0.46</v>
      </c>
      <c r="AL82" s="40">
        <v>0.5</v>
      </c>
      <c r="AM82" s="40">
        <v>0</v>
      </c>
      <c r="AN82" s="40">
        <v>0.35</v>
      </c>
      <c r="AO82" s="40">
        <v>0.51</v>
      </c>
      <c r="AP82" s="40">
        <v>0.57999999999999996</v>
      </c>
      <c r="AQ82" s="40">
        <v>0.32</v>
      </c>
      <c r="AR82" s="40">
        <v>0.43</v>
      </c>
      <c r="AS82" s="40">
        <v>0.48</v>
      </c>
      <c r="AT82" s="40">
        <v>0.49</v>
      </c>
      <c r="AU82" s="40">
        <v>0.35</v>
      </c>
      <c r="AV82" s="40">
        <v>0.6</v>
      </c>
      <c r="AW82" s="40">
        <v>0.19</v>
      </c>
      <c r="AX82" s="40">
        <v>0.57999999999999996</v>
      </c>
      <c r="AY82" s="40">
        <v>0.32</v>
      </c>
      <c r="AZ82" s="40">
        <v>0.22</v>
      </c>
      <c r="BA82" s="40">
        <v>0.48</v>
      </c>
      <c r="BB82" s="40">
        <v>0.67</v>
      </c>
      <c r="BC82" s="40">
        <v>0.76</v>
      </c>
      <c r="BD82" s="40">
        <v>0.43</v>
      </c>
      <c r="BE82" s="40">
        <v>0.7</v>
      </c>
      <c r="BF82" s="40">
        <v>0.4</v>
      </c>
      <c r="BG82" s="40">
        <v>0.49</v>
      </c>
      <c r="BH82" s="40">
        <v>0.39</v>
      </c>
      <c r="BI82" s="40">
        <v>0.36</v>
      </c>
      <c r="BJ82" s="40">
        <v>0.4</v>
      </c>
      <c r="BK82" s="40">
        <v>0.4</v>
      </c>
      <c r="BL82" s="40">
        <v>0.46</v>
      </c>
      <c r="BM82" s="12">
        <v>53</v>
      </c>
      <c r="BN82" s="12">
        <v>10</v>
      </c>
      <c r="BO82" s="66">
        <v>0.08</v>
      </c>
      <c r="BP82" s="66">
        <v>0.5</v>
      </c>
      <c r="BQ82" s="66">
        <v>0.39</v>
      </c>
      <c r="BR82" s="66">
        <v>0.03</v>
      </c>
      <c r="BS82" s="66">
        <v>0.28000000000000003</v>
      </c>
      <c r="BT82" s="66">
        <v>0.44</v>
      </c>
      <c r="BU82" s="66">
        <v>0.57999999999999996</v>
      </c>
      <c r="BV82" s="66">
        <v>0.33</v>
      </c>
      <c r="BW82" s="66">
        <v>0.67</v>
      </c>
      <c r="BX82" s="66">
        <v>0.28999999999999998</v>
      </c>
      <c r="BY82" s="66">
        <v>0.33</v>
      </c>
      <c r="BZ82" s="66">
        <v>0.52</v>
      </c>
      <c r="CA82" s="66">
        <v>0.4</v>
      </c>
      <c r="CB82" s="66">
        <v>0.23</v>
      </c>
      <c r="CC82" s="66">
        <v>0.15</v>
      </c>
      <c r="CD82" s="66">
        <v>0.38</v>
      </c>
      <c r="CE82" s="66">
        <v>0.35</v>
      </c>
      <c r="CF82" s="66">
        <v>0.5</v>
      </c>
      <c r="CG82" s="66">
        <v>0.47</v>
      </c>
      <c r="CH82" s="66">
        <v>0.47</v>
      </c>
      <c r="CI82" s="66">
        <v>0.56000000000000005</v>
      </c>
      <c r="CJ82" s="66">
        <v>0.36</v>
      </c>
      <c r="CK82" s="66">
        <v>0.67</v>
      </c>
      <c r="CL82" s="66">
        <v>0.33</v>
      </c>
      <c r="CM82" s="66">
        <v>0.37</v>
      </c>
      <c r="CN82" s="66">
        <v>0.48</v>
      </c>
      <c r="CO82" s="66">
        <v>0.31</v>
      </c>
      <c r="CP82" s="66">
        <v>0.34</v>
      </c>
      <c r="CQ82" s="66">
        <v>0.48</v>
      </c>
      <c r="CR82" s="66">
        <v>0.46</v>
      </c>
      <c r="CS82" s="12">
        <v>54</v>
      </c>
      <c r="CT82" s="12">
        <v>9</v>
      </c>
      <c r="CU82" s="63">
        <v>0.1</v>
      </c>
      <c r="CV82" s="63">
        <v>0.43</v>
      </c>
      <c r="CW82" s="63">
        <v>0.47</v>
      </c>
      <c r="CX82" s="63">
        <v>0</v>
      </c>
      <c r="CY82" s="63">
        <v>0.56000000000000005</v>
      </c>
      <c r="CZ82" s="63">
        <v>0.28999999999999998</v>
      </c>
      <c r="DA82" s="63">
        <v>0.53</v>
      </c>
      <c r="DB82" s="63">
        <v>0.2</v>
      </c>
      <c r="DC82" s="63">
        <v>0.44</v>
      </c>
      <c r="DD82" s="63">
        <v>0.57999999999999996</v>
      </c>
      <c r="DE82" s="63">
        <v>0.31</v>
      </c>
      <c r="DF82" s="63">
        <v>0.48</v>
      </c>
      <c r="DG82" s="63">
        <v>0.42</v>
      </c>
      <c r="DH82" s="63">
        <v>0.34</v>
      </c>
      <c r="DI82" s="63">
        <v>0.45</v>
      </c>
      <c r="DJ82" s="63">
        <v>0.38</v>
      </c>
      <c r="DK82" s="63">
        <v>0.27</v>
      </c>
      <c r="DL82" s="63">
        <v>0.28999999999999998</v>
      </c>
      <c r="DM82" s="63">
        <v>0.49</v>
      </c>
      <c r="DN82" s="63">
        <v>0.43</v>
      </c>
      <c r="DO82" s="63">
        <v>0.3</v>
      </c>
      <c r="DP82" s="63">
        <v>0.38</v>
      </c>
      <c r="DQ82" s="63">
        <v>0.44</v>
      </c>
      <c r="DR82" s="63">
        <v>0.13</v>
      </c>
      <c r="DS82" s="63">
        <v>0.33</v>
      </c>
      <c r="DT82" s="63">
        <v>0.55000000000000004</v>
      </c>
      <c r="DU82" s="63">
        <v>0.5</v>
      </c>
      <c r="DV82" s="63">
        <v>0.53</v>
      </c>
      <c r="DW82" s="63">
        <v>0.33</v>
      </c>
      <c r="DX82" s="35">
        <v>54</v>
      </c>
      <c r="DY82" s="35">
        <v>7</v>
      </c>
      <c r="DZ82" s="40">
        <v>0.04</v>
      </c>
      <c r="EA82" s="40">
        <v>0.54</v>
      </c>
      <c r="EB82" s="40">
        <v>0.42</v>
      </c>
      <c r="EC82" s="40">
        <v>0</v>
      </c>
      <c r="ED82" s="40">
        <v>0.37</v>
      </c>
      <c r="EE82" s="40">
        <v>0.44</v>
      </c>
      <c r="EF82" s="40">
        <v>0.3</v>
      </c>
      <c r="EG82" s="40">
        <v>0.43</v>
      </c>
      <c r="EH82" s="40">
        <v>0.38</v>
      </c>
      <c r="EI82" s="40">
        <v>0.49</v>
      </c>
      <c r="EJ82" s="40">
        <v>0.55000000000000004</v>
      </c>
      <c r="EK82" s="40">
        <v>0.35</v>
      </c>
      <c r="EL82" s="40">
        <v>0.33</v>
      </c>
      <c r="EM82" s="40">
        <v>0.62</v>
      </c>
      <c r="EN82" s="40">
        <v>0.3</v>
      </c>
      <c r="EO82" s="40">
        <v>0.54</v>
      </c>
      <c r="EP82" s="40">
        <v>0.3</v>
      </c>
      <c r="EQ82" s="40">
        <v>0.32</v>
      </c>
      <c r="ER82" s="40">
        <v>0.5</v>
      </c>
      <c r="ES82" s="40">
        <v>0.34</v>
      </c>
      <c r="ET82" s="40">
        <v>0.3</v>
      </c>
      <c r="EU82" s="40">
        <v>0.48</v>
      </c>
      <c r="EV82" s="40">
        <v>0.31</v>
      </c>
      <c r="EW82" s="40">
        <v>0.28000000000000003</v>
      </c>
      <c r="EX82" s="40">
        <v>0.6</v>
      </c>
      <c r="EY82" s="40">
        <v>0.43</v>
      </c>
      <c r="EZ82" s="40">
        <v>0</v>
      </c>
      <c r="FA82" s="40">
        <v>0.56000000000000005</v>
      </c>
      <c r="FB82" s="246">
        <v>52</v>
      </c>
      <c r="FC82" s="246" t="s">
        <v>758</v>
      </c>
      <c r="FD82" s="246">
        <v>8</v>
      </c>
      <c r="FE82" s="246" t="s">
        <v>758</v>
      </c>
      <c r="FF82" s="263">
        <v>0.11</v>
      </c>
      <c r="FG82" s="263">
        <v>0.52</v>
      </c>
      <c r="FH82" s="263">
        <v>0.36</v>
      </c>
      <c r="FI82" s="263">
        <v>0</v>
      </c>
      <c r="FJ82" s="263">
        <v>0.41</v>
      </c>
      <c r="FK82" s="263">
        <v>0.61</v>
      </c>
      <c r="FL82" s="263">
        <v>0.51</v>
      </c>
      <c r="FM82" s="263">
        <v>0.35</v>
      </c>
      <c r="FN82" s="263">
        <v>0.31</v>
      </c>
      <c r="FO82" s="263">
        <v>0.37</v>
      </c>
      <c r="FP82" s="263">
        <v>0.34</v>
      </c>
      <c r="FQ82" s="263">
        <v>0.43</v>
      </c>
      <c r="FR82" s="263">
        <v>0.55000000000000004</v>
      </c>
      <c r="FS82" s="263">
        <v>0.52</v>
      </c>
      <c r="FT82" s="263">
        <v>0.52</v>
      </c>
      <c r="FU82" s="263">
        <v>0.39</v>
      </c>
      <c r="FV82" s="263">
        <v>0.56999999999999995</v>
      </c>
      <c r="FW82" s="263">
        <v>0.56000000000000005</v>
      </c>
      <c r="FX82" s="263">
        <v>0.39</v>
      </c>
      <c r="FY82" s="263">
        <v>0.28999999999999998</v>
      </c>
      <c r="FZ82" s="263">
        <v>0.34</v>
      </c>
      <c r="GA82" s="263">
        <v>0.5</v>
      </c>
      <c r="GB82" s="263">
        <v>0.41</v>
      </c>
      <c r="GC82" s="263">
        <v>0.38</v>
      </c>
      <c r="GD82" s="263">
        <v>0.55000000000000004</v>
      </c>
      <c r="GE82" s="263">
        <v>0.45</v>
      </c>
      <c r="GF82" s="263">
        <v>0.34</v>
      </c>
      <c r="GG82" s="263">
        <v>0.38</v>
      </c>
      <c r="GH82" s="263">
        <v>0.55000000000000004</v>
      </c>
      <c r="GI82" s="263">
        <v>0.2</v>
      </c>
      <c r="GJ82" s="309">
        <v>59</v>
      </c>
      <c r="GK82" s="309" t="s">
        <v>759</v>
      </c>
      <c r="GL82" s="309">
        <v>8</v>
      </c>
      <c r="GM82" s="309" t="s">
        <v>758</v>
      </c>
      <c r="GN82" s="327">
        <v>0</v>
      </c>
      <c r="GO82" s="327">
        <v>0.34</v>
      </c>
      <c r="GP82" s="327">
        <v>0.62</v>
      </c>
      <c r="GQ82" s="327">
        <v>0.03</v>
      </c>
      <c r="GR82" s="327">
        <v>0.36</v>
      </c>
      <c r="GS82" s="327">
        <v>0.35</v>
      </c>
      <c r="GT82" s="327">
        <v>0.41</v>
      </c>
      <c r="GU82" s="327">
        <v>0.13</v>
      </c>
      <c r="GV82" s="327">
        <v>0.36</v>
      </c>
      <c r="GW82" s="327">
        <v>0.25</v>
      </c>
      <c r="GX82" s="327">
        <v>0.31</v>
      </c>
      <c r="GY82" s="309" t="s">
        <v>173</v>
      </c>
      <c r="GZ82" s="327">
        <v>0.24</v>
      </c>
      <c r="HA82" s="327">
        <v>0.92</v>
      </c>
      <c r="HB82" s="327">
        <v>0.35</v>
      </c>
      <c r="HC82" s="327">
        <v>0.38</v>
      </c>
      <c r="HD82" s="327">
        <v>0.44</v>
      </c>
      <c r="HE82" s="327">
        <v>0.28999999999999998</v>
      </c>
      <c r="HF82" s="327">
        <v>0.31</v>
      </c>
      <c r="HG82" s="327">
        <v>0.61</v>
      </c>
      <c r="HH82" s="327">
        <v>0.18</v>
      </c>
      <c r="HI82" s="327">
        <v>0.26</v>
      </c>
      <c r="HJ82" s="327">
        <v>0.54</v>
      </c>
      <c r="HK82" s="327">
        <v>0.33</v>
      </c>
      <c r="HL82" s="327">
        <v>0.3</v>
      </c>
      <c r="HM82" s="327">
        <v>0.36</v>
      </c>
      <c r="HN82" s="327">
        <v>0.34</v>
      </c>
      <c r="HO82" s="327">
        <v>0.12</v>
      </c>
      <c r="HP82" s="309" t="s">
        <v>173</v>
      </c>
      <c r="HQ82" s="327">
        <v>0.28000000000000003</v>
      </c>
      <c r="HR82" s="424">
        <v>55</v>
      </c>
      <c r="HS82" s="424" t="s">
        <v>758</v>
      </c>
      <c r="HT82" s="424">
        <v>7</v>
      </c>
      <c r="HU82" s="424" t="s">
        <v>758</v>
      </c>
      <c r="HV82" s="428">
        <v>0.03</v>
      </c>
      <c r="HW82" s="428">
        <v>0.5</v>
      </c>
      <c r="HX82" s="428">
        <v>0.47</v>
      </c>
      <c r="HY82" s="428">
        <v>0</v>
      </c>
      <c r="HZ82" s="428">
        <v>0.35</v>
      </c>
      <c r="IA82" s="428">
        <v>0.45</v>
      </c>
      <c r="IB82" s="428">
        <v>0.3</v>
      </c>
      <c r="IC82" s="428">
        <v>0.48</v>
      </c>
      <c r="ID82" s="428">
        <v>0.62</v>
      </c>
      <c r="IE82" s="428">
        <v>0.28000000000000003</v>
      </c>
      <c r="IF82" s="428">
        <v>0.34</v>
      </c>
      <c r="IG82" s="428">
        <v>0.48</v>
      </c>
      <c r="IH82" s="428">
        <v>0.4</v>
      </c>
      <c r="II82" s="428">
        <v>0.47</v>
      </c>
      <c r="IJ82" s="428">
        <v>0.21</v>
      </c>
      <c r="IK82" s="428">
        <v>0.54</v>
      </c>
      <c r="IL82" s="428">
        <v>0.23</v>
      </c>
      <c r="IM82" s="428">
        <v>0.56999999999999995</v>
      </c>
      <c r="IN82" s="428">
        <v>0.39</v>
      </c>
      <c r="IO82" s="428">
        <v>0.4</v>
      </c>
      <c r="IP82" s="428">
        <v>0.31</v>
      </c>
      <c r="IQ82" s="428">
        <v>0.62</v>
      </c>
      <c r="IR82" s="428">
        <v>0.38</v>
      </c>
      <c r="IS82" s="428">
        <v>0.45</v>
      </c>
      <c r="IT82" s="428">
        <v>0.31</v>
      </c>
      <c r="IU82" s="424" t="s">
        <v>173</v>
      </c>
      <c r="IV82" s="428">
        <v>0.59</v>
      </c>
      <c r="IW82" s="428">
        <v>0.28000000000000003</v>
      </c>
      <c r="IX82" s="428">
        <v>0.48</v>
      </c>
      <c r="IY82" s="428">
        <v>0.45</v>
      </c>
      <c r="IZ82" s="464">
        <v>56</v>
      </c>
      <c r="JA82" s="464" t="s">
        <v>758</v>
      </c>
      <c r="JB82" s="464">
        <v>9</v>
      </c>
      <c r="JC82" s="464" t="s">
        <v>758</v>
      </c>
      <c r="JD82" s="476">
        <v>0.03</v>
      </c>
      <c r="JE82" s="476">
        <v>0.35</v>
      </c>
      <c r="JF82" s="476">
        <v>0.57999999999999996</v>
      </c>
      <c r="JG82" s="476">
        <v>0.03</v>
      </c>
      <c r="JH82" s="476">
        <v>0.33</v>
      </c>
      <c r="JI82" s="476">
        <v>0.4</v>
      </c>
      <c r="JJ82" s="476">
        <v>0.31</v>
      </c>
      <c r="JK82" s="476">
        <v>0.42</v>
      </c>
      <c r="JL82" s="476">
        <v>0.26</v>
      </c>
      <c r="JM82" s="476">
        <v>0.42</v>
      </c>
      <c r="JN82" s="476">
        <v>0.25</v>
      </c>
      <c r="JO82" s="476">
        <v>0.38</v>
      </c>
      <c r="JP82" s="476">
        <v>0.4</v>
      </c>
      <c r="JQ82" s="476">
        <v>0.17</v>
      </c>
      <c r="JR82" s="476">
        <v>0.57999999999999996</v>
      </c>
      <c r="JS82" s="476">
        <v>0.48</v>
      </c>
      <c r="JT82" s="476">
        <v>0.27</v>
      </c>
      <c r="JU82" s="476">
        <v>0.51</v>
      </c>
      <c r="JV82" s="476">
        <v>0.37</v>
      </c>
      <c r="JW82" s="476">
        <v>0.38</v>
      </c>
      <c r="JX82" s="476">
        <v>0.23</v>
      </c>
      <c r="JY82" s="476">
        <v>0.32</v>
      </c>
      <c r="JZ82" s="476">
        <v>0.45</v>
      </c>
      <c r="KA82" s="476">
        <v>0.68</v>
      </c>
      <c r="KB82" s="476">
        <v>0.39</v>
      </c>
      <c r="KC82" s="476">
        <v>0.62</v>
      </c>
      <c r="KD82" s="476">
        <v>0.26</v>
      </c>
      <c r="KE82" s="476">
        <v>0.49</v>
      </c>
      <c r="KF82" s="476">
        <v>0.4</v>
      </c>
      <c r="KG82" s="476">
        <v>0.44</v>
      </c>
      <c r="KH82" s="971">
        <v>57</v>
      </c>
      <c r="KI82" s="971" t="s">
        <v>758</v>
      </c>
      <c r="KJ82" s="971">
        <v>8</v>
      </c>
      <c r="KK82" s="971" t="s">
        <v>758</v>
      </c>
      <c r="KL82" s="949">
        <v>0</v>
      </c>
      <c r="KM82" s="949">
        <v>0.5</v>
      </c>
      <c r="KN82" s="949">
        <v>0.45</v>
      </c>
      <c r="KO82" s="949">
        <v>0.05</v>
      </c>
      <c r="KP82" s="949">
        <v>0.22</v>
      </c>
      <c r="KQ82" s="949">
        <v>0.15</v>
      </c>
      <c r="KR82" s="949">
        <v>0.5</v>
      </c>
      <c r="KS82" s="949">
        <v>0.45</v>
      </c>
      <c r="KT82" s="949">
        <v>0.56000000000000005</v>
      </c>
      <c r="KU82" s="949">
        <v>0.44</v>
      </c>
      <c r="KV82" s="949">
        <v>0.42</v>
      </c>
      <c r="KW82" s="949">
        <v>0.33</v>
      </c>
      <c r="KX82" s="949">
        <v>0.31</v>
      </c>
      <c r="KY82" s="949">
        <v>0.48</v>
      </c>
      <c r="KZ82" s="949">
        <v>0.25</v>
      </c>
      <c r="LA82" s="949">
        <v>0.36</v>
      </c>
      <c r="LB82" s="949">
        <v>0.36</v>
      </c>
      <c r="LC82" s="949">
        <v>0.36</v>
      </c>
      <c r="LD82" s="949">
        <v>0.43</v>
      </c>
      <c r="LE82" s="949">
        <v>0.38</v>
      </c>
      <c r="LF82" s="949">
        <v>0.23</v>
      </c>
      <c r="LG82" s="949">
        <v>0.36</v>
      </c>
      <c r="LH82" s="949">
        <v>0.38</v>
      </c>
      <c r="LI82" s="949">
        <v>0.32</v>
      </c>
      <c r="LJ82" s="949">
        <v>0.32</v>
      </c>
      <c r="LK82" s="949">
        <v>0.41</v>
      </c>
      <c r="LL82" s="949" t="s">
        <v>173</v>
      </c>
      <c r="LM82" s="949">
        <v>0.5</v>
      </c>
      <c r="LN82" s="949">
        <v>0.75</v>
      </c>
      <c r="LO82" s="949">
        <v>0.2</v>
      </c>
      <c r="LP82" s="922">
        <v>325754001212</v>
      </c>
      <c r="LQ82" s="126" t="s">
        <v>30</v>
      </c>
      <c r="LR82" s="424">
        <v>55</v>
      </c>
      <c r="LS82" s="971">
        <v>57</v>
      </c>
      <c r="LT82" s="946"/>
    </row>
    <row r="83" spans="1:332" ht="24.95" customHeight="1" x14ac:dyDescent="0.2">
      <c r="A83" s="126" t="s">
        <v>800</v>
      </c>
      <c r="B83" s="14" t="s">
        <v>123</v>
      </c>
      <c r="C83" s="2">
        <v>3</v>
      </c>
      <c r="D83" s="12"/>
      <c r="E83" s="12"/>
      <c r="F83" s="66"/>
      <c r="G83" s="66"/>
      <c r="H83" s="66"/>
      <c r="I83" s="66"/>
      <c r="J83" s="66"/>
      <c r="K83" s="66"/>
      <c r="L83" s="66"/>
      <c r="M83" s="66"/>
      <c r="N83" s="66"/>
      <c r="O83" s="66"/>
      <c r="P83" s="66"/>
      <c r="Q83" s="66"/>
      <c r="R83" s="66"/>
      <c r="S83" s="66"/>
      <c r="T83" s="66"/>
      <c r="U83" s="66"/>
      <c r="V83" s="66"/>
      <c r="W83" s="66"/>
      <c r="X83" s="66"/>
      <c r="Y83" s="66"/>
      <c r="Z83" s="66"/>
      <c r="AA83" s="66"/>
      <c r="AB83" s="66"/>
      <c r="AC83" s="66"/>
      <c r="AD83" s="66"/>
      <c r="AE83" s="66"/>
      <c r="AF83" s="66"/>
      <c r="AG83" s="66"/>
      <c r="AH83" s="12"/>
      <c r="AI83" s="12"/>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12"/>
      <c r="BN83" s="12"/>
      <c r="BO83" s="66"/>
      <c r="BP83" s="66"/>
      <c r="BQ83" s="66"/>
      <c r="BR83" s="66"/>
      <c r="BS83" s="66"/>
      <c r="BT83" s="66"/>
      <c r="BU83" s="66"/>
      <c r="BV83" s="66"/>
      <c r="BW83" s="66"/>
      <c r="BX83" s="66"/>
      <c r="BY83" s="66"/>
      <c r="BZ83" s="66"/>
      <c r="CA83" s="66"/>
      <c r="CB83" s="66"/>
      <c r="CC83" s="66"/>
      <c r="CD83" s="66"/>
      <c r="CE83" s="66"/>
      <c r="CF83" s="66"/>
      <c r="CG83" s="66"/>
      <c r="CH83" s="66"/>
      <c r="CI83" s="66"/>
      <c r="CJ83" s="66"/>
      <c r="CK83" s="66"/>
      <c r="CL83" s="66"/>
      <c r="CM83" s="66"/>
      <c r="CN83" s="66"/>
      <c r="CO83" s="66"/>
      <c r="CP83" s="66"/>
      <c r="CQ83" s="66"/>
      <c r="CR83" s="66"/>
      <c r="CS83" s="12"/>
      <c r="CT83" s="12"/>
      <c r="CU83" s="63"/>
      <c r="CV83" s="63"/>
      <c r="CW83" s="63"/>
      <c r="CX83" s="63"/>
      <c r="CY83" s="63"/>
      <c r="CZ83" s="63"/>
      <c r="DA83" s="63"/>
      <c r="DB83" s="63"/>
      <c r="DC83" s="63"/>
      <c r="DD83" s="63"/>
      <c r="DE83" s="63"/>
      <c r="DF83" s="63"/>
      <c r="DG83" s="63"/>
      <c r="DH83" s="63"/>
      <c r="DI83" s="63"/>
      <c r="DJ83" s="63"/>
      <c r="DK83" s="63"/>
      <c r="DL83" s="63"/>
      <c r="DM83" s="63"/>
      <c r="DN83" s="63"/>
      <c r="DO83" s="63"/>
      <c r="DP83" s="63"/>
      <c r="DQ83" s="63"/>
      <c r="DR83" s="63"/>
      <c r="DS83" s="63"/>
      <c r="DT83" s="63"/>
      <c r="DU83" s="63"/>
      <c r="DV83" s="63"/>
      <c r="DW83" s="63"/>
      <c r="DX83" s="35"/>
      <c r="DY83" s="35"/>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246"/>
      <c r="FC83" s="246"/>
      <c r="FD83" s="246"/>
      <c r="FE83" s="246"/>
      <c r="FF83" s="263"/>
      <c r="FG83" s="263"/>
      <c r="FH83" s="263"/>
      <c r="FI83" s="263"/>
      <c r="FJ83" s="263"/>
      <c r="FK83" s="263"/>
      <c r="FL83" s="263"/>
      <c r="FM83" s="263"/>
      <c r="FN83" s="263"/>
      <c r="FO83" s="263"/>
      <c r="FP83" s="263"/>
      <c r="FQ83" s="263"/>
      <c r="FR83" s="263"/>
      <c r="FS83" s="263"/>
      <c r="FT83" s="263"/>
      <c r="FU83" s="263"/>
      <c r="FV83" s="263"/>
      <c r="FW83" s="263"/>
      <c r="FX83" s="263"/>
      <c r="FY83" s="263"/>
      <c r="FZ83" s="263"/>
      <c r="GA83" s="263"/>
      <c r="GB83" s="263"/>
      <c r="GC83" s="263"/>
      <c r="GD83" s="263"/>
      <c r="GE83" s="263"/>
      <c r="GF83" s="263"/>
      <c r="GG83" s="263"/>
      <c r="GH83" s="263"/>
      <c r="GI83" s="263"/>
      <c r="GJ83" s="309">
        <v>53</v>
      </c>
      <c r="GK83" s="309" t="s">
        <v>758</v>
      </c>
      <c r="GL83" s="309">
        <v>9</v>
      </c>
      <c r="GM83" s="309" t="s">
        <v>758</v>
      </c>
      <c r="GN83" s="327">
        <v>0.14000000000000001</v>
      </c>
      <c r="GO83" s="327">
        <v>0.5</v>
      </c>
      <c r="GP83" s="327">
        <v>0.36</v>
      </c>
      <c r="GQ83" s="327">
        <v>0</v>
      </c>
      <c r="GR83" s="327">
        <v>0.4</v>
      </c>
      <c r="GS83" s="327">
        <v>0.28000000000000003</v>
      </c>
      <c r="GT83" s="327">
        <v>0.55000000000000004</v>
      </c>
      <c r="GU83" s="327">
        <v>0.14000000000000001</v>
      </c>
      <c r="GV83" s="327">
        <v>0.56000000000000005</v>
      </c>
      <c r="GW83" s="327">
        <v>0.47</v>
      </c>
      <c r="GX83" s="327">
        <v>0.49</v>
      </c>
      <c r="GY83" s="309" t="s">
        <v>173</v>
      </c>
      <c r="GZ83" s="327">
        <v>0.2</v>
      </c>
      <c r="HA83" s="327">
        <v>0.83</v>
      </c>
      <c r="HB83" s="327">
        <v>0.36</v>
      </c>
      <c r="HC83" s="327">
        <v>0.52</v>
      </c>
      <c r="HD83" s="327">
        <v>0.52</v>
      </c>
      <c r="HE83" s="327">
        <v>0.36</v>
      </c>
      <c r="HF83" s="327">
        <v>0.33</v>
      </c>
      <c r="HG83" s="327">
        <v>0.65</v>
      </c>
      <c r="HH83" s="327">
        <v>0.26</v>
      </c>
      <c r="HI83" s="327">
        <v>0.53</v>
      </c>
      <c r="HJ83" s="327">
        <v>0.65</v>
      </c>
      <c r="HK83" s="327">
        <v>0.38</v>
      </c>
      <c r="HL83" s="327">
        <v>0.19</v>
      </c>
      <c r="HM83" s="327">
        <v>0.47</v>
      </c>
      <c r="HN83" s="327">
        <v>0.44</v>
      </c>
      <c r="HO83" s="327">
        <v>0.26</v>
      </c>
      <c r="HP83" s="309" t="s">
        <v>173</v>
      </c>
      <c r="HQ83" s="327">
        <v>0.35</v>
      </c>
      <c r="HR83" s="424">
        <v>48</v>
      </c>
      <c r="HS83" s="424" t="s">
        <v>758</v>
      </c>
      <c r="HT83" s="424">
        <v>10</v>
      </c>
      <c r="HU83" s="424" t="s">
        <v>758</v>
      </c>
      <c r="HV83" s="428">
        <v>0.15</v>
      </c>
      <c r="HW83" s="428">
        <v>0.65</v>
      </c>
      <c r="HX83" s="428">
        <v>0.2</v>
      </c>
      <c r="HY83" s="428">
        <v>0</v>
      </c>
      <c r="HZ83" s="428">
        <v>0.47</v>
      </c>
      <c r="IA83" s="428">
        <v>0.56000000000000005</v>
      </c>
      <c r="IB83" s="428">
        <v>0.62</v>
      </c>
      <c r="IC83" s="428">
        <v>0.56999999999999995</v>
      </c>
      <c r="ID83" s="428">
        <v>0.7</v>
      </c>
      <c r="IE83" s="428">
        <v>0.35</v>
      </c>
      <c r="IF83" s="428">
        <v>0.47</v>
      </c>
      <c r="IG83" s="428">
        <v>0.65</v>
      </c>
      <c r="IH83" s="428">
        <v>0.48</v>
      </c>
      <c r="II83" s="428">
        <v>0.71</v>
      </c>
      <c r="IJ83" s="428">
        <v>0.27</v>
      </c>
      <c r="IK83" s="428">
        <v>0.56999999999999995</v>
      </c>
      <c r="IL83" s="428">
        <v>0.2</v>
      </c>
      <c r="IM83" s="428">
        <v>0.6</v>
      </c>
      <c r="IN83" s="428">
        <v>0.47</v>
      </c>
      <c r="IO83" s="428">
        <v>0.61</v>
      </c>
      <c r="IP83" s="428">
        <v>0.37</v>
      </c>
      <c r="IQ83" s="428">
        <v>0.69</v>
      </c>
      <c r="IR83" s="428">
        <v>0.57999999999999996</v>
      </c>
      <c r="IS83" s="428">
        <v>0.5</v>
      </c>
      <c r="IT83" s="428">
        <v>0.61</v>
      </c>
      <c r="IU83" s="424" t="s">
        <v>173</v>
      </c>
      <c r="IV83" s="428">
        <v>0.6</v>
      </c>
      <c r="IW83" s="428">
        <v>0.67</v>
      </c>
      <c r="IX83" s="428">
        <v>0.42</v>
      </c>
      <c r="IY83" s="428">
        <v>0.6</v>
      </c>
      <c r="IZ83" s="464">
        <v>51</v>
      </c>
      <c r="JA83" s="464" t="s">
        <v>758</v>
      </c>
      <c r="JB83" s="464">
        <v>11</v>
      </c>
      <c r="JC83" s="464" t="s">
        <v>758</v>
      </c>
      <c r="JD83" s="476">
        <v>0.25</v>
      </c>
      <c r="JE83" s="476">
        <v>0.3</v>
      </c>
      <c r="JF83" s="476">
        <v>0.45</v>
      </c>
      <c r="JG83" s="476">
        <v>0</v>
      </c>
      <c r="JH83" s="476">
        <v>0.54</v>
      </c>
      <c r="JI83" s="476">
        <v>0.38</v>
      </c>
      <c r="JJ83" s="476">
        <v>0.53</v>
      </c>
      <c r="JK83" s="476">
        <v>0.47</v>
      </c>
      <c r="JL83" s="476">
        <v>0.47</v>
      </c>
      <c r="JM83" s="476">
        <v>0.43</v>
      </c>
      <c r="JN83" s="476">
        <v>0.56000000000000005</v>
      </c>
      <c r="JO83" s="476">
        <v>0.48</v>
      </c>
      <c r="JP83" s="476">
        <v>0.51</v>
      </c>
      <c r="JQ83" s="476">
        <v>0.31</v>
      </c>
      <c r="JR83" s="476">
        <v>0.67</v>
      </c>
      <c r="JS83" s="476">
        <v>0.5</v>
      </c>
      <c r="JT83" s="476">
        <v>0.39</v>
      </c>
      <c r="JU83" s="476">
        <v>0.39</v>
      </c>
      <c r="JV83" s="476">
        <v>0.48</v>
      </c>
      <c r="JW83" s="476">
        <v>0.52</v>
      </c>
      <c r="JX83" s="476">
        <v>0.22</v>
      </c>
      <c r="JY83" s="476">
        <v>0.5</v>
      </c>
      <c r="JZ83" s="476">
        <v>0.49</v>
      </c>
      <c r="KA83" s="476">
        <v>0.56000000000000005</v>
      </c>
      <c r="KB83" s="476">
        <v>0.47</v>
      </c>
      <c r="KC83" s="476">
        <v>0.78</v>
      </c>
      <c r="KD83" s="476">
        <v>0.38</v>
      </c>
      <c r="KE83" s="476">
        <v>0.44</v>
      </c>
      <c r="KF83" s="476">
        <v>0.42</v>
      </c>
      <c r="KG83" s="476">
        <v>0.63</v>
      </c>
      <c r="KH83" s="971">
        <v>51</v>
      </c>
      <c r="KI83" s="971" t="s">
        <v>758</v>
      </c>
      <c r="KJ83" s="971">
        <v>9</v>
      </c>
      <c r="KK83" s="971" t="s">
        <v>758</v>
      </c>
      <c r="KL83" s="949">
        <v>0.13</v>
      </c>
      <c r="KM83" s="949">
        <v>0.56000000000000005</v>
      </c>
      <c r="KN83" s="949">
        <v>0.31</v>
      </c>
      <c r="KO83" s="949">
        <v>0</v>
      </c>
      <c r="KP83" s="949">
        <v>0.56000000000000005</v>
      </c>
      <c r="KQ83" s="949">
        <v>0.3</v>
      </c>
      <c r="KR83" s="949">
        <v>0.51</v>
      </c>
      <c r="KS83" s="949">
        <v>0.49</v>
      </c>
      <c r="KT83" s="949">
        <v>0.62</v>
      </c>
      <c r="KU83" s="949">
        <v>0.44</v>
      </c>
      <c r="KV83" s="949">
        <v>0.62</v>
      </c>
      <c r="KW83" s="949">
        <v>0.33</v>
      </c>
      <c r="KX83" s="949">
        <v>0.36</v>
      </c>
      <c r="KY83" s="949">
        <v>0.6</v>
      </c>
      <c r="KZ83" s="949">
        <v>0.35</v>
      </c>
      <c r="LA83" s="949">
        <v>0.43</v>
      </c>
      <c r="LB83" s="949">
        <v>0.56000000000000005</v>
      </c>
      <c r="LC83" s="949">
        <v>0.37</v>
      </c>
      <c r="LD83" s="949">
        <v>0.56000000000000005</v>
      </c>
      <c r="LE83" s="949">
        <v>0.63</v>
      </c>
      <c r="LF83" s="949">
        <v>0.26</v>
      </c>
      <c r="LG83" s="949">
        <v>0.67</v>
      </c>
      <c r="LH83" s="949">
        <v>0.54</v>
      </c>
      <c r="LI83" s="949">
        <v>0.6</v>
      </c>
      <c r="LJ83" s="949">
        <v>0.5</v>
      </c>
      <c r="LK83" s="949">
        <v>0.62</v>
      </c>
      <c r="LL83" s="949" t="s">
        <v>173</v>
      </c>
      <c r="LM83" s="949">
        <v>0.59</v>
      </c>
      <c r="LN83" s="949">
        <v>0.2</v>
      </c>
      <c r="LO83" s="949">
        <v>0.28999999999999998</v>
      </c>
      <c r="LP83" s="922">
        <v>325754004335</v>
      </c>
      <c r="LQ83" s="126" t="s">
        <v>800</v>
      </c>
      <c r="LR83" s="424">
        <v>48</v>
      </c>
      <c r="LS83" s="971">
        <v>51</v>
      </c>
      <c r="LT83" s="946"/>
    </row>
    <row r="84" spans="1:332" ht="24.95" customHeight="1" x14ac:dyDescent="0.2">
      <c r="A84" s="126" t="s">
        <v>957</v>
      </c>
      <c r="B84" s="14" t="s">
        <v>123</v>
      </c>
      <c r="C84" s="813">
        <v>4</v>
      </c>
      <c r="D84" s="813"/>
      <c r="E84" s="813"/>
      <c r="F84" s="813"/>
      <c r="G84" s="813"/>
      <c r="H84" s="813"/>
      <c r="I84" s="813"/>
      <c r="J84" s="813"/>
      <c r="K84" s="813"/>
      <c r="L84" s="813"/>
      <c r="M84" s="813"/>
      <c r="N84" s="813"/>
      <c r="O84" s="813"/>
      <c r="P84" s="813"/>
      <c r="Q84" s="813"/>
      <c r="R84" s="813"/>
      <c r="S84" s="813"/>
      <c r="T84" s="813"/>
      <c r="U84" s="813"/>
      <c r="V84" s="813"/>
      <c r="W84" s="813"/>
      <c r="X84" s="813"/>
      <c r="Y84" s="813"/>
      <c r="Z84" s="813"/>
      <c r="AA84" s="813"/>
      <c r="AB84" s="813"/>
      <c r="AC84" s="813"/>
      <c r="AD84" s="813"/>
      <c r="AE84" s="813"/>
      <c r="AF84" s="813"/>
      <c r="AG84" s="813"/>
      <c r="AH84" s="813"/>
      <c r="AI84" s="813"/>
      <c r="AJ84" s="813"/>
      <c r="AK84" s="813"/>
      <c r="AL84" s="813"/>
      <c r="AM84" s="813"/>
      <c r="AN84" s="813"/>
      <c r="AO84" s="813"/>
      <c r="AP84" s="813"/>
      <c r="AQ84" s="813"/>
      <c r="AR84" s="813"/>
      <c r="AS84" s="813"/>
      <c r="AT84" s="813"/>
      <c r="AU84" s="813"/>
      <c r="AV84" s="813"/>
      <c r="AW84" s="813"/>
      <c r="AX84" s="813"/>
      <c r="AY84" s="813"/>
      <c r="AZ84" s="813"/>
      <c r="BA84" s="813"/>
      <c r="BB84" s="813"/>
      <c r="BC84" s="813"/>
      <c r="BD84" s="813"/>
      <c r="BE84" s="813"/>
      <c r="BF84" s="813"/>
      <c r="BG84" s="813"/>
      <c r="BH84" s="813"/>
      <c r="BI84" s="813"/>
      <c r="BJ84" s="813"/>
      <c r="BK84" s="813"/>
      <c r="BL84" s="813"/>
      <c r="BM84" s="813"/>
      <c r="BN84" s="813"/>
      <c r="BO84" s="813"/>
      <c r="BP84" s="813"/>
      <c r="BQ84" s="813"/>
      <c r="BR84" s="813"/>
      <c r="BS84" s="813"/>
      <c r="BT84" s="813"/>
      <c r="BU84" s="813"/>
      <c r="BV84" s="813"/>
      <c r="BW84" s="813"/>
      <c r="BX84" s="813"/>
      <c r="BY84" s="813"/>
      <c r="BZ84" s="813"/>
      <c r="CA84" s="813"/>
      <c r="CB84" s="813"/>
      <c r="CC84" s="813"/>
      <c r="CD84" s="813"/>
      <c r="CE84" s="813"/>
      <c r="CF84" s="813"/>
      <c r="CG84" s="813"/>
      <c r="CH84" s="813"/>
      <c r="CI84" s="813"/>
      <c r="CJ84" s="813"/>
      <c r="CK84" s="813"/>
      <c r="CL84" s="813"/>
      <c r="CM84" s="813"/>
      <c r="CN84" s="813"/>
      <c r="CO84" s="813"/>
      <c r="CP84" s="813"/>
      <c r="CQ84" s="813"/>
      <c r="CR84" s="813"/>
      <c r="CS84" s="813"/>
      <c r="CT84" s="813"/>
      <c r="CU84" s="813"/>
      <c r="CV84" s="813"/>
      <c r="CW84" s="813"/>
      <c r="CX84" s="813"/>
      <c r="CY84" s="813"/>
      <c r="CZ84" s="813"/>
      <c r="DA84" s="813"/>
      <c r="DB84" s="813"/>
      <c r="DC84" s="813"/>
      <c r="DD84" s="813"/>
      <c r="DE84" s="813"/>
      <c r="DF84" s="813"/>
      <c r="DG84" s="813"/>
      <c r="DH84" s="813"/>
      <c r="DI84" s="813"/>
      <c r="DJ84" s="813"/>
      <c r="DK84" s="813"/>
      <c r="DL84" s="813"/>
      <c r="DM84" s="813"/>
      <c r="DN84" s="813"/>
      <c r="DO84" s="813"/>
      <c r="DP84" s="813"/>
      <c r="DQ84" s="813"/>
      <c r="DR84" s="813"/>
      <c r="DS84" s="813"/>
      <c r="DT84" s="813"/>
      <c r="DU84" s="813"/>
      <c r="DV84" s="813"/>
      <c r="DW84" s="813"/>
      <c r="DX84" s="813"/>
      <c r="DY84" s="813"/>
      <c r="DZ84" s="813"/>
      <c r="EA84" s="813"/>
      <c r="EB84" s="813"/>
      <c r="EC84" s="813"/>
      <c r="ED84" s="813"/>
      <c r="EE84" s="813"/>
      <c r="EF84" s="813"/>
      <c r="EG84" s="813"/>
      <c r="EH84" s="813"/>
      <c r="EI84" s="813"/>
      <c r="EJ84" s="813"/>
      <c r="EK84" s="813"/>
      <c r="EL84" s="813"/>
      <c r="EM84" s="813"/>
      <c r="EN84" s="813"/>
      <c r="EO84" s="813"/>
      <c r="EP84" s="813"/>
      <c r="EQ84" s="813"/>
      <c r="ER84" s="813"/>
      <c r="ES84" s="813"/>
      <c r="ET84" s="813"/>
      <c r="EU84" s="813"/>
      <c r="EV84" s="813"/>
      <c r="EW84" s="813"/>
      <c r="EX84" s="813"/>
      <c r="EY84" s="813"/>
      <c r="EZ84" s="813"/>
      <c r="FA84" s="813"/>
      <c r="FB84" s="813"/>
      <c r="FC84" s="813"/>
      <c r="FD84" s="813"/>
      <c r="FE84" s="813"/>
      <c r="FF84" s="813"/>
      <c r="FG84" s="813"/>
      <c r="FH84" s="813"/>
      <c r="FI84" s="813"/>
      <c r="FJ84" s="813"/>
      <c r="FK84" s="813"/>
      <c r="FL84" s="813"/>
      <c r="FM84" s="813"/>
      <c r="FN84" s="813"/>
      <c r="FO84" s="813"/>
      <c r="FP84" s="813"/>
      <c r="FQ84" s="813"/>
      <c r="FR84" s="813"/>
      <c r="FS84" s="813"/>
      <c r="FT84" s="813"/>
      <c r="FU84" s="813"/>
      <c r="FV84" s="813"/>
      <c r="FW84" s="813"/>
      <c r="FX84" s="813"/>
      <c r="FY84" s="813"/>
      <c r="FZ84" s="813"/>
      <c r="GA84" s="813"/>
      <c r="GB84" s="813"/>
      <c r="GC84" s="813"/>
      <c r="GD84" s="813"/>
      <c r="GE84" s="813"/>
      <c r="GF84" s="813"/>
      <c r="GG84" s="813"/>
      <c r="GH84" s="813"/>
      <c r="GI84" s="813"/>
      <c r="GJ84" s="813"/>
      <c r="GK84" s="813"/>
      <c r="GL84" s="813"/>
      <c r="GM84" s="813"/>
      <c r="GN84" s="813"/>
      <c r="GO84" s="813"/>
      <c r="GP84" s="813"/>
      <c r="GQ84" s="813"/>
      <c r="GR84" s="813"/>
      <c r="GS84" s="813"/>
      <c r="GT84" s="813"/>
      <c r="GU84" s="813"/>
      <c r="GV84" s="813"/>
      <c r="GW84" s="813"/>
      <c r="GX84" s="813"/>
      <c r="GY84" s="813"/>
      <c r="GZ84" s="813"/>
      <c r="HA84" s="813"/>
      <c r="HB84" s="813"/>
      <c r="HC84" s="813"/>
      <c r="HD84" s="813"/>
      <c r="HE84" s="813"/>
      <c r="HF84" s="813"/>
      <c r="HG84" s="813"/>
      <c r="HH84" s="813"/>
      <c r="HI84" s="813"/>
      <c r="HJ84" s="813"/>
      <c r="HK84" s="813"/>
      <c r="HL84" s="813"/>
      <c r="HM84" s="813"/>
      <c r="HN84" s="813"/>
      <c r="HO84" s="813"/>
      <c r="HP84" s="813"/>
      <c r="HQ84" s="813"/>
      <c r="HR84" s="813"/>
      <c r="HS84" s="813"/>
      <c r="HT84" s="813"/>
      <c r="HU84" s="813"/>
      <c r="HV84" s="813"/>
      <c r="HW84" s="813"/>
      <c r="HX84" s="813"/>
      <c r="HY84" s="813"/>
      <c r="HZ84" s="813"/>
      <c r="IA84" s="813"/>
      <c r="IB84" s="813"/>
      <c r="IC84" s="813"/>
      <c r="ID84" s="813"/>
      <c r="IE84" s="813"/>
      <c r="IF84" s="813"/>
      <c r="IG84" s="813"/>
      <c r="IH84" s="813"/>
      <c r="II84" s="813"/>
      <c r="IJ84" s="813"/>
      <c r="IK84" s="813"/>
      <c r="IL84" s="813"/>
      <c r="IM84" s="813"/>
      <c r="IN84" s="813"/>
      <c r="IO84" s="813"/>
      <c r="IP84" s="813"/>
      <c r="IQ84" s="813"/>
      <c r="IR84" s="813"/>
      <c r="IS84" s="813"/>
      <c r="IT84" s="813"/>
      <c r="IU84" s="813"/>
      <c r="IV84" s="813"/>
      <c r="IW84" s="813"/>
      <c r="IX84" s="813"/>
      <c r="IY84" s="813"/>
      <c r="IZ84" s="813"/>
      <c r="JA84" s="813"/>
      <c r="JB84" s="813"/>
      <c r="JC84" s="813"/>
      <c r="JD84" s="813"/>
      <c r="JE84" s="813"/>
      <c r="JF84" s="813"/>
      <c r="JG84" s="813"/>
      <c r="JH84" s="813"/>
      <c r="JI84" s="813"/>
      <c r="JJ84" s="813"/>
      <c r="JK84" s="813"/>
      <c r="JL84" s="813"/>
      <c r="JM84" s="813"/>
      <c r="JN84" s="813"/>
      <c r="JO84" s="813"/>
      <c r="JP84" s="813"/>
      <c r="JQ84" s="813"/>
      <c r="JR84" s="813"/>
      <c r="JS84" s="813"/>
      <c r="JT84" s="813"/>
      <c r="JU84" s="813"/>
      <c r="JV84" s="813"/>
      <c r="JW84" s="813"/>
      <c r="JX84" s="813"/>
      <c r="JY84" s="813"/>
      <c r="JZ84" s="813"/>
      <c r="KA84" s="813"/>
      <c r="KB84" s="813"/>
      <c r="KC84" s="813"/>
      <c r="KD84" s="813"/>
      <c r="KE84" s="813"/>
      <c r="KF84" s="813"/>
      <c r="KG84" s="813"/>
      <c r="KH84" s="971"/>
      <c r="KI84" s="971"/>
      <c r="KJ84" s="971"/>
      <c r="KK84" s="971"/>
      <c r="KL84" s="949"/>
      <c r="KM84" s="949"/>
      <c r="KN84" s="949"/>
      <c r="KO84" s="949"/>
      <c r="KP84" s="949"/>
      <c r="KQ84" s="949"/>
      <c r="KR84" s="949"/>
      <c r="KS84" s="949"/>
      <c r="KT84" s="949"/>
      <c r="KU84" s="949"/>
      <c r="KV84" s="949"/>
      <c r="KW84" s="949"/>
      <c r="KX84" s="949"/>
      <c r="KY84" s="949"/>
      <c r="KZ84" s="949"/>
      <c r="LA84" s="949"/>
      <c r="LB84" s="949"/>
      <c r="LC84" s="949"/>
      <c r="LD84" s="949"/>
      <c r="LE84" s="949"/>
      <c r="LF84" s="949"/>
      <c r="LG84" s="949"/>
      <c r="LH84" s="949"/>
      <c r="LI84" s="949"/>
      <c r="LJ84" s="949"/>
      <c r="LK84" s="949"/>
      <c r="LL84" s="949"/>
      <c r="LM84" s="949"/>
      <c r="LN84" s="949"/>
      <c r="LO84" s="949"/>
      <c r="LP84" s="922"/>
      <c r="LQ84" s="126" t="s">
        <v>957</v>
      </c>
      <c r="LR84" s="813"/>
      <c r="LS84" s="971"/>
      <c r="LT84" s="946"/>
    </row>
    <row r="85" spans="1:332" ht="24.95" customHeight="1" x14ac:dyDescent="0.2">
      <c r="A85" s="126" t="s">
        <v>63</v>
      </c>
      <c r="B85" s="1" t="s">
        <v>123</v>
      </c>
      <c r="C85" s="2">
        <v>6</v>
      </c>
      <c r="D85" s="12">
        <v>57</v>
      </c>
      <c r="E85" s="12">
        <v>4</v>
      </c>
      <c r="F85" s="66">
        <v>0</v>
      </c>
      <c r="G85" s="66">
        <v>0.4</v>
      </c>
      <c r="H85" s="66">
        <v>0.6</v>
      </c>
      <c r="I85" s="66">
        <v>0</v>
      </c>
      <c r="J85" s="66">
        <v>0.17</v>
      </c>
      <c r="K85" s="66">
        <v>0.18</v>
      </c>
      <c r="L85" s="66">
        <v>0.77</v>
      </c>
      <c r="M85" s="66">
        <v>0.12</v>
      </c>
      <c r="N85" s="66">
        <v>0.22</v>
      </c>
      <c r="O85" s="66">
        <v>0.47</v>
      </c>
      <c r="P85" s="66">
        <v>0.19</v>
      </c>
      <c r="Q85" s="66">
        <v>0.41</v>
      </c>
      <c r="R85" s="66">
        <v>0.42</v>
      </c>
      <c r="S85" s="66">
        <v>0.53</v>
      </c>
      <c r="T85" s="66">
        <v>0.48</v>
      </c>
      <c r="U85" s="66">
        <v>0.44</v>
      </c>
      <c r="V85" s="66">
        <v>0.17</v>
      </c>
      <c r="W85" s="66">
        <v>0</v>
      </c>
      <c r="X85" s="66">
        <v>0.57999999999999996</v>
      </c>
      <c r="Y85" s="66">
        <v>0.36</v>
      </c>
      <c r="Z85" s="66">
        <v>1</v>
      </c>
      <c r="AA85" s="66">
        <v>0</v>
      </c>
      <c r="AB85" s="66">
        <v>0.45</v>
      </c>
      <c r="AC85" s="66">
        <v>0.38</v>
      </c>
      <c r="AD85" s="66">
        <v>0.51</v>
      </c>
      <c r="AE85" s="66">
        <v>0.33</v>
      </c>
      <c r="AF85" s="66">
        <v>0.45</v>
      </c>
      <c r="AG85" s="66">
        <v>0.36</v>
      </c>
      <c r="AH85" s="12">
        <v>48</v>
      </c>
      <c r="AI85" s="12">
        <v>8</v>
      </c>
      <c r="AJ85" s="40">
        <v>0.24</v>
      </c>
      <c r="AK85" s="40">
        <v>0.53</v>
      </c>
      <c r="AL85" s="40">
        <v>0.24</v>
      </c>
      <c r="AM85" s="40">
        <v>0</v>
      </c>
      <c r="AN85" s="40">
        <v>0.33</v>
      </c>
      <c r="AO85" s="40">
        <v>0.53</v>
      </c>
      <c r="AP85" s="40">
        <v>0.85</v>
      </c>
      <c r="AQ85" s="40">
        <v>0.49</v>
      </c>
      <c r="AR85" s="40">
        <v>0.41</v>
      </c>
      <c r="AS85" s="40">
        <v>0.63</v>
      </c>
      <c r="AT85" s="40">
        <v>0.72</v>
      </c>
      <c r="AU85" s="40">
        <v>0.67</v>
      </c>
      <c r="AV85" s="40">
        <v>0.69</v>
      </c>
      <c r="AW85" s="40">
        <v>0.82</v>
      </c>
      <c r="AX85" s="40">
        <v>0.81</v>
      </c>
      <c r="AY85" s="40">
        <v>0.35</v>
      </c>
      <c r="AZ85" s="40">
        <v>0.56000000000000005</v>
      </c>
      <c r="BA85" s="40">
        <v>0.46</v>
      </c>
      <c r="BB85" s="40">
        <v>0.77</v>
      </c>
      <c r="BC85" s="40">
        <v>0.73</v>
      </c>
      <c r="BD85" s="40">
        <v>0.49</v>
      </c>
      <c r="BE85" s="40">
        <v>0.71</v>
      </c>
      <c r="BF85" s="40">
        <v>0.83</v>
      </c>
      <c r="BG85" s="40">
        <v>0.5</v>
      </c>
      <c r="BH85" s="40">
        <v>0.48</v>
      </c>
      <c r="BI85" s="40">
        <v>0.48</v>
      </c>
      <c r="BJ85" s="40">
        <v>0.39</v>
      </c>
      <c r="BK85" s="40">
        <v>0.48</v>
      </c>
      <c r="BL85" s="40">
        <v>0.38</v>
      </c>
      <c r="BM85" s="12">
        <v>50</v>
      </c>
      <c r="BN85" s="12">
        <v>7</v>
      </c>
      <c r="BO85" s="66">
        <v>0.09</v>
      </c>
      <c r="BP85" s="66">
        <v>0.64</v>
      </c>
      <c r="BQ85" s="66">
        <v>0.27</v>
      </c>
      <c r="BR85" s="66">
        <v>0</v>
      </c>
      <c r="BS85" s="66">
        <v>0.28000000000000003</v>
      </c>
      <c r="BT85" s="66">
        <v>0.63</v>
      </c>
      <c r="BU85" s="66">
        <v>0.5</v>
      </c>
      <c r="BV85" s="66">
        <v>0.43</v>
      </c>
      <c r="BW85" s="66">
        <v>0.55000000000000004</v>
      </c>
      <c r="BX85" s="66">
        <v>0.28000000000000003</v>
      </c>
      <c r="BY85" s="66">
        <v>0.48</v>
      </c>
      <c r="BZ85" s="66">
        <v>0.53</v>
      </c>
      <c r="CA85" s="66">
        <v>0.3</v>
      </c>
      <c r="CB85" s="66">
        <v>0.35</v>
      </c>
      <c r="CC85" s="66">
        <v>0.28000000000000003</v>
      </c>
      <c r="CD85" s="66">
        <v>0.25</v>
      </c>
      <c r="CE85" s="66">
        <v>0.35</v>
      </c>
      <c r="CF85" s="66">
        <v>0.82</v>
      </c>
      <c r="CG85" s="66">
        <v>0.93</v>
      </c>
      <c r="CH85" s="66">
        <v>0.53</v>
      </c>
      <c r="CI85" s="66">
        <v>0.6</v>
      </c>
      <c r="CJ85" s="66">
        <v>0.17</v>
      </c>
      <c r="CK85" s="66">
        <v>0.74</v>
      </c>
      <c r="CL85" s="66">
        <v>0.28999999999999998</v>
      </c>
      <c r="CM85" s="66">
        <v>0.46</v>
      </c>
      <c r="CN85" s="66">
        <v>0.55000000000000004</v>
      </c>
      <c r="CO85" s="66">
        <v>0.27</v>
      </c>
      <c r="CP85" s="66">
        <v>0.28999999999999998</v>
      </c>
      <c r="CQ85" s="66">
        <v>0.54</v>
      </c>
      <c r="CR85" s="66">
        <v>0.57999999999999996</v>
      </c>
      <c r="CS85" s="12">
        <v>55</v>
      </c>
      <c r="CT85" s="12">
        <v>8</v>
      </c>
      <c r="CU85" s="63">
        <v>0</v>
      </c>
      <c r="CV85" s="63">
        <v>0.56000000000000005</v>
      </c>
      <c r="CW85" s="63">
        <v>0.38</v>
      </c>
      <c r="CX85" s="63">
        <v>0.06</v>
      </c>
      <c r="CY85" s="63">
        <v>0.5</v>
      </c>
      <c r="CZ85" s="63">
        <v>0.22</v>
      </c>
      <c r="DA85" s="63">
        <v>0.38</v>
      </c>
      <c r="DB85" s="63">
        <v>0.12</v>
      </c>
      <c r="DC85" s="63">
        <v>0.38</v>
      </c>
      <c r="DD85" s="63">
        <v>0.71</v>
      </c>
      <c r="DE85" s="63">
        <v>0.45</v>
      </c>
      <c r="DF85" s="63">
        <v>0.43</v>
      </c>
      <c r="DG85" s="63">
        <v>0.41</v>
      </c>
      <c r="DH85" s="63">
        <v>0.39</v>
      </c>
      <c r="DI85" s="63">
        <v>0.42</v>
      </c>
      <c r="DJ85" s="63">
        <v>0.36</v>
      </c>
      <c r="DK85" s="63">
        <v>0.36</v>
      </c>
      <c r="DL85" s="63">
        <v>0.38</v>
      </c>
      <c r="DM85" s="63">
        <v>0.45</v>
      </c>
      <c r="DN85" s="63">
        <v>0.38</v>
      </c>
      <c r="DO85" s="63">
        <v>0.5</v>
      </c>
      <c r="DP85" s="63">
        <v>0.23</v>
      </c>
      <c r="DQ85" s="63">
        <v>0.44</v>
      </c>
      <c r="DR85" s="63">
        <v>0.09</v>
      </c>
      <c r="DS85" s="63">
        <v>0.31</v>
      </c>
      <c r="DT85" s="63">
        <v>0.67</v>
      </c>
      <c r="DU85" s="63">
        <v>0.5</v>
      </c>
      <c r="DV85" s="63">
        <v>0.44</v>
      </c>
      <c r="DW85" s="63">
        <v>0.33</v>
      </c>
      <c r="DX85" s="35">
        <v>50</v>
      </c>
      <c r="DY85" s="35">
        <v>9</v>
      </c>
      <c r="DZ85" s="40">
        <v>0.05</v>
      </c>
      <c r="EA85" s="40">
        <v>0.57999999999999996</v>
      </c>
      <c r="EB85" s="40">
        <v>0.37</v>
      </c>
      <c r="EC85" s="40">
        <v>0</v>
      </c>
      <c r="ED85" s="40">
        <v>0.46</v>
      </c>
      <c r="EE85" s="40">
        <v>0.62</v>
      </c>
      <c r="EF85" s="40">
        <v>0.34</v>
      </c>
      <c r="EG85" s="40">
        <v>0.3</v>
      </c>
      <c r="EH85" s="40">
        <v>0.47</v>
      </c>
      <c r="EI85" s="40">
        <v>0.5</v>
      </c>
      <c r="EJ85" s="40">
        <v>0.5</v>
      </c>
      <c r="EK85" s="40">
        <v>0.26</v>
      </c>
      <c r="EL85" s="40">
        <v>0.5</v>
      </c>
      <c r="EM85" s="40">
        <v>0.9</v>
      </c>
      <c r="EN85" s="40">
        <v>0.3</v>
      </c>
      <c r="EO85" s="40">
        <v>0.55000000000000004</v>
      </c>
      <c r="EP85" s="40">
        <v>0.41</v>
      </c>
      <c r="EQ85" s="40">
        <v>0.24</v>
      </c>
      <c r="ER85" s="40">
        <v>0.56999999999999995</v>
      </c>
      <c r="ES85" s="40">
        <v>0.47</v>
      </c>
      <c r="ET85" s="40">
        <v>0.3</v>
      </c>
      <c r="EU85" s="40">
        <v>0.56000000000000005</v>
      </c>
      <c r="EV85" s="40">
        <v>0.33</v>
      </c>
      <c r="EW85" s="40">
        <v>0.42</v>
      </c>
      <c r="EX85" s="40">
        <v>0.63</v>
      </c>
      <c r="EY85" s="40">
        <v>0.51</v>
      </c>
      <c r="EZ85" s="40">
        <v>0.1</v>
      </c>
      <c r="FA85" s="40">
        <v>0.65</v>
      </c>
      <c r="FB85" s="246">
        <v>53</v>
      </c>
      <c r="FC85" s="246" t="s">
        <v>758</v>
      </c>
      <c r="FD85" s="246">
        <v>9</v>
      </c>
      <c r="FE85" s="246" t="s">
        <v>758</v>
      </c>
      <c r="FF85" s="263">
        <v>0.08</v>
      </c>
      <c r="FG85" s="263">
        <v>0.62</v>
      </c>
      <c r="FH85" s="263">
        <v>0.23</v>
      </c>
      <c r="FI85" s="263">
        <v>0.08</v>
      </c>
      <c r="FJ85" s="263">
        <v>0.43</v>
      </c>
      <c r="FK85" s="263">
        <v>0.59</v>
      </c>
      <c r="FL85" s="263">
        <v>0.44</v>
      </c>
      <c r="FM85" s="263">
        <v>0.47</v>
      </c>
      <c r="FN85" s="263">
        <v>0.36</v>
      </c>
      <c r="FO85" s="263">
        <v>0.22</v>
      </c>
      <c r="FP85" s="263">
        <v>0.44</v>
      </c>
      <c r="FQ85" s="263">
        <v>0.48</v>
      </c>
      <c r="FR85" s="263">
        <v>0.53</v>
      </c>
      <c r="FS85" s="263">
        <v>0.53</v>
      </c>
      <c r="FT85" s="263">
        <v>0.48</v>
      </c>
      <c r="FU85" s="263">
        <v>0.44</v>
      </c>
      <c r="FV85" s="263">
        <v>0.63</v>
      </c>
      <c r="FW85" s="263">
        <v>0.44</v>
      </c>
      <c r="FX85" s="263">
        <v>0.17</v>
      </c>
      <c r="FY85" s="263">
        <v>0.43</v>
      </c>
      <c r="FZ85" s="263">
        <v>0.19</v>
      </c>
      <c r="GA85" s="263">
        <v>0.37</v>
      </c>
      <c r="GB85" s="263">
        <v>0.38</v>
      </c>
      <c r="GC85" s="263">
        <v>0.36</v>
      </c>
      <c r="GD85" s="263">
        <v>0.48</v>
      </c>
      <c r="GE85" s="263">
        <v>0.42</v>
      </c>
      <c r="GF85" s="263">
        <v>0.53</v>
      </c>
      <c r="GG85" s="263">
        <v>0.44</v>
      </c>
      <c r="GH85" s="263">
        <v>0.64</v>
      </c>
      <c r="GI85" s="263">
        <v>0.14000000000000001</v>
      </c>
      <c r="GJ85" s="309">
        <v>46</v>
      </c>
      <c r="GK85" s="309" t="s">
        <v>758</v>
      </c>
      <c r="GL85" s="309">
        <v>10</v>
      </c>
      <c r="GM85" s="309" t="s">
        <v>758</v>
      </c>
      <c r="GN85" s="327">
        <v>0.4</v>
      </c>
      <c r="GO85" s="327">
        <v>0.5</v>
      </c>
      <c r="GP85" s="327">
        <v>0.1</v>
      </c>
      <c r="GQ85" s="327">
        <v>0</v>
      </c>
      <c r="GR85" s="327">
        <v>0.53</v>
      </c>
      <c r="GS85" s="327">
        <v>0.5</v>
      </c>
      <c r="GT85" s="327">
        <v>0.75</v>
      </c>
      <c r="GU85" s="327">
        <v>0.75</v>
      </c>
      <c r="GV85" s="327">
        <v>0.5</v>
      </c>
      <c r="GW85" s="327">
        <v>0.6</v>
      </c>
      <c r="GX85" s="327">
        <v>0.59</v>
      </c>
      <c r="GY85" s="309" t="s">
        <v>173</v>
      </c>
      <c r="GZ85" s="327">
        <v>0.28999999999999998</v>
      </c>
      <c r="HA85" s="327">
        <v>1</v>
      </c>
      <c r="HB85" s="327">
        <v>0.55000000000000004</v>
      </c>
      <c r="HC85" s="327">
        <v>0.75</v>
      </c>
      <c r="HD85" s="327">
        <v>0.57999999999999996</v>
      </c>
      <c r="HE85" s="327">
        <v>0.4</v>
      </c>
      <c r="HF85" s="327">
        <v>0.56000000000000005</v>
      </c>
      <c r="HG85" s="327">
        <v>0.71</v>
      </c>
      <c r="HH85" s="327">
        <v>0.55000000000000004</v>
      </c>
      <c r="HI85" s="327">
        <v>0.69</v>
      </c>
      <c r="HJ85" s="327">
        <v>0.76</v>
      </c>
      <c r="HK85" s="327">
        <v>0.72</v>
      </c>
      <c r="HL85" s="327">
        <v>0.52</v>
      </c>
      <c r="HM85" s="327">
        <v>0.5</v>
      </c>
      <c r="HN85" s="327">
        <v>0.53</v>
      </c>
      <c r="HO85" s="327">
        <v>0.59</v>
      </c>
      <c r="HP85" s="309" t="s">
        <v>173</v>
      </c>
      <c r="HQ85" s="327">
        <v>0.43</v>
      </c>
      <c r="HR85" s="424">
        <v>56</v>
      </c>
      <c r="HS85" s="424" t="s">
        <v>758</v>
      </c>
      <c r="HT85" s="424">
        <v>7</v>
      </c>
      <c r="HU85" s="424" t="s">
        <v>758</v>
      </c>
      <c r="HV85" s="428">
        <v>0</v>
      </c>
      <c r="HW85" s="428">
        <v>0.44</v>
      </c>
      <c r="HX85" s="428">
        <v>0.56000000000000005</v>
      </c>
      <c r="HY85" s="428">
        <v>0</v>
      </c>
      <c r="HZ85" s="428">
        <v>0.16</v>
      </c>
      <c r="IA85" s="428">
        <v>0.24</v>
      </c>
      <c r="IB85" s="428">
        <v>0.4</v>
      </c>
      <c r="IC85" s="428">
        <v>0.42</v>
      </c>
      <c r="ID85" s="428">
        <v>0.42</v>
      </c>
      <c r="IE85" s="428">
        <v>0.18</v>
      </c>
      <c r="IF85" s="428">
        <v>0.44</v>
      </c>
      <c r="IG85" s="428">
        <v>0.47</v>
      </c>
      <c r="IH85" s="428">
        <v>0.63</v>
      </c>
      <c r="II85" s="428">
        <v>0</v>
      </c>
      <c r="IJ85" s="428">
        <v>0.08</v>
      </c>
      <c r="IK85" s="428">
        <v>0.52</v>
      </c>
      <c r="IL85" s="428">
        <v>0.23</v>
      </c>
      <c r="IM85" s="428">
        <v>0.45</v>
      </c>
      <c r="IN85" s="428">
        <v>0.4</v>
      </c>
      <c r="IO85" s="428">
        <v>0.56999999999999995</v>
      </c>
      <c r="IP85" s="428">
        <v>0.13</v>
      </c>
      <c r="IQ85" s="428">
        <v>0.56000000000000005</v>
      </c>
      <c r="IR85" s="428">
        <v>0.4</v>
      </c>
      <c r="IS85" s="428">
        <v>0.33</v>
      </c>
      <c r="IT85" s="428">
        <v>0.28000000000000003</v>
      </c>
      <c r="IU85" s="424" t="s">
        <v>173</v>
      </c>
      <c r="IV85" s="428">
        <v>0.57999999999999996</v>
      </c>
      <c r="IW85" s="428">
        <v>0.28000000000000003</v>
      </c>
      <c r="IX85" s="428">
        <v>0.67</v>
      </c>
      <c r="IY85" s="428">
        <v>0.45</v>
      </c>
      <c r="IZ85" s="641"/>
      <c r="JA85" s="641"/>
      <c r="JB85" s="641"/>
      <c r="JC85" s="641"/>
      <c r="JD85" s="642"/>
      <c r="JE85" s="642"/>
      <c r="JF85" s="642"/>
      <c r="JG85" s="642"/>
      <c r="JH85" s="642"/>
      <c r="JI85" s="642"/>
      <c r="JJ85" s="642"/>
      <c r="JK85" s="642"/>
      <c r="JL85" s="642"/>
      <c r="JM85" s="642"/>
      <c r="JN85" s="642"/>
      <c r="JO85" s="642"/>
      <c r="JP85" s="642"/>
      <c r="JQ85" s="642"/>
      <c r="JR85" s="642"/>
      <c r="JS85" s="642"/>
      <c r="JT85" s="642"/>
      <c r="JU85" s="642"/>
      <c r="JV85" s="642"/>
      <c r="JW85" s="642"/>
      <c r="JX85" s="642"/>
      <c r="JY85" s="642"/>
      <c r="JZ85" s="641"/>
      <c r="KA85" s="642"/>
      <c r="KB85" s="642"/>
      <c r="KC85" s="642"/>
      <c r="KD85" s="642"/>
      <c r="KE85" s="642"/>
      <c r="KF85" s="642"/>
      <c r="KG85" s="642"/>
      <c r="KH85" s="971"/>
      <c r="KI85" s="971"/>
      <c r="KJ85" s="971"/>
      <c r="KK85" s="971"/>
      <c r="KL85" s="949"/>
      <c r="KM85" s="949"/>
      <c r="KN85" s="949"/>
      <c r="KO85" s="949"/>
      <c r="KP85" s="949"/>
      <c r="KQ85" s="949"/>
      <c r="KR85" s="949"/>
      <c r="KS85" s="949"/>
      <c r="KT85" s="949"/>
      <c r="KU85" s="949"/>
      <c r="KV85" s="949"/>
      <c r="KW85" s="949"/>
      <c r="KX85" s="949"/>
      <c r="KY85" s="949"/>
      <c r="KZ85" s="949"/>
      <c r="LA85" s="949"/>
      <c r="LB85" s="949"/>
      <c r="LC85" s="949"/>
      <c r="LD85" s="949"/>
      <c r="LE85" s="949"/>
      <c r="LF85" s="949"/>
      <c r="LG85" s="949"/>
      <c r="LH85" s="949"/>
      <c r="LI85" s="949"/>
      <c r="LJ85" s="949"/>
      <c r="LK85" s="949"/>
      <c r="LL85" s="949"/>
      <c r="LM85" s="949"/>
      <c r="LN85" s="949"/>
      <c r="LO85" s="949"/>
      <c r="LP85" s="922"/>
      <c r="LQ85" s="126" t="s">
        <v>63</v>
      </c>
      <c r="LR85" s="424">
        <v>56</v>
      </c>
      <c r="LS85" s="971"/>
      <c r="LT85" s="946"/>
    </row>
    <row r="86" spans="1:332" ht="24.95" customHeight="1" x14ac:dyDescent="0.2">
      <c r="A86" s="555" t="s">
        <v>949</v>
      </c>
      <c r="B86" s="14" t="s">
        <v>123</v>
      </c>
      <c r="C86" s="309">
        <v>5</v>
      </c>
      <c r="D86" s="328"/>
      <c r="E86" s="328"/>
      <c r="F86" s="328"/>
      <c r="G86" s="328"/>
      <c r="H86" s="328"/>
      <c r="I86" s="328"/>
      <c r="J86" s="328"/>
      <c r="K86" s="328"/>
      <c r="L86" s="328"/>
      <c r="M86" s="328"/>
      <c r="N86" s="328"/>
      <c r="O86" s="328"/>
      <c r="P86" s="328"/>
      <c r="Q86" s="328"/>
      <c r="R86" s="328"/>
      <c r="S86" s="328"/>
      <c r="T86" s="328"/>
      <c r="U86" s="328"/>
      <c r="V86" s="328"/>
      <c r="W86" s="328"/>
      <c r="X86" s="328"/>
      <c r="Y86" s="328"/>
      <c r="Z86" s="328"/>
      <c r="AA86" s="328"/>
      <c r="AB86" s="328"/>
      <c r="AC86" s="328"/>
      <c r="AD86" s="328"/>
      <c r="AE86" s="328"/>
      <c r="AF86" s="328"/>
      <c r="AG86" s="328"/>
      <c r="AH86" s="328"/>
      <c r="AI86" s="328"/>
      <c r="AJ86" s="331"/>
      <c r="AK86" s="331"/>
      <c r="AL86" s="331"/>
      <c r="AM86" s="331"/>
      <c r="AN86" s="331"/>
      <c r="AO86" s="331"/>
      <c r="AP86" s="331"/>
      <c r="AQ86" s="331"/>
      <c r="AR86" s="331"/>
      <c r="AS86" s="331"/>
      <c r="AT86" s="331"/>
      <c r="AU86" s="331"/>
      <c r="AV86" s="331"/>
      <c r="AW86" s="331"/>
      <c r="AX86" s="331"/>
      <c r="AY86" s="331"/>
      <c r="AZ86" s="331"/>
      <c r="BA86" s="331"/>
      <c r="BB86" s="331"/>
      <c r="BC86" s="331"/>
      <c r="BD86" s="331"/>
      <c r="BE86" s="331"/>
      <c r="BF86" s="331"/>
      <c r="BG86" s="331"/>
      <c r="BH86" s="331"/>
      <c r="BI86" s="331"/>
      <c r="BJ86" s="331"/>
      <c r="BK86" s="331"/>
      <c r="BL86" s="331"/>
      <c r="BM86" s="328"/>
      <c r="BN86" s="328"/>
      <c r="BO86" s="328"/>
      <c r="BP86" s="328"/>
      <c r="BQ86" s="328"/>
      <c r="BR86" s="328"/>
      <c r="BS86" s="328"/>
      <c r="BT86" s="328"/>
      <c r="BU86" s="328"/>
      <c r="BV86" s="328"/>
      <c r="BW86" s="328"/>
      <c r="BX86" s="328"/>
      <c r="BY86" s="328"/>
      <c r="BZ86" s="328"/>
      <c r="CA86" s="328"/>
      <c r="CB86" s="328"/>
      <c r="CC86" s="328"/>
      <c r="CD86" s="328"/>
      <c r="CE86" s="328"/>
      <c r="CF86" s="328"/>
      <c r="CG86" s="328"/>
      <c r="CH86" s="328"/>
      <c r="CI86" s="328"/>
      <c r="CJ86" s="328"/>
      <c r="CK86" s="328"/>
      <c r="CL86" s="328"/>
      <c r="CM86" s="328"/>
      <c r="CN86" s="328"/>
      <c r="CO86" s="328"/>
      <c r="CP86" s="328"/>
      <c r="CQ86" s="328"/>
      <c r="CR86" s="328"/>
      <c r="CS86" s="328"/>
      <c r="CT86" s="328"/>
      <c r="CU86" s="309"/>
      <c r="CV86" s="309"/>
      <c r="CW86" s="309"/>
      <c r="CX86" s="309"/>
      <c r="CY86" s="309"/>
      <c r="CZ86" s="309"/>
      <c r="DA86" s="309"/>
      <c r="DB86" s="309"/>
      <c r="DC86" s="309"/>
      <c r="DD86" s="309"/>
      <c r="DE86" s="309"/>
      <c r="DF86" s="309"/>
      <c r="DG86" s="309"/>
      <c r="DH86" s="309"/>
      <c r="DI86" s="309"/>
      <c r="DJ86" s="309"/>
      <c r="DK86" s="309"/>
      <c r="DL86" s="309"/>
      <c r="DM86" s="309"/>
      <c r="DN86" s="309"/>
      <c r="DO86" s="309"/>
      <c r="DP86" s="309"/>
      <c r="DQ86" s="309"/>
      <c r="DR86" s="309"/>
      <c r="DS86" s="309"/>
      <c r="DT86" s="309"/>
      <c r="DU86" s="309"/>
      <c r="DV86" s="309"/>
      <c r="DW86" s="309"/>
      <c r="DX86" s="311"/>
      <c r="DY86" s="311"/>
      <c r="DZ86" s="331"/>
      <c r="EA86" s="331"/>
      <c r="EB86" s="331"/>
      <c r="EC86" s="331"/>
      <c r="ED86" s="331"/>
      <c r="EE86" s="331"/>
      <c r="EF86" s="331"/>
      <c r="EG86" s="331"/>
      <c r="EH86" s="331"/>
      <c r="EI86" s="331"/>
      <c r="EJ86" s="331"/>
      <c r="EK86" s="331"/>
      <c r="EL86" s="331"/>
      <c r="EM86" s="331"/>
      <c r="EN86" s="331"/>
      <c r="EO86" s="331"/>
      <c r="EP86" s="331"/>
      <c r="EQ86" s="331"/>
      <c r="ER86" s="331"/>
      <c r="ES86" s="331"/>
      <c r="ET86" s="331"/>
      <c r="EU86" s="331"/>
      <c r="EV86" s="311"/>
      <c r="EW86" s="331"/>
      <c r="EX86" s="331"/>
      <c r="EY86" s="331"/>
      <c r="EZ86" s="311"/>
      <c r="FA86" s="331"/>
      <c r="FB86" s="312"/>
      <c r="FC86" s="312"/>
      <c r="FD86" s="312"/>
      <c r="FE86" s="312"/>
      <c r="FF86" s="332"/>
      <c r="FG86" s="332"/>
      <c r="FH86" s="332"/>
      <c r="FI86" s="332"/>
      <c r="FJ86" s="332"/>
      <c r="FK86" s="332"/>
      <c r="FL86" s="332"/>
      <c r="FM86" s="332"/>
      <c r="FN86" s="332"/>
      <c r="FO86" s="332"/>
      <c r="FP86" s="332"/>
      <c r="FQ86" s="332"/>
      <c r="FR86" s="332"/>
      <c r="FS86" s="332"/>
      <c r="FT86" s="332"/>
      <c r="FU86" s="332"/>
      <c r="FV86" s="332"/>
      <c r="FW86" s="332"/>
      <c r="FX86" s="332"/>
      <c r="FY86" s="332"/>
      <c r="FZ86" s="332"/>
      <c r="GA86" s="312"/>
      <c r="GB86" s="332"/>
      <c r="GC86" s="332"/>
      <c r="GD86" s="332"/>
      <c r="GE86" s="332"/>
      <c r="GF86" s="332"/>
      <c r="GG86" s="332"/>
      <c r="GH86" s="332"/>
      <c r="GI86" s="332"/>
      <c r="GJ86" s="309"/>
      <c r="GK86" s="309"/>
      <c r="GL86" s="309"/>
      <c r="GM86" s="309"/>
      <c r="GN86" s="327"/>
      <c r="GO86" s="327"/>
      <c r="GP86" s="327"/>
      <c r="GQ86" s="327"/>
      <c r="GR86" s="327"/>
      <c r="GS86" s="327"/>
      <c r="GT86" s="327"/>
      <c r="GU86" s="327"/>
      <c r="GV86" s="327"/>
      <c r="GW86" s="327"/>
      <c r="GX86" s="327"/>
      <c r="GY86" s="309"/>
      <c r="GZ86" s="327"/>
      <c r="HA86" s="309"/>
      <c r="HB86" s="327"/>
      <c r="HC86" s="327"/>
      <c r="HD86" s="327"/>
      <c r="HE86" s="327"/>
      <c r="HF86" s="327"/>
      <c r="HG86" s="327"/>
      <c r="HH86" s="327"/>
      <c r="HI86" s="327"/>
      <c r="HJ86" s="327"/>
      <c r="HK86" s="327"/>
      <c r="HL86" s="327"/>
      <c r="HM86" s="327"/>
      <c r="HN86" s="327"/>
      <c r="HO86" s="327"/>
      <c r="HP86" s="309"/>
      <c r="HQ86" s="327"/>
      <c r="HR86" s="424"/>
      <c r="HS86" s="424"/>
      <c r="HT86" s="424"/>
      <c r="HU86" s="424"/>
      <c r="HV86" s="428"/>
      <c r="HW86" s="428"/>
      <c r="HX86" s="428"/>
      <c r="HY86" s="428"/>
      <c r="HZ86" s="428"/>
      <c r="IA86" s="428"/>
      <c r="IB86" s="428"/>
      <c r="IC86" s="428"/>
      <c r="ID86" s="428"/>
      <c r="IE86" s="428"/>
      <c r="IF86" s="428"/>
      <c r="IG86" s="428"/>
      <c r="IH86" s="428"/>
      <c r="II86" s="424"/>
      <c r="IJ86" s="428"/>
      <c r="IK86" s="428"/>
      <c r="IL86" s="428"/>
      <c r="IM86" s="428"/>
      <c r="IN86" s="428"/>
      <c r="IO86" s="428"/>
      <c r="IP86" s="428"/>
      <c r="IQ86" s="428"/>
      <c r="IR86" s="428"/>
      <c r="IS86" s="428"/>
      <c r="IT86" s="428"/>
      <c r="IU86" s="424"/>
      <c r="IV86" s="428"/>
      <c r="IW86" s="428"/>
      <c r="IX86" s="428"/>
      <c r="IY86" s="428"/>
      <c r="IZ86" s="464">
        <v>41</v>
      </c>
      <c r="JA86" s="464" t="s">
        <v>760</v>
      </c>
      <c r="JB86" s="464">
        <v>8</v>
      </c>
      <c r="JC86" s="464" t="s">
        <v>758</v>
      </c>
      <c r="JD86" s="476">
        <v>0.33</v>
      </c>
      <c r="JE86" s="476">
        <v>0.67</v>
      </c>
      <c r="JF86" s="476">
        <v>0</v>
      </c>
      <c r="JG86" s="476">
        <v>0</v>
      </c>
      <c r="JH86" s="476">
        <v>0.5</v>
      </c>
      <c r="JI86" s="476">
        <v>0.78</v>
      </c>
      <c r="JJ86" s="476">
        <v>0.67</v>
      </c>
      <c r="JK86" s="476">
        <v>0.5</v>
      </c>
      <c r="JL86" s="476">
        <v>0.71</v>
      </c>
      <c r="JM86" s="476">
        <v>0.71</v>
      </c>
      <c r="JN86" s="476">
        <v>0.75</v>
      </c>
      <c r="JO86" s="476">
        <v>0.71</v>
      </c>
      <c r="JP86" s="476">
        <v>0.75</v>
      </c>
      <c r="JQ86" s="476">
        <v>0.71</v>
      </c>
      <c r="JR86" s="476">
        <v>0.25</v>
      </c>
      <c r="JS86" s="476">
        <v>0.6</v>
      </c>
      <c r="JT86" s="476">
        <v>0.8</v>
      </c>
      <c r="JU86" s="476">
        <v>0.6</v>
      </c>
      <c r="JV86" s="476">
        <v>1</v>
      </c>
      <c r="JW86" s="476">
        <v>0.67</v>
      </c>
      <c r="JX86" s="476">
        <v>0.56999999999999995</v>
      </c>
      <c r="JY86" s="476">
        <v>0.17</v>
      </c>
      <c r="JZ86" s="476">
        <v>0.67</v>
      </c>
      <c r="KA86" s="476">
        <v>0.7</v>
      </c>
      <c r="KB86" s="476">
        <v>0.71</v>
      </c>
      <c r="KC86" s="476">
        <v>0.6</v>
      </c>
      <c r="KD86" s="476">
        <v>0.83</v>
      </c>
      <c r="KE86" s="476">
        <v>1</v>
      </c>
      <c r="KF86" s="476">
        <v>1</v>
      </c>
      <c r="KG86" s="476">
        <v>1</v>
      </c>
      <c r="KH86" s="971"/>
      <c r="KI86" s="971"/>
      <c r="KJ86" s="971"/>
      <c r="KK86" s="971"/>
      <c r="KL86" s="949"/>
      <c r="KM86" s="949"/>
      <c r="KN86" s="949"/>
      <c r="KO86" s="949"/>
      <c r="KP86" s="949"/>
      <c r="KQ86" s="949"/>
      <c r="KR86" s="949"/>
      <c r="KS86" s="949"/>
      <c r="KT86" s="949"/>
      <c r="KU86" s="949"/>
      <c r="KV86" s="949"/>
      <c r="KW86" s="949"/>
      <c r="KX86" s="949"/>
      <c r="KY86" s="949"/>
      <c r="KZ86" s="949"/>
      <c r="LA86" s="949"/>
      <c r="LB86" s="949"/>
      <c r="LC86" s="949"/>
      <c r="LD86" s="949"/>
      <c r="LE86" s="949"/>
      <c r="LF86" s="949"/>
      <c r="LG86" s="949"/>
      <c r="LH86" s="949"/>
      <c r="LI86" s="949"/>
      <c r="LJ86" s="949"/>
      <c r="LK86" s="949"/>
      <c r="LL86" s="949"/>
      <c r="LM86" s="949"/>
      <c r="LN86" s="949"/>
      <c r="LO86" s="949"/>
      <c r="LP86" s="922"/>
      <c r="LQ86" s="555" t="s">
        <v>949</v>
      </c>
      <c r="LR86" s="424"/>
      <c r="LS86" s="971"/>
      <c r="LT86" s="946"/>
    </row>
    <row r="87" spans="1:332" ht="24.95" customHeight="1" x14ac:dyDescent="0.2">
      <c r="A87" s="126" t="s">
        <v>28</v>
      </c>
      <c r="B87" s="1" t="s">
        <v>123</v>
      </c>
      <c r="C87" s="2">
        <v>6</v>
      </c>
      <c r="D87" s="12">
        <v>58</v>
      </c>
      <c r="E87" s="12">
        <v>7</v>
      </c>
      <c r="F87" s="66">
        <v>0</v>
      </c>
      <c r="G87" s="66">
        <v>0.35</v>
      </c>
      <c r="H87" s="66">
        <v>0.65</v>
      </c>
      <c r="I87" s="66">
        <v>0</v>
      </c>
      <c r="J87" s="66">
        <v>0.21</v>
      </c>
      <c r="K87" s="66">
        <v>0.19</v>
      </c>
      <c r="L87" s="66">
        <v>0.6</v>
      </c>
      <c r="M87" s="66">
        <v>0.08</v>
      </c>
      <c r="N87" s="66">
        <v>0.22</v>
      </c>
      <c r="O87" s="66">
        <v>0.59</v>
      </c>
      <c r="P87" s="66">
        <v>0.35</v>
      </c>
      <c r="Q87" s="66">
        <v>0.28999999999999998</v>
      </c>
      <c r="R87" s="66">
        <v>0.43</v>
      </c>
      <c r="S87" s="66">
        <v>0.6</v>
      </c>
      <c r="T87" s="66">
        <v>0.43</v>
      </c>
      <c r="U87" s="66">
        <v>0.49</v>
      </c>
      <c r="V87" s="66">
        <v>0.08</v>
      </c>
      <c r="W87" s="66">
        <v>0.14000000000000001</v>
      </c>
      <c r="X87" s="66">
        <v>0.4</v>
      </c>
      <c r="Y87" s="66">
        <v>0.43</v>
      </c>
      <c r="Z87" s="12" t="s">
        <v>173</v>
      </c>
      <c r="AA87" s="66">
        <v>0</v>
      </c>
      <c r="AB87" s="66">
        <v>0.31</v>
      </c>
      <c r="AC87" s="66">
        <v>0.16</v>
      </c>
      <c r="AD87" s="66">
        <v>0.4</v>
      </c>
      <c r="AE87" s="66">
        <v>0.37</v>
      </c>
      <c r="AF87" s="66">
        <v>0.28000000000000003</v>
      </c>
      <c r="AG87" s="66">
        <v>0.52</v>
      </c>
      <c r="AH87" s="12">
        <v>52</v>
      </c>
      <c r="AI87" s="12">
        <v>8</v>
      </c>
      <c r="AJ87" s="40">
        <v>0.13</v>
      </c>
      <c r="AK87" s="40">
        <v>0.45</v>
      </c>
      <c r="AL87" s="40">
        <v>0.42</v>
      </c>
      <c r="AM87" s="40">
        <v>0</v>
      </c>
      <c r="AN87" s="40">
        <v>0.23</v>
      </c>
      <c r="AO87" s="40">
        <v>0.38</v>
      </c>
      <c r="AP87" s="40">
        <v>0.62</v>
      </c>
      <c r="AQ87" s="40">
        <v>0.41</v>
      </c>
      <c r="AR87" s="40">
        <v>0.5</v>
      </c>
      <c r="AS87" s="40">
        <v>0.5</v>
      </c>
      <c r="AT87" s="40">
        <v>0.53</v>
      </c>
      <c r="AU87" s="40">
        <v>0.44</v>
      </c>
      <c r="AV87" s="40">
        <v>0.65</v>
      </c>
      <c r="AW87" s="40">
        <v>0.5</v>
      </c>
      <c r="AX87" s="40">
        <v>0.5</v>
      </c>
      <c r="AY87" s="40">
        <v>0.34</v>
      </c>
      <c r="AZ87" s="40">
        <v>0.22</v>
      </c>
      <c r="BA87" s="40">
        <v>0.44</v>
      </c>
      <c r="BB87" s="40">
        <v>0.72</v>
      </c>
      <c r="BC87" s="40">
        <v>0.61</v>
      </c>
      <c r="BD87" s="40">
        <v>0.4</v>
      </c>
      <c r="BE87" s="40">
        <v>0.53</v>
      </c>
      <c r="BF87" s="40">
        <v>0.8</v>
      </c>
      <c r="BG87" s="40">
        <v>0.45</v>
      </c>
      <c r="BH87" s="40">
        <v>0.45</v>
      </c>
      <c r="BI87" s="40">
        <v>0.43</v>
      </c>
      <c r="BJ87" s="40">
        <v>0.32</v>
      </c>
      <c r="BK87" s="40">
        <v>0.46</v>
      </c>
      <c r="BL87" s="40">
        <v>0.4</v>
      </c>
      <c r="BM87" s="12">
        <v>51</v>
      </c>
      <c r="BN87" s="12">
        <v>8</v>
      </c>
      <c r="BO87" s="66">
        <v>0.09</v>
      </c>
      <c r="BP87" s="66">
        <v>0.62</v>
      </c>
      <c r="BQ87" s="66">
        <v>0.3</v>
      </c>
      <c r="BR87" s="66">
        <v>0</v>
      </c>
      <c r="BS87" s="66">
        <v>0.36</v>
      </c>
      <c r="BT87" s="66">
        <v>0.38</v>
      </c>
      <c r="BU87" s="66">
        <v>0.72</v>
      </c>
      <c r="BV87" s="66">
        <v>0.22</v>
      </c>
      <c r="BW87" s="66">
        <v>0.63</v>
      </c>
      <c r="BX87" s="66">
        <v>0.28000000000000003</v>
      </c>
      <c r="BY87" s="66">
        <v>0.48</v>
      </c>
      <c r="BZ87" s="66">
        <v>0.56999999999999995</v>
      </c>
      <c r="CA87" s="66">
        <v>0.49</v>
      </c>
      <c r="CB87" s="66">
        <v>0.42</v>
      </c>
      <c r="CC87" s="66">
        <v>0.18</v>
      </c>
      <c r="CD87" s="66">
        <v>0.44</v>
      </c>
      <c r="CE87" s="66">
        <v>0.35</v>
      </c>
      <c r="CF87" s="66">
        <v>0.56999999999999995</v>
      </c>
      <c r="CG87" s="66">
        <v>0.52</v>
      </c>
      <c r="CH87" s="66">
        <v>0.53</v>
      </c>
      <c r="CI87" s="66">
        <v>0.64</v>
      </c>
      <c r="CJ87" s="66">
        <v>0.26</v>
      </c>
      <c r="CK87" s="66">
        <v>0.7</v>
      </c>
      <c r="CL87" s="66">
        <v>0.3</v>
      </c>
      <c r="CM87" s="66">
        <v>0.42</v>
      </c>
      <c r="CN87" s="66">
        <v>0.37</v>
      </c>
      <c r="CO87" s="66">
        <v>0.39</v>
      </c>
      <c r="CP87" s="66">
        <v>0.36</v>
      </c>
      <c r="CQ87" s="66">
        <v>0.49</v>
      </c>
      <c r="CR87" s="66">
        <v>0.54</v>
      </c>
      <c r="CS87" s="12">
        <v>51</v>
      </c>
      <c r="CT87" s="12">
        <v>10</v>
      </c>
      <c r="CU87" s="63">
        <v>0.13</v>
      </c>
      <c r="CV87" s="63">
        <v>0.55000000000000004</v>
      </c>
      <c r="CW87" s="63">
        <v>0.3</v>
      </c>
      <c r="CX87" s="63">
        <v>0.02</v>
      </c>
      <c r="CY87" s="63">
        <v>0.49</v>
      </c>
      <c r="CZ87" s="63">
        <v>0.28000000000000003</v>
      </c>
      <c r="DA87" s="63">
        <v>0.57999999999999996</v>
      </c>
      <c r="DB87" s="63">
        <v>0.34</v>
      </c>
      <c r="DC87" s="63">
        <v>0.47</v>
      </c>
      <c r="DD87" s="63">
        <v>0.57999999999999996</v>
      </c>
      <c r="DE87" s="63">
        <v>0.49</v>
      </c>
      <c r="DF87" s="63">
        <v>0.55000000000000004</v>
      </c>
      <c r="DG87" s="63">
        <v>0.41</v>
      </c>
      <c r="DH87" s="63">
        <v>0.35</v>
      </c>
      <c r="DI87" s="63">
        <v>0.52</v>
      </c>
      <c r="DJ87" s="63">
        <v>0.5</v>
      </c>
      <c r="DK87" s="63">
        <v>0.38</v>
      </c>
      <c r="DL87" s="63">
        <v>0.37</v>
      </c>
      <c r="DM87" s="63">
        <v>0.5</v>
      </c>
      <c r="DN87" s="63">
        <v>0.47</v>
      </c>
      <c r="DO87" s="63">
        <v>0.44</v>
      </c>
      <c r="DP87" s="63">
        <v>0.45</v>
      </c>
      <c r="DQ87" s="63">
        <v>0.56000000000000005</v>
      </c>
      <c r="DR87" s="63">
        <v>0.14000000000000001</v>
      </c>
      <c r="DS87" s="63">
        <v>0.3</v>
      </c>
      <c r="DT87" s="63">
        <v>0.5</v>
      </c>
      <c r="DU87" s="63">
        <v>0.52</v>
      </c>
      <c r="DV87" s="63">
        <v>0.59</v>
      </c>
      <c r="DW87" s="63">
        <v>0.2</v>
      </c>
      <c r="DX87" s="35">
        <v>48</v>
      </c>
      <c r="DY87" s="35">
        <v>8</v>
      </c>
      <c r="DZ87" s="40">
        <v>0.15</v>
      </c>
      <c r="EA87" s="40">
        <v>0.69</v>
      </c>
      <c r="EB87" s="40">
        <v>0.16</v>
      </c>
      <c r="EC87" s="40">
        <v>0</v>
      </c>
      <c r="ED87" s="40">
        <v>0.6</v>
      </c>
      <c r="EE87" s="40">
        <v>0.47</v>
      </c>
      <c r="EF87" s="40">
        <v>0.62</v>
      </c>
      <c r="EG87" s="40">
        <v>0.47</v>
      </c>
      <c r="EH87" s="40">
        <v>0.53</v>
      </c>
      <c r="EI87" s="40">
        <v>0.57999999999999996</v>
      </c>
      <c r="EJ87" s="40">
        <v>0.65</v>
      </c>
      <c r="EK87" s="40">
        <v>0.23</v>
      </c>
      <c r="EL87" s="40">
        <v>0.49</v>
      </c>
      <c r="EM87" s="40">
        <v>0.57999999999999996</v>
      </c>
      <c r="EN87" s="40">
        <v>0.52</v>
      </c>
      <c r="EO87" s="40">
        <v>0.59</v>
      </c>
      <c r="EP87" s="40">
        <v>0.46</v>
      </c>
      <c r="EQ87" s="40">
        <v>0.3</v>
      </c>
      <c r="ER87" s="40">
        <v>0.64</v>
      </c>
      <c r="ES87" s="40">
        <v>0.5</v>
      </c>
      <c r="ET87" s="40">
        <v>0.39</v>
      </c>
      <c r="EU87" s="40">
        <v>0.66</v>
      </c>
      <c r="EV87" s="40">
        <v>0.38</v>
      </c>
      <c r="EW87" s="40">
        <v>0.32</v>
      </c>
      <c r="EX87" s="40">
        <v>0.69</v>
      </c>
      <c r="EY87" s="40">
        <v>0.62</v>
      </c>
      <c r="EZ87" s="40">
        <v>0.1</v>
      </c>
      <c r="FA87" s="40">
        <v>0.64</v>
      </c>
      <c r="FB87" s="246">
        <v>48</v>
      </c>
      <c r="FC87" s="246" t="s">
        <v>758</v>
      </c>
      <c r="FD87" s="246">
        <v>9</v>
      </c>
      <c r="FE87" s="246" t="s">
        <v>758</v>
      </c>
      <c r="FF87" s="263">
        <v>0.26</v>
      </c>
      <c r="FG87" s="263">
        <v>0.53</v>
      </c>
      <c r="FH87" s="263">
        <v>0.21</v>
      </c>
      <c r="FI87" s="263">
        <v>0</v>
      </c>
      <c r="FJ87" s="263">
        <v>0.48</v>
      </c>
      <c r="FK87" s="263">
        <v>0.63</v>
      </c>
      <c r="FL87" s="263">
        <v>0.49</v>
      </c>
      <c r="FM87" s="263">
        <v>0.65</v>
      </c>
      <c r="FN87" s="263">
        <v>0.3</v>
      </c>
      <c r="FO87" s="263">
        <v>0.42</v>
      </c>
      <c r="FP87" s="263">
        <v>0.4</v>
      </c>
      <c r="FQ87" s="263">
        <v>0.43</v>
      </c>
      <c r="FR87" s="263">
        <v>0.62</v>
      </c>
      <c r="FS87" s="263">
        <v>0.65</v>
      </c>
      <c r="FT87" s="263">
        <v>0.49</v>
      </c>
      <c r="FU87" s="263">
        <v>0.44</v>
      </c>
      <c r="FV87" s="263">
        <v>0.59</v>
      </c>
      <c r="FW87" s="263">
        <v>0.55000000000000004</v>
      </c>
      <c r="FX87" s="263">
        <v>0.48</v>
      </c>
      <c r="FY87" s="263">
        <v>0.38</v>
      </c>
      <c r="FZ87" s="263">
        <v>0.4</v>
      </c>
      <c r="GA87" s="263">
        <v>0.55000000000000004</v>
      </c>
      <c r="GB87" s="263">
        <v>0.67</v>
      </c>
      <c r="GC87" s="263">
        <v>0.51</v>
      </c>
      <c r="GD87" s="263">
        <v>0.64</v>
      </c>
      <c r="GE87" s="263">
        <v>0.55000000000000004</v>
      </c>
      <c r="GF87" s="263">
        <v>0.55000000000000004</v>
      </c>
      <c r="GG87" s="263">
        <v>0.53</v>
      </c>
      <c r="GH87" s="263">
        <v>0.56000000000000005</v>
      </c>
      <c r="GI87" s="263">
        <v>0.36</v>
      </c>
      <c r="GJ87" s="309">
        <v>49</v>
      </c>
      <c r="GK87" s="309" t="s">
        <v>758</v>
      </c>
      <c r="GL87" s="309">
        <v>9</v>
      </c>
      <c r="GM87" s="309" t="s">
        <v>758</v>
      </c>
      <c r="GN87" s="327">
        <v>0.18</v>
      </c>
      <c r="GO87" s="327">
        <v>0.63</v>
      </c>
      <c r="GP87" s="327">
        <v>0.18</v>
      </c>
      <c r="GQ87" s="327">
        <v>0.01</v>
      </c>
      <c r="GR87" s="327">
        <v>0.44</v>
      </c>
      <c r="GS87" s="327">
        <v>0.55000000000000004</v>
      </c>
      <c r="GT87" s="327">
        <v>0.63</v>
      </c>
      <c r="GU87" s="327">
        <v>0.17</v>
      </c>
      <c r="GV87" s="327">
        <v>0.54</v>
      </c>
      <c r="GW87" s="327">
        <v>0.56000000000000005</v>
      </c>
      <c r="GX87" s="327">
        <v>0.45</v>
      </c>
      <c r="GY87" s="309" t="s">
        <v>173</v>
      </c>
      <c r="GZ87" s="327">
        <v>0.35</v>
      </c>
      <c r="HA87" s="327">
        <v>0.76</v>
      </c>
      <c r="HB87" s="327">
        <v>0.5</v>
      </c>
      <c r="HC87" s="327">
        <v>0.57999999999999996</v>
      </c>
      <c r="HD87" s="327">
        <v>0.61</v>
      </c>
      <c r="HE87" s="327">
        <v>0.55000000000000004</v>
      </c>
      <c r="HF87" s="327">
        <v>0.52</v>
      </c>
      <c r="HG87" s="327">
        <v>0.69</v>
      </c>
      <c r="HH87" s="327">
        <v>0.43</v>
      </c>
      <c r="HI87" s="327">
        <v>0.56999999999999995</v>
      </c>
      <c r="HJ87" s="327">
        <v>0.55000000000000004</v>
      </c>
      <c r="HK87" s="327">
        <v>0.54</v>
      </c>
      <c r="HL87" s="327">
        <v>0.46</v>
      </c>
      <c r="HM87" s="327">
        <v>0.51</v>
      </c>
      <c r="HN87" s="327">
        <v>0.46</v>
      </c>
      <c r="HO87" s="327">
        <v>0.46</v>
      </c>
      <c r="HP87" s="309" t="s">
        <v>173</v>
      </c>
      <c r="HQ87" s="327">
        <v>0.51</v>
      </c>
      <c r="HR87" s="424">
        <v>50</v>
      </c>
      <c r="HS87" s="424" t="s">
        <v>758</v>
      </c>
      <c r="HT87" s="424">
        <v>9</v>
      </c>
      <c r="HU87" s="424" t="s">
        <v>758</v>
      </c>
      <c r="HV87" s="428">
        <v>0.17</v>
      </c>
      <c r="HW87" s="428">
        <v>0.55000000000000004</v>
      </c>
      <c r="HX87" s="428">
        <v>0.28999999999999998</v>
      </c>
      <c r="HY87" s="428">
        <v>0</v>
      </c>
      <c r="HZ87" s="428">
        <v>0.38</v>
      </c>
      <c r="IA87" s="428">
        <v>0.56999999999999995</v>
      </c>
      <c r="IB87" s="428">
        <v>0.37</v>
      </c>
      <c r="IC87" s="428">
        <v>0.52</v>
      </c>
      <c r="ID87" s="428">
        <v>0.6</v>
      </c>
      <c r="IE87" s="428">
        <v>0.35</v>
      </c>
      <c r="IF87" s="428">
        <v>0.43</v>
      </c>
      <c r="IG87" s="428">
        <v>0.61</v>
      </c>
      <c r="IH87" s="428">
        <v>0.54</v>
      </c>
      <c r="II87" s="428">
        <v>0.33</v>
      </c>
      <c r="IJ87" s="428">
        <v>0.27</v>
      </c>
      <c r="IK87" s="428">
        <v>0.64</v>
      </c>
      <c r="IL87" s="428">
        <v>0.33</v>
      </c>
      <c r="IM87" s="428">
        <v>0.61</v>
      </c>
      <c r="IN87" s="428">
        <v>0.49</v>
      </c>
      <c r="IO87" s="428">
        <v>0.62</v>
      </c>
      <c r="IP87" s="428">
        <v>0.47</v>
      </c>
      <c r="IQ87" s="428">
        <v>0.69</v>
      </c>
      <c r="IR87" s="428">
        <v>0.63</v>
      </c>
      <c r="IS87" s="428">
        <v>0.56000000000000005</v>
      </c>
      <c r="IT87" s="428">
        <v>0.44</v>
      </c>
      <c r="IU87" s="424" t="s">
        <v>173</v>
      </c>
      <c r="IV87" s="428">
        <v>0.66</v>
      </c>
      <c r="IW87" s="428">
        <v>0.5</v>
      </c>
      <c r="IX87" s="428">
        <v>0.46</v>
      </c>
      <c r="IY87" s="428">
        <v>0.54</v>
      </c>
      <c r="IZ87" s="654">
        <v>48</v>
      </c>
      <c r="JA87" s="654" t="s">
        <v>758</v>
      </c>
      <c r="JB87" s="654">
        <v>10</v>
      </c>
      <c r="JC87" s="654" t="s">
        <v>758</v>
      </c>
      <c r="JD87" s="655">
        <v>0.24</v>
      </c>
      <c r="JE87" s="655">
        <v>0.53</v>
      </c>
      <c r="JF87" s="655">
        <v>0.24</v>
      </c>
      <c r="JG87" s="655">
        <v>0</v>
      </c>
      <c r="JH87" s="655">
        <v>0.56000000000000005</v>
      </c>
      <c r="JI87" s="655">
        <v>0.48</v>
      </c>
      <c r="JJ87" s="655">
        <v>0.47</v>
      </c>
      <c r="JK87" s="655">
        <v>0.55000000000000004</v>
      </c>
      <c r="JL87" s="655">
        <v>0.49</v>
      </c>
      <c r="JM87" s="655">
        <v>0.55000000000000004</v>
      </c>
      <c r="JN87" s="655">
        <v>0.52</v>
      </c>
      <c r="JO87" s="655">
        <v>0.5</v>
      </c>
      <c r="JP87" s="655">
        <v>0.61</v>
      </c>
      <c r="JQ87" s="655">
        <v>0.38</v>
      </c>
      <c r="JR87" s="655">
        <v>0.66</v>
      </c>
      <c r="JS87" s="655">
        <v>0.53</v>
      </c>
      <c r="JT87" s="655">
        <v>0.52</v>
      </c>
      <c r="JU87" s="655">
        <v>0.56000000000000005</v>
      </c>
      <c r="JV87" s="655">
        <v>0.54</v>
      </c>
      <c r="JW87" s="655">
        <v>0.51</v>
      </c>
      <c r="JX87" s="655">
        <v>0.5</v>
      </c>
      <c r="JY87" s="655">
        <v>0.6</v>
      </c>
      <c r="JZ87" s="655">
        <v>0.54</v>
      </c>
      <c r="KA87" s="655">
        <v>0.62</v>
      </c>
      <c r="KB87" s="655">
        <v>0.46</v>
      </c>
      <c r="KC87" s="655">
        <v>0.65</v>
      </c>
      <c r="KD87" s="655">
        <v>0.4</v>
      </c>
      <c r="KE87" s="655">
        <v>0.53</v>
      </c>
      <c r="KF87" s="655">
        <v>0.65</v>
      </c>
      <c r="KG87" s="655">
        <v>0.61</v>
      </c>
      <c r="KH87" s="971">
        <v>51</v>
      </c>
      <c r="KI87" s="971" t="s">
        <v>758</v>
      </c>
      <c r="KJ87" s="971">
        <v>9</v>
      </c>
      <c r="KK87" s="971" t="s">
        <v>758</v>
      </c>
      <c r="KL87" s="949">
        <v>0.11</v>
      </c>
      <c r="KM87" s="949">
        <v>0.55000000000000004</v>
      </c>
      <c r="KN87" s="949">
        <v>0.35</v>
      </c>
      <c r="KO87" s="949">
        <v>0</v>
      </c>
      <c r="KP87" s="949">
        <v>0.49</v>
      </c>
      <c r="KQ87" s="949">
        <v>0.35</v>
      </c>
      <c r="KR87" s="949">
        <v>0.56999999999999995</v>
      </c>
      <c r="KS87" s="949">
        <v>0.51</v>
      </c>
      <c r="KT87" s="949">
        <v>0.59</v>
      </c>
      <c r="KU87" s="949">
        <v>0.41</v>
      </c>
      <c r="KV87" s="949">
        <v>0.61</v>
      </c>
      <c r="KW87" s="949">
        <v>0.4</v>
      </c>
      <c r="KX87" s="949">
        <v>0.38</v>
      </c>
      <c r="KY87" s="949">
        <v>0.52</v>
      </c>
      <c r="KZ87" s="949">
        <v>0.42</v>
      </c>
      <c r="LA87" s="949">
        <v>0.32</v>
      </c>
      <c r="LB87" s="949">
        <v>0.46</v>
      </c>
      <c r="LC87" s="949">
        <v>0.39</v>
      </c>
      <c r="LD87" s="949">
        <v>0.55000000000000004</v>
      </c>
      <c r="LE87" s="949">
        <v>0.54</v>
      </c>
      <c r="LF87" s="949">
        <v>0.32</v>
      </c>
      <c r="LG87" s="949">
        <v>0.46</v>
      </c>
      <c r="LH87" s="949">
        <v>0.46</v>
      </c>
      <c r="LI87" s="949">
        <v>0.5</v>
      </c>
      <c r="LJ87" s="949">
        <v>0.5</v>
      </c>
      <c r="LK87" s="949">
        <v>0.54</v>
      </c>
      <c r="LL87" s="949" t="s">
        <v>173</v>
      </c>
      <c r="LM87" s="949">
        <v>0.55000000000000004</v>
      </c>
      <c r="LN87" s="949">
        <v>0.6</v>
      </c>
      <c r="LO87" s="949">
        <v>0.42</v>
      </c>
      <c r="LP87" s="922">
        <v>325754001859</v>
      </c>
      <c r="LQ87" s="126" t="s">
        <v>28</v>
      </c>
      <c r="LR87" s="424">
        <v>50</v>
      </c>
      <c r="LS87" s="971">
        <v>51</v>
      </c>
      <c r="LT87" s="946"/>
    </row>
    <row r="88" spans="1:332" ht="24.95" customHeight="1" x14ac:dyDescent="0.2">
      <c r="A88" s="126" t="s">
        <v>101</v>
      </c>
      <c r="B88" s="1" t="s">
        <v>123</v>
      </c>
      <c r="C88" s="2">
        <v>3</v>
      </c>
      <c r="D88" s="12">
        <v>55</v>
      </c>
      <c r="E88" s="12">
        <v>9</v>
      </c>
      <c r="F88" s="66">
        <v>0.09</v>
      </c>
      <c r="G88" s="66">
        <v>0.39</v>
      </c>
      <c r="H88" s="66">
        <v>0.52</v>
      </c>
      <c r="I88" s="66">
        <v>0</v>
      </c>
      <c r="J88" s="66">
        <v>0.25</v>
      </c>
      <c r="K88" s="66">
        <v>0.21</v>
      </c>
      <c r="L88" s="66">
        <v>0.9</v>
      </c>
      <c r="M88" s="66">
        <v>0.21</v>
      </c>
      <c r="N88" s="66">
        <v>0.23</v>
      </c>
      <c r="O88" s="66">
        <v>0.75</v>
      </c>
      <c r="P88" s="66">
        <v>0.38</v>
      </c>
      <c r="Q88" s="66">
        <v>0.34</v>
      </c>
      <c r="R88" s="66">
        <v>0.53</v>
      </c>
      <c r="S88" s="66">
        <v>0.57999999999999996</v>
      </c>
      <c r="T88" s="66">
        <v>0.43</v>
      </c>
      <c r="U88" s="66">
        <v>0.45</v>
      </c>
      <c r="V88" s="66">
        <v>0.04</v>
      </c>
      <c r="W88" s="66">
        <v>7.0000000000000007E-2</v>
      </c>
      <c r="X88" s="66">
        <v>0.43</v>
      </c>
      <c r="Y88" s="66">
        <v>0.42</v>
      </c>
      <c r="Z88" s="12" t="s">
        <v>173</v>
      </c>
      <c r="AA88" s="66">
        <v>0.21</v>
      </c>
      <c r="AB88" s="66">
        <v>0.37</v>
      </c>
      <c r="AC88" s="66">
        <v>0.31</v>
      </c>
      <c r="AD88" s="66">
        <v>0.5</v>
      </c>
      <c r="AE88" s="66">
        <v>0.4</v>
      </c>
      <c r="AF88" s="66">
        <v>0.43</v>
      </c>
      <c r="AG88" s="66">
        <v>0.38</v>
      </c>
      <c r="AH88" s="12">
        <v>52</v>
      </c>
      <c r="AI88" s="12">
        <v>8</v>
      </c>
      <c r="AJ88" s="40">
        <v>0.04</v>
      </c>
      <c r="AK88" s="40">
        <v>0.63</v>
      </c>
      <c r="AL88" s="40">
        <v>0.33</v>
      </c>
      <c r="AM88" s="40">
        <v>0</v>
      </c>
      <c r="AN88" s="40">
        <v>0.35</v>
      </c>
      <c r="AO88" s="40">
        <v>0.38</v>
      </c>
      <c r="AP88" s="40">
        <v>0.43</v>
      </c>
      <c r="AQ88" s="40">
        <v>0.44</v>
      </c>
      <c r="AR88" s="40">
        <v>0.44</v>
      </c>
      <c r="AS88" s="40">
        <v>0.53</v>
      </c>
      <c r="AT88" s="40">
        <v>0.51</v>
      </c>
      <c r="AU88" s="40">
        <v>0.56999999999999995</v>
      </c>
      <c r="AV88" s="40">
        <v>0.52</v>
      </c>
      <c r="AW88" s="40">
        <v>0.44</v>
      </c>
      <c r="AX88" s="40">
        <v>0.5</v>
      </c>
      <c r="AY88" s="40">
        <v>0.38</v>
      </c>
      <c r="AZ88" s="40">
        <v>0.39</v>
      </c>
      <c r="BA88" s="40">
        <v>0.59</v>
      </c>
      <c r="BB88" s="40">
        <v>0.66</v>
      </c>
      <c r="BC88" s="40">
        <v>0.73</v>
      </c>
      <c r="BD88" s="40">
        <v>0.4</v>
      </c>
      <c r="BE88" s="40">
        <v>0.79</v>
      </c>
      <c r="BF88" s="40">
        <v>0.69</v>
      </c>
      <c r="BG88" s="40">
        <v>0.57999999999999996</v>
      </c>
      <c r="BH88" s="40">
        <v>0.4</v>
      </c>
      <c r="BI88" s="40">
        <v>0.46</v>
      </c>
      <c r="BJ88" s="40">
        <v>0.37</v>
      </c>
      <c r="BK88" s="40">
        <v>0.4</v>
      </c>
      <c r="BL88" s="40">
        <v>0.33</v>
      </c>
      <c r="BM88" s="12">
        <v>52</v>
      </c>
      <c r="BN88" s="12">
        <v>7</v>
      </c>
      <c r="BO88" s="66">
        <v>0.06</v>
      </c>
      <c r="BP88" s="66">
        <v>0.61</v>
      </c>
      <c r="BQ88" s="66">
        <v>0.33</v>
      </c>
      <c r="BR88" s="66">
        <v>0</v>
      </c>
      <c r="BS88" s="66">
        <v>0.35</v>
      </c>
      <c r="BT88" s="66">
        <v>0.5</v>
      </c>
      <c r="BU88" s="66">
        <v>0.77</v>
      </c>
      <c r="BV88" s="66">
        <v>0.22</v>
      </c>
      <c r="BW88" s="66">
        <v>0.5</v>
      </c>
      <c r="BX88" s="66">
        <v>0.35</v>
      </c>
      <c r="BY88" s="66">
        <v>0.37</v>
      </c>
      <c r="BZ88" s="66">
        <v>0.56000000000000005</v>
      </c>
      <c r="CA88" s="66">
        <v>0.22</v>
      </c>
      <c r="CB88" s="66">
        <v>0.24</v>
      </c>
      <c r="CC88" s="66">
        <v>0.26</v>
      </c>
      <c r="CD88" s="66">
        <v>0.43</v>
      </c>
      <c r="CE88" s="66">
        <v>0.27</v>
      </c>
      <c r="CF88" s="66">
        <v>0.61</v>
      </c>
      <c r="CG88" s="66">
        <v>0.62</v>
      </c>
      <c r="CH88" s="66">
        <v>0.39</v>
      </c>
      <c r="CI88" s="66">
        <v>0.59</v>
      </c>
      <c r="CJ88" s="66">
        <v>0.5</v>
      </c>
      <c r="CK88" s="66">
        <v>0.67</v>
      </c>
      <c r="CL88" s="66">
        <v>0.14000000000000001</v>
      </c>
      <c r="CM88" s="66">
        <v>0.38</v>
      </c>
      <c r="CN88" s="66">
        <v>0.37</v>
      </c>
      <c r="CO88" s="66">
        <v>0.42</v>
      </c>
      <c r="CP88" s="66">
        <v>0.28999999999999998</v>
      </c>
      <c r="CQ88" s="66">
        <v>0.56000000000000005</v>
      </c>
      <c r="CR88" s="66">
        <v>0.5</v>
      </c>
      <c r="CS88" s="12">
        <v>50</v>
      </c>
      <c r="CT88" s="12">
        <v>7</v>
      </c>
      <c r="CU88" s="63">
        <v>0.11</v>
      </c>
      <c r="CV88" s="63">
        <v>0.78</v>
      </c>
      <c r="CW88" s="63">
        <v>0.11</v>
      </c>
      <c r="CX88" s="63">
        <v>0</v>
      </c>
      <c r="CY88" s="63">
        <v>0.53</v>
      </c>
      <c r="CZ88" s="63">
        <v>0.25</v>
      </c>
      <c r="DA88" s="63">
        <v>0.51</v>
      </c>
      <c r="DB88" s="63">
        <v>0.32</v>
      </c>
      <c r="DC88" s="63">
        <v>0.35</v>
      </c>
      <c r="DD88" s="63">
        <v>0.69</v>
      </c>
      <c r="DE88" s="63">
        <v>0.56999999999999995</v>
      </c>
      <c r="DF88" s="63">
        <v>0.56000000000000005</v>
      </c>
      <c r="DG88" s="63">
        <v>0.41</v>
      </c>
      <c r="DH88" s="63">
        <v>0.26</v>
      </c>
      <c r="DI88" s="63">
        <v>0.56999999999999995</v>
      </c>
      <c r="DJ88" s="63">
        <v>0.57999999999999996</v>
      </c>
      <c r="DK88" s="63">
        <v>0.15</v>
      </c>
      <c r="DL88" s="63">
        <v>0.25</v>
      </c>
      <c r="DM88" s="63">
        <v>0.6</v>
      </c>
      <c r="DN88" s="63">
        <v>0.69</v>
      </c>
      <c r="DO88" s="63">
        <v>0.67</v>
      </c>
      <c r="DP88" s="63">
        <v>0.52</v>
      </c>
      <c r="DQ88" s="63">
        <v>0.49</v>
      </c>
      <c r="DR88" s="63">
        <v>0.09</v>
      </c>
      <c r="DS88" s="63">
        <v>0.38</v>
      </c>
      <c r="DT88" s="63">
        <v>0.69</v>
      </c>
      <c r="DU88" s="63">
        <v>0.6</v>
      </c>
      <c r="DV88" s="63">
        <v>0.64</v>
      </c>
      <c r="DW88" s="63">
        <v>0.37</v>
      </c>
      <c r="DX88" s="35">
        <v>56</v>
      </c>
      <c r="DY88" s="35">
        <v>10</v>
      </c>
      <c r="DZ88" s="40">
        <v>0.05</v>
      </c>
      <c r="EA88" s="40">
        <v>0.3</v>
      </c>
      <c r="EB88" s="40">
        <v>0.6</v>
      </c>
      <c r="EC88" s="40">
        <v>0.05</v>
      </c>
      <c r="ED88" s="40">
        <v>0.35</v>
      </c>
      <c r="EE88" s="40">
        <v>0.38</v>
      </c>
      <c r="EF88" s="40">
        <v>0.32</v>
      </c>
      <c r="EG88" s="40">
        <v>0.28999999999999998</v>
      </c>
      <c r="EH88" s="40">
        <v>0.32</v>
      </c>
      <c r="EI88" s="40">
        <v>0.33</v>
      </c>
      <c r="EJ88" s="40">
        <v>0.4</v>
      </c>
      <c r="EK88" s="40">
        <v>0.35</v>
      </c>
      <c r="EL88" s="40">
        <v>0.48</v>
      </c>
      <c r="EM88" s="40">
        <v>0.65</v>
      </c>
      <c r="EN88" s="40">
        <v>0.28000000000000003</v>
      </c>
      <c r="EO88" s="40">
        <v>0.41</v>
      </c>
      <c r="EP88" s="40">
        <v>0.14000000000000001</v>
      </c>
      <c r="EQ88" s="40">
        <v>0.14000000000000001</v>
      </c>
      <c r="ER88" s="40">
        <v>0.46</v>
      </c>
      <c r="ES88" s="40">
        <v>0.37</v>
      </c>
      <c r="ET88" s="40">
        <v>0.17</v>
      </c>
      <c r="EU88" s="40">
        <v>0.31</v>
      </c>
      <c r="EV88" s="40">
        <v>0.28999999999999998</v>
      </c>
      <c r="EW88" s="40">
        <v>0.26</v>
      </c>
      <c r="EX88" s="40">
        <v>0.6</v>
      </c>
      <c r="EY88" s="40">
        <v>0.49</v>
      </c>
      <c r="EZ88" s="40">
        <v>0.14000000000000001</v>
      </c>
      <c r="FA88" s="40">
        <v>0.49</v>
      </c>
      <c r="FB88" s="246">
        <v>50</v>
      </c>
      <c r="FC88" s="246" t="s">
        <v>758</v>
      </c>
      <c r="FD88" s="246">
        <v>7</v>
      </c>
      <c r="FE88" s="246" t="s">
        <v>758</v>
      </c>
      <c r="FF88" s="263">
        <v>0.13</v>
      </c>
      <c r="FG88" s="263">
        <v>0.56000000000000005</v>
      </c>
      <c r="FH88" s="263">
        <v>0.31</v>
      </c>
      <c r="FI88" s="263">
        <v>0</v>
      </c>
      <c r="FJ88" s="263">
        <v>0.45</v>
      </c>
      <c r="FK88" s="263">
        <v>0.62</v>
      </c>
      <c r="FL88" s="263">
        <v>0.49</v>
      </c>
      <c r="FM88" s="263">
        <v>0.47</v>
      </c>
      <c r="FN88" s="263">
        <v>0.23</v>
      </c>
      <c r="FO88" s="263">
        <v>0.46</v>
      </c>
      <c r="FP88" s="263">
        <v>0.42</v>
      </c>
      <c r="FQ88" s="263">
        <v>0.32</v>
      </c>
      <c r="FR88" s="263">
        <v>0.62</v>
      </c>
      <c r="FS88" s="263">
        <v>0.4</v>
      </c>
      <c r="FT88" s="263">
        <v>0.45</v>
      </c>
      <c r="FU88" s="263">
        <v>0.25</v>
      </c>
      <c r="FV88" s="263">
        <v>0.66</v>
      </c>
      <c r="FW88" s="263">
        <v>0.56000000000000005</v>
      </c>
      <c r="FX88" s="263">
        <v>0.38</v>
      </c>
      <c r="FY88" s="263">
        <v>0.34</v>
      </c>
      <c r="FZ88" s="263">
        <v>0.43</v>
      </c>
      <c r="GA88" s="263">
        <v>0.45</v>
      </c>
      <c r="GB88" s="263">
        <v>0.54</v>
      </c>
      <c r="GC88" s="263">
        <v>0.42</v>
      </c>
      <c r="GD88" s="263">
        <v>0.64</v>
      </c>
      <c r="GE88" s="263">
        <v>0.53</v>
      </c>
      <c r="GF88" s="263">
        <v>0.49</v>
      </c>
      <c r="GG88" s="263">
        <v>0.4</v>
      </c>
      <c r="GH88" s="263">
        <v>0.63</v>
      </c>
      <c r="GI88" s="263">
        <v>0.24</v>
      </c>
      <c r="GJ88" s="309">
        <v>49</v>
      </c>
      <c r="GK88" s="309" t="s">
        <v>758</v>
      </c>
      <c r="GL88" s="309">
        <v>9</v>
      </c>
      <c r="GM88" s="309" t="s">
        <v>758</v>
      </c>
      <c r="GN88" s="327">
        <v>0.19</v>
      </c>
      <c r="GO88" s="327">
        <v>0.56000000000000005</v>
      </c>
      <c r="GP88" s="327">
        <v>0.25</v>
      </c>
      <c r="GQ88" s="327">
        <v>0</v>
      </c>
      <c r="GR88" s="327">
        <v>0.57999999999999996</v>
      </c>
      <c r="GS88" s="327">
        <v>0.59</v>
      </c>
      <c r="GT88" s="327">
        <v>0.6</v>
      </c>
      <c r="GU88" s="327">
        <v>0.33</v>
      </c>
      <c r="GV88" s="327">
        <v>0.45</v>
      </c>
      <c r="GW88" s="327">
        <v>0.45</v>
      </c>
      <c r="GX88" s="327">
        <v>0.44</v>
      </c>
      <c r="GY88" s="309" t="s">
        <v>173</v>
      </c>
      <c r="GZ88" s="327">
        <v>0.21</v>
      </c>
      <c r="HA88" s="327">
        <v>0.6</v>
      </c>
      <c r="HB88" s="327">
        <v>0.42</v>
      </c>
      <c r="HC88" s="327">
        <v>0.64</v>
      </c>
      <c r="HD88" s="327">
        <v>0.64</v>
      </c>
      <c r="HE88" s="327">
        <v>0.41</v>
      </c>
      <c r="HF88" s="327">
        <v>0.55000000000000004</v>
      </c>
      <c r="HG88" s="327">
        <v>0.64</v>
      </c>
      <c r="HH88" s="327">
        <v>0.44</v>
      </c>
      <c r="HI88" s="327">
        <v>0.65</v>
      </c>
      <c r="HJ88" s="327">
        <v>0.62</v>
      </c>
      <c r="HK88" s="327">
        <v>0.64</v>
      </c>
      <c r="HL88" s="327">
        <v>0.5</v>
      </c>
      <c r="HM88" s="327">
        <v>0.49</v>
      </c>
      <c r="HN88" s="327">
        <v>0.56000000000000005</v>
      </c>
      <c r="HO88" s="327">
        <v>0.42</v>
      </c>
      <c r="HP88" s="309" t="s">
        <v>173</v>
      </c>
      <c r="HQ88" s="327">
        <v>0.68</v>
      </c>
      <c r="HR88" s="424">
        <v>51</v>
      </c>
      <c r="HS88" s="424" t="s">
        <v>758</v>
      </c>
      <c r="HT88" s="424">
        <v>8</v>
      </c>
      <c r="HU88" s="424" t="s">
        <v>758</v>
      </c>
      <c r="HV88" s="428">
        <v>0.15</v>
      </c>
      <c r="HW88" s="428">
        <v>0.62</v>
      </c>
      <c r="HX88" s="428">
        <v>0.23</v>
      </c>
      <c r="HY88" s="428">
        <v>0</v>
      </c>
      <c r="HZ88" s="428">
        <v>0.33</v>
      </c>
      <c r="IA88" s="428">
        <v>0.53</v>
      </c>
      <c r="IB88" s="428">
        <v>0.33</v>
      </c>
      <c r="IC88" s="428">
        <v>0.56000000000000005</v>
      </c>
      <c r="ID88" s="428">
        <v>0.66</v>
      </c>
      <c r="IE88" s="428">
        <v>0.36</v>
      </c>
      <c r="IF88" s="428">
        <v>0.44</v>
      </c>
      <c r="IG88" s="428">
        <v>0.4</v>
      </c>
      <c r="IH88" s="428">
        <v>0.61</v>
      </c>
      <c r="II88" s="428">
        <v>0.6</v>
      </c>
      <c r="IJ88" s="428">
        <v>0.24</v>
      </c>
      <c r="IK88" s="428">
        <v>0.72</v>
      </c>
      <c r="IL88" s="428">
        <v>0.28999999999999998</v>
      </c>
      <c r="IM88" s="428">
        <v>0.59</v>
      </c>
      <c r="IN88" s="428">
        <v>0.41</v>
      </c>
      <c r="IO88" s="428">
        <v>0.57999999999999996</v>
      </c>
      <c r="IP88" s="428">
        <v>0.41</v>
      </c>
      <c r="IQ88" s="428">
        <v>0.65</v>
      </c>
      <c r="IR88" s="428">
        <v>0.52</v>
      </c>
      <c r="IS88" s="428">
        <v>0.47</v>
      </c>
      <c r="IT88" s="428">
        <v>0.38</v>
      </c>
      <c r="IU88" s="424" t="s">
        <v>173</v>
      </c>
      <c r="IV88" s="428">
        <v>0.56000000000000005</v>
      </c>
      <c r="IW88" s="428">
        <v>0.35</v>
      </c>
      <c r="IX88" s="428">
        <v>0.46</v>
      </c>
      <c r="IY88" s="428">
        <v>0.43</v>
      </c>
      <c r="IZ88" s="464">
        <v>49</v>
      </c>
      <c r="JA88" s="464" t="s">
        <v>758</v>
      </c>
      <c r="JB88" s="464">
        <v>9</v>
      </c>
      <c r="JC88" s="464" t="s">
        <v>758</v>
      </c>
      <c r="JD88" s="476">
        <v>0.14000000000000001</v>
      </c>
      <c r="JE88" s="476">
        <v>0.56999999999999995</v>
      </c>
      <c r="JF88" s="476">
        <v>0.28999999999999998</v>
      </c>
      <c r="JG88" s="476">
        <v>0</v>
      </c>
      <c r="JH88" s="476">
        <v>0.42</v>
      </c>
      <c r="JI88" s="476">
        <v>0.47</v>
      </c>
      <c r="JJ88" s="476">
        <v>0.5</v>
      </c>
      <c r="JK88" s="476">
        <v>0.53</v>
      </c>
      <c r="JL88" s="476">
        <v>0.35</v>
      </c>
      <c r="JM88" s="476">
        <v>0.55000000000000004</v>
      </c>
      <c r="JN88" s="476">
        <v>0.53</v>
      </c>
      <c r="JO88" s="476">
        <v>0.49</v>
      </c>
      <c r="JP88" s="476">
        <v>0.56000000000000005</v>
      </c>
      <c r="JQ88" s="476">
        <v>0.41</v>
      </c>
      <c r="JR88" s="476">
        <v>0.64</v>
      </c>
      <c r="JS88" s="476">
        <v>0.68</v>
      </c>
      <c r="JT88" s="476">
        <v>0.41</v>
      </c>
      <c r="JU88" s="476">
        <v>0.57999999999999996</v>
      </c>
      <c r="JV88" s="476">
        <v>0.64</v>
      </c>
      <c r="JW88" s="476">
        <v>0.54</v>
      </c>
      <c r="JX88" s="476">
        <v>0.51</v>
      </c>
      <c r="JY88" s="476">
        <v>0.61</v>
      </c>
      <c r="JZ88" s="476">
        <v>0.5</v>
      </c>
      <c r="KA88" s="476">
        <v>0.75</v>
      </c>
      <c r="KB88" s="476">
        <v>0.5</v>
      </c>
      <c r="KC88" s="476">
        <v>0.75</v>
      </c>
      <c r="KD88" s="476">
        <v>0.36</v>
      </c>
      <c r="KE88" s="476">
        <v>0.56999999999999995</v>
      </c>
      <c r="KF88" s="476">
        <v>0.54</v>
      </c>
      <c r="KG88" s="476">
        <v>0.51</v>
      </c>
      <c r="KH88" s="971">
        <v>53</v>
      </c>
      <c r="KI88" s="971" t="s">
        <v>758</v>
      </c>
      <c r="KJ88" s="971">
        <v>9</v>
      </c>
      <c r="KK88" s="971" t="s">
        <v>758</v>
      </c>
      <c r="KL88" s="949">
        <v>0.17</v>
      </c>
      <c r="KM88" s="949">
        <v>0.42</v>
      </c>
      <c r="KN88" s="949">
        <v>0.42</v>
      </c>
      <c r="KO88" s="949">
        <v>0</v>
      </c>
      <c r="KP88" s="949">
        <v>0.43</v>
      </c>
      <c r="KQ88" s="949">
        <v>0.37</v>
      </c>
      <c r="KR88" s="949">
        <v>0.55000000000000004</v>
      </c>
      <c r="KS88" s="949">
        <v>0.44</v>
      </c>
      <c r="KT88" s="949">
        <v>0.49</v>
      </c>
      <c r="KU88" s="949">
        <v>0.39</v>
      </c>
      <c r="KV88" s="949">
        <v>0.59</v>
      </c>
      <c r="KW88" s="949">
        <v>0.28000000000000003</v>
      </c>
      <c r="KX88" s="949">
        <v>0.31</v>
      </c>
      <c r="KY88" s="949">
        <v>0.38</v>
      </c>
      <c r="KZ88" s="949">
        <v>0.36</v>
      </c>
      <c r="LA88" s="949">
        <v>0.5</v>
      </c>
      <c r="LB88" s="949">
        <v>0.3</v>
      </c>
      <c r="LC88" s="949">
        <v>0.38</v>
      </c>
      <c r="LD88" s="949">
        <v>0.51</v>
      </c>
      <c r="LE88" s="949">
        <v>0.39</v>
      </c>
      <c r="LF88" s="949">
        <v>0.33</v>
      </c>
      <c r="LG88" s="949">
        <v>0.46</v>
      </c>
      <c r="LH88" s="949">
        <v>0.51</v>
      </c>
      <c r="LI88" s="949">
        <v>0.53</v>
      </c>
      <c r="LJ88" s="949">
        <v>0.45</v>
      </c>
      <c r="LK88" s="949">
        <v>0.59</v>
      </c>
      <c r="LL88" s="949" t="s">
        <v>173</v>
      </c>
      <c r="LM88" s="949">
        <v>0.67</v>
      </c>
      <c r="LN88" s="949">
        <v>0.46</v>
      </c>
      <c r="LO88" s="949">
        <v>0.38</v>
      </c>
      <c r="LP88" s="922">
        <v>325754002782</v>
      </c>
      <c r="LQ88" s="126" t="s">
        <v>101</v>
      </c>
      <c r="LR88" s="424">
        <v>51</v>
      </c>
      <c r="LS88" s="971">
        <v>53</v>
      </c>
      <c r="LT88" s="946"/>
    </row>
    <row r="89" spans="1:332" ht="24.95" customHeight="1" x14ac:dyDescent="0.2">
      <c r="A89" s="126" t="s">
        <v>64</v>
      </c>
      <c r="B89" s="1" t="s">
        <v>123</v>
      </c>
      <c r="C89" s="2">
        <v>2</v>
      </c>
      <c r="D89" s="12">
        <v>60</v>
      </c>
      <c r="E89" s="12">
        <v>6</v>
      </c>
      <c r="F89" s="66">
        <v>0</v>
      </c>
      <c r="G89" s="66">
        <v>0.28000000000000003</v>
      </c>
      <c r="H89" s="66">
        <v>0.7</v>
      </c>
      <c r="I89" s="66">
        <v>0.03</v>
      </c>
      <c r="J89" s="66">
        <v>0.26</v>
      </c>
      <c r="K89" s="66">
        <v>0.19</v>
      </c>
      <c r="L89" s="66">
        <v>0.62</v>
      </c>
      <c r="M89" s="66">
        <v>7.0000000000000007E-2</v>
      </c>
      <c r="N89" s="66">
        <v>0.21</v>
      </c>
      <c r="O89" s="66">
        <v>0.57999999999999996</v>
      </c>
      <c r="P89" s="66">
        <v>0.22</v>
      </c>
      <c r="Q89" s="66">
        <v>0.28999999999999998</v>
      </c>
      <c r="R89" s="66">
        <v>0.42</v>
      </c>
      <c r="S89" s="66">
        <v>0.49</v>
      </c>
      <c r="T89" s="66">
        <v>0.33</v>
      </c>
      <c r="U89" s="66">
        <v>0.44</v>
      </c>
      <c r="V89" s="66">
        <v>0.03</v>
      </c>
      <c r="W89" s="66">
        <v>7.0000000000000007E-2</v>
      </c>
      <c r="X89" s="66">
        <v>0.3</v>
      </c>
      <c r="Y89" s="66">
        <v>0.3</v>
      </c>
      <c r="Z89" s="12" t="s">
        <v>173</v>
      </c>
      <c r="AA89" s="66">
        <v>0.03</v>
      </c>
      <c r="AB89" s="66">
        <v>0.31</v>
      </c>
      <c r="AC89" s="66">
        <v>0.1</v>
      </c>
      <c r="AD89" s="66">
        <v>0.35</v>
      </c>
      <c r="AE89" s="66">
        <v>0.32</v>
      </c>
      <c r="AF89" s="66">
        <v>0.47</v>
      </c>
      <c r="AG89" s="66">
        <v>0.41</v>
      </c>
      <c r="AH89" s="12">
        <v>58</v>
      </c>
      <c r="AI89" s="12">
        <v>6</v>
      </c>
      <c r="AJ89" s="40">
        <v>0</v>
      </c>
      <c r="AK89" s="40">
        <v>0.32</v>
      </c>
      <c r="AL89" s="40">
        <v>0.68</v>
      </c>
      <c r="AM89" s="40">
        <v>0</v>
      </c>
      <c r="AN89" s="40">
        <v>0.16</v>
      </c>
      <c r="AO89" s="40">
        <v>0.37</v>
      </c>
      <c r="AP89" s="40">
        <v>0.42</v>
      </c>
      <c r="AQ89" s="40">
        <v>0.3</v>
      </c>
      <c r="AR89" s="40">
        <v>0.5</v>
      </c>
      <c r="AS89" s="40">
        <v>0.39</v>
      </c>
      <c r="AT89" s="40">
        <v>0.38</v>
      </c>
      <c r="AU89" s="40">
        <v>0.33</v>
      </c>
      <c r="AV89" s="40">
        <v>0.51</v>
      </c>
      <c r="AW89" s="40">
        <v>0.51</v>
      </c>
      <c r="AX89" s="40">
        <v>0.42</v>
      </c>
      <c r="AY89" s="40">
        <v>0.19</v>
      </c>
      <c r="AZ89" s="40">
        <v>0.11</v>
      </c>
      <c r="BA89" s="40">
        <v>0.35</v>
      </c>
      <c r="BB89" s="40">
        <v>0.54</v>
      </c>
      <c r="BC89" s="40">
        <v>0.61</v>
      </c>
      <c r="BD89" s="40">
        <v>0.35</v>
      </c>
      <c r="BE89" s="40">
        <v>0.39</v>
      </c>
      <c r="BF89" s="40">
        <v>0.38</v>
      </c>
      <c r="BG89" s="40">
        <v>0.38</v>
      </c>
      <c r="BH89" s="40">
        <v>0.37</v>
      </c>
      <c r="BI89" s="40">
        <v>0.31</v>
      </c>
      <c r="BJ89" s="40">
        <v>0.23</v>
      </c>
      <c r="BK89" s="40">
        <v>0.33</v>
      </c>
      <c r="BL89" s="40">
        <v>0.34</v>
      </c>
      <c r="BM89" s="12">
        <v>57</v>
      </c>
      <c r="BN89" s="12">
        <v>9</v>
      </c>
      <c r="BO89" s="66">
        <v>0</v>
      </c>
      <c r="BP89" s="66">
        <v>0.45</v>
      </c>
      <c r="BQ89" s="66">
        <v>0.51</v>
      </c>
      <c r="BR89" s="66">
        <v>0.04</v>
      </c>
      <c r="BS89" s="66">
        <v>0.27</v>
      </c>
      <c r="BT89" s="66">
        <v>0.3</v>
      </c>
      <c r="BU89" s="66">
        <v>0.65</v>
      </c>
      <c r="BV89" s="66">
        <v>0.13</v>
      </c>
      <c r="BW89" s="66">
        <v>0.59</v>
      </c>
      <c r="BX89" s="66">
        <v>0.23</v>
      </c>
      <c r="BY89" s="66">
        <v>0.34</v>
      </c>
      <c r="BZ89" s="66">
        <v>0.42</v>
      </c>
      <c r="CA89" s="66">
        <v>0.46</v>
      </c>
      <c r="CB89" s="66">
        <v>0.17</v>
      </c>
      <c r="CC89" s="66">
        <v>0.09</v>
      </c>
      <c r="CD89" s="66">
        <v>0.28000000000000003</v>
      </c>
      <c r="CE89" s="66">
        <v>0.19</v>
      </c>
      <c r="CF89" s="66">
        <v>0.45</v>
      </c>
      <c r="CG89" s="66">
        <v>0.42</v>
      </c>
      <c r="CH89" s="66">
        <v>0.36</v>
      </c>
      <c r="CI89" s="66">
        <v>0.47</v>
      </c>
      <c r="CJ89" s="66">
        <v>0.28000000000000003</v>
      </c>
      <c r="CK89" s="66">
        <v>0.54</v>
      </c>
      <c r="CL89" s="66">
        <v>0.2</v>
      </c>
      <c r="CM89" s="66">
        <v>0.33</v>
      </c>
      <c r="CN89" s="66">
        <v>0.32</v>
      </c>
      <c r="CO89" s="66">
        <v>0.26</v>
      </c>
      <c r="CP89" s="66">
        <v>0.27</v>
      </c>
      <c r="CQ89" s="66">
        <v>0.4</v>
      </c>
      <c r="CR89" s="66">
        <v>0.48</v>
      </c>
      <c r="CS89" s="12">
        <v>58</v>
      </c>
      <c r="CT89" s="12">
        <v>6</v>
      </c>
      <c r="CU89" s="63">
        <v>0</v>
      </c>
      <c r="CV89" s="63">
        <v>0.35</v>
      </c>
      <c r="CW89" s="63">
        <v>0.65</v>
      </c>
      <c r="CX89" s="63">
        <v>0</v>
      </c>
      <c r="CY89" s="63">
        <v>0.44</v>
      </c>
      <c r="CZ89" s="63">
        <v>0.21</v>
      </c>
      <c r="DA89" s="63">
        <v>0.42</v>
      </c>
      <c r="DB89" s="63">
        <v>0.2</v>
      </c>
      <c r="DC89" s="63">
        <v>0.25</v>
      </c>
      <c r="DD89" s="63">
        <v>0.57999999999999996</v>
      </c>
      <c r="DE89" s="63">
        <v>0.24</v>
      </c>
      <c r="DF89" s="63">
        <v>0.37</v>
      </c>
      <c r="DG89" s="63">
        <v>0.28000000000000003</v>
      </c>
      <c r="DH89" s="63">
        <v>0.28999999999999998</v>
      </c>
      <c r="DI89" s="63">
        <v>0.48</v>
      </c>
      <c r="DJ89" s="63">
        <v>0.3</v>
      </c>
      <c r="DK89" s="63">
        <v>0.19</v>
      </c>
      <c r="DL89" s="63">
        <v>0.08</v>
      </c>
      <c r="DM89" s="63">
        <v>0.39</v>
      </c>
      <c r="DN89" s="63">
        <v>0.28000000000000003</v>
      </c>
      <c r="DO89" s="63">
        <v>0.13</v>
      </c>
      <c r="DP89" s="63">
        <v>0.34</v>
      </c>
      <c r="DQ89" s="63">
        <v>0.4</v>
      </c>
      <c r="DR89" s="63">
        <v>0.06</v>
      </c>
      <c r="DS89" s="63">
        <v>0.27</v>
      </c>
      <c r="DT89" s="63">
        <v>0.41</v>
      </c>
      <c r="DU89" s="63">
        <v>0.36</v>
      </c>
      <c r="DV89" s="63">
        <v>0.45</v>
      </c>
      <c r="DW89" s="63">
        <v>0.14000000000000001</v>
      </c>
      <c r="DX89" s="35">
        <v>59</v>
      </c>
      <c r="DY89" s="35">
        <v>7</v>
      </c>
      <c r="DZ89" s="40">
        <v>0</v>
      </c>
      <c r="EA89" s="40">
        <v>0.38</v>
      </c>
      <c r="EB89" s="40">
        <v>0.55000000000000004</v>
      </c>
      <c r="EC89" s="40">
        <v>7.0000000000000007E-2</v>
      </c>
      <c r="ED89" s="40">
        <v>0.28999999999999998</v>
      </c>
      <c r="EE89" s="40">
        <v>0.34</v>
      </c>
      <c r="EF89" s="40">
        <v>0.41</v>
      </c>
      <c r="EG89" s="40">
        <v>0.15</v>
      </c>
      <c r="EH89" s="40">
        <v>0.32</v>
      </c>
      <c r="EI89" s="40">
        <v>0.41</v>
      </c>
      <c r="EJ89" s="40">
        <v>0.47</v>
      </c>
      <c r="EK89" s="40">
        <v>0.1</v>
      </c>
      <c r="EL89" s="40">
        <v>0.33</v>
      </c>
      <c r="EM89" s="40">
        <v>0.49</v>
      </c>
      <c r="EN89" s="40">
        <v>0.24</v>
      </c>
      <c r="EO89" s="40">
        <v>0.47</v>
      </c>
      <c r="EP89" s="40">
        <v>0.19</v>
      </c>
      <c r="EQ89" s="40">
        <v>0.1</v>
      </c>
      <c r="ER89" s="40">
        <v>0.5</v>
      </c>
      <c r="ES89" s="40">
        <v>0.28999999999999998</v>
      </c>
      <c r="ET89" s="40">
        <v>0.12</v>
      </c>
      <c r="EU89" s="40">
        <v>0.34</v>
      </c>
      <c r="EV89" s="40">
        <v>0.15</v>
      </c>
      <c r="EW89" s="40">
        <v>0.19</v>
      </c>
      <c r="EX89" s="40">
        <v>0.47</v>
      </c>
      <c r="EY89" s="40">
        <v>0.35</v>
      </c>
      <c r="EZ89" s="40">
        <v>0.05</v>
      </c>
      <c r="FA89" s="40">
        <v>0.38</v>
      </c>
      <c r="FB89" s="246">
        <v>56</v>
      </c>
      <c r="FC89" s="246" t="s">
        <v>758</v>
      </c>
      <c r="FD89" s="246">
        <v>9</v>
      </c>
      <c r="FE89" s="246" t="s">
        <v>758</v>
      </c>
      <c r="FF89" s="263">
        <v>0.03</v>
      </c>
      <c r="FG89" s="263">
        <v>0.39</v>
      </c>
      <c r="FH89" s="263">
        <v>0.53</v>
      </c>
      <c r="FI89" s="263">
        <v>0.05</v>
      </c>
      <c r="FJ89" s="263">
        <v>0.38</v>
      </c>
      <c r="FK89" s="263">
        <v>0.55000000000000004</v>
      </c>
      <c r="FL89" s="263">
        <v>0.35</v>
      </c>
      <c r="FM89" s="263">
        <v>0.26</v>
      </c>
      <c r="FN89" s="263">
        <v>0.26</v>
      </c>
      <c r="FO89" s="263">
        <v>0.17</v>
      </c>
      <c r="FP89" s="263">
        <v>0.2</v>
      </c>
      <c r="FQ89" s="263">
        <v>0.31</v>
      </c>
      <c r="FR89" s="263">
        <v>0.5</v>
      </c>
      <c r="FS89" s="263">
        <v>0.43</v>
      </c>
      <c r="FT89" s="263">
        <v>0.42</v>
      </c>
      <c r="FU89" s="263">
        <v>0.24</v>
      </c>
      <c r="FV89" s="263">
        <v>0.33</v>
      </c>
      <c r="FW89" s="263">
        <v>0.46</v>
      </c>
      <c r="FX89" s="263">
        <v>0.33</v>
      </c>
      <c r="FY89" s="263">
        <v>0.23</v>
      </c>
      <c r="FZ89" s="263">
        <v>0.45</v>
      </c>
      <c r="GA89" s="263">
        <v>0.56999999999999995</v>
      </c>
      <c r="GB89" s="263">
        <v>0.32</v>
      </c>
      <c r="GC89" s="263">
        <v>0.36</v>
      </c>
      <c r="GD89" s="263">
        <v>0.48</v>
      </c>
      <c r="GE89" s="263">
        <v>0.44</v>
      </c>
      <c r="GF89" s="263">
        <v>0.28999999999999998</v>
      </c>
      <c r="GG89" s="263">
        <v>0.24</v>
      </c>
      <c r="GH89" s="263">
        <v>0.36</v>
      </c>
      <c r="GI89" s="263">
        <v>0.24</v>
      </c>
      <c r="GJ89" s="309">
        <v>61</v>
      </c>
      <c r="GK89" s="309" t="s">
        <v>759</v>
      </c>
      <c r="GL89" s="309">
        <v>7</v>
      </c>
      <c r="GM89" s="309" t="s">
        <v>758</v>
      </c>
      <c r="GN89" s="327">
        <v>0</v>
      </c>
      <c r="GO89" s="327">
        <v>0.17</v>
      </c>
      <c r="GP89" s="327">
        <v>0.74</v>
      </c>
      <c r="GQ89" s="327">
        <v>0.09</v>
      </c>
      <c r="GR89" s="327">
        <v>0.13</v>
      </c>
      <c r="GS89" s="327">
        <v>0.3</v>
      </c>
      <c r="GT89" s="327">
        <v>0.51</v>
      </c>
      <c r="GU89" s="327">
        <v>0</v>
      </c>
      <c r="GV89" s="327">
        <v>0.3</v>
      </c>
      <c r="GW89" s="327">
        <v>0.28999999999999998</v>
      </c>
      <c r="GX89" s="327">
        <v>0.22</v>
      </c>
      <c r="GY89" s="309" t="s">
        <v>173</v>
      </c>
      <c r="GZ89" s="327">
        <v>0.22</v>
      </c>
      <c r="HA89" s="327">
        <v>0.7</v>
      </c>
      <c r="HB89" s="327">
        <v>0.36</v>
      </c>
      <c r="HC89" s="327">
        <v>0.34</v>
      </c>
      <c r="HD89" s="327">
        <v>0.39</v>
      </c>
      <c r="HE89" s="327">
        <v>0.19</v>
      </c>
      <c r="HF89" s="327">
        <v>0.23</v>
      </c>
      <c r="HG89" s="327">
        <v>0.55000000000000004</v>
      </c>
      <c r="HH89" s="327">
        <v>0.12</v>
      </c>
      <c r="HI89" s="327">
        <v>0.35</v>
      </c>
      <c r="HJ89" s="327">
        <v>0.46</v>
      </c>
      <c r="HK89" s="327">
        <v>0.38</v>
      </c>
      <c r="HL89" s="327">
        <v>0.27</v>
      </c>
      <c r="HM89" s="327">
        <v>0.32</v>
      </c>
      <c r="HN89" s="327">
        <v>0.28999999999999998</v>
      </c>
      <c r="HO89" s="327">
        <v>0.11</v>
      </c>
      <c r="HP89" s="309" t="s">
        <v>173</v>
      </c>
      <c r="HQ89" s="327">
        <v>0.28000000000000003</v>
      </c>
      <c r="HR89" s="424">
        <v>64</v>
      </c>
      <c r="HS89" s="424" t="s">
        <v>759</v>
      </c>
      <c r="HT89" s="424">
        <v>8</v>
      </c>
      <c r="HU89" s="424" t="s">
        <v>758</v>
      </c>
      <c r="HV89" s="428">
        <v>0</v>
      </c>
      <c r="HW89" s="428">
        <v>0.18</v>
      </c>
      <c r="HX89" s="428">
        <v>0.65</v>
      </c>
      <c r="HY89" s="428">
        <v>0.18</v>
      </c>
      <c r="HZ89" s="428">
        <v>0.12</v>
      </c>
      <c r="IA89" s="428">
        <v>0.33</v>
      </c>
      <c r="IB89" s="428">
        <v>0.06</v>
      </c>
      <c r="IC89" s="428">
        <v>0.47</v>
      </c>
      <c r="ID89" s="428">
        <v>0.56000000000000005</v>
      </c>
      <c r="IE89" s="428">
        <v>0.03</v>
      </c>
      <c r="IF89" s="428">
        <v>0.38</v>
      </c>
      <c r="IG89" s="428">
        <v>0.54</v>
      </c>
      <c r="IH89" s="428">
        <v>0.32</v>
      </c>
      <c r="II89" s="428">
        <v>0</v>
      </c>
      <c r="IJ89" s="428">
        <v>0.14000000000000001</v>
      </c>
      <c r="IK89" s="428">
        <v>0.46</v>
      </c>
      <c r="IL89" s="428">
        <v>0.21</v>
      </c>
      <c r="IM89" s="428">
        <v>0.25</v>
      </c>
      <c r="IN89" s="428">
        <v>0.24</v>
      </c>
      <c r="IO89" s="428">
        <v>0.28000000000000003</v>
      </c>
      <c r="IP89" s="428">
        <v>0.22</v>
      </c>
      <c r="IQ89" s="428">
        <v>0.23</v>
      </c>
      <c r="IR89" s="428">
        <v>0.3</v>
      </c>
      <c r="IS89" s="428">
        <v>0.4</v>
      </c>
      <c r="IT89" s="428">
        <v>0.23</v>
      </c>
      <c r="IU89" s="424" t="s">
        <v>173</v>
      </c>
      <c r="IV89" s="428">
        <v>0.48</v>
      </c>
      <c r="IW89" s="428">
        <v>0.16</v>
      </c>
      <c r="IX89" s="428">
        <v>0.14000000000000001</v>
      </c>
      <c r="IY89" s="428">
        <v>0.17</v>
      </c>
      <c r="IZ89" s="464">
        <v>62</v>
      </c>
      <c r="JA89" s="464" t="s">
        <v>759</v>
      </c>
      <c r="JB89" s="464">
        <v>6</v>
      </c>
      <c r="JC89" s="464" t="s">
        <v>758</v>
      </c>
      <c r="JD89" s="476">
        <v>0</v>
      </c>
      <c r="JE89" s="476">
        <v>7.0000000000000007E-2</v>
      </c>
      <c r="JF89" s="476">
        <v>0.89</v>
      </c>
      <c r="JG89" s="476">
        <v>0.04</v>
      </c>
      <c r="JH89" s="476">
        <v>0.35</v>
      </c>
      <c r="JI89" s="476">
        <v>0.17</v>
      </c>
      <c r="JJ89" s="476">
        <v>0.19</v>
      </c>
      <c r="JK89" s="476">
        <v>0.32</v>
      </c>
      <c r="JL89" s="476">
        <v>0.28000000000000003</v>
      </c>
      <c r="JM89" s="476">
        <v>0.27</v>
      </c>
      <c r="JN89" s="476">
        <v>0.14000000000000001</v>
      </c>
      <c r="JO89" s="476">
        <v>0.28999999999999998</v>
      </c>
      <c r="JP89" s="476">
        <v>0.35</v>
      </c>
      <c r="JQ89" s="476">
        <v>0.05</v>
      </c>
      <c r="JR89" s="476">
        <v>0.26</v>
      </c>
      <c r="JS89" s="476">
        <v>0.33</v>
      </c>
      <c r="JT89" s="476">
        <v>0.28000000000000003</v>
      </c>
      <c r="JU89" s="476">
        <v>0.33</v>
      </c>
      <c r="JV89" s="476">
        <v>0.34</v>
      </c>
      <c r="JW89" s="476">
        <v>0.38</v>
      </c>
      <c r="JX89" s="476">
        <v>0.15</v>
      </c>
      <c r="JY89" s="476">
        <v>0.35</v>
      </c>
      <c r="JZ89" s="476">
        <v>0.3</v>
      </c>
      <c r="KA89" s="476">
        <v>0.54</v>
      </c>
      <c r="KB89" s="476">
        <v>0.16</v>
      </c>
      <c r="KC89" s="476">
        <v>0.27</v>
      </c>
      <c r="KD89" s="476">
        <v>0.2</v>
      </c>
      <c r="KE89" s="476">
        <v>0.39</v>
      </c>
      <c r="KF89" s="476">
        <v>0.25</v>
      </c>
      <c r="KG89" s="476">
        <v>0.26</v>
      </c>
      <c r="KH89" s="971">
        <v>60</v>
      </c>
      <c r="KI89" s="971" t="s">
        <v>758</v>
      </c>
      <c r="KJ89" s="971">
        <v>7</v>
      </c>
      <c r="KK89" s="971" t="s">
        <v>758</v>
      </c>
      <c r="KL89" s="949">
        <v>0</v>
      </c>
      <c r="KM89" s="949">
        <v>0.24</v>
      </c>
      <c r="KN89" s="949">
        <v>0.68</v>
      </c>
      <c r="KO89" s="949">
        <v>0.08</v>
      </c>
      <c r="KP89" s="949">
        <v>0.37</v>
      </c>
      <c r="KQ89" s="949">
        <v>0.08</v>
      </c>
      <c r="KR89" s="949">
        <v>0.4</v>
      </c>
      <c r="KS89" s="949">
        <v>0.39</v>
      </c>
      <c r="KT89" s="949">
        <v>0.5</v>
      </c>
      <c r="KU89" s="949">
        <v>0.3</v>
      </c>
      <c r="KV89" s="949">
        <v>0.51</v>
      </c>
      <c r="KW89" s="949">
        <v>0.24</v>
      </c>
      <c r="KX89" s="949">
        <v>0.22</v>
      </c>
      <c r="KY89" s="949">
        <v>0.27</v>
      </c>
      <c r="KZ89" s="949">
        <v>0.16</v>
      </c>
      <c r="LA89" s="949">
        <v>0.2</v>
      </c>
      <c r="LB89" s="949">
        <v>0.26</v>
      </c>
      <c r="LC89" s="949">
        <v>0.28999999999999998</v>
      </c>
      <c r="LD89" s="949">
        <v>0.43</v>
      </c>
      <c r="LE89" s="949">
        <v>0.43</v>
      </c>
      <c r="LF89" s="949">
        <v>0.09</v>
      </c>
      <c r="LG89" s="949">
        <v>0.2</v>
      </c>
      <c r="LH89" s="949">
        <v>0.49</v>
      </c>
      <c r="LI89" s="949">
        <v>0.26</v>
      </c>
      <c r="LJ89" s="949">
        <v>0.28999999999999998</v>
      </c>
      <c r="LK89" s="949">
        <v>0.44</v>
      </c>
      <c r="LL89" s="949" t="s">
        <v>173</v>
      </c>
      <c r="LM89" s="949">
        <v>0.47</v>
      </c>
      <c r="LN89" s="949">
        <v>0.45</v>
      </c>
      <c r="LO89" s="949">
        <v>0.33</v>
      </c>
      <c r="LP89" s="922">
        <v>325754000046</v>
      </c>
      <c r="LQ89" s="126" t="s">
        <v>64</v>
      </c>
      <c r="LR89" s="424">
        <v>64</v>
      </c>
      <c r="LS89" s="971">
        <v>60</v>
      </c>
      <c r="LT89" s="946"/>
    </row>
    <row r="90" spans="1:332" ht="24.95" customHeight="1" x14ac:dyDescent="0.2">
      <c r="A90" s="126" t="s">
        <v>801</v>
      </c>
      <c r="B90" s="14" t="s">
        <v>123</v>
      </c>
      <c r="C90" s="2">
        <v>6</v>
      </c>
      <c r="D90" s="12"/>
      <c r="E90" s="12"/>
      <c r="F90" s="66"/>
      <c r="G90" s="66"/>
      <c r="H90" s="66"/>
      <c r="I90" s="66"/>
      <c r="J90" s="66"/>
      <c r="K90" s="66"/>
      <c r="L90" s="66"/>
      <c r="M90" s="66"/>
      <c r="N90" s="66"/>
      <c r="O90" s="66"/>
      <c r="P90" s="66"/>
      <c r="Q90" s="66"/>
      <c r="R90" s="66"/>
      <c r="S90" s="66"/>
      <c r="T90" s="66"/>
      <c r="U90" s="66"/>
      <c r="V90" s="66"/>
      <c r="W90" s="66"/>
      <c r="X90" s="66"/>
      <c r="Y90" s="66"/>
      <c r="Z90" s="12"/>
      <c r="AA90" s="66"/>
      <c r="AB90" s="66"/>
      <c r="AC90" s="66"/>
      <c r="AD90" s="66"/>
      <c r="AE90" s="66"/>
      <c r="AF90" s="66"/>
      <c r="AG90" s="66"/>
      <c r="AH90" s="12"/>
      <c r="AI90" s="12"/>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12"/>
      <c r="BN90" s="12"/>
      <c r="BO90" s="66"/>
      <c r="BP90" s="66"/>
      <c r="BQ90" s="66"/>
      <c r="BR90" s="66"/>
      <c r="BS90" s="66"/>
      <c r="BT90" s="66"/>
      <c r="BU90" s="66"/>
      <c r="BV90" s="66"/>
      <c r="BW90" s="66"/>
      <c r="BX90" s="66"/>
      <c r="BY90" s="66"/>
      <c r="BZ90" s="66"/>
      <c r="CA90" s="66"/>
      <c r="CB90" s="66"/>
      <c r="CC90" s="66"/>
      <c r="CD90" s="66"/>
      <c r="CE90" s="66"/>
      <c r="CF90" s="66"/>
      <c r="CG90" s="66"/>
      <c r="CH90" s="66"/>
      <c r="CI90" s="66"/>
      <c r="CJ90" s="66"/>
      <c r="CK90" s="66"/>
      <c r="CL90" s="66"/>
      <c r="CM90" s="66"/>
      <c r="CN90" s="66"/>
      <c r="CO90" s="66"/>
      <c r="CP90" s="66"/>
      <c r="CQ90" s="66"/>
      <c r="CR90" s="66"/>
      <c r="CS90" s="12"/>
      <c r="CT90" s="12"/>
      <c r="CU90" s="63"/>
      <c r="CV90" s="63"/>
      <c r="CW90" s="63"/>
      <c r="CX90" s="63"/>
      <c r="CY90" s="63"/>
      <c r="CZ90" s="63"/>
      <c r="DA90" s="63"/>
      <c r="DB90" s="63"/>
      <c r="DC90" s="63"/>
      <c r="DD90" s="63"/>
      <c r="DE90" s="63"/>
      <c r="DF90" s="63"/>
      <c r="DG90" s="63"/>
      <c r="DH90" s="63"/>
      <c r="DI90" s="63"/>
      <c r="DJ90" s="63"/>
      <c r="DK90" s="63"/>
      <c r="DL90" s="63"/>
      <c r="DM90" s="63"/>
      <c r="DN90" s="63"/>
      <c r="DO90" s="63"/>
      <c r="DP90" s="63"/>
      <c r="DQ90" s="63"/>
      <c r="DR90" s="63"/>
      <c r="DS90" s="63"/>
      <c r="DT90" s="63"/>
      <c r="DU90" s="63"/>
      <c r="DV90" s="63"/>
      <c r="DW90" s="63"/>
      <c r="DX90" s="35"/>
      <c r="DY90" s="35"/>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246"/>
      <c r="FC90" s="246"/>
      <c r="FD90" s="246"/>
      <c r="FE90" s="246"/>
      <c r="FF90" s="263"/>
      <c r="FG90" s="263"/>
      <c r="FH90" s="263"/>
      <c r="FI90" s="263"/>
      <c r="FJ90" s="263"/>
      <c r="FK90" s="263"/>
      <c r="FL90" s="263"/>
      <c r="FM90" s="263"/>
      <c r="FN90" s="263"/>
      <c r="FO90" s="263"/>
      <c r="FP90" s="263"/>
      <c r="FQ90" s="263"/>
      <c r="FR90" s="263"/>
      <c r="FS90" s="263"/>
      <c r="FT90" s="263"/>
      <c r="FU90" s="263"/>
      <c r="FV90" s="263"/>
      <c r="FW90" s="263"/>
      <c r="FX90" s="263"/>
      <c r="FY90" s="263"/>
      <c r="FZ90" s="263"/>
      <c r="GA90" s="263"/>
      <c r="GB90" s="263"/>
      <c r="GC90" s="263"/>
      <c r="GD90" s="263"/>
      <c r="GE90" s="263"/>
      <c r="GF90" s="263"/>
      <c r="GG90" s="263"/>
      <c r="GH90" s="263"/>
      <c r="GI90" s="263"/>
      <c r="GJ90" s="309">
        <v>42</v>
      </c>
      <c r="GK90" s="309" t="s">
        <v>760</v>
      </c>
      <c r="GL90" s="309">
        <v>8</v>
      </c>
      <c r="GM90" s="309" t="s">
        <v>758</v>
      </c>
      <c r="GN90" s="327">
        <v>0.47</v>
      </c>
      <c r="GO90" s="327">
        <v>0.47</v>
      </c>
      <c r="GP90" s="327">
        <v>0.06</v>
      </c>
      <c r="GQ90" s="327">
        <v>0</v>
      </c>
      <c r="GR90" s="327">
        <v>0.56999999999999995</v>
      </c>
      <c r="GS90" s="327">
        <v>0.68</v>
      </c>
      <c r="GT90" s="327">
        <v>0.66</v>
      </c>
      <c r="GU90" s="327">
        <v>0.56000000000000005</v>
      </c>
      <c r="GV90" s="327">
        <v>0.74</v>
      </c>
      <c r="GW90" s="327">
        <v>0.53</v>
      </c>
      <c r="GX90" s="327">
        <v>0.65</v>
      </c>
      <c r="GY90" s="309" t="s">
        <v>173</v>
      </c>
      <c r="GZ90" s="327">
        <v>0.63</v>
      </c>
      <c r="HA90" s="327">
        <v>0.38</v>
      </c>
      <c r="HB90" s="327">
        <v>0.64</v>
      </c>
      <c r="HC90" s="327">
        <v>0.71</v>
      </c>
      <c r="HD90" s="327">
        <v>0.69</v>
      </c>
      <c r="HE90" s="327">
        <v>0.55000000000000004</v>
      </c>
      <c r="HF90" s="327">
        <v>0.61</v>
      </c>
      <c r="HG90" s="327">
        <v>0.72</v>
      </c>
      <c r="HH90" s="327">
        <v>0.51</v>
      </c>
      <c r="HI90" s="327">
        <v>0.64</v>
      </c>
      <c r="HJ90" s="327">
        <v>0.69</v>
      </c>
      <c r="HK90" s="327">
        <v>0.74</v>
      </c>
      <c r="HL90" s="327">
        <v>0.56999999999999995</v>
      </c>
      <c r="HM90" s="327">
        <v>0.64</v>
      </c>
      <c r="HN90" s="327">
        <v>0.57999999999999996</v>
      </c>
      <c r="HO90" s="327">
        <v>0.56999999999999995</v>
      </c>
      <c r="HP90" s="309" t="s">
        <v>173</v>
      </c>
      <c r="HQ90" s="327">
        <v>0.67</v>
      </c>
      <c r="HR90" s="424">
        <v>50</v>
      </c>
      <c r="HS90" s="424" t="s">
        <v>758</v>
      </c>
      <c r="HT90" s="424">
        <v>0</v>
      </c>
      <c r="HU90" s="424" t="s">
        <v>760</v>
      </c>
      <c r="HV90" s="428">
        <v>0</v>
      </c>
      <c r="HW90" s="428">
        <v>1</v>
      </c>
      <c r="HX90" s="428">
        <v>0</v>
      </c>
      <c r="HY90" s="428">
        <v>0</v>
      </c>
      <c r="HZ90" s="428">
        <v>0.5</v>
      </c>
      <c r="IA90" s="428">
        <v>0.67</v>
      </c>
      <c r="IB90" s="428">
        <v>0</v>
      </c>
      <c r="IC90" s="428">
        <v>0.25</v>
      </c>
      <c r="ID90" s="428">
        <v>0.67</v>
      </c>
      <c r="IE90" s="428">
        <v>0</v>
      </c>
      <c r="IF90" s="428">
        <v>0.5</v>
      </c>
      <c r="IG90" s="428">
        <v>0.67</v>
      </c>
      <c r="IH90" s="428">
        <v>0.5</v>
      </c>
      <c r="II90" s="424" t="s">
        <v>173</v>
      </c>
      <c r="IJ90" s="428">
        <v>0.33</v>
      </c>
      <c r="IK90" s="428">
        <v>0.67</v>
      </c>
      <c r="IL90" s="428">
        <v>1</v>
      </c>
      <c r="IM90" s="428">
        <v>1</v>
      </c>
      <c r="IN90" s="428">
        <v>0.5</v>
      </c>
      <c r="IO90" s="428">
        <v>0.75</v>
      </c>
      <c r="IP90" s="428">
        <v>0.33</v>
      </c>
      <c r="IQ90" s="428">
        <v>0</v>
      </c>
      <c r="IR90" s="428">
        <v>1</v>
      </c>
      <c r="IS90" s="424" t="s">
        <v>173</v>
      </c>
      <c r="IT90" s="428">
        <v>0.33</v>
      </c>
      <c r="IU90" s="424" t="s">
        <v>173</v>
      </c>
      <c r="IV90" s="428">
        <v>0.5</v>
      </c>
      <c r="IW90" s="428">
        <v>0.33</v>
      </c>
      <c r="IX90" s="428">
        <v>1</v>
      </c>
      <c r="IY90" s="428">
        <v>1</v>
      </c>
      <c r="IZ90" s="641"/>
      <c r="JA90" s="641"/>
      <c r="JB90" s="641"/>
      <c r="JC90" s="641"/>
      <c r="JD90" s="642"/>
      <c r="JE90" s="642"/>
      <c r="JF90" s="642"/>
      <c r="JG90" s="642"/>
      <c r="JH90" s="642"/>
      <c r="JI90" s="642"/>
      <c r="JJ90" s="642"/>
      <c r="JK90" s="642"/>
      <c r="JL90" s="642"/>
      <c r="JM90" s="641"/>
      <c r="JN90" s="642"/>
      <c r="JO90" s="642"/>
      <c r="JP90" s="642"/>
      <c r="JQ90" s="642"/>
      <c r="JR90" s="641"/>
      <c r="JS90" s="642"/>
      <c r="JT90" s="642"/>
      <c r="JU90" s="642"/>
      <c r="JV90" s="642"/>
      <c r="JW90" s="642"/>
      <c r="JX90" s="642"/>
      <c r="JY90" s="642"/>
      <c r="JZ90" s="641"/>
      <c r="KA90" s="642"/>
      <c r="KB90" s="642"/>
      <c r="KC90" s="642"/>
      <c r="KD90" s="642"/>
      <c r="KE90" s="642"/>
      <c r="KF90" s="642"/>
      <c r="KG90" s="642"/>
      <c r="KH90" s="971"/>
      <c r="KI90" s="971"/>
      <c r="KJ90" s="971"/>
      <c r="KK90" s="971"/>
      <c r="KL90" s="949"/>
      <c r="KM90" s="949"/>
      <c r="KN90" s="949"/>
      <c r="KO90" s="949"/>
      <c r="KP90" s="949"/>
      <c r="KQ90" s="949"/>
      <c r="KR90" s="949"/>
      <c r="KS90" s="949"/>
      <c r="KT90" s="949"/>
      <c r="KU90" s="949"/>
      <c r="KV90" s="949"/>
      <c r="KW90" s="949"/>
      <c r="KX90" s="949"/>
      <c r="KY90" s="949"/>
      <c r="KZ90" s="949"/>
      <c r="LA90" s="949"/>
      <c r="LB90" s="949"/>
      <c r="LC90" s="949"/>
      <c r="LD90" s="949"/>
      <c r="LE90" s="949"/>
      <c r="LF90" s="949"/>
      <c r="LG90" s="949"/>
      <c r="LH90" s="949"/>
      <c r="LI90" s="949"/>
      <c r="LJ90" s="949"/>
      <c r="LK90" s="949"/>
      <c r="LL90" s="949"/>
      <c r="LM90" s="949"/>
      <c r="LN90" s="949"/>
      <c r="LO90" s="949"/>
      <c r="LP90" s="922"/>
      <c r="LQ90" s="126" t="s">
        <v>801</v>
      </c>
      <c r="LR90" s="424">
        <v>50</v>
      </c>
      <c r="LS90" s="971"/>
      <c r="LT90" s="946"/>
    </row>
    <row r="91" spans="1:332" ht="24.95" customHeight="1" x14ac:dyDescent="0.2">
      <c r="A91" s="322" t="s">
        <v>162</v>
      </c>
      <c r="B91" s="1" t="s">
        <v>123</v>
      </c>
      <c r="C91" s="309">
        <v>3</v>
      </c>
      <c r="D91" s="328"/>
      <c r="E91" s="328"/>
      <c r="F91" s="328"/>
      <c r="G91" s="328"/>
      <c r="H91" s="328"/>
      <c r="I91" s="328"/>
      <c r="J91" s="328"/>
      <c r="K91" s="328"/>
      <c r="L91" s="328"/>
      <c r="M91" s="328"/>
      <c r="N91" s="328"/>
      <c r="O91" s="328"/>
      <c r="P91" s="328"/>
      <c r="Q91" s="328"/>
      <c r="R91" s="328"/>
      <c r="S91" s="328"/>
      <c r="T91" s="328"/>
      <c r="U91" s="328"/>
      <c r="V91" s="328"/>
      <c r="W91" s="328"/>
      <c r="X91" s="328"/>
      <c r="Y91" s="328"/>
      <c r="Z91" s="328"/>
      <c r="AA91" s="328"/>
      <c r="AB91" s="328"/>
      <c r="AC91" s="328"/>
      <c r="AD91" s="328"/>
      <c r="AE91" s="328"/>
      <c r="AF91" s="328"/>
      <c r="AG91" s="328"/>
      <c r="AH91" s="328" t="s">
        <v>126</v>
      </c>
      <c r="AI91" s="328" t="s">
        <v>126</v>
      </c>
      <c r="AJ91" s="331"/>
      <c r="AK91" s="331"/>
      <c r="AL91" s="331"/>
      <c r="AM91" s="331"/>
      <c r="AN91" s="331"/>
      <c r="AO91" s="331"/>
      <c r="AP91" s="331"/>
      <c r="AQ91" s="331"/>
      <c r="AR91" s="331"/>
      <c r="AS91" s="331"/>
      <c r="AT91" s="331"/>
      <c r="AU91" s="331"/>
      <c r="AV91" s="331"/>
      <c r="AW91" s="331"/>
      <c r="AX91" s="331"/>
      <c r="AY91" s="331"/>
      <c r="AZ91" s="331"/>
      <c r="BA91" s="331"/>
      <c r="BB91" s="331"/>
      <c r="BC91" s="331"/>
      <c r="BD91" s="331"/>
      <c r="BE91" s="331"/>
      <c r="BF91" s="331"/>
      <c r="BG91" s="331"/>
      <c r="BH91" s="331"/>
      <c r="BI91" s="331"/>
      <c r="BJ91" s="331"/>
      <c r="BK91" s="331"/>
      <c r="BL91" s="331"/>
      <c r="BM91" s="328" t="s">
        <v>126</v>
      </c>
      <c r="BN91" s="328" t="s">
        <v>126</v>
      </c>
      <c r="BO91" s="328"/>
      <c r="BP91" s="328"/>
      <c r="BQ91" s="328"/>
      <c r="BR91" s="328"/>
      <c r="BS91" s="328"/>
      <c r="BT91" s="328"/>
      <c r="BU91" s="328"/>
      <c r="BV91" s="328"/>
      <c r="BW91" s="328"/>
      <c r="BX91" s="328"/>
      <c r="BY91" s="328"/>
      <c r="BZ91" s="328"/>
      <c r="CA91" s="328"/>
      <c r="CB91" s="328"/>
      <c r="CC91" s="328"/>
      <c r="CD91" s="328"/>
      <c r="CE91" s="328"/>
      <c r="CF91" s="328"/>
      <c r="CG91" s="328"/>
      <c r="CH91" s="328"/>
      <c r="CI91" s="328"/>
      <c r="CJ91" s="328"/>
      <c r="CK91" s="328"/>
      <c r="CL91" s="328"/>
      <c r="CM91" s="328"/>
      <c r="CN91" s="328"/>
      <c r="CO91" s="328"/>
      <c r="CP91" s="328"/>
      <c r="CQ91" s="328"/>
      <c r="CR91" s="328"/>
      <c r="CS91" s="328" t="s">
        <v>126</v>
      </c>
      <c r="CT91" s="328" t="s">
        <v>126</v>
      </c>
      <c r="CU91" s="309"/>
      <c r="CV91" s="309"/>
      <c r="CW91" s="309"/>
      <c r="CX91" s="309"/>
      <c r="CY91" s="309"/>
      <c r="CZ91" s="309"/>
      <c r="DA91" s="309"/>
      <c r="DB91" s="309"/>
      <c r="DC91" s="309"/>
      <c r="DD91" s="309"/>
      <c r="DE91" s="309"/>
      <c r="DF91" s="309"/>
      <c r="DG91" s="309"/>
      <c r="DH91" s="309"/>
      <c r="DI91" s="309"/>
      <c r="DJ91" s="309"/>
      <c r="DK91" s="309"/>
      <c r="DL91" s="309"/>
      <c r="DM91" s="309"/>
      <c r="DN91" s="309"/>
      <c r="DO91" s="309"/>
      <c r="DP91" s="309"/>
      <c r="DQ91" s="309"/>
      <c r="DR91" s="309"/>
      <c r="DS91" s="309"/>
      <c r="DT91" s="309"/>
      <c r="DU91" s="309"/>
      <c r="DV91" s="309"/>
      <c r="DW91" s="309"/>
      <c r="DX91" s="311">
        <v>51</v>
      </c>
      <c r="DY91" s="311">
        <v>7</v>
      </c>
      <c r="DZ91" s="331">
        <v>0.13</v>
      </c>
      <c r="EA91" s="331">
        <v>0.63</v>
      </c>
      <c r="EB91" s="331">
        <v>0.25</v>
      </c>
      <c r="EC91" s="331">
        <v>0</v>
      </c>
      <c r="ED91" s="331">
        <v>0.73</v>
      </c>
      <c r="EE91" s="331">
        <v>0.53</v>
      </c>
      <c r="EF91" s="331">
        <v>0.54</v>
      </c>
      <c r="EG91" s="331">
        <v>0.33</v>
      </c>
      <c r="EH91" s="331">
        <v>0.54</v>
      </c>
      <c r="EI91" s="331">
        <v>0.46</v>
      </c>
      <c r="EJ91" s="331">
        <v>0.61</v>
      </c>
      <c r="EK91" s="331">
        <v>0.28999999999999998</v>
      </c>
      <c r="EL91" s="331">
        <v>0.23</v>
      </c>
      <c r="EM91" s="331">
        <v>0.71</v>
      </c>
      <c r="EN91" s="331">
        <v>0.46</v>
      </c>
      <c r="EO91" s="331">
        <v>0.63</v>
      </c>
      <c r="EP91" s="331">
        <v>0.31</v>
      </c>
      <c r="EQ91" s="331">
        <v>0</v>
      </c>
      <c r="ER91" s="331">
        <v>0.56999999999999995</v>
      </c>
      <c r="ES91" s="331">
        <v>0.31</v>
      </c>
      <c r="ET91" s="331">
        <v>0.33</v>
      </c>
      <c r="EU91" s="331">
        <v>0.78</v>
      </c>
      <c r="EV91" s="331">
        <v>0</v>
      </c>
      <c r="EW91" s="331">
        <v>0.18</v>
      </c>
      <c r="EX91" s="331">
        <v>0.67</v>
      </c>
      <c r="EY91" s="331">
        <v>0.56999999999999995</v>
      </c>
      <c r="EZ91" s="331">
        <v>0.2</v>
      </c>
      <c r="FA91" s="331">
        <v>0.65</v>
      </c>
      <c r="FB91" s="312">
        <v>57</v>
      </c>
      <c r="FC91" s="312" t="s">
        <v>758</v>
      </c>
      <c r="FD91" s="312">
        <v>7</v>
      </c>
      <c r="FE91" s="312" t="s">
        <v>758</v>
      </c>
      <c r="FF91" s="332">
        <v>0</v>
      </c>
      <c r="FG91" s="332">
        <v>0.33</v>
      </c>
      <c r="FH91" s="332">
        <v>0.67</v>
      </c>
      <c r="FI91" s="332">
        <v>0</v>
      </c>
      <c r="FJ91" s="332">
        <v>0.38</v>
      </c>
      <c r="FK91" s="332">
        <v>0.6</v>
      </c>
      <c r="FL91" s="332">
        <v>0.38</v>
      </c>
      <c r="FM91" s="332">
        <v>0.33</v>
      </c>
      <c r="FN91" s="332">
        <v>0</v>
      </c>
      <c r="FO91" s="332">
        <v>0.18</v>
      </c>
      <c r="FP91" s="332">
        <v>0.19</v>
      </c>
      <c r="FQ91" s="332">
        <v>0.32</v>
      </c>
      <c r="FR91" s="332">
        <v>0.33</v>
      </c>
      <c r="FS91" s="332">
        <v>0.56000000000000005</v>
      </c>
      <c r="FT91" s="332">
        <v>0.4</v>
      </c>
      <c r="FU91" s="332">
        <v>0</v>
      </c>
      <c r="FV91" s="332">
        <v>0.2</v>
      </c>
      <c r="FW91" s="332">
        <v>0.62</v>
      </c>
      <c r="FX91" s="332">
        <v>0.2</v>
      </c>
      <c r="FY91" s="332">
        <v>0.13</v>
      </c>
      <c r="FZ91" s="332">
        <v>0.33</v>
      </c>
      <c r="GA91" s="332">
        <v>0.5</v>
      </c>
      <c r="GB91" s="332">
        <v>0.33</v>
      </c>
      <c r="GC91" s="332">
        <v>0.46</v>
      </c>
      <c r="GD91" s="332">
        <v>0.59</v>
      </c>
      <c r="GE91" s="332">
        <v>0.33</v>
      </c>
      <c r="GF91" s="332">
        <v>0.17</v>
      </c>
      <c r="GG91" s="332">
        <v>0.25</v>
      </c>
      <c r="GH91" s="332">
        <v>0.28000000000000003</v>
      </c>
      <c r="GI91" s="332">
        <v>0.06</v>
      </c>
      <c r="GJ91" s="309">
        <v>55</v>
      </c>
      <c r="GK91" s="309" t="s">
        <v>758</v>
      </c>
      <c r="GL91" s="309">
        <v>9</v>
      </c>
      <c r="GM91" s="309" t="s">
        <v>758</v>
      </c>
      <c r="GN91" s="327">
        <v>0.11</v>
      </c>
      <c r="GO91" s="327">
        <v>0.22</v>
      </c>
      <c r="GP91" s="327">
        <v>0.67</v>
      </c>
      <c r="GQ91" s="327">
        <v>0</v>
      </c>
      <c r="GR91" s="327">
        <v>0.27</v>
      </c>
      <c r="GS91" s="327">
        <v>0.28000000000000003</v>
      </c>
      <c r="GT91" s="327">
        <v>0.49</v>
      </c>
      <c r="GU91" s="327">
        <v>0</v>
      </c>
      <c r="GV91" s="327">
        <v>0.55000000000000004</v>
      </c>
      <c r="GW91" s="327">
        <v>0.46</v>
      </c>
      <c r="GX91" s="327">
        <v>0.44</v>
      </c>
      <c r="GY91" s="309" t="s">
        <v>173</v>
      </c>
      <c r="GZ91" s="327">
        <v>0.15</v>
      </c>
      <c r="HA91" s="327">
        <v>0.56999999999999995</v>
      </c>
      <c r="HB91" s="327">
        <v>0.4</v>
      </c>
      <c r="HC91" s="327">
        <v>0.32</v>
      </c>
      <c r="HD91" s="327">
        <v>0.39</v>
      </c>
      <c r="HE91" s="327">
        <v>0.5</v>
      </c>
      <c r="HF91" s="327">
        <v>0.37</v>
      </c>
      <c r="HG91" s="327">
        <v>0.59</v>
      </c>
      <c r="HH91" s="327">
        <v>0.35</v>
      </c>
      <c r="HI91" s="327">
        <v>0.32</v>
      </c>
      <c r="HJ91" s="327">
        <v>0.61</v>
      </c>
      <c r="HK91" s="327">
        <v>0.55000000000000004</v>
      </c>
      <c r="HL91" s="327">
        <v>0.39</v>
      </c>
      <c r="HM91" s="327">
        <v>0.52</v>
      </c>
      <c r="HN91" s="327">
        <v>0.28999999999999998</v>
      </c>
      <c r="HO91" s="327">
        <v>0.17</v>
      </c>
      <c r="HP91" s="309" t="s">
        <v>173</v>
      </c>
      <c r="HQ91" s="327">
        <v>0.37</v>
      </c>
      <c r="HR91" s="424">
        <v>58</v>
      </c>
      <c r="HS91" s="424" t="s">
        <v>758</v>
      </c>
      <c r="HT91" s="424">
        <v>9</v>
      </c>
      <c r="HU91" s="424" t="s">
        <v>758</v>
      </c>
      <c r="HV91" s="428">
        <v>0.1</v>
      </c>
      <c r="HW91" s="428">
        <v>0.2</v>
      </c>
      <c r="HX91" s="428">
        <v>0.6</v>
      </c>
      <c r="HY91" s="428">
        <v>0.1</v>
      </c>
      <c r="HZ91" s="428">
        <v>0.14000000000000001</v>
      </c>
      <c r="IA91" s="428">
        <v>0.39</v>
      </c>
      <c r="IB91" s="428">
        <v>0.1</v>
      </c>
      <c r="IC91" s="428">
        <v>0.33</v>
      </c>
      <c r="ID91" s="428">
        <v>0.32</v>
      </c>
      <c r="IE91" s="428">
        <v>0.22</v>
      </c>
      <c r="IF91" s="428">
        <v>0.32</v>
      </c>
      <c r="IG91" s="428">
        <v>0.26</v>
      </c>
      <c r="IH91" s="428">
        <v>0.35</v>
      </c>
      <c r="II91" s="428">
        <v>0</v>
      </c>
      <c r="IJ91" s="428">
        <v>0.28000000000000003</v>
      </c>
      <c r="IK91" s="428">
        <v>0.36</v>
      </c>
      <c r="IL91" s="428">
        <v>0.25</v>
      </c>
      <c r="IM91" s="428">
        <v>0.48</v>
      </c>
      <c r="IN91" s="428">
        <v>0.41</v>
      </c>
      <c r="IO91" s="428">
        <v>0.56999999999999995</v>
      </c>
      <c r="IP91" s="428">
        <v>0.43</v>
      </c>
      <c r="IQ91" s="428">
        <v>0.57999999999999996</v>
      </c>
      <c r="IR91" s="428">
        <v>0.42</v>
      </c>
      <c r="IS91" s="428">
        <v>0.28999999999999998</v>
      </c>
      <c r="IT91" s="428">
        <v>0.27</v>
      </c>
      <c r="IU91" s="424" t="s">
        <v>173</v>
      </c>
      <c r="IV91" s="428">
        <v>0.55000000000000004</v>
      </c>
      <c r="IW91" s="428">
        <v>0.44</v>
      </c>
      <c r="IX91" s="428">
        <v>0.5</v>
      </c>
      <c r="IY91" s="428">
        <v>0.3</v>
      </c>
      <c r="IZ91" s="654">
        <v>58</v>
      </c>
      <c r="JA91" s="654" t="s">
        <v>758</v>
      </c>
      <c r="JB91" s="654">
        <v>8</v>
      </c>
      <c r="JC91" s="654" t="s">
        <v>758</v>
      </c>
      <c r="JD91" s="655">
        <v>0</v>
      </c>
      <c r="JE91" s="655">
        <v>0.22</v>
      </c>
      <c r="JF91" s="655">
        <v>0.72</v>
      </c>
      <c r="JG91" s="655">
        <v>0.06</v>
      </c>
      <c r="JH91" s="655">
        <v>0.31</v>
      </c>
      <c r="JI91" s="655">
        <v>0.33</v>
      </c>
      <c r="JJ91" s="655">
        <v>0.3</v>
      </c>
      <c r="JK91" s="655">
        <v>0.28999999999999998</v>
      </c>
      <c r="JL91" s="655">
        <v>0.36</v>
      </c>
      <c r="JM91" s="655">
        <v>0.36</v>
      </c>
      <c r="JN91" s="655">
        <v>0.23</v>
      </c>
      <c r="JO91" s="655">
        <v>0.36</v>
      </c>
      <c r="JP91" s="655">
        <v>0.53</v>
      </c>
      <c r="JQ91" s="655">
        <v>0.12</v>
      </c>
      <c r="JR91" s="655">
        <v>0.39</v>
      </c>
      <c r="JS91" s="655">
        <v>0.39</v>
      </c>
      <c r="JT91" s="655">
        <v>0.42</v>
      </c>
      <c r="JU91" s="655">
        <v>0.27</v>
      </c>
      <c r="JV91" s="655">
        <v>0.31</v>
      </c>
      <c r="JW91" s="655">
        <v>0.36</v>
      </c>
      <c r="JX91" s="655">
        <v>0.3</v>
      </c>
      <c r="JY91" s="655">
        <v>0.32</v>
      </c>
      <c r="JZ91" s="655">
        <v>0.26</v>
      </c>
      <c r="KA91" s="655">
        <v>0.67</v>
      </c>
      <c r="KB91" s="655">
        <v>0.32</v>
      </c>
      <c r="KC91" s="655">
        <v>0.39</v>
      </c>
      <c r="KD91" s="655">
        <v>0.3</v>
      </c>
      <c r="KE91" s="655">
        <v>0.44</v>
      </c>
      <c r="KF91" s="655">
        <v>0.31</v>
      </c>
      <c r="KG91" s="655">
        <v>0.31</v>
      </c>
      <c r="KH91" s="971">
        <v>57</v>
      </c>
      <c r="KI91" s="971" t="s">
        <v>758</v>
      </c>
      <c r="KJ91" s="971">
        <v>7</v>
      </c>
      <c r="KK91" s="971" t="s">
        <v>758</v>
      </c>
      <c r="KL91" s="949">
        <v>0</v>
      </c>
      <c r="KM91" s="949">
        <v>0.33</v>
      </c>
      <c r="KN91" s="949">
        <v>0.67</v>
      </c>
      <c r="KO91" s="949">
        <v>0</v>
      </c>
      <c r="KP91" s="949">
        <v>0.36</v>
      </c>
      <c r="KQ91" s="949">
        <v>0.25</v>
      </c>
      <c r="KR91" s="949">
        <v>0.54</v>
      </c>
      <c r="KS91" s="949">
        <v>0.4</v>
      </c>
      <c r="KT91" s="949">
        <v>0.3</v>
      </c>
      <c r="KU91" s="949">
        <v>0.14000000000000001</v>
      </c>
      <c r="KV91" s="949">
        <v>0.49</v>
      </c>
      <c r="KW91" s="949">
        <v>0.27</v>
      </c>
      <c r="KX91" s="949">
        <v>0.16</v>
      </c>
      <c r="KY91" s="949">
        <v>0.41</v>
      </c>
      <c r="KZ91" s="949">
        <v>0.24</v>
      </c>
      <c r="LA91" s="949">
        <v>0.33</v>
      </c>
      <c r="LB91" s="949">
        <v>0.37</v>
      </c>
      <c r="LC91" s="949">
        <v>0.33</v>
      </c>
      <c r="LD91" s="949">
        <v>0.38</v>
      </c>
      <c r="LE91" s="949">
        <v>0.31</v>
      </c>
      <c r="LF91" s="949">
        <v>0.3</v>
      </c>
      <c r="LG91" s="949">
        <v>0.27</v>
      </c>
      <c r="LH91" s="949">
        <v>0.45</v>
      </c>
      <c r="LI91" s="949">
        <v>0.4</v>
      </c>
      <c r="LJ91" s="949">
        <v>0.33</v>
      </c>
      <c r="LK91" s="949">
        <v>0.64</v>
      </c>
      <c r="LL91" s="949" t="s">
        <v>173</v>
      </c>
      <c r="LM91" s="949">
        <v>0.55000000000000004</v>
      </c>
      <c r="LN91" s="949">
        <v>0.46</v>
      </c>
      <c r="LO91" s="949">
        <v>0.35</v>
      </c>
      <c r="LP91" s="922">
        <v>325754800018</v>
      </c>
      <c r="LQ91" s="322" t="s">
        <v>162</v>
      </c>
      <c r="LR91" s="424">
        <v>58</v>
      </c>
      <c r="LS91" s="971">
        <v>57</v>
      </c>
      <c r="LT91" s="946"/>
    </row>
    <row r="92" spans="1:332" ht="24.95" customHeight="1" x14ac:dyDescent="0.2">
      <c r="A92" s="126" t="s">
        <v>134</v>
      </c>
      <c r="B92" s="1" t="s">
        <v>123</v>
      </c>
      <c r="C92" s="2">
        <v>5</v>
      </c>
      <c r="D92" s="12"/>
      <c r="E92" s="12"/>
      <c r="F92" s="12"/>
      <c r="G92" s="12"/>
      <c r="H92" s="12"/>
      <c r="I92" s="12"/>
      <c r="J92" s="12"/>
      <c r="K92" s="12"/>
      <c r="L92" s="12"/>
      <c r="M92" s="12"/>
      <c r="N92" s="12"/>
      <c r="O92" s="12"/>
      <c r="P92" s="12"/>
      <c r="Q92" s="12"/>
      <c r="R92" s="12"/>
      <c r="S92" s="12"/>
      <c r="T92" s="12"/>
      <c r="U92" s="12"/>
      <c r="V92" s="12"/>
      <c r="W92" s="12"/>
      <c r="X92" s="12"/>
      <c r="Y92" s="12"/>
      <c r="Z92" s="12"/>
      <c r="AA92" s="12"/>
      <c r="AB92" s="12"/>
      <c r="AC92" s="12"/>
      <c r="AD92" s="12"/>
      <c r="AE92" s="12"/>
      <c r="AF92" s="12"/>
      <c r="AG92" s="12"/>
      <c r="AH92" s="12" t="s">
        <v>126</v>
      </c>
      <c r="AI92" s="12" t="s">
        <v>126</v>
      </c>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12" t="s">
        <v>126</v>
      </c>
      <c r="BN92" s="12" t="s">
        <v>126</v>
      </c>
      <c r="BO92" s="12"/>
      <c r="BP92" s="12"/>
      <c r="BQ92" s="12"/>
      <c r="BR92" s="12"/>
      <c r="BS92" s="12"/>
      <c r="BT92" s="12"/>
      <c r="BU92" s="12"/>
      <c r="BV92" s="12"/>
      <c r="BW92" s="12"/>
      <c r="BX92" s="12"/>
      <c r="BY92" s="12"/>
      <c r="BZ92" s="12"/>
      <c r="CA92" s="12"/>
      <c r="CB92" s="12"/>
      <c r="CC92" s="12"/>
      <c r="CD92" s="12"/>
      <c r="CE92" s="12"/>
      <c r="CF92" s="12"/>
      <c r="CG92" s="12"/>
      <c r="CH92" s="12"/>
      <c r="CI92" s="12"/>
      <c r="CJ92" s="12"/>
      <c r="CK92" s="12"/>
      <c r="CL92" s="12"/>
      <c r="CM92" s="12"/>
      <c r="CN92" s="12"/>
      <c r="CO92" s="12"/>
      <c r="CP92" s="12"/>
      <c r="CQ92" s="12"/>
      <c r="CR92" s="12"/>
      <c r="CS92" s="12">
        <v>47</v>
      </c>
      <c r="CT92" s="12">
        <v>7</v>
      </c>
      <c r="CU92" s="63">
        <v>0.17</v>
      </c>
      <c r="CV92" s="63">
        <v>0.75</v>
      </c>
      <c r="CW92" s="63">
        <v>0.08</v>
      </c>
      <c r="CX92" s="63">
        <v>0</v>
      </c>
      <c r="CY92" s="63">
        <v>0.5</v>
      </c>
      <c r="CZ92" s="63">
        <v>0.33</v>
      </c>
      <c r="DA92" s="63">
        <v>0.52</v>
      </c>
      <c r="DB92" s="63">
        <v>0.45</v>
      </c>
      <c r="DC92" s="63">
        <v>0.39</v>
      </c>
      <c r="DD92" s="63">
        <v>0.73</v>
      </c>
      <c r="DE92" s="63">
        <v>0.2</v>
      </c>
      <c r="DF92" s="63">
        <v>0.45</v>
      </c>
      <c r="DG92" s="63">
        <v>0.55000000000000004</v>
      </c>
      <c r="DH92" s="63">
        <v>0.44</v>
      </c>
      <c r="DI92" s="63">
        <v>0.56999999999999995</v>
      </c>
      <c r="DJ92" s="63">
        <v>0.63</v>
      </c>
      <c r="DK92" s="63">
        <v>0.32</v>
      </c>
      <c r="DL92" s="63">
        <v>0.4</v>
      </c>
      <c r="DM92" s="63">
        <v>0.56999999999999995</v>
      </c>
      <c r="DN92" s="63">
        <v>0.46</v>
      </c>
      <c r="DO92" s="63">
        <v>0.47</v>
      </c>
      <c r="DP92" s="63">
        <v>0.44</v>
      </c>
      <c r="DQ92" s="63">
        <v>0.7</v>
      </c>
      <c r="DR92" s="63">
        <v>0.35</v>
      </c>
      <c r="DS92" s="63">
        <v>0.39</v>
      </c>
      <c r="DT92" s="63">
        <v>0.66</v>
      </c>
      <c r="DU92" s="63">
        <v>0.5</v>
      </c>
      <c r="DV92" s="63">
        <v>0.71</v>
      </c>
      <c r="DW92" s="63">
        <v>0.4</v>
      </c>
      <c r="DX92" s="35"/>
      <c r="DY92" s="35"/>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646"/>
      <c r="FC92" s="646"/>
      <c r="FD92" s="646"/>
      <c r="FE92" s="646"/>
      <c r="FF92" s="646"/>
      <c r="FG92" s="646"/>
      <c r="FH92" s="646"/>
      <c r="FI92" s="646"/>
      <c r="FJ92" s="646"/>
      <c r="FK92" s="646"/>
      <c r="FL92" s="646"/>
      <c r="FM92" s="646"/>
      <c r="FN92" s="646"/>
      <c r="FO92" s="646"/>
      <c r="FP92" s="646"/>
      <c r="FQ92" s="646"/>
      <c r="FR92" s="646"/>
      <c r="FS92" s="646"/>
      <c r="FT92" s="646"/>
      <c r="FU92" s="646"/>
      <c r="FV92" s="646"/>
      <c r="FW92" s="646"/>
      <c r="FX92" s="646"/>
      <c r="FY92" s="646"/>
      <c r="FZ92" s="646"/>
      <c r="GA92" s="646"/>
      <c r="GB92" s="646"/>
      <c r="GC92" s="646"/>
      <c r="GD92" s="646"/>
      <c r="GE92" s="646"/>
      <c r="GF92" s="646"/>
      <c r="GG92" s="646"/>
      <c r="GH92" s="646"/>
      <c r="GI92" s="646"/>
      <c r="GJ92" s="649"/>
      <c r="GK92" s="649"/>
      <c r="GL92" s="649"/>
      <c r="GM92" s="649"/>
      <c r="GN92" s="649"/>
      <c r="GO92" s="649"/>
      <c r="GP92" s="649"/>
      <c r="GQ92" s="649"/>
      <c r="GR92" s="649"/>
      <c r="GS92" s="649"/>
      <c r="GT92" s="649"/>
      <c r="GU92" s="649"/>
      <c r="GV92" s="649"/>
      <c r="GW92" s="649"/>
      <c r="GX92" s="649"/>
      <c r="GY92" s="649"/>
      <c r="GZ92" s="649"/>
      <c r="HA92" s="649"/>
      <c r="HB92" s="649"/>
      <c r="HC92" s="649"/>
      <c r="HD92" s="649"/>
      <c r="HE92" s="649"/>
      <c r="HF92" s="649"/>
      <c r="HG92" s="649"/>
      <c r="HH92" s="649"/>
      <c r="HI92" s="649"/>
      <c r="HJ92" s="649"/>
      <c r="HK92" s="649"/>
      <c r="HL92" s="649"/>
      <c r="HM92" s="649"/>
      <c r="HN92" s="649"/>
      <c r="HO92" s="649"/>
      <c r="HP92" s="649"/>
      <c r="HQ92" s="649"/>
      <c r="HR92" s="651"/>
      <c r="HS92" s="651"/>
      <c r="HT92" s="651"/>
      <c r="HU92" s="651"/>
      <c r="HV92" s="651"/>
      <c r="HW92" s="651"/>
      <c r="HX92" s="651"/>
      <c r="HY92" s="651"/>
      <c r="HZ92" s="651"/>
      <c r="IA92" s="651"/>
      <c r="IB92" s="651"/>
      <c r="IC92" s="651"/>
      <c r="ID92" s="651"/>
      <c r="IE92" s="651"/>
      <c r="IF92" s="651"/>
      <c r="IG92" s="651"/>
      <c r="IH92" s="651"/>
      <c r="II92" s="651"/>
      <c r="IJ92" s="651"/>
      <c r="IK92" s="651"/>
      <c r="IL92" s="651"/>
      <c r="IM92" s="651"/>
      <c r="IN92" s="651"/>
      <c r="IO92" s="651"/>
      <c r="IP92" s="651"/>
      <c r="IQ92" s="651"/>
      <c r="IR92" s="651"/>
      <c r="IS92" s="651"/>
      <c r="IT92" s="651"/>
      <c r="IU92" s="651"/>
      <c r="IV92" s="651"/>
      <c r="IW92" s="651"/>
      <c r="IX92" s="651"/>
      <c r="IY92" s="651"/>
      <c r="IZ92" s="650"/>
      <c r="JA92" s="650"/>
      <c r="JB92" s="650"/>
      <c r="JC92" s="650"/>
      <c r="JD92" s="650"/>
      <c r="JE92" s="650"/>
      <c r="JF92" s="650"/>
      <c r="JG92" s="650"/>
      <c r="JH92" s="650"/>
      <c r="JI92" s="650"/>
      <c r="JJ92" s="650"/>
      <c r="JK92" s="650"/>
      <c r="JL92" s="650"/>
      <c r="JM92" s="650"/>
      <c r="JN92" s="650"/>
      <c r="JO92" s="650"/>
      <c r="JP92" s="650"/>
      <c r="JQ92" s="650"/>
      <c r="JR92" s="650"/>
      <c r="JS92" s="650"/>
      <c r="JT92" s="650"/>
      <c r="JU92" s="650"/>
      <c r="JV92" s="650"/>
      <c r="JW92" s="650"/>
      <c r="JX92" s="650"/>
      <c r="JY92" s="650"/>
      <c r="JZ92" s="650"/>
      <c r="KA92" s="650"/>
      <c r="KB92" s="650"/>
      <c r="KC92" s="650"/>
      <c r="KD92" s="650"/>
      <c r="KE92" s="650"/>
      <c r="KF92" s="650"/>
      <c r="KG92" s="650"/>
      <c r="KH92" s="971"/>
      <c r="KI92" s="971"/>
      <c r="KJ92" s="971"/>
      <c r="KK92" s="971"/>
      <c r="KL92" s="949"/>
      <c r="KM92" s="949"/>
      <c r="KN92" s="949"/>
      <c r="KO92" s="949"/>
      <c r="KP92" s="949"/>
      <c r="KQ92" s="949"/>
      <c r="KR92" s="949"/>
      <c r="KS92" s="949"/>
      <c r="KT92" s="949"/>
      <c r="KU92" s="949"/>
      <c r="KV92" s="949"/>
      <c r="KW92" s="949"/>
      <c r="KX92" s="949"/>
      <c r="KY92" s="949"/>
      <c r="KZ92" s="949"/>
      <c r="LA92" s="949"/>
      <c r="LB92" s="949"/>
      <c r="LC92" s="949"/>
      <c r="LD92" s="949"/>
      <c r="LE92" s="949"/>
      <c r="LF92" s="949"/>
      <c r="LG92" s="949"/>
      <c r="LH92" s="949"/>
      <c r="LI92" s="949"/>
      <c r="LJ92" s="949"/>
      <c r="LK92" s="949"/>
      <c r="LL92" s="949"/>
      <c r="LM92" s="949"/>
      <c r="LN92" s="949"/>
      <c r="LO92" s="949"/>
      <c r="LP92" s="922"/>
      <c r="LQ92" s="126" t="s">
        <v>134</v>
      </c>
      <c r="LR92" s="651"/>
      <c r="LS92" s="971"/>
      <c r="LT92" s="946"/>
    </row>
    <row r="93" spans="1:332" ht="24.95" customHeight="1" x14ac:dyDescent="0.2">
      <c r="A93" s="36" t="s">
        <v>86</v>
      </c>
      <c r="B93" s="1" t="s">
        <v>123</v>
      </c>
      <c r="C93" s="2">
        <v>2</v>
      </c>
      <c r="D93" s="12">
        <v>57</v>
      </c>
      <c r="E93" s="12">
        <v>7</v>
      </c>
      <c r="F93" s="66">
        <v>0</v>
      </c>
      <c r="G93" s="66">
        <v>0.48</v>
      </c>
      <c r="H93" s="66">
        <v>0.48</v>
      </c>
      <c r="I93" s="66">
        <v>0.03</v>
      </c>
      <c r="J93" s="66">
        <v>0.34</v>
      </c>
      <c r="K93" s="66">
        <v>0.11</v>
      </c>
      <c r="L93" s="66">
        <v>0.66</v>
      </c>
      <c r="M93" s="66">
        <v>0.1</v>
      </c>
      <c r="N93" s="66">
        <v>0.25</v>
      </c>
      <c r="O93" s="66">
        <v>0.69</v>
      </c>
      <c r="P93" s="66">
        <v>0.35</v>
      </c>
      <c r="Q93" s="66">
        <v>0.33</v>
      </c>
      <c r="R93" s="66">
        <v>0.45</v>
      </c>
      <c r="S93" s="66">
        <v>0.52</v>
      </c>
      <c r="T93" s="66">
        <v>0.38</v>
      </c>
      <c r="U93" s="66">
        <v>0.49</v>
      </c>
      <c r="V93" s="66">
        <v>7.0000000000000007E-2</v>
      </c>
      <c r="W93" s="66">
        <v>0.04</v>
      </c>
      <c r="X93" s="66">
        <v>0.52</v>
      </c>
      <c r="Y93" s="66">
        <v>0.5</v>
      </c>
      <c r="Z93" s="12" t="s">
        <v>173</v>
      </c>
      <c r="AA93" s="66">
        <v>0.1</v>
      </c>
      <c r="AB93" s="66">
        <v>0.4</v>
      </c>
      <c r="AC93" s="66">
        <v>0.18</v>
      </c>
      <c r="AD93" s="66">
        <v>0.44</v>
      </c>
      <c r="AE93" s="66">
        <v>0.25</v>
      </c>
      <c r="AF93" s="66">
        <v>0.44</v>
      </c>
      <c r="AG93" s="66">
        <v>0.5</v>
      </c>
      <c r="AH93" s="12">
        <v>55</v>
      </c>
      <c r="AI93" s="12">
        <v>7</v>
      </c>
      <c r="AJ93" s="40">
        <v>0</v>
      </c>
      <c r="AK93" s="40">
        <v>0.47</v>
      </c>
      <c r="AL93" s="40">
        <v>0.5</v>
      </c>
      <c r="AM93" s="40">
        <v>0.03</v>
      </c>
      <c r="AN93" s="40">
        <v>0.33</v>
      </c>
      <c r="AO93" s="40">
        <v>0.45</v>
      </c>
      <c r="AP93" s="40">
        <v>0.61</v>
      </c>
      <c r="AQ93" s="40">
        <v>0.28000000000000003</v>
      </c>
      <c r="AR93" s="40">
        <v>0.4</v>
      </c>
      <c r="AS93" s="40">
        <v>0.49</v>
      </c>
      <c r="AT93" s="40">
        <v>0.49</v>
      </c>
      <c r="AU93" s="40">
        <v>0.53</v>
      </c>
      <c r="AV93" s="40">
        <v>0.56999999999999995</v>
      </c>
      <c r="AW93" s="40">
        <v>0.42</v>
      </c>
      <c r="AX93" s="40">
        <v>0.34</v>
      </c>
      <c r="AY93" s="40">
        <v>0.27</v>
      </c>
      <c r="AZ93" s="40">
        <v>0.18</v>
      </c>
      <c r="BA93" s="40">
        <v>0.52</v>
      </c>
      <c r="BB93" s="40">
        <v>0.46</v>
      </c>
      <c r="BC93" s="40">
        <v>0.71</v>
      </c>
      <c r="BD93" s="40">
        <v>0.35</v>
      </c>
      <c r="BE93" s="40">
        <v>0.41</v>
      </c>
      <c r="BF93" s="40">
        <v>0.62</v>
      </c>
      <c r="BG93" s="40">
        <v>0.31</v>
      </c>
      <c r="BH93" s="40">
        <v>0.36</v>
      </c>
      <c r="BI93" s="40">
        <v>0.39</v>
      </c>
      <c r="BJ93" s="40">
        <v>0.33</v>
      </c>
      <c r="BK93" s="40">
        <v>0.38</v>
      </c>
      <c r="BL93" s="40">
        <v>0.31</v>
      </c>
      <c r="BM93" s="12">
        <v>52</v>
      </c>
      <c r="BN93" s="12">
        <v>10</v>
      </c>
      <c r="BO93" s="66">
        <v>0.18</v>
      </c>
      <c r="BP93" s="66">
        <v>0.41</v>
      </c>
      <c r="BQ93" s="66">
        <v>0.41</v>
      </c>
      <c r="BR93" s="66">
        <v>0</v>
      </c>
      <c r="BS93" s="66">
        <v>0.35</v>
      </c>
      <c r="BT93" s="66">
        <v>0.6</v>
      </c>
      <c r="BU93" s="66">
        <v>0.67</v>
      </c>
      <c r="BV93" s="66">
        <v>0.31</v>
      </c>
      <c r="BW93" s="66">
        <v>0.56000000000000005</v>
      </c>
      <c r="BX93" s="66">
        <v>0.38</v>
      </c>
      <c r="BY93" s="66">
        <v>0.28000000000000003</v>
      </c>
      <c r="BZ93" s="66">
        <v>0.52</v>
      </c>
      <c r="CA93" s="66">
        <v>0.4</v>
      </c>
      <c r="CB93" s="66">
        <v>0.24</v>
      </c>
      <c r="CC93" s="66">
        <v>0.21</v>
      </c>
      <c r="CD93" s="66">
        <v>0.34</v>
      </c>
      <c r="CE93" s="66">
        <v>0.33</v>
      </c>
      <c r="CF93" s="66">
        <v>0.63</v>
      </c>
      <c r="CG93" s="66">
        <v>0.53</v>
      </c>
      <c r="CH93" s="66">
        <v>0.45</v>
      </c>
      <c r="CI93" s="66">
        <v>0.51</v>
      </c>
      <c r="CJ93" s="66">
        <v>0.43</v>
      </c>
      <c r="CK93" s="66">
        <v>0.66</v>
      </c>
      <c r="CL93" s="66">
        <v>0.37</v>
      </c>
      <c r="CM93" s="66">
        <v>0.45</v>
      </c>
      <c r="CN93" s="66">
        <v>0.41</v>
      </c>
      <c r="CO93" s="66">
        <v>0.45</v>
      </c>
      <c r="CP93" s="66">
        <v>0.33</v>
      </c>
      <c r="CQ93" s="66">
        <v>0.48</v>
      </c>
      <c r="CR93" s="66">
        <v>0.5</v>
      </c>
      <c r="CS93" s="12">
        <v>54</v>
      </c>
      <c r="CT93" s="12">
        <v>7</v>
      </c>
      <c r="CU93" s="63">
        <v>0.04</v>
      </c>
      <c r="CV93" s="63">
        <v>0.52</v>
      </c>
      <c r="CW93" s="63">
        <v>0.44</v>
      </c>
      <c r="CX93" s="63">
        <v>0</v>
      </c>
      <c r="CY93" s="63">
        <v>0.44</v>
      </c>
      <c r="CZ93" s="63">
        <v>0.18</v>
      </c>
      <c r="DA93" s="63">
        <v>0.4</v>
      </c>
      <c r="DB93" s="63">
        <v>0.21</v>
      </c>
      <c r="DC93" s="63">
        <v>0.32</v>
      </c>
      <c r="DD93" s="63">
        <v>0.57999999999999996</v>
      </c>
      <c r="DE93" s="63">
        <v>0.48</v>
      </c>
      <c r="DF93" s="63">
        <v>0.42</v>
      </c>
      <c r="DG93" s="63">
        <v>0.43</v>
      </c>
      <c r="DH93" s="63">
        <v>0.24</v>
      </c>
      <c r="DI93" s="63">
        <v>0.4</v>
      </c>
      <c r="DJ93" s="63">
        <v>0.53</v>
      </c>
      <c r="DK93" s="63">
        <v>0.31</v>
      </c>
      <c r="DL93" s="63">
        <v>0.27</v>
      </c>
      <c r="DM93" s="63">
        <v>0.37</v>
      </c>
      <c r="DN93" s="63">
        <v>0.41</v>
      </c>
      <c r="DO93" s="63">
        <v>0.38</v>
      </c>
      <c r="DP93" s="63">
        <v>0.44</v>
      </c>
      <c r="DQ93" s="63">
        <v>0.53</v>
      </c>
      <c r="DR93" s="63">
        <v>0.2</v>
      </c>
      <c r="DS93" s="63">
        <v>0.41</v>
      </c>
      <c r="DT93" s="63">
        <v>0.66</v>
      </c>
      <c r="DU93" s="63">
        <v>0.27</v>
      </c>
      <c r="DV93" s="63">
        <v>0.47</v>
      </c>
      <c r="DW93" s="63">
        <v>0.19</v>
      </c>
      <c r="DX93" s="35">
        <v>53</v>
      </c>
      <c r="DY93" s="35">
        <v>8</v>
      </c>
      <c r="DZ93" s="40">
        <v>0.09</v>
      </c>
      <c r="EA93" s="40">
        <v>0.51</v>
      </c>
      <c r="EB93" s="40">
        <v>0.4</v>
      </c>
      <c r="EC93" s="40">
        <v>0</v>
      </c>
      <c r="ED93" s="40">
        <v>0.53</v>
      </c>
      <c r="EE93" s="40">
        <v>0.41</v>
      </c>
      <c r="EF93" s="40">
        <v>0.41</v>
      </c>
      <c r="EG93" s="40">
        <v>0.44</v>
      </c>
      <c r="EH93" s="40">
        <v>0.31</v>
      </c>
      <c r="EI93" s="40">
        <v>0.42</v>
      </c>
      <c r="EJ93" s="40">
        <v>0.53</v>
      </c>
      <c r="EK93" s="40">
        <v>0.18</v>
      </c>
      <c r="EL93" s="40">
        <v>0.36</v>
      </c>
      <c r="EM93" s="40">
        <v>0.56000000000000005</v>
      </c>
      <c r="EN93" s="40">
        <v>0.31</v>
      </c>
      <c r="EO93" s="40">
        <v>0.53</v>
      </c>
      <c r="EP93" s="40">
        <v>0.2</v>
      </c>
      <c r="EQ93" s="40">
        <v>0.08</v>
      </c>
      <c r="ER93" s="40">
        <v>0.6</v>
      </c>
      <c r="ES93" s="40">
        <v>0.49</v>
      </c>
      <c r="ET93" s="40">
        <v>0.27</v>
      </c>
      <c r="EU93" s="40">
        <v>0.51</v>
      </c>
      <c r="EV93" s="40">
        <v>0.35</v>
      </c>
      <c r="EW93" s="40">
        <v>0.15</v>
      </c>
      <c r="EX93" s="40">
        <v>0.67</v>
      </c>
      <c r="EY93" s="40">
        <v>0.49</v>
      </c>
      <c r="EZ93" s="40">
        <v>0.17</v>
      </c>
      <c r="FA93" s="40">
        <v>0.64</v>
      </c>
      <c r="FB93" s="647">
        <v>50</v>
      </c>
      <c r="FC93" s="647" t="s">
        <v>758</v>
      </c>
      <c r="FD93" s="647">
        <v>8</v>
      </c>
      <c r="FE93" s="647" t="s">
        <v>758</v>
      </c>
      <c r="FF93" s="648">
        <v>0.08</v>
      </c>
      <c r="FG93" s="648">
        <v>0.68</v>
      </c>
      <c r="FH93" s="648">
        <v>0.23</v>
      </c>
      <c r="FI93" s="648">
        <v>0</v>
      </c>
      <c r="FJ93" s="648">
        <v>0.46</v>
      </c>
      <c r="FK93" s="648">
        <v>0.7</v>
      </c>
      <c r="FL93" s="648">
        <v>0.46</v>
      </c>
      <c r="FM93" s="648">
        <v>0.37</v>
      </c>
      <c r="FN93" s="648">
        <v>0.27</v>
      </c>
      <c r="FO93" s="648">
        <v>0.25</v>
      </c>
      <c r="FP93" s="648">
        <v>0.45</v>
      </c>
      <c r="FQ93" s="648">
        <v>0.47</v>
      </c>
      <c r="FR93" s="648">
        <v>0.7</v>
      </c>
      <c r="FS93" s="648">
        <v>0.56000000000000005</v>
      </c>
      <c r="FT93" s="648">
        <v>0.4</v>
      </c>
      <c r="FU93" s="648">
        <v>0.33</v>
      </c>
      <c r="FV93" s="648">
        <v>0.56000000000000005</v>
      </c>
      <c r="FW93" s="648">
        <v>0.57999999999999996</v>
      </c>
      <c r="FX93" s="648">
        <v>0.52</v>
      </c>
      <c r="FY93" s="648">
        <v>0.41</v>
      </c>
      <c r="FZ93" s="648">
        <v>0.41</v>
      </c>
      <c r="GA93" s="648">
        <v>0.52</v>
      </c>
      <c r="GB93" s="648">
        <v>0.56000000000000005</v>
      </c>
      <c r="GC93" s="648">
        <v>0.44</v>
      </c>
      <c r="GD93" s="648">
        <v>0.59</v>
      </c>
      <c r="GE93" s="648">
        <v>0.52</v>
      </c>
      <c r="GF93" s="648">
        <v>0.49</v>
      </c>
      <c r="GG93" s="648">
        <v>0.41</v>
      </c>
      <c r="GH93" s="648">
        <v>0.54</v>
      </c>
      <c r="GI93" s="648">
        <v>0.19</v>
      </c>
      <c r="GJ93" s="74">
        <v>52</v>
      </c>
      <c r="GK93" s="74" t="s">
        <v>758</v>
      </c>
      <c r="GL93" s="74">
        <v>8</v>
      </c>
      <c r="GM93" s="74" t="s">
        <v>758</v>
      </c>
      <c r="GN93" s="96">
        <v>0.08</v>
      </c>
      <c r="GO93" s="96">
        <v>0.57999999999999996</v>
      </c>
      <c r="GP93" s="96">
        <v>0.31</v>
      </c>
      <c r="GQ93" s="96">
        <v>0.04</v>
      </c>
      <c r="GR93" s="96">
        <v>0.42</v>
      </c>
      <c r="GS93" s="96">
        <v>0.53</v>
      </c>
      <c r="GT93" s="96">
        <v>0.56999999999999995</v>
      </c>
      <c r="GU93" s="96">
        <v>0.28000000000000003</v>
      </c>
      <c r="GV93" s="96">
        <v>0.56000000000000005</v>
      </c>
      <c r="GW93" s="96">
        <v>0.4</v>
      </c>
      <c r="GX93" s="96">
        <v>0.41</v>
      </c>
      <c r="GY93" s="74" t="s">
        <v>173</v>
      </c>
      <c r="GZ93" s="96">
        <v>0.26</v>
      </c>
      <c r="HA93" s="96">
        <v>0.59</v>
      </c>
      <c r="HB93" s="96">
        <v>0.47</v>
      </c>
      <c r="HC93" s="96">
        <v>0.49</v>
      </c>
      <c r="HD93" s="96">
        <v>0.53</v>
      </c>
      <c r="HE93" s="96">
        <v>0.34</v>
      </c>
      <c r="HF93" s="96">
        <v>0.49</v>
      </c>
      <c r="HG93" s="96">
        <v>0.65</v>
      </c>
      <c r="HH93" s="96">
        <v>0.36</v>
      </c>
      <c r="HI93" s="96">
        <v>0.61</v>
      </c>
      <c r="HJ93" s="96">
        <v>0.54</v>
      </c>
      <c r="HK93" s="96">
        <v>0.46</v>
      </c>
      <c r="HL93" s="96">
        <v>0.39</v>
      </c>
      <c r="HM93" s="96">
        <v>0.56000000000000005</v>
      </c>
      <c r="HN93" s="96">
        <v>0.4</v>
      </c>
      <c r="HO93" s="96">
        <v>0.42</v>
      </c>
      <c r="HP93" s="74" t="s">
        <v>173</v>
      </c>
      <c r="HQ93" s="96">
        <v>0.33</v>
      </c>
      <c r="HR93" s="652">
        <v>52</v>
      </c>
      <c r="HS93" s="652" t="s">
        <v>758</v>
      </c>
      <c r="HT93" s="652">
        <v>7</v>
      </c>
      <c r="HU93" s="652" t="s">
        <v>758</v>
      </c>
      <c r="HV93" s="653">
        <v>0.03</v>
      </c>
      <c r="HW93" s="653">
        <v>0.67</v>
      </c>
      <c r="HX93" s="653">
        <v>0.3</v>
      </c>
      <c r="HY93" s="653">
        <v>0</v>
      </c>
      <c r="HZ93" s="653">
        <v>0.36</v>
      </c>
      <c r="IA93" s="653">
        <v>0.6</v>
      </c>
      <c r="IB93" s="653">
        <v>0.25</v>
      </c>
      <c r="IC93" s="653">
        <v>0.38</v>
      </c>
      <c r="ID93" s="653">
        <v>0.73</v>
      </c>
      <c r="IE93" s="653">
        <v>0.28999999999999998</v>
      </c>
      <c r="IF93" s="653">
        <v>0.35</v>
      </c>
      <c r="IG93" s="653">
        <v>0.56999999999999995</v>
      </c>
      <c r="IH93" s="653">
        <v>0.41</v>
      </c>
      <c r="II93" s="653">
        <v>0.37</v>
      </c>
      <c r="IJ93" s="653">
        <v>0.24</v>
      </c>
      <c r="IK93" s="653">
        <v>0.57999999999999996</v>
      </c>
      <c r="IL93" s="653">
        <v>0.27</v>
      </c>
      <c r="IM93" s="653">
        <v>0.51</v>
      </c>
      <c r="IN93" s="653">
        <v>0.42</v>
      </c>
      <c r="IO93" s="653">
        <v>0.63</v>
      </c>
      <c r="IP93" s="653">
        <v>0.46</v>
      </c>
      <c r="IQ93" s="653">
        <v>0.66</v>
      </c>
      <c r="IR93" s="653">
        <v>0.57999999999999996</v>
      </c>
      <c r="IS93" s="653">
        <v>0.53</v>
      </c>
      <c r="IT93" s="653">
        <v>0.41</v>
      </c>
      <c r="IU93" s="652" t="s">
        <v>173</v>
      </c>
      <c r="IV93" s="653">
        <v>0.56000000000000005</v>
      </c>
      <c r="IW93" s="653">
        <v>0.43</v>
      </c>
      <c r="IX93" s="653">
        <v>0.46</v>
      </c>
      <c r="IY93" s="653">
        <v>0.5</v>
      </c>
      <c r="IZ93" s="74">
        <v>51</v>
      </c>
      <c r="JA93" s="74" t="s">
        <v>758</v>
      </c>
      <c r="JB93" s="74">
        <v>8</v>
      </c>
      <c r="JC93" s="74" t="s">
        <v>758</v>
      </c>
      <c r="JD93" s="96">
        <v>0.1</v>
      </c>
      <c r="JE93" s="96">
        <v>0.67</v>
      </c>
      <c r="JF93" s="96">
        <v>0.23</v>
      </c>
      <c r="JG93" s="96">
        <v>0</v>
      </c>
      <c r="JH93" s="96">
        <v>0.43</v>
      </c>
      <c r="JI93" s="96">
        <v>0.53</v>
      </c>
      <c r="JJ93" s="96">
        <v>0.48</v>
      </c>
      <c r="JK93" s="96">
        <v>0.56000000000000005</v>
      </c>
      <c r="JL93" s="96">
        <v>0.43</v>
      </c>
      <c r="JM93" s="96">
        <v>0.53</v>
      </c>
      <c r="JN93" s="96">
        <v>0.36</v>
      </c>
      <c r="JO93" s="96">
        <v>0.48</v>
      </c>
      <c r="JP93" s="96">
        <v>0.61</v>
      </c>
      <c r="JQ93" s="96">
        <v>0.25</v>
      </c>
      <c r="JR93" s="96">
        <v>0.72</v>
      </c>
      <c r="JS93" s="96">
        <v>0.44</v>
      </c>
      <c r="JT93" s="96">
        <v>0.51</v>
      </c>
      <c r="JU93" s="96">
        <v>0.49</v>
      </c>
      <c r="JV93" s="96">
        <v>0.48</v>
      </c>
      <c r="JW93" s="96">
        <v>0.46</v>
      </c>
      <c r="JX93" s="96">
        <v>0.4</v>
      </c>
      <c r="JY93" s="96">
        <v>0.5</v>
      </c>
      <c r="JZ93" s="96">
        <v>0.37</v>
      </c>
      <c r="KA93" s="96">
        <v>0.47</v>
      </c>
      <c r="KB93" s="96">
        <v>0.36</v>
      </c>
      <c r="KC93" s="96">
        <v>0.66</v>
      </c>
      <c r="KD93" s="96">
        <v>0.33</v>
      </c>
      <c r="KE93" s="96">
        <v>0.48</v>
      </c>
      <c r="KF93" s="96">
        <v>0.4</v>
      </c>
      <c r="KG93" s="96">
        <v>0.41</v>
      </c>
      <c r="KH93" s="971">
        <v>52</v>
      </c>
      <c r="KI93" s="971" t="s">
        <v>758</v>
      </c>
      <c r="KJ93" s="971">
        <v>8</v>
      </c>
      <c r="KK93" s="971" t="s">
        <v>758</v>
      </c>
      <c r="KL93" s="949">
        <v>0.06</v>
      </c>
      <c r="KM93" s="949">
        <v>0.6</v>
      </c>
      <c r="KN93" s="949">
        <v>0.34</v>
      </c>
      <c r="KO93" s="949">
        <v>0</v>
      </c>
      <c r="KP93" s="949">
        <v>0.53</v>
      </c>
      <c r="KQ93" s="949">
        <v>0.19</v>
      </c>
      <c r="KR93" s="949">
        <v>0.54</v>
      </c>
      <c r="KS93" s="949">
        <v>0.42</v>
      </c>
      <c r="KT93" s="949">
        <v>0.63</v>
      </c>
      <c r="KU93" s="949">
        <v>0.3</v>
      </c>
      <c r="KV93" s="949">
        <v>0.55000000000000004</v>
      </c>
      <c r="KW93" s="949">
        <v>0.39</v>
      </c>
      <c r="KX93" s="949">
        <v>0.36</v>
      </c>
      <c r="KY93" s="949">
        <v>0.56999999999999995</v>
      </c>
      <c r="KZ93" s="949">
        <v>0.33</v>
      </c>
      <c r="LA93" s="949">
        <v>0.24</v>
      </c>
      <c r="LB93" s="949">
        <v>0.43</v>
      </c>
      <c r="LC93" s="949">
        <v>0.31</v>
      </c>
      <c r="LD93" s="949">
        <v>0.6</v>
      </c>
      <c r="LE93" s="949">
        <v>0.5</v>
      </c>
      <c r="LF93" s="949">
        <v>0.39</v>
      </c>
      <c r="LG93" s="949">
        <v>0.53</v>
      </c>
      <c r="LH93" s="949">
        <v>0.51</v>
      </c>
      <c r="LI93" s="949">
        <v>0.51</v>
      </c>
      <c r="LJ93" s="949">
        <v>0.39</v>
      </c>
      <c r="LK93" s="949">
        <v>0.42</v>
      </c>
      <c r="LL93" s="949" t="s">
        <v>173</v>
      </c>
      <c r="LM93" s="949">
        <v>0.69</v>
      </c>
      <c r="LN93" s="949">
        <v>0.54</v>
      </c>
      <c r="LO93" s="949">
        <v>0.4</v>
      </c>
      <c r="LP93" s="922">
        <v>325754001450</v>
      </c>
      <c r="LQ93" s="36" t="s">
        <v>86</v>
      </c>
      <c r="LR93" s="652">
        <v>52</v>
      </c>
      <c r="LS93" s="971">
        <v>52</v>
      </c>
      <c r="LT93" s="946"/>
    </row>
    <row r="94" spans="1:332" ht="24.95" customHeight="1" x14ac:dyDescent="0.2">
      <c r="A94" s="126" t="s">
        <v>77</v>
      </c>
      <c r="B94" s="1" t="s">
        <v>123</v>
      </c>
      <c r="C94" s="2">
        <v>4</v>
      </c>
      <c r="D94" s="12">
        <v>50</v>
      </c>
      <c r="E94" s="12">
        <v>6</v>
      </c>
      <c r="F94" s="66">
        <v>0.12</v>
      </c>
      <c r="G94" s="66">
        <v>0.73</v>
      </c>
      <c r="H94" s="66">
        <v>0.15</v>
      </c>
      <c r="I94" s="66">
        <v>0</v>
      </c>
      <c r="J94" s="66">
        <v>0.54</v>
      </c>
      <c r="K94" s="66">
        <v>0.42</v>
      </c>
      <c r="L94" s="66">
        <v>0.87</v>
      </c>
      <c r="M94" s="66">
        <v>0.19</v>
      </c>
      <c r="N94" s="66">
        <v>0.36</v>
      </c>
      <c r="O94" s="66">
        <v>0.71</v>
      </c>
      <c r="P94" s="66">
        <v>0.51</v>
      </c>
      <c r="Q94" s="66">
        <v>0.43</v>
      </c>
      <c r="R94" s="66">
        <v>0.59</v>
      </c>
      <c r="S94" s="66">
        <v>0.67</v>
      </c>
      <c r="T94" s="66">
        <v>0.65</v>
      </c>
      <c r="U94" s="66">
        <v>0.73</v>
      </c>
      <c r="V94" s="66">
        <v>0.15</v>
      </c>
      <c r="W94" s="66">
        <v>0.15</v>
      </c>
      <c r="X94" s="66">
        <v>0.61</v>
      </c>
      <c r="Y94" s="66">
        <v>0.55000000000000004</v>
      </c>
      <c r="Z94" s="12" t="s">
        <v>173</v>
      </c>
      <c r="AA94" s="66">
        <v>0.15</v>
      </c>
      <c r="AB94" s="66">
        <v>0.51</v>
      </c>
      <c r="AC94" s="66">
        <v>0.28000000000000003</v>
      </c>
      <c r="AD94" s="66">
        <v>0.4</v>
      </c>
      <c r="AE94" s="66">
        <v>0.42</v>
      </c>
      <c r="AF94" s="66">
        <v>0.56000000000000005</v>
      </c>
      <c r="AG94" s="66">
        <v>0.68</v>
      </c>
      <c r="AH94" s="12">
        <v>53</v>
      </c>
      <c r="AI94" s="12">
        <v>9</v>
      </c>
      <c r="AJ94" s="40">
        <v>0.08</v>
      </c>
      <c r="AK94" s="40">
        <v>0.56000000000000005</v>
      </c>
      <c r="AL94" s="40">
        <v>0.33</v>
      </c>
      <c r="AM94" s="40">
        <v>0.03</v>
      </c>
      <c r="AN94" s="40">
        <v>0.26</v>
      </c>
      <c r="AO94" s="40">
        <v>0.45</v>
      </c>
      <c r="AP94" s="40">
        <v>0.56000000000000005</v>
      </c>
      <c r="AQ94" s="40">
        <v>0.39</v>
      </c>
      <c r="AR94" s="40">
        <v>0.48</v>
      </c>
      <c r="AS94" s="40">
        <v>0.45</v>
      </c>
      <c r="AT94" s="40">
        <v>0.42</v>
      </c>
      <c r="AU94" s="40">
        <v>0.57999999999999996</v>
      </c>
      <c r="AV94" s="40">
        <v>0.64</v>
      </c>
      <c r="AW94" s="40">
        <v>0.38</v>
      </c>
      <c r="AX94" s="40">
        <v>0.61</v>
      </c>
      <c r="AY94" s="40">
        <v>0.31</v>
      </c>
      <c r="AZ94" s="40">
        <v>0.17</v>
      </c>
      <c r="BA94" s="40">
        <v>0.48</v>
      </c>
      <c r="BB94" s="40">
        <v>0.72</v>
      </c>
      <c r="BC94" s="40">
        <v>0.62</v>
      </c>
      <c r="BD94" s="40">
        <v>0.38</v>
      </c>
      <c r="BE94" s="40">
        <v>0.79</v>
      </c>
      <c r="BF94" s="40">
        <v>0.61</v>
      </c>
      <c r="BG94" s="40">
        <v>0.5</v>
      </c>
      <c r="BH94" s="40">
        <v>0.43</v>
      </c>
      <c r="BI94" s="40">
        <v>0.4</v>
      </c>
      <c r="BJ94" s="40">
        <v>0.4</v>
      </c>
      <c r="BK94" s="40">
        <v>0.34</v>
      </c>
      <c r="BL94" s="40">
        <v>0.26</v>
      </c>
      <c r="BM94" s="12">
        <v>50</v>
      </c>
      <c r="BN94" s="12">
        <v>8</v>
      </c>
      <c r="BO94" s="66">
        <v>0.14000000000000001</v>
      </c>
      <c r="BP94" s="66">
        <v>0.61</v>
      </c>
      <c r="BQ94" s="66">
        <v>0.25</v>
      </c>
      <c r="BR94" s="66">
        <v>0</v>
      </c>
      <c r="BS94" s="66">
        <v>0.4</v>
      </c>
      <c r="BT94" s="66">
        <v>0.44</v>
      </c>
      <c r="BU94" s="66">
        <v>0.61</v>
      </c>
      <c r="BV94" s="66">
        <v>0.25</v>
      </c>
      <c r="BW94" s="66">
        <v>0.57999999999999996</v>
      </c>
      <c r="BX94" s="66">
        <v>0.4</v>
      </c>
      <c r="BY94" s="66">
        <v>0.43</v>
      </c>
      <c r="BZ94" s="66">
        <v>0.52</v>
      </c>
      <c r="CA94" s="66">
        <v>0.47</v>
      </c>
      <c r="CB94" s="66">
        <v>0.37</v>
      </c>
      <c r="CC94" s="66">
        <v>0.17</v>
      </c>
      <c r="CD94" s="66">
        <v>0.49</v>
      </c>
      <c r="CE94" s="66">
        <v>0.32</v>
      </c>
      <c r="CF94" s="66">
        <v>0.63</v>
      </c>
      <c r="CG94" s="66">
        <v>0.63</v>
      </c>
      <c r="CH94" s="66">
        <v>0.43</v>
      </c>
      <c r="CI94" s="66">
        <v>0.48</v>
      </c>
      <c r="CJ94" s="66">
        <v>0.34</v>
      </c>
      <c r="CK94" s="66">
        <v>0.74</v>
      </c>
      <c r="CL94" s="66">
        <v>0.38</v>
      </c>
      <c r="CM94" s="66">
        <v>0.47</v>
      </c>
      <c r="CN94" s="66">
        <v>0.56000000000000005</v>
      </c>
      <c r="CO94" s="66">
        <v>0.53</v>
      </c>
      <c r="CP94" s="66">
        <v>0.34</v>
      </c>
      <c r="CQ94" s="66">
        <v>0.6</v>
      </c>
      <c r="CR94" s="66">
        <v>0.51</v>
      </c>
      <c r="CS94" s="12">
        <v>48</v>
      </c>
      <c r="CT94" s="12">
        <v>7</v>
      </c>
      <c r="CU94" s="63">
        <v>0.12</v>
      </c>
      <c r="CV94" s="63">
        <v>0.74</v>
      </c>
      <c r="CW94" s="63">
        <v>0.12</v>
      </c>
      <c r="CX94" s="63">
        <v>0.02</v>
      </c>
      <c r="CY94" s="63">
        <v>0.44</v>
      </c>
      <c r="CZ94" s="63">
        <v>0.28999999999999998</v>
      </c>
      <c r="DA94" s="63">
        <v>0.62</v>
      </c>
      <c r="DB94" s="63">
        <v>0.41</v>
      </c>
      <c r="DC94" s="63">
        <v>0.42</v>
      </c>
      <c r="DD94" s="63">
        <v>0.62</v>
      </c>
      <c r="DE94" s="63">
        <v>0.45</v>
      </c>
      <c r="DF94" s="63">
        <v>0.57999999999999996</v>
      </c>
      <c r="DG94" s="63">
        <v>0.5</v>
      </c>
      <c r="DH94" s="63">
        <v>0.31</v>
      </c>
      <c r="DI94" s="63">
        <v>0.55000000000000004</v>
      </c>
      <c r="DJ94" s="63">
        <v>0.65</v>
      </c>
      <c r="DK94" s="63">
        <v>0.44</v>
      </c>
      <c r="DL94" s="63">
        <v>0.48</v>
      </c>
      <c r="DM94" s="63">
        <v>0.54</v>
      </c>
      <c r="DN94" s="63">
        <v>0.55000000000000004</v>
      </c>
      <c r="DO94" s="63">
        <v>0.52</v>
      </c>
      <c r="DP94" s="63">
        <v>0.49</v>
      </c>
      <c r="DQ94" s="63">
        <v>0.6</v>
      </c>
      <c r="DR94" s="63">
        <v>0.24</v>
      </c>
      <c r="DS94" s="63">
        <v>0.47</v>
      </c>
      <c r="DT94" s="63">
        <v>0.72</v>
      </c>
      <c r="DU94" s="63">
        <v>0.5</v>
      </c>
      <c r="DV94" s="63">
        <v>0.63</v>
      </c>
      <c r="DW94" s="63">
        <v>0.33</v>
      </c>
      <c r="DX94" s="35">
        <v>52</v>
      </c>
      <c r="DY94" s="35">
        <v>9</v>
      </c>
      <c r="DZ94" s="40">
        <v>0.15</v>
      </c>
      <c r="EA94" s="40">
        <v>0.44</v>
      </c>
      <c r="EB94" s="40">
        <v>0.41</v>
      </c>
      <c r="EC94" s="40">
        <v>0</v>
      </c>
      <c r="ED94" s="40">
        <v>0.56000000000000005</v>
      </c>
      <c r="EE94" s="40">
        <v>0.44</v>
      </c>
      <c r="EF94" s="40">
        <v>0.41</v>
      </c>
      <c r="EG94" s="40">
        <v>0.13</v>
      </c>
      <c r="EH94" s="40">
        <v>0.33</v>
      </c>
      <c r="EI94" s="40">
        <v>0.41</v>
      </c>
      <c r="EJ94" s="40">
        <v>0.52</v>
      </c>
      <c r="EK94" s="40">
        <v>0.26</v>
      </c>
      <c r="EL94" s="40">
        <v>0.46</v>
      </c>
      <c r="EM94" s="40">
        <v>0.67</v>
      </c>
      <c r="EN94" s="40">
        <v>0.39</v>
      </c>
      <c r="EO94" s="40">
        <v>0.47</v>
      </c>
      <c r="EP94" s="40">
        <v>0.31</v>
      </c>
      <c r="EQ94" s="40">
        <v>0.3</v>
      </c>
      <c r="ER94" s="40">
        <v>0.56999999999999995</v>
      </c>
      <c r="ES94" s="40">
        <v>0.31</v>
      </c>
      <c r="ET94" s="40">
        <v>0.28999999999999998</v>
      </c>
      <c r="EU94" s="40">
        <v>0.71</v>
      </c>
      <c r="EV94" s="40">
        <v>0.06</v>
      </c>
      <c r="EW94" s="40">
        <v>0.26</v>
      </c>
      <c r="EX94" s="40">
        <v>0.5</v>
      </c>
      <c r="EY94" s="40">
        <v>0.61</v>
      </c>
      <c r="EZ94" s="40">
        <v>0.21</v>
      </c>
      <c r="FA94" s="40">
        <v>0.6</v>
      </c>
      <c r="FB94" s="246">
        <v>51</v>
      </c>
      <c r="FC94" s="246" t="s">
        <v>758</v>
      </c>
      <c r="FD94" s="246">
        <v>9</v>
      </c>
      <c r="FE94" s="246" t="s">
        <v>758</v>
      </c>
      <c r="FF94" s="263">
        <v>0.16</v>
      </c>
      <c r="FG94" s="263">
        <v>0.56000000000000005</v>
      </c>
      <c r="FH94" s="263">
        <v>0.27</v>
      </c>
      <c r="FI94" s="263">
        <v>0.02</v>
      </c>
      <c r="FJ94" s="263">
        <v>0.35</v>
      </c>
      <c r="FK94" s="263">
        <v>0.65</v>
      </c>
      <c r="FL94" s="263">
        <v>0.43</v>
      </c>
      <c r="FM94" s="263">
        <v>0.5</v>
      </c>
      <c r="FN94" s="263">
        <v>0.38</v>
      </c>
      <c r="FO94" s="263">
        <v>0.38</v>
      </c>
      <c r="FP94" s="263">
        <v>0.28000000000000003</v>
      </c>
      <c r="FQ94" s="263">
        <v>0.38</v>
      </c>
      <c r="FR94" s="263">
        <v>0.6</v>
      </c>
      <c r="FS94" s="263">
        <v>0.5</v>
      </c>
      <c r="FT94" s="263">
        <v>0.44</v>
      </c>
      <c r="FU94" s="263">
        <v>0.52</v>
      </c>
      <c r="FV94" s="263">
        <v>0.66</v>
      </c>
      <c r="FW94" s="263">
        <v>0.54</v>
      </c>
      <c r="FX94" s="263">
        <v>0.44</v>
      </c>
      <c r="FY94" s="263">
        <v>0.4</v>
      </c>
      <c r="FZ94" s="263">
        <v>0.36</v>
      </c>
      <c r="GA94" s="263">
        <v>0.55000000000000004</v>
      </c>
      <c r="GB94" s="263">
        <v>0.64</v>
      </c>
      <c r="GC94" s="263">
        <v>0.34</v>
      </c>
      <c r="GD94" s="263">
        <v>0.59</v>
      </c>
      <c r="GE94" s="263">
        <v>0.57999999999999996</v>
      </c>
      <c r="GF94" s="263">
        <v>0.39</v>
      </c>
      <c r="GG94" s="263">
        <v>0.45</v>
      </c>
      <c r="GH94" s="263">
        <v>0.46</v>
      </c>
      <c r="GI94" s="263">
        <v>0.36</v>
      </c>
      <c r="GJ94" s="309">
        <v>53</v>
      </c>
      <c r="GK94" s="309" t="s">
        <v>758</v>
      </c>
      <c r="GL94" s="309">
        <v>10</v>
      </c>
      <c r="GM94" s="309" t="s">
        <v>758</v>
      </c>
      <c r="GN94" s="327">
        <v>0.13</v>
      </c>
      <c r="GO94" s="327">
        <v>0.48</v>
      </c>
      <c r="GP94" s="327">
        <v>0.35</v>
      </c>
      <c r="GQ94" s="327">
        <v>0.04</v>
      </c>
      <c r="GR94" s="327">
        <v>0.44</v>
      </c>
      <c r="GS94" s="327">
        <v>0.45</v>
      </c>
      <c r="GT94" s="327">
        <v>0.62</v>
      </c>
      <c r="GU94" s="327">
        <v>0.18</v>
      </c>
      <c r="GV94" s="327">
        <v>0.54</v>
      </c>
      <c r="GW94" s="327">
        <v>0.42</v>
      </c>
      <c r="GX94" s="327">
        <v>0.43</v>
      </c>
      <c r="GY94" s="309" t="s">
        <v>173</v>
      </c>
      <c r="GZ94" s="327">
        <v>0.24</v>
      </c>
      <c r="HA94" s="327">
        <v>0.7</v>
      </c>
      <c r="HB94" s="327">
        <v>0.42</v>
      </c>
      <c r="HC94" s="327">
        <v>0.51</v>
      </c>
      <c r="HD94" s="327">
        <v>0.5</v>
      </c>
      <c r="HE94" s="327">
        <v>0.47</v>
      </c>
      <c r="HF94" s="327">
        <v>0.46</v>
      </c>
      <c r="HG94" s="327">
        <v>0.62</v>
      </c>
      <c r="HH94" s="327">
        <v>0.33</v>
      </c>
      <c r="HI94" s="327">
        <v>0.46</v>
      </c>
      <c r="HJ94" s="327">
        <v>0.61</v>
      </c>
      <c r="HK94" s="327">
        <v>0.51</v>
      </c>
      <c r="HL94" s="327">
        <v>0.38</v>
      </c>
      <c r="HM94" s="327">
        <v>0.45</v>
      </c>
      <c r="HN94" s="327">
        <v>0.38</v>
      </c>
      <c r="HO94" s="327">
        <v>0.38</v>
      </c>
      <c r="HP94" s="309" t="s">
        <v>173</v>
      </c>
      <c r="HQ94" s="327">
        <v>0.34</v>
      </c>
      <c r="HR94" s="424">
        <v>49</v>
      </c>
      <c r="HS94" s="424" t="s">
        <v>758</v>
      </c>
      <c r="HT94" s="424">
        <v>8</v>
      </c>
      <c r="HU94" s="424" t="s">
        <v>758</v>
      </c>
      <c r="HV94" s="428">
        <v>0.16</v>
      </c>
      <c r="HW94" s="428">
        <v>0.63</v>
      </c>
      <c r="HX94" s="428">
        <v>0.21</v>
      </c>
      <c r="HY94" s="428">
        <v>0</v>
      </c>
      <c r="HZ94" s="428">
        <v>0.44</v>
      </c>
      <c r="IA94" s="428">
        <v>0.56000000000000005</v>
      </c>
      <c r="IB94" s="428">
        <v>0.28999999999999998</v>
      </c>
      <c r="IC94" s="428">
        <v>0.53</v>
      </c>
      <c r="ID94" s="428">
        <v>0.64</v>
      </c>
      <c r="IE94" s="428">
        <v>0.42</v>
      </c>
      <c r="IF94" s="428">
        <v>0.49</v>
      </c>
      <c r="IG94" s="428">
        <v>0.65</v>
      </c>
      <c r="IH94" s="428">
        <v>0.56999999999999995</v>
      </c>
      <c r="II94" s="428">
        <v>0.33</v>
      </c>
      <c r="IJ94" s="428">
        <v>0.38</v>
      </c>
      <c r="IK94" s="428">
        <v>0.61</v>
      </c>
      <c r="IL94" s="428">
        <v>0.39</v>
      </c>
      <c r="IM94" s="428">
        <v>0.56999999999999995</v>
      </c>
      <c r="IN94" s="428">
        <v>0.49</v>
      </c>
      <c r="IO94" s="428">
        <v>0.62</v>
      </c>
      <c r="IP94" s="428">
        <v>0.44</v>
      </c>
      <c r="IQ94" s="428">
        <v>0.63</v>
      </c>
      <c r="IR94" s="428">
        <v>0.64</v>
      </c>
      <c r="IS94" s="428">
        <v>0.59</v>
      </c>
      <c r="IT94" s="428">
        <v>0.45</v>
      </c>
      <c r="IU94" s="424" t="s">
        <v>173</v>
      </c>
      <c r="IV94" s="428">
        <v>0.66</v>
      </c>
      <c r="IW94" s="428">
        <v>0.44</v>
      </c>
      <c r="IX94" s="428">
        <v>0.5</v>
      </c>
      <c r="IY94" s="428">
        <v>0.59</v>
      </c>
      <c r="IZ94" s="464">
        <v>51</v>
      </c>
      <c r="JA94" s="464" t="s">
        <v>758</v>
      </c>
      <c r="JB94" s="464">
        <v>10</v>
      </c>
      <c r="JC94" s="464" t="s">
        <v>758</v>
      </c>
      <c r="JD94" s="476">
        <v>0.14000000000000001</v>
      </c>
      <c r="JE94" s="476">
        <v>0.56000000000000005</v>
      </c>
      <c r="JF94" s="476">
        <v>0.28999999999999998</v>
      </c>
      <c r="JG94" s="476">
        <v>0.01</v>
      </c>
      <c r="JH94" s="476">
        <v>0.5</v>
      </c>
      <c r="JI94" s="476">
        <v>0.49</v>
      </c>
      <c r="JJ94" s="476">
        <v>0.44</v>
      </c>
      <c r="JK94" s="476">
        <v>0.46</v>
      </c>
      <c r="JL94" s="476">
        <v>0.47</v>
      </c>
      <c r="JM94" s="476">
        <v>0.49</v>
      </c>
      <c r="JN94" s="476">
        <v>0.47</v>
      </c>
      <c r="JO94" s="476">
        <v>0.45</v>
      </c>
      <c r="JP94" s="476">
        <v>0.51</v>
      </c>
      <c r="JQ94" s="476">
        <v>0.25</v>
      </c>
      <c r="JR94" s="476">
        <v>0.56000000000000005</v>
      </c>
      <c r="JS94" s="476">
        <v>0.62</v>
      </c>
      <c r="JT94" s="476">
        <v>0.41</v>
      </c>
      <c r="JU94" s="476">
        <v>0.56999999999999995</v>
      </c>
      <c r="JV94" s="476">
        <v>0.43</v>
      </c>
      <c r="JW94" s="476">
        <v>0.43</v>
      </c>
      <c r="JX94" s="476">
        <v>0.46</v>
      </c>
      <c r="JY94" s="476">
        <v>0.5</v>
      </c>
      <c r="JZ94" s="476">
        <v>0.43</v>
      </c>
      <c r="KA94" s="476">
        <v>0.64</v>
      </c>
      <c r="KB94" s="476">
        <v>0.47</v>
      </c>
      <c r="KC94" s="476">
        <v>0.71</v>
      </c>
      <c r="KD94" s="476">
        <v>0.34</v>
      </c>
      <c r="KE94" s="476">
        <v>0.47</v>
      </c>
      <c r="KF94" s="476">
        <v>0.47</v>
      </c>
      <c r="KG94" s="476">
        <v>0.59</v>
      </c>
      <c r="KH94" s="971">
        <v>52</v>
      </c>
      <c r="KI94" s="971" t="s">
        <v>758</v>
      </c>
      <c r="KJ94" s="971">
        <v>9</v>
      </c>
      <c r="KK94" s="971" t="s">
        <v>758</v>
      </c>
      <c r="KL94" s="949">
        <v>0.11</v>
      </c>
      <c r="KM94" s="949">
        <v>0.46</v>
      </c>
      <c r="KN94" s="949">
        <v>0.43</v>
      </c>
      <c r="KO94" s="949">
        <v>0</v>
      </c>
      <c r="KP94" s="949">
        <v>0.49</v>
      </c>
      <c r="KQ94" s="949">
        <v>0.2</v>
      </c>
      <c r="KR94" s="949">
        <v>0.57999999999999996</v>
      </c>
      <c r="KS94" s="949">
        <v>0.44</v>
      </c>
      <c r="KT94" s="949">
        <v>0.59</v>
      </c>
      <c r="KU94" s="949">
        <v>0.45</v>
      </c>
      <c r="KV94" s="949">
        <v>0.55000000000000004</v>
      </c>
      <c r="KW94" s="949">
        <v>0.34</v>
      </c>
      <c r="KX94" s="949">
        <v>0.35</v>
      </c>
      <c r="KY94" s="949">
        <v>0.48</v>
      </c>
      <c r="KZ94" s="949">
        <v>0.41</v>
      </c>
      <c r="LA94" s="949">
        <v>0.37</v>
      </c>
      <c r="LB94" s="949">
        <v>0.49</v>
      </c>
      <c r="LC94" s="949">
        <v>0.35</v>
      </c>
      <c r="LD94" s="949">
        <v>0.53</v>
      </c>
      <c r="LE94" s="949">
        <v>0.46</v>
      </c>
      <c r="LF94" s="949">
        <v>0.24</v>
      </c>
      <c r="LG94" s="949">
        <v>0.46</v>
      </c>
      <c r="LH94" s="949">
        <v>0.56000000000000005</v>
      </c>
      <c r="LI94" s="949">
        <v>0.45</v>
      </c>
      <c r="LJ94" s="949">
        <v>0.47</v>
      </c>
      <c r="LK94" s="949">
        <v>0.51</v>
      </c>
      <c r="LL94" s="949" t="s">
        <v>173</v>
      </c>
      <c r="LM94" s="949">
        <v>0.6</v>
      </c>
      <c r="LN94" s="949">
        <v>0.64</v>
      </c>
      <c r="LO94" s="949">
        <v>0.42</v>
      </c>
      <c r="LP94" s="922">
        <v>325754004521</v>
      </c>
      <c r="LQ94" s="126" t="s">
        <v>77</v>
      </c>
      <c r="LR94" s="424">
        <v>49</v>
      </c>
      <c r="LS94" s="971">
        <v>52</v>
      </c>
      <c r="LT94" s="946"/>
    </row>
    <row r="95" spans="1:332" ht="24.95" customHeight="1" x14ac:dyDescent="0.2">
      <c r="A95" s="126" t="s">
        <v>58</v>
      </c>
      <c r="B95" s="1" t="s">
        <v>123</v>
      </c>
      <c r="C95" s="2">
        <v>2</v>
      </c>
      <c r="D95" s="12">
        <v>61</v>
      </c>
      <c r="E95" s="12">
        <v>7</v>
      </c>
      <c r="F95" s="66">
        <v>0</v>
      </c>
      <c r="G95" s="66">
        <v>0.28999999999999998</v>
      </c>
      <c r="H95" s="66">
        <v>0.71</v>
      </c>
      <c r="I95" s="66">
        <v>0</v>
      </c>
      <c r="J95" s="66">
        <v>0.13</v>
      </c>
      <c r="K95" s="66">
        <v>0.13</v>
      </c>
      <c r="L95" s="66">
        <v>0.75</v>
      </c>
      <c r="M95" s="66">
        <v>0.13</v>
      </c>
      <c r="N95" s="66">
        <v>0.2</v>
      </c>
      <c r="O95" s="66">
        <v>0.6</v>
      </c>
      <c r="P95" s="66">
        <v>0.31</v>
      </c>
      <c r="Q95" s="66">
        <v>0.22</v>
      </c>
      <c r="R95" s="66">
        <v>0.38</v>
      </c>
      <c r="S95" s="66">
        <v>0.44</v>
      </c>
      <c r="T95" s="66">
        <v>0.13</v>
      </c>
      <c r="U95" s="66">
        <v>0</v>
      </c>
      <c r="V95" s="66">
        <v>0</v>
      </c>
      <c r="W95" s="66">
        <v>0.13</v>
      </c>
      <c r="X95" s="66">
        <v>0.34</v>
      </c>
      <c r="Y95" s="66">
        <v>0.25</v>
      </c>
      <c r="Z95" s="12" t="s">
        <v>173</v>
      </c>
      <c r="AA95" s="66">
        <v>0</v>
      </c>
      <c r="AB95" s="66">
        <v>0.27</v>
      </c>
      <c r="AC95" s="66">
        <v>0.19</v>
      </c>
      <c r="AD95" s="66">
        <v>0.33</v>
      </c>
      <c r="AE95" s="66">
        <v>0.69</v>
      </c>
      <c r="AF95" s="66">
        <v>0.25</v>
      </c>
      <c r="AG95" s="66">
        <v>0.28999999999999998</v>
      </c>
      <c r="AH95" s="12">
        <v>44</v>
      </c>
      <c r="AI95" s="12">
        <v>7</v>
      </c>
      <c r="AJ95" s="40">
        <v>0.22</v>
      </c>
      <c r="AK95" s="40">
        <v>0.67</v>
      </c>
      <c r="AL95" s="40">
        <v>0.11</v>
      </c>
      <c r="AM95" s="40">
        <v>0</v>
      </c>
      <c r="AN95" s="40">
        <v>0.56000000000000005</v>
      </c>
      <c r="AO95" s="40">
        <v>0.59</v>
      </c>
      <c r="AP95" s="40">
        <v>0.75</v>
      </c>
      <c r="AQ95" s="40">
        <v>0.61</v>
      </c>
      <c r="AR95" s="40">
        <v>0.8</v>
      </c>
      <c r="AS95" s="40">
        <v>0.56000000000000005</v>
      </c>
      <c r="AT95" s="40">
        <v>0.65</v>
      </c>
      <c r="AU95" s="40">
        <v>0.84</v>
      </c>
      <c r="AV95" s="40">
        <v>0.59</v>
      </c>
      <c r="AW95" s="40">
        <v>0.5</v>
      </c>
      <c r="AX95" s="40">
        <v>0.83</v>
      </c>
      <c r="AY95" s="40">
        <v>0.41</v>
      </c>
      <c r="AZ95" s="40">
        <v>0.43</v>
      </c>
      <c r="BA95" s="40">
        <v>0.73</v>
      </c>
      <c r="BB95" s="40">
        <v>0.65</v>
      </c>
      <c r="BC95" s="40">
        <v>0.7</v>
      </c>
      <c r="BD95" s="40">
        <v>0.7</v>
      </c>
      <c r="BE95" s="40">
        <v>0.67</v>
      </c>
      <c r="BF95" s="40">
        <v>1</v>
      </c>
      <c r="BG95" s="40">
        <v>0.65</v>
      </c>
      <c r="BH95" s="40">
        <v>0.66</v>
      </c>
      <c r="BI95" s="40">
        <v>0.57999999999999996</v>
      </c>
      <c r="BJ95" s="40">
        <v>0.52</v>
      </c>
      <c r="BK95" s="40">
        <v>0.52</v>
      </c>
      <c r="BL95" s="40">
        <v>0.33</v>
      </c>
      <c r="BM95" s="12">
        <v>46</v>
      </c>
      <c r="BN95" s="12">
        <v>7</v>
      </c>
      <c r="BO95" s="66">
        <v>0.17</v>
      </c>
      <c r="BP95" s="66">
        <v>0.67</v>
      </c>
      <c r="BQ95" s="66">
        <v>0.17</v>
      </c>
      <c r="BR95" s="66">
        <v>0</v>
      </c>
      <c r="BS95" s="66">
        <v>0.25</v>
      </c>
      <c r="BT95" s="66">
        <v>0.5</v>
      </c>
      <c r="BU95" s="66">
        <v>0.83</v>
      </c>
      <c r="BV95" s="66">
        <v>1</v>
      </c>
      <c r="BW95" s="66">
        <v>0.8</v>
      </c>
      <c r="BX95" s="66">
        <v>0.28999999999999998</v>
      </c>
      <c r="BY95" s="66">
        <v>0.47</v>
      </c>
      <c r="BZ95" s="66">
        <v>0.65</v>
      </c>
      <c r="CA95" s="66">
        <v>0.5</v>
      </c>
      <c r="CB95" s="66">
        <v>0.5</v>
      </c>
      <c r="CC95" s="66">
        <v>0</v>
      </c>
      <c r="CD95" s="66">
        <v>0.71</v>
      </c>
      <c r="CE95" s="66">
        <v>0.4</v>
      </c>
      <c r="CF95" s="66">
        <v>0.56999999999999995</v>
      </c>
      <c r="CG95" s="66">
        <v>0.4</v>
      </c>
      <c r="CH95" s="66">
        <v>0.65</v>
      </c>
      <c r="CI95" s="66">
        <v>0.81</v>
      </c>
      <c r="CJ95" s="66">
        <v>0.8</v>
      </c>
      <c r="CK95" s="66">
        <v>0.94</v>
      </c>
      <c r="CL95" s="66">
        <v>0.57999999999999996</v>
      </c>
      <c r="CM95" s="66">
        <v>0.64</v>
      </c>
      <c r="CN95" s="66">
        <v>0.56000000000000005</v>
      </c>
      <c r="CO95" s="66">
        <v>0.4</v>
      </c>
      <c r="CP95" s="66">
        <v>0.56999999999999995</v>
      </c>
      <c r="CQ95" s="66">
        <v>0.73</v>
      </c>
      <c r="CR95" s="66">
        <v>0.6</v>
      </c>
      <c r="CS95" s="12">
        <v>47</v>
      </c>
      <c r="CT95" s="12">
        <v>10</v>
      </c>
      <c r="CU95" s="63">
        <v>0.44</v>
      </c>
      <c r="CV95" s="63">
        <v>0.33</v>
      </c>
      <c r="CW95" s="63">
        <v>0.22</v>
      </c>
      <c r="CX95" s="63">
        <v>0</v>
      </c>
      <c r="CY95" s="63">
        <v>0.56999999999999995</v>
      </c>
      <c r="CZ95" s="63">
        <v>0.33</v>
      </c>
      <c r="DA95" s="63">
        <v>0.61</v>
      </c>
      <c r="DB95" s="63">
        <v>0.56000000000000005</v>
      </c>
      <c r="DC95" s="63">
        <v>0.52</v>
      </c>
      <c r="DD95" s="63">
        <v>0.64</v>
      </c>
      <c r="DE95" s="63">
        <v>0.6</v>
      </c>
      <c r="DF95" s="63">
        <v>0.82</v>
      </c>
      <c r="DG95" s="63">
        <v>0.25</v>
      </c>
      <c r="DH95" s="63">
        <v>0.38</v>
      </c>
      <c r="DI95" s="63">
        <v>0.88</v>
      </c>
      <c r="DJ95" s="63">
        <v>0.63</v>
      </c>
      <c r="DK95" s="63">
        <v>0.63</v>
      </c>
      <c r="DL95" s="63">
        <v>0.33</v>
      </c>
      <c r="DM95" s="63">
        <v>0.56999999999999995</v>
      </c>
      <c r="DN95" s="63">
        <v>0.68</v>
      </c>
      <c r="DO95" s="63">
        <v>0.43</v>
      </c>
      <c r="DP95" s="63">
        <v>0.39</v>
      </c>
      <c r="DQ95" s="63">
        <v>0.53</v>
      </c>
      <c r="DR95" s="63">
        <v>0.2</v>
      </c>
      <c r="DS95" s="63">
        <v>0.19</v>
      </c>
      <c r="DT95" s="63">
        <v>0.65</v>
      </c>
      <c r="DU95" s="63">
        <v>0.75</v>
      </c>
      <c r="DV95" s="63">
        <v>0.56000000000000005</v>
      </c>
      <c r="DW95" s="63">
        <v>0.33</v>
      </c>
      <c r="DX95" s="35">
        <v>46</v>
      </c>
      <c r="DY95" s="35">
        <v>7</v>
      </c>
      <c r="DZ95" s="40">
        <v>0.27</v>
      </c>
      <c r="EA95" s="40">
        <v>0.73</v>
      </c>
      <c r="EB95" s="40">
        <v>0</v>
      </c>
      <c r="EC95" s="40">
        <v>0</v>
      </c>
      <c r="ED95" s="40">
        <v>0.59</v>
      </c>
      <c r="EE95" s="40">
        <v>0.3</v>
      </c>
      <c r="EF95" s="40">
        <v>0.5</v>
      </c>
      <c r="EG95" s="40">
        <v>0.4</v>
      </c>
      <c r="EH95" s="40">
        <v>0.53</v>
      </c>
      <c r="EI95" s="40">
        <v>0.37</v>
      </c>
      <c r="EJ95" s="40">
        <v>0.67</v>
      </c>
      <c r="EK95" s="40">
        <v>0.22</v>
      </c>
      <c r="EL95" s="40">
        <v>0.47</v>
      </c>
      <c r="EM95" s="40">
        <v>0.67</v>
      </c>
      <c r="EN95" s="40">
        <v>0.55000000000000004</v>
      </c>
      <c r="EO95" s="40">
        <v>0.52</v>
      </c>
      <c r="EP95" s="40">
        <v>0.59</v>
      </c>
      <c r="EQ95" s="40">
        <v>0.2</v>
      </c>
      <c r="ER95" s="40">
        <v>0.61</v>
      </c>
      <c r="ES95" s="40">
        <v>0.6</v>
      </c>
      <c r="ET95" s="40">
        <v>0.33</v>
      </c>
      <c r="EU95" s="40">
        <v>0.69</v>
      </c>
      <c r="EV95" s="40">
        <v>0.6</v>
      </c>
      <c r="EW95" s="40">
        <v>0.5</v>
      </c>
      <c r="EX95" s="40">
        <v>0.86</v>
      </c>
      <c r="EY95" s="40">
        <v>0.6</v>
      </c>
      <c r="EZ95" s="40">
        <v>0.17</v>
      </c>
      <c r="FA95" s="40">
        <v>0.81</v>
      </c>
      <c r="FB95" s="246">
        <v>47</v>
      </c>
      <c r="FC95" s="246" t="s">
        <v>758</v>
      </c>
      <c r="FD95" s="246">
        <v>5</v>
      </c>
      <c r="FE95" s="246" t="s">
        <v>760</v>
      </c>
      <c r="FF95" s="263">
        <v>0</v>
      </c>
      <c r="FG95" s="263">
        <v>1</v>
      </c>
      <c r="FH95" s="263">
        <v>0</v>
      </c>
      <c r="FI95" s="263">
        <v>0</v>
      </c>
      <c r="FJ95" s="263">
        <v>0.75</v>
      </c>
      <c r="FK95" s="263">
        <v>0.72</v>
      </c>
      <c r="FL95" s="263">
        <v>0.25</v>
      </c>
      <c r="FM95" s="263">
        <v>0.67</v>
      </c>
      <c r="FN95" s="263">
        <v>0</v>
      </c>
      <c r="FO95" s="263">
        <v>0.3</v>
      </c>
      <c r="FP95" s="263">
        <v>0.4</v>
      </c>
      <c r="FQ95" s="263">
        <v>0.36</v>
      </c>
      <c r="FR95" s="263">
        <v>0.94</v>
      </c>
      <c r="FS95" s="263">
        <v>0.5</v>
      </c>
      <c r="FT95" s="263">
        <v>0.5</v>
      </c>
      <c r="FU95" s="263">
        <v>0.5</v>
      </c>
      <c r="FV95" s="263">
        <v>0.75</v>
      </c>
      <c r="FW95" s="263">
        <v>0.5</v>
      </c>
      <c r="FX95" s="263">
        <v>0.67</v>
      </c>
      <c r="FY95" s="263">
        <v>0.4</v>
      </c>
      <c r="FZ95" s="263">
        <v>0.6</v>
      </c>
      <c r="GA95" s="263">
        <v>0.6</v>
      </c>
      <c r="GB95" s="263">
        <v>0.63</v>
      </c>
      <c r="GC95" s="263">
        <v>0.39</v>
      </c>
      <c r="GD95" s="263">
        <v>0.56000000000000005</v>
      </c>
      <c r="GE95" s="263">
        <v>0.33</v>
      </c>
      <c r="GF95" s="263">
        <v>0.67</v>
      </c>
      <c r="GG95" s="263">
        <v>0.63</v>
      </c>
      <c r="GH95" s="263">
        <v>0.79</v>
      </c>
      <c r="GI95" s="263">
        <v>0.38</v>
      </c>
      <c r="GJ95" s="309">
        <v>50</v>
      </c>
      <c r="GK95" s="309" t="s">
        <v>758</v>
      </c>
      <c r="GL95" s="309">
        <v>13</v>
      </c>
      <c r="GM95" s="309" t="s">
        <v>759</v>
      </c>
      <c r="GN95" s="327">
        <v>0</v>
      </c>
      <c r="GO95" s="327">
        <v>0.67</v>
      </c>
      <c r="GP95" s="327">
        <v>0.33</v>
      </c>
      <c r="GQ95" s="327">
        <v>0</v>
      </c>
      <c r="GR95" s="327">
        <v>0.4</v>
      </c>
      <c r="GS95" s="327">
        <v>0.75</v>
      </c>
      <c r="GT95" s="327">
        <v>0.83</v>
      </c>
      <c r="GU95" s="327">
        <v>0</v>
      </c>
      <c r="GV95" s="327">
        <v>0.33</v>
      </c>
      <c r="GW95" s="327">
        <v>0.67</v>
      </c>
      <c r="GX95" s="327">
        <v>0.4</v>
      </c>
      <c r="GY95" s="309" t="s">
        <v>173</v>
      </c>
      <c r="GZ95" s="327">
        <v>0</v>
      </c>
      <c r="HA95" s="327">
        <v>1</v>
      </c>
      <c r="HB95" s="327">
        <v>0.75</v>
      </c>
      <c r="HC95" s="327">
        <v>0.2</v>
      </c>
      <c r="HD95" s="327">
        <v>0.6</v>
      </c>
      <c r="HE95" s="327">
        <v>0.43</v>
      </c>
      <c r="HF95" s="327">
        <v>0.5</v>
      </c>
      <c r="HG95" s="327">
        <v>0.45</v>
      </c>
      <c r="HH95" s="327">
        <v>0.56999999999999995</v>
      </c>
      <c r="HI95" s="327">
        <v>0.67</v>
      </c>
      <c r="HJ95" s="327">
        <v>0.64</v>
      </c>
      <c r="HK95" s="327">
        <v>0.33</v>
      </c>
      <c r="HL95" s="327">
        <v>0.43</v>
      </c>
      <c r="HM95" s="327">
        <v>0.67</v>
      </c>
      <c r="HN95" s="327">
        <v>0.4</v>
      </c>
      <c r="HO95" s="327">
        <v>0.67</v>
      </c>
      <c r="HP95" s="309" t="s">
        <v>173</v>
      </c>
      <c r="HQ95" s="327">
        <v>0.33</v>
      </c>
      <c r="HR95" s="424">
        <v>52</v>
      </c>
      <c r="HS95" s="424" t="s">
        <v>758</v>
      </c>
      <c r="HT95" s="424">
        <v>8</v>
      </c>
      <c r="HU95" s="424" t="s">
        <v>758</v>
      </c>
      <c r="HV95" s="428">
        <v>0.13</v>
      </c>
      <c r="HW95" s="428">
        <v>0.5</v>
      </c>
      <c r="HX95" s="428">
        <v>0.38</v>
      </c>
      <c r="HY95" s="428">
        <v>0</v>
      </c>
      <c r="HZ95" s="428">
        <v>0.43</v>
      </c>
      <c r="IA95" s="428">
        <v>0.53</v>
      </c>
      <c r="IB95" s="428">
        <v>0.25</v>
      </c>
      <c r="IC95" s="428">
        <v>0.53</v>
      </c>
      <c r="ID95" s="428">
        <v>0.57999999999999996</v>
      </c>
      <c r="IE95" s="428">
        <v>0.22</v>
      </c>
      <c r="IF95" s="428">
        <v>0.56000000000000005</v>
      </c>
      <c r="IG95" s="428">
        <v>0.56000000000000005</v>
      </c>
      <c r="IH95" s="428">
        <v>0.36</v>
      </c>
      <c r="II95" s="428">
        <v>0.4</v>
      </c>
      <c r="IJ95" s="428">
        <v>0.11</v>
      </c>
      <c r="IK95" s="428">
        <v>0.62</v>
      </c>
      <c r="IL95" s="428">
        <v>0.18</v>
      </c>
      <c r="IM95" s="428">
        <v>0.53</v>
      </c>
      <c r="IN95" s="428">
        <v>0.46</v>
      </c>
      <c r="IO95" s="428">
        <v>0.74</v>
      </c>
      <c r="IP95" s="428">
        <v>0.23</v>
      </c>
      <c r="IQ95" s="428">
        <v>0.56000000000000005</v>
      </c>
      <c r="IR95" s="428">
        <v>0.6</v>
      </c>
      <c r="IS95" s="428">
        <v>0.53</v>
      </c>
      <c r="IT95" s="428">
        <v>0.41</v>
      </c>
      <c r="IU95" s="424" t="s">
        <v>173</v>
      </c>
      <c r="IV95" s="428">
        <v>0.56999999999999995</v>
      </c>
      <c r="IW95" s="428">
        <v>0.44</v>
      </c>
      <c r="IX95" s="428">
        <v>0.46</v>
      </c>
      <c r="IY95" s="428">
        <v>0.48</v>
      </c>
      <c r="IZ95" s="464">
        <v>53</v>
      </c>
      <c r="JA95" s="464" t="s">
        <v>758</v>
      </c>
      <c r="JB95" s="464">
        <v>8</v>
      </c>
      <c r="JC95" s="464" t="s">
        <v>758</v>
      </c>
      <c r="JD95" s="476">
        <v>0.17</v>
      </c>
      <c r="JE95" s="476">
        <v>0.5</v>
      </c>
      <c r="JF95" s="476">
        <v>0.33</v>
      </c>
      <c r="JG95" s="476">
        <v>0</v>
      </c>
      <c r="JH95" s="476">
        <v>0.2</v>
      </c>
      <c r="JI95" s="476">
        <v>0.53</v>
      </c>
      <c r="JJ95" s="476">
        <v>0.44</v>
      </c>
      <c r="JK95" s="476">
        <v>0.38</v>
      </c>
      <c r="JL95" s="476">
        <v>0.56000000000000005</v>
      </c>
      <c r="JM95" s="476">
        <v>0.47</v>
      </c>
      <c r="JN95" s="476">
        <v>0.28999999999999998</v>
      </c>
      <c r="JO95" s="476">
        <v>0.35</v>
      </c>
      <c r="JP95" s="476">
        <v>0.67</v>
      </c>
      <c r="JQ95" s="476">
        <v>0.15</v>
      </c>
      <c r="JR95" s="476">
        <v>0.59</v>
      </c>
      <c r="JS95" s="476">
        <v>0.6</v>
      </c>
      <c r="JT95" s="476">
        <v>0.38</v>
      </c>
      <c r="JU95" s="476">
        <v>0.67</v>
      </c>
      <c r="JV95" s="476">
        <v>0.53</v>
      </c>
      <c r="JW95" s="476">
        <v>0.33</v>
      </c>
      <c r="JX95" s="476">
        <v>0.57999999999999996</v>
      </c>
      <c r="JY95" s="476">
        <v>0.56000000000000005</v>
      </c>
      <c r="JZ95" s="476">
        <v>0.57999999999999996</v>
      </c>
      <c r="KA95" s="476">
        <v>0.33</v>
      </c>
      <c r="KB95" s="476">
        <v>0.38</v>
      </c>
      <c r="KC95" s="476">
        <v>0.4</v>
      </c>
      <c r="KD95" s="476">
        <v>0.42</v>
      </c>
      <c r="KE95" s="476">
        <v>0.36</v>
      </c>
      <c r="KF95" s="476">
        <v>0.3</v>
      </c>
      <c r="KG95" s="476">
        <v>0.57999999999999996</v>
      </c>
      <c r="KH95" s="971">
        <v>51</v>
      </c>
      <c r="KI95" s="971" t="s">
        <v>758</v>
      </c>
      <c r="KJ95" s="971">
        <v>7</v>
      </c>
      <c r="KK95" s="971" t="s">
        <v>758</v>
      </c>
      <c r="KL95" s="949">
        <v>0</v>
      </c>
      <c r="KM95" s="949">
        <v>0.6</v>
      </c>
      <c r="KN95" s="949">
        <v>0.4</v>
      </c>
      <c r="KO95" s="949">
        <v>0</v>
      </c>
      <c r="KP95" s="949">
        <v>0.45</v>
      </c>
      <c r="KQ95" s="949">
        <v>0.36</v>
      </c>
      <c r="KR95" s="949">
        <v>0.6</v>
      </c>
      <c r="KS95" s="949">
        <v>0.73</v>
      </c>
      <c r="KT95" s="949">
        <v>0.33</v>
      </c>
      <c r="KU95" s="949">
        <v>0.43</v>
      </c>
      <c r="KV95" s="949">
        <v>0.67</v>
      </c>
      <c r="KW95" s="949">
        <v>0.3</v>
      </c>
      <c r="KX95" s="949">
        <v>0.4</v>
      </c>
      <c r="KY95" s="949">
        <v>0.56999999999999995</v>
      </c>
      <c r="KZ95" s="949">
        <v>0.33</v>
      </c>
      <c r="LA95" s="949">
        <v>0</v>
      </c>
      <c r="LB95" s="949">
        <v>0.14000000000000001</v>
      </c>
      <c r="LC95" s="949">
        <v>0.45</v>
      </c>
      <c r="LD95" s="949">
        <v>0.5</v>
      </c>
      <c r="LE95" s="949">
        <v>0.64</v>
      </c>
      <c r="LF95" s="949">
        <v>0.4</v>
      </c>
      <c r="LG95" s="949">
        <v>0</v>
      </c>
      <c r="LH95" s="949">
        <v>0.59</v>
      </c>
      <c r="LI95" s="949">
        <v>0.44</v>
      </c>
      <c r="LJ95" s="949">
        <v>0.44</v>
      </c>
      <c r="LK95" s="949">
        <v>0.47</v>
      </c>
      <c r="LL95" s="949" t="s">
        <v>173</v>
      </c>
      <c r="LM95" s="949">
        <v>0.75</v>
      </c>
      <c r="LN95" s="949">
        <v>0</v>
      </c>
      <c r="LO95" s="949">
        <v>0.43</v>
      </c>
      <c r="LP95" s="922">
        <v>325754005129</v>
      </c>
      <c r="LQ95" s="126" t="s">
        <v>58</v>
      </c>
      <c r="LR95" s="424">
        <v>52</v>
      </c>
      <c r="LS95" s="971">
        <v>51</v>
      </c>
      <c r="LT95" s="946"/>
    </row>
    <row r="96" spans="1:332" ht="24.95" customHeight="1" x14ac:dyDescent="0.2">
      <c r="A96" s="126" t="s">
        <v>100</v>
      </c>
      <c r="B96" s="1" t="s">
        <v>123</v>
      </c>
      <c r="C96" s="2">
        <v>3</v>
      </c>
      <c r="D96" s="12">
        <v>60</v>
      </c>
      <c r="E96" s="12">
        <v>6</v>
      </c>
      <c r="F96" s="66">
        <v>0</v>
      </c>
      <c r="G96" s="66">
        <v>0.23</v>
      </c>
      <c r="H96" s="66">
        <v>0.77</v>
      </c>
      <c r="I96" s="66">
        <v>0</v>
      </c>
      <c r="J96" s="66">
        <v>0.19</v>
      </c>
      <c r="K96" s="66">
        <v>0.21</v>
      </c>
      <c r="L96" s="66">
        <v>0.59</v>
      </c>
      <c r="M96" s="66">
        <v>0.11</v>
      </c>
      <c r="N96" s="66">
        <v>0.18</v>
      </c>
      <c r="O96" s="66">
        <v>0.5</v>
      </c>
      <c r="P96" s="66">
        <v>0.33</v>
      </c>
      <c r="Q96" s="66">
        <v>0.31</v>
      </c>
      <c r="R96" s="66">
        <v>0.35</v>
      </c>
      <c r="S96" s="66">
        <v>0.45</v>
      </c>
      <c r="T96" s="66">
        <v>0.42</v>
      </c>
      <c r="U96" s="66">
        <v>0.4</v>
      </c>
      <c r="V96" s="66">
        <v>0</v>
      </c>
      <c r="W96" s="66">
        <v>0.04</v>
      </c>
      <c r="X96" s="66">
        <v>0.28999999999999998</v>
      </c>
      <c r="Y96" s="66">
        <v>0.28000000000000003</v>
      </c>
      <c r="Z96" s="12" t="s">
        <v>173</v>
      </c>
      <c r="AA96" s="66">
        <v>0.03</v>
      </c>
      <c r="AB96" s="66">
        <v>0.43</v>
      </c>
      <c r="AC96" s="66">
        <v>0.18</v>
      </c>
      <c r="AD96" s="66">
        <v>0.34</v>
      </c>
      <c r="AE96" s="66">
        <v>0.4</v>
      </c>
      <c r="AF96" s="66">
        <v>0.37</v>
      </c>
      <c r="AG96" s="66">
        <v>0.45</v>
      </c>
      <c r="AH96" s="12">
        <v>59</v>
      </c>
      <c r="AI96" s="12">
        <v>8</v>
      </c>
      <c r="AJ96" s="40">
        <v>0</v>
      </c>
      <c r="AK96" s="40">
        <v>0.31</v>
      </c>
      <c r="AL96" s="40">
        <v>0.59</v>
      </c>
      <c r="AM96" s="40">
        <v>0.09</v>
      </c>
      <c r="AN96" s="40">
        <v>0.25</v>
      </c>
      <c r="AO96" s="40">
        <v>0.4</v>
      </c>
      <c r="AP96" s="40">
        <v>0.4</v>
      </c>
      <c r="AQ96" s="40">
        <v>0.21</v>
      </c>
      <c r="AR96" s="40">
        <v>0.3</v>
      </c>
      <c r="AS96" s="40">
        <v>0.44</v>
      </c>
      <c r="AT96" s="40">
        <v>0.37</v>
      </c>
      <c r="AU96" s="40">
        <v>0.34</v>
      </c>
      <c r="AV96" s="40">
        <v>0.45</v>
      </c>
      <c r="AW96" s="40">
        <v>0.13</v>
      </c>
      <c r="AX96" s="40">
        <v>0.37</v>
      </c>
      <c r="AY96" s="40">
        <v>0.21</v>
      </c>
      <c r="AZ96" s="40">
        <v>0.18</v>
      </c>
      <c r="BA96" s="40">
        <v>0.31</v>
      </c>
      <c r="BB96" s="40">
        <v>0.46</v>
      </c>
      <c r="BC96" s="40">
        <v>0.54</v>
      </c>
      <c r="BD96" s="40">
        <v>0.33</v>
      </c>
      <c r="BE96" s="40">
        <v>0.28999999999999998</v>
      </c>
      <c r="BF96" s="40">
        <v>0.26</v>
      </c>
      <c r="BG96" s="40">
        <v>0.35</v>
      </c>
      <c r="BH96" s="40">
        <v>0.3</v>
      </c>
      <c r="BI96" s="40">
        <v>0.34</v>
      </c>
      <c r="BJ96" s="40">
        <v>0.27</v>
      </c>
      <c r="BK96" s="40">
        <v>0.28999999999999998</v>
      </c>
      <c r="BL96" s="40">
        <v>0.2</v>
      </c>
      <c r="BM96" s="12">
        <v>57</v>
      </c>
      <c r="BN96" s="12">
        <v>8</v>
      </c>
      <c r="BO96" s="66">
        <v>0</v>
      </c>
      <c r="BP96" s="66">
        <v>0.38</v>
      </c>
      <c r="BQ96" s="66">
        <v>0.59</v>
      </c>
      <c r="BR96" s="66">
        <v>0.03</v>
      </c>
      <c r="BS96" s="66">
        <v>0.27</v>
      </c>
      <c r="BT96" s="66">
        <v>0.62</v>
      </c>
      <c r="BU96" s="66">
        <v>0.52</v>
      </c>
      <c r="BV96" s="66">
        <v>0.27</v>
      </c>
      <c r="BW96" s="66">
        <v>0.57999999999999996</v>
      </c>
      <c r="BX96" s="66">
        <v>0.22</v>
      </c>
      <c r="BY96" s="66">
        <v>0.49</v>
      </c>
      <c r="BZ96" s="66">
        <v>0.41</v>
      </c>
      <c r="CA96" s="66">
        <v>0.41</v>
      </c>
      <c r="CB96" s="66">
        <v>0.19</v>
      </c>
      <c r="CC96" s="66">
        <v>0.02</v>
      </c>
      <c r="CD96" s="66">
        <v>0.23</v>
      </c>
      <c r="CE96" s="66">
        <v>0.22</v>
      </c>
      <c r="CF96" s="66">
        <v>0.67</v>
      </c>
      <c r="CG96" s="66">
        <v>0.52</v>
      </c>
      <c r="CH96" s="66">
        <v>0.34</v>
      </c>
      <c r="CI96" s="66">
        <v>0.45</v>
      </c>
      <c r="CJ96" s="66">
        <v>0.37</v>
      </c>
      <c r="CK96" s="66">
        <v>0.67</v>
      </c>
      <c r="CL96" s="66">
        <v>0.2</v>
      </c>
      <c r="CM96" s="66">
        <v>0.41</v>
      </c>
      <c r="CN96" s="66">
        <v>0.28000000000000003</v>
      </c>
      <c r="CO96" s="66">
        <v>0.32</v>
      </c>
      <c r="CP96" s="66">
        <v>0.2</v>
      </c>
      <c r="CQ96" s="66">
        <v>0.48</v>
      </c>
      <c r="CR96" s="66">
        <v>0.37</v>
      </c>
      <c r="CS96" s="12">
        <v>53</v>
      </c>
      <c r="CT96" s="12">
        <v>10</v>
      </c>
      <c r="CU96" s="63">
        <v>0.08</v>
      </c>
      <c r="CV96" s="63">
        <v>0.57999999999999996</v>
      </c>
      <c r="CW96" s="63">
        <v>0.31</v>
      </c>
      <c r="CX96" s="63">
        <v>0.04</v>
      </c>
      <c r="CY96" s="63">
        <v>0.44</v>
      </c>
      <c r="CZ96" s="63">
        <v>0.27</v>
      </c>
      <c r="DA96" s="63">
        <v>0.56000000000000005</v>
      </c>
      <c r="DB96" s="63">
        <v>0.33</v>
      </c>
      <c r="DC96" s="63">
        <v>0.42</v>
      </c>
      <c r="DD96" s="63">
        <v>0.59</v>
      </c>
      <c r="DE96" s="63">
        <v>0.38</v>
      </c>
      <c r="DF96" s="63">
        <v>0.46</v>
      </c>
      <c r="DG96" s="63">
        <v>0.38</v>
      </c>
      <c r="DH96" s="63">
        <v>0.37</v>
      </c>
      <c r="DI96" s="63">
        <v>0.53</v>
      </c>
      <c r="DJ96" s="63">
        <v>0.5</v>
      </c>
      <c r="DK96" s="63">
        <v>0.4</v>
      </c>
      <c r="DL96" s="63">
        <v>0.34</v>
      </c>
      <c r="DM96" s="63">
        <v>0.48</v>
      </c>
      <c r="DN96" s="63">
        <v>0.38</v>
      </c>
      <c r="DO96" s="63">
        <v>0.28999999999999998</v>
      </c>
      <c r="DP96" s="63">
        <v>0.42</v>
      </c>
      <c r="DQ96" s="63">
        <v>0.52</v>
      </c>
      <c r="DR96" s="63">
        <v>0.11</v>
      </c>
      <c r="DS96" s="63">
        <v>0.33</v>
      </c>
      <c r="DT96" s="63">
        <v>0.47</v>
      </c>
      <c r="DU96" s="63">
        <v>0.3</v>
      </c>
      <c r="DV96" s="63">
        <v>0.54</v>
      </c>
      <c r="DW96" s="63">
        <v>0.31</v>
      </c>
      <c r="DX96" s="35">
        <v>54</v>
      </c>
      <c r="DY96" s="35">
        <v>9</v>
      </c>
      <c r="DZ96" s="40">
        <v>0.1</v>
      </c>
      <c r="EA96" s="40">
        <v>0.41</v>
      </c>
      <c r="EB96" s="40">
        <v>0.48</v>
      </c>
      <c r="EC96" s="40">
        <v>0.02</v>
      </c>
      <c r="ED96" s="40">
        <v>0.37</v>
      </c>
      <c r="EE96" s="40">
        <v>0.41</v>
      </c>
      <c r="EF96" s="40">
        <v>0.46</v>
      </c>
      <c r="EG96" s="40">
        <v>0.26</v>
      </c>
      <c r="EH96" s="40">
        <v>0.38</v>
      </c>
      <c r="EI96" s="40">
        <v>0.43</v>
      </c>
      <c r="EJ96" s="40">
        <v>0.43</v>
      </c>
      <c r="EK96" s="40">
        <v>0.18</v>
      </c>
      <c r="EL96" s="40">
        <v>0.38</v>
      </c>
      <c r="EM96" s="40">
        <v>0.66</v>
      </c>
      <c r="EN96" s="40">
        <v>0.42</v>
      </c>
      <c r="EO96" s="40">
        <v>0.52</v>
      </c>
      <c r="EP96" s="40">
        <v>0.24</v>
      </c>
      <c r="EQ96" s="40">
        <v>0.15</v>
      </c>
      <c r="ER96" s="40">
        <v>0.62</v>
      </c>
      <c r="ES96" s="40">
        <v>0.35</v>
      </c>
      <c r="ET96" s="40">
        <v>0.23</v>
      </c>
      <c r="EU96" s="40">
        <v>0.55000000000000004</v>
      </c>
      <c r="EV96" s="40">
        <v>0.41</v>
      </c>
      <c r="EW96" s="40">
        <v>0.21</v>
      </c>
      <c r="EX96" s="40">
        <v>0.85</v>
      </c>
      <c r="EY96" s="40">
        <v>0.42</v>
      </c>
      <c r="EZ96" s="40">
        <v>0.15</v>
      </c>
      <c r="FA96" s="40">
        <v>0.51</v>
      </c>
      <c r="FB96" s="246">
        <v>53</v>
      </c>
      <c r="FC96" s="246" t="s">
        <v>758</v>
      </c>
      <c r="FD96" s="246">
        <v>8</v>
      </c>
      <c r="FE96" s="246" t="s">
        <v>758</v>
      </c>
      <c r="FF96" s="263">
        <v>0.04</v>
      </c>
      <c r="FG96" s="263">
        <v>0.55000000000000004</v>
      </c>
      <c r="FH96" s="263">
        <v>0.4</v>
      </c>
      <c r="FI96" s="263">
        <v>0.01</v>
      </c>
      <c r="FJ96" s="263">
        <v>0.4</v>
      </c>
      <c r="FK96" s="263">
        <v>0.64</v>
      </c>
      <c r="FL96" s="263">
        <v>0.4</v>
      </c>
      <c r="FM96" s="263">
        <v>0.46</v>
      </c>
      <c r="FN96" s="263">
        <v>0.2</v>
      </c>
      <c r="FO96" s="263">
        <v>0.22</v>
      </c>
      <c r="FP96" s="263">
        <v>0.32</v>
      </c>
      <c r="FQ96" s="263">
        <v>0.26</v>
      </c>
      <c r="FR96" s="263">
        <v>0.56000000000000005</v>
      </c>
      <c r="FS96" s="263">
        <v>0.5</v>
      </c>
      <c r="FT96" s="263">
        <v>0.39</v>
      </c>
      <c r="FU96" s="263">
        <v>0.25</v>
      </c>
      <c r="FV96" s="263">
        <v>0.45</v>
      </c>
      <c r="FW96" s="263">
        <v>0.49</v>
      </c>
      <c r="FX96" s="263">
        <v>0.28999999999999998</v>
      </c>
      <c r="FY96" s="263">
        <v>0.3</v>
      </c>
      <c r="FZ96" s="263">
        <v>0.3</v>
      </c>
      <c r="GA96" s="263">
        <v>0.52</v>
      </c>
      <c r="GB96" s="263">
        <v>0.55000000000000004</v>
      </c>
      <c r="GC96" s="263">
        <v>0.4</v>
      </c>
      <c r="GD96" s="263">
        <v>0.56999999999999995</v>
      </c>
      <c r="GE96" s="263">
        <v>0.47</v>
      </c>
      <c r="GF96" s="263">
        <v>0.43</v>
      </c>
      <c r="GG96" s="263">
        <v>0.33</v>
      </c>
      <c r="GH96" s="263">
        <v>0.55000000000000004</v>
      </c>
      <c r="GI96" s="263">
        <v>0.25</v>
      </c>
      <c r="GJ96" s="309">
        <v>53</v>
      </c>
      <c r="GK96" s="309" t="s">
        <v>758</v>
      </c>
      <c r="GL96" s="309">
        <v>8</v>
      </c>
      <c r="GM96" s="309" t="s">
        <v>758</v>
      </c>
      <c r="GN96" s="327">
        <v>0.08</v>
      </c>
      <c r="GO96" s="327">
        <v>0.53</v>
      </c>
      <c r="GP96" s="327">
        <v>0.39</v>
      </c>
      <c r="GQ96" s="327">
        <v>0</v>
      </c>
      <c r="GR96" s="327">
        <v>0.49</v>
      </c>
      <c r="GS96" s="327">
        <v>0.48</v>
      </c>
      <c r="GT96" s="327">
        <v>0.56000000000000005</v>
      </c>
      <c r="GU96" s="327">
        <v>0.11</v>
      </c>
      <c r="GV96" s="327">
        <v>0.49</v>
      </c>
      <c r="GW96" s="327">
        <v>0.28000000000000003</v>
      </c>
      <c r="GX96" s="327">
        <v>0.41</v>
      </c>
      <c r="GY96" s="309" t="s">
        <v>173</v>
      </c>
      <c r="GZ96" s="327">
        <v>0.28999999999999998</v>
      </c>
      <c r="HA96" s="327">
        <v>0.61</v>
      </c>
      <c r="HB96" s="327">
        <v>0.45</v>
      </c>
      <c r="HC96" s="327">
        <v>0.47</v>
      </c>
      <c r="HD96" s="327">
        <v>0.59</v>
      </c>
      <c r="HE96" s="327">
        <v>0.48</v>
      </c>
      <c r="HF96" s="327">
        <v>0.4</v>
      </c>
      <c r="HG96" s="327">
        <v>0.65</v>
      </c>
      <c r="HH96" s="327">
        <v>0.33</v>
      </c>
      <c r="HI96" s="327">
        <v>0.49</v>
      </c>
      <c r="HJ96" s="327">
        <v>0.56999999999999995</v>
      </c>
      <c r="HK96" s="327">
        <v>0.53</v>
      </c>
      <c r="HL96" s="327">
        <v>0.35</v>
      </c>
      <c r="HM96" s="327">
        <v>0.39</v>
      </c>
      <c r="HN96" s="327">
        <v>0.42</v>
      </c>
      <c r="HO96" s="327">
        <v>0.35</v>
      </c>
      <c r="HP96" s="309" t="s">
        <v>173</v>
      </c>
      <c r="HQ96" s="327">
        <v>0.37</v>
      </c>
      <c r="HR96" s="424">
        <v>55</v>
      </c>
      <c r="HS96" s="424" t="s">
        <v>758</v>
      </c>
      <c r="HT96" s="424">
        <v>7</v>
      </c>
      <c r="HU96" s="424" t="s">
        <v>758</v>
      </c>
      <c r="HV96" s="428">
        <v>0.02</v>
      </c>
      <c r="HW96" s="428">
        <v>0.56999999999999995</v>
      </c>
      <c r="HX96" s="428">
        <v>0.4</v>
      </c>
      <c r="HY96" s="428">
        <v>0</v>
      </c>
      <c r="HZ96" s="428">
        <v>0.28999999999999998</v>
      </c>
      <c r="IA96" s="428">
        <v>0.51</v>
      </c>
      <c r="IB96" s="428">
        <v>0.27</v>
      </c>
      <c r="IC96" s="428">
        <v>0.45</v>
      </c>
      <c r="ID96" s="428">
        <v>0.56999999999999995</v>
      </c>
      <c r="IE96" s="428">
        <v>0.28000000000000003</v>
      </c>
      <c r="IF96" s="428">
        <v>0.3</v>
      </c>
      <c r="IG96" s="428">
        <v>0.48</v>
      </c>
      <c r="IH96" s="428">
        <v>0.43</v>
      </c>
      <c r="II96" s="428">
        <v>0.26</v>
      </c>
      <c r="IJ96" s="428">
        <v>0.21</v>
      </c>
      <c r="IK96" s="428">
        <v>0.5</v>
      </c>
      <c r="IL96" s="428">
        <v>0.23</v>
      </c>
      <c r="IM96" s="428">
        <v>0.5</v>
      </c>
      <c r="IN96" s="428">
        <v>0.42</v>
      </c>
      <c r="IO96" s="428">
        <v>0.49</v>
      </c>
      <c r="IP96" s="428">
        <v>0.4</v>
      </c>
      <c r="IQ96" s="428">
        <v>0.61</v>
      </c>
      <c r="IR96" s="428">
        <v>0.48</v>
      </c>
      <c r="IS96" s="428">
        <v>0.45</v>
      </c>
      <c r="IT96" s="428">
        <v>0.32</v>
      </c>
      <c r="IU96" s="424" t="s">
        <v>173</v>
      </c>
      <c r="IV96" s="428">
        <v>0.61</v>
      </c>
      <c r="IW96" s="428">
        <v>0.39</v>
      </c>
      <c r="IX96" s="428">
        <v>0.45</v>
      </c>
      <c r="IY96" s="428">
        <v>0.47</v>
      </c>
      <c r="IZ96" s="464">
        <v>53</v>
      </c>
      <c r="JA96" s="464" t="s">
        <v>758</v>
      </c>
      <c r="JB96" s="464">
        <v>8</v>
      </c>
      <c r="JC96" s="464" t="s">
        <v>758</v>
      </c>
      <c r="JD96" s="476">
        <v>0.06</v>
      </c>
      <c r="JE96" s="476">
        <v>0.52</v>
      </c>
      <c r="JF96" s="476">
        <v>0.42</v>
      </c>
      <c r="JG96" s="476">
        <v>0</v>
      </c>
      <c r="JH96" s="476">
        <v>0.37</v>
      </c>
      <c r="JI96" s="476">
        <v>0.35</v>
      </c>
      <c r="JJ96" s="476">
        <v>0.41</v>
      </c>
      <c r="JK96" s="476">
        <v>0.45</v>
      </c>
      <c r="JL96" s="476">
        <v>0.46</v>
      </c>
      <c r="JM96" s="476">
        <v>0.48</v>
      </c>
      <c r="JN96" s="476">
        <v>0.37</v>
      </c>
      <c r="JO96" s="476">
        <v>0.4</v>
      </c>
      <c r="JP96" s="476">
        <v>0.51</v>
      </c>
      <c r="JQ96" s="476">
        <v>0.23</v>
      </c>
      <c r="JR96" s="476">
        <v>0.52</v>
      </c>
      <c r="JS96" s="476">
        <v>0.39</v>
      </c>
      <c r="JT96" s="476">
        <v>0.36</v>
      </c>
      <c r="JU96" s="476">
        <v>0.45</v>
      </c>
      <c r="JV96" s="476">
        <v>0.46</v>
      </c>
      <c r="JW96" s="476">
        <v>0.44</v>
      </c>
      <c r="JX96" s="476">
        <v>0.45</v>
      </c>
      <c r="JY96" s="476">
        <v>0.48</v>
      </c>
      <c r="JZ96" s="476">
        <v>0.49</v>
      </c>
      <c r="KA96" s="476">
        <v>0.6</v>
      </c>
      <c r="KB96" s="476">
        <v>0.42</v>
      </c>
      <c r="KC96" s="476">
        <v>0.77</v>
      </c>
      <c r="KD96" s="476">
        <v>0.28000000000000003</v>
      </c>
      <c r="KE96" s="476">
        <v>0.43</v>
      </c>
      <c r="KF96" s="476">
        <v>0.44</v>
      </c>
      <c r="KG96" s="476">
        <v>0.52</v>
      </c>
      <c r="KH96" s="971">
        <v>55</v>
      </c>
      <c r="KI96" s="971" t="s">
        <v>758</v>
      </c>
      <c r="KJ96" s="971">
        <v>9</v>
      </c>
      <c r="KK96" s="971" t="s">
        <v>758</v>
      </c>
      <c r="KL96" s="949">
        <v>0.03</v>
      </c>
      <c r="KM96" s="949">
        <v>0.52</v>
      </c>
      <c r="KN96" s="949">
        <v>0.38</v>
      </c>
      <c r="KO96" s="949">
        <v>7.0000000000000007E-2</v>
      </c>
      <c r="KP96" s="949">
        <v>0.48</v>
      </c>
      <c r="KQ96" s="949">
        <v>0.16</v>
      </c>
      <c r="KR96" s="949">
        <v>0.5</v>
      </c>
      <c r="KS96" s="949">
        <v>0.46</v>
      </c>
      <c r="KT96" s="949">
        <v>0.55000000000000004</v>
      </c>
      <c r="KU96" s="949">
        <v>0.28999999999999998</v>
      </c>
      <c r="KV96" s="949">
        <v>0.54</v>
      </c>
      <c r="KW96" s="949">
        <v>0.31</v>
      </c>
      <c r="KX96" s="949">
        <v>0.25</v>
      </c>
      <c r="KY96" s="949">
        <v>0.49</v>
      </c>
      <c r="KZ96" s="949">
        <v>0.28000000000000003</v>
      </c>
      <c r="LA96" s="949">
        <v>0.3</v>
      </c>
      <c r="LB96" s="949">
        <v>0.41</v>
      </c>
      <c r="LC96" s="949">
        <v>0.27</v>
      </c>
      <c r="LD96" s="949">
        <v>0.5</v>
      </c>
      <c r="LE96" s="949">
        <v>0.48</v>
      </c>
      <c r="LF96" s="949">
        <v>0.3</v>
      </c>
      <c r="LG96" s="949">
        <v>0.21</v>
      </c>
      <c r="LH96" s="949">
        <v>0.51</v>
      </c>
      <c r="LI96" s="949">
        <v>0.48</v>
      </c>
      <c r="LJ96" s="949">
        <v>0.35</v>
      </c>
      <c r="LK96" s="949">
        <v>0.5</v>
      </c>
      <c r="LL96" s="949" t="s">
        <v>173</v>
      </c>
      <c r="LM96" s="949">
        <v>0.56000000000000005</v>
      </c>
      <c r="LN96" s="949">
        <v>0.59</v>
      </c>
      <c r="LO96" s="949">
        <v>0.39</v>
      </c>
      <c r="LP96" s="922">
        <v>325754003461</v>
      </c>
      <c r="LQ96" s="126" t="s">
        <v>100</v>
      </c>
      <c r="LR96" s="424">
        <v>55</v>
      </c>
      <c r="LS96" s="971">
        <v>55</v>
      </c>
      <c r="LT96" s="946"/>
    </row>
    <row r="97" spans="1:332" ht="24.95" customHeight="1" x14ac:dyDescent="0.2">
      <c r="A97" s="126" t="s">
        <v>95</v>
      </c>
      <c r="B97" s="1" t="s">
        <v>123</v>
      </c>
      <c r="C97" s="2">
        <v>2</v>
      </c>
      <c r="D97" s="12">
        <v>56</v>
      </c>
      <c r="E97" s="12">
        <v>7</v>
      </c>
      <c r="F97" s="66">
        <v>0</v>
      </c>
      <c r="G97" s="66">
        <v>0.51</v>
      </c>
      <c r="H97" s="66">
        <v>0.49</v>
      </c>
      <c r="I97" s="66">
        <v>0</v>
      </c>
      <c r="J97" s="66">
        <v>0.51</v>
      </c>
      <c r="K97" s="66">
        <v>0.39</v>
      </c>
      <c r="L97" s="66">
        <v>0.75</v>
      </c>
      <c r="M97" s="66">
        <v>0.2</v>
      </c>
      <c r="N97" s="66">
        <v>0.22</v>
      </c>
      <c r="O97" s="66">
        <v>0.55000000000000004</v>
      </c>
      <c r="P97" s="66">
        <v>0.28000000000000003</v>
      </c>
      <c r="Q97" s="66">
        <v>0.46</v>
      </c>
      <c r="R97" s="66">
        <v>0.45</v>
      </c>
      <c r="S97" s="66">
        <v>0.65</v>
      </c>
      <c r="T97" s="66">
        <v>0.31</v>
      </c>
      <c r="U97" s="66">
        <v>0.57999999999999996</v>
      </c>
      <c r="V97" s="66">
        <v>0.05</v>
      </c>
      <c r="W97" s="66">
        <v>0.1</v>
      </c>
      <c r="X97" s="66">
        <v>0.43</v>
      </c>
      <c r="Y97" s="66">
        <v>0.44</v>
      </c>
      <c r="Z97" s="66">
        <v>0</v>
      </c>
      <c r="AA97" s="66">
        <v>0.02</v>
      </c>
      <c r="AB97" s="66">
        <v>0.37</v>
      </c>
      <c r="AC97" s="66">
        <v>0.11</v>
      </c>
      <c r="AD97" s="66">
        <v>0.42</v>
      </c>
      <c r="AE97" s="66">
        <v>0.47</v>
      </c>
      <c r="AF97" s="66">
        <v>0.44</v>
      </c>
      <c r="AG97" s="66">
        <v>0.49</v>
      </c>
      <c r="AH97" s="12">
        <v>55</v>
      </c>
      <c r="AI97" s="12">
        <v>8</v>
      </c>
      <c r="AJ97" s="40">
        <v>0.06</v>
      </c>
      <c r="AK97" s="40">
        <v>0.5</v>
      </c>
      <c r="AL97" s="40">
        <v>0.39</v>
      </c>
      <c r="AM97" s="40">
        <v>0.06</v>
      </c>
      <c r="AN97" s="40">
        <v>0.22</v>
      </c>
      <c r="AO97" s="40">
        <v>0.43</v>
      </c>
      <c r="AP97" s="40">
        <v>0.4</v>
      </c>
      <c r="AQ97" s="40">
        <v>0.3</v>
      </c>
      <c r="AR97" s="40">
        <v>0.5</v>
      </c>
      <c r="AS97" s="40">
        <v>0.4</v>
      </c>
      <c r="AT97" s="40">
        <v>0.53</v>
      </c>
      <c r="AU97" s="40">
        <v>0.56000000000000005</v>
      </c>
      <c r="AV97" s="40">
        <v>0.53</v>
      </c>
      <c r="AW97" s="40">
        <v>0.61</v>
      </c>
      <c r="AX97" s="40">
        <v>0.36</v>
      </c>
      <c r="AY97" s="40">
        <v>0.26</v>
      </c>
      <c r="AZ97" s="40">
        <v>0.2</v>
      </c>
      <c r="BA97" s="40">
        <v>0.53</v>
      </c>
      <c r="BB97" s="40">
        <v>0.6</v>
      </c>
      <c r="BC97" s="40">
        <v>0.67</v>
      </c>
      <c r="BD97" s="40">
        <v>0.21</v>
      </c>
      <c r="BE97" s="40">
        <v>0.57999999999999996</v>
      </c>
      <c r="BF97" s="40">
        <v>0.69</v>
      </c>
      <c r="BG97" s="40">
        <v>0.45</v>
      </c>
      <c r="BH97" s="40">
        <v>0.39</v>
      </c>
      <c r="BI97" s="40">
        <v>0.41</v>
      </c>
      <c r="BJ97" s="40">
        <v>0.36</v>
      </c>
      <c r="BK97" s="40">
        <v>0.42</v>
      </c>
      <c r="BL97" s="40">
        <v>0.44</v>
      </c>
      <c r="BM97" s="12">
        <v>52</v>
      </c>
      <c r="BN97" s="12">
        <v>7</v>
      </c>
      <c r="BO97" s="66">
        <v>0.03</v>
      </c>
      <c r="BP97" s="66">
        <v>0.67</v>
      </c>
      <c r="BQ97" s="66">
        <v>0.3</v>
      </c>
      <c r="BR97" s="66">
        <v>0</v>
      </c>
      <c r="BS97" s="66">
        <v>0.36</v>
      </c>
      <c r="BT97" s="66">
        <v>0.46</v>
      </c>
      <c r="BU97" s="66">
        <v>0.7</v>
      </c>
      <c r="BV97" s="66">
        <v>0.28999999999999998</v>
      </c>
      <c r="BW97" s="66">
        <v>0.64</v>
      </c>
      <c r="BX97" s="66">
        <v>0.36</v>
      </c>
      <c r="BY97" s="66">
        <v>0.42</v>
      </c>
      <c r="BZ97" s="66">
        <v>0.59</v>
      </c>
      <c r="CA97" s="66">
        <v>0.43</v>
      </c>
      <c r="CB97" s="66">
        <v>0.31</v>
      </c>
      <c r="CC97" s="66">
        <v>0.13</v>
      </c>
      <c r="CD97" s="66">
        <v>0.36</v>
      </c>
      <c r="CE97" s="66">
        <v>0.32</v>
      </c>
      <c r="CF97" s="66">
        <v>0.77</v>
      </c>
      <c r="CG97" s="66">
        <v>0.55000000000000004</v>
      </c>
      <c r="CH97" s="66">
        <v>0.44</v>
      </c>
      <c r="CI97" s="66">
        <v>0.5</v>
      </c>
      <c r="CJ97" s="66">
        <v>0.33</v>
      </c>
      <c r="CK97" s="66">
        <v>0.67</v>
      </c>
      <c r="CL97" s="66">
        <v>0.28000000000000003</v>
      </c>
      <c r="CM97" s="66">
        <v>0.35</v>
      </c>
      <c r="CN97" s="66">
        <v>0.53</v>
      </c>
      <c r="CO97" s="66">
        <v>0.44</v>
      </c>
      <c r="CP97" s="66">
        <v>0.26</v>
      </c>
      <c r="CQ97" s="66">
        <v>0.55000000000000004</v>
      </c>
      <c r="CR97" s="66">
        <v>0.45</v>
      </c>
      <c r="CS97" s="12">
        <v>52</v>
      </c>
      <c r="CT97" s="12">
        <v>8</v>
      </c>
      <c r="CU97" s="63">
        <v>0.05</v>
      </c>
      <c r="CV97" s="63">
        <v>0.59</v>
      </c>
      <c r="CW97" s="63">
        <v>0.32</v>
      </c>
      <c r="CX97" s="63">
        <v>0.03</v>
      </c>
      <c r="CY97" s="63">
        <v>0.45</v>
      </c>
      <c r="CZ97" s="63">
        <v>0.25</v>
      </c>
      <c r="DA97" s="63">
        <v>0.54</v>
      </c>
      <c r="DB97" s="63">
        <v>0.3</v>
      </c>
      <c r="DC97" s="63">
        <v>0.44</v>
      </c>
      <c r="DD97" s="63">
        <v>0.53</v>
      </c>
      <c r="DE97" s="63">
        <v>0.34</v>
      </c>
      <c r="DF97" s="63">
        <v>0.5</v>
      </c>
      <c r="DG97" s="63">
        <v>0.44</v>
      </c>
      <c r="DH97" s="63">
        <v>0.35</v>
      </c>
      <c r="DI97" s="63">
        <v>0.43</v>
      </c>
      <c r="DJ97" s="63">
        <v>0.54</v>
      </c>
      <c r="DK97" s="63">
        <v>0.35</v>
      </c>
      <c r="DL97" s="63">
        <v>0.31</v>
      </c>
      <c r="DM97" s="63">
        <v>0.51</v>
      </c>
      <c r="DN97" s="63">
        <v>0.5</v>
      </c>
      <c r="DO97" s="63">
        <v>0.27</v>
      </c>
      <c r="DP97" s="63">
        <v>0.48</v>
      </c>
      <c r="DQ97" s="63">
        <v>0.51</v>
      </c>
      <c r="DR97" s="63">
        <v>0.13</v>
      </c>
      <c r="DS97" s="63">
        <v>0.32</v>
      </c>
      <c r="DT97" s="63">
        <v>0.56999999999999995</v>
      </c>
      <c r="DU97" s="63">
        <v>0.33</v>
      </c>
      <c r="DV97" s="63">
        <v>0.7</v>
      </c>
      <c r="DW97" s="63">
        <v>0.39</v>
      </c>
      <c r="DX97" s="35">
        <v>51</v>
      </c>
      <c r="DY97" s="35">
        <v>9</v>
      </c>
      <c r="DZ97" s="40">
        <v>0.12</v>
      </c>
      <c r="EA97" s="40">
        <v>0.54</v>
      </c>
      <c r="EB97" s="40">
        <v>0.34</v>
      </c>
      <c r="EC97" s="40">
        <v>0</v>
      </c>
      <c r="ED97" s="40">
        <v>0.48</v>
      </c>
      <c r="EE97" s="40">
        <v>0.37</v>
      </c>
      <c r="EF97" s="40">
        <v>0.47</v>
      </c>
      <c r="EG97" s="40">
        <v>0.32</v>
      </c>
      <c r="EH97" s="40">
        <v>0.38</v>
      </c>
      <c r="EI97" s="40">
        <v>0.45</v>
      </c>
      <c r="EJ97" s="40">
        <v>0.68</v>
      </c>
      <c r="EK97" s="40">
        <v>0.2</v>
      </c>
      <c r="EL97" s="40">
        <v>0.45</v>
      </c>
      <c r="EM97" s="40">
        <v>0.6</v>
      </c>
      <c r="EN97" s="40">
        <v>0.4</v>
      </c>
      <c r="EO97" s="40">
        <v>0.59</v>
      </c>
      <c r="EP97" s="40">
        <v>0.37</v>
      </c>
      <c r="EQ97" s="40">
        <v>0.23</v>
      </c>
      <c r="ER97" s="40">
        <v>0.59</v>
      </c>
      <c r="ES97" s="40">
        <v>0.45</v>
      </c>
      <c r="ET97" s="40">
        <v>0.24</v>
      </c>
      <c r="EU97" s="40">
        <v>0.62</v>
      </c>
      <c r="EV97" s="40">
        <v>0.3</v>
      </c>
      <c r="EW97" s="40">
        <v>0.3</v>
      </c>
      <c r="EX97" s="40">
        <v>0.63</v>
      </c>
      <c r="EY97" s="40">
        <v>0.56999999999999995</v>
      </c>
      <c r="EZ97" s="40">
        <v>0.32</v>
      </c>
      <c r="FA97" s="40">
        <v>0.68</v>
      </c>
      <c r="FB97" s="246">
        <v>53</v>
      </c>
      <c r="FC97" s="246" t="s">
        <v>758</v>
      </c>
      <c r="FD97" s="246">
        <v>10</v>
      </c>
      <c r="FE97" s="246" t="s">
        <v>758</v>
      </c>
      <c r="FF97" s="263">
        <v>0.09</v>
      </c>
      <c r="FG97" s="263">
        <v>0.53</v>
      </c>
      <c r="FH97" s="263">
        <v>0.34</v>
      </c>
      <c r="FI97" s="263">
        <v>0.04</v>
      </c>
      <c r="FJ97" s="263">
        <v>0.33</v>
      </c>
      <c r="FK97" s="263">
        <v>0.54</v>
      </c>
      <c r="FL97" s="263">
        <v>0.45</v>
      </c>
      <c r="FM97" s="263">
        <v>0.3</v>
      </c>
      <c r="FN97" s="263">
        <v>0.22</v>
      </c>
      <c r="FO97" s="263">
        <v>0.31</v>
      </c>
      <c r="FP97" s="263">
        <v>0.37</v>
      </c>
      <c r="FQ97" s="263">
        <v>0.37</v>
      </c>
      <c r="FR97" s="263">
        <v>0.53</v>
      </c>
      <c r="FS97" s="263">
        <v>0.38</v>
      </c>
      <c r="FT97" s="263">
        <v>0.4</v>
      </c>
      <c r="FU97" s="263">
        <v>0.38</v>
      </c>
      <c r="FV97" s="263">
        <v>0.54</v>
      </c>
      <c r="FW97" s="263">
        <v>0.5</v>
      </c>
      <c r="FX97" s="263">
        <v>0.28000000000000003</v>
      </c>
      <c r="FY97" s="263">
        <v>0.36</v>
      </c>
      <c r="FZ97" s="263">
        <v>0.51</v>
      </c>
      <c r="GA97" s="263">
        <v>0.46</v>
      </c>
      <c r="GB97" s="263">
        <v>0.41</v>
      </c>
      <c r="GC97" s="263">
        <v>0.48</v>
      </c>
      <c r="GD97" s="263">
        <v>0.56000000000000005</v>
      </c>
      <c r="GE97" s="263">
        <v>0.43</v>
      </c>
      <c r="GF97" s="263">
        <v>0.28999999999999998</v>
      </c>
      <c r="GG97" s="263">
        <v>0.39</v>
      </c>
      <c r="GH97" s="263">
        <v>0.51</v>
      </c>
      <c r="GI97" s="263">
        <v>0.27</v>
      </c>
      <c r="GJ97" s="309">
        <v>54</v>
      </c>
      <c r="GK97" s="309" t="s">
        <v>758</v>
      </c>
      <c r="GL97" s="309">
        <v>8</v>
      </c>
      <c r="GM97" s="309" t="s">
        <v>758</v>
      </c>
      <c r="GN97" s="327">
        <v>0.05</v>
      </c>
      <c r="GO97" s="327">
        <v>0.49</v>
      </c>
      <c r="GP97" s="327">
        <v>0.46</v>
      </c>
      <c r="GQ97" s="327">
        <v>0</v>
      </c>
      <c r="GR97" s="327">
        <v>0.5</v>
      </c>
      <c r="GS97" s="327">
        <v>0.38</v>
      </c>
      <c r="GT97" s="327">
        <v>0.5</v>
      </c>
      <c r="GU97" s="327">
        <v>0.18</v>
      </c>
      <c r="GV97" s="327">
        <v>0.54</v>
      </c>
      <c r="GW97" s="327">
        <v>0.24</v>
      </c>
      <c r="GX97" s="327">
        <v>0.4</v>
      </c>
      <c r="GY97" s="309" t="s">
        <v>173</v>
      </c>
      <c r="GZ97" s="327">
        <v>0.28999999999999998</v>
      </c>
      <c r="HA97" s="327">
        <v>0.62</v>
      </c>
      <c r="HB97" s="327">
        <v>0.41</v>
      </c>
      <c r="HC97" s="327">
        <v>0.61</v>
      </c>
      <c r="HD97" s="327">
        <v>0.65</v>
      </c>
      <c r="HE97" s="327">
        <v>0.34</v>
      </c>
      <c r="HF97" s="327">
        <v>0.45</v>
      </c>
      <c r="HG97" s="327">
        <v>0.56000000000000005</v>
      </c>
      <c r="HH97" s="327">
        <v>0.35</v>
      </c>
      <c r="HI97" s="327">
        <v>0.39</v>
      </c>
      <c r="HJ97" s="327">
        <v>0.54</v>
      </c>
      <c r="HK97" s="327">
        <v>0.45</v>
      </c>
      <c r="HL97" s="327">
        <v>0.31</v>
      </c>
      <c r="HM97" s="327">
        <v>0.46</v>
      </c>
      <c r="HN97" s="327">
        <v>0.43</v>
      </c>
      <c r="HO97" s="327">
        <v>0.3</v>
      </c>
      <c r="HP97" s="309" t="s">
        <v>173</v>
      </c>
      <c r="HQ97" s="327">
        <v>0.27</v>
      </c>
      <c r="HR97" s="424">
        <v>53</v>
      </c>
      <c r="HS97" s="424" t="s">
        <v>758</v>
      </c>
      <c r="HT97" s="424">
        <v>9</v>
      </c>
      <c r="HU97" s="424" t="s">
        <v>758</v>
      </c>
      <c r="HV97" s="428">
        <v>0.09</v>
      </c>
      <c r="HW97" s="428">
        <v>0.56000000000000005</v>
      </c>
      <c r="HX97" s="428">
        <v>0.28999999999999998</v>
      </c>
      <c r="HY97" s="428">
        <v>0.06</v>
      </c>
      <c r="HZ97" s="428">
        <v>0.3</v>
      </c>
      <c r="IA97" s="428">
        <v>0.48</v>
      </c>
      <c r="IB97" s="428">
        <v>0.25</v>
      </c>
      <c r="IC97" s="428">
        <v>0.38</v>
      </c>
      <c r="ID97" s="428">
        <v>0.56000000000000005</v>
      </c>
      <c r="IE97" s="428">
        <v>0.33</v>
      </c>
      <c r="IF97" s="428">
        <v>0.42</v>
      </c>
      <c r="IG97" s="428">
        <v>0.44</v>
      </c>
      <c r="IH97" s="428">
        <v>0.56000000000000005</v>
      </c>
      <c r="II97" s="428">
        <v>0.45</v>
      </c>
      <c r="IJ97" s="428">
        <v>0.28999999999999998</v>
      </c>
      <c r="IK97" s="428">
        <v>0.49</v>
      </c>
      <c r="IL97" s="428">
        <v>0.37</v>
      </c>
      <c r="IM97" s="428">
        <v>0.55000000000000004</v>
      </c>
      <c r="IN97" s="428">
        <v>0.41</v>
      </c>
      <c r="IO97" s="428">
        <v>0.49</v>
      </c>
      <c r="IP97" s="428">
        <v>0.36</v>
      </c>
      <c r="IQ97" s="428">
        <v>0.66</v>
      </c>
      <c r="IR97" s="428">
        <v>0.55000000000000004</v>
      </c>
      <c r="IS97" s="428">
        <v>0.56999999999999995</v>
      </c>
      <c r="IT97" s="428">
        <v>0.33</v>
      </c>
      <c r="IU97" s="424" t="s">
        <v>173</v>
      </c>
      <c r="IV97" s="428">
        <v>0.63</v>
      </c>
      <c r="IW97" s="428">
        <v>0.38</v>
      </c>
      <c r="IX97" s="428">
        <v>0.43</v>
      </c>
      <c r="IY97" s="428">
        <v>0.41</v>
      </c>
      <c r="IZ97" s="464">
        <v>51</v>
      </c>
      <c r="JA97" s="464" t="s">
        <v>758</v>
      </c>
      <c r="JB97" s="464">
        <v>9</v>
      </c>
      <c r="JC97" s="464" t="s">
        <v>758</v>
      </c>
      <c r="JD97" s="476">
        <v>0.17</v>
      </c>
      <c r="JE97" s="476">
        <v>0.47</v>
      </c>
      <c r="JF97" s="476">
        <v>0.36</v>
      </c>
      <c r="JG97" s="476">
        <v>0</v>
      </c>
      <c r="JH97" s="476">
        <v>0.54</v>
      </c>
      <c r="JI97" s="476">
        <v>0.5</v>
      </c>
      <c r="JJ97" s="476">
        <v>0.47</v>
      </c>
      <c r="JK97" s="476">
        <v>0.5</v>
      </c>
      <c r="JL97" s="476">
        <v>0.47</v>
      </c>
      <c r="JM97" s="476">
        <v>0.5</v>
      </c>
      <c r="JN97" s="476">
        <v>0.37</v>
      </c>
      <c r="JO97" s="476">
        <v>0.51</v>
      </c>
      <c r="JP97" s="476">
        <v>0.53</v>
      </c>
      <c r="JQ97" s="476">
        <v>0.32</v>
      </c>
      <c r="JR97" s="476">
        <v>0.57999999999999996</v>
      </c>
      <c r="JS97" s="476">
        <v>0.43</v>
      </c>
      <c r="JT97" s="476">
        <v>0.45</v>
      </c>
      <c r="JU97" s="476">
        <v>0.54</v>
      </c>
      <c r="JV97" s="476">
        <v>0.52</v>
      </c>
      <c r="JW97" s="476">
        <v>0.44</v>
      </c>
      <c r="JX97" s="476">
        <v>0.44</v>
      </c>
      <c r="JY97" s="476">
        <v>0.44</v>
      </c>
      <c r="JZ97" s="476">
        <v>0.48</v>
      </c>
      <c r="KA97" s="476">
        <v>0.71</v>
      </c>
      <c r="KB97" s="476">
        <v>0.46</v>
      </c>
      <c r="KC97" s="476">
        <v>0.76</v>
      </c>
      <c r="KD97" s="476">
        <v>0.32</v>
      </c>
      <c r="KE97" s="476">
        <v>0.37</v>
      </c>
      <c r="KF97" s="476">
        <v>0.43</v>
      </c>
      <c r="KG97" s="476">
        <v>0.52</v>
      </c>
      <c r="KH97" s="971">
        <v>50</v>
      </c>
      <c r="KI97" s="971" t="s">
        <v>758</v>
      </c>
      <c r="KJ97" s="971">
        <v>8</v>
      </c>
      <c r="KK97" s="971" t="s">
        <v>758</v>
      </c>
      <c r="KL97" s="949">
        <v>0.19</v>
      </c>
      <c r="KM97" s="949">
        <v>0.52</v>
      </c>
      <c r="KN97" s="949">
        <v>0.3</v>
      </c>
      <c r="KO97" s="949">
        <v>0</v>
      </c>
      <c r="KP97" s="949">
        <v>0.59</v>
      </c>
      <c r="KQ97" s="949">
        <v>0.34</v>
      </c>
      <c r="KR97" s="949">
        <v>0.61</v>
      </c>
      <c r="KS97" s="949">
        <v>0.53</v>
      </c>
      <c r="KT97" s="949">
        <v>0.64</v>
      </c>
      <c r="KU97" s="949">
        <v>0.41</v>
      </c>
      <c r="KV97" s="949">
        <v>0.67</v>
      </c>
      <c r="KW97" s="949">
        <v>0.37</v>
      </c>
      <c r="KX97" s="949">
        <v>0.49</v>
      </c>
      <c r="KY97" s="949">
        <v>0.63</v>
      </c>
      <c r="KZ97" s="949">
        <v>0.4</v>
      </c>
      <c r="LA97" s="949">
        <v>0.33</v>
      </c>
      <c r="LB97" s="949">
        <v>0.51</v>
      </c>
      <c r="LC97" s="949">
        <v>0.35</v>
      </c>
      <c r="LD97" s="949">
        <v>0.52</v>
      </c>
      <c r="LE97" s="949">
        <v>0.46</v>
      </c>
      <c r="LF97" s="949">
        <v>0.46</v>
      </c>
      <c r="LG97" s="949">
        <v>0.46</v>
      </c>
      <c r="LH97" s="949">
        <v>0.56999999999999995</v>
      </c>
      <c r="LI97" s="949">
        <v>0.57999999999999996</v>
      </c>
      <c r="LJ97" s="949">
        <v>0.42</v>
      </c>
      <c r="LK97" s="949">
        <v>0.54</v>
      </c>
      <c r="LL97" s="949" t="s">
        <v>173</v>
      </c>
      <c r="LM97" s="949">
        <v>0.65</v>
      </c>
      <c r="LN97" s="949">
        <v>0.86</v>
      </c>
      <c r="LO97" s="949">
        <v>0.46</v>
      </c>
      <c r="LP97" s="922">
        <v>325754005161</v>
      </c>
      <c r="LQ97" s="126" t="s">
        <v>95</v>
      </c>
      <c r="LR97" s="424">
        <v>53</v>
      </c>
      <c r="LS97" s="971">
        <v>50</v>
      </c>
      <c r="LT97" s="946"/>
    </row>
    <row r="98" spans="1:332" ht="24.95" customHeight="1" x14ac:dyDescent="0.2">
      <c r="A98" s="126" t="s">
        <v>47</v>
      </c>
      <c r="B98" s="1" t="s">
        <v>123</v>
      </c>
      <c r="C98" s="2">
        <v>2</v>
      </c>
      <c r="D98" s="12">
        <v>53</v>
      </c>
      <c r="E98" s="12">
        <v>8</v>
      </c>
      <c r="F98" s="66">
        <v>0.06</v>
      </c>
      <c r="G98" s="66">
        <v>0.47</v>
      </c>
      <c r="H98" s="66">
        <v>0.47</v>
      </c>
      <c r="I98" s="66">
        <v>0</v>
      </c>
      <c r="J98" s="66">
        <v>0.25</v>
      </c>
      <c r="K98" s="66">
        <v>0.52</v>
      </c>
      <c r="L98" s="66">
        <v>0.78</v>
      </c>
      <c r="M98" s="66">
        <v>0.27</v>
      </c>
      <c r="N98" s="66">
        <v>0.32</v>
      </c>
      <c r="O98" s="66">
        <v>0.77</v>
      </c>
      <c r="P98" s="66">
        <v>0.32</v>
      </c>
      <c r="Q98" s="66">
        <v>0.42</v>
      </c>
      <c r="R98" s="66">
        <v>0.49</v>
      </c>
      <c r="S98" s="66">
        <v>0.66</v>
      </c>
      <c r="T98" s="66">
        <v>0.48</v>
      </c>
      <c r="U98" s="66">
        <v>0.6</v>
      </c>
      <c r="V98" s="66">
        <v>0.08</v>
      </c>
      <c r="W98" s="66">
        <v>0.1</v>
      </c>
      <c r="X98" s="66">
        <v>0.41</v>
      </c>
      <c r="Y98" s="66">
        <v>0.61</v>
      </c>
      <c r="Z98" s="66">
        <v>0.5</v>
      </c>
      <c r="AA98" s="66">
        <v>0.27</v>
      </c>
      <c r="AB98" s="66">
        <v>0.48</v>
      </c>
      <c r="AC98" s="66">
        <v>0.27</v>
      </c>
      <c r="AD98" s="66">
        <v>0.45</v>
      </c>
      <c r="AE98" s="66">
        <v>0.56000000000000005</v>
      </c>
      <c r="AF98" s="66">
        <v>0.54</v>
      </c>
      <c r="AG98" s="66">
        <v>0.5</v>
      </c>
      <c r="AH98" s="12">
        <v>46</v>
      </c>
      <c r="AI98" s="12">
        <v>9</v>
      </c>
      <c r="AJ98" s="40">
        <v>0.35</v>
      </c>
      <c r="AK98" s="40">
        <v>0.59</v>
      </c>
      <c r="AL98" s="40">
        <v>0.06</v>
      </c>
      <c r="AM98" s="40">
        <v>0</v>
      </c>
      <c r="AN98" s="40">
        <v>0.64</v>
      </c>
      <c r="AO98" s="40">
        <v>0.48</v>
      </c>
      <c r="AP98" s="40">
        <v>0.75</v>
      </c>
      <c r="AQ98" s="40">
        <v>0.52</v>
      </c>
      <c r="AR98" s="40">
        <v>0.73</v>
      </c>
      <c r="AS98" s="40">
        <v>0.62</v>
      </c>
      <c r="AT98" s="40">
        <v>0.39</v>
      </c>
      <c r="AU98" s="40">
        <v>0.64</v>
      </c>
      <c r="AV98" s="40">
        <v>0.66</v>
      </c>
      <c r="AW98" s="40">
        <v>0.5</v>
      </c>
      <c r="AX98" s="40">
        <v>0.69</v>
      </c>
      <c r="AY98" s="40">
        <v>0.42</v>
      </c>
      <c r="AZ98" s="40">
        <v>0.3</v>
      </c>
      <c r="BA98" s="40">
        <v>0.56999999999999995</v>
      </c>
      <c r="BB98" s="40">
        <v>0.66</v>
      </c>
      <c r="BC98" s="40">
        <v>0.63</v>
      </c>
      <c r="BD98" s="40">
        <v>0.6</v>
      </c>
      <c r="BE98" s="40">
        <v>1</v>
      </c>
      <c r="BF98" s="40">
        <v>0.89</v>
      </c>
      <c r="BG98" s="40">
        <v>0.51</v>
      </c>
      <c r="BH98" s="40">
        <v>0.49</v>
      </c>
      <c r="BI98" s="40">
        <v>0.51</v>
      </c>
      <c r="BJ98" s="40">
        <v>0.48</v>
      </c>
      <c r="BK98" s="40">
        <v>0.53</v>
      </c>
      <c r="BL98" s="40">
        <v>0.5</v>
      </c>
      <c r="BM98" s="12">
        <v>50</v>
      </c>
      <c r="BN98" s="12">
        <v>8</v>
      </c>
      <c r="BO98" s="66">
        <v>7.0000000000000007E-2</v>
      </c>
      <c r="BP98" s="66">
        <v>0.53</v>
      </c>
      <c r="BQ98" s="66">
        <v>0.4</v>
      </c>
      <c r="BR98" s="66">
        <v>0</v>
      </c>
      <c r="BS98" s="66">
        <v>0.28000000000000003</v>
      </c>
      <c r="BT98" s="66">
        <v>0.78</v>
      </c>
      <c r="BU98" s="66">
        <v>0.6</v>
      </c>
      <c r="BV98" s="66">
        <v>0.38</v>
      </c>
      <c r="BW98" s="66">
        <v>0.55000000000000004</v>
      </c>
      <c r="BX98" s="66">
        <v>0.38</v>
      </c>
      <c r="BY98" s="66">
        <v>0.33</v>
      </c>
      <c r="BZ98" s="66">
        <v>0.43</v>
      </c>
      <c r="CA98" s="66">
        <v>0.5</v>
      </c>
      <c r="CB98" s="66">
        <v>0.65</v>
      </c>
      <c r="CC98" s="66">
        <v>0.12</v>
      </c>
      <c r="CD98" s="66">
        <v>0.39</v>
      </c>
      <c r="CE98" s="66">
        <v>0.41</v>
      </c>
      <c r="CF98" s="66">
        <v>0.4</v>
      </c>
      <c r="CG98" s="66">
        <v>0.82</v>
      </c>
      <c r="CH98" s="66">
        <v>0.45</v>
      </c>
      <c r="CI98" s="66">
        <v>0.53</v>
      </c>
      <c r="CJ98" s="66">
        <v>0.4</v>
      </c>
      <c r="CK98" s="66">
        <v>0.72</v>
      </c>
      <c r="CL98" s="66">
        <v>0.41</v>
      </c>
      <c r="CM98" s="66">
        <v>0.39</v>
      </c>
      <c r="CN98" s="66">
        <v>0.53</v>
      </c>
      <c r="CO98" s="66">
        <v>0.3</v>
      </c>
      <c r="CP98" s="66">
        <v>0.38</v>
      </c>
      <c r="CQ98" s="66">
        <v>0.56000000000000005</v>
      </c>
      <c r="CR98" s="66">
        <v>0.67</v>
      </c>
      <c r="CS98" s="12">
        <v>50</v>
      </c>
      <c r="CT98" s="12">
        <v>6</v>
      </c>
      <c r="CU98" s="63">
        <v>0.09</v>
      </c>
      <c r="CV98" s="63">
        <v>0.73</v>
      </c>
      <c r="CW98" s="63">
        <v>0.18</v>
      </c>
      <c r="CX98" s="63">
        <v>0</v>
      </c>
      <c r="CY98" s="63">
        <v>0.46</v>
      </c>
      <c r="CZ98" s="63">
        <v>0.31</v>
      </c>
      <c r="DA98" s="63">
        <v>0.52</v>
      </c>
      <c r="DB98" s="63">
        <v>0.14000000000000001</v>
      </c>
      <c r="DC98" s="63">
        <v>0.39</v>
      </c>
      <c r="DD98" s="63">
        <v>0.53</v>
      </c>
      <c r="DE98" s="63">
        <v>0.5</v>
      </c>
      <c r="DF98" s="63">
        <v>0.5</v>
      </c>
      <c r="DG98" s="63">
        <v>0.32</v>
      </c>
      <c r="DH98" s="63">
        <v>0.38</v>
      </c>
      <c r="DI98" s="63">
        <v>0.56000000000000005</v>
      </c>
      <c r="DJ98" s="63">
        <v>0.67</v>
      </c>
      <c r="DK98" s="63">
        <v>0.4</v>
      </c>
      <c r="DL98" s="63">
        <v>0.2</v>
      </c>
      <c r="DM98" s="63">
        <v>0.48</v>
      </c>
      <c r="DN98" s="63">
        <v>0.46</v>
      </c>
      <c r="DO98" s="63">
        <v>0.79</v>
      </c>
      <c r="DP98" s="63">
        <v>0.48</v>
      </c>
      <c r="DQ98" s="63">
        <v>0.67</v>
      </c>
      <c r="DR98" s="63">
        <v>0.26</v>
      </c>
      <c r="DS98" s="63">
        <v>0.28999999999999998</v>
      </c>
      <c r="DT98" s="63">
        <v>0.7</v>
      </c>
      <c r="DU98" s="63">
        <v>0.67</v>
      </c>
      <c r="DV98" s="63">
        <v>0.52</v>
      </c>
      <c r="DW98" s="63">
        <v>0.31</v>
      </c>
      <c r="DX98" s="35">
        <v>51</v>
      </c>
      <c r="DY98" s="35">
        <v>9</v>
      </c>
      <c r="DZ98" s="40">
        <v>0.14000000000000001</v>
      </c>
      <c r="EA98" s="40">
        <v>0.5</v>
      </c>
      <c r="EB98" s="40">
        <v>0.36</v>
      </c>
      <c r="EC98" s="40">
        <v>0</v>
      </c>
      <c r="ED98" s="40">
        <v>0.38</v>
      </c>
      <c r="EE98" s="40">
        <v>0.59</v>
      </c>
      <c r="EF98" s="40">
        <v>0.5</v>
      </c>
      <c r="EG98" s="40">
        <v>0.44</v>
      </c>
      <c r="EH98" s="40">
        <v>0.33</v>
      </c>
      <c r="EI98" s="40">
        <v>0.26</v>
      </c>
      <c r="EJ98" s="40">
        <v>0.59</v>
      </c>
      <c r="EK98" s="40">
        <v>0.13</v>
      </c>
      <c r="EL98" s="40">
        <v>0.47</v>
      </c>
      <c r="EM98" s="40">
        <v>0.8</v>
      </c>
      <c r="EN98" s="40">
        <v>0.4</v>
      </c>
      <c r="EO98" s="40">
        <v>0.49</v>
      </c>
      <c r="EP98" s="40">
        <v>0.38</v>
      </c>
      <c r="EQ98" s="40">
        <v>0.2</v>
      </c>
      <c r="ER98" s="40">
        <v>0.48</v>
      </c>
      <c r="ES98" s="40">
        <v>0.42</v>
      </c>
      <c r="ET98" s="40">
        <v>0.22</v>
      </c>
      <c r="EU98" s="40">
        <v>0.64</v>
      </c>
      <c r="EV98" s="40">
        <v>0.38</v>
      </c>
      <c r="EW98" s="40">
        <v>0.35</v>
      </c>
      <c r="EX98" s="40">
        <v>0.71</v>
      </c>
      <c r="EY98" s="40">
        <v>0.71</v>
      </c>
      <c r="EZ98" s="40">
        <v>0.13</v>
      </c>
      <c r="FA98" s="40">
        <v>0.59</v>
      </c>
      <c r="FB98" s="246">
        <v>47</v>
      </c>
      <c r="FC98" s="246" t="s">
        <v>758</v>
      </c>
      <c r="FD98" s="246">
        <v>7</v>
      </c>
      <c r="FE98" s="246" t="s">
        <v>758</v>
      </c>
      <c r="FF98" s="263">
        <v>0.14000000000000001</v>
      </c>
      <c r="FG98" s="263">
        <v>0.71</v>
      </c>
      <c r="FH98" s="263">
        <v>0.14000000000000001</v>
      </c>
      <c r="FI98" s="263">
        <v>0</v>
      </c>
      <c r="FJ98" s="263">
        <v>0.36</v>
      </c>
      <c r="FK98" s="263">
        <v>0.56000000000000005</v>
      </c>
      <c r="FL98" s="263">
        <v>0.68</v>
      </c>
      <c r="FM98" s="263">
        <v>0.56999999999999995</v>
      </c>
      <c r="FN98" s="263">
        <v>0.6</v>
      </c>
      <c r="FO98" s="263">
        <v>0.33</v>
      </c>
      <c r="FP98" s="263">
        <v>0.28999999999999998</v>
      </c>
      <c r="FQ98" s="263">
        <v>0.53</v>
      </c>
      <c r="FR98" s="263">
        <v>0.41</v>
      </c>
      <c r="FS98" s="263">
        <v>0.45</v>
      </c>
      <c r="FT98" s="263">
        <v>0.56000000000000005</v>
      </c>
      <c r="FU98" s="263">
        <v>0.25</v>
      </c>
      <c r="FV98" s="263">
        <v>0.7</v>
      </c>
      <c r="FW98" s="263">
        <v>0.92</v>
      </c>
      <c r="FX98" s="263">
        <v>0.33</v>
      </c>
      <c r="FY98" s="263">
        <v>0.28999999999999998</v>
      </c>
      <c r="FZ98" s="263">
        <v>0.5</v>
      </c>
      <c r="GA98" s="263">
        <v>0.38</v>
      </c>
      <c r="GB98" s="263">
        <v>0.62</v>
      </c>
      <c r="GC98" s="263">
        <v>0.56000000000000005</v>
      </c>
      <c r="GD98" s="263">
        <v>0.64</v>
      </c>
      <c r="GE98" s="263">
        <v>0.44</v>
      </c>
      <c r="GF98" s="263">
        <v>0.17</v>
      </c>
      <c r="GG98" s="263">
        <v>0.5</v>
      </c>
      <c r="GH98" s="263">
        <v>0.69</v>
      </c>
      <c r="GI98" s="263">
        <v>0.55000000000000004</v>
      </c>
      <c r="GJ98" s="309">
        <v>48</v>
      </c>
      <c r="GK98" s="309" t="s">
        <v>758</v>
      </c>
      <c r="GL98" s="309">
        <v>10</v>
      </c>
      <c r="GM98" s="309" t="s">
        <v>758</v>
      </c>
      <c r="GN98" s="327">
        <v>0.2</v>
      </c>
      <c r="GO98" s="327">
        <v>0.6</v>
      </c>
      <c r="GP98" s="327">
        <v>0.2</v>
      </c>
      <c r="GQ98" s="327">
        <v>0</v>
      </c>
      <c r="GR98" s="327">
        <v>0.6</v>
      </c>
      <c r="GS98" s="327">
        <v>0.77</v>
      </c>
      <c r="GT98" s="327">
        <v>0.7</v>
      </c>
      <c r="GU98" s="327">
        <v>0.33</v>
      </c>
      <c r="GV98" s="327">
        <v>0.59</v>
      </c>
      <c r="GW98" s="327">
        <v>0.56000000000000005</v>
      </c>
      <c r="GX98" s="327">
        <v>0.45</v>
      </c>
      <c r="GY98" s="309" t="s">
        <v>173</v>
      </c>
      <c r="GZ98" s="327">
        <v>0.31</v>
      </c>
      <c r="HA98" s="327">
        <v>0.83</v>
      </c>
      <c r="HB98" s="327">
        <v>0.46</v>
      </c>
      <c r="HC98" s="327">
        <v>0.71</v>
      </c>
      <c r="HD98" s="327">
        <v>0.56000000000000005</v>
      </c>
      <c r="HE98" s="327">
        <v>0.52</v>
      </c>
      <c r="HF98" s="327">
        <v>0.43</v>
      </c>
      <c r="HG98" s="327">
        <v>0.56999999999999995</v>
      </c>
      <c r="HH98" s="327">
        <v>0.52</v>
      </c>
      <c r="HI98" s="327">
        <v>0.56000000000000005</v>
      </c>
      <c r="HJ98" s="327">
        <v>0.71</v>
      </c>
      <c r="HK98" s="327">
        <v>0.6</v>
      </c>
      <c r="HL98" s="327">
        <v>0.3</v>
      </c>
      <c r="HM98" s="327">
        <v>0.48</v>
      </c>
      <c r="HN98" s="327">
        <v>0.5</v>
      </c>
      <c r="HO98" s="327">
        <v>0.44</v>
      </c>
      <c r="HP98" s="309" t="s">
        <v>173</v>
      </c>
      <c r="HQ98" s="327">
        <v>0.68</v>
      </c>
      <c r="HR98" s="424">
        <v>49</v>
      </c>
      <c r="HS98" s="424" t="s">
        <v>758</v>
      </c>
      <c r="HT98" s="424">
        <v>8</v>
      </c>
      <c r="HU98" s="424" t="s">
        <v>758</v>
      </c>
      <c r="HV98" s="428">
        <v>0.17</v>
      </c>
      <c r="HW98" s="428">
        <v>0.67</v>
      </c>
      <c r="HX98" s="428">
        <v>0.17</v>
      </c>
      <c r="HY98" s="428">
        <v>0</v>
      </c>
      <c r="HZ98" s="428">
        <v>0.23</v>
      </c>
      <c r="IA98" s="428">
        <v>0.56999999999999995</v>
      </c>
      <c r="IB98" s="428">
        <v>0.2</v>
      </c>
      <c r="IC98" s="428">
        <v>0.35</v>
      </c>
      <c r="ID98" s="428">
        <v>0.57999999999999996</v>
      </c>
      <c r="IE98" s="428">
        <v>0.36</v>
      </c>
      <c r="IF98" s="428">
        <v>0.54</v>
      </c>
      <c r="IG98" s="428">
        <v>0.86</v>
      </c>
      <c r="IH98" s="428">
        <v>0.5</v>
      </c>
      <c r="II98" s="428">
        <v>0.5</v>
      </c>
      <c r="IJ98" s="428">
        <v>0.3</v>
      </c>
      <c r="IK98" s="428">
        <v>0.71</v>
      </c>
      <c r="IL98" s="428">
        <v>0.5</v>
      </c>
      <c r="IM98" s="428">
        <v>0.64</v>
      </c>
      <c r="IN98" s="428">
        <v>0.39</v>
      </c>
      <c r="IO98" s="428">
        <v>0.72</v>
      </c>
      <c r="IP98" s="428">
        <v>0.4</v>
      </c>
      <c r="IQ98" s="428">
        <v>0.64</v>
      </c>
      <c r="IR98" s="428">
        <v>0.56999999999999995</v>
      </c>
      <c r="IS98" s="428">
        <v>0.6</v>
      </c>
      <c r="IT98" s="428">
        <v>0.37</v>
      </c>
      <c r="IU98" s="424" t="s">
        <v>173</v>
      </c>
      <c r="IV98" s="428">
        <v>0.6</v>
      </c>
      <c r="IW98" s="428">
        <v>0.46</v>
      </c>
      <c r="IX98" s="428">
        <v>0.6</v>
      </c>
      <c r="IY98" s="428">
        <v>0.61</v>
      </c>
      <c r="IZ98" s="464">
        <v>56</v>
      </c>
      <c r="JA98" s="464" t="s">
        <v>758</v>
      </c>
      <c r="JB98" s="464">
        <v>7</v>
      </c>
      <c r="JC98" s="464" t="s">
        <v>758</v>
      </c>
      <c r="JD98" s="476">
        <v>0</v>
      </c>
      <c r="JE98" s="476">
        <v>0.56999999999999995</v>
      </c>
      <c r="JF98" s="476">
        <v>0.43</v>
      </c>
      <c r="JG98" s="476">
        <v>0</v>
      </c>
      <c r="JH98" s="476">
        <v>0.28999999999999998</v>
      </c>
      <c r="JI98" s="476">
        <v>0.5</v>
      </c>
      <c r="JJ98" s="476">
        <v>0.33</v>
      </c>
      <c r="JK98" s="476">
        <v>0.4</v>
      </c>
      <c r="JL98" s="476">
        <v>0.5</v>
      </c>
      <c r="JM98" s="476">
        <v>0.38</v>
      </c>
      <c r="JN98" s="476">
        <v>0.42</v>
      </c>
      <c r="JO98" s="476">
        <v>0.41</v>
      </c>
      <c r="JP98" s="476">
        <v>0.33</v>
      </c>
      <c r="JQ98" s="476">
        <v>0.23</v>
      </c>
      <c r="JR98" s="476">
        <v>0.2</v>
      </c>
      <c r="JS98" s="476">
        <v>0.17</v>
      </c>
      <c r="JT98" s="476">
        <v>0.5</v>
      </c>
      <c r="JU98" s="476">
        <v>0.5</v>
      </c>
      <c r="JV98" s="476">
        <v>0.44</v>
      </c>
      <c r="JW98" s="476">
        <v>0.39</v>
      </c>
      <c r="JX98" s="476">
        <v>0.36</v>
      </c>
      <c r="JY98" s="476">
        <v>0.25</v>
      </c>
      <c r="JZ98" s="476">
        <v>0.46</v>
      </c>
      <c r="KA98" s="476">
        <v>0.5</v>
      </c>
      <c r="KB98" s="476">
        <v>0.33</v>
      </c>
      <c r="KC98" s="476">
        <v>0.71</v>
      </c>
      <c r="KD98" s="476">
        <v>0.2</v>
      </c>
      <c r="KE98" s="476">
        <v>0.54</v>
      </c>
      <c r="KF98" s="476">
        <v>0.38</v>
      </c>
      <c r="KG98" s="476">
        <v>0.4</v>
      </c>
      <c r="KH98" s="971">
        <v>49</v>
      </c>
      <c r="KI98" s="971" t="s">
        <v>758</v>
      </c>
      <c r="KJ98" s="971">
        <v>8</v>
      </c>
      <c r="KK98" s="971" t="s">
        <v>758</v>
      </c>
      <c r="KL98" s="949">
        <v>0.14000000000000001</v>
      </c>
      <c r="KM98" s="949">
        <v>0.71</v>
      </c>
      <c r="KN98" s="949">
        <v>0.14000000000000001</v>
      </c>
      <c r="KO98" s="949">
        <v>0</v>
      </c>
      <c r="KP98" s="949">
        <v>0.47</v>
      </c>
      <c r="KQ98" s="949">
        <v>0.28999999999999998</v>
      </c>
      <c r="KR98" s="949">
        <v>0.53</v>
      </c>
      <c r="KS98" s="949">
        <v>0.5</v>
      </c>
      <c r="KT98" s="949">
        <v>0.5</v>
      </c>
      <c r="KU98" s="949">
        <v>0.28999999999999998</v>
      </c>
      <c r="KV98" s="949">
        <v>0.72</v>
      </c>
      <c r="KW98" s="949">
        <v>0.38</v>
      </c>
      <c r="KX98" s="949">
        <v>0.54</v>
      </c>
      <c r="KY98" s="949">
        <v>0.67</v>
      </c>
      <c r="KZ98" s="949">
        <v>0.28999999999999998</v>
      </c>
      <c r="LA98" s="949">
        <v>0</v>
      </c>
      <c r="LB98" s="949">
        <v>0.31</v>
      </c>
      <c r="LC98" s="949">
        <v>0.35</v>
      </c>
      <c r="LD98" s="949">
        <v>0.65</v>
      </c>
      <c r="LE98" s="949">
        <v>0.56000000000000005</v>
      </c>
      <c r="LF98" s="949">
        <v>0.47</v>
      </c>
      <c r="LG98" s="949">
        <v>0.5</v>
      </c>
      <c r="LH98" s="949">
        <v>0.56000000000000005</v>
      </c>
      <c r="LI98" s="949">
        <v>0.64</v>
      </c>
      <c r="LJ98" s="949">
        <v>0.36</v>
      </c>
      <c r="LK98" s="949">
        <v>0.5</v>
      </c>
      <c r="LL98" s="949" t="s">
        <v>173</v>
      </c>
      <c r="LM98" s="949">
        <v>0.64</v>
      </c>
      <c r="LN98" s="949">
        <v>0.75</v>
      </c>
      <c r="LO98" s="949">
        <v>0.44</v>
      </c>
      <c r="LP98" s="922">
        <v>325754002839</v>
      </c>
      <c r="LQ98" s="126" t="s">
        <v>47</v>
      </c>
      <c r="LR98" s="424">
        <v>49</v>
      </c>
      <c r="LS98" s="971">
        <v>49</v>
      </c>
      <c r="LT98" s="946"/>
    </row>
    <row r="99" spans="1:332" ht="24.95" customHeight="1" x14ac:dyDescent="0.2">
      <c r="A99" s="126" t="s">
        <v>27</v>
      </c>
      <c r="B99" s="1" t="s">
        <v>121</v>
      </c>
      <c r="C99" s="2" t="s">
        <v>122</v>
      </c>
      <c r="D99" s="12">
        <v>54</v>
      </c>
      <c r="E99" s="12">
        <v>7</v>
      </c>
      <c r="F99" s="66">
        <v>0</v>
      </c>
      <c r="G99" s="66">
        <v>0.59</v>
      </c>
      <c r="H99" s="66">
        <v>0.41</v>
      </c>
      <c r="I99" s="66">
        <v>0</v>
      </c>
      <c r="J99" s="66">
        <v>0.46</v>
      </c>
      <c r="K99" s="66">
        <v>0.35</v>
      </c>
      <c r="L99" s="66">
        <v>0.8</v>
      </c>
      <c r="M99" s="66">
        <v>0.19</v>
      </c>
      <c r="N99" s="66">
        <v>0.27</v>
      </c>
      <c r="O99" s="66">
        <v>0.57999999999999996</v>
      </c>
      <c r="P99" s="66">
        <v>0.3</v>
      </c>
      <c r="Q99" s="66">
        <v>0.49</v>
      </c>
      <c r="R99" s="66">
        <v>0.52</v>
      </c>
      <c r="S99" s="66">
        <v>0.65</v>
      </c>
      <c r="T99" s="66">
        <v>0.45</v>
      </c>
      <c r="U99" s="66">
        <v>0.55000000000000004</v>
      </c>
      <c r="V99" s="66">
        <v>0.08</v>
      </c>
      <c r="W99" s="66">
        <v>0.06</v>
      </c>
      <c r="X99" s="66">
        <v>0.53</v>
      </c>
      <c r="Y99" s="66">
        <v>0.43</v>
      </c>
      <c r="Z99" s="66">
        <v>1</v>
      </c>
      <c r="AA99" s="66">
        <v>0.02</v>
      </c>
      <c r="AB99" s="66">
        <v>0.45</v>
      </c>
      <c r="AC99" s="66">
        <v>0.22</v>
      </c>
      <c r="AD99" s="66">
        <v>0.45</v>
      </c>
      <c r="AE99" s="66">
        <v>0.47</v>
      </c>
      <c r="AF99" s="66">
        <v>0.49</v>
      </c>
      <c r="AG99" s="66">
        <v>0.53</v>
      </c>
      <c r="AH99" s="12">
        <v>51</v>
      </c>
      <c r="AI99" s="12">
        <v>7</v>
      </c>
      <c r="AJ99" s="40">
        <v>0.1</v>
      </c>
      <c r="AK99" s="40">
        <v>0.62</v>
      </c>
      <c r="AL99" s="40">
        <v>0.28999999999999998</v>
      </c>
      <c r="AM99" s="40">
        <v>0</v>
      </c>
      <c r="AN99" s="40">
        <v>0.28000000000000003</v>
      </c>
      <c r="AO99" s="40">
        <v>0.52</v>
      </c>
      <c r="AP99" s="40">
        <v>0.56999999999999995</v>
      </c>
      <c r="AQ99" s="40">
        <v>0.43</v>
      </c>
      <c r="AR99" s="40">
        <v>0.62</v>
      </c>
      <c r="AS99" s="40">
        <v>0.48</v>
      </c>
      <c r="AT99" s="40">
        <v>0.56999999999999995</v>
      </c>
      <c r="AU99" s="40">
        <v>0.56999999999999995</v>
      </c>
      <c r="AV99" s="40">
        <v>0.59</v>
      </c>
      <c r="AW99" s="40">
        <v>0.55000000000000004</v>
      </c>
      <c r="AX99" s="40">
        <v>0.6</v>
      </c>
      <c r="AY99" s="40">
        <v>0.28999999999999998</v>
      </c>
      <c r="AZ99" s="40">
        <v>0.24</v>
      </c>
      <c r="BA99" s="40">
        <v>0.54</v>
      </c>
      <c r="BB99" s="40">
        <v>0.67</v>
      </c>
      <c r="BC99" s="40">
        <v>0.73</v>
      </c>
      <c r="BD99" s="40">
        <v>0.39</v>
      </c>
      <c r="BE99" s="40">
        <v>0.65</v>
      </c>
      <c r="BF99" s="40">
        <v>0.52</v>
      </c>
      <c r="BG99" s="40">
        <v>0.63</v>
      </c>
      <c r="BH99" s="40">
        <v>0.42</v>
      </c>
      <c r="BI99" s="40">
        <v>0.4</v>
      </c>
      <c r="BJ99" s="40">
        <v>0.38</v>
      </c>
      <c r="BK99" s="40">
        <v>0.46</v>
      </c>
      <c r="BL99" s="40">
        <v>0.5</v>
      </c>
      <c r="BM99" s="12">
        <v>50</v>
      </c>
      <c r="BN99" s="12">
        <v>9</v>
      </c>
      <c r="BO99" s="66">
        <v>0.12</v>
      </c>
      <c r="BP99" s="66">
        <v>0.62</v>
      </c>
      <c r="BQ99" s="66">
        <v>0.26</v>
      </c>
      <c r="BR99" s="66">
        <v>0</v>
      </c>
      <c r="BS99" s="66">
        <v>0.31</v>
      </c>
      <c r="BT99" s="66">
        <v>0.63</v>
      </c>
      <c r="BU99" s="66">
        <v>0.77</v>
      </c>
      <c r="BV99" s="66">
        <v>0.44</v>
      </c>
      <c r="BW99" s="66">
        <v>0.6</v>
      </c>
      <c r="BX99" s="66">
        <v>0.34</v>
      </c>
      <c r="BY99" s="66">
        <v>0.52</v>
      </c>
      <c r="BZ99" s="66">
        <v>0.51</v>
      </c>
      <c r="CA99" s="66">
        <v>0.46</v>
      </c>
      <c r="CB99" s="66">
        <v>0.45</v>
      </c>
      <c r="CC99" s="66">
        <v>0.15</v>
      </c>
      <c r="CD99" s="66">
        <v>0.41</v>
      </c>
      <c r="CE99" s="66">
        <v>0.34</v>
      </c>
      <c r="CF99" s="66">
        <v>0.69</v>
      </c>
      <c r="CG99" s="66">
        <v>0.69</v>
      </c>
      <c r="CH99" s="66">
        <v>0.42</v>
      </c>
      <c r="CI99" s="66">
        <v>0.62</v>
      </c>
      <c r="CJ99" s="66">
        <v>0.43</v>
      </c>
      <c r="CK99" s="66">
        <v>0.73</v>
      </c>
      <c r="CL99" s="66">
        <v>0.37</v>
      </c>
      <c r="CM99" s="66">
        <v>0.44</v>
      </c>
      <c r="CN99" s="66">
        <v>0.49</v>
      </c>
      <c r="CO99" s="66">
        <v>0.36</v>
      </c>
      <c r="CP99" s="66">
        <v>0.31</v>
      </c>
      <c r="CQ99" s="66">
        <v>0.59</v>
      </c>
      <c r="CR99" s="66">
        <v>0.51</v>
      </c>
      <c r="CS99" s="12">
        <v>49</v>
      </c>
      <c r="CT99" s="12">
        <v>9</v>
      </c>
      <c r="CU99" s="63">
        <v>0.18</v>
      </c>
      <c r="CV99" s="63">
        <v>0.56999999999999995</v>
      </c>
      <c r="CW99" s="63">
        <v>0.25</v>
      </c>
      <c r="CX99" s="63">
        <v>0</v>
      </c>
      <c r="CY99" s="63">
        <v>0.48</v>
      </c>
      <c r="CZ99" s="63">
        <v>0.3</v>
      </c>
      <c r="DA99" s="63">
        <v>0.66</v>
      </c>
      <c r="DB99" s="63">
        <v>0.42</v>
      </c>
      <c r="DC99" s="63">
        <v>0.48</v>
      </c>
      <c r="DD99" s="63">
        <v>0.62</v>
      </c>
      <c r="DE99" s="63">
        <v>0.53</v>
      </c>
      <c r="DF99" s="63">
        <v>0.57999999999999996</v>
      </c>
      <c r="DG99" s="63">
        <v>0.44</v>
      </c>
      <c r="DH99" s="63">
        <v>0.41</v>
      </c>
      <c r="DI99" s="63">
        <v>0.51</v>
      </c>
      <c r="DJ99" s="63">
        <v>0.56000000000000005</v>
      </c>
      <c r="DK99" s="63">
        <v>0.44</v>
      </c>
      <c r="DL99" s="63">
        <v>0.33</v>
      </c>
      <c r="DM99" s="63">
        <v>0.56000000000000005</v>
      </c>
      <c r="DN99" s="63">
        <v>0.49</v>
      </c>
      <c r="DO99" s="63">
        <v>0.53</v>
      </c>
      <c r="DP99" s="63">
        <v>0.44</v>
      </c>
      <c r="DQ99" s="63">
        <v>0.55000000000000004</v>
      </c>
      <c r="DR99" s="63">
        <v>0.18</v>
      </c>
      <c r="DS99" s="63">
        <v>0.44</v>
      </c>
      <c r="DT99" s="63">
        <v>0.57999999999999996</v>
      </c>
      <c r="DU99" s="63">
        <v>0.56000000000000005</v>
      </c>
      <c r="DV99" s="63">
        <v>0.55000000000000004</v>
      </c>
      <c r="DW99" s="63">
        <v>0.37</v>
      </c>
      <c r="DX99" s="35">
        <v>48</v>
      </c>
      <c r="DY99" s="35">
        <v>9</v>
      </c>
      <c r="DZ99" s="40">
        <v>0.21</v>
      </c>
      <c r="EA99" s="40">
        <v>0.61</v>
      </c>
      <c r="EB99" s="40">
        <v>0.18</v>
      </c>
      <c r="EC99" s="40">
        <v>0</v>
      </c>
      <c r="ED99" s="40">
        <v>0.48</v>
      </c>
      <c r="EE99" s="40">
        <v>0.52</v>
      </c>
      <c r="EF99" s="40">
        <v>0.42</v>
      </c>
      <c r="EG99" s="40">
        <v>0.35</v>
      </c>
      <c r="EH99" s="40">
        <v>0.46</v>
      </c>
      <c r="EI99" s="40">
        <v>0.51</v>
      </c>
      <c r="EJ99" s="40">
        <v>0.55000000000000004</v>
      </c>
      <c r="EK99" s="40">
        <v>0.2</v>
      </c>
      <c r="EL99" s="40">
        <v>0.46</v>
      </c>
      <c r="EM99" s="40">
        <v>0.5</v>
      </c>
      <c r="EN99" s="40">
        <v>0.56000000000000005</v>
      </c>
      <c r="EO99" s="40">
        <v>0.56999999999999995</v>
      </c>
      <c r="EP99" s="40">
        <v>0.51</v>
      </c>
      <c r="EQ99" s="40">
        <v>0.27</v>
      </c>
      <c r="ER99" s="40">
        <v>0.62</v>
      </c>
      <c r="ES99" s="40">
        <v>0.48</v>
      </c>
      <c r="ET99" s="40">
        <v>0.4</v>
      </c>
      <c r="EU99" s="40">
        <v>0.63</v>
      </c>
      <c r="EV99" s="40">
        <v>0.44</v>
      </c>
      <c r="EW99" s="40">
        <v>0.3</v>
      </c>
      <c r="EX99" s="40">
        <v>0.78</v>
      </c>
      <c r="EY99" s="40">
        <v>0.65</v>
      </c>
      <c r="EZ99" s="40">
        <v>0.24</v>
      </c>
      <c r="FA99" s="40">
        <v>0.64</v>
      </c>
      <c r="FB99" s="246">
        <v>48</v>
      </c>
      <c r="FC99" s="246" t="s">
        <v>758</v>
      </c>
      <c r="FD99" s="246">
        <v>9</v>
      </c>
      <c r="FE99" s="246" t="s">
        <v>758</v>
      </c>
      <c r="FF99" s="263">
        <v>0.25</v>
      </c>
      <c r="FG99" s="263">
        <v>0.55000000000000004</v>
      </c>
      <c r="FH99" s="263">
        <v>0.2</v>
      </c>
      <c r="FI99" s="263">
        <v>0</v>
      </c>
      <c r="FJ99" s="263">
        <v>0.53</v>
      </c>
      <c r="FK99" s="263">
        <v>0.67</v>
      </c>
      <c r="FL99" s="263">
        <v>0.56999999999999995</v>
      </c>
      <c r="FM99" s="263">
        <v>0.43</v>
      </c>
      <c r="FN99" s="263">
        <v>0.34</v>
      </c>
      <c r="FO99" s="263">
        <v>0.41</v>
      </c>
      <c r="FP99" s="263">
        <v>0.43</v>
      </c>
      <c r="FQ99" s="263">
        <v>0.4</v>
      </c>
      <c r="FR99" s="263">
        <v>0.59</v>
      </c>
      <c r="FS99" s="263">
        <v>0.56999999999999995</v>
      </c>
      <c r="FT99" s="263">
        <v>0.53</v>
      </c>
      <c r="FU99" s="263">
        <v>0.38</v>
      </c>
      <c r="FV99" s="263">
        <v>0.67</v>
      </c>
      <c r="FW99" s="263">
        <v>0.56999999999999995</v>
      </c>
      <c r="FX99" s="263">
        <v>0.49</v>
      </c>
      <c r="FY99" s="263">
        <v>0.41</v>
      </c>
      <c r="FZ99" s="263">
        <v>0.39</v>
      </c>
      <c r="GA99" s="263">
        <v>0.6</v>
      </c>
      <c r="GB99" s="263">
        <v>0.54</v>
      </c>
      <c r="GC99" s="263">
        <v>0.5</v>
      </c>
      <c r="GD99" s="263">
        <v>0.6</v>
      </c>
      <c r="GE99" s="263">
        <v>0.52</v>
      </c>
      <c r="GF99" s="263">
        <v>0.62</v>
      </c>
      <c r="GG99" s="263">
        <v>0.43</v>
      </c>
      <c r="GH99" s="263">
        <v>0.64</v>
      </c>
      <c r="GI99" s="263">
        <v>0.3</v>
      </c>
      <c r="GJ99" s="309">
        <v>50</v>
      </c>
      <c r="GK99" s="309" t="s">
        <v>758</v>
      </c>
      <c r="GL99" s="309">
        <v>9</v>
      </c>
      <c r="GM99" s="309" t="s">
        <v>758</v>
      </c>
      <c r="GN99" s="327">
        <v>0.18</v>
      </c>
      <c r="GO99" s="327">
        <v>0.57999999999999996</v>
      </c>
      <c r="GP99" s="327">
        <v>0.25</v>
      </c>
      <c r="GQ99" s="327">
        <v>0</v>
      </c>
      <c r="GR99" s="327">
        <v>0.49</v>
      </c>
      <c r="GS99" s="327">
        <v>0.63</v>
      </c>
      <c r="GT99" s="327">
        <v>0.59</v>
      </c>
      <c r="GU99" s="327">
        <v>0.1</v>
      </c>
      <c r="GV99" s="327">
        <v>0.55000000000000004</v>
      </c>
      <c r="GW99" s="327">
        <v>0.48</v>
      </c>
      <c r="GX99" s="327">
        <v>0.52</v>
      </c>
      <c r="GY99" s="309" t="s">
        <v>173</v>
      </c>
      <c r="GZ99" s="327">
        <v>0.28999999999999998</v>
      </c>
      <c r="HA99" s="327">
        <v>0.86</v>
      </c>
      <c r="HB99" s="327">
        <v>0.51</v>
      </c>
      <c r="HC99" s="327">
        <v>0.51</v>
      </c>
      <c r="HD99" s="327">
        <v>0.54</v>
      </c>
      <c r="HE99" s="327">
        <v>0.49</v>
      </c>
      <c r="HF99" s="327">
        <v>0.55000000000000004</v>
      </c>
      <c r="HG99" s="327">
        <v>0.63</v>
      </c>
      <c r="HH99" s="327">
        <v>0.41</v>
      </c>
      <c r="HI99" s="327">
        <v>0.56000000000000005</v>
      </c>
      <c r="HJ99" s="327">
        <v>0.61</v>
      </c>
      <c r="HK99" s="327">
        <v>0.47</v>
      </c>
      <c r="HL99" s="327">
        <v>0.38</v>
      </c>
      <c r="HM99" s="327">
        <v>0.57999999999999996</v>
      </c>
      <c r="HN99" s="327">
        <v>0.59</v>
      </c>
      <c r="HO99" s="327">
        <v>0.46</v>
      </c>
      <c r="HP99" s="309" t="s">
        <v>173</v>
      </c>
      <c r="HQ99" s="327">
        <v>0.47</v>
      </c>
      <c r="HR99" s="424">
        <v>47</v>
      </c>
      <c r="HS99" s="424" t="s">
        <v>758</v>
      </c>
      <c r="HT99" s="424">
        <v>8</v>
      </c>
      <c r="HU99" s="424" t="s">
        <v>758</v>
      </c>
      <c r="HV99" s="428">
        <v>0.24</v>
      </c>
      <c r="HW99" s="428">
        <v>0.6</v>
      </c>
      <c r="HX99" s="428">
        <v>0.16</v>
      </c>
      <c r="HY99" s="428">
        <v>0</v>
      </c>
      <c r="HZ99" s="428">
        <v>0.49</v>
      </c>
      <c r="IA99" s="428">
        <v>0.55000000000000004</v>
      </c>
      <c r="IB99" s="428">
        <v>0.41</v>
      </c>
      <c r="IC99" s="428">
        <v>0.65</v>
      </c>
      <c r="ID99" s="428">
        <v>0.63</v>
      </c>
      <c r="IE99" s="428">
        <v>0.47</v>
      </c>
      <c r="IF99" s="428">
        <v>0.41</v>
      </c>
      <c r="IG99" s="428">
        <v>0.64</v>
      </c>
      <c r="IH99" s="428">
        <v>0.62</v>
      </c>
      <c r="II99" s="428">
        <v>0.35</v>
      </c>
      <c r="IJ99" s="428">
        <v>0.35</v>
      </c>
      <c r="IK99" s="428">
        <v>0.65</v>
      </c>
      <c r="IL99" s="428">
        <v>0.52</v>
      </c>
      <c r="IM99" s="428">
        <v>0.69</v>
      </c>
      <c r="IN99" s="428">
        <v>0.55000000000000004</v>
      </c>
      <c r="IO99" s="428">
        <v>0.56000000000000005</v>
      </c>
      <c r="IP99" s="428">
        <v>0.49</v>
      </c>
      <c r="IQ99" s="428">
        <v>0.66</v>
      </c>
      <c r="IR99" s="428">
        <v>0.69</v>
      </c>
      <c r="IS99" s="428">
        <v>0.55000000000000004</v>
      </c>
      <c r="IT99" s="428">
        <v>0.56999999999999995</v>
      </c>
      <c r="IU99" s="424" t="s">
        <v>173</v>
      </c>
      <c r="IV99" s="428">
        <v>0.63</v>
      </c>
      <c r="IW99" s="428">
        <v>0.47</v>
      </c>
      <c r="IX99" s="428">
        <v>0.54</v>
      </c>
      <c r="IY99" s="428">
        <v>0.63</v>
      </c>
      <c r="IZ99" s="464">
        <v>47</v>
      </c>
      <c r="JA99" s="464" t="s">
        <v>758</v>
      </c>
      <c r="JB99" s="464">
        <v>8</v>
      </c>
      <c r="JC99" s="464" t="s">
        <v>758</v>
      </c>
      <c r="JD99" s="476">
        <v>0.26</v>
      </c>
      <c r="JE99" s="476">
        <v>0.6</v>
      </c>
      <c r="JF99" s="476">
        <v>0.15</v>
      </c>
      <c r="JG99" s="476">
        <v>0</v>
      </c>
      <c r="JH99" s="476">
        <v>0.52</v>
      </c>
      <c r="JI99" s="476">
        <v>0.53</v>
      </c>
      <c r="JJ99" s="476">
        <v>0.5</v>
      </c>
      <c r="JK99" s="476">
        <v>0.55000000000000004</v>
      </c>
      <c r="JL99" s="476">
        <v>0.53</v>
      </c>
      <c r="JM99" s="476">
        <v>0.61</v>
      </c>
      <c r="JN99" s="476">
        <v>0.6</v>
      </c>
      <c r="JO99" s="476">
        <v>0.54</v>
      </c>
      <c r="JP99" s="476">
        <v>0.64</v>
      </c>
      <c r="JQ99" s="476">
        <v>0.33</v>
      </c>
      <c r="JR99" s="476">
        <v>0.62</v>
      </c>
      <c r="JS99" s="476">
        <v>0.6</v>
      </c>
      <c r="JT99" s="476">
        <v>0.47</v>
      </c>
      <c r="JU99" s="476">
        <v>0.6</v>
      </c>
      <c r="JV99" s="476">
        <v>0.53</v>
      </c>
      <c r="JW99" s="476">
        <v>0.54</v>
      </c>
      <c r="JX99" s="476">
        <v>0.55000000000000004</v>
      </c>
      <c r="JY99" s="476">
        <v>0.61</v>
      </c>
      <c r="JZ99" s="476">
        <v>0.53</v>
      </c>
      <c r="KA99" s="476">
        <v>0.68</v>
      </c>
      <c r="KB99" s="476">
        <v>0.53</v>
      </c>
      <c r="KC99" s="476">
        <v>0.62</v>
      </c>
      <c r="KD99" s="476">
        <v>0.45</v>
      </c>
      <c r="KE99" s="476">
        <v>0.56999999999999995</v>
      </c>
      <c r="KF99" s="476">
        <v>0.5</v>
      </c>
      <c r="KG99" s="476">
        <v>0.67</v>
      </c>
      <c r="KH99" s="971">
        <v>51</v>
      </c>
      <c r="KI99" s="971" t="s">
        <v>758</v>
      </c>
      <c r="KJ99" s="971">
        <v>9</v>
      </c>
      <c r="KK99" s="971" t="s">
        <v>758</v>
      </c>
      <c r="KL99" s="949">
        <v>0.13</v>
      </c>
      <c r="KM99" s="949">
        <v>0.52</v>
      </c>
      <c r="KN99" s="949">
        <v>0.33</v>
      </c>
      <c r="KO99" s="949">
        <v>0.02</v>
      </c>
      <c r="KP99" s="949">
        <v>0.53</v>
      </c>
      <c r="KQ99" s="949">
        <v>0.23</v>
      </c>
      <c r="KR99" s="949">
        <v>0.63</v>
      </c>
      <c r="KS99" s="949">
        <v>0.52</v>
      </c>
      <c r="KT99" s="949">
        <v>0.44</v>
      </c>
      <c r="KU99" s="949">
        <v>0.38</v>
      </c>
      <c r="KV99" s="949">
        <v>0.56999999999999995</v>
      </c>
      <c r="KW99" s="949">
        <v>0.36</v>
      </c>
      <c r="KX99" s="949">
        <v>0.35</v>
      </c>
      <c r="KY99" s="949">
        <v>0.61</v>
      </c>
      <c r="KZ99" s="949">
        <v>0.39</v>
      </c>
      <c r="LA99" s="949">
        <v>0.4</v>
      </c>
      <c r="LB99" s="949">
        <v>0.38</v>
      </c>
      <c r="LC99" s="949">
        <v>0.45</v>
      </c>
      <c r="LD99" s="949">
        <v>0.64</v>
      </c>
      <c r="LE99" s="949">
        <v>0.51</v>
      </c>
      <c r="LF99" s="949">
        <v>0.36</v>
      </c>
      <c r="LG99" s="949">
        <v>0.38</v>
      </c>
      <c r="LH99" s="949">
        <v>0.56999999999999995</v>
      </c>
      <c r="LI99" s="949">
        <v>0.47</v>
      </c>
      <c r="LJ99" s="949">
        <v>0.35</v>
      </c>
      <c r="LK99" s="949">
        <v>0.56000000000000005</v>
      </c>
      <c r="LL99" s="949" t="s">
        <v>173</v>
      </c>
      <c r="LM99" s="949">
        <v>0.59</v>
      </c>
      <c r="LN99" s="949">
        <v>0.7</v>
      </c>
      <c r="LO99" s="949">
        <v>0.44</v>
      </c>
      <c r="LP99" s="922">
        <v>225754000661</v>
      </c>
      <c r="LQ99" s="126" t="s">
        <v>27</v>
      </c>
      <c r="LR99" s="424">
        <v>47</v>
      </c>
      <c r="LS99" s="971">
        <v>51</v>
      </c>
      <c r="LT99" s="946"/>
    </row>
    <row r="100" spans="1:332" ht="24.95" customHeight="1" x14ac:dyDescent="0.2">
      <c r="A100" s="126" t="s">
        <v>127</v>
      </c>
      <c r="B100" s="1" t="s">
        <v>123</v>
      </c>
      <c r="C100" s="2">
        <v>4</v>
      </c>
      <c r="D100" s="12"/>
      <c r="E100" s="12"/>
      <c r="F100" s="12"/>
      <c r="G100" s="12"/>
      <c r="H100" s="12"/>
      <c r="I100" s="12"/>
      <c r="J100" s="12"/>
      <c r="K100" s="12"/>
      <c r="L100" s="12"/>
      <c r="M100" s="12"/>
      <c r="N100" s="12"/>
      <c r="O100" s="12"/>
      <c r="P100" s="12"/>
      <c r="Q100" s="12"/>
      <c r="R100" s="12"/>
      <c r="S100" s="12"/>
      <c r="T100" s="12"/>
      <c r="U100" s="12"/>
      <c r="V100" s="12"/>
      <c r="W100" s="12"/>
      <c r="X100" s="12"/>
      <c r="Y100" s="12"/>
      <c r="Z100" s="12"/>
      <c r="AA100" s="12"/>
      <c r="AB100" s="12"/>
      <c r="AC100" s="12"/>
      <c r="AD100" s="12"/>
      <c r="AE100" s="12"/>
      <c r="AF100" s="12"/>
      <c r="AG100" s="12"/>
      <c r="AH100" s="12">
        <v>58</v>
      </c>
      <c r="AI100" s="12">
        <v>0</v>
      </c>
      <c r="AJ100" s="40">
        <v>0</v>
      </c>
      <c r="AK100" s="40">
        <v>0</v>
      </c>
      <c r="AL100" s="40">
        <v>1</v>
      </c>
      <c r="AM100" s="40">
        <v>0</v>
      </c>
      <c r="AN100" s="40">
        <v>0</v>
      </c>
      <c r="AO100" s="40">
        <v>0</v>
      </c>
      <c r="AP100" s="40">
        <v>1</v>
      </c>
      <c r="AQ100" s="40">
        <v>0.33</v>
      </c>
      <c r="AR100" s="40">
        <v>0.67</v>
      </c>
      <c r="AS100" s="40">
        <v>0.5</v>
      </c>
      <c r="AT100" s="40">
        <v>0.33</v>
      </c>
      <c r="AU100" s="40">
        <v>0.5</v>
      </c>
      <c r="AV100" s="40">
        <v>0.5</v>
      </c>
      <c r="AW100" s="40">
        <v>0</v>
      </c>
      <c r="AX100" s="35" t="s">
        <v>173</v>
      </c>
      <c r="AY100" s="40">
        <v>0.25</v>
      </c>
      <c r="AZ100" s="40">
        <v>0.5</v>
      </c>
      <c r="BA100" s="40">
        <v>0.5</v>
      </c>
      <c r="BB100" s="40">
        <v>0</v>
      </c>
      <c r="BC100" s="40">
        <v>0</v>
      </c>
      <c r="BD100" s="40">
        <v>0</v>
      </c>
      <c r="BE100" s="40">
        <v>0</v>
      </c>
      <c r="BF100" s="35" t="s">
        <v>173</v>
      </c>
      <c r="BG100" s="40">
        <v>0</v>
      </c>
      <c r="BH100" s="40">
        <v>0.2</v>
      </c>
      <c r="BI100" s="40">
        <v>0.33</v>
      </c>
      <c r="BJ100" s="40">
        <v>0.5</v>
      </c>
      <c r="BK100" s="40">
        <v>0.5</v>
      </c>
      <c r="BL100" s="35" t="s">
        <v>173</v>
      </c>
      <c r="BM100" s="12" t="s">
        <v>126</v>
      </c>
      <c r="BN100" s="12" t="s">
        <v>126</v>
      </c>
      <c r="BO100" s="12"/>
      <c r="BP100" s="12"/>
      <c r="BQ100" s="12"/>
      <c r="BR100" s="12"/>
      <c r="BS100" s="12"/>
      <c r="BT100" s="12"/>
      <c r="BU100" s="12"/>
      <c r="BV100" s="12"/>
      <c r="BW100" s="12"/>
      <c r="BX100" s="12"/>
      <c r="BY100" s="12"/>
      <c r="BZ100" s="12"/>
      <c r="CA100" s="12"/>
      <c r="CB100" s="12"/>
      <c r="CC100" s="12"/>
      <c r="CD100" s="12"/>
      <c r="CE100" s="12"/>
      <c r="CF100" s="12"/>
      <c r="CG100" s="12"/>
      <c r="CH100" s="12"/>
      <c r="CI100" s="12"/>
      <c r="CJ100" s="12"/>
      <c r="CK100" s="12"/>
      <c r="CL100" s="12"/>
      <c r="CM100" s="12"/>
      <c r="CN100" s="12"/>
      <c r="CO100" s="12"/>
      <c r="CP100" s="12"/>
      <c r="CQ100" s="12"/>
      <c r="CR100" s="12"/>
      <c r="CS100" s="12" t="s">
        <v>126</v>
      </c>
      <c r="CT100" s="12" t="s">
        <v>126</v>
      </c>
      <c r="CU100" s="2"/>
      <c r="CV100" s="2"/>
      <c r="CW100" s="2"/>
      <c r="CX100" s="2"/>
      <c r="CY100" s="2"/>
      <c r="CZ100" s="2"/>
      <c r="DA100" s="2"/>
      <c r="DB100" s="2"/>
      <c r="DC100" s="2"/>
      <c r="DD100" s="2"/>
      <c r="DE100" s="2"/>
      <c r="DF100" s="2"/>
      <c r="DG100" s="2"/>
      <c r="DH100" s="2"/>
      <c r="DI100" s="2"/>
      <c r="DJ100" s="2"/>
      <c r="DK100" s="2"/>
      <c r="DL100" s="2"/>
      <c r="DM100" s="2"/>
      <c r="DN100" s="2"/>
      <c r="DO100" s="2"/>
      <c r="DP100" s="2"/>
      <c r="DQ100" s="2"/>
      <c r="DR100" s="2"/>
      <c r="DS100" s="2"/>
      <c r="DT100" s="2"/>
      <c r="DU100" s="2"/>
      <c r="DV100" s="2"/>
      <c r="DW100" s="2"/>
      <c r="DX100" s="35"/>
      <c r="DY100" s="35"/>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646"/>
      <c r="FC100" s="646"/>
      <c r="FD100" s="646"/>
      <c r="FE100" s="646"/>
      <c r="FF100" s="646"/>
      <c r="FG100" s="646"/>
      <c r="FH100" s="646"/>
      <c r="FI100" s="646"/>
      <c r="FJ100" s="646"/>
      <c r="FK100" s="646"/>
      <c r="FL100" s="646"/>
      <c r="FM100" s="646"/>
      <c r="FN100" s="646"/>
      <c r="FO100" s="646"/>
      <c r="FP100" s="646"/>
      <c r="FQ100" s="646"/>
      <c r="FR100" s="646"/>
      <c r="FS100" s="646"/>
      <c r="FT100" s="646"/>
      <c r="FU100" s="646"/>
      <c r="FV100" s="646"/>
      <c r="FW100" s="646"/>
      <c r="FX100" s="646"/>
      <c r="FY100" s="646"/>
      <c r="FZ100" s="646"/>
      <c r="GA100" s="646"/>
      <c r="GB100" s="646"/>
      <c r="GC100" s="646"/>
      <c r="GD100" s="646"/>
      <c r="GE100" s="646"/>
      <c r="GF100" s="646"/>
      <c r="GG100" s="646"/>
      <c r="GH100" s="646"/>
      <c r="GI100" s="646"/>
      <c r="GJ100" s="649"/>
      <c r="GK100" s="649"/>
      <c r="GL100" s="649"/>
      <c r="GM100" s="649"/>
      <c r="GN100" s="649"/>
      <c r="GO100" s="649"/>
      <c r="GP100" s="649"/>
      <c r="GQ100" s="649"/>
      <c r="GR100" s="649"/>
      <c r="GS100" s="649"/>
      <c r="GT100" s="649"/>
      <c r="GU100" s="649"/>
      <c r="GV100" s="649"/>
      <c r="GW100" s="649"/>
      <c r="GX100" s="649"/>
      <c r="GY100" s="649"/>
      <c r="GZ100" s="649"/>
      <c r="HA100" s="649"/>
      <c r="HB100" s="649"/>
      <c r="HC100" s="649"/>
      <c r="HD100" s="649"/>
      <c r="HE100" s="649"/>
      <c r="HF100" s="649"/>
      <c r="HG100" s="649"/>
      <c r="HH100" s="649"/>
      <c r="HI100" s="649"/>
      <c r="HJ100" s="649"/>
      <c r="HK100" s="649"/>
      <c r="HL100" s="649"/>
      <c r="HM100" s="649"/>
      <c r="HN100" s="649"/>
      <c r="HO100" s="649"/>
      <c r="HP100" s="649"/>
      <c r="HQ100" s="649"/>
      <c r="HR100" s="651"/>
      <c r="HS100" s="651"/>
      <c r="HT100" s="651"/>
      <c r="HU100" s="651"/>
      <c r="HV100" s="651"/>
      <c r="HW100" s="651"/>
      <c r="HX100" s="651"/>
      <c r="HY100" s="651"/>
      <c r="HZ100" s="651"/>
      <c r="IA100" s="651"/>
      <c r="IB100" s="651"/>
      <c r="IC100" s="651"/>
      <c r="ID100" s="651"/>
      <c r="IE100" s="651"/>
      <c r="IF100" s="651"/>
      <c r="IG100" s="651"/>
      <c r="IH100" s="651"/>
      <c r="II100" s="651"/>
      <c r="IJ100" s="651"/>
      <c r="IK100" s="651"/>
      <c r="IL100" s="651"/>
      <c r="IM100" s="651"/>
      <c r="IN100" s="651"/>
      <c r="IO100" s="651"/>
      <c r="IP100" s="651"/>
      <c r="IQ100" s="651"/>
      <c r="IR100" s="651"/>
      <c r="IS100" s="651"/>
      <c r="IT100" s="651"/>
      <c r="IU100" s="651"/>
      <c r="IV100" s="651"/>
      <c r="IW100" s="651"/>
      <c r="IX100" s="651"/>
      <c r="IY100" s="651"/>
      <c r="IZ100" s="650"/>
      <c r="JA100" s="650"/>
      <c r="JB100" s="650"/>
      <c r="JC100" s="650"/>
      <c r="JD100" s="650"/>
      <c r="JE100" s="650"/>
      <c r="JF100" s="650"/>
      <c r="JG100" s="650"/>
      <c r="JH100" s="650"/>
      <c r="JI100" s="650"/>
      <c r="JJ100" s="650"/>
      <c r="JK100" s="650"/>
      <c r="JL100" s="650"/>
      <c r="JM100" s="650"/>
      <c r="JN100" s="650"/>
      <c r="JO100" s="650"/>
      <c r="JP100" s="650"/>
      <c r="JQ100" s="650"/>
      <c r="JR100" s="650"/>
      <c r="JS100" s="650"/>
      <c r="JT100" s="650"/>
      <c r="JU100" s="650"/>
      <c r="JV100" s="650"/>
      <c r="JW100" s="650"/>
      <c r="JX100" s="650"/>
      <c r="JY100" s="650"/>
      <c r="JZ100" s="650"/>
      <c r="KA100" s="650"/>
      <c r="KB100" s="650"/>
      <c r="KC100" s="650"/>
      <c r="KD100" s="650"/>
      <c r="KE100" s="650"/>
      <c r="KF100" s="650"/>
      <c r="KG100" s="650"/>
      <c r="KH100" s="971"/>
      <c r="KI100" s="971"/>
      <c r="KJ100" s="971"/>
      <c r="KK100" s="971"/>
      <c r="KL100" s="949"/>
      <c r="KM100" s="949"/>
      <c r="KN100" s="949"/>
      <c r="KO100" s="949"/>
      <c r="KP100" s="949"/>
      <c r="KQ100" s="949"/>
      <c r="KR100" s="949"/>
      <c r="KS100" s="949"/>
      <c r="KT100" s="949"/>
      <c r="KU100" s="949"/>
      <c r="KV100" s="949"/>
      <c r="KW100" s="949"/>
      <c r="KX100" s="949"/>
      <c r="KY100" s="949"/>
      <c r="KZ100" s="949"/>
      <c r="LA100" s="949"/>
      <c r="LB100" s="949"/>
      <c r="LC100" s="949"/>
      <c r="LD100" s="949"/>
      <c r="LE100" s="949"/>
      <c r="LF100" s="949"/>
      <c r="LG100" s="949"/>
      <c r="LH100" s="949"/>
      <c r="LI100" s="949"/>
      <c r="LJ100" s="949"/>
      <c r="LK100" s="949"/>
      <c r="LL100" s="949"/>
      <c r="LM100" s="949"/>
      <c r="LN100" s="949"/>
      <c r="LO100" s="949"/>
      <c r="LP100" s="922"/>
      <c r="LQ100" s="126" t="s">
        <v>127</v>
      </c>
      <c r="LR100" s="651"/>
      <c r="LS100" s="971"/>
      <c r="LT100" s="946"/>
    </row>
    <row r="101" spans="1:332" ht="24.95" customHeight="1" x14ac:dyDescent="0.2">
      <c r="A101" s="126" t="s">
        <v>55</v>
      </c>
      <c r="B101" s="1" t="s">
        <v>121</v>
      </c>
      <c r="C101" s="2">
        <v>1</v>
      </c>
      <c r="D101" s="12">
        <v>53</v>
      </c>
      <c r="E101" s="12">
        <v>7</v>
      </c>
      <c r="F101" s="66">
        <v>0.05</v>
      </c>
      <c r="G101" s="66">
        <v>0.65</v>
      </c>
      <c r="H101" s="66">
        <v>0.28999999999999998</v>
      </c>
      <c r="I101" s="66">
        <v>0</v>
      </c>
      <c r="J101" s="66">
        <v>0.43</v>
      </c>
      <c r="K101" s="66">
        <v>0.41</v>
      </c>
      <c r="L101" s="66">
        <v>0.75</v>
      </c>
      <c r="M101" s="66">
        <v>0.19</v>
      </c>
      <c r="N101" s="66">
        <v>0.32</v>
      </c>
      <c r="O101" s="66">
        <v>0.59</v>
      </c>
      <c r="P101" s="66">
        <v>0.31</v>
      </c>
      <c r="Q101" s="66">
        <v>0.43</v>
      </c>
      <c r="R101" s="66">
        <v>0.52</v>
      </c>
      <c r="S101" s="66">
        <v>0.62</v>
      </c>
      <c r="T101" s="66">
        <v>0.48</v>
      </c>
      <c r="U101" s="66">
        <v>0.69</v>
      </c>
      <c r="V101" s="66">
        <v>0.04</v>
      </c>
      <c r="W101" s="66">
        <v>0.12</v>
      </c>
      <c r="X101" s="66">
        <v>0.47</v>
      </c>
      <c r="Y101" s="66">
        <v>0.47</v>
      </c>
      <c r="Z101" s="66">
        <v>1</v>
      </c>
      <c r="AA101" s="66">
        <v>0.05</v>
      </c>
      <c r="AB101" s="66">
        <v>0.45</v>
      </c>
      <c r="AC101" s="66">
        <v>0.26</v>
      </c>
      <c r="AD101" s="66">
        <v>0.43</v>
      </c>
      <c r="AE101" s="66">
        <v>0.42</v>
      </c>
      <c r="AF101" s="66">
        <v>0.56999999999999995</v>
      </c>
      <c r="AG101" s="66">
        <v>0.51</v>
      </c>
      <c r="AH101" s="12">
        <v>53</v>
      </c>
      <c r="AI101" s="12">
        <v>8</v>
      </c>
      <c r="AJ101" s="40">
        <v>0.05</v>
      </c>
      <c r="AK101" s="40">
        <v>0.57999999999999996</v>
      </c>
      <c r="AL101" s="40">
        <v>0.36</v>
      </c>
      <c r="AM101" s="40">
        <v>0.01</v>
      </c>
      <c r="AN101" s="40">
        <v>0.28999999999999998</v>
      </c>
      <c r="AO101" s="40">
        <v>0.44</v>
      </c>
      <c r="AP101" s="40">
        <v>0.56999999999999995</v>
      </c>
      <c r="AQ101" s="40">
        <v>0.35</v>
      </c>
      <c r="AR101" s="40">
        <v>0.53</v>
      </c>
      <c r="AS101" s="40">
        <v>0.56000000000000005</v>
      </c>
      <c r="AT101" s="40">
        <v>0.51</v>
      </c>
      <c r="AU101" s="40">
        <v>0.47</v>
      </c>
      <c r="AV101" s="40">
        <v>0.59</v>
      </c>
      <c r="AW101" s="40">
        <v>0.46</v>
      </c>
      <c r="AX101" s="40">
        <v>0.57999999999999996</v>
      </c>
      <c r="AY101" s="40">
        <v>0.3</v>
      </c>
      <c r="AZ101" s="40">
        <v>0.24</v>
      </c>
      <c r="BA101" s="40">
        <v>0.49</v>
      </c>
      <c r="BB101" s="40">
        <v>0.66</v>
      </c>
      <c r="BC101" s="40">
        <v>0.64</v>
      </c>
      <c r="BD101" s="40">
        <v>0.41</v>
      </c>
      <c r="BE101" s="40">
        <v>0.61</v>
      </c>
      <c r="BF101" s="40">
        <v>0.57999999999999996</v>
      </c>
      <c r="BG101" s="40">
        <v>0.45</v>
      </c>
      <c r="BH101" s="40">
        <v>0.44</v>
      </c>
      <c r="BI101" s="40">
        <v>0.37</v>
      </c>
      <c r="BJ101" s="40">
        <v>0.34</v>
      </c>
      <c r="BK101" s="40">
        <v>0.46</v>
      </c>
      <c r="BL101" s="40">
        <v>0.45</v>
      </c>
      <c r="BM101" s="12">
        <v>50</v>
      </c>
      <c r="BN101" s="12">
        <v>8</v>
      </c>
      <c r="BO101" s="66">
        <v>0.09</v>
      </c>
      <c r="BP101" s="66">
        <v>0.69</v>
      </c>
      <c r="BQ101" s="66">
        <v>0.22</v>
      </c>
      <c r="BR101" s="66">
        <v>0.01</v>
      </c>
      <c r="BS101" s="66">
        <v>0.31</v>
      </c>
      <c r="BT101" s="66">
        <v>0.55000000000000004</v>
      </c>
      <c r="BU101" s="66">
        <v>0.68</v>
      </c>
      <c r="BV101" s="66">
        <v>0.28999999999999998</v>
      </c>
      <c r="BW101" s="66">
        <v>0.6</v>
      </c>
      <c r="BX101" s="66">
        <v>0.32</v>
      </c>
      <c r="BY101" s="66">
        <v>0.44</v>
      </c>
      <c r="BZ101" s="66">
        <v>0.55000000000000004</v>
      </c>
      <c r="CA101" s="66">
        <v>0.45</v>
      </c>
      <c r="CB101" s="66">
        <v>0.42</v>
      </c>
      <c r="CC101" s="66">
        <v>0.17</v>
      </c>
      <c r="CD101" s="66">
        <v>0.46</v>
      </c>
      <c r="CE101" s="66">
        <v>0.34</v>
      </c>
      <c r="CF101" s="66">
        <v>0.65</v>
      </c>
      <c r="CG101" s="66">
        <v>0.62</v>
      </c>
      <c r="CH101" s="66">
        <v>0.49</v>
      </c>
      <c r="CI101" s="66">
        <v>0.59</v>
      </c>
      <c r="CJ101" s="66">
        <v>0.38</v>
      </c>
      <c r="CK101" s="66">
        <v>0.7</v>
      </c>
      <c r="CL101" s="66">
        <v>0.31</v>
      </c>
      <c r="CM101" s="66">
        <v>0.47</v>
      </c>
      <c r="CN101" s="66">
        <v>0.45</v>
      </c>
      <c r="CO101" s="66">
        <v>0.4</v>
      </c>
      <c r="CP101" s="66">
        <v>0.39</v>
      </c>
      <c r="CQ101" s="66">
        <v>0.55000000000000004</v>
      </c>
      <c r="CR101" s="66">
        <v>0.56000000000000005</v>
      </c>
      <c r="CS101" s="12">
        <v>50</v>
      </c>
      <c r="CT101" s="12">
        <v>9</v>
      </c>
      <c r="CU101" s="63">
        <v>0.15</v>
      </c>
      <c r="CV101" s="63">
        <v>0.56000000000000005</v>
      </c>
      <c r="CW101" s="63">
        <v>0.28000000000000003</v>
      </c>
      <c r="CX101" s="63">
        <v>0.01</v>
      </c>
      <c r="CY101" s="63">
        <v>0.53</v>
      </c>
      <c r="CZ101" s="63">
        <v>0.33</v>
      </c>
      <c r="DA101" s="63">
        <v>0.61</v>
      </c>
      <c r="DB101" s="63">
        <v>0.37</v>
      </c>
      <c r="DC101" s="63">
        <v>0.43</v>
      </c>
      <c r="DD101" s="63">
        <v>0.69</v>
      </c>
      <c r="DE101" s="63">
        <v>0.45</v>
      </c>
      <c r="DF101" s="63">
        <v>0.59</v>
      </c>
      <c r="DG101" s="63">
        <v>0.38</v>
      </c>
      <c r="DH101" s="63">
        <v>0.39</v>
      </c>
      <c r="DI101" s="63">
        <v>0.51</v>
      </c>
      <c r="DJ101" s="63">
        <v>0.49</v>
      </c>
      <c r="DK101" s="63">
        <v>0.4</v>
      </c>
      <c r="DL101" s="63">
        <v>0.33</v>
      </c>
      <c r="DM101" s="63">
        <v>0.51</v>
      </c>
      <c r="DN101" s="63">
        <v>0.42</v>
      </c>
      <c r="DO101" s="63">
        <v>0.47</v>
      </c>
      <c r="DP101" s="63">
        <v>0.44</v>
      </c>
      <c r="DQ101" s="63">
        <v>0.51</v>
      </c>
      <c r="DR101" s="63">
        <v>0.18</v>
      </c>
      <c r="DS101" s="63">
        <v>0.38</v>
      </c>
      <c r="DT101" s="63">
        <v>0.6</v>
      </c>
      <c r="DU101" s="63">
        <v>0.5</v>
      </c>
      <c r="DV101" s="63">
        <v>0.62</v>
      </c>
      <c r="DW101" s="63">
        <v>0.38</v>
      </c>
      <c r="DX101" s="35">
        <v>49</v>
      </c>
      <c r="DY101" s="35">
        <v>9</v>
      </c>
      <c r="DZ101" s="40">
        <v>0.18</v>
      </c>
      <c r="EA101" s="40">
        <v>0.55000000000000004</v>
      </c>
      <c r="EB101" s="40">
        <v>0.27</v>
      </c>
      <c r="EC101" s="40">
        <v>0.01</v>
      </c>
      <c r="ED101" s="40">
        <v>0.52</v>
      </c>
      <c r="EE101" s="40">
        <v>0.45</v>
      </c>
      <c r="EF101" s="40">
        <v>0.55000000000000004</v>
      </c>
      <c r="EG101" s="40">
        <v>0.37</v>
      </c>
      <c r="EH101" s="40">
        <v>0.46</v>
      </c>
      <c r="EI101" s="40">
        <v>0.48</v>
      </c>
      <c r="EJ101" s="40">
        <v>0.57999999999999996</v>
      </c>
      <c r="EK101" s="40">
        <v>0.3</v>
      </c>
      <c r="EL101" s="40">
        <v>0.51</v>
      </c>
      <c r="EM101" s="40">
        <v>0.62</v>
      </c>
      <c r="EN101" s="40">
        <v>0.39</v>
      </c>
      <c r="EO101" s="40">
        <v>0.59</v>
      </c>
      <c r="EP101" s="40">
        <v>0.4</v>
      </c>
      <c r="EQ101" s="40">
        <v>0.32</v>
      </c>
      <c r="ER101" s="40">
        <v>0.6</v>
      </c>
      <c r="ES101" s="40">
        <v>0.47</v>
      </c>
      <c r="ET101" s="40">
        <v>0.37</v>
      </c>
      <c r="EU101" s="40">
        <v>0.56000000000000005</v>
      </c>
      <c r="EV101" s="40">
        <v>0.39</v>
      </c>
      <c r="EW101" s="40">
        <v>0.33</v>
      </c>
      <c r="EX101" s="40">
        <v>0.72</v>
      </c>
      <c r="EY101" s="40">
        <v>0.56000000000000005</v>
      </c>
      <c r="EZ101" s="40">
        <v>0.28000000000000003</v>
      </c>
      <c r="FA101" s="40">
        <v>0.63</v>
      </c>
      <c r="FB101" s="647">
        <v>49</v>
      </c>
      <c r="FC101" s="647" t="s">
        <v>758</v>
      </c>
      <c r="FD101" s="647">
        <v>8</v>
      </c>
      <c r="FE101" s="647" t="s">
        <v>758</v>
      </c>
      <c r="FF101" s="648">
        <v>0.14000000000000001</v>
      </c>
      <c r="FG101" s="648">
        <v>0.64</v>
      </c>
      <c r="FH101" s="648">
        <v>0.23</v>
      </c>
      <c r="FI101" s="648">
        <v>0</v>
      </c>
      <c r="FJ101" s="648">
        <v>0.48</v>
      </c>
      <c r="FK101" s="648">
        <v>0.7</v>
      </c>
      <c r="FL101" s="648">
        <v>0.47</v>
      </c>
      <c r="FM101" s="648">
        <v>0.45</v>
      </c>
      <c r="FN101" s="648">
        <v>0.32</v>
      </c>
      <c r="FO101" s="648">
        <v>0.37</v>
      </c>
      <c r="FP101" s="648">
        <v>0.41</v>
      </c>
      <c r="FQ101" s="648">
        <v>0.41</v>
      </c>
      <c r="FR101" s="648">
        <v>0.59</v>
      </c>
      <c r="FS101" s="648">
        <v>0.53</v>
      </c>
      <c r="FT101" s="648">
        <v>0.53</v>
      </c>
      <c r="FU101" s="648">
        <v>0.42</v>
      </c>
      <c r="FV101" s="648">
        <v>0.61</v>
      </c>
      <c r="FW101" s="648">
        <v>0.56999999999999995</v>
      </c>
      <c r="FX101" s="648">
        <v>0.49</v>
      </c>
      <c r="FY101" s="648">
        <v>0.4</v>
      </c>
      <c r="FZ101" s="648">
        <v>0.43</v>
      </c>
      <c r="GA101" s="648">
        <v>0.46</v>
      </c>
      <c r="GB101" s="648">
        <v>0.56999999999999995</v>
      </c>
      <c r="GC101" s="648">
        <v>0.45</v>
      </c>
      <c r="GD101" s="648">
        <v>0.59</v>
      </c>
      <c r="GE101" s="648">
        <v>0.56000000000000005</v>
      </c>
      <c r="GF101" s="648">
        <v>0.49</v>
      </c>
      <c r="GG101" s="648">
        <v>0.49</v>
      </c>
      <c r="GH101" s="648">
        <v>0.57999999999999996</v>
      </c>
      <c r="GI101" s="648">
        <v>0.3</v>
      </c>
      <c r="GJ101" s="74">
        <v>49</v>
      </c>
      <c r="GK101" s="74" t="s">
        <v>758</v>
      </c>
      <c r="GL101" s="74">
        <v>9</v>
      </c>
      <c r="GM101" s="74" t="s">
        <v>758</v>
      </c>
      <c r="GN101" s="96">
        <v>0.18</v>
      </c>
      <c r="GO101" s="96">
        <v>0.61</v>
      </c>
      <c r="GP101" s="96">
        <v>0.2</v>
      </c>
      <c r="GQ101" s="96">
        <v>0.01</v>
      </c>
      <c r="GR101" s="96">
        <v>0.55000000000000004</v>
      </c>
      <c r="GS101" s="96">
        <v>0.56999999999999995</v>
      </c>
      <c r="GT101" s="96">
        <v>0.64</v>
      </c>
      <c r="GU101" s="96">
        <v>0.25</v>
      </c>
      <c r="GV101" s="96">
        <v>0.59</v>
      </c>
      <c r="GW101" s="96">
        <v>0.52</v>
      </c>
      <c r="GX101" s="96">
        <v>0.48</v>
      </c>
      <c r="GY101" s="74" t="s">
        <v>173</v>
      </c>
      <c r="GZ101" s="96">
        <v>0.36</v>
      </c>
      <c r="HA101" s="96">
        <v>0.7</v>
      </c>
      <c r="HB101" s="96">
        <v>0.49</v>
      </c>
      <c r="HC101" s="96">
        <v>0.5</v>
      </c>
      <c r="HD101" s="96">
        <v>0.62</v>
      </c>
      <c r="HE101" s="96">
        <v>0.5</v>
      </c>
      <c r="HF101" s="96">
        <v>0.55000000000000004</v>
      </c>
      <c r="HG101" s="96">
        <v>0.65</v>
      </c>
      <c r="HH101" s="96">
        <v>0.44</v>
      </c>
      <c r="HI101" s="96">
        <v>0.53</v>
      </c>
      <c r="HJ101" s="96">
        <v>0.63</v>
      </c>
      <c r="HK101" s="96">
        <v>0.53</v>
      </c>
      <c r="HL101" s="96">
        <v>0.49</v>
      </c>
      <c r="HM101" s="96">
        <v>0.48</v>
      </c>
      <c r="HN101" s="96">
        <v>0.53</v>
      </c>
      <c r="HO101" s="96">
        <v>0.51</v>
      </c>
      <c r="HP101" s="74" t="s">
        <v>173</v>
      </c>
      <c r="HQ101" s="96">
        <v>0.42</v>
      </c>
      <c r="HR101" s="652">
        <v>49</v>
      </c>
      <c r="HS101" s="652" t="s">
        <v>758</v>
      </c>
      <c r="HT101" s="652">
        <v>8</v>
      </c>
      <c r="HU101" s="652" t="s">
        <v>758</v>
      </c>
      <c r="HV101" s="653">
        <v>0.2</v>
      </c>
      <c r="HW101" s="653">
        <v>0.63</v>
      </c>
      <c r="HX101" s="653">
        <v>0.16</v>
      </c>
      <c r="HY101" s="653">
        <v>0.01</v>
      </c>
      <c r="HZ101" s="653">
        <v>0.42</v>
      </c>
      <c r="IA101" s="653">
        <v>0.59</v>
      </c>
      <c r="IB101" s="653">
        <v>0.41</v>
      </c>
      <c r="IC101" s="653">
        <v>0.51</v>
      </c>
      <c r="ID101" s="653">
        <v>0.66</v>
      </c>
      <c r="IE101" s="653">
        <v>0.42</v>
      </c>
      <c r="IF101" s="653">
        <v>0.45</v>
      </c>
      <c r="IG101" s="653">
        <v>0.61</v>
      </c>
      <c r="IH101" s="653">
        <v>0.56000000000000005</v>
      </c>
      <c r="II101" s="653">
        <v>0.51</v>
      </c>
      <c r="IJ101" s="653">
        <v>0.35</v>
      </c>
      <c r="IK101" s="653">
        <v>0.62</v>
      </c>
      <c r="IL101" s="653">
        <v>0.33</v>
      </c>
      <c r="IM101" s="653">
        <v>0.59</v>
      </c>
      <c r="IN101" s="653">
        <v>0.51</v>
      </c>
      <c r="IO101" s="653">
        <v>0.57999999999999996</v>
      </c>
      <c r="IP101" s="653">
        <v>0.45</v>
      </c>
      <c r="IQ101" s="653">
        <v>0.64</v>
      </c>
      <c r="IR101" s="653">
        <v>0.66</v>
      </c>
      <c r="IS101" s="653">
        <v>0.56000000000000005</v>
      </c>
      <c r="IT101" s="653">
        <v>0.48</v>
      </c>
      <c r="IU101" s="652" t="s">
        <v>173</v>
      </c>
      <c r="IV101" s="653">
        <v>0.69</v>
      </c>
      <c r="IW101" s="653">
        <v>0.47</v>
      </c>
      <c r="IX101" s="653">
        <v>0.51</v>
      </c>
      <c r="IY101" s="653">
        <v>0.56999999999999995</v>
      </c>
      <c r="IZ101" s="74">
        <v>50</v>
      </c>
      <c r="JA101" s="74" t="s">
        <v>758</v>
      </c>
      <c r="JB101" s="74">
        <v>9</v>
      </c>
      <c r="JC101" s="74" t="s">
        <v>758</v>
      </c>
      <c r="JD101" s="96">
        <v>0.17</v>
      </c>
      <c r="JE101" s="96">
        <v>0.54</v>
      </c>
      <c r="JF101" s="96">
        <v>0.28000000000000003</v>
      </c>
      <c r="JG101" s="96">
        <v>0.01</v>
      </c>
      <c r="JH101" s="96">
        <v>0.53</v>
      </c>
      <c r="JI101" s="96">
        <v>0.46</v>
      </c>
      <c r="JJ101" s="96">
        <v>0.44</v>
      </c>
      <c r="JK101" s="96">
        <v>0.5</v>
      </c>
      <c r="JL101" s="96">
        <v>0.51</v>
      </c>
      <c r="JM101" s="96">
        <v>0.53</v>
      </c>
      <c r="JN101" s="96">
        <v>0.47</v>
      </c>
      <c r="JO101" s="96">
        <v>0.52</v>
      </c>
      <c r="JP101" s="96">
        <v>0.56999999999999995</v>
      </c>
      <c r="JQ101" s="96">
        <v>0.28999999999999998</v>
      </c>
      <c r="JR101" s="96">
        <v>0.61</v>
      </c>
      <c r="JS101" s="96">
        <v>0.5</v>
      </c>
      <c r="JT101" s="96">
        <v>0.47</v>
      </c>
      <c r="JU101" s="96">
        <v>0.5</v>
      </c>
      <c r="JV101" s="96">
        <v>0.53</v>
      </c>
      <c r="JW101" s="96">
        <v>0.49</v>
      </c>
      <c r="JX101" s="96">
        <v>0.46</v>
      </c>
      <c r="JY101" s="96">
        <v>0.47</v>
      </c>
      <c r="JZ101" s="96">
        <v>0.49</v>
      </c>
      <c r="KA101" s="96">
        <v>0.63</v>
      </c>
      <c r="KB101" s="96">
        <v>0.48</v>
      </c>
      <c r="KC101" s="96">
        <v>0.68</v>
      </c>
      <c r="KD101" s="96">
        <v>0.4</v>
      </c>
      <c r="KE101" s="96">
        <v>0.51</v>
      </c>
      <c r="KF101" s="96">
        <v>0.48</v>
      </c>
      <c r="KG101" s="96">
        <v>0.53</v>
      </c>
      <c r="KH101" s="971">
        <v>51</v>
      </c>
      <c r="KI101" s="971" t="s">
        <v>758</v>
      </c>
      <c r="KJ101" s="971">
        <v>8</v>
      </c>
      <c r="KK101" s="971" t="s">
        <v>758</v>
      </c>
      <c r="KL101" s="949">
        <v>0.08</v>
      </c>
      <c r="KM101" s="949">
        <v>0.6</v>
      </c>
      <c r="KN101" s="949">
        <v>0.32</v>
      </c>
      <c r="KO101" s="949">
        <v>0</v>
      </c>
      <c r="KP101" s="949">
        <v>0.51</v>
      </c>
      <c r="KQ101" s="949">
        <v>0.26</v>
      </c>
      <c r="KR101" s="949">
        <v>0.61</v>
      </c>
      <c r="KS101" s="949">
        <v>0.46</v>
      </c>
      <c r="KT101" s="949">
        <v>0.6</v>
      </c>
      <c r="KU101" s="949">
        <v>0.43</v>
      </c>
      <c r="KV101" s="949">
        <v>0.65</v>
      </c>
      <c r="KW101" s="949">
        <v>0.32</v>
      </c>
      <c r="KX101" s="949">
        <v>0.33</v>
      </c>
      <c r="KY101" s="949">
        <v>0.55000000000000004</v>
      </c>
      <c r="KZ101" s="949">
        <v>0.41</v>
      </c>
      <c r="LA101" s="949">
        <v>0.43</v>
      </c>
      <c r="LB101" s="949">
        <v>0.4</v>
      </c>
      <c r="LC101" s="949">
        <v>0.38</v>
      </c>
      <c r="LD101" s="949">
        <v>0.59</v>
      </c>
      <c r="LE101" s="949">
        <v>0.51</v>
      </c>
      <c r="LF101" s="949">
        <v>0.32</v>
      </c>
      <c r="LG101" s="949">
        <v>0.42</v>
      </c>
      <c r="LH101" s="949">
        <v>0.59</v>
      </c>
      <c r="LI101" s="949">
        <v>0.47</v>
      </c>
      <c r="LJ101" s="949">
        <v>0.41</v>
      </c>
      <c r="LK101" s="949">
        <v>0.57999999999999996</v>
      </c>
      <c r="LL101" s="949" t="s">
        <v>173</v>
      </c>
      <c r="LM101" s="949">
        <v>0.6</v>
      </c>
      <c r="LN101" s="949">
        <v>0.55000000000000004</v>
      </c>
      <c r="LO101" s="949">
        <v>0.45</v>
      </c>
      <c r="LP101" s="922">
        <v>125754003569</v>
      </c>
      <c r="LQ101" s="126" t="s">
        <v>55</v>
      </c>
      <c r="LR101" s="652">
        <v>49</v>
      </c>
      <c r="LS101" s="971">
        <v>51</v>
      </c>
      <c r="LT101" s="946"/>
    </row>
    <row r="102" spans="1:332" ht="24.95" customHeight="1" x14ac:dyDescent="0.2">
      <c r="A102" s="126" t="s">
        <v>22</v>
      </c>
      <c r="B102" s="1" t="s">
        <v>121</v>
      </c>
      <c r="C102" s="2">
        <v>6</v>
      </c>
      <c r="D102" s="12">
        <v>54</v>
      </c>
      <c r="E102" s="12">
        <v>7</v>
      </c>
      <c r="F102" s="66">
        <v>0.02</v>
      </c>
      <c r="G102" s="66">
        <v>0.62</v>
      </c>
      <c r="H102" s="66">
        <v>0.35</v>
      </c>
      <c r="I102" s="66">
        <v>0</v>
      </c>
      <c r="J102" s="66">
        <v>0.32</v>
      </c>
      <c r="K102" s="66">
        <v>0.39</v>
      </c>
      <c r="L102" s="66">
        <v>0.74</v>
      </c>
      <c r="M102" s="66">
        <v>0.22</v>
      </c>
      <c r="N102" s="66">
        <v>0.32</v>
      </c>
      <c r="O102" s="66">
        <v>0.68</v>
      </c>
      <c r="P102" s="66">
        <v>0.41</v>
      </c>
      <c r="Q102" s="66">
        <v>0.36</v>
      </c>
      <c r="R102" s="66">
        <v>0.51</v>
      </c>
      <c r="S102" s="66">
        <v>0.59</v>
      </c>
      <c r="T102" s="66">
        <v>0.48</v>
      </c>
      <c r="U102" s="66">
        <v>0.61</v>
      </c>
      <c r="V102" s="66">
        <v>0.04</v>
      </c>
      <c r="W102" s="66">
        <v>0.22</v>
      </c>
      <c r="X102" s="66">
        <v>0.43</v>
      </c>
      <c r="Y102" s="66">
        <v>0.52</v>
      </c>
      <c r="Z102" s="12" t="s">
        <v>173</v>
      </c>
      <c r="AA102" s="66">
        <v>0.11</v>
      </c>
      <c r="AB102" s="66">
        <v>0.34</v>
      </c>
      <c r="AC102" s="66">
        <v>0.25</v>
      </c>
      <c r="AD102" s="66">
        <v>0.44</v>
      </c>
      <c r="AE102" s="66">
        <v>0.47</v>
      </c>
      <c r="AF102" s="66">
        <v>0.5</v>
      </c>
      <c r="AG102" s="66">
        <v>0.53</v>
      </c>
      <c r="AH102" s="12">
        <v>51</v>
      </c>
      <c r="AI102" s="12">
        <v>7</v>
      </c>
      <c r="AJ102" s="40">
        <v>0.1</v>
      </c>
      <c r="AK102" s="40">
        <v>0.63</v>
      </c>
      <c r="AL102" s="40">
        <v>0.27</v>
      </c>
      <c r="AM102" s="40">
        <v>0</v>
      </c>
      <c r="AN102" s="40">
        <v>0.32</v>
      </c>
      <c r="AO102" s="40">
        <v>0.5</v>
      </c>
      <c r="AP102" s="40">
        <v>0.66</v>
      </c>
      <c r="AQ102" s="40">
        <v>0.43</v>
      </c>
      <c r="AR102" s="40">
        <v>0.61</v>
      </c>
      <c r="AS102" s="40">
        <v>0.51</v>
      </c>
      <c r="AT102" s="40">
        <v>0.56000000000000005</v>
      </c>
      <c r="AU102" s="40">
        <v>0.54</v>
      </c>
      <c r="AV102" s="40">
        <v>0.71</v>
      </c>
      <c r="AW102" s="40">
        <v>0.49</v>
      </c>
      <c r="AX102" s="40">
        <v>0.57999999999999996</v>
      </c>
      <c r="AY102" s="40">
        <v>0.3</v>
      </c>
      <c r="AZ102" s="40">
        <v>0.3</v>
      </c>
      <c r="BA102" s="40">
        <v>0.5</v>
      </c>
      <c r="BB102" s="40">
        <v>0.71</v>
      </c>
      <c r="BC102" s="40">
        <v>0.69</v>
      </c>
      <c r="BD102" s="40">
        <v>0.47</v>
      </c>
      <c r="BE102" s="40">
        <v>0.64</v>
      </c>
      <c r="BF102" s="40">
        <v>0.67</v>
      </c>
      <c r="BG102" s="40">
        <v>0.54</v>
      </c>
      <c r="BH102" s="40">
        <v>0.5</v>
      </c>
      <c r="BI102" s="40">
        <v>0.45</v>
      </c>
      <c r="BJ102" s="40">
        <v>0.42</v>
      </c>
      <c r="BK102" s="40">
        <v>0.5</v>
      </c>
      <c r="BL102" s="40">
        <v>0.51</v>
      </c>
      <c r="BM102" s="12">
        <v>49</v>
      </c>
      <c r="BN102" s="12">
        <v>7</v>
      </c>
      <c r="BO102" s="66">
        <v>0.13</v>
      </c>
      <c r="BP102" s="66">
        <v>0.71</v>
      </c>
      <c r="BQ102" s="66">
        <v>0.16</v>
      </c>
      <c r="BR102" s="66">
        <v>0</v>
      </c>
      <c r="BS102" s="66">
        <v>0.37</v>
      </c>
      <c r="BT102" s="66">
        <v>0.7</v>
      </c>
      <c r="BU102" s="66">
        <v>0.59</v>
      </c>
      <c r="BV102" s="66">
        <v>0.39</v>
      </c>
      <c r="BW102" s="66">
        <v>0.69</v>
      </c>
      <c r="BX102" s="66">
        <v>0.41</v>
      </c>
      <c r="BY102" s="66">
        <v>0.45</v>
      </c>
      <c r="BZ102" s="66">
        <v>0.59</v>
      </c>
      <c r="CA102" s="66">
        <v>0.56999999999999995</v>
      </c>
      <c r="CB102" s="66">
        <v>0.46</v>
      </c>
      <c r="CC102" s="66">
        <v>0.25</v>
      </c>
      <c r="CD102" s="66">
        <v>0.49</v>
      </c>
      <c r="CE102" s="66">
        <v>0.39</v>
      </c>
      <c r="CF102" s="66">
        <v>0.6</v>
      </c>
      <c r="CG102" s="66">
        <v>0.56000000000000005</v>
      </c>
      <c r="CH102" s="66">
        <v>0.47</v>
      </c>
      <c r="CI102" s="66">
        <v>0.56999999999999995</v>
      </c>
      <c r="CJ102" s="66">
        <v>0.39</v>
      </c>
      <c r="CK102" s="66">
        <v>0.71</v>
      </c>
      <c r="CL102" s="66">
        <v>0.33</v>
      </c>
      <c r="CM102" s="66">
        <v>0.5</v>
      </c>
      <c r="CN102" s="66">
        <v>0.54</v>
      </c>
      <c r="CO102" s="66">
        <v>0.43</v>
      </c>
      <c r="CP102" s="66">
        <v>0.45</v>
      </c>
      <c r="CQ102" s="66">
        <v>0.56000000000000005</v>
      </c>
      <c r="CR102" s="66">
        <v>0.62</v>
      </c>
      <c r="CS102" s="12">
        <v>48</v>
      </c>
      <c r="CT102" s="12">
        <v>8</v>
      </c>
      <c r="CU102" s="63">
        <v>0.14000000000000001</v>
      </c>
      <c r="CV102" s="63">
        <v>0.65</v>
      </c>
      <c r="CW102" s="63">
        <v>0.2</v>
      </c>
      <c r="CX102" s="63">
        <v>0.01</v>
      </c>
      <c r="CY102" s="63">
        <v>0.44</v>
      </c>
      <c r="CZ102" s="63">
        <v>0.32</v>
      </c>
      <c r="DA102" s="63">
        <v>0.57999999999999996</v>
      </c>
      <c r="DB102" s="63">
        <v>0.41</v>
      </c>
      <c r="DC102" s="63">
        <v>0.46</v>
      </c>
      <c r="DD102" s="63">
        <v>0.66</v>
      </c>
      <c r="DE102" s="63">
        <v>0.5</v>
      </c>
      <c r="DF102" s="63">
        <v>0.55000000000000004</v>
      </c>
      <c r="DG102" s="63">
        <v>0.48</v>
      </c>
      <c r="DH102" s="63">
        <v>0.35</v>
      </c>
      <c r="DI102" s="63">
        <v>0.57999999999999996</v>
      </c>
      <c r="DJ102" s="63">
        <v>0.55000000000000004</v>
      </c>
      <c r="DK102" s="63">
        <v>0.36</v>
      </c>
      <c r="DL102" s="63">
        <v>0.49</v>
      </c>
      <c r="DM102" s="63">
        <v>0.5</v>
      </c>
      <c r="DN102" s="63">
        <v>0.52</v>
      </c>
      <c r="DO102" s="63">
        <v>0.49</v>
      </c>
      <c r="DP102" s="63">
        <v>0.42</v>
      </c>
      <c r="DQ102" s="63">
        <v>0.6</v>
      </c>
      <c r="DR102" s="63">
        <v>0.21</v>
      </c>
      <c r="DS102" s="63">
        <v>0.4</v>
      </c>
      <c r="DT102" s="63">
        <v>0.6</v>
      </c>
      <c r="DU102" s="63">
        <v>0.7</v>
      </c>
      <c r="DV102" s="63">
        <v>0.62</v>
      </c>
      <c r="DW102" s="63">
        <v>0.4</v>
      </c>
      <c r="DX102" s="35">
        <v>48</v>
      </c>
      <c r="DY102" s="35">
        <v>9</v>
      </c>
      <c r="DZ102" s="40">
        <v>0.22</v>
      </c>
      <c r="EA102" s="40">
        <v>0.59</v>
      </c>
      <c r="EB102" s="40">
        <v>0.18</v>
      </c>
      <c r="EC102" s="40">
        <v>0.01</v>
      </c>
      <c r="ED102" s="40">
        <v>0.5</v>
      </c>
      <c r="EE102" s="40">
        <v>0.52</v>
      </c>
      <c r="EF102" s="40">
        <v>0.5</v>
      </c>
      <c r="EG102" s="40">
        <v>0.36</v>
      </c>
      <c r="EH102" s="40">
        <v>0.48</v>
      </c>
      <c r="EI102" s="40">
        <v>0.56000000000000005</v>
      </c>
      <c r="EJ102" s="40">
        <v>0.68</v>
      </c>
      <c r="EK102" s="40">
        <v>0.32</v>
      </c>
      <c r="EL102" s="40">
        <v>0.52</v>
      </c>
      <c r="EM102" s="40">
        <v>0.6</v>
      </c>
      <c r="EN102" s="40">
        <v>0.49</v>
      </c>
      <c r="EO102" s="40">
        <v>0.56000000000000005</v>
      </c>
      <c r="EP102" s="40">
        <v>0.39</v>
      </c>
      <c r="EQ102" s="40">
        <v>0.36</v>
      </c>
      <c r="ER102" s="40">
        <v>0.56000000000000005</v>
      </c>
      <c r="ES102" s="40">
        <v>0.55000000000000004</v>
      </c>
      <c r="ET102" s="40">
        <v>0.38</v>
      </c>
      <c r="EU102" s="40">
        <v>0.61</v>
      </c>
      <c r="EV102" s="40">
        <v>0.38</v>
      </c>
      <c r="EW102" s="40">
        <v>0.39</v>
      </c>
      <c r="EX102" s="40">
        <v>0.66</v>
      </c>
      <c r="EY102" s="40">
        <v>0.64</v>
      </c>
      <c r="EZ102" s="40">
        <v>0.31</v>
      </c>
      <c r="FA102" s="40">
        <v>0.59</v>
      </c>
      <c r="FB102" s="246">
        <v>47</v>
      </c>
      <c r="FC102" s="246" t="s">
        <v>758</v>
      </c>
      <c r="FD102" s="246">
        <v>8</v>
      </c>
      <c r="FE102" s="246" t="s">
        <v>758</v>
      </c>
      <c r="FF102" s="263">
        <v>0.19</v>
      </c>
      <c r="FG102" s="263">
        <v>0.65</v>
      </c>
      <c r="FH102" s="263">
        <v>0.16</v>
      </c>
      <c r="FI102" s="263">
        <v>0.01</v>
      </c>
      <c r="FJ102" s="263">
        <v>0.56000000000000005</v>
      </c>
      <c r="FK102" s="263">
        <v>0.66</v>
      </c>
      <c r="FL102" s="263">
        <v>0.55000000000000004</v>
      </c>
      <c r="FM102" s="263">
        <v>0.54</v>
      </c>
      <c r="FN102" s="263">
        <v>0.4</v>
      </c>
      <c r="FO102" s="263">
        <v>0.37</v>
      </c>
      <c r="FP102" s="263">
        <v>0.4</v>
      </c>
      <c r="FQ102" s="263">
        <v>0.45</v>
      </c>
      <c r="FR102" s="263">
        <v>0.59</v>
      </c>
      <c r="FS102" s="263">
        <v>0.53</v>
      </c>
      <c r="FT102" s="263">
        <v>0.57999999999999996</v>
      </c>
      <c r="FU102" s="263">
        <v>0.42</v>
      </c>
      <c r="FV102" s="263">
        <v>0.6</v>
      </c>
      <c r="FW102" s="263">
        <v>0.64</v>
      </c>
      <c r="FX102" s="263">
        <v>0.51</v>
      </c>
      <c r="FY102" s="263">
        <v>0.47</v>
      </c>
      <c r="FZ102" s="263">
        <v>0.46</v>
      </c>
      <c r="GA102" s="263">
        <v>0.57999999999999996</v>
      </c>
      <c r="GB102" s="263">
        <v>0.59</v>
      </c>
      <c r="GC102" s="263">
        <v>0.48</v>
      </c>
      <c r="GD102" s="263">
        <v>0.62</v>
      </c>
      <c r="GE102" s="263">
        <v>0.63</v>
      </c>
      <c r="GF102" s="263">
        <v>0.47</v>
      </c>
      <c r="GG102" s="263">
        <v>0.46</v>
      </c>
      <c r="GH102" s="263">
        <v>0.64</v>
      </c>
      <c r="GI102" s="263">
        <v>0.34</v>
      </c>
      <c r="GJ102" s="309">
        <v>49</v>
      </c>
      <c r="GK102" s="309" t="s">
        <v>758</v>
      </c>
      <c r="GL102" s="309">
        <v>8</v>
      </c>
      <c r="GM102" s="309" t="s">
        <v>758</v>
      </c>
      <c r="GN102" s="327">
        <v>0.17</v>
      </c>
      <c r="GO102" s="327">
        <v>0.57999999999999996</v>
      </c>
      <c r="GP102" s="327">
        <v>0.24</v>
      </c>
      <c r="GQ102" s="327">
        <v>0</v>
      </c>
      <c r="GR102" s="327">
        <v>0.46</v>
      </c>
      <c r="GS102" s="327">
        <v>0.57999999999999996</v>
      </c>
      <c r="GT102" s="327">
        <v>0.7</v>
      </c>
      <c r="GU102" s="327">
        <v>0.28999999999999998</v>
      </c>
      <c r="GV102" s="327">
        <v>0.61</v>
      </c>
      <c r="GW102" s="327">
        <v>0.51</v>
      </c>
      <c r="GX102" s="327">
        <v>0.54</v>
      </c>
      <c r="GY102" s="309" t="s">
        <v>173</v>
      </c>
      <c r="GZ102" s="327">
        <v>0.35</v>
      </c>
      <c r="HA102" s="327">
        <v>0.64</v>
      </c>
      <c r="HB102" s="327">
        <v>0.49</v>
      </c>
      <c r="HC102" s="327">
        <v>0.59</v>
      </c>
      <c r="HD102" s="327">
        <v>0.56000000000000005</v>
      </c>
      <c r="HE102" s="327">
        <v>0.51</v>
      </c>
      <c r="HF102" s="327">
        <v>0.53</v>
      </c>
      <c r="HG102" s="327">
        <v>0.69</v>
      </c>
      <c r="HH102" s="327">
        <v>0.43</v>
      </c>
      <c r="HI102" s="327">
        <v>0.5</v>
      </c>
      <c r="HJ102" s="327">
        <v>0.56999999999999995</v>
      </c>
      <c r="HK102" s="327">
        <v>0.54</v>
      </c>
      <c r="HL102" s="327">
        <v>0.44</v>
      </c>
      <c r="HM102" s="327">
        <v>0.49</v>
      </c>
      <c r="HN102" s="327">
        <v>0.49</v>
      </c>
      <c r="HO102" s="327">
        <v>0.42</v>
      </c>
      <c r="HP102" s="309" t="s">
        <v>173</v>
      </c>
      <c r="HQ102" s="327">
        <v>0.46</v>
      </c>
      <c r="HR102" s="424">
        <v>48</v>
      </c>
      <c r="HS102" s="424" t="s">
        <v>758</v>
      </c>
      <c r="HT102" s="424">
        <v>8</v>
      </c>
      <c r="HU102" s="424" t="s">
        <v>758</v>
      </c>
      <c r="HV102" s="428">
        <v>0.19</v>
      </c>
      <c r="HW102" s="428">
        <v>0.61</v>
      </c>
      <c r="HX102" s="428">
        <v>0.19</v>
      </c>
      <c r="HY102" s="428">
        <v>0</v>
      </c>
      <c r="HZ102" s="428">
        <v>0.46</v>
      </c>
      <c r="IA102" s="428">
        <v>0.54</v>
      </c>
      <c r="IB102" s="428">
        <v>0.4</v>
      </c>
      <c r="IC102" s="428">
        <v>0.51</v>
      </c>
      <c r="ID102" s="428">
        <v>0.69</v>
      </c>
      <c r="IE102" s="428">
        <v>0.41</v>
      </c>
      <c r="IF102" s="428">
        <v>0.45</v>
      </c>
      <c r="IG102" s="428">
        <v>0.61</v>
      </c>
      <c r="IH102" s="428">
        <v>0.56999999999999995</v>
      </c>
      <c r="II102" s="428">
        <v>0.46</v>
      </c>
      <c r="IJ102" s="428">
        <v>0.37</v>
      </c>
      <c r="IK102" s="428">
        <v>0.64</v>
      </c>
      <c r="IL102" s="428">
        <v>0.44</v>
      </c>
      <c r="IM102" s="428">
        <v>0.56999999999999995</v>
      </c>
      <c r="IN102" s="428">
        <v>0.47</v>
      </c>
      <c r="IO102" s="428">
        <v>0.6</v>
      </c>
      <c r="IP102" s="428">
        <v>0.43</v>
      </c>
      <c r="IQ102" s="428">
        <v>0.67</v>
      </c>
      <c r="IR102" s="428">
        <v>0.65</v>
      </c>
      <c r="IS102" s="428">
        <v>0.63</v>
      </c>
      <c r="IT102" s="428">
        <v>0.49</v>
      </c>
      <c r="IU102" s="424" t="s">
        <v>173</v>
      </c>
      <c r="IV102" s="428">
        <v>0.68</v>
      </c>
      <c r="IW102" s="428">
        <v>0.46</v>
      </c>
      <c r="IX102" s="428">
        <v>0.56000000000000005</v>
      </c>
      <c r="IY102" s="428">
        <v>0.56999999999999995</v>
      </c>
      <c r="IZ102" s="464">
        <v>49</v>
      </c>
      <c r="JA102" s="464" t="s">
        <v>758</v>
      </c>
      <c r="JB102" s="464">
        <v>9</v>
      </c>
      <c r="JC102" s="464" t="s">
        <v>758</v>
      </c>
      <c r="JD102" s="476">
        <v>0.18</v>
      </c>
      <c r="JE102" s="476">
        <v>0.6</v>
      </c>
      <c r="JF102" s="476">
        <v>0.22</v>
      </c>
      <c r="JG102" s="476">
        <v>0</v>
      </c>
      <c r="JH102" s="476">
        <v>0.47</v>
      </c>
      <c r="JI102" s="476">
        <v>0.49</v>
      </c>
      <c r="JJ102" s="476">
        <v>0.52</v>
      </c>
      <c r="JK102" s="476">
        <v>0.56000000000000005</v>
      </c>
      <c r="JL102" s="476">
        <v>0.56999999999999995</v>
      </c>
      <c r="JM102" s="476">
        <v>0.54</v>
      </c>
      <c r="JN102" s="476">
        <v>0.44</v>
      </c>
      <c r="JO102" s="476">
        <v>0.51</v>
      </c>
      <c r="JP102" s="476">
        <v>0.6</v>
      </c>
      <c r="JQ102" s="476">
        <v>0.32</v>
      </c>
      <c r="JR102" s="476">
        <v>0.63</v>
      </c>
      <c r="JS102" s="476">
        <v>0.59</v>
      </c>
      <c r="JT102" s="476">
        <v>0.45</v>
      </c>
      <c r="JU102" s="476">
        <v>0.59</v>
      </c>
      <c r="JV102" s="476">
        <v>0.55000000000000004</v>
      </c>
      <c r="JW102" s="476">
        <v>0.5</v>
      </c>
      <c r="JX102" s="476">
        <v>0.51</v>
      </c>
      <c r="JY102" s="476">
        <v>0.53</v>
      </c>
      <c r="JZ102" s="476">
        <v>0.56000000000000005</v>
      </c>
      <c r="KA102" s="476">
        <v>0.7</v>
      </c>
      <c r="KB102" s="476">
        <v>0.51</v>
      </c>
      <c r="KC102" s="476">
        <v>0.72</v>
      </c>
      <c r="KD102" s="476">
        <v>0.42</v>
      </c>
      <c r="KE102" s="476">
        <v>0.55000000000000004</v>
      </c>
      <c r="KF102" s="476">
        <v>0.52</v>
      </c>
      <c r="KG102" s="476">
        <v>0.57999999999999996</v>
      </c>
      <c r="KH102" s="971">
        <v>52</v>
      </c>
      <c r="KI102" s="971" t="s">
        <v>758</v>
      </c>
      <c r="KJ102" s="971">
        <v>9</v>
      </c>
      <c r="KK102" s="971" t="s">
        <v>758</v>
      </c>
      <c r="KL102" s="949">
        <v>0.11</v>
      </c>
      <c r="KM102" s="949">
        <v>0.47</v>
      </c>
      <c r="KN102" s="949">
        <v>0.39</v>
      </c>
      <c r="KO102" s="949">
        <v>0.02</v>
      </c>
      <c r="KP102" s="949">
        <v>0.45</v>
      </c>
      <c r="KQ102" s="949">
        <v>0.2</v>
      </c>
      <c r="KR102" s="949">
        <v>0.59</v>
      </c>
      <c r="KS102" s="949">
        <v>0.49</v>
      </c>
      <c r="KT102" s="949">
        <v>0.54</v>
      </c>
      <c r="KU102" s="949">
        <v>0.43</v>
      </c>
      <c r="KV102" s="949">
        <v>0.55000000000000004</v>
      </c>
      <c r="KW102" s="949">
        <v>0.33</v>
      </c>
      <c r="KX102" s="949">
        <v>0.35</v>
      </c>
      <c r="KY102" s="949">
        <v>0.53</v>
      </c>
      <c r="KZ102" s="949">
        <v>0.37</v>
      </c>
      <c r="LA102" s="949">
        <v>0.39</v>
      </c>
      <c r="LB102" s="949">
        <v>0.38</v>
      </c>
      <c r="LC102" s="949">
        <v>0.39</v>
      </c>
      <c r="LD102" s="949">
        <v>0.56000000000000005</v>
      </c>
      <c r="LE102" s="949">
        <v>0.42</v>
      </c>
      <c r="LF102" s="949">
        <v>0.33</v>
      </c>
      <c r="LG102" s="949">
        <v>0.54</v>
      </c>
      <c r="LH102" s="949">
        <v>0.55000000000000004</v>
      </c>
      <c r="LI102" s="949">
        <v>0.47</v>
      </c>
      <c r="LJ102" s="949">
        <v>0.37</v>
      </c>
      <c r="LK102" s="949">
        <v>0.57999999999999996</v>
      </c>
      <c r="LL102" s="949" t="s">
        <v>173</v>
      </c>
      <c r="LM102" s="949">
        <v>0.54</v>
      </c>
      <c r="LN102" s="949">
        <v>0.56000000000000005</v>
      </c>
      <c r="LO102" s="949">
        <v>0.36</v>
      </c>
      <c r="LP102" s="922">
        <v>325754001590</v>
      </c>
      <c r="LQ102" s="126" t="s">
        <v>22</v>
      </c>
      <c r="LR102" s="424">
        <v>48</v>
      </c>
      <c r="LS102" s="971">
        <v>52</v>
      </c>
      <c r="LT102" s="946"/>
    </row>
    <row r="103" spans="1:332" ht="24.95" customHeight="1" x14ac:dyDescent="0.2">
      <c r="A103" s="126" t="s">
        <v>83</v>
      </c>
      <c r="B103" s="1" t="s">
        <v>121</v>
      </c>
      <c r="C103" s="2">
        <v>5</v>
      </c>
      <c r="D103" s="12">
        <v>55</v>
      </c>
      <c r="E103" s="12">
        <v>7</v>
      </c>
      <c r="F103" s="66">
        <v>0.04</v>
      </c>
      <c r="G103" s="66">
        <v>0.53</v>
      </c>
      <c r="H103" s="66">
        <v>0.42</v>
      </c>
      <c r="I103" s="66">
        <v>0.01</v>
      </c>
      <c r="J103" s="66">
        <v>0.24</v>
      </c>
      <c r="K103" s="66">
        <v>0.38</v>
      </c>
      <c r="L103" s="66">
        <v>0.71</v>
      </c>
      <c r="M103" s="66">
        <v>0.17</v>
      </c>
      <c r="N103" s="66">
        <v>0.3</v>
      </c>
      <c r="O103" s="66">
        <v>0.6</v>
      </c>
      <c r="P103" s="66">
        <v>0.27</v>
      </c>
      <c r="Q103" s="66">
        <v>0.42</v>
      </c>
      <c r="R103" s="66">
        <v>0.56000000000000005</v>
      </c>
      <c r="S103" s="66">
        <v>0.59</v>
      </c>
      <c r="T103" s="66">
        <v>0.41</v>
      </c>
      <c r="U103" s="66">
        <v>0.6</v>
      </c>
      <c r="V103" s="66">
        <v>0.04</v>
      </c>
      <c r="W103" s="66">
        <v>0.12</v>
      </c>
      <c r="X103" s="66">
        <v>0.51</v>
      </c>
      <c r="Y103" s="66">
        <v>0.52</v>
      </c>
      <c r="Z103" s="66">
        <v>0.25</v>
      </c>
      <c r="AA103" s="66">
        <v>0.1</v>
      </c>
      <c r="AB103" s="66">
        <v>0.38</v>
      </c>
      <c r="AC103" s="66">
        <v>0.18</v>
      </c>
      <c r="AD103" s="66">
        <v>0.41</v>
      </c>
      <c r="AE103" s="66">
        <v>0.4</v>
      </c>
      <c r="AF103" s="66">
        <v>0.52</v>
      </c>
      <c r="AG103" s="66">
        <v>0.52</v>
      </c>
      <c r="AH103" s="12">
        <v>53</v>
      </c>
      <c r="AI103" s="12">
        <v>8</v>
      </c>
      <c r="AJ103" s="40">
        <v>7.0000000000000007E-2</v>
      </c>
      <c r="AK103" s="40">
        <v>0.53</v>
      </c>
      <c r="AL103" s="40">
        <v>0.39</v>
      </c>
      <c r="AM103" s="40">
        <v>0.01</v>
      </c>
      <c r="AN103" s="40">
        <v>0.28999999999999998</v>
      </c>
      <c r="AO103" s="40">
        <v>0.45</v>
      </c>
      <c r="AP103" s="40">
        <v>0.57999999999999996</v>
      </c>
      <c r="AQ103" s="40">
        <v>0.37</v>
      </c>
      <c r="AR103" s="40">
        <v>0.51</v>
      </c>
      <c r="AS103" s="40">
        <v>0.51</v>
      </c>
      <c r="AT103" s="40">
        <v>0.52</v>
      </c>
      <c r="AU103" s="40">
        <v>0.51</v>
      </c>
      <c r="AV103" s="40">
        <v>0.59</v>
      </c>
      <c r="AW103" s="40">
        <v>0.49</v>
      </c>
      <c r="AX103" s="40">
        <v>0.54</v>
      </c>
      <c r="AY103" s="40">
        <v>0.28999999999999998</v>
      </c>
      <c r="AZ103" s="40">
        <v>0.26</v>
      </c>
      <c r="BA103" s="40">
        <v>0.47</v>
      </c>
      <c r="BB103" s="40">
        <v>0.65</v>
      </c>
      <c r="BC103" s="40">
        <v>0.65</v>
      </c>
      <c r="BD103" s="40">
        <v>0.41</v>
      </c>
      <c r="BE103" s="40">
        <v>0.47</v>
      </c>
      <c r="BF103" s="40">
        <v>0.56999999999999995</v>
      </c>
      <c r="BG103" s="40">
        <v>0.48</v>
      </c>
      <c r="BH103" s="40">
        <v>0.39</v>
      </c>
      <c r="BI103" s="40">
        <v>0.4</v>
      </c>
      <c r="BJ103" s="40">
        <v>0.34</v>
      </c>
      <c r="BK103" s="40">
        <v>0.43</v>
      </c>
      <c r="BL103" s="40">
        <v>0.45</v>
      </c>
      <c r="BM103" s="12">
        <v>50</v>
      </c>
      <c r="BN103" s="12">
        <v>9</v>
      </c>
      <c r="BO103" s="66">
        <v>0.13</v>
      </c>
      <c r="BP103" s="66">
        <v>0.61</v>
      </c>
      <c r="BQ103" s="66">
        <v>0.26</v>
      </c>
      <c r="BR103" s="66">
        <v>0.01</v>
      </c>
      <c r="BS103" s="66">
        <v>0.37</v>
      </c>
      <c r="BT103" s="66">
        <v>0.64</v>
      </c>
      <c r="BU103" s="66">
        <v>0.7</v>
      </c>
      <c r="BV103" s="66">
        <v>0.34</v>
      </c>
      <c r="BW103" s="66">
        <v>0.65</v>
      </c>
      <c r="BX103" s="66">
        <v>0.35</v>
      </c>
      <c r="BY103" s="66">
        <v>0.46</v>
      </c>
      <c r="BZ103" s="66">
        <v>0.5</v>
      </c>
      <c r="CA103" s="66">
        <v>0.44</v>
      </c>
      <c r="CB103" s="66">
        <v>0.41</v>
      </c>
      <c r="CC103" s="66">
        <v>0.19</v>
      </c>
      <c r="CD103" s="66">
        <v>0.39</v>
      </c>
      <c r="CE103" s="66">
        <v>0.36</v>
      </c>
      <c r="CF103" s="66">
        <v>0.61</v>
      </c>
      <c r="CG103" s="66">
        <v>0.66</v>
      </c>
      <c r="CH103" s="66">
        <v>0.45</v>
      </c>
      <c r="CI103" s="66">
        <v>0.53</v>
      </c>
      <c r="CJ103" s="66">
        <v>0.28999999999999998</v>
      </c>
      <c r="CK103" s="66">
        <v>0.7</v>
      </c>
      <c r="CL103" s="66">
        <v>0.31</v>
      </c>
      <c r="CM103" s="66">
        <v>0.45</v>
      </c>
      <c r="CN103" s="66">
        <v>0.47</v>
      </c>
      <c r="CO103" s="66">
        <v>0.45</v>
      </c>
      <c r="CP103" s="66">
        <v>0.36</v>
      </c>
      <c r="CQ103" s="66">
        <v>0.53</v>
      </c>
      <c r="CR103" s="66">
        <v>0.59</v>
      </c>
      <c r="CS103" s="12">
        <v>50</v>
      </c>
      <c r="CT103" s="12">
        <v>9</v>
      </c>
      <c r="CU103" s="63">
        <v>0.14000000000000001</v>
      </c>
      <c r="CV103" s="63">
        <v>0.62</v>
      </c>
      <c r="CW103" s="63">
        <v>0.23</v>
      </c>
      <c r="CX103" s="63">
        <v>0</v>
      </c>
      <c r="CY103" s="63">
        <v>0.48</v>
      </c>
      <c r="CZ103" s="63">
        <v>0.3</v>
      </c>
      <c r="DA103" s="63">
        <v>0.56999999999999995</v>
      </c>
      <c r="DB103" s="63">
        <v>0.34</v>
      </c>
      <c r="DC103" s="63">
        <v>0.45</v>
      </c>
      <c r="DD103" s="63">
        <v>0.66</v>
      </c>
      <c r="DE103" s="63">
        <v>0.46</v>
      </c>
      <c r="DF103" s="63">
        <v>0.54</v>
      </c>
      <c r="DG103" s="63">
        <v>0.44</v>
      </c>
      <c r="DH103" s="63">
        <v>0.35</v>
      </c>
      <c r="DI103" s="63">
        <v>0.56000000000000005</v>
      </c>
      <c r="DJ103" s="63">
        <v>0.46</v>
      </c>
      <c r="DK103" s="63">
        <v>0.4</v>
      </c>
      <c r="DL103" s="63">
        <v>0.36</v>
      </c>
      <c r="DM103" s="63">
        <v>0.54</v>
      </c>
      <c r="DN103" s="63">
        <v>0.53</v>
      </c>
      <c r="DO103" s="63">
        <v>0.44</v>
      </c>
      <c r="DP103" s="63">
        <v>0.42</v>
      </c>
      <c r="DQ103" s="63">
        <v>0.55000000000000004</v>
      </c>
      <c r="DR103" s="63">
        <v>0.2</v>
      </c>
      <c r="DS103" s="63">
        <v>0.39</v>
      </c>
      <c r="DT103" s="63">
        <v>0.61</v>
      </c>
      <c r="DU103" s="63">
        <v>0.56000000000000005</v>
      </c>
      <c r="DV103" s="63">
        <v>0.57999999999999996</v>
      </c>
      <c r="DW103" s="63">
        <v>0.34</v>
      </c>
      <c r="DX103" s="35">
        <v>49</v>
      </c>
      <c r="DY103" s="35">
        <v>8</v>
      </c>
      <c r="DZ103" s="40">
        <v>0.14000000000000001</v>
      </c>
      <c r="EA103" s="40">
        <v>0.61</v>
      </c>
      <c r="EB103" s="40">
        <v>0.25</v>
      </c>
      <c r="EC103" s="40">
        <v>0</v>
      </c>
      <c r="ED103" s="40">
        <v>0.46</v>
      </c>
      <c r="EE103" s="40">
        <v>0.47</v>
      </c>
      <c r="EF103" s="40">
        <v>0.52</v>
      </c>
      <c r="EG103" s="40">
        <v>0.33</v>
      </c>
      <c r="EH103" s="40">
        <v>0.39</v>
      </c>
      <c r="EI103" s="40">
        <v>0.53</v>
      </c>
      <c r="EJ103" s="40">
        <v>0.56999999999999995</v>
      </c>
      <c r="EK103" s="40">
        <v>0.32</v>
      </c>
      <c r="EL103" s="40">
        <v>0.48</v>
      </c>
      <c r="EM103" s="40">
        <v>0.68</v>
      </c>
      <c r="EN103" s="40">
        <v>0.46</v>
      </c>
      <c r="EO103" s="40">
        <v>0.59</v>
      </c>
      <c r="EP103" s="40">
        <v>0.36</v>
      </c>
      <c r="EQ103" s="40">
        <v>0.27</v>
      </c>
      <c r="ER103" s="40">
        <v>0.64</v>
      </c>
      <c r="ES103" s="40">
        <v>0.41</v>
      </c>
      <c r="ET103" s="40">
        <v>0.33</v>
      </c>
      <c r="EU103" s="40">
        <v>0.63</v>
      </c>
      <c r="EV103" s="40">
        <v>0.45</v>
      </c>
      <c r="EW103" s="40">
        <v>0.32</v>
      </c>
      <c r="EX103" s="40">
        <v>0.62</v>
      </c>
      <c r="EY103" s="40">
        <v>0.63</v>
      </c>
      <c r="EZ103" s="40">
        <v>0.22</v>
      </c>
      <c r="FA103" s="40">
        <v>0.61</v>
      </c>
      <c r="FB103" s="246">
        <v>49</v>
      </c>
      <c r="FC103" s="246" t="s">
        <v>758</v>
      </c>
      <c r="FD103" s="246">
        <v>8</v>
      </c>
      <c r="FE103" s="246" t="s">
        <v>758</v>
      </c>
      <c r="FF103" s="263">
        <v>0.17</v>
      </c>
      <c r="FG103" s="263">
        <v>0.61</v>
      </c>
      <c r="FH103" s="263">
        <v>0.22</v>
      </c>
      <c r="FI103" s="263">
        <v>0</v>
      </c>
      <c r="FJ103" s="263">
        <v>0.5</v>
      </c>
      <c r="FK103" s="263">
        <v>0.66</v>
      </c>
      <c r="FL103" s="263">
        <v>0.49</v>
      </c>
      <c r="FM103" s="263">
        <v>0.39</v>
      </c>
      <c r="FN103" s="263">
        <v>0.28000000000000003</v>
      </c>
      <c r="FO103" s="263">
        <v>0.36</v>
      </c>
      <c r="FP103" s="263">
        <v>0.39</v>
      </c>
      <c r="FQ103" s="263">
        <v>0.43</v>
      </c>
      <c r="FR103" s="263">
        <v>0.57999999999999996</v>
      </c>
      <c r="FS103" s="263">
        <v>0.54</v>
      </c>
      <c r="FT103" s="263">
        <v>0.5</v>
      </c>
      <c r="FU103" s="263">
        <v>0.39</v>
      </c>
      <c r="FV103" s="263">
        <v>0.62</v>
      </c>
      <c r="FW103" s="263">
        <v>0.57999999999999996</v>
      </c>
      <c r="FX103" s="263">
        <v>0.51</v>
      </c>
      <c r="FY103" s="263">
        <v>0.37</v>
      </c>
      <c r="FZ103" s="263">
        <v>0.42</v>
      </c>
      <c r="GA103" s="263">
        <v>0.52</v>
      </c>
      <c r="GB103" s="263">
        <v>0.55000000000000004</v>
      </c>
      <c r="GC103" s="263">
        <v>0.48</v>
      </c>
      <c r="GD103" s="263">
        <v>0.6</v>
      </c>
      <c r="GE103" s="263">
        <v>0.53</v>
      </c>
      <c r="GF103" s="263">
        <v>0.46</v>
      </c>
      <c r="GG103" s="263">
        <v>0.46</v>
      </c>
      <c r="GH103" s="263">
        <v>0.53</v>
      </c>
      <c r="GI103" s="263">
        <v>0.31</v>
      </c>
      <c r="GJ103" s="309">
        <v>51</v>
      </c>
      <c r="GK103" s="309" t="s">
        <v>758</v>
      </c>
      <c r="GL103" s="309">
        <v>8</v>
      </c>
      <c r="GM103" s="309" t="s">
        <v>758</v>
      </c>
      <c r="GN103" s="327">
        <v>0.1</v>
      </c>
      <c r="GO103" s="327">
        <v>0.61</v>
      </c>
      <c r="GP103" s="327">
        <v>0.27</v>
      </c>
      <c r="GQ103" s="327">
        <v>0.02</v>
      </c>
      <c r="GR103" s="327">
        <v>0.42</v>
      </c>
      <c r="GS103" s="327">
        <v>0.51</v>
      </c>
      <c r="GT103" s="327">
        <v>0.63</v>
      </c>
      <c r="GU103" s="327">
        <v>0.21</v>
      </c>
      <c r="GV103" s="327">
        <v>0.54</v>
      </c>
      <c r="GW103" s="327">
        <v>0.42</v>
      </c>
      <c r="GX103" s="327">
        <v>0.47</v>
      </c>
      <c r="GY103" s="309" t="s">
        <v>173</v>
      </c>
      <c r="GZ103" s="327">
        <v>0.31</v>
      </c>
      <c r="HA103" s="327">
        <v>0.74</v>
      </c>
      <c r="HB103" s="327">
        <v>0.5</v>
      </c>
      <c r="HC103" s="327">
        <v>0.52</v>
      </c>
      <c r="HD103" s="327">
        <v>0.56999999999999995</v>
      </c>
      <c r="HE103" s="327">
        <v>0.44</v>
      </c>
      <c r="HF103" s="327">
        <v>0.47</v>
      </c>
      <c r="HG103" s="327">
        <v>0.69</v>
      </c>
      <c r="HH103" s="327">
        <v>0.39</v>
      </c>
      <c r="HI103" s="327">
        <v>0.54</v>
      </c>
      <c r="HJ103" s="327">
        <v>0.57999999999999996</v>
      </c>
      <c r="HK103" s="327">
        <v>0.54</v>
      </c>
      <c r="HL103" s="327">
        <v>0.46</v>
      </c>
      <c r="HM103" s="327">
        <v>0.47</v>
      </c>
      <c r="HN103" s="327">
        <v>0.53</v>
      </c>
      <c r="HO103" s="327">
        <v>0.43</v>
      </c>
      <c r="HP103" s="309" t="s">
        <v>173</v>
      </c>
      <c r="HQ103" s="327">
        <v>0.38</v>
      </c>
      <c r="HR103" s="424">
        <v>52</v>
      </c>
      <c r="HS103" s="424" t="s">
        <v>758</v>
      </c>
      <c r="HT103" s="424">
        <v>9</v>
      </c>
      <c r="HU103" s="424" t="s">
        <v>758</v>
      </c>
      <c r="HV103" s="428">
        <v>0.1</v>
      </c>
      <c r="HW103" s="428">
        <v>0.53</v>
      </c>
      <c r="HX103" s="428">
        <v>0.34</v>
      </c>
      <c r="HY103" s="428">
        <v>0.02</v>
      </c>
      <c r="HZ103" s="428">
        <v>0.4</v>
      </c>
      <c r="IA103" s="428">
        <v>0.56000000000000005</v>
      </c>
      <c r="IB103" s="428">
        <v>0.33</v>
      </c>
      <c r="IC103" s="428">
        <v>0.47</v>
      </c>
      <c r="ID103" s="428">
        <v>0.6</v>
      </c>
      <c r="IE103" s="428">
        <v>0.3</v>
      </c>
      <c r="IF103" s="428">
        <v>0.42</v>
      </c>
      <c r="IG103" s="428">
        <v>0.51</v>
      </c>
      <c r="IH103" s="428">
        <v>0.51</v>
      </c>
      <c r="II103" s="428">
        <v>0.25</v>
      </c>
      <c r="IJ103" s="428">
        <v>0.27</v>
      </c>
      <c r="IK103" s="428">
        <v>0.57999999999999996</v>
      </c>
      <c r="IL103" s="428">
        <v>0.31</v>
      </c>
      <c r="IM103" s="428">
        <v>0.55000000000000004</v>
      </c>
      <c r="IN103" s="428">
        <v>0.45</v>
      </c>
      <c r="IO103" s="428">
        <v>0.48</v>
      </c>
      <c r="IP103" s="428">
        <v>0.4</v>
      </c>
      <c r="IQ103" s="428">
        <v>0.62</v>
      </c>
      <c r="IR103" s="428">
        <v>0.48</v>
      </c>
      <c r="IS103" s="428">
        <v>0.44</v>
      </c>
      <c r="IT103" s="428">
        <v>0.41</v>
      </c>
      <c r="IU103" s="424" t="s">
        <v>173</v>
      </c>
      <c r="IV103" s="428">
        <v>0.6</v>
      </c>
      <c r="IW103" s="428">
        <v>0.39</v>
      </c>
      <c r="IX103" s="428">
        <v>0.47</v>
      </c>
      <c r="IY103" s="428">
        <v>0.46</v>
      </c>
      <c r="IZ103" s="464">
        <v>51</v>
      </c>
      <c r="JA103" s="464" t="s">
        <v>758</v>
      </c>
      <c r="JB103" s="464">
        <v>9</v>
      </c>
      <c r="JC103" s="464" t="s">
        <v>758</v>
      </c>
      <c r="JD103" s="476">
        <v>0.14000000000000001</v>
      </c>
      <c r="JE103" s="476">
        <v>0.54</v>
      </c>
      <c r="JF103" s="476">
        <v>0.3</v>
      </c>
      <c r="JG103" s="476">
        <v>0.01</v>
      </c>
      <c r="JH103" s="476">
        <v>0.48</v>
      </c>
      <c r="JI103" s="476">
        <v>0.47</v>
      </c>
      <c r="JJ103" s="476">
        <v>0.42</v>
      </c>
      <c r="JK103" s="476">
        <v>0.53</v>
      </c>
      <c r="JL103" s="476">
        <v>0.54</v>
      </c>
      <c r="JM103" s="476">
        <v>0.45</v>
      </c>
      <c r="JN103" s="476">
        <v>0.41</v>
      </c>
      <c r="JO103" s="476">
        <v>0.45</v>
      </c>
      <c r="JP103" s="476">
        <v>0.53</v>
      </c>
      <c r="JQ103" s="476">
        <v>0.32</v>
      </c>
      <c r="JR103" s="476">
        <v>0.6</v>
      </c>
      <c r="JS103" s="476">
        <v>0.56000000000000005</v>
      </c>
      <c r="JT103" s="476">
        <v>0.42</v>
      </c>
      <c r="JU103" s="476">
        <v>0.56000000000000005</v>
      </c>
      <c r="JV103" s="476">
        <v>0.5</v>
      </c>
      <c r="JW103" s="476">
        <v>0.49</v>
      </c>
      <c r="JX103" s="476">
        <v>0.42</v>
      </c>
      <c r="JY103" s="476">
        <v>0.53</v>
      </c>
      <c r="JZ103" s="476">
        <v>0.43</v>
      </c>
      <c r="KA103" s="476">
        <v>0.51</v>
      </c>
      <c r="KB103" s="476">
        <v>0.47</v>
      </c>
      <c r="KC103" s="476">
        <v>0.62</v>
      </c>
      <c r="KD103" s="476">
        <v>0.32</v>
      </c>
      <c r="KE103" s="476">
        <v>0.5</v>
      </c>
      <c r="KF103" s="476">
        <v>0.45</v>
      </c>
      <c r="KG103" s="476">
        <v>0.54</v>
      </c>
      <c r="KH103" s="971">
        <v>52</v>
      </c>
      <c r="KI103" s="971" t="s">
        <v>758</v>
      </c>
      <c r="KJ103" s="971">
        <v>9</v>
      </c>
      <c r="KK103" s="971" t="s">
        <v>758</v>
      </c>
      <c r="KL103" s="949">
        <v>0.11</v>
      </c>
      <c r="KM103" s="949">
        <v>0.5</v>
      </c>
      <c r="KN103" s="949">
        <v>0.36</v>
      </c>
      <c r="KO103" s="949">
        <v>0.02</v>
      </c>
      <c r="KP103" s="949">
        <v>0.5</v>
      </c>
      <c r="KQ103" s="949">
        <v>0.24</v>
      </c>
      <c r="KR103" s="949">
        <v>0.53</v>
      </c>
      <c r="KS103" s="949">
        <v>0.46</v>
      </c>
      <c r="KT103" s="949">
        <v>0.54</v>
      </c>
      <c r="KU103" s="949">
        <v>0.32</v>
      </c>
      <c r="KV103" s="949">
        <v>0.55000000000000004</v>
      </c>
      <c r="KW103" s="949">
        <v>0.34</v>
      </c>
      <c r="KX103" s="949">
        <v>0.34</v>
      </c>
      <c r="KY103" s="949">
        <v>0.55000000000000004</v>
      </c>
      <c r="KZ103" s="949">
        <v>0.39</v>
      </c>
      <c r="LA103" s="949">
        <v>0.32</v>
      </c>
      <c r="LB103" s="949">
        <v>0.32</v>
      </c>
      <c r="LC103" s="949">
        <v>0.37</v>
      </c>
      <c r="LD103" s="949">
        <v>0.55000000000000004</v>
      </c>
      <c r="LE103" s="949">
        <v>0.5</v>
      </c>
      <c r="LF103" s="949">
        <v>0.28000000000000003</v>
      </c>
      <c r="LG103" s="949">
        <v>0.41</v>
      </c>
      <c r="LH103" s="949">
        <v>0.59</v>
      </c>
      <c r="LI103" s="949">
        <v>0.49</v>
      </c>
      <c r="LJ103" s="949">
        <v>0.42</v>
      </c>
      <c r="LK103" s="949">
        <v>0.53</v>
      </c>
      <c r="LL103" s="949" t="s">
        <v>173</v>
      </c>
      <c r="LM103" s="949">
        <v>0.56000000000000005</v>
      </c>
      <c r="LN103" s="949">
        <v>0.53</v>
      </c>
      <c r="LO103" s="949">
        <v>0.44</v>
      </c>
      <c r="LP103" s="922">
        <v>125754002147</v>
      </c>
      <c r="LQ103" s="126" t="s">
        <v>83</v>
      </c>
      <c r="LR103" s="424">
        <v>52</v>
      </c>
      <c r="LS103" s="971">
        <v>52</v>
      </c>
      <c r="LT103" s="946"/>
    </row>
    <row r="104" spans="1:332" ht="24.95" customHeight="1" x14ac:dyDescent="0.2">
      <c r="A104" s="126" t="s">
        <v>65</v>
      </c>
      <c r="B104" s="1" t="s">
        <v>121</v>
      </c>
      <c r="C104" s="2">
        <v>4</v>
      </c>
      <c r="D104" s="12">
        <v>49</v>
      </c>
      <c r="E104" s="12">
        <v>7</v>
      </c>
      <c r="F104" s="66">
        <v>0.1</v>
      </c>
      <c r="G104" s="66">
        <v>0.69</v>
      </c>
      <c r="H104" s="66">
        <v>0.21</v>
      </c>
      <c r="I104" s="66">
        <v>0</v>
      </c>
      <c r="J104" s="66">
        <v>0.43</v>
      </c>
      <c r="K104" s="66">
        <v>0.52</v>
      </c>
      <c r="L104" s="66">
        <v>0.88</v>
      </c>
      <c r="M104" s="66">
        <v>0.3</v>
      </c>
      <c r="N104" s="66">
        <v>0.38</v>
      </c>
      <c r="O104" s="66">
        <v>0.81</v>
      </c>
      <c r="P104" s="66">
        <v>0.34</v>
      </c>
      <c r="Q104" s="66">
        <v>0.46</v>
      </c>
      <c r="R104" s="66">
        <v>0.68</v>
      </c>
      <c r="S104" s="66">
        <v>0.63</v>
      </c>
      <c r="T104" s="66">
        <v>0.53</v>
      </c>
      <c r="U104" s="66">
        <v>0.73</v>
      </c>
      <c r="V104" s="66">
        <v>0.15</v>
      </c>
      <c r="W104" s="66">
        <v>0.23</v>
      </c>
      <c r="X104" s="66">
        <v>0.56999999999999995</v>
      </c>
      <c r="Y104" s="66">
        <v>0.41</v>
      </c>
      <c r="Z104" s="66">
        <v>1</v>
      </c>
      <c r="AA104" s="66">
        <v>0.17</v>
      </c>
      <c r="AB104" s="66">
        <v>0.45</v>
      </c>
      <c r="AC104" s="66">
        <v>0.54</v>
      </c>
      <c r="AD104" s="66">
        <v>0.54</v>
      </c>
      <c r="AE104" s="66">
        <v>0.61</v>
      </c>
      <c r="AF104" s="66">
        <v>0.61</v>
      </c>
      <c r="AG104" s="66">
        <v>0.45</v>
      </c>
      <c r="AH104" s="12">
        <v>50</v>
      </c>
      <c r="AI104" s="12">
        <v>8</v>
      </c>
      <c r="AJ104" s="40">
        <v>0.13</v>
      </c>
      <c r="AK104" s="40">
        <v>0.61</v>
      </c>
      <c r="AL104" s="40">
        <v>0.24</v>
      </c>
      <c r="AM104" s="40">
        <v>0.02</v>
      </c>
      <c r="AN104" s="40">
        <v>0.38</v>
      </c>
      <c r="AO104" s="40">
        <v>0.49</v>
      </c>
      <c r="AP104" s="40">
        <v>0.56000000000000005</v>
      </c>
      <c r="AQ104" s="40">
        <v>0.49</v>
      </c>
      <c r="AR104" s="40">
        <v>0.53</v>
      </c>
      <c r="AS104" s="40">
        <v>0.55000000000000004</v>
      </c>
      <c r="AT104" s="40">
        <v>0.56999999999999995</v>
      </c>
      <c r="AU104" s="40">
        <v>0.47</v>
      </c>
      <c r="AV104" s="40">
        <v>0.62</v>
      </c>
      <c r="AW104" s="40">
        <v>0.44</v>
      </c>
      <c r="AX104" s="40">
        <v>0.53</v>
      </c>
      <c r="AY104" s="40">
        <v>0.33</v>
      </c>
      <c r="AZ104" s="40">
        <v>0.28000000000000003</v>
      </c>
      <c r="BA104" s="40">
        <v>0.56000000000000005</v>
      </c>
      <c r="BB104" s="40">
        <v>0.64</v>
      </c>
      <c r="BC104" s="40">
        <v>0.72</v>
      </c>
      <c r="BD104" s="40">
        <v>0.45</v>
      </c>
      <c r="BE104" s="40">
        <v>0.57999999999999996</v>
      </c>
      <c r="BF104" s="40">
        <v>0.61</v>
      </c>
      <c r="BG104" s="40">
        <v>0.54</v>
      </c>
      <c r="BH104" s="40">
        <v>0.47</v>
      </c>
      <c r="BI104" s="40">
        <v>0.47</v>
      </c>
      <c r="BJ104" s="40">
        <v>0.38</v>
      </c>
      <c r="BK104" s="40">
        <v>0.48</v>
      </c>
      <c r="BL104" s="40">
        <v>0.53</v>
      </c>
      <c r="BM104" s="12">
        <v>47</v>
      </c>
      <c r="BN104" s="12">
        <v>9</v>
      </c>
      <c r="BO104" s="66">
        <v>0.28999999999999998</v>
      </c>
      <c r="BP104" s="66">
        <v>0.54</v>
      </c>
      <c r="BQ104" s="66">
        <v>0.17</v>
      </c>
      <c r="BR104" s="66">
        <v>0.01</v>
      </c>
      <c r="BS104" s="66">
        <v>0.44</v>
      </c>
      <c r="BT104" s="66">
        <v>0.56000000000000005</v>
      </c>
      <c r="BU104" s="66">
        <v>0.68</v>
      </c>
      <c r="BV104" s="66">
        <v>0.38</v>
      </c>
      <c r="BW104" s="66">
        <v>0.72</v>
      </c>
      <c r="BX104" s="66">
        <v>0.5</v>
      </c>
      <c r="BY104" s="66">
        <v>0.53</v>
      </c>
      <c r="BZ104" s="66">
        <v>0.56999999999999995</v>
      </c>
      <c r="CA104" s="66">
        <v>0.52</v>
      </c>
      <c r="CB104" s="66">
        <v>0.42</v>
      </c>
      <c r="CC104" s="66">
        <v>0.28000000000000003</v>
      </c>
      <c r="CD104" s="66">
        <v>0.53</v>
      </c>
      <c r="CE104" s="66">
        <v>0.44</v>
      </c>
      <c r="CF104" s="66">
        <v>0.56000000000000005</v>
      </c>
      <c r="CG104" s="66">
        <v>0.64</v>
      </c>
      <c r="CH104" s="66">
        <v>0.5</v>
      </c>
      <c r="CI104" s="66">
        <v>0.63</v>
      </c>
      <c r="CJ104" s="66">
        <v>0.43</v>
      </c>
      <c r="CK104" s="66">
        <v>0.73</v>
      </c>
      <c r="CL104" s="66">
        <v>0.43</v>
      </c>
      <c r="CM104" s="66">
        <v>0.56000000000000005</v>
      </c>
      <c r="CN104" s="66">
        <v>0.51</v>
      </c>
      <c r="CO104" s="66">
        <v>0.56000000000000005</v>
      </c>
      <c r="CP104" s="66">
        <v>0.47</v>
      </c>
      <c r="CQ104" s="66">
        <v>0.6</v>
      </c>
      <c r="CR104" s="66">
        <v>0.59</v>
      </c>
      <c r="CS104" s="12">
        <v>45</v>
      </c>
      <c r="CT104" s="12">
        <v>9</v>
      </c>
      <c r="CU104" s="63">
        <v>0.3</v>
      </c>
      <c r="CV104" s="63">
        <v>0.6</v>
      </c>
      <c r="CW104" s="63">
        <v>0.1</v>
      </c>
      <c r="CX104" s="63">
        <v>0</v>
      </c>
      <c r="CY104" s="63">
        <v>0.59</v>
      </c>
      <c r="CZ104" s="63">
        <v>0.37</v>
      </c>
      <c r="DA104" s="63">
        <v>0.64</v>
      </c>
      <c r="DB104" s="63">
        <v>0.49</v>
      </c>
      <c r="DC104" s="63">
        <v>0.49</v>
      </c>
      <c r="DD104" s="63">
        <v>0.7</v>
      </c>
      <c r="DE104" s="63">
        <v>0.56999999999999995</v>
      </c>
      <c r="DF104" s="63">
        <v>0.65</v>
      </c>
      <c r="DG104" s="63">
        <v>0.52</v>
      </c>
      <c r="DH104" s="63">
        <v>0.39</v>
      </c>
      <c r="DI104" s="63">
        <v>0.68</v>
      </c>
      <c r="DJ104" s="63">
        <v>0.6</v>
      </c>
      <c r="DK104" s="63">
        <v>0.45</v>
      </c>
      <c r="DL104" s="63">
        <v>0.44</v>
      </c>
      <c r="DM104" s="63">
        <v>0.64</v>
      </c>
      <c r="DN104" s="63">
        <v>0.56000000000000005</v>
      </c>
      <c r="DO104" s="63">
        <v>0.56000000000000005</v>
      </c>
      <c r="DP104" s="63">
        <v>0.54</v>
      </c>
      <c r="DQ104" s="63">
        <v>0.56999999999999995</v>
      </c>
      <c r="DR104" s="63">
        <v>0.28999999999999998</v>
      </c>
      <c r="DS104" s="63">
        <v>0.46</v>
      </c>
      <c r="DT104" s="63">
        <v>0.61</v>
      </c>
      <c r="DU104" s="63">
        <v>0.56999999999999995</v>
      </c>
      <c r="DV104" s="63">
        <v>0.71</v>
      </c>
      <c r="DW104" s="63">
        <v>0.42</v>
      </c>
      <c r="DX104" s="35">
        <v>45</v>
      </c>
      <c r="DY104" s="35">
        <v>9</v>
      </c>
      <c r="DZ104" s="40">
        <v>0.31</v>
      </c>
      <c r="EA104" s="40">
        <v>0.53</v>
      </c>
      <c r="EB104" s="40">
        <v>0.15</v>
      </c>
      <c r="EC104" s="40">
        <v>0</v>
      </c>
      <c r="ED104" s="40">
        <v>0.54</v>
      </c>
      <c r="EE104" s="40">
        <v>0.52</v>
      </c>
      <c r="EF104" s="40">
        <v>0.53</v>
      </c>
      <c r="EG104" s="40">
        <v>0.48</v>
      </c>
      <c r="EH104" s="40">
        <v>0.49</v>
      </c>
      <c r="EI104" s="40">
        <v>0.59</v>
      </c>
      <c r="EJ104" s="40">
        <v>0.64</v>
      </c>
      <c r="EK104" s="40">
        <v>0.28000000000000003</v>
      </c>
      <c r="EL104" s="40">
        <v>0.53</v>
      </c>
      <c r="EM104" s="40">
        <v>0.68</v>
      </c>
      <c r="EN104" s="40">
        <v>0.6</v>
      </c>
      <c r="EO104" s="40">
        <v>0.59</v>
      </c>
      <c r="EP104" s="40">
        <v>0.49</v>
      </c>
      <c r="EQ104" s="40">
        <v>0.4</v>
      </c>
      <c r="ER104" s="40">
        <v>0.65</v>
      </c>
      <c r="ES104" s="40">
        <v>0.53</v>
      </c>
      <c r="ET104" s="40">
        <v>0.46</v>
      </c>
      <c r="EU104" s="40">
        <v>0.67</v>
      </c>
      <c r="EV104" s="40">
        <v>0.46</v>
      </c>
      <c r="EW104" s="40">
        <v>0.43</v>
      </c>
      <c r="EX104" s="40">
        <v>0.74</v>
      </c>
      <c r="EY104" s="40">
        <v>0.66</v>
      </c>
      <c r="EZ104" s="40">
        <v>0.27</v>
      </c>
      <c r="FA104" s="40">
        <v>0.66</v>
      </c>
      <c r="FB104" s="246">
        <v>45</v>
      </c>
      <c r="FC104" s="246" t="s">
        <v>758</v>
      </c>
      <c r="FD104" s="246">
        <v>8</v>
      </c>
      <c r="FE104" s="246" t="s">
        <v>758</v>
      </c>
      <c r="FF104" s="263">
        <v>0.27</v>
      </c>
      <c r="FG104" s="263">
        <v>0.63</v>
      </c>
      <c r="FH104" s="263">
        <v>0.1</v>
      </c>
      <c r="FI104" s="263">
        <v>0</v>
      </c>
      <c r="FJ104" s="263">
        <v>0.54</v>
      </c>
      <c r="FK104" s="263">
        <v>0.72</v>
      </c>
      <c r="FL104" s="263">
        <v>0.62</v>
      </c>
      <c r="FM104" s="263">
        <v>0.52</v>
      </c>
      <c r="FN104" s="263">
        <v>0.36</v>
      </c>
      <c r="FO104" s="263">
        <v>0.41</v>
      </c>
      <c r="FP104" s="263">
        <v>0.46</v>
      </c>
      <c r="FQ104" s="263">
        <v>0.47</v>
      </c>
      <c r="FR104" s="263">
        <v>0.65</v>
      </c>
      <c r="FS104" s="263">
        <v>0.53</v>
      </c>
      <c r="FT104" s="263">
        <v>0.55000000000000004</v>
      </c>
      <c r="FU104" s="263">
        <v>0.52</v>
      </c>
      <c r="FV104" s="263">
        <v>0.79</v>
      </c>
      <c r="FW104" s="263">
        <v>0.62</v>
      </c>
      <c r="FX104" s="263">
        <v>0.57999999999999996</v>
      </c>
      <c r="FY104" s="263">
        <v>0.46</v>
      </c>
      <c r="FZ104" s="263">
        <v>0.54</v>
      </c>
      <c r="GA104" s="263">
        <v>0.57999999999999996</v>
      </c>
      <c r="GB104" s="263">
        <v>0.65</v>
      </c>
      <c r="GC104" s="263">
        <v>0.57999999999999996</v>
      </c>
      <c r="GD104" s="263">
        <v>0.65</v>
      </c>
      <c r="GE104" s="263">
        <v>0.66</v>
      </c>
      <c r="GF104" s="263">
        <v>0.53</v>
      </c>
      <c r="GG104" s="263">
        <v>0.65</v>
      </c>
      <c r="GH104" s="263">
        <v>0.62</v>
      </c>
      <c r="GI104" s="263">
        <v>0.4</v>
      </c>
      <c r="GJ104" s="309">
        <v>45</v>
      </c>
      <c r="GK104" s="309" t="s">
        <v>758</v>
      </c>
      <c r="GL104" s="309">
        <v>9</v>
      </c>
      <c r="GM104" s="309" t="s">
        <v>758</v>
      </c>
      <c r="GN104" s="327">
        <v>0.32</v>
      </c>
      <c r="GO104" s="327">
        <v>0.55000000000000004</v>
      </c>
      <c r="GP104" s="327">
        <v>0.14000000000000001</v>
      </c>
      <c r="GQ104" s="327">
        <v>0</v>
      </c>
      <c r="GR104" s="327">
        <v>0.54</v>
      </c>
      <c r="GS104" s="327">
        <v>0.72</v>
      </c>
      <c r="GT104" s="327">
        <v>0.69</v>
      </c>
      <c r="GU104" s="327">
        <v>0.35</v>
      </c>
      <c r="GV104" s="327">
        <v>0.64</v>
      </c>
      <c r="GW104" s="327">
        <v>0.61</v>
      </c>
      <c r="GX104" s="327">
        <v>0.56000000000000005</v>
      </c>
      <c r="GY104" s="309" t="s">
        <v>173</v>
      </c>
      <c r="GZ104" s="327">
        <v>0.4</v>
      </c>
      <c r="HA104" s="327">
        <v>0.73</v>
      </c>
      <c r="HB104" s="327">
        <v>0.53</v>
      </c>
      <c r="HC104" s="327">
        <v>0.56000000000000005</v>
      </c>
      <c r="HD104" s="327">
        <v>0.67</v>
      </c>
      <c r="HE104" s="327">
        <v>0.56000000000000005</v>
      </c>
      <c r="HF104" s="327">
        <v>0.62</v>
      </c>
      <c r="HG104" s="327">
        <v>0.67</v>
      </c>
      <c r="HH104" s="327">
        <v>0.52</v>
      </c>
      <c r="HI104" s="327">
        <v>0.69</v>
      </c>
      <c r="HJ104" s="327">
        <v>0.68</v>
      </c>
      <c r="HK104" s="327">
        <v>0.56000000000000005</v>
      </c>
      <c r="HL104" s="327">
        <v>0.53</v>
      </c>
      <c r="HM104" s="327">
        <v>0.56999999999999995</v>
      </c>
      <c r="HN104" s="327">
        <v>0.57999999999999996</v>
      </c>
      <c r="HO104" s="327">
        <v>0.55000000000000004</v>
      </c>
      <c r="HP104" s="309" t="s">
        <v>173</v>
      </c>
      <c r="HQ104" s="327">
        <v>0.56999999999999995</v>
      </c>
      <c r="HR104" s="424">
        <v>44</v>
      </c>
      <c r="HS104" s="424" t="s">
        <v>758</v>
      </c>
      <c r="HT104" s="424">
        <v>8</v>
      </c>
      <c r="HU104" s="424" t="s">
        <v>758</v>
      </c>
      <c r="HV104" s="428">
        <v>0.34</v>
      </c>
      <c r="HW104" s="428">
        <v>0.57999999999999996</v>
      </c>
      <c r="HX104" s="428">
        <v>7.0000000000000007E-2</v>
      </c>
      <c r="HY104" s="428">
        <v>0</v>
      </c>
      <c r="HZ104" s="428">
        <v>0.56000000000000005</v>
      </c>
      <c r="IA104" s="428">
        <v>0.62</v>
      </c>
      <c r="IB104" s="428">
        <v>0.49</v>
      </c>
      <c r="IC104" s="428">
        <v>0.62</v>
      </c>
      <c r="ID104" s="428">
        <v>0.67</v>
      </c>
      <c r="IE104" s="428">
        <v>0.54</v>
      </c>
      <c r="IF104" s="428">
        <v>0.52</v>
      </c>
      <c r="IG104" s="428">
        <v>0.68</v>
      </c>
      <c r="IH104" s="428">
        <v>0.64</v>
      </c>
      <c r="II104" s="428">
        <v>0.53</v>
      </c>
      <c r="IJ104" s="428">
        <v>0.47</v>
      </c>
      <c r="IK104" s="428">
        <v>0.74</v>
      </c>
      <c r="IL104" s="428">
        <v>0.41</v>
      </c>
      <c r="IM104" s="428">
        <v>0.73</v>
      </c>
      <c r="IN104" s="428">
        <v>0.56999999999999995</v>
      </c>
      <c r="IO104" s="428">
        <v>0.62</v>
      </c>
      <c r="IP104" s="428">
        <v>0.53</v>
      </c>
      <c r="IQ104" s="428">
        <v>0.7</v>
      </c>
      <c r="IR104" s="428">
        <v>0.64</v>
      </c>
      <c r="IS104" s="428">
        <v>0.7</v>
      </c>
      <c r="IT104" s="428">
        <v>0.55000000000000004</v>
      </c>
      <c r="IU104" s="424" t="s">
        <v>173</v>
      </c>
      <c r="IV104" s="428">
        <v>0.66</v>
      </c>
      <c r="IW104" s="428">
        <v>0.56000000000000005</v>
      </c>
      <c r="IX104" s="428">
        <v>0.6</v>
      </c>
      <c r="IY104" s="428">
        <v>0.67</v>
      </c>
      <c r="IZ104" s="464">
        <v>46</v>
      </c>
      <c r="JA104" s="464" t="s">
        <v>758</v>
      </c>
      <c r="JB104" s="464">
        <v>8</v>
      </c>
      <c r="JC104" s="464" t="s">
        <v>758</v>
      </c>
      <c r="JD104" s="476">
        <v>0.26</v>
      </c>
      <c r="JE104" s="476">
        <v>0.6</v>
      </c>
      <c r="JF104" s="476">
        <v>0.14000000000000001</v>
      </c>
      <c r="JG104" s="476">
        <v>0</v>
      </c>
      <c r="JH104" s="476">
        <v>0.65</v>
      </c>
      <c r="JI104" s="476">
        <v>0.55000000000000004</v>
      </c>
      <c r="JJ104" s="476">
        <v>0.54</v>
      </c>
      <c r="JK104" s="476">
        <v>0.59</v>
      </c>
      <c r="JL104" s="476">
        <v>0.61</v>
      </c>
      <c r="JM104" s="476">
        <v>0.59</v>
      </c>
      <c r="JN104" s="476">
        <v>0.54</v>
      </c>
      <c r="JO104" s="476">
        <v>0.51</v>
      </c>
      <c r="JP104" s="476">
        <v>0.64</v>
      </c>
      <c r="JQ104" s="476">
        <v>0.31</v>
      </c>
      <c r="JR104" s="476">
        <v>0.64</v>
      </c>
      <c r="JS104" s="476">
        <v>0.64</v>
      </c>
      <c r="JT104" s="476">
        <v>0.56000000000000005</v>
      </c>
      <c r="JU104" s="476">
        <v>0.67</v>
      </c>
      <c r="JV104" s="476">
        <v>0.63</v>
      </c>
      <c r="JW104" s="476">
        <v>0.59</v>
      </c>
      <c r="JX104" s="476">
        <v>0.49</v>
      </c>
      <c r="JY104" s="476">
        <v>0.56000000000000005</v>
      </c>
      <c r="JZ104" s="476">
        <v>0.55000000000000004</v>
      </c>
      <c r="KA104" s="476">
        <v>0.73</v>
      </c>
      <c r="KB104" s="476">
        <v>0.57999999999999996</v>
      </c>
      <c r="KC104" s="476">
        <v>0.71</v>
      </c>
      <c r="KD104" s="476">
        <v>0.5</v>
      </c>
      <c r="KE104" s="476">
        <v>0.51</v>
      </c>
      <c r="KF104" s="476">
        <v>0.55000000000000004</v>
      </c>
      <c r="KG104" s="476">
        <v>0.62</v>
      </c>
      <c r="KH104" s="971">
        <v>47</v>
      </c>
      <c r="KI104" s="971" t="s">
        <v>758</v>
      </c>
      <c r="KJ104" s="971">
        <v>9</v>
      </c>
      <c r="KK104" s="971" t="s">
        <v>758</v>
      </c>
      <c r="KL104" s="949">
        <v>0.27</v>
      </c>
      <c r="KM104" s="949">
        <v>0.55000000000000004</v>
      </c>
      <c r="KN104" s="949">
        <v>0.18</v>
      </c>
      <c r="KO104" s="949">
        <v>0</v>
      </c>
      <c r="KP104" s="949">
        <v>0.52</v>
      </c>
      <c r="KQ104" s="949">
        <v>0.36</v>
      </c>
      <c r="KR104" s="949">
        <v>0.65</v>
      </c>
      <c r="KS104" s="949">
        <v>0.59</v>
      </c>
      <c r="KT104" s="949">
        <v>0.66</v>
      </c>
      <c r="KU104" s="949">
        <v>0.46</v>
      </c>
      <c r="KV104" s="949">
        <v>0.68</v>
      </c>
      <c r="KW104" s="949">
        <v>0.46</v>
      </c>
      <c r="KX104" s="949">
        <v>0.4</v>
      </c>
      <c r="KY104" s="949">
        <v>0.59</v>
      </c>
      <c r="KZ104" s="949">
        <v>0.48</v>
      </c>
      <c r="LA104" s="949">
        <v>0.48</v>
      </c>
      <c r="LB104" s="949">
        <v>0.48</v>
      </c>
      <c r="LC104" s="949">
        <v>0.51</v>
      </c>
      <c r="LD104" s="949">
        <v>0.69</v>
      </c>
      <c r="LE104" s="949">
        <v>0.65</v>
      </c>
      <c r="LF104" s="949">
        <v>0.45</v>
      </c>
      <c r="LG104" s="949">
        <v>0.51</v>
      </c>
      <c r="LH104" s="949">
        <v>0.63</v>
      </c>
      <c r="LI104" s="949">
        <v>0.55000000000000004</v>
      </c>
      <c r="LJ104" s="949">
        <v>0.41</v>
      </c>
      <c r="LK104" s="949">
        <v>0.63</v>
      </c>
      <c r="LL104" s="949" t="s">
        <v>173</v>
      </c>
      <c r="LM104" s="949">
        <v>0.61</v>
      </c>
      <c r="LN104" s="949">
        <v>0.69</v>
      </c>
      <c r="LO104" s="949">
        <v>0.51</v>
      </c>
      <c r="LP104" s="922">
        <v>125754002554</v>
      </c>
      <c r="LQ104" s="126" t="s">
        <v>65</v>
      </c>
      <c r="LR104" s="424">
        <v>44</v>
      </c>
      <c r="LS104" s="971">
        <v>47</v>
      </c>
      <c r="LT104" s="946"/>
    </row>
    <row r="105" spans="1:332" ht="24.95" customHeight="1" x14ac:dyDescent="0.2">
      <c r="A105" s="126" t="s">
        <v>33</v>
      </c>
      <c r="B105" s="1" t="s">
        <v>121</v>
      </c>
      <c r="C105" s="2">
        <v>4</v>
      </c>
      <c r="D105" s="12">
        <v>52</v>
      </c>
      <c r="E105" s="12">
        <v>7</v>
      </c>
      <c r="F105" s="66">
        <v>0.08</v>
      </c>
      <c r="G105" s="66">
        <v>0.62</v>
      </c>
      <c r="H105" s="66">
        <v>0.31</v>
      </c>
      <c r="I105" s="66">
        <v>0</v>
      </c>
      <c r="J105" s="66">
        <v>0.46</v>
      </c>
      <c r="K105" s="66">
        <v>0.56999999999999995</v>
      </c>
      <c r="L105" s="66">
        <v>0.84</v>
      </c>
      <c r="M105" s="66">
        <v>0.37</v>
      </c>
      <c r="N105" s="66">
        <v>0.3</v>
      </c>
      <c r="O105" s="66">
        <v>0.57999999999999996</v>
      </c>
      <c r="P105" s="66">
        <v>0.35</v>
      </c>
      <c r="Q105" s="66">
        <v>0.56999999999999995</v>
      </c>
      <c r="R105" s="66">
        <v>0.59</v>
      </c>
      <c r="S105" s="66">
        <v>0.48</v>
      </c>
      <c r="T105" s="66">
        <v>0.59</v>
      </c>
      <c r="U105" s="66">
        <v>0.49</v>
      </c>
      <c r="V105" s="66">
        <v>0.03</v>
      </c>
      <c r="W105" s="66">
        <v>0.11</v>
      </c>
      <c r="X105" s="66">
        <v>0.53</v>
      </c>
      <c r="Y105" s="66">
        <v>0.43</v>
      </c>
      <c r="Z105" s="66">
        <v>1</v>
      </c>
      <c r="AA105" s="66">
        <v>0.2</v>
      </c>
      <c r="AB105" s="66">
        <v>0.52</v>
      </c>
      <c r="AC105" s="66">
        <v>0.28000000000000003</v>
      </c>
      <c r="AD105" s="66">
        <v>0.5</v>
      </c>
      <c r="AE105" s="66">
        <v>0.44</v>
      </c>
      <c r="AF105" s="66">
        <v>0.67</v>
      </c>
      <c r="AG105" s="66">
        <v>0.57999999999999996</v>
      </c>
      <c r="AH105" s="12">
        <v>50</v>
      </c>
      <c r="AI105" s="12">
        <v>8</v>
      </c>
      <c r="AJ105" s="40">
        <v>0.1</v>
      </c>
      <c r="AK105" s="40">
        <v>0.62</v>
      </c>
      <c r="AL105" s="40">
        <v>0.28000000000000003</v>
      </c>
      <c r="AM105" s="40">
        <v>0</v>
      </c>
      <c r="AN105" s="40">
        <v>0.43</v>
      </c>
      <c r="AO105" s="40">
        <v>0.49</v>
      </c>
      <c r="AP105" s="40">
        <v>0.66</v>
      </c>
      <c r="AQ105" s="40">
        <v>0.47</v>
      </c>
      <c r="AR105" s="40">
        <v>0.68</v>
      </c>
      <c r="AS105" s="40">
        <v>0.54</v>
      </c>
      <c r="AT105" s="40">
        <v>0.5</v>
      </c>
      <c r="AU105" s="40">
        <v>0.54</v>
      </c>
      <c r="AV105" s="40">
        <v>0.71</v>
      </c>
      <c r="AW105" s="40">
        <v>0.6</v>
      </c>
      <c r="AX105" s="40">
        <v>0.7</v>
      </c>
      <c r="AY105" s="40">
        <v>0.36</v>
      </c>
      <c r="AZ105" s="40">
        <v>0.37</v>
      </c>
      <c r="BA105" s="40">
        <v>0.41</v>
      </c>
      <c r="BB105" s="40">
        <v>0.7</v>
      </c>
      <c r="BC105" s="40">
        <v>0.64</v>
      </c>
      <c r="BD105" s="40">
        <v>0.56999999999999995</v>
      </c>
      <c r="BE105" s="40">
        <v>0.6</v>
      </c>
      <c r="BF105" s="40">
        <v>0.53</v>
      </c>
      <c r="BG105" s="40">
        <v>0.52</v>
      </c>
      <c r="BH105" s="40">
        <v>0.46</v>
      </c>
      <c r="BI105" s="40">
        <v>0.45</v>
      </c>
      <c r="BJ105" s="40">
        <v>0.32</v>
      </c>
      <c r="BK105" s="40">
        <v>0.46</v>
      </c>
      <c r="BL105" s="40">
        <v>0.73</v>
      </c>
      <c r="BM105" s="12">
        <v>49</v>
      </c>
      <c r="BN105" s="12">
        <v>8</v>
      </c>
      <c r="BO105" s="66">
        <v>0.17</v>
      </c>
      <c r="BP105" s="66">
        <v>0.66</v>
      </c>
      <c r="BQ105" s="66">
        <v>0.17</v>
      </c>
      <c r="BR105" s="66">
        <v>0</v>
      </c>
      <c r="BS105" s="66">
        <v>0.51</v>
      </c>
      <c r="BT105" s="66">
        <v>0.44</v>
      </c>
      <c r="BU105" s="66">
        <v>0.67</v>
      </c>
      <c r="BV105" s="66">
        <v>0.57999999999999996</v>
      </c>
      <c r="BW105" s="66">
        <v>0.56000000000000005</v>
      </c>
      <c r="BX105" s="66">
        <v>0.43</v>
      </c>
      <c r="BY105" s="66">
        <v>0.53</v>
      </c>
      <c r="BZ105" s="66">
        <v>0.54</v>
      </c>
      <c r="CA105" s="66">
        <v>0.52</v>
      </c>
      <c r="CB105" s="66">
        <v>0.44</v>
      </c>
      <c r="CC105" s="66">
        <v>0.28999999999999998</v>
      </c>
      <c r="CD105" s="66">
        <v>0.49</v>
      </c>
      <c r="CE105" s="66">
        <v>0.39</v>
      </c>
      <c r="CF105" s="66">
        <v>0.55000000000000004</v>
      </c>
      <c r="CG105" s="66">
        <v>0.63</v>
      </c>
      <c r="CH105" s="66">
        <v>0.52</v>
      </c>
      <c r="CI105" s="66">
        <v>0.68</v>
      </c>
      <c r="CJ105" s="66">
        <v>0.28000000000000003</v>
      </c>
      <c r="CK105" s="66">
        <v>0.76</v>
      </c>
      <c r="CL105" s="66">
        <v>0.38</v>
      </c>
      <c r="CM105" s="66">
        <v>0.51</v>
      </c>
      <c r="CN105" s="66">
        <v>0.44</v>
      </c>
      <c r="CO105" s="66">
        <v>0.49</v>
      </c>
      <c r="CP105" s="66">
        <v>0.36</v>
      </c>
      <c r="CQ105" s="66">
        <v>0.52</v>
      </c>
      <c r="CR105" s="66">
        <v>0.53</v>
      </c>
      <c r="CS105" s="12">
        <v>48</v>
      </c>
      <c r="CT105" s="12">
        <v>8</v>
      </c>
      <c r="CU105" s="63">
        <v>0.1</v>
      </c>
      <c r="CV105" s="63">
        <v>0.77</v>
      </c>
      <c r="CW105" s="63">
        <v>0.13</v>
      </c>
      <c r="CX105" s="63">
        <v>0</v>
      </c>
      <c r="CY105" s="63">
        <v>0.62</v>
      </c>
      <c r="CZ105" s="63">
        <v>0.32</v>
      </c>
      <c r="DA105" s="63">
        <v>0.64</v>
      </c>
      <c r="DB105" s="63">
        <v>0.36</v>
      </c>
      <c r="DC105" s="63">
        <v>0.44</v>
      </c>
      <c r="DD105" s="63">
        <v>0.63</v>
      </c>
      <c r="DE105" s="63">
        <v>0.49</v>
      </c>
      <c r="DF105" s="63">
        <v>0.6</v>
      </c>
      <c r="DG105" s="63">
        <v>0.43</v>
      </c>
      <c r="DH105" s="63">
        <v>0.55000000000000004</v>
      </c>
      <c r="DI105" s="63">
        <v>0.56000000000000005</v>
      </c>
      <c r="DJ105" s="63">
        <v>0.48</v>
      </c>
      <c r="DK105" s="63">
        <v>0.33</v>
      </c>
      <c r="DL105" s="63">
        <v>0.63</v>
      </c>
      <c r="DM105" s="63">
        <v>0.49</v>
      </c>
      <c r="DN105" s="63">
        <v>0.51</v>
      </c>
      <c r="DO105" s="63">
        <v>0.46</v>
      </c>
      <c r="DP105" s="63">
        <v>0.53</v>
      </c>
      <c r="DQ105" s="63">
        <v>0.56000000000000005</v>
      </c>
      <c r="DR105" s="63">
        <v>0.13</v>
      </c>
      <c r="DS105" s="63">
        <v>0.37</v>
      </c>
      <c r="DT105" s="63">
        <v>0.68</v>
      </c>
      <c r="DU105" s="63">
        <v>0.63</v>
      </c>
      <c r="DV105" s="63">
        <v>0.54</v>
      </c>
      <c r="DW105" s="63">
        <v>0.37</v>
      </c>
      <c r="DX105" s="35">
        <v>43</v>
      </c>
      <c r="DY105" s="35">
        <v>9</v>
      </c>
      <c r="DZ105" s="40">
        <v>0.36</v>
      </c>
      <c r="EA105" s="40">
        <v>0.57999999999999996</v>
      </c>
      <c r="EB105" s="40">
        <v>0.06</v>
      </c>
      <c r="EC105" s="40">
        <v>0</v>
      </c>
      <c r="ED105" s="40">
        <v>0.57999999999999996</v>
      </c>
      <c r="EE105" s="40">
        <v>0.44</v>
      </c>
      <c r="EF105" s="40">
        <v>0.5</v>
      </c>
      <c r="EG105" s="40">
        <v>0.59</v>
      </c>
      <c r="EH105" s="40">
        <v>0.64</v>
      </c>
      <c r="EI105" s="40">
        <v>0.75</v>
      </c>
      <c r="EJ105" s="40">
        <v>0.67</v>
      </c>
      <c r="EK105" s="40">
        <v>0.39</v>
      </c>
      <c r="EL105" s="40">
        <v>0.55000000000000004</v>
      </c>
      <c r="EM105" s="40">
        <v>0.73</v>
      </c>
      <c r="EN105" s="40">
        <v>0.65</v>
      </c>
      <c r="EO105" s="40">
        <v>0.66</v>
      </c>
      <c r="EP105" s="40">
        <v>0.53</v>
      </c>
      <c r="EQ105" s="40">
        <v>0.4</v>
      </c>
      <c r="ER105" s="40">
        <v>0.7</v>
      </c>
      <c r="ES105" s="40">
        <v>0.57999999999999996</v>
      </c>
      <c r="ET105" s="40">
        <v>0.4</v>
      </c>
      <c r="EU105" s="40">
        <v>0.89</v>
      </c>
      <c r="EV105" s="40">
        <v>0.5</v>
      </c>
      <c r="EW105" s="40">
        <v>0.43</v>
      </c>
      <c r="EX105" s="40">
        <v>0.73</v>
      </c>
      <c r="EY105" s="40">
        <v>0.69</v>
      </c>
      <c r="EZ105" s="40">
        <v>0.47</v>
      </c>
      <c r="FA105" s="40">
        <v>0.64</v>
      </c>
      <c r="FB105" s="246">
        <v>46</v>
      </c>
      <c r="FC105" s="246" t="s">
        <v>758</v>
      </c>
      <c r="FD105" s="246">
        <v>7</v>
      </c>
      <c r="FE105" s="246" t="s">
        <v>758</v>
      </c>
      <c r="FF105" s="263">
        <v>0.28999999999999998</v>
      </c>
      <c r="FG105" s="263">
        <v>0.59</v>
      </c>
      <c r="FH105" s="263">
        <v>0.12</v>
      </c>
      <c r="FI105" s="263">
        <v>0</v>
      </c>
      <c r="FJ105" s="263">
        <v>0.52</v>
      </c>
      <c r="FK105" s="263">
        <v>0.66</v>
      </c>
      <c r="FL105" s="263">
        <v>0.53</v>
      </c>
      <c r="FM105" s="263">
        <v>0.56000000000000005</v>
      </c>
      <c r="FN105" s="263">
        <v>0.28999999999999998</v>
      </c>
      <c r="FO105" s="263">
        <v>0.43</v>
      </c>
      <c r="FP105" s="263">
        <v>0.44</v>
      </c>
      <c r="FQ105" s="263">
        <v>0.4</v>
      </c>
      <c r="FR105" s="263">
        <v>0.59</v>
      </c>
      <c r="FS105" s="263">
        <v>0.71</v>
      </c>
      <c r="FT105" s="263">
        <v>0.63</v>
      </c>
      <c r="FU105" s="263">
        <v>0.69</v>
      </c>
      <c r="FV105" s="263">
        <v>0.74</v>
      </c>
      <c r="FW105" s="263">
        <v>0.68</v>
      </c>
      <c r="FX105" s="263">
        <v>0.6</v>
      </c>
      <c r="FY105" s="263">
        <v>0.42</v>
      </c>
      <c r="FZ105" s="263">
        <v>0.52</v>
      </c>
      <c r="GA105" s="263">
        <v>0.53</v>
      </c>
      <c r="GB105" s="263">
        <v>0.55000000000000004</v>
      </c>
      <c r="GC105" s="263">
        <v>0.52</v>
      </c>
      <c r="GD105" s="263">
        <v>0.68</v>
      </c>
      <c r="GE105" s="263">
        <v>0.68</v>
      </c>
      <c r="GF105" s="263">
        <v>0.73</v>
      </c>
      <c r="GG105" s="263">
        <v>0.56999999999999995</v>
      </c>
      <c r="GH105" s="263">
        <v>0.64</v>
      </c>
      <c r="GI105" s="263">
        <v>0.32</v>
      </c>
      <c r="GJ105" s="309">
        <v>47</v>
      </c>
      <c r="GK105" s="309" t="s">
        <v>758</v>
      </c>
      <c r="GL105" s="309">
        <v>8</v>
      </c>
      <c r="GM105" s="309" t="s">
        <v>758</v>
      </c>
      <c r="GN105" s="327">
        <v>0.24</v>
      </c>
      <c r="GO105" s="327">
        <v>0.61</v>
      </c>
      <c r="GP105" s="327">
        <v>0.15</v>
      </c>
      <c r="GQ105" s="327">
        <v>0</v>
      </c>
      <c r="GR105" s="327">
        <v>0.45</v>
      </c>
      <c r="GS105" s="327">
        <v>0.56999999999999995</v>
      </c>
      <c r="GT105" s="327">
        <v>0.72</v>
      </c>
      <c r="GU105" s="327">
        <v>0.36</v>
      </c>
      <c r="GV105" s="327">
        <v>0.56000000000000005</v>
      </c>
      <c r="GW105" s="327">
        <v>0.63</v>
      </c>
      <c r="GX105" s="327">
        <v>0.55000000000000004</v>
      </c>
      <c r="GY105" s="309" t="s">
        <v>173</v>
      </c>
      <c r="GZ105" s="327">
        <v>0.52</v>
      </c>
      <c r="HA105" s="327">
        <v>0.52</v>
      </c>
      <c r="HB105" s="327">
        <v>0.55000000000000004</v>
      </c>
      <c r="HC105" s="327">
        <v>0.53</v>
      </c>
      <c r="HD105" s="327">
        <v>0.65</v>
      </c>
      <c r="HE105" s="327">
        <v>0.55000000000000004</v>
      </c>
      <c r="HF105" s="327">
        <v>0.53</v>
      </c>
      <c r="HG105" s="327">
        <v>0.66</v>
      </c>
      <c r="HH105" s="327">
        <v>0.49</v>
      </c>
      <c r="HI105" s="327">
        <v>0.67</v>
      </c>
      <c r="HJ105" s="327">
        <v>0.68</v>
      </c>
      <c r="HK105" s="327">
        <v>0.62</v>
      </c>
      <c r="HL105" s="327">
        <v>0.51</v>
      </c>
      <c r="HM105" s="327">
        <v>0.57999999999999996</v>
      </c>
      <c r="HN105" s="327">
        <v>0.55000000000000004</v>
      </c>
      <c r="HO105" s="327">
        <v>0.52</v>
      </c>
      <c r="HP105" s="309" t="s">
        <v>173</v>
      </c>
      <c r="HQ105" s="327">
        <v>0.45</v>
      </c>
      <c r="HR105" s="424">
        <v>48</v>
      </c>
      <c r="HS105" s="424" t="s">
        <v>758</v>
      </c>
      <c r="HT105" s="424">
        <v>9</v>
      </c>
      <c r="HU105" s="424" t="s">
        <v>758</v>
      </c>
      <c r="HV105" s="428">
        <v>0.21</v>
      </c>
      <c r="HW105" s="428">
        <v>0.61</v>
      </c>
      <c r="HX105" s="428">
        <v>0.18</v>
      </c>
      <c r="HY105" s="428">
        <v>0</v>
      </c>
      <c r="HZ105" s="428">
        <v>0.47</v>
      </c>
      <c r="IA105" s="428">
        <v>0.63</v>
      </c>
      <c r="IB105" s="428">
        <v>0.41</v>
      </c>
      <c r="IC105" s="428">
        <v>0.49</v>
      </c>
      <c r="ID105" s="428">
        <v>0.64</v>
      </c>
      <c r="IE105" s="428">
        <v>0.44</v>
      </c>
      <c r="IF105" s="428">
        <v>0.47</v>
      </c>
      <c r="IG105" s="428">
        <v>0.61</v>
      </c>
      <c r="IH105" s="428">
        <v>0.61</v>
      </c>
      <c r="II105" s="428">
        <v>0.64</v>
      </c>
      <c r="IJ105" s="428">
        <v>0.41</v>
      </c>
      <c r="IK105" s="428">
        <v>0.51</v>
      </c>
      <c r="IL105" s="428">
        <v>0.25</v>
      </c>
      <c r="IM105" s="428">
        <v>0.62</v>
      </c>
      <c r="IN105" s="428">
        <v>0.56999999999999995</v>
      </c>
      <c r="IO105" s="428">
        <v>0.68</v>
      </c>
      <c r="IP105" s="428">
        <v>0.56999999999999995</v>
      </c>
      <c r="IQ105" s="428">
        <v>0.62</v>
      </c>
      <c r="IR105" s="428">
        <v>0.63</v>
      </c>
      <c r="IS105" s="428">
        <v>0.66</v>
      </c>
      <c r="IT105" s="428">
        <v>0.49</v>
      </c>
      <c r="IU105" s="424" t="s">
        <v>173</v>
      </c>
      <c r="IV105" s="428">
        <v>0.6</v>
      </c>
      <c r="IW105" s="428">
        <v>0.48</v>
      </c>
      <c r="IX105" s="428">
        <v>0.4</v>
      </c>
      <c r="IY105" s="428">
        <v>0.55000000000000004</v>
      </c>
      <c r="IZ105" s="464">
        <v>49</v>
      </c>
      <c r="JA105" s="464" t="s">
        <v>758</v>
      </c>
      <c r="JB105" s="464">
        <v>8</v>
      </c>
      <c r="JC105" s="464" t="s">
        <v>758</v>
      </c>
      <c r="JD105" s="476">
        <v>0.21</v>
      </c>
      <c r="JE105" s="476">
        <v>0.56000000000000005</v>
      </c>
      <c r="JF105" s="476">
        <v>0.24</v>
      </c>
      <c r="JG105" s="476">
        <v>0</v>
      </c>
      <c r="JH105" s="476">
        <v>0.59</v>
      </c>
      <c r="JI105" s="476">
        <v>0.45</v>
      </c>
      <c r="JJ105" s="476">
        <v>0.41</v>
      </c>
      <c r="JK105" s="476">
        <v>0.56999999999999995</v>
      </c>
      <c r="JL105" s="476">
        <v>0.61</v>
      </c>
      <c r="JM105" s="476">
        <v>0.61</v>
      </c>
      <c r="JN105" s="476">
        <v>0.51</v>
      </c>
      <c r="JO105" s="476">
        <v>0.56999999999999995</v>
      </c>
      <c r="JP105" s="476">
        <v>0.61</v>
      </c>
      <c r="JQ105" s="476">
        <v>0.22</v>
      </c>
      <c r="JR105" s="476">
        <v>0.63</v>
      </c>
      <c r="JS105" s="476">
        <v>0.7</v>
      </c>
      <c r="JT105" s="476">
        <v>0.41</v>
      </c>
      <c r="JU105" s="476">
        <v>0.61</v>
      </c>
      <c r="JV105" s="476">
        <v>0.55000000000000004</v>
      </c>
      <c r="JW105" s="476">
        <v>0.46</v>
      </c>
      <c r="JX105" s="476">
        <v>0.59</v>
      </c>
      <c r="JY105" s="476">
        <v>0.63</v>
      </c>
      <c r="JZ105" s="476">
        <v>0.46</v>
      </c>
      <c r="KA105" s="476">
        <v>0.53</v>
      </c>
      <c r="KB105" s="476">
        <v>0.4</v>
      </c>
      <c r="KC105" s="476">
        <v>0.74</v>
      </c>
      <c r="KD105" s="476">
        <v>0.36</v>
      </c>
      <c r="KE105" s="476">
        <v>0.53</v>
      </c>
      <c r="KF105" s="476">
        <v>0.48</v>
      </c>
      <c r="KG105" s="476">
        <v>0.53</v>
      </c>
      <c r="KH105" s="971">
        <v>51</v>
      </c>
      <c r="KI105" s="971" t="s">
        <v>758</v>
      </c>
      <c r="KJ105" s="971">
        <v>9</v>
      </c>
      <c r="KK105" s="971" t="s">
        <v>758</v>
      </c>
      <c r="KL105" s="949">
        <v>0.06</v>
      </c>
      <c r="KM105" s="949">
        <v>0.65</v>
      </c>
      <c r="KN105" s="949">
        <v>0.26</v>
      </c>
      <c r="KO105" s="949">
        <v>0.03</v>
      </c>
      <c r="KP105" s="949">
        <v>0.57999999999999996</v>
      </c>
      <c r="KQ105" s="949">
        <v>0.22</v>
      </c>
      <c r="KR105" s="949">
        <v>0.65</v>
      </c>
      <c r="KS105" s="949">
        <v>0.49</v>
      </c>
      <c r="KT105" s="949">
        <v>0.54</v>
      </c>
      <c r="KU105" s="949">
        <v>0.45</v>
      </c>
      <c r="KV105" s="949">
        <v>0.75</v>
      </c>
      <c r="KW105" s="949">
        <v>0.41</v>
      </c>
      <c r="KX105" s="949">
        <v>0.39</v>
      </c>
      <c r="KY105" s="949">
        <v>0.56000000000000005</v>
      </c>
      <c r="KZ105" s="949">
        <v>0.49</v>
      </c>
      <c r="LA105" s="949">
        <v>0.47</v>
      </c>
      <c r="LB105" s="949">
        <v>0.44</v>
      </c>
      <c r="LC105" s="949">
        <v>0.35</v>
      </c>
      <c r="LD105" s="949">
        <v>0.63</v>
      </c>
      <c r="LE105" s="949">
        <v>0.61</v>
      </c>
      <c r="LF105" s="949">
        <v>0.21</v>
      </c>
      <c r="LG105" s="949">
        <v>0.42</v>
      </c>
      <c r="LH105" s="949">
        <v>0.5</v>
      </c>
      <c r="LI105" s="949">
        <v>0.47</v>
      </c>
      <c r="LJ105" s="949">
        <v>0.37</v>
      </c>
      <c r="LK105" s="949">
        <v>0.59</v>
      </c>
      <c r="LL105" s="949" t="s">
        <v>173</v>
      </c>
      <c r="LM105" s="949">
        <v>0.48</v>
      </c>
      <c r="LN105" s="949">
        <v>0.63</v>
      </c>
      <c r="LO105" s="949">
        <v>0.47</v>
      </c>
      <c r="LP105" s="922">
        <v>125754001973</v>
      </c>
      <c r="LQ105" s="126" t="s">
        <v>33</v>
      </c>
      <c r="LR105" s="424">
        <v>48</v>
      </c>
      <c r="LS105" s="971">
        <v>51</v>
      </c>
      <c r="LT105" s="946"/>
    </row>
    <row r="106" spans="1:332" ht="24.95" customHeight="1" x14ac:dyDescent="0.2">
      <c r="A106" s="126" t="s">
        <v>773</v>
      </c>
      <c r="B106" s="1" t="s">
        <v>121</v>
      </c>
      <c r="C106" s="2">
        <v>3</v>
      </c>
      <c r="D106" s="12">
        <v>53</v>
      </c>
      <c r="E106" s="12"/>
      <c r="F106" s="66">
        <v>7.0000000000000007E-2</v>
      </c>
      <c r="G106" s="66">
        <v>0.55000000000000004</v>
      </c>
      <c r="H106" s="66">
        <v>0.38</v>
      </c>
      <c r="I106" s="66">
        <v>0</v>
      </c>
      <c r="J106" s="66">
        <v>0.54</v>
      </c>
      <c r="K106" s="66">
        <v>0.37</v>
      </c>
      <c r="L106" s="66">
        <v>0.84</v>
      </c>
      <c r="M106" s="66">
        <v>0.22</v>
      </c>
      <c r="N106" s="66">
        <v>0.28999999999999998</v>
      </c>
      <c r="O106" s="66">
        <v>0.76</v>
      </c>
      <c r="P106" s="66">
        <v>0.41</v>
      </c>
      <c r="Q106" s="66">
        <v>0.4</v>
      </c>
      <c r="R106" s="66">
        <v>0.52</v>
      </c>
      <c r="S106" s="66">
        <v>0.61</v>
      </c>
      <c r="T106" s="66">
        <v>0.44</v>
      </c>
      <c r="U106" s="66">
        <v>0.62</v>
      </c>
      <c r="V106" s="66">
        <v>7.0000000000000007E-2</v>
      </c>
      <c r="W106" s="66">
        <v>0.31</v>
      </c>
      <c r="X106" s="66">
        <v>0.56000000000000005</v>
      </c>
      <c r="Y106" s="66">
        <v>0.46</v>
      </c>
      <c r="Z106" s="66">
        <v>1</v>
      </c>
      <c r="AA106" s="66">
        <v>0.27</v>
      </c>
      <c r="AB106" s="66">
        <v>0.49</v>
      </c>
      <c r="AC106" s="66">
        <v>0.2</v>
      </c>
      <c r="AD106" s="66">
        <v>0.41</v>
      </c>
      <c r="AE106" s="66">
        <v>0.56000000000000005</v>
      </c>
      <c r="AF106" s="66">
        <v>0.52</v>
      </c>
      <c r="AG106" s="66">
        <v>0.43</v>
      </c>
      <c r="AH106" s="12">
        <v>52</v>
      </c>
      <c r="AI106" s="12"/>
      <c r="AJ106" s="40">
        <v>0.08</v>
      </c>
      <c r="AK106" s="40">
        <v>0.47</v>
      </c>
      <c r="AL106" s="40">
        <v>0.45</v>
      </c>
      <c r="AM106" s="40">
        <v>0</v>
      </c>
      <c r="AN106" s="40">
        <v>0.28000000000000003</v>
      </c>
      <c r="AO106" s="40">
        <v>0.47</v>
      </c>
      <c r="AP106" s="40">
        <v>0.59</v>
      </c>
      <c r="AQ106" s="40">
        <v>0.41</v>
      </c>
      <c r="AR106" s="40">
        <v>0.56000000000000005</v>
      </c>
      <c r="AS106" s="40">
        <v>0.52</v>
      </c>
      <c r="AT106" s="40">
        <v>0.53</v>
      </c>
      <c r="AU106" s="40">
        <v>0.52</v>
      </c>
      <c r="AV106" s="40">
        <v>0.62</v>
      </c>
      <c r="AW106" s="40">
        <v>0.47</v>
      </c>
      <c r="AX106" s="40">
        <v>0.56999999999999995</v>
      </c>
      <c r="AY106" s="40">
        <v>0.35</v>
      </c>
      <c r="AZ106" s="40">
        <v>0.32</v>
      </c>
      <c r="BA106" s="40">
        <v>0.53</v>
      </c>
      <c r="BB106" s="40">
        <v>0.68</v>
      </c>
      <c r="BC106" s="40">
        <v>0.62</v>
      </c>
      <c r="BD106" s="40">
        <v>0.42</v>
      </c>
      <c r="BE106" s="40">
        <v>0.53</v>
      </c>
      <c r="BF106" s="40">
        <v>0.56000000000000005</v>
      </c>
      <c r="BG106" s="40">
        <v>0.51</v>
      </c>
      <c r="BH106" s="40">
        <v>0.46</v>
      </c>
      <c r="BI106" s="40">
        <v>0.43</v>
      </c>
      <c r="BJ106" s="40">
        <v>0.36</v>
      </c>
      <c r="BK106" s="40">
        <v>0.45</v>
      </c>
      <c r="BL106" s="40">
        <v>0.44</v>
      </c>
      <c r="BM106" s="12">
        <v>51</v>
      </c>
      <c r="BN106" s="12"/>
      <c r="BO106" s="66">
        <v>0.12</v>
      </c>
      <c r="BP106" s="66">
        <v>0.55000000000000004</v>
      </c>
      <c r="BQ106" s="66">
        <v>0.33</v>
      </c>
      <c r="BR106" s="66">
        <v>0</v>
      </c>
      <c r="BS106" s="66">
        <v>0.37</v>
      </c>
      <c r="BT106" s="66">
        <v>0.56999999999999995</v>
      </c>
      <c r="BU106" s="66">
        <v>0.63</v>
      </c>
      <c r="BV106" s="66">
        <v>0.37</v>
      </c>
      <c r="BW106" s="66">
        <v>0.63</v>
      </c>
      <c r="BX106" s="66">
        <v>0.43</v>
      </c>
      <c r="BY106" s="66">
        <v>0.39</v>
      </c>
      <c r="BZ106" s="66">
        <v>0.53</v>
      </c>
      <c r="CA106" s="66">
        <v>0.47</v>
      </c>
      <c r="CB106" s="66">
        <v>0.39</v>
      </c>
      <c r="CC106" s="66">
        <v>0.21</v>
      </c>
      <c r="CD106" s="66">
        <v>0.42</v>
      </c>
      <c r="CE106" s="66">
        <v>0.35</v>
      </c>
      <c r="CF106" s="66">
        <v>0.64</v>
      </c>
      <c r="CG106" s="66">
        <v>0.62</v>
      </c>
      <c r="CH106" s="66">
        <v>0.46</v>
      </c>
      <c r="CI106" s="66">
        <v>0.6</v>
      </c>
      <c r="CJ106" s="66">
        <v>0.4</v>
      </c>
      <c r="CK106" s="66">
        <v>0.72</v>
      </c>
      <c r="CL106" s="66">
        <v>0.31</v>
      </c>
      <c r="CM106" s="66">
        <v>0.47</v>
      </c>
      <c r="CN106" s="66">
        <v>0.49</v>
      </c>
      <c r="CO106" s="66">
        <v>0.46</v>
      </c>
      <c r="CP106" s="66">
        <v>0.36</v>
      </c>
      <c r="CQ106" s="66">
        <v>0.54</v>
      </c>
      <c r="CR106" s="66">
        <v>0.57999999999999996</v>
      </c>
      <c r="CS106" s="12">
        <v>49</v>
      </c>
      <c r="CT106" s="12"/>
      <c r="CU106" s="63">
        <v>0.18</v>
      </c>
      <c r="CV106" s="63">
        <v>0.56000000000000005</v>
      </c>
      <c r="CW106" s="63">
        <v>0.26</v>
      </c>
      <c r="CX106" s="63">
        <v>0</v>
      </c>
      <c r="CY106" s="63">
        <v>0.51</v>
      </c>
      <c r="CZ106" s="63">
        <v>0.31</v>
      </c>
      <c r="DA106" s="63">
        <v>0.61</v>
      </c>
      <c r="DB106" s="63">
        <v>0.35</v>
      </c>
      <c r="DC106" s="63">
        <v>0.48</v>
      </c>
      <c r="DD106" s="63">
        <v>0.67</v>
      </c>
      <c r="DE106" s="63">
        <v>0.48</v>
      </c>
      <c r="DF106" s="63">
        <v>0.57999999999999996</v>
      </c>
      <c r="DG106" s="63">
        <v>0.49</v>
      </c>
      <c r="DH106" s="63">
        <v>0.37</v>
      </c>
      <c r="DI106" s="63">
        <v>0.56000000000000005</v>
      </c>
      <c r="DJ106" s="63">
        <v>0.53</v>
      </c>
      <c r="DK106" s="63">
        <v>0.4</v>
      </c>
      <c r="DL106" s="63">
        <v>0.36</v>
      </c>
      <c r="DM106" s="63">
        <v>0.49</v>
      </c>
      <c r="DN106" s="63">
        <v>0.53</v>
      </c>
      <c r="DO106" s="63">
        <v>0.46</v>
      </c>
      <c r="DP106" s="63">
        <v>0.45</v>
      </c>
      <c r="DQ106" s="63">
        <v>0.62</v>
      </c>
      <c r="DR106" s="63">
        <v>0.19</v>
      </c>
      <c r="DS106" s="63">
        <v>0.42</v>
      </c>
      <c r="DT106" s="63">
        <v>0.62</v>
      </c>
      <c r="DU106" s="63">
        <v>0.57999999999999996</v>
      </c>
      <c r="DV106" s="63">
        <v>0.6</v>
      </c>
      <c r="DW106" s="63">
        <v>0.38</v>
      </c>
      <c r="DX106" s="35">
        <v>51</v>
      </c>
      <c r="DY106" s="35">
        <v>9</v>
      </c>
      <c r="DZ106" s="40">
        <v>0.12</v>
      </c>
      <c r="EA106" s="40">
        <v>0.55000000000000004</v>
      </c>
      <c r="EB106" s="40">
        <v>0.33</v>
      </c>
      <c r="EC106" s="40">
        <v>0</v>
      </c>
      <c r="ED106" s="40">
        <v>0.47</v>
      </c>
      <c r="EE106" s="40">
        <v>0.44</v>
      </c>
      <c r="EF106" s="40">
        <v>0.5</v>
      </c>
      <c r="EG106" s="40">
        <v>0.3</v>
      </c>
      <c r="EH106" s="40">
        <v>0.4</v>
      </c>
      <c r="EI106" s="40">
        <v>0.47</v>
      </c>
      <c r="EJ106" s="40">
        <v>0.54</v>
      </c>
      <c r="EK106" s="40">
        <v>0.26</v>
      </c>
      <c r="EL106" s="40">
        <v>0.44</v>
      </c>
      <c r="EM106" s="40">
        <v>0.61</v>
      </c>
      <c r="EN106" s="40">
        <v>0.48</v>
      </c>
      <c r="EO106" s="40">
        <v>0.6</v>
      </c>
      <c r="EP106" s="40">
        <v>0.37</v>
      </c>
      <c r="EQ106" s="40">
        <v>0.3</v>
      </c>
      <c r="ER106" s="40">
        <v>0.62</v>
      </c>
      <c r="ES106" s="40">
        <v>0.42</v>
      </c>
      <c r="ET106" s="40">
        <v>0.33</v>
      </c>
      <c r="EU106" s="40">
        <v>0.64</v>
      </c>
      <c r="EV106" s="40">
        <v>0.45</v>
      </c>
      <c r="EW106" s="40">
        <v>0.33</v>
      </c>
      <c r="EX106" s="40">
        <v>0.66</v>
      </c>
      <c r="EY106" s="40">
        <v>0.57999999999999996</v>
      </c>
      <c r="EZ106" s="40">
        <v>0.28999999999999998</v>
      </c>
      <c r="FA106" s="40">
        <v>0.62</v>
      </c>
      <c r="FB106" s="246">
        <v>49</v>
      </c>
      <c r="FC106" s="246" t="s">
        <v>758</v>
      </c>
      <c r="FD106" s="246">
        <v>8</v>
      </c>
      <c r="FE106" s="246" t="s">
        <v>758</v>
      </c>
      <c r="FF106" s="263">
        <v>0.15</v>
      </c>
      <c r="FG106" s="263">
        <v>0.64</v>
      </c>
      <c r="FH106" s="263">
        <v>0.2</v>
      </c>
      <c r="FI106" s="263">
        <v>0.01</v>
      </c>
      <c r="FJ106" s="263">
        <v>0.48</v>
      </c>
      <c r="FK106" s="263">
        <v>0.65</v>
      </c>
      <c r="FL106" s="263">
        <v>0.53</v>
      </c>
      <c r="FM106" s="263">
        <v>0.42</v>
      </c>
      <c r="FN106" s="263">
        <v>0.28999999999999998</v>
      </c>
      <c r="FO106" s="263">
        <v>0.34</v>
      </c>
      <c r="FP106" s="263">
        <v>0.43</v>
      </c>
      <c r="FQ106" s="263">
        <v>0.42</v>
      </c>
      <c r="FR106" s="263">
        <v>0.61</v>
      </c>
      <c r="FS106" s="263">
        <v>0.47</v>
      </c>
      <c r="FT106" s="263">
        <v>0.55000000000000004</v>
      </c>
      <c r="FU106" s="263">
        <v>0.38</v>
      </c>
      <c r="FV106" s="263">
        <v>0.65</v>
      </c>
      <c r="FW106" s="263">
        <v>0.55000000000000004</v>
      </c>
      <c r="FX106" s="263">
        <v>0.46</v>
      </c>
      <c r="FY106" s="263">
        <v>0.38</v>
      </c>
      <c r="FZ106" s="263">
        <v>0.46</v>
      </c>
      <c r="GA106" s="263">
        <v>0.5</v>
      </c>
      <c r="GB106" s="263">
        <v>0.56000000000000005</v>
      </c>
      <c r="GC106" s="263">
        <v>0.49</v>
      </c>
      <c r="GD106" s="263">
        <v>0.63</v>
      </c>
      <c r="GE106" s="263">
        <v>0.56000000000000005</v>
      </c>
      <c r="GF106" s="263">
        <v>0.5</v>
      </c>
      <c r="GG106" s="263">
        <v>0.5</v>
      </c>
      <c r="GH106" s="263">
        <v>0.56000000000000005</v>
      </c>
      <c r="GI106" s="263">
        <v>0.26</v>
      </c>
      <c r="GJ106" s="309">
        <v>51</v>
      </c>
      <c r="GK106" s="309" t="s">
        <v>758</v>
      </c>
      <c r="GL106" s="309">
        <v>9</v>
      </c>
      <c r="GM106" s="309" t="s">
        <v>758</v>
      </c>
      <c r="GN106" s="327">
        <v>0.13</v>
      </c>
      <c r="GO106" s="327">
        <v>0.54</v>
      </c>
      <c r="GP106" s="327">
        <v>0.31</v>
      </c>
      <c r="GQ106" s="327">
        <v>0.01</v>
      </c>
      <c r="GR106" s="327">
        <v>0.45</v>
      </c>
      <c r="GS106" s="327">
        <v>0.55000000000000004</v>
      </c>
      <c r="GT106" s="327">
        <v>0.57999999999999996</v>
      </c>
      <c r="GU106" s="327">
        <v>0.21</v>
      </c>
      <c r="GV106" s="327">
        <v>0.55000000000000004</v>
      </c>
      <c r="GW106" s="327">
        <v>0.5</v>
      </c>
      <c r="GX106" s="327">
        <v>0.47</v>
      </c>
      <c r="GY106" s="309" t="s">
        <v>173</v>
      </c>
      <c r="GZ106" s="327">
        <v>0.34</v>
      </c>
      <c r="HA106" s="327">
        <v>0.69</v>
      </c>
      <c r="HB106" s="327">
        <v>0.43</v>
      </c>
      <c r="HC106" s="327">
        <v>0.52</v>
      </c>
      <c r="HD106" s="327">
        <v>0.61</v>
      </c>
      <c r="HE106" s="327">
        <v>0.42</v>
      </c>
      <c r="HF106" s="327">
        <v>0.48</v>
      </c>
      <c r="HG106" s="327">
        <v>0.66</v>
      </c>
      <c r="HH106" s="327">
        <v>0.38</v>
      </c>
      <c r="HI106" s="327">
        <v>0.49</v>
      </c>
      <c r="HJ106" s="327">
        <v>0.6</v>
      </c>
      <c r="HK106" s="327">
        <v>0.53</v>
      </c>
      <c r="HL106" s="327">
        <v>0.41</v>
      </c>
      <c r="HM106" s="327">
        <v>0.49</v>
      </c>
      <c r="HN106" s="327">
        <v>0.48</v>
      </c>
      <c r="HO106" s="327">
        <v>0.44</v>
      </c>
      <c r="HP106" s="309" t="s">
        <v>173</v>
      </c>
      <c r="HQ106" s="327">
        <v>0.36</v>
      </c>
      <c r="HR106" s="424">
        <v>53</v>
      </c>
      <c r="HS106" s="424" t="s">
        <v>758</v>
      </c>
      <c r="HT106" s="424">
        <v>9</v>
      </c>
      <c r="HU106" s="424" t="s">
        <v>758</v>
      </c>
      <c r="HV106" s="428">
        <v>7.0000000000000007E-2</v>
      </c>
      <c r="HW106" s="428">
        <v>0.52</v>
      </c>
      <c r="HX106" s="428">
        <v>0.38</v>
      </c>
      <c r="HY106" s="428">
        <v>0.02</v>
      </c>
      <c r="HZ106" s="428">
        <v>0.34</v>
      </c>
      <c r="IA106" s="428">
        <v>0.49</v>
      </c>
      <c r="IB106" s="428">
        <v>0.32</v>
      </c>
      <c r="IC106" s="428">
        <v>0.45</v>
      </c>
      <c r="ID106" s="428">
        <v>0.62</v>
      </c>
      <c r="IE106" s="428">
        <v>0.3</v>
      </c>
      <c r="IF106" s="428">
        <v>0.37</v>
      </c>
      <c r="IG106" s="428">
        <v>0.49</v>
      </c>
      <c r="IH106" s="428">
        <v>0.46</v>
      </c>
      <c r="II106" s="428">
        <v>0.35</v>
      </c>
      <c r="IJ106" s="428">
        <v>0.24</v>
      </c>
      <c r="IK106" s="428">
        <v>0.55000000000000004</v>
      </c>
      <c r="IL106" s="428">
        <v>0.3</v>
      </c>
      <c r="IM106" s="428">
        <v>0.55000000000000004</v>
      </c>
      <c r="IN106" s="428">
        <v>0.43</v>
      </c>
      <c r="IO106" s="428">
        <v>0.47</v>
      </c>
      <c r="IP106" s="428">
        <v>0.37</v>
      </c>
      <c r="IQ106" s="428">
        <v>0.66</v>
      </c>
      <c r="IR106" s="428">
        <v>0.44</v>
      </c>
      <c r="IS106" s="428">
        <v>0.47</v>
      </c>
      <c r="IT106" s="428">
        <v>0.41</v>
      </c>
      <c r="IU106" s="424" t="s">
        <v>173</v>
      </c>
      <c r="IV106" s="428">
        <v>0.6</v>
      </c>
      <c r="IW106" s="428">
        <v>0.36</v>
      </c>
      <c r="IX106" s="428">
        <v>0.49</v>
      </c>
      <c r="IY106" s="428">
        <v>0.47</v>
      </c>
      <c r="IZ106" s="464">
        <v>53</v>
      </c>
      <c r="JA106" s="464" t="s">
        <v>758</v>
      </c>
      <c r="JB106" s="464">
        <v>8</v>
      </c>
      <c r="JC106" s="464" t="s">
        <v>758</v>
      </c>
      <c r="JD106" s="476">
        <v>0.08</v>
      </c>
      <c r="JE106" s="476">
        <v>0.52</v>
      </c>
      <c r="JF106" s="476">
        <v>0.37</v>
      </c>
      <c r="JG106" s="476">
        <v>0.03</v>
      </c>
      <c r="JH106" s="476">
        <v>0.43</v>
      </c>
      <c r="JI106" s="476">
        <v>0.43</v>
      </c>
      <c r="JJ106" s="476">
        <v>0.39</v>
      </c>
      <c r="JK106" s="476">
        <v>0.44</v>
      </c>
      <c r="JL106" s="476">
        <v>0.49</v>
      </c>
      <c r="JM106" s="476">
        <v>0.45</v>
      </c>
      <c r="JN106" s="476">
        <v>0.38</v>
      </c>
      <c r="JO106" s="476">
        <v>0.44</v>
      </c>
      <c r="JP106" s="476">
        <v>0.54</v>
      </c>
      <c r="JQ106" s="476">
        <v>0.23</v>
      </c>
      <c r="JR106" s="476">
        <v>0.55000000000000004</v>
      </c>
      <c r="JS106" s="476">
        <v>0.46</v>
      </c>
      <c r="JT106" s="476">
        <v>0.39</v>
      </c>
      <c r="JU106" s="476">
        <v>0.48</v>
      </c>
      <c r="JV106" s="476">
        <v>0.46</v>
      </c>
      <c r="JW106" s="476">
        <v>0.45</v>
      </c>
      <c r="JX106" s="476">
        <v>0.38</v>
      </c>
      <c r="JY106" s="476">
        <v>0.51</v>
      </c>
      <c r="JZ106" s="476">
        <v>0.42</v>
      </c>
      <c r="KA106" s="476">
        <v>0.64</v>
      </c>
      <c r="KB106" s="476">
        <v>0.44</v>
      </c>
      <c r="KC106" s="476">
        <v>0.67</v>
      </c>
      <c r="KD106" s="476">
        <v>0.34</v>
      </c>
      <c r="KE106" s="476">
        <v>0.5</v>
      </c>
      <c r="KF106" s="476">
        <v>0.43</v>
      </c>
      <c r="KG106" s="476">
        <v>0.46</v>
      </c>
      <c r="KH106" s="971">
        <v>53</v>
      </c>
      <c r="KI106" s="971" t="s">
        <v>758</v>
      </c>
      <c r="KJ106" s="971">
        <v>9</v>
      </c>
      <c r="KK106" s="971" t="s">
        <v>758</v>
      </c>
      <c r="KL106" s="949">
        <v>0.1</v>
      </c>
      <c r="KM106" s="949">
        <v>0.47</v>
      </c>
      <c r="KN106" s="949">
        <v>0.4</v>
      </c>
      <c r="KO106" s="949">
        <v>0.03</v>
      </c>
      <c r="KP106" s="949">
        <v>0.46</v>
      </c>
      <c r="KQ106" s="949">
        <v>0.28000000000000003</v>
      </c>
      <c r="KR106" s="949">
        <v>0.54</v>
      </c>
      <c r="KS106" s="949">
        <v>0.45</v>
      </c>
      <c r="KT106" s="949">
        <v>0.6</v>
      </c>
      <c r="KU106" s="949">
        <v>0.41</v>
      </c>
      <c r="KV106" s="949">
        <v>0.54</v>
      </c>
      <c r="KW106" s="949">
        <v>0.34</v>
      </c>
      <c r="KX106" s="949">
        <v>0.33</v>
      </c>
      <c r="KY106" s="949">
        <v>0.46</v>
      </c>
      <c r="KZ106" s="949">
        <v>0.36</v>
      </c>
      <c r="LA106" s="949">
        <v>0.37</v>
      </c>
      <c r="LB106" s="949">
        <v>0.4</v>
      </c>
      <c r="LC106" s="949">
        <v>0.36</v>
      </c>
      <c r="LD106" s="949">
        <v>0.51</v>
      </c>
      <c r="LE106" s="949">
        <v>0.48</v>
      </c>
      <c r="LF106" s="949">
        <v>0.3</v>
      </c>
      <c r="LG106" s="949">
        <v>0.5</v>
      </c>
      <c r="LH106" s="949">
        <v>0.54</v>
      </c>
      <c r="LI106" s="949">
        <v>0.44</v>
      </c>
      <c r="LJ106" s="949">
        <v>0.42</v>
      </c>
      <c r="LK106" s="949">
        <v>0.55000000000000004</v>
      </c>
      <c r="LL106" s="949" t="s">
        <v>173</v>
      </c>
      <c r="LM106" s="949">
        <v>0.49</v>
      </c>
      <c r="LN106" s="949">
        <v>0.62</v>
      </c>
      <c r="LO106" s="949">
        <v>0.4</v>
      </c>
      <c r="LP106" s="922">
        <v>125754005600</v>
      </c>
      <c r="LQ106" s="126" t="s">
        <v>773</v>
      </c>
      <c r="LR106" s="424">
        <v>53</v>
      </c>
      <c r="LS106" s="971">
        <v>53</v>
      </c>
      <c r="LT106" s="946"/>
    </row>
    <row r="107" spans="1:332" ht="24.95" customHeight="1" x14ac:dyDescent="0.2">
      <c r="A107" s="126" t="s">
        <v>78</v>
      </c>
      <c r="B107" s="1" t="s">
        <v>121</v>
      </c>
      <c r="C107" s="2">
        <v>1</v>
      </c>
      <c r="D107" s="12">
        <v>53</v>
      </c>
      <c r="E107" s="12">
        <v>7</v>
      </c>
      <c r="F107" s="66">
        <v>7.0000000000000007E-2</v>
      </c>
      <c r="G107" s="66">
        <v>0.56000000000000005</v>
      </c>
      <c r="H107" s="66">
        <v>0.37</v>
      </c>
      <c r="I107" s="66">
        <v>0</v>
      </c>
      <c r="J107" s="66">
        <v>0.53</v>
      </c>
      <c r="K107" s="66">
        <v>0.41</v>
      </c>
      <c r="L107" s="66">
        <v>0.82</v>
      </c>
      <c r="M107" s="66">
        <v>0.32</v>
      </c>
      <c r="N107" s="66">
        <v>0.3</v>
      </c>
      <c r="O107" s="66">
        <v>0.67</v>
      </c>
      <c r="P107" s="66">
        <v>0.4</v>
      </c>
      <c r="Q107" s="66">
        <v>0.48</v>
      </c>
      <c r="R107" s="66">
        <v>0.56999999999999995</v>
      </c>
      <c r="S107" s="66">
        <v>0.72</v>
      </c>
      <c r="T107" s="66">
        <v>0.48</v>
      </c>
      <c r="U107" s="66">
        <v>0.59</v>
      </c>
      <c r="V107" s="66">
        <v>0.11</v>
      </c>
      <c r="W107" s="66">
        <v>0.23</v>
      </c>
      <c r="X107" s="66">
        <v>0.5</v>
      </c>
      <c r="Y107" s="66">
        <v>0.52</v>
      </c>
      <c r="Z107" s="66">
        <v>0.5</v>
      </c>
      <c r="AA107" s="66">
        <v>0.18</v>
      </c>
      <c r="AB107" s="66">
        <v>0.52</v>
      </c>
      <c r="AC107" s="66">
        <v>0.26</v>
      </c>
      <c r="AD107" s="66">
        <v>0.53</v>
      </c>
      <c r="AE107" s="66">
        <v>0.43</v>
      </c>
      <c r="AF107" s="66">
        <v>0.59</v>
      </c>
      <c r="AG107" s="66">
        <v>0.54</v>
      </c>
      <c r="AH107" s="556">
        <v>52</v>
      </c>
      <c r="AI107" s="556">
        <v>7</v>
      </c>
      <c r="AJ107" s="40">
        <v>0.06</v>
      </c>
      <c r="AK107" s="40">
        <v>0.59</v>
      </c>
      <c r="AL107" s="40">
        <v>0.36</v>
      </c>
      <c r="AM107" s="40">
        <v>0</v>
      </c>
      <c r="AN107" s="40">
        <v>0.22</v>
      </c>
      <c r="AO107" s="40">
        <v>0.44</v>
      </c>
      <c r="AP107" s="40">
        <v>0.6</v>
      </c>
      <c r="AQ107" s="40">
        <v>0.39</v>
      </c>
      <c r="AR107" s="40">
        <v>0.56999999999999995</v>
      </c>
      <c r="AS107" s="40">
        <v>0.56999999999999995</v>
      </c>
      <c r="AT107" s="40">
        <v>0.46</v>
      </c>
      <c r="AU107" s="40">
        <v>0.5</v>
      </c>
      <c r="AV107" s="40">
        <v>0.66</v>
      </c>
      <c r="AW107" s="40">
        <v>0.52</v>
      </c>
      <c r="AX107" s="40">
        <v>0.55000000000000004</v>
      </c>
      <c r="AY107" s="40">
        <v>0.28999999999999998</v>
      </c>
      <c r="AZ107" s="40">
        <v>0.24</v>
      </c>
      <c r="BA107" s="40">
        <v>0.53</v>
      </c>
      <c r="BB107" s="40">
        <v>0.68</v>
      </c>
      <c r="BC107" s="40">
        <v>0.69</v>
      </c>
      <c r="BD107" s="40">
        <v>0.36</v>
      </c>
      <c r="BE107" s="40">
        <v>0.4</v>
      </c>
      <c r="BF107" s="40">
        <v>0.57999999999999996</v>
      </c>
      <c r="BG107" s="40">
        <v>0.52</v>
      </c>
      <c r="BH107" s="40">
        <v>0.45</v>
      </c>
      <c r="BI107" s="40">
        <v>0.37</v>
      </c>
      <c r="BJ107" s="40">
        <v>0.37</v>
      </c>
      <c r="BK107" s="40">
        <v>0.47</v>
      </c>
      <c r="BL107" s="40">
        <v>0.55000000000000004</v>
      </c>
      <c r="BM107" s="12">
        <v>49</v>
      </c>
      <c r="BN107" s="12">
        <v>7</v>
      </c>
      <c r="BO107" s="66">
        <v>0.13</v>
      </c>
      <c r="BP107" s="66">
        <v>0.63</v>
      </c>
      <c r="BQ107" s="66">
        <v>0.24</v>
      </c>
      <c r="BR107" s="66">
        <v>0</v>
      </c>
      <c r="BS107" s="66">
        <v>0.36</v>
      </c>
      <c r="BT107" s="66">
        <v>0.6</v>
      </c>
      <c r="BU107" s="66">
        <v>0.73</v>
      </c>
      <c r="BV107" s="66">
        <v>0.35</v>
      </c>
      <c r="BW107" s="66">
        <v>0.66</v>
      </c>
      <c r="BX107" s="66">
        <v>0.42</v>
      </c>
      <c r="BY107" s="66">
        <v>0.46</v>
      </c>
      <c r="BZ107" s="66">
        <v>0.5</v>
      </c>
      <c r="CA107" s="66">
        <v>0.47</v>
      </c>
      <c r="CB107" s="66">
        <v>0.33</v>
      </c>
      <c r="CC107" s="66">
        <v>0.26</v>
      </c>
      <c r="CD107" s="66">
        <v>0.47</v>
      </c>
      <c r="CE107" s="66">
        <v>0.42</v>
      </c>
      <c r="CF107" s="66">
        <v>0.59</v>
      </c>
      <c r="CG107" s="66">
        <v>0.6</v>
      </c>
      <c r="CH107" s="66">
        <v>0.51</v>
      </c>
      <c r="CI107" s="66">
        <v>0.56999999999999995</v>
      </c>
      <c r="CJ107" s="66">
        <v>0.38</v>
      </c>
      <c r="CK107" s="66">
        <v>0.69</v>
      </c>
      <c r="CL107" s="66">
        <v>0.34</v>
      </c>
      <c r="CM107" s="66">
        <v>0.49</v>
      </c>
      <c r="CN107" s="66">
        <v>0.51</v>
      </c>
      <c r="CO107" s="66">
        <v>0.55000000000000004</v>
      </c>
      <c r="CP107" s="66">
        <v>0.37</v>
      </c>
      <c r="CQ107" s="66">
        <v>0.55000000000000004</v>
      </c>
      <c r="CR107" s="66">
        <v>0.56999999999999995</v>
      </c>
      <c r="CS107" s="12">
        <v>48</v>
      </c>
      <c r="CT107" s="12">
        <v>8</v>
      </c>
      <c r="CU107" s="63">
        <v>0.21</v>
      </c>
      <c r="CV107" s="63">
        <v>0.57999999999999996</v>
      </c>
      <c r="CW107" s="63">
        <v>0.21</v>
      </c>
      <c r="CX107" s="63">
        <v>0</v>
      </c>
      <c r="CY107" s="63">
        <v>0.53</v>
      </c>
      <c r="CZ107" s="63">
        <v>0.35</v>
      </c>
      <c r="DA107" s="63">
        <v>0.56000000000000005</v>
      </c>
      <c r="DB107" s="63">
        <v>0.4</v>
      </c>
      <c r="DC107" s="63">
        <v>0.46</v>
      </c>
      <c r="DD107" s="63">
        <v>0.68</v>
      </c>
      <c r="DE107" s="63">
        <v>0.5</v>
      </c>
      <c r="DF107" s="63">
        <v>0.59</v>
      </c>
      <c r="DG107" s="63">
        <v>0.52</v>
      </c>
      <c r="DH107" s="63">
        <v>0.42</v>
      </c>
      <c r="DI107" s="63">
        <v>0.53</v>
      </c>
      <c r="DJ107" s="63">
        <v>0.56999999999999995</v>
      </c>
      <c r="DK107" s="63">
        <v>0.35</v>
      </c>
      <c r="DL107" s="63">
        <v>0.41</v>
      </c>
      <c r="DM107" s="63">
        <v>0.56999999999999995</v>
      </c>
      <c r="DN107" s="63">
        <v>0.49</v>
      </c>
      <c r="DO107" s="63">
        <v>0.46</v>
      </c>
      <c r="DP107" s="63">
        <v>0.39</v>
      </c>
      <c r="DQ107" s="63">
        <v>0.62</v>
      </c>
      <c r="DR107" s="63">
        <v>0.26</v>
      </c>
      <c r="DS107" s="63">
        <v>0.41</v>
      </c>
      <c r="DT107" s="63">
        <v>0.56000000000000005</v>
      </c>
      <c r="DU107" s="63">
        <v>0.49</v>
      </c>
      <c r="DV107" s="63">
        <v>0.59</v>
      </c>
      <c r="DW107" s="63">
        <v>0.4</v>
      </c>
      <c r="DX107" s="35">
        <v>49</v>
      </c>
      <c r="DY107" s="35">
        <v>8</v>
      </c>
      <c r="DZ107" s="40">
        <v>0.15</v>
      </c>
      <c r="EA107" s="40">
        <v>0.61</v>
      </c>
      <c r="EB107" s="40">
        <v>0.24</v>
      </c>
      <c r="EC107" s="40">
        <v>0</v>
      </c>
      <c r="ED107" s="40">
        <v>0.56000000000000005</v>
      </c>
      <c r="EE107" s="40">
        <v>0.47</v>
      </c>
      <c r="EF107" s="40">
        <v>0.43</v>
      </c>
      <c r="EG107" s="40">
        <v>0.32</v>
      </c>
      <c r="EH107" s="40">
        <v>0.38</v>
      </c>
      <c r="EI107" s="40">
        <v>0.52</v>
      </c>
      <c r="EJ107" s="40">
        <v>0.52</v>
      </c>
      <c r="EK107" s="40">
        <v>0.28999999999999998</v>
      </c>
      <c r="EL107" s="40">
        <v>0.45</v>
      </c>
      <c r="EM107" s="40">
        <v>0.7</v>
      </c>
      <c r="EN107" s="40">
        <v>0.52</v>
      </c>
      <c r="EO107" s="40">
        <v>0.51</v>
      </c>
      <c r="EP107" s="40">
        <v>0.36</v>
      </c>
      <c r="EQ107" s="40">
        <v>0.38</v>
      </c>
      <c r="ER107" s="40">
        <v>0.55000000000000004</v>
      </c>
      <c r="ES107" s="40">
        <v>0.45</v>
      </c>
      <c r="ET107" s="40">
        <v>0.33</v>
      </c>
      <c r="EU107" s="40">
        <v>0.61</v>
      </c>
      <c r="EV107" s="40">
        <v>0.53</v>
      </c>
      <c r="EW107" s="40">
        <v>0.35</v>
      </c>
      <c r="EX107" s="40">
        <v>0.68</v>
      </c>
      <c r="EY107" s="40">
        <v>0.64</v>
      </c>
      <c r="EZ107" s="40">
        <v>0.22</v>
      </c>
      <c r="FA107" s="40">
        <v>0.63</v>
      </c>
      <c r="FB107" s="246">
        <v>49</v>
      </c>
      <c r="FC107" s="246" t="s">
        <v>758</v>
      </c>
      <c r="FD107" s="246">
        <v>7</v>
      </c>
      <c r="FE107" s="246" t="s">
        <v>758</v>
      </c>
      <c r="FF107" s="263">
        <v>0.17</v>
      </c>
      <c r="FG107" s="263">
        <v>0.65</v>
      </c>
      <c r="FH107" s="263">
        <v>0.18</v>
      </c>
      <c r="FI107" s="263">
        <v>0</v>
      </c>
      <c r="FJ107" s="263">
        <v>0.44</v>
      </c>
      <c r="FK107" s="263">
        <v>0.66</v>
      </c>
      <c r="FL107" s="263">
        <v>0.49</v>
      </c>
      <c r="FM107" s="263">
        <v>0.51</v>
      </c>
      <c r="FN107" s="263">
        <v>0.32</v>
      </c>
      <c r="FO107" s="263">
        <v>0.35</v>
      </c>
      <c r="FP107" s="263">
        <v>0.47</v>
      </c>
      <c r="FQ107" s="263">
        <v>0.42</v>
      </c>
      <c r="FR107" s="263">
        <v>0.65</v>
      </c>
      <c r="FS107" s="263">
        <v>0.52</v>
      </c>
      <c r="FT107" s="263">
        <v>0.51</v>
      </c>
      <c r="FU107" s="263">
        <v>0.42</v>
      </c>
      <c r="FV107" s="263">
        <v>0.65</v>
      </c>
      <c r="FW107" s="263">
        <v>0.6</v>
      </c>
      <c r="FX107" s="263">
        <v>0.53</v>
      </c>
      <c r="FY107" s="263">
        <v>0.33</v>
      </c>
      <c r="FZ107" s="263">
        <v>0.43</v>
      </c>
      <c r="GA107" s="263">
        <v>0.51</v>
      </c>
      <c r="GB107" s="263">
        <v>0.5</v>
      </c>
      <c r="GC107" s="263">
        <v>0.43</v>
      </c>
      <c r="GD107" s="263">
        <v>0.62</v>
      </c>
      <c r="GE107" s="263">
        <v>0.56999999999999995</v>
      </c>
      <c r="GF107" s="263">
        <v>0.52</v>
      </c>
      <c r="GG107" s="263">
        <v>0.52</v>
      </c>
      <c r="GH107" s="263">
        <v>0.66</v>
      </c>
      <c r="GI107" s="263">
        <v>0.31</v>
      </c>
      <c r="GJ107" s="309">
        <v>49</v>
      </c>
      <c r="GK107" s="309" t="s">
        <v>758</v>
      </c>
      <c r="GL107" s="309">
        <v>8</v>
      </c>
      <c r="GM107" s="309" t="s">
        <v>758</v>
      </c>
      <c r="GN107" s="327">
        <v>0.15</v>
      </c>
      <c r="GO107" s="327">
        <v>0.6</v>
      </c>
      <c r="GP107" s="327">
        <v>0.25</v>
      </c>
      <c r="GQ107" s="327">
        <v>0</v>
      </c>
      <c r="GR107" s="327">
        <v>0.56000000000000005</v>
      </c>
      <c r="GS107" s="327">
        <v>0.57999999999999996</v>
      </c>
      <c r="GT107" s="327">
        <v>0.61</v>
      </c>
      <c r="GU107" s="327">
        <v>0.31</v>
      </c>
      <c r="GV107" s="327">
        <v>0.55000000000000004</v>
      </c>
      <c r="GW107" s="327">
        <v>0.47</v>
      </c>
      <c r="GX107" s="327">
        <v>0.49</v>
      </c>
      <c r="GY107" s="309" t="s">
        <v>173</v>
      </c>
      <c r="GZ107" s="327">
        <v>0.36</v>
      </c>
      <c r="HA107" s="327">
        <v>0.66</v>
      </c>
      <c r="HB107" s="327">
        <v>0.48</v>
      </c>
      <c r="HC107" s="327">
        <v>0.6</v>
      </c>
      <c r="HD107" s="327">
        <v>0.64</v>
      </c>
      <c r="HE107" s="327">
        <v>0.57999999999999996</v>
      </c>
      <c r="HF107" s="327">
        <v>0.51</v>
      </c>
      <c r="HG107" s="327">
        <v>0.67</v>
      </c>
      <c r="HH107" s="327">
        <v>0.43</v>
      </c>
      <c r="HI107" s="327">
        <v>0.5</v>
      </c>
      <c r="HJ107" s="327">
        <v>0.62</v>
      </c>
      <c r="HK107" s="327">
        <v>0.56000000000000005</v>
      </c>
      <c r="HL107" s="327">
        <v>0.48</v>
      </c>
      <c r="HM107" s="327">
        <v>0.56000000000000005</v>
      </c>
      <c r="HN107" s="327">
        <v>0.5</v>
      </c>
      <c r="HO107" s="327">
        <v>0.48</v>
      </c>
      <c r="HP107" s="309" t="s">
        <v>173</v>
      </c>
      <c r="HQ107" s="327">
        <v>0.43</v>
      </c>
      <c r="HR107" s="424">
        <v>48</v>
      </c>
      <c r="HS107" s="424" t="s">
        <v>758</v>
      </c>
      <c r="HT107" s="424">
        <v>8</v>
      </c>
      <c r="HU107" s="424" t="s">
        <v>758</v>
      </c>
      <c r="HV107" s="428">
        <v>0.18</v>
      </c>
      <c r="HW107" s="428">
        <v>0.64</v>
      </c>
      <c r="HX107" s="428">
        <v>0.18</v>
      </c>
      <c r="HY107" s="428">
        <v>0</v>
      </c>
      <c r="HZ107" s="428">
        <v>0.44</v>
      </c>
      <c r="IA107" s="428">
        <v>0.54</v>
      </c>
      <c r="IB107" s="428">
        <v>0.35</v>
      </c>
      <c r="IC107" s="428">
        <v>0.55000000000000004</v>
      </c>
      <c r="ID107" s="428">
        <v>0.67</v>
      </c>
      <c r="IE107" s="428">
        <v>0.43</v>
      </c>
      <c r="IF107" s="428">
        <v>0.45</v>
      </c>
      <c r="IG107" s="428">
        <v>0.57999999999999996</v>
      </c>
      <c r="IH107" s="428">
        <v>0.54</v>
      </c>
      <c r="II107" s="428">
        <v>0.35</v>
      </c>
      <c r="IJ107" s="428">
        <v>0.32</v>
      </c>
      <c r="IK107" s="428">
        <v>0.66</v>
      </c>
      <c r="IL107" s="428">
        <v>0.38</v>
      </c>
      <c r="IM107" s="428">
        <v>0.67</v>
      </c>
      <c r="IN107" s="428">
        <v>0.5</v>
      </c>
      <c r="IO107" s="428">
        <v>0.62</v>
      </c>
      <c r="IP107" s="428">
        <v>0.51</v>
      </c>
      <c r="IQ107" s="428">
        <v>0.67</v>
      </c>
      <c r="IR107" s="428">
        <v>0.59</v>
      </c>
      <c r="IS107" s="428">
        <v>0.51</v>
      </c>
      <c r="IT107" s="428">
        <v>0.43</v>
      </c>
      <c r="IU107" s="424" t="s">
        <v>173</v>
      </c>
      <c r="IV107" s="428">
        <v>0.63</v>
      </c>
      <c r="IW107" s="428">
        <v>0.41</v>
      </c>
      <c r="IX107" s="428">
        <v>0.69</v>
      </c>
      <c r="IY107" s="428">
        <v>0.55000000000000004</v>
      </c>
      <c r="IZ107" s="464">
        <v>48</v>
      </c>
      <c r="JA107" s="464" t="s">
        <v>758</v>
      </c>
      <c r="JB107" s="464">
        <v>8</v>
      </c>
      <c r="JC107" s="464" t="s">
        <v>758</v>
      </c>
      <c r="JD107" s="476">
        <v>0.17</v>
      </c>
      <c r="JE107" s="476">
        <v>0.63</v>
      </c>
      <c r="JF107" s="476">
        <v>0.19</v>
      </c>
      <c r="JG107" s="476">
        <v>0</v>
      </c>
      <c r="JH107" s="476">
        <v>0.51</v>
      </c>
      <c r="JI107" s="476">
        <v>0.49</v>
      </c>
      <c r="JJ107" s="476">
        <v>0.53</v>
      </c>
      <c r="JK107" s="476">
        <v>0.51</v>
      </c>
      <c r="JL107" s="476">
        <v>0.54</v>
      </c>
      <c r="JM107" s="476">
        <v>0.53</v>
      </c>
      <c r="JN107" s="476">
        <v>0.47</v>
      </c>
      <c r="JO107" s="476">
        <v>0.53</v>
      </c>
      <c r="JP107" s="476">
        <v>0.6</v>
      </c>
      <c r="JQ107" s="476">
        <v>0.33</v>
      </c>
      <c r="JR107" s="476">
        <v>0.68</v>
      </c>
      <c r="JS107" s="476">
        <v>0.62</v>
      </c>
      <c r="JT107" s="476">
        <v>0.47</v>
      </c>
      <c r="JU107" s="476">
        <v>0.56000000000000005</v>
      </c>
      <c r="JV107" s="476">
        <v>0.52</v>
      </c>
      <c r="JW107" s="476">
        <v>0.51</v>
      </c>
      <c r="JX107" s="476">
        <v>0.52</v>
      </c>
      <c r="JY107" s="476">
        <v>0.59</v>
      </c>
      <c r="JZ107" s="476">
        <v>0.55000000000000004</v>
      </c>
      <c r="KA107" s="476">
        <v>0.61</v>
      </c>
      <c r="KB107" s="476">
        <v>0.63</v>
      </c>
      <c r="KC107" s="476">
        <v>0.64</v>
      </c>
      <c r="KD107" s="476">
        <v>0.44</v>
      </c>
      <c r="KE107" s="476">
        <v>0.54</v>
      </c>
      <c r="KF107" s="476">
        <v>0.5</v>
      </c>
      <c r="KG107" s="476">
        <v>0.55000000000000004</v>
      </c>
      <c r="KH107" s="971">
        <v>47</v>
      </c>
      <c r="KI107" s="971" t="s">
        <v>758</v>
      </c>
      <c r="KJ107" s="971">
        <v>8</v>
      </c>
      <c r="KK107" s="971" t="s">
        <v>758</v>
      </c>
      <c r="KL107" s="949">
        <v>0.23</v>
      </c>
      <c r="KM107" s="949">
        <v>0.64</v>
      </c>
      <c r="KN107" s="949">
        <v>0.13</v>
      </c>
      <c r="KO107" s="949">
        <v>0</v>
      </c>
      <c r="KP107" s="949">
        <v>0.64</v>
      </c>
      <c r="KQ107" s="949">
        <v>0.42</v>
      </c>
      <c r="KR107" s="949">
        <v>0.65</v>
      </c>
      <c r="KS107" s="949">
        <v>0.52</v>
      </c>
      <c r="KT107" s="949">
        <v>0.65</v>
      </c>
      <c r="KU107" s="949">
        <v>0.5</v>
      </c>
      <c r="KV107" s="949">
        <v>0.66</v>
      </c>
      <c r="KW107" s="949">
        <v>0.41</v>
      </c>
      <c r="KX107" s="949">
        <v>0.41</v>
      </c>
      <c r="KY107" s="949">
        <v>0.65</v>
      </c>
      <c r="KZ107" s="949">
        <v>0.53</v>
      </c>
      <c r="LA107" s="949">
        <v>0.57999999999999996</v>
      </c>
      <c r="LB107" s="949">
        <v>0.49</v>
      </c>
      <c r="LC107" s="949">
        <v>0.49</v>
      </c>
      <c r="LD107" s="949">
        <v>0.67</v>
      </c>
      <c r="LE107" s="949">
        <v>0.56999999999999995</v>
      </c>
      <c r="LF107" s="949">
        <v>0.4</v>
      </c>
      <c r="LG107" s="949">
        <v>0.73</v>
      </c>
      <c r="LH107" s="949">
        <v>0.62</v>
      </c>
      <c r="LI107" s="949">
        <v>0.52</v>
      </c>
      <c r="LJ107" s="949">
        <v>0.5</v>
      </c>
      <c r="LK107" s="949">
        <v>0.59</v>
      </c>
      <c r="LL107" s="949" t="s">
        <v>173</v>
      </c>
      <c r="LM107" s="949">
        <v>0.72</v>
      </c>
      <c r="LN107" s="949">
        <v>0.66</v>
      </c>
      <c r="LO107" s="949">
        <v>0.56999999999999995</v>
      </c>
      <c r="LP107" s="922">
        <v>125754001418</v>
      </c>
      <c r="LQ107" s="126" t="s">
        <v>78</v>
      </c>
      <c r="LR107" s="424">
        <v>48</v>
      </c>
      <c r="LS107" s="971">
        <v>47</v>
      </c>
      <c r="LT107" s="946"/>
    </row>
    <row r="108" spans="1:332" ht="24.95" customHeight="1" x14ac:dyDescent="0.2">
      <c r="A108" s="36" t="s">
        <v>177</v>
      </c>
      <c r="B108" s="14" t="s">
        <v>121</v>
      </c>
      <c r="C108" s="2">
        <v>3</v>
      </c>
      <c r="D108" s="12">
        <v>53</v>
      </c>
      <c r="E108" s="12">
        <v>7</v>
      </c>
      <c r="F108" s="66">
        <v>0.04</v>
      </c>
      <c r="G108" s="66">
        <v>0.67</v>
      </c>
      <c r="H108" s="66">
        <v>0.28000000000000003</v>
      </c>
      <c r="I108" s="66">
        <v>0.01</v>
      </c>
      <c r="J108" s="66">
        <v>0.47</v>
      </c>
      <c r="K108" s="66">
        <v>0.47</v>
      </c>
      <c r="L108" s="66">
        <v>0.65</v>
      </c>
      <c r="M108" s="66">
        <v>0.32</v>
      </c>
      <c r="N108" s="66">
        <v>0.34</v>
      </c>
      <c r="O108" s="66">
        <v>0.71</v>
      </c>
      <c r="P108" s="66">
        <v>0.3</v>
      </c>
      <c r="Q108" s="66">
        <v>0.42</v>
      </c>
      <c r="R108" s="66">
        <v>0.52</v>
      </c>
      <c r="S108" s="66">
        <v>0.62</v>
      </c>
      <c r="T108" s="66">
        <v>0.46</v>
      </c>
      <c r="U108" s="66">
        <v>0.56999999999999995</v>
      </c>
      <c r="V108" s="66">
        <v>0.08</v>
      </c>
      <c r="W108" s="66">
        <v>0.13</v>
      </c>
      <c r="X108" s="66">
        <v>0.52</v>
      </c>
      <c r="Y108" s="66">
        <v>0.5</v>
      </c>
      <c r="Z108" s="66">
        <v>0.72</v>
      </c>
      <c r="AA108" s="66">
        <v>0.12</v>
      </c>
      <c r="AB108" s="66">
        <v>0.52</v>
      </c>
      <c r="AC108" s="66">
        <v>0.35</v>
      </c>
      <c r="AD108" s="66">
        <v>0.46</v>
      </c>
      <c r="AE108" s="66">
        <v>0.39</v>
      </c>
      <c r="AF108" s="66">
        <v>0.61</v>
      </c>
      <c r="AG108" s="66">
        <v>0.48</v>
      </c>
      <c r="AH108" s="12">
        <v>53</v>
      </c>
      <c r="AI108" s="12">
        <v>8</v>
      </c>
      <c r="AJ108" s="40">
        <v>0.08</v>
      </c>
      <c r="AK108" s="40">
        <v>0.54</v>
      </c>
      <c r="AL108" s="40">
        <v>0.38</v>
      </c>
      <c r="AM108" s="40">
        <v>0.01</v>
      </c>
      <c r="AN108" s="40">
        <v>0.34</v>
      </c>
      <c r="AO108" s="40">
        <v>0.47</v>
      </c>
      <c r="AP108" s="40">
        <v>0.61</v>
      </c>
      <c r="AQ108" s="40">
        <v>0.43</v>
      </c>
      <c r="AR108" s="40">
        <v>0.54</v>
      </c>
      <c r="AS108" s="40">
        <v>0.55000000000000004</v>
      </c>
      <c r="AT108" s="40">
        <v>0.51</v>
      </c>
      <c r="AU108" s="40">
        <v>0.55000000000000004</v>
      </c>
      <c r="AV108" s="40">
        <v>0.63</v>
      </c>
      <c r="AW108" s="40">
        <v>0.53</v>
      </c>
      <c r="AX108" s="40">
        <v>0.62</v>
      </c>
      <c r="AY108" s="40">
        <v>0.32</v>
      </c>
      <c r="AZ108" s="40">
        <v>0.27</v>
      </c>
      <c r="BA108" s="40">
        <v>0.49</v>
      </c>
      <c r="BB108" s="40">
        <v>0.66</v>
      </c>
      <c r="BC108" s="40">
        <v>0.66</v>
      </c>
      <c r="BD108" s="40">
        <v>0.43</v>
      </c>
      <c r="BE108" s="40">
        <v>0.6</v>
      </c>
      <c r="BF108" s="40">
        <v>0.56999999999999995</v>
      </c>
      <c r="BG108" s="40">
        <v>0.5</v>
      </c>
      <c r="BH108" s="40">
        <v>0.45</v>
      </c>
      <c r="BI108" s="40">
        <v>0.39</v>
      </c>
      <c r="BJ108" s="40">
        <v>0.34</v>
      </c>
      <c r="BK108" s="40">
        <v>0.47</v>
      </c>
      <c r="BL108" s="40">
        <v>0.5</v>
      </c>
      <c r="BM108" s="12">
        <v>51</v>
      </c>
      <c r="BN108" s="12">
        <v>8</v>
      </c>
      <c r="BO108" s="66">
        <v>0.11</v>
      </c>
      <c r="BP108" s="66">
        <v>0.57999999999999996</v>
      </c>
      <c r="BQ108" s="66">
        <v>0.3</v>
      </c>
      <c r="BR108" s="66">
        <v>0.01</v>
      </c>
      <c r="BS108" s="66">
        <v>0.33</v>
      </c>
      <c r="BT108" s="66">
        <v>0.51</v>
      </c>
      <c r="BU108" s="66">
        <v>0.67</v>
      </c>
      <c r="BV108" s="66">
        <v>0.34</v>
      </c>
      <c r="BW108" s="66">
        <v>0.63</v>
      </c>
      <c r="BX108" s="66">
        <v>0.36</v>
      </c>
      <c r="BY108" s="66">
        <v>0.43</v>
      </c>
      <c r="BZ108" s="66">
        <v>0.52</v>
      </c>
      <c r="CA108" s="66">
        <v>0.45</v>
      </c>
      <c r="CB108" s="66">
        <v>0.36</v>
      </c>
      <c r="CC108" s="66">
        <v>0.21</v>
      </c>
      <c r="CD108" s="66">
        <v>0.45</v>
      </c>
      <c r="CE108" s="66">
        <v>0.35</v>
      </c>
      <c r="CF108" s="66">
        <v>0.55000000000000004</v>
      </c>
      <c r="CG108" s="66">
        <v>0.61</v>
      </c>
      <c r="CH108" s="66">
        <v>0.45</v>
      </c>
      <c r="CI108" s="66">
        <v>0.52</v>
      </c>
      <c r="CJ108" s="66">
        <v>0.36</v>
      </c>
      <c r="CK108" s="66">
        <v>0.68</v>
      </c>
      <c r="CL108" s="66">
        <v>0.34</v>
      </c>
      <c r="CM108" s="66">
        <v>0.47</v>
      </c>
      <c r="CN108" s="66">
        <v>0.49</v>
      </c>
      <c r="CO108" s="66">
        <v>0.47</v>
      </c>
      <c r="CP108" s="66">
        <v>0.36</v>
      </c>
      <c r="CQ108" s="66">
        <v>0.5</v>
      </c>
      <c r="CR108" s="66">
        <v>0.57999999999999996</v>
      </c>
      <c r="CS108" s="12">
        <v>50</v>
      </c>
      <c r="CT108" s="12">
        <v>8</v>
      </c>
      <c r="CU108" s="63">
        <v>0.15</v>
      </c>
      <c r="CV108" s="63">
        <v>0.59</v>
      </c>
      <c r="CW108" s="63">
        <v>0.26</v>
      </c>
      <c r="CX108" s="63">
        <v>0</v>
      </c>
      <c r="CY108" s="63">
        <v>0.51</v>
      </c>
      <c r="CZ108" s="63">
        <v>0.31</v>
      </c>
      <c r="DA108" s="63">
        <v>0.61</v>
      </c>
      <c r="DB108" s="63">
        <v>0.4</v>
      </c>
      <c r="DC108" s="63">
        <v>0.46</v>
      </c>
      <c r="DD108" s="63">
        <v>0.62</v>
      </c>
      <c r="DE108" s="63">
        <v>0.46</v>
      </c>
      <c r="DF108" s="63">
        <v>0.54</v>
      </c>
      <c r="DG108" s="63">
        <v>0.48</v>
      </c>
      <c r="DH108" s="63">
        <v>0.39</v>
      </c>
      <c r="DI108" s="63">
        <v>0.54</v>
      </c>
      <c r="DJ108" s="63">
        <v>0.53</v>
      </c>
      <c r="DK108" s="63">
        <v>0.4</v>
      </c>
      <c r="DL108" s="63">
        <v>0.41</v>
      </c>
      <c r="DM108" s="63">
        <v>0.51</v>
      </c>
      <c r="DN108" s="63">
        <v>0.49</v>
      </c>
      <c r="DO108" s="63">
        <v>0.43</v>
      </c>
      <c r="DP108" s="63">
        <v>0.47</v>
      </c>
      <c r="DQ108" s="63">
        <v>0.56999999999999995</v>
      </c>
      <c r="DR108" s="63">
        <v>0.22</v>
      </c>
      <c r="DS108" s="63">
        <v>0.43</v>
      </c>
      <c r="DT108" s="63">
        <v>0.57999999999999996</v>
      </c>
      <c r="DU108" s="63">
        <v>0.49</v>
      </c>
      <c r="DV108" s="63">
        <v>0.63</v>
      </c>
      <c r="DW108" s="63">
        <v>0.4</v>
      </c>
      <c r="DX108" s="35">
        <v>52</v>
      </c>
      <c r="DY108" s="35">
        <v>9</v>
      </c>
      <c r="DZ108" s="40">
        <v>0.11</v>
      </c>
      <c r="EA108" s="40">
        <v>0.56000000000000005</v>
      </c>
      <c r="EB108" s="40">
        <v>0.32</v>
      </c>
      <c r="EC108" s="40">
        <v>0.01</v>
      </c>
      <c r="ED108" s="40">
        <v>0.46</v>
      </c>
      <c r="EE108" s="40">
        <v>0.43</v>
      </c>
      <c r="EF108" s="40">
        <v>0.46</v>
      </c>
      <c r="EG108" s="40">
        <v>0.2</v>
      </c>
      <c r="EH108" s="40">
        <v>0.38</v>
      </c>
      <c r="EI108" s="40">
        <v>0.51</v>
      </c>
      <c r="EJ108" s="40">
        <v>0.56000000000000005</v>
      </c>
      <c r="EK108" s="40">
        <v>0.21</v>
      </c>
      <c r="EL108" s="40">
        <v>0.44</v>
      </c>
      <c r="EM108" s="40">
        <v>0.61</v>
      </c>
      <c r="EN108" s="40">
        <v>0.34</v>
      </c>
      <c r="EO108" s="40">
        <v>0.55000000000000004</v>
      </c>
      <c r="EP108" s="40">
        <v>0.3</v>
      </c>
      <c r="EQ108" s="40">
        <v>0.21</v>
      </c>
      <c r="ER108" s="40">
        <v>0.62</v>
      </c>
      <c r="ES108" s="40">
        <v>0.41</v>
      </c>
      <c r="ET108" s="40">
        <v>0.34</v>
      </c>
      <c r="EU108" s="40">
        <v>0.46</v>
      </c>
      <c r="EV108" s="40">
        <v>0.39</v>
      </c>
      <c r="EW108" s="40">
        <v>0.31</v>
      </c>
      <c r="EX108" s="40">
        <v>0.57999999999999996</v>
      </c>
      <c r="EY108" s="40">
        <v>0.51</v>
      </c>
      <c r="EZ108" s="40">
        <v>0.22</v>
      </c>
      <c r="FA108" s="40">
        <v>0.57999999999999996</v>
      </c>
      <c r="FB108" s="246">
        <v>51</v>
      </c>
      <c r="FC108" s="246" t="s">
        <v>758</v>
      </c>
      <c r="FD108" s="246">
        <v>8</v>
      </c>
      <c r="FE108" s="246" t="s">
        <v>758</v>
      </c>
      <c r="FF108" s="263">
        <v>0.1</v>
      </c>
      <c r="FG108" s="263">
        <v>0.6</v>
      </c>
      <c r="FH108" s="263">
        <v>0.28999999999999998</v>
      </c>
      <c r="FI108" s="263">
        <v>0.01</v>
      </c>
      <c r="FJ108" s="263">
        <v>0.42</v>
      </c>
      <c r="FK108" s="263">
        <v>0.67</v>
      </c>
      <c r="FL108" s="263">
        <v>0.49</v>
      </c>
      <c r="FM108" s="263">
        <v>0.39</v>
      </c>
      <c r="FN108" s="263">
        <v>0.24</v>
      </c>
      <c r="FO108" s="263">
        <v>0.31</v>
      </c>
      <c r="FP108" s="263">
        <v>0.38</v>
      </c>
      <c r="FQ108" s="263">
        <v>0.38</v>
      </c>
      <c r="FR108" s="263">
        <v>0.55000000000000004</v>
      </c>
      <c r="FS108" s="263">
        <v>0.55000000000000004</v>
      </c>
      <c r="FT108" s="263">
        <v>0.49</v>
      </c>
      <c r="FU108" s="263">
        <v>0.39</v>
      </c>
      <c r="FV108" s="263">
        <v>0.52</v>
      </c>
      <c r="FW108" s="263">
        <v>0.53</v>
      </c>
      <c r="FX108" s="263">
        <v>0.41</v>
      </c>
      <c r="FY108" s="263">
        <v>0.36</v>
      </c>
      <c r="FZ108" s="263">
        <v>0.41</v>
      </c>
      <c r="GA108" s="263">
        <v>0.45</v>
      </c>
      <c r="GB108" s="263">
        <v>0.53</v>
      </c>
      <c r="GC108" s="263">
        <v>0.42</v>
      </c>
      <c r="GD108" s="263">
        <v>0.56999999999999995</v>
      </c>
      <c r="GE108" s="263">
        <v>0.51</v>
      </c>
      <c r="GF108" s="263">
        <v>0.48</v>
      </c>
      <c r="GG108" s="263">
        <v>0.44</v>
      </c>
      <c r="GH108" s="263">
        <v>0.54</v>
      </c>
      <c r="GI108" s="263">
        <v>0.26</v>
      </c>
      <c r="GJ108" s="309">
        <v>51</v>
      </c>
      <c r="GK108" s="309" t="s">
        <v>758</v>
      </c>
      <c r="GL108" s="309">
        <v>9</v>
      </c>
      <c r="GM108" s="309" t="s">
        <v>758</v>
      </c>
      <c r="GN108" s="327">
        <v>0.12</v>
      </c>
      <c r="GO108" s="327">
        <v>0.56000000000000005</v>
      </c>
      <c r="GP108" s="327">
        <v>0.31</v>
      </c>
      <c r="GQ108" s="327">
        <v>0.01</v>
      </c>
      <c r="GR108" s="327">
        <v>0.45</v>
      </c>
      <c r="GS108" s="327">
        <v>0.51</v>
      </c>
      <c r="GT108" s="327">
        <v>0.62</v>
      </c>
      <c r="GU108" s="327">
        <v>0.19</v>
      </c>
      <c r="GV108" s="327">
        <v>0.54</v>
      </c>
      <c r="GW108" s="327">
        <v>0.5</v>
      </c>
      <c r="GX108" s="327">
        <v>0.42</v>
      </c>
      <c r="GY108" s="309" t="s">
        <v>173</v>
      </c>
      <c r="GZ108" s="327">
        <v>0.34</v>
      </c>
      <c r="HA108" s="327">
        <v>0.66</v>
      </c>
      <c r="HB108" s="327">
        <v>0.45</v>
      </c>
      <c r="HC108" s="327">
        <v>0.49</v>
      </c>
      <c r="HD108" s="327">
        <v>0.56999999999999995</v>
      </c>
      <c r="HE108" s="327">
        <v>0.46</v>
      </c>
      <c r="HF108" s="327">
        <v>0.48</v>
      </c>
      <c r="HG108" s="327">
        <v>0.64</v>
      </c>
      <c r="HH108" s="327">
        <v>0.36</v>
      </c>
      <c r="HI108" s="327">
        <v>0.49</v>
      </c>
      <c r="HJ108" s="327">
        <v>0.56000000000000005</v>
      </c>
      <c r="HK108" s="327">
        <v>0.44</v>
      </c>
      <c r="HL108" s="327">
        <v>0.44</v>
      </c>
      <c r="HM108" s="327">
        <v>0.44</v>
      </c>
      <c r="HN108" s="327">
        <v>0.45</v>
      </c>
      <c r="HO108" s="327">
        <v>0.41</v>
      </c>
      <c r="HP108" s="309" t="s">
        <v>173</v>
      </c>
      <c r="HQ108" s="327">
        <v>0.43</v>
      </c>
      <c r="HR108" s="424">
        <v>52</v>
      </c>
      <c r="HS108" s="424" t="s">
        <v>758</v>
      </c>
      <c r="HT108" s="424">
        <v>9</v>
      </c>
      <c r="HU108" s="424" t="s">
        <v>758</v>
      </c>
      <c r="HV108" s="428">
        <v>0.12</v>
      </c>
      <c r="HW108" s="428">
        <v>0.51</v>
      </c>
      <c r="HX108" s="428">
        <v>0.36</v>
      </c>
      <c r="HY108" s="428">
        <v>0.02</v>
      </c>
      <c r="HZ108" s="428">
        <v>0.36</v>
      </c>
      <c r="IA108" s="428">
        <v>0.49</v>
      </c>
      <c r="IB108" s="428">
        <v>0.3</v>
      </c>
      <c r="IC108" s="428">
        <v>0.47</v>
      </c>
      <c r="ID108" s="428">
        <v>0.61</v>
      </c>
      <c r="IE108" s="428">
        <v>0.34</v>
      </c>
      <c r="IF108" s="428">
        <v>0.4</v>
      </c>
      <c r="IG108" s="428">
        <v>0.52</v>
      </c>
      <c r="IH108" s="428">
        <v>0.45</v>
      </c>
      <c r="II108" s="428">
        <v>0.26</v>
      </c>
      <c r="IJ108" s="428">
        <v>0.25</v>
      </c>
      <c r="IK108" s="428">
        <v>0.57999999999999996</v>
      </c>
      <c r="IL108" s="428">
        <v>0.33</v>
      </c>
      <c r="IM108" s="428">
        <v>0.55000000000000004</v>
      </c>
      <c r="IN108" s="428">
        <v>0.45</v>
      </c>
      <c r="IO108" s="428">
        <v>0.56999999999999995</v>
      </c>
      <c r="IP108" s="428">
        <v>0.38</v>
      </c>
      <c r="IQ108" s="428">
        <v>0.64</v>
      </c>
      <c r="IR108" s="428">
        <v>0.56000000000000005</v>
      </c>
      <c r="IS108" s="428">
        <v>0.5</v>
      </c>
      <c r="IT108" s="428">
        <v>0.41</v>
      </c>
      <c r="IU108" s="424" t="s">
        <v>173</v>
      </c>
      <c r="IV108" s="428">
        <v>0.64</v>
      </c>
      <c r="IW108" s="428">
        <v>0.41</v>
      </c>
      <c r="IX108" s="428">
        <v>0.5</v>
      </c>
      <c r="IY108" s="428">
        <v>0.51</v>
      </c>
      <c r="IZ108" s="464">
        <v>53</v>
      </c>
      <c r="JA108" s="464" t="s">
        <v>758</v>
      </c>
      <c r="JB108" s="464">
        <v>9</v>
      </c>
      <c r="JC108" s="464" t="s">
        <v>758</v>
      </c>
      <c r="JD108" s="476">
        <v>0.11</v>
      </c>
      <c r="JE108" s="476">
        <v>0.48</v>
      </c>
      <c r="JF108" s="476">
        <v>0.39</v>
      </c>
      <c r="JG108" s="476">
        <v>0.02</v>
      </c>
      <c r="JH108" s="476">
        <v>0.43</v>
      </c>
      <c r="JI108" s="476">
        <v>0.44</v>
      </c>
      <c r="JJ108" s="476">
        <v>0.37</v>
      </c>
      <c r="JK108" s="476">
        <v>0.47</v>
      </c>
      <c r="JL108" s="476">
        <v>0.46</v>
      </c>
      <c r="JM108" s="476">
        <v>0.48</v>
      </c>
      <c r="JN108" s="476">
        <v>0.38</v>
      </c>
      <c r="JO108" s="476">
        <v>0.42</v>
      </c>
      <c r="JP108" s="476">
        <v>0.51</v>
      </c>
      <c r="JQ108" s="476">
        <v>0.22</v>
      </c>
      <c r="JR108" s="476">
        <v>0.53</v>
      </c>
      <c r="JS108" s="476">
        <v>0.46</v>
      </c>
      <c r="JT108" s="476">
        <v>0.4</v>
      </c>
      <c r="JU108" s="476">
        <v>0.48</v>
      </c>
      <c r="JV108" s="476">
        <v>0.45</v>
      </c>
      <c r="JW108" s="476">
        <v>0.46</v>
      </c>
      <c r="JX108" s="476">
        <v>0.41</v>
      </c>
      <c r="JY108" s="476">
        <v>0.51</v>
      </c>
      <c r="JZ108" s="476">
        <v>0.44</v>
      </c>
      <c r="KA108" s="476">
        <v>0.59</v>
      </c>
      <c r="KB108" s="476">
        <v>0.44</v>
      </c>
      <c r="KC108" s="476">
        <v>0.64</v>
      </c>
      <c r="KD108" s="476">
        <v>0.33</v>
      </c>
      <c r="KE108" s="476">
        <v>0.48</v>
      </c>
      <c r="KF108" s="476">
        <v>0.45</v>
      </c>
      <c r="KG108" s="476">
        <v>0.49</v>
      </c>
      <c r="KH108" s="971">
        <v>53</v>
      </c>
      <c r="KI108" s="971" t="s">
        <v>758</v>
      </c>
      <c r="KJ108" s="971">
        <v>8</v>
      </c>
      <c r="KK108" s="971" t="s">
        <v>758</v>
      </c>
      <c r="KL108" s="949">
        <v>7.0000000000000007E-2</v>
      </c>
      <c r="KM108" s="949">
        <v>0.55000000000000004</v>
      </c>
      <c r="KN108" s="949">
        <v>0.36</v>
      </c>
      <c r="KO108" s="949">
        <v>0.02</v>
      </c>
      <c r="KP108" s="949">
        <v>0.46</v>
      </c>
      <c r="KQ108" s="949">
        <v>0.23</v>
      </c>
      <c r="KR108" s="949">
        <v>0.56999999999999995</v>
      </c>
      <c r="KS108" s="949">
        <v>0.45</v>
      </c>
      <c r="KT108" s="949">
        <v>0.54</v>
      </c>
      <c r="KU108" s="949">
        <v>0.39</v>
      </c>
      <c r="KV108" s="949">
        <v>0.57999999999999996</v>
      </c>
      <c r="KW108" s="949">
        <v>0.33</v>
      </c>
      <c r="KX108" s="949">
        <v>0.3</v>
      </c>
      <c r="KY108" s="949">
        <v>0.49</v>
      </c>
      <c r="KZ108" s="949">
        <v>0.36</v>
      </c>
      <c r="LA108" s="949">
        <v>0.38</v>
      </c>
      <c r="LB108" s="949">
        <v>0.38</v>
      </c>
      <c r="LC108" s="949">
        <v>0.34</v>
      </c>
      <c r="LD108" s="949">
        <v>0.53</v>
      </c>
      <c r="LE108" s="949">
        <v>0.48</v>
      </c>
      <c r="LF108" s="949">
        <v>0.33</v>
      </c>
      <c r="LG108" s="949">
        <v>0.41</v>
      </c>
      <c r="LH108" s="949">
        <v>0.52</v>
      </c>
      <c r="LI108" s="949">
        <v>0.43</v>
      </c>
      <c r="LJ108" s="949">
        <v>0.36</v>
      </c>
      <c r="LK108" s="949">
        <v>0.53</v>
      </c>
      <c r="LL108" s="949" t="s">
        <v>173</v>
      </c>
      <c r="LM108" s="949">
        <v>0.55000000000000004</v>
      </c>
      <c r="LN108" s="949">
        <v>0.56000000000000005</v>
      </c>
      <c r="LO108" s="949">
        <v>0.42</v>
      </c>
      <c r="LP108" s="922">
        <v>125754005464</v>
      </c>
      <c r="LQ108" s="36" t="s">
        <v>177</v>
      </c>
      <c r="LR108" s="424">
        <v>52</v>
      </c>
      <c r="LS108" s="971">
        <v>53</v>
      </c>
      <c r="LT108" s="946"/>
    </row>
    <row r="109" spans="1:332" ht="24.95" customHeight="1" x14ac:dyDescent="0.2">
      <c r="A109" s="126" t="s">
        <v>61</v>
      </c>
      <c r="B109" s="1" t="s">
        <v>121</v>
      </c>
      <c r="C109" s="2">
        <v>4</v>
      </c>
      <c r="D109" s="12">
        <v>50</v>
      </c>
      <c r="E109" s="12">
        <v>7</v>
      </c>
      <c r="F109" s="66">
        <v>0.1</v>
      </c>
      <c r="G109" s="66">
        <v>0.7</v>
      </c>
      <c r="H109" s="66">
        <v>0.19</v>
      </c>
      <c r="I109" s="66">
        <v>0</v>
      </c>
      <c r="J109" s="66">
        <v>0.49</v>
      </c>
      <c r="K109" s="66">
        <v>0.43</v>
      </c>
      <c r="L109" s="66">
        <v>0.8</v>
      </c>
      <c r="M109" s="66">
        <v>0.35</v>
      </c>
      <c r="N109" s="66">
        <v>0.36</v>
      </c>
      <c r="O109" s="66">
        <v>0.7</v>
      </c>
      <c r="P109" s="66">
        <v>0.4</v>
      </c>
      <c r="Q109" s="66">
        <v>0.43</v>
      </c>
      <c r="R109" s="66">
        <v>0.61</v>
      </c>
      <c r="S109" s="66">
        <v>0.65</v>
      </c>
      <c r="T109" s="66">
        <v>0.56999999999999995</v>
      </c>
      <c r="U109" s="66">
        <v>0.69</v>
      </c>
      <c r="V109" s="66">
        <v>0.16</v>
      </c>
      <c r="W109" s="66">
        <v>0.27</v>
      </c>
      <c r="X109" s="66">
        <v>0.56000000000000005</v>
      </c>
      <c r="Y109" s="66">
        <v>0.61</v>
      </c>
      <c r="Z109" s="12" t="s">
        <v>173</v>
      </c>
      <c r="AA109" s="66">
        <v>0.12</v>
      </c>
      <c r="AB109" s="66">
        <v>0.5</v>
      </c>
      <c r="AC109" s="66">
        <v>0.42</v>
      </c>
      <c r="AD109" s="66">
        <v>0.48</v>
      </c>
      <c r="AE109" s="66">
        <v>0.43</v>
      </c>
      <c r="AF109" s="66">
        <v>0.51</v>
      </c>
      <c r="AG109" s="66">
        <v>0.63</v>
      </c>
      <c r="AH109" s="12">
        <v>49</v>
      </c>
      <c r="AI109" s="12">
        <v>8</v>
      </c>
      <c r="AJ109" s="40">
        <v>0.15</v>
      </c>
      <c r="AK109" s="40">
        <v>0.68</v>
      </c>
      <c r="AL109" s="40">
        <v>0.16</v>
      </c>
      <c r="AM109" s="40">
        <v>0.02</v>
      </c>
      <c r="AN109" s="40">
        <v>0.32</v>
      </c>
      <c r="AO109" s="40">
        <v>0.53</v>
      </c>
      <c r="AP109" s="40">
        <v>0.54</v>
      </c>
      <c r="AQ109" s="40">
        <v>0.5</v>
      </c>
      <c r="AR109" s="40">
        <v>0.59</v>
      </c>
      <c r="AS109" s="40">
        <v>0.54</v>
      </c>
      <c r="AT109" s="40">
        <v>0.53</v>
      </c>
      <c r="AU109" s="40">
        <v>0.6</v>
      </c>
      <c r="AV109" s="40">
        <v>0.66</v>
      </c>
      <c r="AW109" s="40">
        <v>0.56999999999999995</v>
      </c>
      <c r="AX109" s="40">
        <v>0.63</v>
      </c>
      <c r="AY109" s="40">
        <v>0.39</v>
      </c>
      <c r="AZ109" s="40">
        <v>0.32</v>
      </c>
      <c r="BA109" s="40">
        <v>0.5</v>
      </c>
      <c r="BB109" s="40">
        <v>0.66</v>
      </c>
      <c r="BC109" s="40">
        <v>0.7</v>
      </c>
      <c r="BD109" s="40">
        <v>0.46</v>
      </c>
      <c r="BE109" s="40">
        <v>0.55000000000000004</v>
      </c>
      <c r="BF109" s="40">
        <v>0.6</v>
      </c>
      <c r="BG109" s="40">
        <v>0.5</v>
      </c>
      <c r="BH109" s="40">
        <v>0.52</v>
      </c>
      <c r="BI109" s="40">
        <v>0.44</v>
      </c>
      <c r="BJ109" s="40">
        <v>0.45</v>
      </c>
      <c r="BK109" s="40">
        <v>0.53</v>
      </c>
      <c r="BL109" s="40">
        <v>0.53</v>
      </c>
      <c r="BM109" s="12">
        <v>47</v>
      </c>
      <c r="BN109" s="12">
        <v>8</v>
      </c>
      <c r="BO109" s="66">
        <v>0.22</v>
      </c>
      <c r="BP109" s="66">
        <v>0.59</v>
      </c>
      <c r="BQ109" s="66">
        <v>0.19</v>
      </c>
      <c r="BR109" s="66">
        <v>0</v>
      </c>
      <c r="BS109" s="66">
        <v>0.32</v>
      </c>
      <c r="BT109" s="66">
        <v>0.57999999999999996</v>
      </c>
      <c r="BU109" s="66">
        <v>0.66</v>
      </c>
      <c r="BV109" s="66">
        <v>0.51</v>
      </c>
      <c r="BW109" s="66">
        <v>0.66</v>
      </c>
      <c r="BX109" s="66">
        <v>0.43</v>
      </c>
      <c r="BY109" s="66">
        <v>0.51</v>
      </c>
      <c r="BZ109" s="66">
        <v>0.6</v>
      </c>
      <c r="CA109" s="66">
        <v>0.53</v>
      </c>
      <c r="CB109" s="66">
        <v>0.43</v>
      </c>
      <c r="CC109" s="66">
        <v>0.31</v>
      </c>
      <c r="CD109" s="66">
        <v>0.5</v>
      </c>
      <c r="CE109" s="66">
        <v>0.46</v>
      </c>
      <c r="CF109" s="66">
        <v>0.61</v>
      </c>
      <c r="CG109" s="66">
        <v>0.63</v>
      </c>
      <c r="CH109" s="66">
        <v>0.49</v>
      </c>
      <c r="CI109" s="66">
        <v>0.62</v>
      </c>
      <c r="CJ109" s="66">
        <v>0.43</v>
      </c>
      <c r="CK109" s="66">
        <v>0.71</v>
      </c>
      <c r="CL109" s="66">
        <v>0.4</v>
      </c>
      <c r="CM109" s="66">
        <v>0.56000000000000005</v>
      </c>
      <c r="CN109" s="66">
        <v>0.54</v>
      </c>
      <c r="CO109" s="66">
        <v>0.46</v>
      </c>
      <c r="CP109" s="66">
        <v>0.44</v>
      </c>
      <c r="CQ109" s="66">
        <v>0.55000000000000004</v>
      </c>
      <c r="CR109" s="66">
        <v>0.55000000000000004</v>
      </c>
      <c r="CS109" s="12">
        <v>44</v>
      </c>
      <c r="CT109" s="12">
        <v>8</v>
      </c>
      <c r="CU109" s="63">
        <v>0.36</v>
      </c>
      <c r="CV109" s="63">
        <v>0.56000000000000005</v>
      </c>
      <c r="CW109" s="63">
        <v>0.09</v>
      </c>
      <c r="CX109" s="63">
        <v>0</v>
      </c>
      <c r="CY109" s="63">
        <v>0.62</v>
      </c>
      <c r="CZ109" s="63">
        <v>0.38</v>
      </c>
      <c r="DA109" s="63">
        <v>0.65</v>
      </c>
      <c r="DB109" s="63">
        <v>0.44</v>
      </c>
      <c r="DC109" s="63">
        <v>0.52</v>
      </c>
      <c r="DD109" s="63">
        <v>0.63</v>
      </c>
      <c r="DE109" s="63">
        <v>0.57999999999999996</v>
      </c>
      <c r="DF109" s="63">
        <v>0.63</v>
      </c>
      <c r="DG109" s="63">
        <v>0.52</v>
      </c>
      <c r="DH109" s="63">
        <v>0.45</v>
      </c>
      <c r="DI109" s="63">
        <v>0.69</v>
      </c>
      <c r="DJ109" s="63">
        <v>0.65</v>
      </c>
      <c r="DK109" s="63">
        <v>0.52</v>
      </c>
      <c r="DL109" s="63">
        <v>0.45</v>
      </c>
      <c r="DM109" s="63">
        <v>0.6</v>
      </c>
      <c r="DN109" s="63">
        <v>0.56999999999999995</v>
      </c>
      <c r="DO109" s="63">
        <v>0.54</v>
      </c>
      <c r="DP109" s="63">
        <v>0.5</v>
      </c>
      <c r="DQ109" s="63">
        <v>0.61</v>
      </c>
      <c r="DR109" s="63">
        <v>0.31</v>
      </c>
      <c r="DS109" s="63">
        <v>0.42</v>
      </c>
      <c r="DT109" s="63">
        <v>0.63</v>
      </c>
      <c r="DU109" s="63">
        <v>0.7</v>
      </c>
      <c r="DV109" s="63">
        <v>0.73</v>
      </c>
      <c r="DW109" s="63">
        <v>0.43</v>
      </c>
      <c r="DX109" s="35">
        <v>46</v>
      </c>
      <c r="DY109" s="35">
        <v>9</v>
      </c>
      <c r="DZ109" s="40">
        <v>0.25</v>
      </c>
      <c r="EA109" s="40">
        <v>0.64</v>
      </c>
      <c r="EB109" s="40">
        <v>0.1</v>
      </c>
      <c r="EC109" s="40">
        <v>0.01</v>
      </c>
      <c r="ED109" s="40">
        <v>0.54</v>
      </c>
      <c r="EE109" s="40">
        <v>0.51</v>
      </c>
      <c r="EF109" s="40">
        <v>0.52</v>
      </c>
      <c r="EG109" s="40">
        <v>0.48</v>
      </c>
      <c r="EH109" s="40">
        <v>0.5</v>
      </c>
      <c r="EI109" s="40">
        <v>0.57999999999999996</v>
      </c>
      <c r="EJ109" s="40">
        <v>0.65</v>
      </c>
      <c r="EK109" s="40">
        <v>0.35</v>
      </c>
      <c r="EL109" s="40">
        <v>0.53</v>
      </c>
      <c r="EM109" s="40">
        <v>0.72</v>
      </c>
      <c r="EN109" s="40">
        <v>0.55000000000000004</v>
      </c>
      <c r="EO109" s="40">
        <v>0.64</v>
      </c>
      <c r="EP109" s="40">
        <v>0.46</v>
      </c>
      <c r="EQ109" s="40">
        <v>0.35</v>
      </c>
      <c r="ER109" s="40">
        <v>0.59</v>
      </c>
      <c r="ES109" s="40">
        <v>0.57999999999999996</v>
      </c>
      <c r="ET109" s="40">
        <v>0.45</v>
      </c>
      <c r="EU109" s="40">
        <v>0.63</v>
      </c>
      <c r="EV109" s="40">
        <v>0.43</v>
      </c>
      <c r="EW109" s="40">
        <v>0.37</v>
      </c>
      <c r="EX109" s="40">
        <v>0.68</v>
      </c>
      <c r="EY109" s="40">
        <v>0.63</v>
      </c>
      <c r="EZ109" s="40">
        <v>0.27</v>
      </c>
      <c r="FA109" s="40">
        <v>0.7</v>
      </c>
      <c r="FB109" s="246">
        <v>45</v>
      </c>
      <c r="FC109" s="246" t="s">
        <v>758</v>
      </c>
      <c r="FD109" s="246">
        <v>7</v>
      </c>
      <c r="FE109" s="246" t="s">
        <v>758</v>
      </c>
      <c r="FF109" s="263">
        <v>0.35</v>
      </c>
      <c r="FG109" s="263">
        <v>0.56000000000000005</v>
      </c>
      <c r="FH109" s="263">
        <v>0.08</v>
      </c>
      <c r="FI109" s="263">
        <v>0</v>
      </c>
      <c r="FJ109" s="263">
        <v>0.57999999999999996</v>
      </c>
      <c r="FK109" s="263">
        <v>0.71</v>
      </c>
      <c r="FL109" s="263">
        <v>0.57999999999999996</v>
      </c>
      <c r="FM109" s="263">
        <v>0.51</v>
      </c>
      <c r="FN109" s="263">
        <v>0.44</v>
      </c>
      <c r="FO109" s="263">
        <v>0.47</v>
      </c>
      <c r="FP109" s="263">
        <v>0.48</v>
      </c>
      <c r="FQ109" s="263">
        <v>0.52</v>
      </c>
      <c r="FR109" s="263">
        <v>0.65</v>
      </c>
      <c r="FS109" s="263">
        <v>0.53</v>
      </c>
      <c r="FT109" s="263">
        <v>0.6</v>
      </c>
      <c r="FU109" s="263">
        <v>0.49</v>
      </c>
      <c r="FV109" s="263">
        <v>0.7</v>
      </c>
      <c r="FW109" s="263">
        <v>0.62</v>
      </c>
      <c r="FX109" s="263">
        <v>0.6</v>
      </c>
      <c r="FY109" s="263">
        <v>0.49</v>
      </c>
      <c r="FZ109" s="263">
        <v>0.46</v>
      </c>
      <c r="GA109" s="263">
        <v>0.62</v>
      </c>
      <c r="GB109" s="263">
        <v>0.56000000000000005</v>
      </c>
      <c r="GC109" s="263">
        <v>0.56999999999999995</v>
      </c>
      <c r="GD109" s="263">
        <v>0.67</v>
      </c>
      <c r="GE109" s="263">
        <v>0.6</v>
      </c>
      <c r="GF109" s="263">
        <v>0.57999999999999996</v>
      </c>
      <c r="GG109" s="263">
        <v>0.56999999999999995</v>
      </c>
      <c r="GH109" s="263">
        <v>0.68</v>
      </c>
      <c r="GI109" s="263">
        <v>0.4</v>
      </c>
      <c r="GJ109" s="309">
        <v>46</v>
      </c>
      <c r="GK109" s="309" t="s">
        <v>758</v>
      </c>
      <c r="GL109" s="309">
        <v>9</v>
      </c>
      <c r="GM109" s="309" t="s">
        <v>758</v>
      </c>
      <c r="GN109" s="327">
        <v>0.25</v>
      </c>
      <c r="GO109" s="327">
        <v>0.59</v>
      </c>
      <c r="GP109" s="327">
        <v>0.16</v>
      </c>
      <c r="GQ109" s="327">
        <v>0</v>
      </c>
      <c r="GR109" s="327">
        <v>0.51</v>
      </c>
      <c r="GS109" s="327">
        <v>0.63</v>
      </c>
      <c r="GT109" s="327">
        <v>0.68</v>
      </c>
      <c r="GU109" s="327">
        <v>0.42</v>
      </c>
      <c r="GV109" s="327">
        <v>0.62</v>
      </c>
      <c r="GW109" s="327">
        <v>0.55000000000000004</v>
      </c>
      <c r="GX109" s="327">
        <v>0.56000000000000005</v>
      </c>
      <c r="GY109" s="309" t="s">
        <v>173</v>
      </c>
      <c r="GZ109" s="327">
        <v>0.37</v>
      </c>
      <c r="HA109" s="327">
        <v>0.66</v>
      </c>
      <c r="HB109" s="327">
        <v>0.57999999999999996</v>
      </c>
      <c r="HC109" s="327">
        <v>0.61</v>
      </c>
      <c r="HD109" s="327">
        <v>0.66</v>
      </c>
      <c r="HE109" s="327">
        <v>0.49</v>
      </c>
      <c r="HF109" s="327">
        <v>0.54</v>
      </c>
      <c r="HG109" s="327">
        <v>0.71</v>
      </c>
      <c r="HH109" s="327">
        <v>0.48</v>
      </c>
      <c r="HI109" s="327">
        <v>0.65</v>
      </c>
      <c r="HJ109" s="327">
        <v>0.61</v>
      </c>
      <c r="HK109" s="327">
        <v>0.56000000000000005</v>
      </c>
      <c r="HL109" s="327">
        <v>0.48</v>
      </c>
      <c r="HM109" s="327">
        <v>0.56999999999999995</v>
      </c>
      <c r="HN109" s="327">
        <v>0.57999999999999996</v>
      </c>
      <c r="HO109" s="327">
        <v>0.52</v>
      </c>
      <c r="HP109" s="309" t="s">
        <v>173</v>
      </c>
      <c r="HQ109" s="327">
        <v>0.47</v>
      </c>
      <c r="HR109" s="424">
        <v>45</v>
      </c>
      <c r="HS109" s="424" t="s">
        <v>758</v>
      </c>
      <c r="HT109" s="424">
        <v>9</v>
      </c>
      <c r="HU109" s="424" t="s">
        <v>758</v>
      </c>
      <c r="HV109" s="428">
        <v>0.37</v>
      </c>
      <c r="HW109" s="428">
        <v>0.5</v>
      </c>
      <c r="HX109" s="428">
        <v>0.12</v>
      </c>
      <c r="HY109" s="428">
        <v>0.01</v>
      </c>
      <c r="HZ109" s="428">
        <v>0.55000000000000004</v>
      </c>
      <c r="IA109" s="428">
        <v>0.65</v>
      </c>
      <c r="IB109" s="428">
        <v>0.47</v>
      </c>
      <c r="IC109" s="428">
        <v>0.56999999999999995</v>
      </c>
      <c r="ID109" s="428">
        <v>0.68</v>
      </c>
      <c r="IE109" s="428">
        <v>0.53</v>
      </c>
      <c r="IF109" s="428">
        <v>0.54</v>
      </c>
      <c r="IG109" s="428">
        <v>0.65</v>
      </c>
      <c r="IH109" s="428">
        <v>0.63</v>
      </c>
      <c r="II109" s="428">
        <v>0.44</v>
      </c>
      <c r="IJ109" s="428">
        <v>0.39</v>
      </c>
      <c r="IK109" s="428">
        <v>0.64</v>
      </c>
      <c r="IL109" s="428">
        <v>0.48</v>
      </c>
      <c r="IM109" s="428">
        <v>0.61</v>
      </c>
      <c r="IN109" s="428">
        <v>0.57999999999999996</v>
      </c>
      <c r="IO109" s="428">
        <v>0.61</v>
      </c>
      <c r="IP109" s="428">
        <v>0.55000000000000004</v>
      </c>
      <c r="IQ109" s="428">
        <v>0.7</v>
      </c>
      <c r="IR109" s="428">
        <v>0.66</v>
      </c>
      <c r="IS109" s="428">
        <v>0.57999999999999996</v>
      </c>
      <c r="IT109" s="428">
        <v>0.54</v>
      </c>
      <c r="IU109" s="424" t="s">
        <v>173</v>
      </c>
      <c r="IV109" s="428">
        <v>0.7</v>
      </c>
      <c r="IW109" s="428">
        <v>0.54</v>
      </c>
      <c r="IX109" s="428">
        <v>0.63</v>
      </c>
      <c r="IY109" s="428">
        <v>0.62</v>
      </c>
      <c r="IZ109" s="464">
        <v>46</v>
      </c>
      <c r="JA109" s="464" t="s">
        <v>758</v>
      </c>
      <c r="JB109" s="464">
        <v>9</v>
      </c>
      <c r="JC109" s="464" t="s">
        <v>758</v>
      </c>
      <c r="JD109" s="476">
        <v>0.3</v>
      </c>
      <c r="JE109" s="476">
        <v>0.55000000000000004</v>
      </c>
      <c r="JF109" s="476">
        <v>0.15</v>
      </c>
      <c r="JG109" s="476">
        <v>0</v>
      </c>
      <c r="JH109" s="476">
        <v>0.62</v>
      </c>
      <c r="JI109" s="476">
        <v>0.52</v>
      </c>
      <c r="JJ109" s="476">
        <v>0.53</v>
      </c>
      <c r="JK109" s="476">
        <v>0.62</v>
      </c>
      <c r="JL109" s="476">
        <v>0.6</v>
      </c>
      <c r="JM109" s="476">
        <v>0.56999999999999995</v>
      </c>
      <c r="JN109" s="476">
        <v>0.56000000000000005</v>
      </c>
      <c r="JO109" s="476">
        <v>0.55000000000000004</v>
      </c>
      <c r="JP109" s="476">
        <v>0.65</v>
      </c>
      <c r="JQ109" s="476">
        <v>0.4</v>
      </c>
      <c r="JR109" s="476">
        <v>0.68</v>
      </c>
      <c r="JS109" s="476">
        <v>0.61</v>
      </c>
      <c r="JT109" s="476">
        <v>0.56000000000000005</v>
      </c>
      <c r="JU109" s="476">
        <v>0.63</v>
      </c>
      <c r="JV109" s="476">
        <v>0.54</v>
      </c>
      <c r="JW109" s="476">
        <v>0.56999999999999995</v>
      </c>
      <c r="JX109" s="476">
        <v>0.56000000000000005</v>
      </c>
      <c r="JY109" s="476">
        <v>0.52</v>
      </c>
      <c r="JZ109" s="476">
        <v>0.55000000000000004</v>
      </c>
      <c r="KA109" s="476">
        <v>0.69</v>
      </c>
      <c r="KB109" s="476">
        <v>0.63</v>
      </c>
      <c r="KC109" s="476">
        <v>0.75</v>
      </c>
      <c r="KD109" s="476">
        <v>0.49</v>
      </c>
      <c r="KE109" s="476">
        <v>0.55000000000000004</v>
      </c>
      <c r="KF109" s="476">
        <v>0.56000000000000005</v>
      </c>
      <c r="KG109" s="476">
        <v>0.59</v>
      </c>
      <c r="KH109" s="971">
        <v>48</v>
      </c>
      <c r="KI109" s="971" t="s">
        <v>758</v>
      </c>
      <c r="KJ109" s="971">
        <v>8</v>
      </c>
      <c r="KK109" s="971" t="s">
        <v>758</v>
      </c>
      <c r="KL109" s="949">
        <v>0.23</v>
      </c>
      <c r="KM109" s="949">
        <v>0.6</v>
      </c>
      <c r="KN109" s="949">
        <v>0.16</v>
      </c>
      <c r="KO109" s="949">
        <v>0.01</v>
      </c>
      <c r="KP109" s="949">
        <v>0.6</v>
      </c>
      <c r="KQ109" s="949">
        <v>0.42</v>
      </c>
      <c r="KR109" s="949">
        <v>0.62</v>
      </c>
      <c r="KS109" s="949">
        <v>0.59</v>
      </c>
      <c r="KT109" s="949">
        <v>0.61</v>
      </c>
      <c r="KU109" s="949">
        <v>0.45</v>
      </c>
      <c r="KV109" s="949">
        <v>0.66</v>
      </c>
      <c r="KW109" s="949">
        <v>0.4</v>
      </c>
      <c r="KX109" s="949">
        <v>0.41</v>
      </c>
      <c r="KY109" s="949">
        <v>0.62</v>
      </c>
      <c r="KZ109" s="949">
        <v>0.52</v>
      </c>
      <c r="LA109" s="949">
        <v>0.41</v>
      </c>
      <c r="LB109" s="949">
        <v>0.53</v>
      </c>
      <c r="LC109" s="949">
        <v>0.43</v>
      </c>
      <c r="LD109" s="949">
        <v>0.61</v>
      </c>
      <c r="LE109" s="949">
        <v>0.59</v>
      </c>
      <c r="LF109" s="949">
        <v>0.38</v>
      </c>
      <c r="LG109" s="949">
        <v>0.57999999999999996</v>
      </c>
      <c r="LH109" s="949">
        <v>0.62</v>
      </c>
      <c r="LI109" s="949">
        <v>0.52</v>
      </c>
      <c r="LJ109" s="949">
        <v>0.52</v>
      </c>
      <c r="LK109" s="949">
        <v>0.6</v>
      </c>
      <c r="LL109" s="949" t="s">
        <v>173</v>
      </c>
      <c r="LM109" s="949">
        <v>0.6</v>
      </c>
      <c r="LN109" s="949">
        <v>0.67</v>
      </c>
      <c r="LO109" s="949">
        <v>0.53</v>
      </c>
      <c r="LP109" s="922">
        <v>125754001957</v>
      </c>
      <c r="LQ109" s="126" t="s">
        <v>61</v>
      </c>
      <c r="LR109" s="424">
        <v>45</v>
      </c>
      <c r="LS109" s="971">
        <v>48</v>
      </c>
      <c r="LT109" s="946"/>
    </row>
    <row r="110" spans="1:332" ht="24.95" customHeight="1" x14ac:dyDescent="0.2">
      <c r="A110" s="126" t="s">
        <v>52</v>
      </c>
      <c r="B110" s="1" t="s">
        <v>121</v>
      </c>
      <c r="C110" s="2">
        <v>1</v>
      </c>
      <c r="D110" s="12">
        <v>53</v>
      </c>
      <c r="E110" s="12">
        <v>7</v>
      </c>
      <c r="F110" s="66">
        <v>0.05</v>
      </c>
      <c r="G110" s="66">
        <v>0.62</v>
      </c>
      <c r="H110" s="66">
        <v>0.32</v>
      </c>
      <c r="I110" s="66">
        <v>0.01</v>
      </c>
      <c r="J110" s="66">
        <v>0.49</v>
      </c>
      <c r="K110" s="66">
        <v>0.4</v>
      </c>
      <c r="L110" s="66">
        <v>0.77</v>
      </c>
      <c r="M110" s="66">
        <v>0.22</v>
      </c>
      <c r="N110" s="66">
        <v>0.26</v>
      </c>
      <c r="O110" s="66">
        <v>0.66</v>
      </c>
      <c r="P110" s="66">
        <v>0.32</v>
      </c>
      <c r="Q110" s="66">
        <v>0.45</v>
      </c>
      <c r="R110" s="66">
        <v>0.53</v>
      </c>
      <c r="S110" s="66">
        <v>0.6</v>
      </c>
      <c r="T110" s="66">
        <v>0.49</v>
      </c>
      <c r="U110" s="66">
        <v>0.62</v>
      </c>
      <c r="V110" s="66">
        <v>7.0000000000000007E-2</v>
      </c>
      <c r="W110" s="66">
        <v>0.14000000000000001</v>
      </c>
      <c r="X110" s="66">
        <v>0.47</v>
      </c>
      <c r="Y110" s="66">
        <v>0.57999999999999996</v>
      </c>
      <c r="Z110" s="66">
        <v>1</v>
      </c>
      <c r="AA110" s="66">
        <v>0.15</v>
      </c>
      <c r="AB110" s="66">
        <v>0.51</v>
      </c>
      <c r="AC110" s="66">
        <v>0.26</v>
      </c>
      <c r="AD110" s="66">
        <v>0.47</v>
      </c>
      <c r="AE110" s="66">
        <v>0.44</v>
      </c>
      <c r="AF110" s="66">
        <v>0.53</v>
      </c>
      <c r="AG110" s="66">
        <v>0.5</v>
      </c>
      <c r="AH110" s="12">
        <v>51</v>
      </c>
      <c r="AI110" s="12">
        <v>7</v>
      </c>
      <c r="AJ110" s="40">
        <v>0.1</v>
      </c>
      <c r="AK110" s="40">
        <v>0.62</v>
      </c>
      <c r="AL110" s="40">
        <v>0.27</v>
      </c>
      <c r="AM110" s="40">
        <v>0</v>
      </c>
      <c r="AN110" s="40">
        <v>0.27</v>
      </c>
      <c r="AO110" s="40">
        <v>0.46</v>
      </c>
      <c r="AP110" s="40">
        <v>0.62</v>
      </c>
      <c r="AQ110" s="40">
        <v>0.42</v>
      </c>
      <c r="AR110" s="40">
        <v>0.6</v>
      </c>
      <c r="AS110" s="40">
        <v>0.56000000000000005</v>
      </c>
      <c r="AT110" s="40">
        <v>0.54</v>
      </c>
      <c r="AU110" s="40">
        <v>0.54</v>
      </c>
      <c r="AV110" s="40">
        <v>0.64</v>
      </c>
      <c r="AW110" s="40">
        <v>0.45</v>
      </c>
      <c r="AX110" s="40">
        <v>0.57999999999999996</v>
      </c>
      <c r="AY110" s="40">
        <v>0.3</v>
      </c>
      <c r="AZ110" s="40">
        <v>0.31</v>
      </c>
      <c r="BA110" s="40">
        <v>0.51</v>
      </c>
      <c r="BB110" s="40">
        <v>0.71</v>
      </c>
      <c r="BC110" s="40">
        <v>0.67</v>
      </c>
      <c r="BD110" s="40">
        <v>0.44</v>
      </c>
      <c r="BE110" s="40">
        <v>0.46</v>
      </c>
      <c r="BF110" s="40">
        <v>0.63</v>
      </c>
      <c r="BG110" s="40">
        <v>0.54</v>
      </c>
      <c r="BH110" s="40">
        <v>0.44</v>
      </c>
      <c r="BI110" s="40">
        <v>0.42</v>
      </c>
      <c r="BJ110" s="40">
        <v>0.36</v>
      </c>
      <c r="BK110" s="40">
        <v>0.49</v>
      </c>
      <c r="BL110" s="40">
        <v>0.46</v>
      </c>
      <c r="BM110" s="12">
        <v>50</v>
      </c>
      <c r="BN110" s="12">
        <v>9</v>
      </c>
      <c r="BO110" s="66">
        <v>0.11</v>
      </c>
      <c r="BP110" s="66">
        <v>0.62</v>
      </c>
      <c r="BQ110" s="66">
        <v>0.24</v>
      </c>
      <c r="BR110" s="66">
        <v>0.02</v>
      </c>
      <c r="BS110" s="66">
        <v>0.31</v>
      </c>
      <c r="BT110" s="66">
        <v>0.52</v>
      </c>
      <c r="BU110" s="66">
        <v>0.67</v>
      </c>
      <c r="BV110" s="66">
        <v>0.37</v>
      </c>
      <c r="BW110" s="66">
        <v>0.61</v>
      </c>
      <c r="BX110" s="66">
        <v>0.34</v>
      </c>
      <c r="BY110" s="66">
        <v>0.5</v>
      </c>
      <c r="BZ110" s="66">
        <v>0.53</v>
      </c>
      <c r="CA110" s="66">
        <v>0.4</v>
      </c>
      <c r="CB110" s="66">
        <v>0.4</v>
      </c>
      <c r="CC110" s="66">
        <v>0.21</v>
      </c>
      <c r="CD110" s="66">
        <v>0.43</v>
      </c>
      <c r="CE110" s="66">
        <v>0.35</v>
      </c>
      <c r="CF110" s="66">
        <v>0.56000000000000005</v>
      </c>
      <c r="CG110" s="66">
        <v>0.6</v>
      </c>
      <c r="CH110" s="66">
        <v>0.48</v>
      </c>
      <c r="CI110" s="66">
        <v>0.56999999999999995</v>
      </c>
      <c r="CJ110" s="66">
        <v>0.33</v>
      </c>
      <c r="CK110" s="66">
        <v>0.67</v>
      </c>
      <c r="CL110" s="66">
        <v>0.34</v>
      </c>
      <c r="CM110" s="66">
        <v>0.45</v>
      </c>
      <c r="CN110" s="66">
        <v>0.47</v>
      </c>
      <c r="CO110" s="66">
        <v>0.45</v>
      </c>
      <c r="CP110" s="66">
        <v>0.38</v>
      </c>
      <c r="CQ110" s="66">
        <v>0.55000000000000004</v>
      </c>
      <c r="CR110" s="66">
        <v>0.56999999999999995</v>
      </c>
      <c r="CS110" s="12">
        <v>48</v>
      </c>
      <c r="CT110" s="12">
        <v>9</v>
      </c>
      <c r="CU110" s="63">
        <v>0.22</v>
      </c>
      <c r="CV110" s="63">
        <v>0.56999999999999995</v>
      </c>
      <c r="CW110" s="63">
        <v>0.2</v>
      </c>
      <c r="CX110" s="63">
        <v>0.01</v>
      </c>
      <c r="CY110" s="63">
        <v>0.51</v>
      </c>
      <c r="CZ110" s="63">
        <v>0.34</v>
      </c>
      <c r="DA110" s="63">
        <v>0.6</v>
      </c>
      <c r="DB110" s="63">
        <v>0.34</v>
      </c>
      <c r="DC110" s="63">
        <v>0.51</v>
      </c>
      <c r="DD110" s="63">
        <v>0.61</v>
      </c>
      <c r="DE110" s="63">
        <v>0.52</v>
      </c>
      <c r="DF110" s="63">
        <v>0.56999999999999995</v>
      </c>
      <c r="DG110" s="63">
        <v>0.5</v>
      </c>
      <c r="DH110" s="63">
        <v>0.4</v>
      </c>
      <c r="DI110" s="63">
        <v>0.57999999999999996</v>
      </c>
      <c r="DJ110" s="63">
        <v>0.53</v>
      </c>
      <c r="DK110" s="63">
        <v>0.38</v>
      </c>
      <c r="DL110" s="63">
        <v>0.31</v>
      </c>
      <c r="DM110" s="63">
        <v>0.6</v>
      </c>
      <c r="DN110" s="63">
        <v>0.52</v>
      </c>
      <c r="DO110" s="63">
        <v>0.51</v>
      </c>
      <c r="DP110" s="63">
        <v>0.47</v>
      </c>
      <c r="DQ110" s="63">
        <v>0.56999999999999995</v>
      </c>
      <c r="DR110" s="63">
        <v>0.25</v>
      </c>
      <c r="DS110" s="63">
        <v>0.42</v>
      </c>
      <c r="DT110" s="63">
        <v>0.61</v>
      </c>
      <c r="DU110" s="63">
        <v>0.46</v>
      </c>
      <c r="DV110" s="63">
        <v>0.6</v>
      </c>
      <c r="DW110" s="63">
        <v>0.39</v>
      </c>
      <c r="DX110" s="35">
        <v>47</v>
      </c>
      <c r="DY110" s="35">
        <v>8</v>
      </c>
      <c r="DZ110" s="40">
        <v>0.2</v>
      </c>
      <c r="EA110" s="40">
        <v>0.62</v>
      </c>
      <c r="EB110" s="40">
        <v>0.18</v>
      </c>
      <c r="EC110" s="40">
        <v>0</v>
      </c>
      <c r="ED110" s="40">
        <v>0.49</v>
      </c>
      <c r="EE110" s="40">
        <v>0.5</v>
      </c>
      <c r="EF110" s="40">
        <v>0.54</v>
      </c>
      <c r="EG110" s="40">
        <v>0.42</v>
      </c>
      <c r="EH110" s="40">
        <v>0.46</v>
      </c>
      <c r="EI110" s="40">
        <v>0.55000000000000004</v>
      </c>
      <c r="EJ110" s="40">
        <v>0.64</v>
      </c>
      <c r="EK110" s="40">
        <v>0.28000000000000003</v>
      </c>
      <c r="EL110" s="40">
        <v>0.49</v>
      </c>
      <c r="EM110" s="40">
        <v>0.69</v>
      </c>
      <c r="EN110" s="40">
        <v>0.5</v>
      </c>
      <c r="EO110" s="40">
        <v>0.59</v>
      </c>
      <c r="EP110" s="40">
        <v>0.45</v>
      </c>
      <c r="EQ110" s="40">
        <v>0.31</v>
      </c>
      <c r="ER110" s="40">
        <v>0.61</v>
      </c>
      <c r="ES110" s="40">
        <v>0.51</v>
      </c>
      <c r="ET110" s="40">
        <v>0.42</v>
      </c>
      <c r="EU110" s="40">
        <v>0.61</v>
      </c>
      <c r="EV110" s="40">
        <v>0.45</v>
      </c>
      <c r="EW110" s="40">
        <v>0.36</v>
      </c>
      <c r="EX110" s="40">
        <v>0.78</v>
      </c>
      <c r="EY110" s="40">
        <v>0.64</v>
      </c>
      <c r="EZ110" s="40">
        <v>0.26</v>
      </c>
      <c r="FA110" s="40">
        <v>0.65</v>
      </c>
      <c r="FB110" s="246">
        <v>47</v>
      </c>
      <c r="FC110" s="246" t="s">
        <v>758</v>
      </c>
      <c r="FD110" s="246">
        <v>8</v>
      </c>
      <c r="FE110" s="246" t="s">
        <v>758</v>
      </c>
      <c r="FF110" s="263">
        <v>0.21</v>
      </c>
      <c r="FG110" s="263">
        <v>0.63</v>
      </c>
      <c r="FH110" s="263">
        <v>0.15</v>
      </c>
      <c r="FI110" s="263">
        <v>0.01</v>
      </c>
      <c r="FJ110" s="263">
        <v>0.5</v>
      </c>
      <c r="FK110" s="263">
        <v>0.71</v>
      </c>
      <c r="FL110" s="263">
        <v>0.55000000000000004</v>
      </c>
      <c r="FM110" s="263">
        <v>0.45</v>
      </c>
      <c r="FN110" s="263">
        <v>0.34</v>
      </c>
      <c r="FO110" s="263">
        <v>0.45</v>
      </c>
      <c r="FP110" s="263">
        <v>0.44</v>
      </c>
      <c r="FQ110" s="263">
        <v>0.44</v>
      </c>
      <c r="FR110" s="263">
        <v>0.57999999999999996</v>
      </c>
      <c r="FS110" s="263">
        <v>0.54</v>
      </c>
      <c r="FT110" s="263">
        <v>0.54</v>
      </c>
      <c r="FU110" s="263">
        <v>0.45</v>
      </c>
      <c r="FV110" s="263">
        <v>0.64</v>
      </c>
      <c r="FW110" s="263">
        <v>0.68</v>
      </c>
      <c r="FX110" s="263">
        <v>0.53</v>
      </c>
      <c r="FY110" s="263">
        <v>0.47</v>
      </c>
      <c r="FZ110" s="263">
        <v>0.48</v>
      </c>
      <c r="GA110" s="263">
        <v>0.51</v>
      </c>
      <c r="GB110" s="263">
        <v>0.53</v>
      </c>
      <c r="GC110" s="263">
        <v>0.48</v>
      </c>
      <c r="GD110" s="263">
        <v>0.66</v>
      </c>
      <c r="GE110" s="263">
        <v>0.61</v>
      </c>
      <c r="GF110" s="263">
        <v>0.54</v>
      </c>
      <c r="GG110" s="263">
        <v>0.51</v>
      </c>
      <c r="GH110" s="263">
        <v>0.59</v>
      </c>
      <c r="GI110" s="263">
        <v>0.31</v>
      </c>
      <c r="GJ110" s="309">
        <v>49</v>
      </c>
      <c r="GK110" s="309" t="s">
        <v>758</v>
      </c>
      <c r="GL110" s="309">
        <v>9</v>
      </c>
      <c r="GM110" s="309" t="s">
        <v>758</v>
      </c>
      <c r="GN110" s="327">
        <v>0.15</v>
      </c>
      <c r="GO110" s="327">
        <v>0.63</v>
      </c>
      <c r="GP110" s="327">
        <v>0.22</v>
      </c>
      <c r="GQ110" s="327">
        <v>0</v>
      </c>
      <c r="GR110" s="327">
        <v>0.5</v>
      </c>
      <c r="GS110" s="327">
        <v>0.59</v>
      </c>
      <c r="GT110" s="327">
        <v>0.63</v>
      </c>
      <c r="GU110" s="327">
        <v>0.25</v>
      </c>
      <c r="GV110" s="327">
        <v>0.57999999999999996</v>
      </c>
      <c r="GW110" s="327">
        <v>0.51</v>
      </c>
      <c r="GX110" s="327">
        <v>0.48</v>
      </c>
      <c r="GY110" s="309" t="s">
        <v>173</v>
      </c>
      <c r="GZ110" s="327">
        <v>0.38</v>
      </c>
      <c r="HA110" s="327">
        <v>0.71</v>
      </c>
      <c r="HB110" s="327">
        <v>0.48</v>
      </c>
      <c r="HC110" s="327">
        <v>0.52</v>
      </c>
      <c r="HD110" s="327">
        <v>0.63</v>
      </c>
      <c r="HE110" s="327">
        <v>0.46</v>
      </c>
      <c r="HF110" s="327">
        <v>0.52</v>
      </c>
      <c r="HG110" s="327">
        <v>0.69</v>
      </c>
      <c r="HH110" s="327">
        <v>0.39</v>
      </c>
      <c r="HI110" s="327">
        <v>0.54</v>
      </c>
      <c r="HJ110" s="327">
        <v>0.62</v>
      </c>
      <c r="HK110" s="327">
        <v>0.54</v>
      </c>
      <c r="HL110" s="327">
        <v>0.44</v>
      </c>
      <c r="HM110" s="327">
        <v>0.53</v>
      </c>
      <c r="HN110" s="327">
        <v>0.53</v>
      </c>
      <c r="HO110" s="327">
        <v>0.46</v>
      </c>
      <c r="HP110" s="309" t="s">
        <v>173</v>
      </c>
      <c r="HQ110" s="327">
        <v>0.45</v>
      </c>
      <c r="HR110" s="424">
        <v>50</v>
      </c>
      <c r="HS110" s="424" t="s">
        <v>758</v>
      </c>
      <c r="HT110" s="424">
        <v>8</v>
      </c>
      <c r="HU110" s="424" t="s">
        <v>758</v>
      </c>
      <c r="HV110" s="428">
        <v>0.11</v>
      </c>
      <c r="HW110" s="428">
        <v>0.63</v>
      </c>
      <c r="HX110" s="428">
        <v>0.24</v>
      </c>
      <c r="HY110" s="428">
        <v>0.01</v>
      </c>
      <c r="HZ110" s="428">
        <v>0.44</v>
      </c>
      <c r="IA110" s="428">
        <v>0.56000000000000005</v>
      </c>
      <c r="IB110" s="428">
        <v>0.34</v>
      </c>
      <c r="IC110" s="428">
        <v>0.52</v>
      </c>
      <c r="ID110" s="428">
        <v>0.63</v>
      </c>
      <c r="IE110" s="428">
        <v>0.39</v>
      </c>
      <c r="IF110" s="428">
        <v>0.42</v>
      </c>
      <c r="IG110" s="428">
        <v>0.54</v>
      </c>
      <c r="IH110" s="428">
        <v>0.52</v>
      </c>
      <c r="II110" s="428">
        <v>0.36</v>
      </c>
      <c r="IJ110" s="428">
        <v>0.28999999999999998</v>
      </c>
      <c r="IK110" s="428">
        <v>0.6</v>
      </c>
      <c r="IL110" s="428">
        <v>0.36</v>
      </c>
      <c r="IM110" s="428">
        <v>0.61</v>
      </c>
      <c r="IN110" s="428">
        <v>0.48</v>
      </c>
      <c r="IO110" s="428">
        <v>0.54</v>
      </c>
      <c r="IP110" s="428">
        <v>0.47</v>
      </c>
      <c r="IQ110" s="428">
        <v>0.67</v>
      </c>
      <c r="IR110" s="428">
        <v>0.65</v>
      </c>
      <c r="IS110" s="428">
        <v>0.55000000000000004</v>
      </c>
      <c r="IT110" s="428">
        <v>0.48</v>
      </c>
      <c r="IU110" s="424" t="s">
        <v>173</v>
      </c>
      <c r="IV110" s="428">
        <v>0.63</v>
      </c>
      <c r="IW110" s="428">
        <v>0.45</v>
      </c>
      <c r="IX110" s="428">
        <v>0.49</v>
      </c>
      <c r="IY110" s="428">
        <v>0.54</v>
      </c>
      <c r="IZ110" s="464">
        <v>52</v>
      </c>
      <c r="JA110" s="464" t="s">
        <v>758</v>
      </c>
      <c r="JB110" s="464">
        <v>9</v>
      </c>
      <c r="JC110" s="464" t="s">
        <v>758</v>
      </c>
      <c r="JD110" s="476">
        <v>0.11</v>
      </c>
      <c r="JE110" s="476">
        <v>0.54</v>
      </c>
      <c r="JF110" s="476">
        <v>0.35</v>
      </c>
      <c r="JG110" s="476">
        <v>0.01</v>
      </c>
      <c r="JH110" s="476">
        <v>0.49</v>
      </c>
      <c r="JI110" s="476">
        <v>0.45</v>
      </c>
      <c r="JJ110" s="476">
        <v>0.41</v>
      </c>
      <c r="JK110" s="476">
        <v>0.46</v>
      </c>
      <c r="JL110" s="476">
        <v>0.52</v>
      </c>
      <c r="JM110" s="476">
        <v>0.47</v>
      </c>
      <c r="JN110" s="476">
        <v>0.41</v>
      </c>
      <c r="JO110" s="476">
        <v>0.46</v>
      </c>
      <c r="JP110" s="476">
        <v>0.55000000000000004</v>
      </c>
      <c r="JQ110" s="476">
        <v>0.24</v>
      </c>
      <c r="JR110" s="476">
        <v>0.6</v>
      </c>
      <c r="JS110" s="476">
        <v>0.55000000000000004</v>
      </c>
      <c r="JT110" s="476">
        <v>0.37</v>
      </c>
      <c r="JU110" s="476">
        <v>0.48</v>
      </c>
      <c r="JV110" s="476">
        <v>0.48</v>
      </c>
      <c r="JW110" s="476">
        <v>0.46</v>
      </c>
      <c r="JX110" s="476">
        <v>0.43</v>
      </c>
      <c r="JY110" s="476">
        <v>0.49</v>
      </c>
      <c r="JZ110" s="476">
        <v>0.44</v>
      </c>
      <c r="KA110" s="476">
        <v>0.57999999999999996</v>
      </c>
      <c r="KB110" s="476">
        <v>0.47</v>
      </c>
      <c r="KC110" s="476">
        <v>0.61</v>
      </c>
      <c r="KD110" s="476">
        <v>0.32</v>
      </c>
      <c r="KE110" s="476">
        <v>0.5</v>
      </c>
      <c r="KF110" s="476">
        <v>0.47</v>
      </c>
      <c r="KG110" s="476">
        <v>0.55000000000000004</v>
      </c>
      <c r="KH110" s="971">
        <v>51</v>
      </c>
      <c r="KI110" s="971" t="s">
        <v>758</v>
      </c>
      <c r="KJ110" s="971">
        <v>9</v>
      </c>
      <c r="KK110" s="971" t="s">
        <v>758</v>
      </c>
      <c r="KL110" s="949">
        <v>0.13</v>
      </c>
      <c r="KM110" s="949">
        <v>0.54</v>
      </c>
      <c r="KN110" s="949">
        <v>0.28999999999999998</v>
      </c>
      <c r="KO110" s="949">
        <v>0.04</v>
      </c>
      <c r="KP110" s="949">
        <v>0.48</v>
      </c>
      <c r="KQ110" s="949">
        <v>0.27</v>
      </c>
      <c r="KR110" s="949">
        <v>0.6</v>
      </c>
      <c r="KS110" s="949">
        <v>0.48</v>
      </c>
      <c r="KT110" s="949">
        <v>0.52</v>
      </c>
      <c r="KU110" s="949">
        <v>0.39</v>
      </c>
      <c r="KV110" s="949">
        <v>0.6</v>
      </c>
      <c r="KW110" s="949">
        <v>0.35</v>
      </c>
      <c r="KX110" s="949">
        <v>0.34</v>
      </c>
      <c r="KY110" s="949">
        <v>0.57999999999999996</v>
      </c>
      <c r="KZ110" s="949">
        <v>0.38</v>
      </c>
      <c r="LA110" s="949">
        <v>0.36</v>
      </c>
      <c r="LB110" s="949">
        <v>0.38</v>
      </c>
      <c r="LC110" s="949">
        <v>0.38</v>
      </c>
      <c r="LD110" s="949">
        <v>0.55000000000000004</v>
      </c>
      <c r="LE110" s="949">
        <v>0.51</v>
      </c>
      <c r="LF110" s="949">
        <v>0.32</v>
      </c>
      <c r="LG110" s="949">
        <v>0.55000000000000004</v>
      </c>
      <c r="LH110" s="949">
        <v>0.56999999999999995</v>
      </c>
      <c r="LI110" s="949">
        <v>0.48</v>
      </c>
      <c r="LJ110" s="949">
        <v>0.47</v>
      </c>
      <c r="LK110" s="949">
        <v>0.56999999999999995</v>
      </c>
      <c r="LL110" s="949" t="s">
        <v>173</v>
      </c>
      <c r="LM110" s="949">
        <v>0.6</v>
      </c>
      <c r="LN110" s="949">
        <v>0.73</v>
      </c>
      <c r="LO110" s="949">
        <v>0.49</v>
      </c>
      <c r="LP110" s="922">
        <v>125754003267</v>
      </c>
      <c r="LQ110" s="126" t="s">
        <v>52</v>
      </c>
      <c r="LR110" s="424">
        <v>50</v>
      </c>
      <c r="LS110" s="971">
        <v>51</v>
      </c>
      <c r="LT110" s="946"/>
    </row>
    <row r="111" spans="1:332" ht="24.95" customHeight="1" x14ac:dyDescent="0.2">
      <c r="A111" s="126" t="s">
        <v>32</v>
      </c>
      <c r="B111" s="1" t="s">
        <v>123</v>
      </c>
      <c r="C111" s="2">
        <v>5</v>
      </c>
      <c r="D111" s="12">
        <v>56</v>
      </c>
      <c r="E111" s="12">
        <v>8</v>
      </c>
      <c r="F111" s="66">
        <v>0.03</v>
      </c>
      <c r="G111" s="66">
        <v>0.5</v>
      </c>
      <c r="H111" s="66">
        <v>0.44</v>
      </c>
      <c r="I111" s="66">
        <v>0.03</v>
      </c>
      <c r="J111" s="66">
        <v>0.25</v>
      </c>
      <c r="K111" s="66">
        <v>0.44</v>
      </c>
      <c r="L111" s="66">
        <v>0.75</v>
      </c>
      <c r="M111" s="66">
        <v>0.28000000000000003</v>
      </c>
      <c r="N111" s="66">
        <v>0.26</v>
      </c>
      <c r="O111" s="66">
        <v>0.62</v>
      </c>
      <c r="P111" s="66">
        <v>0.28999999999999998</v>
      </c>
      <c r="Q111" s="66">
        <v>0.28999999999999998</v>
      </c>
      <c r="R111" s="66">
        <v>0.41</v>
      </c>
      <c r="S111" s="66">
        <v>0.55000000000000004</v>
      </c>
      <c r="T111" s="66">
        <v>0.47</v>
      </c>
      <c r="U111" s="66">
        <v>0.61</v>
      </c>
      <c r="V111" s="66">
        <v>0.06</v>
      </c>
      <c r="W111" s="66">
        <v>0.12</v>
      </c>
      <c r="X111" s="66">
        <v>0.49</v>
      </c>
      <c r="Y111" s="66">
        <v>0.5</v>
      </c>
      <c r="Z111" s="12" t="s">
        <v>173</v>
      </c>
      <c r="AA111" s="66">
        <v>0.08</v>
      </c>
      <c r="AB111" s="66">
        <v>0.42</v>
      </c>
      <c r="AC111" s="66">
        <v>0.24</v>
      </c>
      <c r="AD111" s="66">
        <v>0.54</v>
      </c>
      <c r="AE111" s="66">
        <v>0.28999999999999998</v>
      </c>
      <c r="AF111" s="66">
        <v>0.43</v>
      </c>
      <c r="AG111" s="66">
        <v>0.46</v>
      </c>
      <c r="AH111" s="12">
        <v>50</v>
      </c>
      <c r="AI111" s="12">
        <v>8</v>
      </c>
      <c r="AJ111" s="40">
        <v>0.1</v>
      </c>
      <c r="AK111" s="40">
        <v>0.63</v>
      </c>
      <c r="AL111" s="40">
        <v>0.27</v>
      </c>
      <c r="AM111" s="40">
        <v>0</v>
      </c>
      <c r="AN111" s="40">
        <v>0.37</v>
      </c>
      <c r="AO111" s="40">
        <v>0.52</v>
      </c>
      <c r="AP111" s="40">
        <v>0.57999999999999996</v>
      </c>
      <c r="AQ111" s="40">
        <v>0.4</v>
      </c>
      <c r="AR111" s="40">
        <v>0.5</v>
      </c>
      <c r="AS111" s="40">
        <v>0.56000000000000005</v>
      </c>
      <c r="AT111" s="40">
        <v>0.59</v>
      </c>
      <c r="AU111" s="40">
        <v>0.49</v>
      </c>
      <c r="AV111" s="40">
        <v>0.68</v>
      </c>
      <c r="AW111" s="40">
        <v>0.62</v>
      </c>
      <c r="AX111" s="40">
        <v>0.7</v>
      </c>
      <c r="AY111" s="40">
        <v>0.36</v>
      </c>
      <c r="AZ111" s="40">
        <v>0.34</v>
      </c>
      <c r="BA111" s="40">
        <v>0.52</v>
      </c>
      <c r="BB111" s="40">
        <v>0.72</v>
      </c>
      <c r="BC111" s="40">
        <v>0.75</v>
      </c>
      <c r="BD111" s="40">
        <v>0.4</v>
      </c>
      <c r="BE111" s="40">
        <v>0.56999999999999995</v>
      </c>
      <c r="BF111" s="40">
        <v>0.56999999999999995</v>
      </c>
      <c r="BG111" s="40">
        <v>0.53</v>
      </c>
      <c r="BH111" s="40">
        <v>0.48</v>
      </c>
      <c r="BI111" s="40">
        <v>0.47</v>
      </c>
      <c r="BJ111" s="40">
        <v>0.34</v>
      </c>
      <c r="BK111" s="40">
        <v>0.48</v>
      </c>
      <c r="BL111" s="40">
        <v>0.65</v>
      </c>
      <c r="BM111" s="12">
        <v>48</v>
      </c>
      <c r="BN111" s="12">
        <v>10</v>
      </c>
      <c r="BO111" s="66">
        <v>0.24</v>
      </c>
      <c r="BP111" s="66">
        <v>0.56999999999999995</v>
      </c>
      <c r="BQ111" s="66">
        <v>0.19</v>
      </c>
      <c r="BR111" s="66">
        <v>0</v>
      </c>
      <c r="BS111" s="66">
        <v>0.36</v>
      </c>
      <c r="BT111" s="66">
        <v>0.69</v>
      </c>
      <c r="BU111" s="66">
        <v>0.81</v>
      </c>
      <c r="BV111" s="66">
        <v>0.75</v>
      </c>
      <c r="BW111" s="66">
        <v>0.56000000000000005</v>
      </c>
      <c r="BX111" s="66">
        <v>0.43</v>
      </c>
      <c r="BY111" s="66">
        <v>0.46</v>
      </c>
      <c r="BZ111" s="66">
        <v>0.53</v>
      </c>
      <c r="CA111" s="66">
        <v>0.45</v>
      </c>
      <c r="CB111" s="66">
        <v>0.54</v>
      </c>
      <c r="CC111" s="66">
        <v>0.32</v>
      </c>
      <c r="CD111" s="66">
        <v>0.4</v>
      </c>
      <c r="CE111" s="66">
        <v>0.37</v>
      </c>
      <c r="CF111" s="66">
        <v>0.55000000000000004</v>
      </c>
      <c r="CG111" s="66">
        <v>0.6</v>
      </c>
      <c r="CH111" s="66">
        <v>0.43</v>
      </c>
      <c r="CI111" s="66">
        <v>0.55000000000000004</v>
      </c>
      <c r="CJ111" s="66">
        <v>0.5</v>
      </c>
      <c r="CK111" s="66">
        <v>0.78</v>
      </c>
      <c r="CL111" s="66">
        <v>0.33</v>
      </c>
      <c r="CM111" s="66">
        <v>0.56999999999999995</v>
      </c>
      <c r="CN111" s="66">
        <v>0.45</v>
      </c>
      <c r="CO111" s="66">
        <v>0.53</v>
      </c>
      <c r="CP111" s="66">
        <v>0.36</v>
      </c>
      <c r="CQ111" s="66">
        <v>0.54</v>
      </c>
      <c r="CR111" s="66">
        <v>0.6</v>
      </c>
      <c r="CS111" s="12">
        <v>49</v>
      </c>
      <c r="CT111" s="12">
        <v>8</v>
      </c>
      <c r="CU111" s="63">
        <v>0.09</v>
      </c>
      <c r="CV111" s="63">
        <v>0.74</v>
      </c>
      <c r="CW111" s="63">
        <v>0.17</v>
      </c>
      <c r="CX111" s="63">
        <v>0</v>
      </c>
      <c r="CY111" s="63">
        <v>0.5</v>
      </c>
      <c r="CZ111" s="63">
        <v>0.28000000000000003</v>
      </c>
      <c r="DA111" s="63">
        <v>0.64</v>
      </c>
      <c r="DB111" s="63">
        <v>0.49</v>
      </c>
      <c r="DC111" s="63">
        <v>0.56000000000000005</v>
      </c>
      <c r="DD111" s="63">
        <v>0.53</v>
      </c>
      <c r="DE111" s="63">
        <v>0.4</v>
      </c>
      <c r="DF111" s="63">
        <v>0.63</v>
      </c>
      <c r="DG111" s="63">
        <v>0.43</v>
      </c>
      <c r="DH111" s="63">
        <v>0.39</v>
      </c>
      <c r="DI111" s="63">
        <v>0.48</v>
      </c>
      <c r="DJ111" s="63">
        <v>0.51</v>
      </c>
      <c r="DK111" s="63">
        <v>0.28000000000000003</v>
      </c>
      <c r="DL111" s="63">
        <v>0.44</v>
      </c>
      <c r="DM111" s="63">
        <v>0.48</v>
      </c>
      <c r="DN111" s="63">
        <v>0.5</v>
      </c>
      <c r="DO111" s="63">
        <v>0.31</v>
      </c>
      <c r="DP111" s="63">
        <v>0.51</v>
      </c>
      <c r="DQ111" s="63">
        <v>0.51</v>
      </c>
      <c r="DR111" s="63">
        <v>0.23</v>
      </c>
      <c r="DS111" s="63">
        <v>0.38</v>
      </c>
      <c r="DT111" s="63">
        <v>0.63</v>
      </c>
      <c r="DU111" s="63">
        <v>0.6</v>
      </c>
      <c r="DV111" s="63">
        <v>0.68</v>
      </c>
      <c r="DW111" s="63">
        <v>0.36</v>
      </c>
      <c r="DX111" s="35">
        <v>50</v>
      </c>
      <c r="DY111" s="35">
        <v>8</v>
      </c>
      <c r="DZ111" s="40">
        <v>0.15</v>
      </c>
      <c r="EA111" s="40">
        <v>0.59</v>
      </c>
      <c r="EB111" s="40">
        <v>0.26</v>
      </c>
      <c r="EC111" s="40">
        <v>0</v>
      </c>
      <c r="ED111" s="40">
        <v>0.34</v>
      </c>
      <c r="EE111" s="40">
        <v>0.37</v>
      </c>
      <c r="EF111" s="40">
        <v>0.5</v>
      </c>
      <c r="EG111" s="40">
        <v>0.27</v>
      </c>
      <c r="EH111" s="40">
        <v>0.51</v>
      </c>
      <c r="EI111" s="40">
        <v>0.49</v>
      </c>
      <c r="EJ111" s="40">
        <v>0.56999999999999995</v>
      </c>
      <c r="EK111" s="40">
        <v>0.35</v>
      </c>
      <c r="EL111" s="40">
        <v>0.47</v>
      </c>
      <c r="EM111" s="40">
        <v>0.81</v>
      </c>
      <c r="EN111" s="40">
        <v>0.53</v>
      </c>
      <c r="EO111" s="40">
        <v>0.67</v>
      </c>
      <c r="EP111" s="40">
        <v>0.34</v>
      </c>
      <c r="EQ111" s="40">
        <v>0.23</v>
      </c>
      <c r="ER111" s="40">
        <v>0.67</v>
      </c>
      <c r="ES111" s="40">
        <v>0.38</v>
      </c>
      <c r="ET111" s="40">
        <v>0.28999999999999998</v>
      </c>
      <c r="EU111" s="40">
        <v>0.57999999999999996</v>
      </c>
      <c r="EV111" s="40">
        <v>0.47</v>
      </c>
      <c r="EW111" s="40">
        <v>0.22</v>
      </c>
      <c r="EX111" s="40">
        <v>0.82</v>
      </c>
      <c r="EY111" s="40">
        <v>0.56999999999999995</v>
      </c>
      <c r="EZ111" s="40">
        <v>0.15</v>
      </c>
      <c r="FA111" s="40">
        <v>0.68</v>
      </c>
      <c r="FB111" s="246">
        <v>53</v>
      </c>
      <c r="FC111" s="246" t="s">
        <v>758</v>
      </c>
      <c r="FD111" s="246">
        <v>7</v>
      </c>
      <c r="FE111" s="246" t="s">
        <v>758</v>
      </c>
      <c r="FF111" s="263">
        <v>0</v>
      </c>
      <c r="FG111" s="263">
        <v>0.72</v>
      </c>
      <c r="FH111" s="263">
        <v>0.28000000000000003</v>
      </c>
      <c r="FI111" s="263">
        <v>0</v>
      </c>
      <c r="FJ111" s="263">
        <v>0.43</v>
      </c>
      <c r="FK111" s="263">
        <v>0.59</v>
      </c>
      <c r="FL111" s="263">
        <v>0.46</v>
      </c>
      <c r="FM111" s="263">
        <v>0.44</v>
      </c>
      <c r="FN111" s="263">
        <v>0.14000000000000001</v>
      </c>
      <c r="FO111" s="263">
        <v>0.17</v>
      </c>
      <c r="FP111" s="263">
        <v>0.33</v>
      </c>
      <c r="FQ111" s="263">
        <v>0.28999999999999998</v>
      </c>
      <c r="FR111" s="263">
        <v>0.56999999999999995</v>
      </c>
      <c r="FS111" s="263">
        <v>0.31</v>
      </c>
      <c r="FT111" s="263">
        <v>0.4</v>
      </c>
      <c r="FU111" s="263">
        <v>0.28000000000000003</v>
      </c>
      <c r="FV111" s="263">
        <v>0.62</v>
      </c>
      <c r="FW111" s="263">
        <v>0.59</v>
      </c>
      <c r="FX111" s="263">
        <v>0.43</v>
      </c>
      <c r="FY111" s="263">
        <v>0.18</v>
      </c>
      <c r="FZ111" s="263">
        <v>0.39</v>
      </c>
      <c r="GA111" s="263">
        <v>0.52</v>
      </c>
      <c r="GB111" s="263">
        <v>0.52</v>
      </c>
      <c r="GC111" s="263">
        <v>0.41</v>
      </c>
      <c r="GD111" s="263">
        <v>0.5</v>
      </c>
      <c r="GE111" s="263">
        <v>0.45</v>
      </c>
      <c r="GF111" s="263">
        <v>0.35</v>
      </c>
      <c r="GG111" s="263">
        <v>0.41</v>
      </c>
      <c r="GH111" s="263">
        <v>0.52</v>
      </c>
      <c r="GI111" s="263">
        <v>0.3</v>
      </c>
      <c r="GJ111" s="649"/>
      <c r="GK111" s="649"/>
      <c r="GL111" s="649"/>
      <c r="GM111" s="649"/>
      <c r="GN111" s="649"/>
      <c r="GO111" s="649"/>
      <c r="GP111" s="649"/>
      <c r="GQ111" s="649"/>
      <c r="GR111" s="649"/>
      <c r="GS111" s="649"/>
      <c r="GT111" s="649"/>
      <c r="GU111" s="649"/>
      <c r="GV111" s="649"/>
      <c r="GW111" s="649"/>
      <c r="GX111" s="649"/>
      <c r="GY111" s="649"/>
      <c r="GZ111" s="649"/>
      <c r="HA111" s="649"/>
      <c r="HB111" s="649"/>
      <c r="HC111" s="649"/>
      <c r="HD111" s="649"/>
      <c r="HE111" s="649"/>
      <c r="HF111" s="649"/>
      <c r="HG111" s="649"/>
      <c r="HH111" s="649"/>
      <c r="HI111" s="649"/>
      <c r="HJ111" s="649"/>
      <c r="HK111" s="649"/>
      <c r="HL111" s="649"/>
      <c r="HM111" s="649"/>
      <c r="HN111" s="649"/>
      <c r="HO111" s="649"/>
      <c r="HP111" s="649"/>
      <c r="HQ111" s="649"/>
      <c r="HR111" s="651"/>
      <c r="HS111" s="651"/>
      <c r="HT111" s="651"/>
      <c r="HU111" s="651"/>
      <c r="HV111" s="651"/>
      <c r="HW111" s="651"/>
      <c r="HX111" s="651"/>
      <c r="HY111" s="651"/>
      <c r="HZ111" s="651"/>
      <c r="IA111" s="651"/>
      <c r="IB111" s="651"/>
      <c r="IC111" s="651"/>
      <c r="ID111" s="651"/>
      <c r="IE111" s="651"/>
      <c r="IF111" s="651"/>
      <c r="IG111" s="651"/>
      <c r="IH111" s="651"/>
      <c r="II111" s="651"/>
      <c r="IJ111" s="651"/>
      <c r="IK111" s="651"/>
      <c r="IL111" s="651"/>
      <c r="IM111" s="651"/>
      <c r="IN111" s="651"/>
      <c r="IO111" s="651"/>
      <c r="IP111" s="651"/>
      <c r="IQ111" s="651"/>
      <c r="IR111" s="651"/>
      <c r="IS111" s="651"/>
      <c r="IT111" s="651"/>
      <c r="IU111" s="651"/>
      <c r="IV111" s="651"/>
      <c r="IW111" s="651"/>
      <c r="IX111" s="651"/>
      <c r="IY111" s="651"/>
      <c r="IZ111" s="650"/>
      <c r="JA111" s="650"/>
      <c r="JB111" s="650"/>
      <c r="JC111" s="650"/>
      <c r="JD111" s="650"/>
      <c r="JE111" s="650"/>
      <c r="JF111" s="650"/>
      <c r="JG111" s="650"/>
      <c r="JH111" s="650"/>
      <c r="JI111" s="650"/>
      <c r="JJ111" s="650"/>
      <c r="JK111" s="650"/>
      <c r="JL111" s="650"/>
      <c r="JM111" s="650"/>
      <c r="JN111" s="650"/>
      <c r="JO111" s="650"/>
      <c r="JP111" s="650"/>
      <c r="JQ111" s="650"/>
      <c r="JR111" s="650"/>
      <c r="JS111" s="650"/>
      <c r="JT111" s="650"/>
      <c r="JU111" s="650"/>
      <c r="JV111" s="650"/>
      <c r="JW111" s="650"/>
      <c r="JX111" s="650"/>
      <c r="JY111" s="650"/>
      <c r="JZ111" s="650"/>
      <c r="KA111" s="650"/>
      <c r="KB111" s="650"/>
      <c r="KC111" s="650"/>
      <c r="KD111" s="650"/>
      <c r="KE111" s="650"/>
      <c r="KF111" s="650"/>
      <c r="KG111" s="650"/>
      <c r="KH111" s="971"/>
      <c r="KI111" s="971"/>
      <c r="KJ111" s="971"/>
      <c r="KK111" s="971"/>
      <c r="KL111" s="949"/>
      <c r="KM111" s="949"/>
      <c r="KN111" s="949"/>
      <c r="KO111" s="949"/>
      <c r="KP111" s="949"/>
      <c r="KQ111" s="949"/>
      <c r="KR111" s="949"/>
      <c r="KS111" s="949"/>
      <c r="KT111" s="949"/>
      <c r="KU111" s="949"/>
      <c r="KV111" s="949"/>
      <c r="KW111" s="949"/>
      <c r="KX111" s="949"/>
      <c r="KY111" s="949"/>
      <c r="KZ111" s="949"/>
      <c r="LA111" s="949"/>
      <c r="LB111" s="949"/>
      <c r="LC111" s="949"/>
      <c r="LD111" s="949"/>
      <c r="LE111" s="949"/>
      <c r="LF111" s="949"/>
      <c r="LG111" s="949"/>
      <c r="LH111" s="949"/>
      <c r="LI111" s="949"/>
      <c r="LJ111" s="949"/>
      <c r="LK111" s="949"/>
      <c r="LL111" s="949"/>
      <c r="LM111" s="949"/>
      <c r="LN111" s="949"/>
      <c r="LO111" s="949"/>
      <c r="LP111" s="922"/>
      <c r="LQ111" s="126" t="s">
        <v>32</v>
      </c>
      <c r="LR111" s="651"/>
      <c r="LS111" s="971"/>
      <c r="LT111" s="946"/>
    </row>
    <row r="112" spans="1:332" ht="24.95" customHeight="1" x14ac:dyDescent="0.2">
      <c r="A112" s="126" t="s">
        <v>39</v>
      </c>
      <c r="B112" s="1" t="s">
        <v>121</v>
      </c>
      <c r="C112" s="2">
        <v>6</v>
      </c>
      <c r="D112" s="12">
        <v>54</v>
      </c>
      <c r="E112" s="12">
        <v>7</v>
      </c>
      <c r="F112" s="66">
        <v>0.03</v>
      </c>
      <c r="G112" s="66">
        <v>0.57999999999999996</v>
      </c>
      <c r="H112" s="66">
        <v>0.39</v>
      </c>
      <c r="I112" s="66">
        <v>0</v>
      </c>
      <c r="J112" s="66">
        <v>0.34</v>
      </c>
      <c r="K112" s="66">
        <v>0.28999999999999998</v>
      </c>
      <c r="L112" s="66">
        <v>0.66</v>
      </c>
      <c r="M112" s="66">
        <v>0.21</v>
      </c>
      <c r="N112" s="66">
        <v>0.32</v>
      </c>
      <c r="O112" s="66">
        <v>0.56000000000000005</v>
      </c>
      <c r="P112" s="66">
        <v>0.28999999999999998</v>
      </c>
      <c r="Q112" s="66">
        <v>0.41</v>
      </c>
      <c r="R112" s="66">
        <v>0.55000000000000004</v>
      </c>
      <c r="S112" s="66">
        <v>0.52</v>
      </c>
      <c r="T112" s="66">
        <v>0.41</v>
      </c>
      <c r="U112" s="66">
        <v>0.61</v>
      </c>
      <c r="V112" s="66">
        <v>7.0000000000000007E-2</v>
      </c>
      <c r="W112" s="66">
        <v>0.08</v>
      </c>
      <c r="X112" s="66">
        <v>0.53</v>
      </c>
      <c r="Y112" s="66">
        <v>0.49</v>
      </c>
      <c r="Z112" s="66">
        <v>1</v>
      </c>
      <c r="AA112" s="66">
        <v>7.0000000000000007E-2</v>
      </c>
      <c r="AB112" s="66">
        <v>0.42</v>
      </c>
      <c r="AC112" s="66">
        <v>0.16</v>
      </c>
      <c r="AD112" s="66">
        <v>0.4</v>
      </c>
      <c r="AE112" s="66">
        <v>0.38</v>
      </c>
      <c r="AF112" s="66">
        <v>0.6</v>
      </c>
      <c r="AG112" s="66">
        <v>0.41</v>
      </c>
      <c r="AH112" s="12">
        <v>52</v>
      </c>
      <c r="AI112" s="12">
        <v>8</v>
      </c>
      <c r="AJ112" s="40">
        <v>0.09</v>
      </c>
      <c r="AK112" s="40">
        <v>0.53</v>
      </c>
      <c r="AL112" s="40">
        <v>0.38</v>
      </c>
      <c r="AM112" s="40">
        <v>0</v>
      </c>
      <c r="AN112" s="40">
        <v>0.3</v>
      </c>
      <c r="AO112" s="40">
        <v>0.52</v>
      </c>
      <c r="AP112" s="40">
        <v>0.55000000000000004</v>
      </c>
      <c r="AQ112" s="40">
        <v>0.43</v>
      </c>
      <c r="AR112" s="40">
        <v>0.53</v>
      </c>
      <c r="AS112" s="40">
        <v>0.5</v>
      </c>
      <c r="AT112" s="40">
        <v>0.48</v>
      </c>
      <c r="AU112" s="40">
        <v>0.56999999999999995</v>
      </c>
      <c r="AV112" s="40">
        <v>0.64</v>
      </c>
      <c r="AW112" s="40">
        <v>0.36</v>
      </c>
      <c r="AX112" s="40">
        <v>0.57999999999999996</v>
      </c>
      <c r="AY112" s="40">
        <v>0.28000000000000003</v>
      </c>
      <c r="AZ112" s="40">
        <v>0.24</v>
      </c>
      <c r="BA112" s="40">
        <v>0.46</v>
      </c>
      <c r="BB112" s="40">
        <v>0.66</v>
      </c>
      <c r="BC112" s="40">
        <v>0.65</v>
      </c>
      <c r="BD112" s="40">
        <v>0.38</v>
      </c>
      <c r="BE112" s="40">
        <v>0.54</v>
      </c>
      <c r="BF112" s="40">
        <v>0.53</v>
      </c>
      <c r="BG112" s="40">
        <v>0.53</v>
      </c>
      <c r="BH112" s="40">
        <v>0.4</v>
      </c>
      <c r="BI112" s="40">
        <v>0.43</v>
      </c>
      <c r="BJ112" s="40">
        <v>0.38</v>
      </c>
      <c r="BK112" s="40">
        <v>0.43</v>
      </c>
      <c r="BL112" s="40">
        <v>0.46</v>
      </c>
      <c r="BM112" s="12">
        <v>49</v>
      </c>
      <c r="BN112" s="12">
        <v>8</v>
      </c>
      <c r="BO112" s="66">
        <v>0.16</v>
      </c>
      <c r="BP112" s="66">
        <v>0.61</v>
      </c>
      <c r="BQ112" s="66">
        <v>0.23</v>
      </c>
      <c r="BR112" s="66">
        <v>0</v>
      </c>
      <c r="BS112" s="66">
        <v>0.36</v>
      </c>
      <c r="BT112" s="66">
        <v>0.64</v>
      </c>
      <c r="BU112" s="66">
        <v>0.75</v>
      </c>
      <c r="BV112" s="66">
        <v>0.43</v>
      </c>
      <c r="BW112" s="66">
        <v>0.64</v>
      </c>
      <c r="BX112" s="66">
        <v>0.34</v>
      </c>
      <c r="BY112" s="66">
        <v>0.46</v>
      </c>
      <c r="BZ112" s="66">
        <v>0.55000000000000004</v>
      </c>
      <c r="CA112" s="66">
        <v>0.47</v>
      </c>
      <c r="CB112" s="66">
        <v>0.33</v>
      </c>
      <c r="CC112" s="66">
        <v>0.18</v>
      </c>
      <c r="CD112" s="66">
        <v>0.45</v>
      </c>
      <c r="CE112" s="66">
        <v>0.4</v>
      </c>
      <c r="CF112" s="66">
        <v>0.67</v>
      </c>
      <c r="CG112" s="66">
        <v>0.61</v>
      </c>
      <c r="CH112" s="66">
        <v>0.48</v>
      </c>
      <c r="CI112" s="66">
        <v>0.6</v>
      </c>
      <c r="CJ112" s="66">
        <v>0.4</v>
      </c>
      <c r="CK112" s="66">
        <v>0.72</v>
      </c>
      <c r="CL112" s="66">
        <v>0.32</v>
      </c>
      <c r="CM112" s="66">
        <v>0.52</v>
      </c>
      <c r="CN112" s="66">
        <v>0.54</v>
      </c>
      <c r="CO112" s="66">
        <v>0.49</v>
      </c>
      <c r="CP112" s="66">
        <v>0.38</v>
      </c>
      <c r="CQ112" s="66">
        <v>0.59</v>
      </c>
      <c r="CR112" s="66">
        <v>0.62</v>
      </c>
      <c r="CS112" s="12">
        <v>48</v>
      </c>
      <c r="CT112" s="12">
        <v>8</v>
      </c>
      <c r="CU112" s="63">
        <v>0.14000000000000001</v>
      </c>
      <c r="CV112" s="63">
        <v>0.7</v>
      </c>
      <c r="CW112" s="63">
        <v>0.17</v>
      </c>
      <c r="CX112" s="63">
        <v>0</v>
      </c>
      <c r="CY112" s="63">
        <v>0.52</v>
      </c>
      <c r="CZ112" s="63">
        <v>0.3</v>
      </c>
      <c r="DA112" s="63">
        <v>0.57999999999999996</v>
      </c>
      <c r="DB112" s="63">
        <v>0.31</v>
      </c>
      <c r="DC112" s="63">
        <v>0.48</v>
      </c>
      <c r="DD112" s="63">
        <v>0.63</v>
      </c>
      <c r="DE112" s="63">
        <v>0.52</v>
      </c>
      <c r="DF112" s="63">
        <v>0.54</v>
      </c>
      <c r="DG112" s="63">
        <v>0.46</v>
      </c>
      <c r="DH112" s="63">
        <v>0.44</v>
      </c>
      <c r="DI112" s="63">
        <v>0.56999999999999995</v>
      </c>
      <c r="DJ112" s="63">
        <v>0.56999999999999995</v>
      </c>
      <c r="DK112" s="63">
        <v>0.37</v>
      </c>
      <c r="DL112" s="63">
        <v>0.42</v>
      </c>
      <c r="DM112" s="63">
        <v>0.57999999999999996</v>
      </c>
      <c r="DN112" s="63">
        <v>0.49</v>
      </c>
      <c r="DO112" s="63">
        <v>0.54</v>
      </c>
      <c r="DP112" s="63">
        <v>0.5</v>
      </c>
      <c r="DQ112" s="63">
        <v>0.64</v>
      </c>
      <c r="DR112" s="63">
        <v>0.21</v>
      </c>
      <c r="DS112" s="63">
        <v>0.4</v>
      </c>
      <c r="DT112" s="63">
        <v>0.62</v>
      </c>
      <c r="DU112" s="63">
        <v>0.53</v>
      </c>
      <c r="DV112" s="63">
        <v>0.6</v>
      </c>
      <c r="DW112" s="63">
        <v>0.3</v>
      </c>
      <c r="DX112" s="35">
        <v>48</v>
      </c>
      <c r="DY112" s="35">
        <v>8</v>
      </c>
      <c r="DZ112" s="40">
        <v>0.21</v>
      </c>
      <c r="EA112" s="40">
        <v>0.65</v>
      </c>
      <c r="EB112" s="40">
        <v>0.13</v>
      </c>
      <c r="EC112" s="40">
        <v>0.01</v>
      </c>
      <c r="ED112" s="40">
        <v>0.5</v>
      </c>
      <c r="EE112" s="40">
        <v>0.49</v>
      </c>
      <c r="EF112" s="40">
        <v>0.57999999999999996</v>
      </c>
      <c r="EG112" s="40">
        <v>0.46</v>
      </c>
      <c r="EH112" s="40">
        <v>0.49</v>
      </c>
      <c r="EI112" s="40">
        <v>0.54</v>
      </c>
      <c r="EJ112" s="40">
        <v>0.59</v>
      </c>
      <c r="EK112" s="40">
        <v>0.31</v>
      </c>
      <c r="EL112" s="40">
        <v>0.49</v>
      </c>
      <c r="EM112" s="40">
        <v>0.65</v>
      </c>
      <c r="EN112" s="40">
        <v>0.54</v>
      </c>
      <c r="EO112" s="40">
        <v>0.56999999999999995</v>
      </c>
      <c r="EP112" s="40">
        <v>0.42</v>
      </c>
      <c r="EQ112" s="40">
        <v>0.4</v>
      </c>
      <c r="ER112" s="40">
        <v>0.64</v>
      </c>
      <c r="ES112" s="40">
        <v>0.52</v>
      </c>
      <c r="ET112" s="40">
        <v>0.31</v>
      </c>
      <c r="EU112" s="40">
        <v>0.56999999999999995</v>
      </c>
      <c r="EV112" s="40">
        <v>0.46</v>
      </c>
      <c r="EW112" s="40">
        <v>0.32</v>
      </c>
      <c r="EX112" s="40">
        <v>0.67</v>
      </c>
      <c r="EY112" s="40">
        <v>0.61</v>
      </c>
      <c r="EZ112" s="40">
        <v>0.2</v>
      </c>
      <c r="FA112" s="40">
        <v>0.68</v>
      </c>
      <c r="FB112" s="246">
        <v>48</v>
      </c>
      <c r="FC112" s="246" t="s">
        <v>758</v>
      </c>
      <c r="FD112" s="246">
        <v>8</v>
      </c>
      <c r="FE112" s="246" t="s">
        <v>758</v>
      </c>
      <c r="FF112" s="263">
        <v>0.17</v>
      </c>
      <c r="FG112" s="263">
        <v>0.69</v>
      </c>
      <c r="FH112" s="263">
        <v>0.14000000000000001</v>
      </c>
      <c r="FI112" s="263">
        <v>0</v>
      </c>
      <c r="FJ112" s="263">
        <v>0.56999999999999995</v>
      </c>
      <c r="FK112" s="263">
        <v>0.68</v>
      </c>
      <c r="FL112" s="263">
        <v>0.5</v>
      </c>
      <c r="FM112" s="263">
        <v>0.48</v>
      </c>
      <c r="FN112" s="263">
        <v>0.28000000000000003</v>
      </c>
      <c r="FO112" s="263">
        <v>0.36</v>
      </c>
      <c r="FP112" s="263">
        <v>0.46</v>
      </c>
      <c r="FQ112" s="263">
        <v>0.43</v>
      </c>
      <c r="FR112" s="263">
        <v>0.57999999999999996</v>
      </c>
      <c r="FS112" s="263">
        <v>0.53</v>
      </c>
      <c r="FT112" s="263">
        <v>0.52</v>
      </c>
      <c r="FU112" s="263">
        <v>0.36</v>
      </c>
      <c r="FV112" s="263">
        <v>0.67</v>
      </c>
      <c r="FW112" s="263">
        <v>0.56999999999999995</v>
      </c>
      <c r="FX112" s="263">
        <v>0.56000000000000005</v>
      </c>
      <c r="FY112" s="263">
        <v>0.41</v>
      </c>
      <c r="FZ112" s="263">
        <v>0.44</v>
      </c>
      <c r="GA112" s="263">
        <v>0.52</v>
      </c>
      <c r="GB112" s="263">
        <v>0.62</v>
      </c>
      <c r="GC112" s="263">
        <v>0.5</v>
      </c>
      <c r="GD112" s="263">
        <v>0.65</v>
      </c>
      <c r="GE112" s="263">
        <v>0.62</v>
      </c>
      <c r="GF112" s="263">
        <v>0.46</v>
      </c>
      <c r="GG112" s="263">
        <v>0.51</v>
      </c>
      <c r="GH112" s="263">
        <v>0.61</v>
      </c>
      <c r="GI112" s="263">
        <v>0.34</v>
      </c>
      <c r="GJ112" s="74">
        <v>49</v>
      </c>
      <c r="GK112" s="74" t="s">
        <v>758</v>
      </c>
      <c r="GL112" s="74">
        <v>9</v>
      </c>
      <c r="GM112" s="74" t="s">
        <v>758</v>
      </c>
      <c r="GN112" s="96">
        <v>0.14000000000000001</v>
      </c>
      <c r="GO112" s="96">
        <v>0.63</v>
      </c>
      <c r="GP112" s="96">
        <v>0.23</v>
      </c>
      <c r="GQ112" s="96">
        <v>0.01</v>
      </c>
      <c r="GR112" s="96">
        <v>0.5</v>
      </c>
      <c r="GS112" s="96">
        <v>0.54</v>
      </c>
      <c r="GT112" s="96">
        <v>0.65</v>
      </c>
      <c r="GU112" s="96">
        <v>0.31</v>
      </c>
      <c r="GV112" s="96">
        <v>0.59</v>
      </c>
      <c r="GW112" s="96">
        <v>0.52</v>
      </c>
      <c r="GX112" s="96">
        <v>0.49</v>
      </c>
      <c r="GY112" s="74" t="s">
        <v>173</v>
      </c>
      <c r="GZ112" s="96">
        <v>0.45</v>
      </c>
      <c r="HA112" s="96">
        <v>0.51</v>
      </c>
      <c r="HB112" s="96">
        <v>0.51</v>
      </c>
      <c r="HC112" s="96">
        <v>0.59</v>
      </c>
      <c r="HD112" s="96">
        <v>0.61</v>
      </c>
      <c r="HE112" s="96">
        <v>0.52</v>
      </c>
      <c r="HF112" s="96">
        <v>0.48</v>
      </c>
      <c r="HG112" s="96">
        <v>0.7</v>
      </c>
      <c r="HH112" s="96">
        <v>0.44</v>
      </c>
      <c r="HI112" s="96">
        <v>0.66</v>
      </c>
      <c r="HJ112" s="96">
        <v>0.64</v>
      </c>
      <c r="HK112" s="96">
        <v>0.56999999999999995</v>
      </c>
      <c r="HL112" s="96">
        <v>0.47</v>
      </c>
      <c r="HM112" s="96">
        <v>0.47</v>
      </c>
      <c r="HN112" s="96">
        <v>0.5</v>
      </c>
      <c r="HO112" s="96">
        <v>0.38</v>
      </c>
      <c r="HP112" s="74" t="s">
        <v>173</v>
      </c>
      <c r="HQ112" s="96">
        <v>0.46</v>
      </c>
      <c r="HR112" s="652">
        <v>49</v>
      </c>
      <c r="HS112" s="652" t="s">
        <v>758</v>
      </c>
      <c r="HT112" s="652">
        <v>8</v>
      </c>
      <c r="HU112" s="652" t="s">
        <v>758</v>
      </c>
      <c r="HV112" s="653">
        <v>0.17</v>
      </c>
      <c r="HW112" s="653">
        <v>0.61</v>
      </c>
      <c r="HX112" s="653">
        <v>0.21</v>
      </c>
      <c r="HY112" s="653">
        <v>0.01</v>
      </c>
      <c r="HZ112" s="653">
        <v>0.46</v>
      </c>
      <c r="IA112" s="653">
        <v>0.6</v>
      </c>
      <c r="IB112" s="653">
        <v>0.37</v>
      </c>
      <c r="IC112" s="653">
        <v>0.54</v>
      </c>
      <c r="ID112" s="653">
        <v>0.69</v>
      </c>
      <c r="IE112" s="653">
        <v>0.38</v>
      </c>
      <c r="IF112" s="653">
        <v>0.42</v>
      </c>
      <c r="IG112" s="653">
        <v>0.54</v>
      </c>
      <c r="IH112" s="653">
        <v>0.55000000000000004</v>
      </c>
      <c r="II112" s="653">
        <v>0.31</v>
      </c>
      <c r="IJ112" s="653">
        <v>0.31</v>
      </c>
      <c r="IK112" s="653">
        <v>0.7</v>
      </c>
      <c r="IL112" s="653">
        <v>0.33</v>
      </c>
      <c r="IM112" s="653">
        <v>0.61</v>
      </c>
      <c r="IN112" s="653">
        <v>0.42</v>
      </c>
      <c r="IO112" s="653">
        <v>0.57999999999999996</v>
      </c>
      <c r="IP112" s="653">
        <v>0.45</v>
      </c>
      <c r="IQ112" s="653">
        <v>0.68</v>
      </c>
      <c r="IR112" s="653">
        <v>0.56999999999999995</v>
      </c>
      <c r="IS112" s="653">
        <v>0.56000000000000005</v>
      </c>
      <c r="IT112" s="653">
        <v>0.47</v>
      </c>
      <c r="IU112" s="652" t="s">
        <v>173</v>
      </c>
      <c r="IV112" s="653">
        <v>0.67</v>
      </c>
      <c r="IW112" s="653">
        <v>0.48</v>
      </c>
      <c r="IX112" s="653">
        <v>0.56000000000000005</v>
      </c>
      <c r="IY112" s="653">
        <v>0.62</v>
      </c>
      <c r="IZ112" s="74">
        <v>50</v>
      </c>
      <c r="JA112" s="74" t="s">
        <v>758</v>
      </c>
      <c r="JB112" s="74">
        <v>8</v>
      </c>
      <c r="JC112" s="74" t="s">
        <v>758</v>
      </c>
      <c r="JD112" s="96">
        <v>0.13</v>
      </c>
      <c r="JE112" s="96">
        <v>0.61</v>
      </c>
      <c r="JF112" s="96">
        <v>0.26</v>
      </c>
      <c r="JG112" s="96">
        <v>0</v>
      </c>
      <c r="JH112" s="96">
        <v>0.55000000000000004</v>
      </c>
      <c r="JI112" s="96">
        <v>0.46</v>
      </c>
      <c r="JJ112" s="96">
        <v>0.46</v>
      </c>
      <c r="JK112" s="96">
        <v>0.52</v>
      </c>
      <c r="JL112" s="96">
        <v>0.49</v>
      </c>
      <c r="JM112" s="96">
        <v>0.5</v>
      </c>
      <c r="JN112" s="96">
        <v>0.43</v>
      </c>
      <c r="JO112" s="96">
        <v>0.53</v>
      </c>
      <c r="JP112" s="96">
        <v>0.57999999999999996</v>
      </c>
      <c r="JQ112" s="96">
        <v>0.32</v>
      </c>
      <c r="JR112" s="96">
        <v>0.61</v>
      </c>
      <c r="JS112" s="96">
        <v>0.59</v>
      </c>
      <c r="JT112" s="96">
        <v>0.51</v>
      </c>
      <c r="JU112" s="96">
        <v>0.55000000000000004</v>
      </c>
      <c r="JV112" s="96">
        <v>0.52</v>
      </c>
      <c r="JW112" s="96">
        <v>0.48</v>
      </c>
      <c r="JX112" s="96">
        <v>0.46</v>
      </c>
      <c r="JY112" s="96">
        <v>0.51</v>
      </c>
      <c r="JZ112" s="96">
        <v>0.45</v>
      </c>
      <c r="KA112" s="96">
        <v>0.7</v>
      </c>
      <c r="KB112" s="96">
        <v>0.49</v>
      </c>
      <c r="KC112" s="96">
        <v>0.68</v>
      </c>
      <c r="KD112" s="96">
        <v>0.35</v>
      </c>
      <c r="KE112" s="96">
        <v>0.53</v>
      </c>
      <c r="KF112" s="96">
        <v>0.43</v>
      </c>
      <c r="KG112" s="96">
        <v>0.52</v>
      </c>
      <c r="KH112" s="971">
        <v>51</v>
      </c>
      <c r="KI112" s="971" t="s">
        <v>758</v>
      </c>
      <c r="KJ112" s="971">
        <v>9</v>
      </c>
      <c r="KK112" s="971" t="s">
        <v>758</v>
      </c>
      <c r="KL112" s="949">
        <v>0.14000000000000001</v>
      </c>
      <c r="KM112" s="949">
        <v>0.56000000000000005</v>
      </c>
      <c r="KN112" s="949">
        <v>0.28999999999999998</v>
      </c>
      <c r="KO112" s="949">
        <v>0.02</v>
      </c>
      <c r="KP112" s="949">
        <v>0.5</v>
      </c>
      <c r="KQ112" s="949">
        <v>0.26</v>
      </c>
      <c r="KR112" s="949">
        <v>0.64</v>
      </c>
      <c r="KS112" s="949">
        <v>0.5</v>
      </c>
      <c r="KT112" s="949">
        <v>0.66</v>
      </c>
      <c r="KU112" s="949">
        <v>0.51</v>
      </c>
      <c r="KV112" s="949">
        <v>0.6</v>
      </c>
      <c r="KW112" s="949">
        <v>0.41</v>
      </c>
      <c r="KX112" s="949">
        <v>0.36</v>
      </c>
      <c r="KY112" s="949">
        <v>0.51</v>
      </c>
      <c r="KZ112" s="949">
        <v>0.39</v>
      </c>
      <c r="LA112" s="949">
        <v>0.33</v>
      </c>
      <c r="LB112" s="949">
        <v>0.44</v>
      </c>
      <c r="LC112" s="949">
        <v>0.4</v>
      </c>
      <c r="LD112" s="949">
        <v>0.57999999999999996</v>
      </c>
      <c r="LE112" s="949">
        <v>0.51</v>
      </c>
      <c r="LF112" s="949">
        <v>0.34</v>
      </c>
      <c r="LG112" s="949">
        <v>0.39</v>
      </c>
      <c r="LH112" s="949">
        <v>0.6</v>
      </c>
      <c r="LI112" s="949">
        <v>0.48</v>
      </c>
      <c r="LJ112" s="949">
        <v>0.48</v>
      </c>
      <c r="LK112" s="949">
        <v>0.56999999999999995</v>
      </c>
      <c r="LL112" s="949" t="s">
        <v>173</v>
      </c>
      <c r="LM112" s="949">
        <v>0.61</v>
      </c>
      <c r="LN112" s="949">
        <v>0.64</v>
      </c>
      <c r="LO112" s="949">
        <v>0.46</v>
      </c>
      <c r="LP112" s="922">
        <v>125754001183</v>
      </c>
      <c r="LQ112" s="126" t="s">
        <v>39</v>
      </c>
      <c r="LR112" s="652">
        <v>49</v>
      </c>
      <c r="LS112" s="971">
        <v>51</v>
      </c>
      <c r="LT112" s="946"/>
    </row>
    <row r="113" spans="1:332" ht="24.95" customHeight="1" x14ac:dyDescent="0.2">
      <c r="A113" s="126" t="s">
        <v>19</v>
      </c>
      <c r="B113" s="1" t="s">
        <v>121</v>
      </c>
      <c r="C113" s="2">
        <v>5</v>
      </c>
      <c r="D113" s="12">
        <v>53</v>
      </c>
      <c r="E113" s="12">
        <v>7</v>
      </c>
      <c r="F113" s="66">
        <v>0.04</v>
      </c>
      <c r="G113" s="66">
        <v>0.6</v>
      </c>
      <c r="H113" s="66">
        <v>0.35</v>
      </c>
      <c r="I113" s="66">
        <v>0</v>
      </c>
      <c r="J113" s="66">
        <v>0.32</v>
      </c>
      <c r="K113" s="66">
        <v>0.47</v>
      </c>
      <c r="L113" s="66">
        <v>0.7</v>
      </c>
      <c r="M113" s="66">
        <v>0.22</v>
      </c>
      <c r="N113" s="66">
        <v>0.24</v>
      </c>
      <c r="O113" s="66">
        <v>0.53</v>
      </c>
      <c r="P113" s="66">
        <v>0.3</v>
      </c>
      <c r="Q113" s="66">
        <v>0.4</v>
      </c>
      <c r="R113" s="66">
        <v>0.53</v>
      </c>
      <c r="S113" s="66">
        <v>0.66</v>
      </c>
      <c r="T113" s="66">
        <v>0.51</v>
      </c>
      <c r="U113" s="66">
        <v>0.56999999999999995</v>
      </c>
      <c r="V113" s="66">
        <v>0.04</v>
      </c>
      <c r="W113" s="66">
        <v>0.12</v>
      </c>
      <c r="X113" s="66">
        <v>0.51</v>
      </c>
      <c r="Y113" s="66">
        <v>0.46</v>
      </c>
      <c r="Z113" s="66">
        <v>1</v>
      </c>
      <c r="AA113" s="66">
        <v>0.09</v>
      </c>
      <c r="AB113" s="66">
        <v>0.45</v>
      </c>
      <c r="AC113" s="66">
        <v>0.21</v>
      </c>
      <c r="AD113" s="66">
        <v>0.41</v>
      </c>
      <c r="AE113" s="66">
        <v>0.39</v>
      </c>
      <c r="AF113" s="66">
        <v>0.56999999999999995</v>
      </c>
      <c r="AG113" s="66">
        <v>0.56000000000000005</v>
      </c>
      <c r="AH113" s="12">
        <v>50</v>
      </c>
      <c r="AI113" s="12">
        <v>8</v>
      </c>
      <c r="AJ113" s="40">
        <v>0.13</v>
      </c>
      <c r="AK113" s="40">
        <v>0.6</v>
      </c>
      <c r="AL113" s="40">
        <v>0.27</v>
      </c>
      <c r="AM113" s="40">
        <v>0</v>
      </c>
      <c r="AN113" s="40">
        <v>0.31</v>
      </c>
      <c r="AO113" s="40">
        <v>0.53</v>
      </c>
      <c r="AP113" s="40">
        <v>0.59</v>
      </c>
      <c r="AQ113" s="40">
        <v>0.42</v>
      </c>
      <c r="AR113" s="40">
        <v>0.6</v>
      </c>
      <c r="AS113" s="40">
        <v>0.54</v>
      </c>
      <c r="AT113" s="40">
        <v>0.57999999999999996</v>
      </c>
      <c r="AU113" s="40">
        <v>0.6</v>
      </c>
      <c r="AV113" s="40">
        <v>0.61</v>
      </c>
      <c r="AW113" s="40">
        <v>0.6</v>
      </c>
      <c r="AX113" s="40">
        <v>0.64</v>
      </c>
      <c r="AY113" s="40">
        <v>0.35</v>
      </c>
      <c r="AZ113" s="40">
        <v>0.38</v>
      </c>
      <c r="BA113" s="40">
        <v>0.52</v>
      </c>
      <c r="BB113" s="40">
        <v>0.71</v>
      </c>
      <c r="BC113" s="40">
        <v>0.71</v>
      </c>
      <c r="BD113" s="40">
        <v>0.44</v>
      </c>
      <c r="BE113" s="40">
        <v>0.64</v>
      </c>
      <c r="BF113" s="40">
        <v>0.55000000000000004</v>
      </c>
      <c r="BG113" s="40">
        <v>0.53</v>
      </c>
      <c r="BH113" s="40">
        <v>0.45</v>
      </c>
      <c r="BI113" s="40">
        <v>0.44</v>
      </c>
      <c r="BJ113" s="40">
        <v>0.43</v>
      </c>
      <c r="BK113" s="40">
        <v>0.5</v>
      </c>
      <c r="BL113" s="40">
        <v>0.44</v>
      </c>
      <c r="BM113" s="12">
        <v>49</v>
      </c>
      <c r="BN113" s="12">
        <v>8</v>
      </c>
      <c r="BO113" s="66">
        <v>0.15</v>
      </c>
      <c r="BP113" s="66">
        <v>0.68</v>
      </c>
      <c r="BQ113" s="66">
        <v>0.17</v>
      </c>
      <c r="BR113" s="66">
        <v>0.01</v>
      </c>
      <c r="BS113" s="66">
        <v>0.38</v>
      </c>
      <c r="BT113" s="66">
        <v>0.56000000000000005</v>
      </c>
      <c r="BU113" s="66">
        <v>0.66</v>
      </c>
      <c r="BV113" s="66">
        <v>0.4</v>
      </c>
      <c r="BW113" s="66">
        <v>0.63</v>
      </c>
      <c r="BX113" s="66">
        <v>0.36</v>
      </c>
      <c r="BY113" s="66">
        <v>0.45</v>
      </c>
      <c r="BZ113" s="66">
        <v>0.53</v>
      </c>
      <c r="CA113" s="66">
        <v>0.49</v>
      </c>
      <c r="CB113" s="66">
        <v>0.38</v>
      </c>
      <c r="CC113" s="66">
        <v>0.22</v>
      </c>
      <c r="CD113" s="66">
        <v>0.49</v>
      </c>
      <c r="CE113" s="66">
        <v>0.4</v>
      </c>
      <c r="CF113" s="66">
        <v>0.67</v>
      </c>
      <c r="CG113" s="66">
        <v>0.66</v>
      </c>
      <c r="CH113" s="66">
        <v>0.47</v>
      </c>
      <c r="CI113" s="66">
        <v>0.64</v>
      </c>
      <c r="CJ113" s="66">
        <v>0.41</v>
      </c>
      <c r="CK113" s="66">
        <v>0.73</v>
      </c>
      <c r="CL113" s="66">
        <v>0.34</v>
      </c>
      <c r="CM113" s="66">
        <v>0.47</v>
      </c>
      <c r="CN113" s="66">
        <v>0.52</v>
      </c>
      <c r="CO113" s="66">
        <v>0.55000000000000004</v>
      </c>
      <c r="CP113" s="66">
        <v>0.42</v>
      </c>
      <c r="CQ113" s="66">
        <v>0.61</v>
      </c>
      <c r="CR113" s="66">
        <v>0.62</v>
      </c>
      <c r="CS113" s="12">
        <v>49</v>
      </c>
      <c r="CT113" s="12">
        <v>8</v>
      </c>
      <c r="CU113" s="63">
        <v>0.16</v>
      </c>
      <c r="CV113" s="63">
        <v>0.66</v>
      </c>
      <c r="CW113" s="63">
        <v>0.18</v>
      </c>
      <c r="CX113" s="63">
        <v>0.01</v>
      </c>
      <c r="CY113" s="63">
        <v>0.51</v>
      </c>
      <c r="CZ113" s="63">
        <v>0.3</v>
      </c>
      <c r="DA113" s="63">
        <v>0.59</v>
      </c>
      <c r="DB113" s="63">
        <v>0.37</v>
      </c>
      <c r="DC113" s="63">
        <v>0.44</v>
      </c>
      <c r="DD113" s="63">
        <v>0.66</v>
      </c>
      <c r="DE113" s="63">
        <v>0.5</v>
      </c>
      <c r="DF113" s="63">
        <v>0.56999999999999995</v>
      </c>
      <c r="DG113" s="63">
        <v>0.49</v>
      </c>
      <c r="DH113" s="63">
        <v>0.37</v>
      </c>
      <c r="DI113" s="63">
        <v>0.52</v>
      </c>
      <c r="DJ113" s="63">
        <v>0.55000000000000004</v>
      </c>
      <c r="DK113" s="63">
        <v>0.38</v>
      </c>
      <c r="DL113" s="63">
        <v>0.33</v>
      </c>
      <c r="DM113" s="63">
        <v>0.5</v>
      </c>
      <c r="DN113" s="63">
        <v>0.49</v>
      </c>
      <c r="DO113" s="63">
        <v>0.48</v>
      </c>
      <c r="DP113" s="63">
        <v>0.47</v>
      </c>
      <c r="DQ113" s="63">
        <v>0.62</v>
      </c>
      <c r="DR113" s="63">
        <v>0.21</v>
      </c>
      <c r="DS113" s="63">
        <v>0.39</v>
      </c>
      <c r="DT113" s="63">
        <v>0.62</v>
      </c>
      <c r="DU113" s="63">
        <v>0.49</v>
      </c>
      <c r="DV113" s="63">
        <v>0.6</v>
      </c>
      <c r="DW113" s="63">
        <v>0.38</v>
      </c>
      <c r="DX113" s="35">
        <v>49</v>
      </c>
      <c r="DY113" s="35">
        <v>8</v>
      </c>
      <c r="DZ113" s="40">
        <v>0.19</v>
      </c>
      <c r="EA113" s="40">
        <v>0.56999999999999995</v>
      </c>
      <c r="EB113" s="40">
        <v>0.23</v>
      </c>
      <c r="EC113" s="40">
        <v>0.01</v>
      </c>
      <c r="ED113" s="40">
        <v>0.47</v>
      </c>
      <c r="EE113" s="40">
        <v>0.44</v>
      </c>
      <c r="EF113" s="40">
        <v>0.56999999999999995</v>
      </c>
      <c r="EG113" s="40">
        <v>0.45</v>
      </c>
      <c r="EH113" s="40">
        <v>0.45</v>
      </c>
      <c r="EI113" s="40">
        <v>0.55000000000000004</v>
      </c>
      <c r="EJ113" s="40">
        <v>0.61</v>
      </c>
      <c r="EK113" s="40">
        <v>0.3</v>
      </c>
      <c r="EL113" s="40">
        <v>0.44</v>
      </c>
      <c r="EM113" s="40">
        <v>0.57999999999999996</v>
      </c>
      <c r="EN113" s="40">
        <v>0.5</v>
      </c>
      <c r="EO113" s="40">
        <v>0.61</v>
      </c>
      <c r="EP113" s="40">
        <v>0.36</v>
      </c>
      <c r="EQ113" s="40">
        <v>0.23</v>
      </c>
      <c r="ER113" s="40">
        <v>0.64</v>
      </c>
      <c r="ES113" s="40">
        <v>0.51</v>
      </c>
      <c r="ET113" s="40">
        <v>0.35</v>
      </c>
      <c r="EU113" s="40">
        <v>0.57999999999999996</v>
      </c>
      <c r="EV113" s="40">
        <v>0.39</v>
      </c>
      <c r="EW113" s="40">
        <v>0.31</v>
      </c>
      <c r="EX113" s="40">
        <v>0.71</v>
      </c>
      <c r="EY113" s="40">
        <v>0.64</v>
      </c>
      <c r="EZ113" s="40">
        <v>0.22</v>
      </c>
      <c r="FA113" s="40">
        <v>0.62</v>
      </c>
      <c r="FB113" s="246">
        <v>48</v>
      </c>
      <c r="FC113" s="246" t="s">
        <v>758</v>
      </c>
      <c r="FD113" s="246">
        <v>8</v>
      </c>
      <c r="FE113" s="246" t="s">
        <v>758</v>
      </c>
      <c r="FF113" s="263">
        <v>0.18</v>
      </c>
      <c r="FG113" s="263">
        <v>0.64</v>
      </c>
      <c r="FH113" s="263">
        <v>0.19</v>
      </c>
      <c r="FI113" s="263">
        <v>0</v>
      </c>
      <c r="FJ113" s="263">
        <v>0.48</v>
      </c>
      <c r="FK113" s="263">
        <v>0.69</v>
      </c>
      <c r="FL113" s="263">
        <v>0.53</v>
      </c>
      <c r="FM113" s="263">
        <v>0.47</v>
      </c>
      <c r="FN113" s="263">
        <v>0.35</v>
      </c>
      <c r="FO113" s="263">
        <v>0.34</v>
      </c>
      <c r="FP113" s="263">
        <v>0.42</v>
      </c>
      <c r="FQ113" s="263">
        <v>0.48</v>
      </c>
      <c r="FR113" s="263">
        <v>0.64</v>
      </c>
      <c r="FS113" s="263">
        <v>0.49</v>
      </c>
      <c r="FT113" s="263">
        <v>0.56000000000000005</v>
      </c>
      <c r="FU113" s="263">
        <v>0.4</v>
      </c>
      <c r="FV113" s="263">
        <v>0.66</v>
      </c>
      <c r="FW113" s="263">
        <v>0.6</v>
      </c>
      <c r="FX113" s="263">
        <v>0.48</v>
      </c>
      <c r="FY113" s="263">
        <v>0.4</v>
      </c>
      <c r="FZ113" s="263">
        <v>0.48</v>
      </c>
      <c r="GA113" s="263">
        <v>0.49</v>
      </c>
      <c r="GB113" s="263">
        <v>0.61</v>
      </c>
      <c r="GC113" s="263">
        <v>0.47</v>
      </c>
      <c r="GD113" s="263">
        <v>0.66</v>
      </c>
      <c r="GE113" s="263">
        <v>0.62</v>
      </c>
      <c r="GF113" s="263">
        <v>0.54</v>
      </c>
      <c r="GG113" s="263">
        <v>0.48</v>
      </c>
      <c r="GH113" s="263">
        <v>0.59</v>
      </c>
      <c r="GI113" s="263">
        <v>0.3</v>
      </c>
      <c r="GJ113" s="309">
        <v>50</v>
      </c>
      <c r="GK113" s="309" t="s">
        <v>758</v>
      </c>
      <c r="GL113" s="309">
        <v>9</v>
      </c>
      <c r="GM113" s="309" t="s">
        <v>758</v>
      </c>
      <c r="GN113" s="327">
        <v>0.14000000000000001</v>
      </c>
      <c r="GO113" s="327">
        <v>0.59</v>
      </c>
      <c r="GP113" s="327">
        <v>0.25</v>
      </c>
      <c r="GQ113" s="327">
        <v>0.02</v>
      </c>
      <c r="GR113" s="327">
        <v>0.5</v>
      </c>
      <c r="GS113" s="327">
        <v>0.56000000000000005</v>
      </c>
      <c r="GT113" s="327">
        <v>0.6</v>
      </c>
      <c r="GU113" s="327">
        <v>0.23</v>
      </c>
      <c r="GV113" s="327">
        <v>0.6</v>
      </c>
      <c r="GW113" s="327">
        <v>0.52</v>
      </c>
      <c r="GX113" s="327">
        <v>0.47</v>
      </c>
      <c r="GY113" s="309" t="s">
        <v>173</v>
      </c>
      <c r="GZ113" s="327">
        <v>0.37</v>
      </c>
      <c r="HA113" s="327">
        <v>0.65</v>
      </c>
      <c r="HB113" s="327">
        <v>0.46</v>
      </c>
      <c r="HC113" s="327">
        <v>0.51</v>
      </c>
      <c r="HD113" s="327">
        <v>0.56999999999999995</v>
      </c>
      <c r="HE113" s="327">
        <v>0.47</v>
      </c>
      <c r="HF113" s="327">
        <v>0.47</v>
      </c>
      <c r="HG113" s="327">
        <v>0.68</v>
      </c>
      <c r="HH113" s="327">
        <v>0.44</v>
      </c>
      <c r="HI113" s="327">
        <v>0.51</v>
      </c>
      <c r="HJ113" s="327">
        <v>0.56999999999999995</v>
      </c>
      <c r="HK113" s="327">
        <v>0.5</v>
      </c>
      <c r="HL113" s="327">
        <v>0.4</v>
      </c>
      <c r="HM113" s="327">
        <v>0.5</v>
      </c>
      <c r="HN113" s="327">
        <v>0.52</v>
      </c>
      <c r="HO113" s="327">
        <v>0.47</v>
      </c>
      <c r="HP113" s="309" t="s">
        <v>173</v>
      </c>
      <c r="HQ113" s="327">
        <v>0.42</v>
      </c>
      <c r="HR113" s="424">
        <v>49</v>
      </c>
      <c r="HS113" s="424" t="s">
        <v>758</v>
      </c>
      <c r="HT113" s="424">
        <v>8</v>
      </c>
      <c r="HU113" s="424" t="s">
        <v>758</v>
      </c>
      <c r="HV113" s="428">
        <v>0.17</v>
      </c>
      <c r="HW113" s="428">
        <v>0.64</v>
      </c>
      <c r="HX113" s="428">
        <v>0.18</v>
      </c>
      <c r="HY113" s="428">
        <v>0.01</v>
      </c>
      <c r="HZ113" s="428">
        <v>0.42</v>
      </c>
      <c r="IA113" s="428">
        <v>0.56000000000000005</v>
      </c>
      <c r="IB113" s="428">
        <v>0.38</v>
      </c>
      <c r="IC113" s="428">
        <v>0.56999999999999995</v>
      </c>
      <c r="ID113" s="428">
        <v>0.71</v>
      </c>
      <c r="IE113" s="428">
        <v>0.41</v>
      </c>
      <c r="IF113" s="428">
        <v>0.43</v>
      </c>
      <c r="IG113" s="428">
        <v>0.61</v>
      </c>
      <c r="IH113" s="428">
        <v>0.57999999999999996</v>
      </c>
      <c r="II113" s="428">
        <v>0.45</v>
      </c>
      <c r="IJ113" s="428">
        <v>0.33</v>
      </c>
      <c r="IK113" s="428">
        <v>0.62</v>
      </c>
      <c r="IL113" s="428">
        <v>0.36</v>
      </c>
      <c r="IM113" s="428">
        <v>0.61</v>
      </c>
      <c r="IN113" s="428">
        <v>0.51</v>
      </c>
      <c r="IO113" s="428">
        <v>0.62</v>
      </c>
      <c r="IP113" s="428">
        <v>0.44</v>
      </c>
      <c r="IQ113" s="428">
        <v>0.67</v>
      </c>
      <c r="IR113" s="428">
        <v>0.6</v>
      </c>
      <c r="IS113" s="428">
        <v>0.55000000000000004</v>
      </c>
      <c r="IT113" s="428">
        <v>0.49</v>
      </c>
      <c r="IU113" s="424" t="s">
        <v>173</v>
      </c>
      <c r="IV113" s="428">
        <v>0.68</v>
      </c>
      <c r="IW113" s="428">
        <v>0.48</v>
      </c>
      <c r="IX113" s="428">
        <v>0.48</v>
      </c>
      <c r="IY113" s="428">
        <v>0.56999999999999995</v>
      </c>
      <c r="IZ113" s="464">
        <v>51</v>
      </c>
      <c r="JA113" s="464" t="s">
        <v>758</v>
      </c>
      <c r="JB113" s="464">
        <v>9</v>
      </c>
      <c r="JC113" s="464" t="s">
        <v>758</v>
      </c>
      <c r="JD113" s="476">
        <v>0.11</v>
      </c>
      <c r="JE113" s="476">
        <v>0.56000000000000005</v>
      </c>
      <c r="JF113" s="476">
        <v>0.32</v>
      </c>
      <c r="JG113" s="476">
        <v>0.01</v>
      </c>
      <c r="JH113" s="476">
        <v>0.52</v>
      </c>
      <c r="JI113" s="476">
        <v>0.44</v>
      </c>
      <c r="JJ113" s="476">
        <v>0.42</v>
      </c>
      <c r="JK113" s="476">
        <v>0.5</v>
      </c>
      <c r="JL113" s="476">
        <v>0.5</v>
      </c>
      <c r="JM113" s="476">
        <v>0.5</v>
      </c>
      <c r="JN113" s="476">
        <v>0.47</v>
      </c>
      <c r="JO113" s="476">
        <v>0.48</v>
      </c>
      <c r="JP113" s="476">
        <v>0.54</v>
      </c>
      <c r="JQ113" s="476">
        <v>0.21</v>
      </c>
      <c r="JR113" s="476">
        <v>0.59</v>
      </c>
      <c r="JS113" s="476">
        <v>0.56999999999999995</v>
      </c>
      <c r="JT113" s="476">
        <v>0.42</v>
      </c>
      <c r="JU113" s="476">
        <v>0.5</v>
      </c>
      <c r="JV113" s="476">
        <v>0.53</v>
      </c>
      <c r="JW113" s="476">
        <v>0.47</v>
      </c>
      <c r="JX113" s="476">
        <v>0.42</v>
      </c>
      <c r="JY113" s="476">
        <v>0.46</v>
      </c>
      <c r="JZ113" s="476">
        <v>0.5</v>
      </c>
      <c r="KA113" s="476">
        <v>0.6</v>
      </c>
      <c r="KB113" s="476">
        <v>0.48</v>
      </c>
      <c r="KC113" s="476">
        <v>0.73</v>
      </c>
      <c r="KD113" s="476">
        <v>0.39</v>
      </c>
      <c r="KE113" s="476">
        <v>0.5</v>
      </c>
      <c r="KF113" s="476">
        <v>0.47</v>
      </c>
      <c r="KG113" s="476">
        <v>0.53</v>
      </c>
      <c r="KH113" s="971">
        <v>52</v>
      </c>
      <c r="KI113" s="971" t="s">
        <v>758</v>
      </c>
      <c r="KJ113" s="971">
        <v>10</v>
      </c>
      <c r="KK113" s="971" t="s">
        <v>758</v>
      </c>
      <c r="KL113" s="949">
        <v>0.15</v>
      </c>
      <c r="KM113" s="949">
        <v>0.48</v>
      </c>
      <c r="KN113" s="949">
        <v>0.35</v>
      </c>
      <c r="KO113" s="949">
        <v>0.01</v>
      </c>
      <c r="KP113" s="949">
        <v>0.52</v>
      </c>
      <c r="KQ113" s="949">
        <v>0.32</v>
      </c>
      <c r="KR113" s="949">
        <v>0.6</v>
      </c>
      <c r="KS113" s="949">
        <v>0.49</v>
      </c>
      <c r="KT113" s="949">
        <v>0.62</v>
      </c>
      <c r="KU113" s="949">
        <v>0.37</v>
      </c>
      <c r="KV113" s="949">
        <v>0.62</v>
      </c>
      <c r="KW113" s="949">
        <v>0.34</v>
      </c>
      <c r="KX113" s="949">
        <v>0.33</v>
      </c>
      <c r="KY113" s="949">
        <v>0.52</v>
      </c>
      <c r="KZ113" s="949">
        <v>0.41</v>
      </c>
      <c r="LA113" s="949">
        <v>0.43</v>
      </c>
      <c r="LB113" s="949">
        <v>0.39</v>
      </c>
      <c r="LC113" s="949">
        <v>0.38</v>
      </c>
      <c r="LD113" s="949">
        <v>0.53</v>
      </c>
      <c r="LE113" s="949">
        <v>0.46</v>
      </c>
      <c r="LF113" s="949">
        <v>0.35</v>
      </c>
      <c r="LG113" s="949">
        <v>0.43</v>
      </c>
      <c r="LH113" s="949">
        <v>0.55000000000000004</v>
      </c>
      <c r="LI113" s="949">
        <v>0.48</v>
      </c>
      <c r="LJ113" s="949">
        <v>0.41</v>
      </c>
      <c r="LK113" s="949">
        <v>0.54</v>
      </c>
      <c r="LL113" s="949" t="s">
        <v>173</v>
      </c>
      <c r="LM113" s="949">
        <v>0.6</v>
      </c>
      <c r="LN113" s="949">
        <v>0.56000000000000005</v>
      </c>
      <c r="LO113" s="949">
        <v>0.43</v>
      </c>
      <c r="LP113" s="922">
        <v>125754002066</v>
      </c>
      <c r="LQ113" s="126" t="s">
        <v>19</v>
      </c>
      <c r="LR113" s="424">
        <v>49</v>
      </c>
      <c r="LS113" s="971">
        <v>52</v>
      </c>
      <c r="LT113" s="946"/>
    </row>
    <row r="114" spans="1:332" ht="24.95" customHeight="1" x14ac:dyDescent="0.2">
      <c r="A114" s="126" t="s">
        <v>71</v>
      </c>
      <c r="B114" s="1" t="s">
        <v>121</v>
      </c>
      <c r="C114" s="2">
        <v>4</v>
      </c>
      <c r="D114" s="12">
        <v>48</v>
      </c>
      <c r="E114" s="12">
        <v>7</v>
      </c>
      <c r="F114" s="66">
        <v>0.14000000000000001</v>
      </c>
      <c r="G114" s="66">
        <v>0.8</v>
      </c>
      <c r="H114" s="66">
        <v>0.06</v>
      </c>
      <c r="I114" s="66">
        <v>0</v>
      </c>
      <c r="J114" s="66">
        <v>0.44</v>
      </c>
      <c r="K114" s="66">
        <v>0.53</v>
      </c>
      <c r="L114" s="66">
        <v>0.91</v>
      </c>
      <c r="M114" s="66">
        <v>0.46</v>
      </c>
      <c r="N114" s="66">
        <v>0.4</v>
      </c>
      <c r="O114" s="66">
        <v>0.71</v>
      </c>
      <c r="P114" s="66">
        <v>0.36</v>
      </c>
      <c r="Q114" s="66">
        <v>0.62</v>
      </c>
      <c r="R114" s="66">
        <v>0.59</v>
      </c>
      <c r="S114" s="66">
        <v>0.69</v>
      </c>
      <c r="T114" s="66">
        <v>0.53</v>
      </c>
      <c r="U114" s="66">
        <v>0.69</v>
      </c>
      <c r="V114" s="66">
        <v>0.16</v>
      </c>
      <c r="W114" s="66">
        <v>0.2</v>
      </c>
      <c r="X114" s="66">
        <v>0.56999999999999995</v>
      </c>
      <c r="Y114" s="66">
        <v>0.6</v>
      </c>
      <c r="Z114" s="66">
        <v>1</v>
      </c>
      <c r="AA114" s="66">
        <v>0.06</v>
      </c>
      <c r="AB114" s="66">
        <v>0.48</v>
      </c>
      <c r="AC114" s="66">
        <v>0.31</v>
      </c>
      <c r="AD114" s="66">
        <v>0.56999999999999995</v>
      </c>
      <c r="AE114" s="66">
        <v>0.54</v>
      </c>
      <c r="AF114" s="66">
        <v>0.59</v>
      </c>
      <c r="AG114" s="66">
        <v>0.57999999999999996</v>
      </c>
      <c r="AH114" s="12">
        <v>47</v>
      </c>
      <c r="AI114" s="12">
        <v>7</v>
      </c>
      <c r="AJ114" s="40">
        <v>0.17</v>
      </c>
      <c r="AK114" s="40">
        <v>0.73</v>
      </c>
      <c r="AL114" s="40">
        <v>0.1</v>
      </c>
      <c r="AM114" s="40">
        <v>0</v>
      </c>
      <c r="AN114" s="40">
        <v>0.38</v>
      </c>
      <c r="AO114" s="40">
        <v>0.52</v>
      </c>
      <c r="AP114" s="40">
        <v>0.7</v>
      </c>
      <c r="AQ114" s="40">
        <v>0.51</v>
      </c>
      <c r="AR114" s="40">
        <v>0.65</v>
      </c>
      <c r="AS114" s="40">
        <v>0.59</v>
      </c>
      <c r="AT114" s="40">
        <v>0.66</v>
      </c>
      <c r="AU114" s="40">
        <v>0.57999999999999996</v>
      </c>
      <c r="AV114" s="40">
        <v>0.56999999999999995</v>
      </c>
      <c r="AW114" s="40">
        <v>0.66</v>
      </c>
      <c r="AX114" s="40">
        <v>0.62</v>
      </c>
      <c r="AY114" s="40">
        <v>0.41</v>
      </c>
      <c r="AZ114" s="40">
        <v>0.35</v>
      </c>
      <c r="BA114" s="40">
        <v>0.61</v>
      </c>
      <c r="BB114" s="40">
        <v>0.7</v>
      </c>
      <c r="BC114" s="40">
        <v>0.67</v>
      </c>
      <c r="BD114" s="40">
        <v>0.56000000000000005</v>
      </c>
      <c r="BE114" s="40">
        <v>0.67</v>
      </c>
      <c r="BF114" s="40">
        <v>0.68</v>
      </c>
      <c r="BG114" s="40">
        <v>0.69</v>
      </c>
      <c r="BH114" s="40">
        <v>0.56000000000000005</v>
      </c>
      <c r="BI114" s="40">
        <v>0.48</v>
      </c>
      <c r="BJ114" s="40">
        <v>0.49</v>
      </c>
      <c r="BK114" s="40">
        <v>0.56999999999999995</v>
      </c>
      <c r="BL114" s="40">
        <v>0.71</v>
      </c>
      <c r="BM114" s="12">
        <v>44</v>
      </c>
      <c r="BN114" s="12">
        <v>8</v>
      </c>
      <c r="BO114" s="66">
        <v>0.28000000000000003</v>
      </c>
      <c r="BP114" s="66">
        <v>0.6</v>
      </c>
      <c r="BQ114" s="66">
        <v>0.13</v>
      </c>
      <c r="BR114" s="66">
        <v>0</v>
      </c>
      <c r="BS114" s="66">
        <v>0.32</v>
      </c>
      <c r="BT114" s="66">
        <v>0.7</v>
      </c>
      <c r="BU114" s="66">
        <v>0.79</v>
      </c>
      <c r="BV114" s="66">
        <v>0.52</v>
      </c>
      <c r="BW114" s="66">
        <v>0.73</v>
      </c>
      <c r="BX114" s="66">
        <v>0.5</v>
      </c>
      <c r="BY114" s="66">
        <v>0.53</v>
      </c>
      <c r="BZ114" s="66">
        <v>0.63</v>
      </c>
      <c r="CA114" s="66">
        <v>0.49</v>
      </c>
      <c r="CB114" s="66">
        <v>0.6</v>
      </c>
      <c r="CC114" s="66">
        <v>0.35</v>
      </c>
      <c r="CD114" s="66">
        <v>0.54</v>
      </c>
      <c r="CE114" s="66">
        <v>0.52</v>
      </c>
      <c r="CF114" s="66">
        <v>0.64</v>
      </c>
      <c r="CG114" s="66">
        <v>0.7</v>
      </c>
      <c r="CH114" s="66">
        <v>0.52</v>
      </c>
      <c r="CI114" s="66">
        <v>0.74</v>
      </c>
      <c r="CJ114" s="66">
        <v>0.51</v>
      </c>
      <c r="CK114" s="66">
        <v>0.78</v>
      </c>
      <c r="CL114" s="66">
        <v>0.59</v>
      </c>
      <c r="CM114" s="66">
        <v>0.57999999999999996</v>
      </c>
      <c r="CN114" s="66">
        <v>0.6</v>
      </c>
      <c r="CO114" s="66">
        <v>0.51</v>
      </c>
      <c r="CP114" s="66">
        <v>0.52</v>
      </c>
      <c r="CQ114" s="66">
        <v>0.66</v>
      </c>
      <c r="CR114" s="66">
        <v>0.71</v>
      </c>
      <c r="CS114" s="12">
        <v>43</v>
      </c>
      <c r="CT114" s="12">
        <v>8</v>
      </c>
      <c r="CU114" s="63">
        <v>0.39</v>
      </c>
      <c r="CV114" s="63">
        <v>0.54</v>
      </c>
      <c r="CW114" s="63">
        <v>7.0000000000000007E-2</v>
      </c>
      <c r="CX114" s="63">
        <v>0</v>
      </c>
      <c r="CY114" s="63">
        <v>0.56000000000000005</v>
      </c>
      <c r="CZ114" s="63">
        <v>0.4</v>
      </c>
      <c r="DA114" s="63">
        <v>0.63</v>
      </c>
      <c r="DB114" s="63">
        <v>0.55000000000000004</v>
      </c>
      <c r="DC114" s="63">
        <v>0.54</v>
      </c>
      <c r="DD114" s="63">
        <v>0.66</v>
      </c>
      <c r="DE114" s="63">
        <v>0.59</v>
      </c>
      <c r="DF114" s="63">
        <v>0.6</v>
      </c>
      <c r="DG114" s="63">
        <v>0.64</v>
      </c>
      <c r="DH114" s="63">
        <v>0.47</v>
      </c>
      <c r="DI114" s="63">
        <v>0.64</v>
      </c>
      <c r="DJ114" s="63">
        <v>0.63</v>
      </c>
      <c r="DK114" s="63">
        <v>0.51</v>
      </c>
      <c r="DL114" s="63">
        <v>0.48</v>
      </c>
      <c r="DM114" s="63">
        <v>0.61</v>
      </c>
      <c r="DN114" s="63">
        <v>0.56000000000000005</v>
      </c>
      <c r="DO114" s="63">
        <v>0.61</v>
      </c>
      <c r="DP114" s="63">
        <v>0.53</v>
      </c>
      <c r="DQ114" s="63">
        <v>0.65</v>
      </c>
      <c r="DR114" s="63">
        <v>0.26</v>
      </c>
      <c r="DS114" s="63">
        <v>0.52</v>
      </c>
      <c r="DT114" s="63">
        <v>0.57999999999999996</v>
      </c>
      <c r="DU114" s="63">
        <v>0.53</v>
      </c>
      <c r="DV114" s="63">
        <v>0.64</v>
      </c>
      <c r="DW114" s="63">
        <v>0.37</v>
      </c>
      <c r="DX114" s="35">
        <v>45</v>
      </c>
      <c r="DY114" s="35">
        <v>7</v>
      </c>
      <c r="DZ114" s="40">
        <v>0.27</v>
      </c>
      <c r="EA114" s="40">
        <v>0.66</v>
      </c>
      <c r="EB114" s="40">
        <v>7.0000000000000007E-2</v>
      </c>
      <c r="EC114" s="40">
        <v>0</v>
      </c>
      <c r="ED114" s="40">
        <v>0.59</v>
      </c>
      <c r="EE114" s="40">
        <v>0.52</v>
      </c>
      <c r="EF114" s="40">
        <v>0.47</v>
      </c>
      <c r="EG114" s="40">
        <v>0.42</v>
      </c>
      <c r="EH114" s="40">
        <v>0.63</v>
      </c>
      <c r="EI114" s="40">
        <v>0.57999999999999996</v>
      </c>
      <c r="EJ114" s="40">
        <v>0.52</v>
      </c>
      <c r="EK114" s="40">
        <v>0.43</v>
      </c>
      <c r="EL114" s="40">
        <v>0.49</v>
      </c>
      <c r="EM114" s="40">
        <v>0.74</v>
      </c>
      <c r="EN114" s="40">
        <v>0.55000000000000004</v>
      </c>
      <c r="EO114" s="40">
        <v>0.57999999999999996</v>
      </c>
      <c r="EP114" s="40">
        <v>0.53</v>
      </c>
      <c r="EQ114" s="40">
        <v>0.53</v>
      </c>
      <c r="ER114" s="40">
        <v>0.68</v>
      </c>
      <c r="ES114" s="40">
        <v>0.64</v>
      </c>
      <c r="ET114" s="40">
        <v>0.42</v>
      </c>
      <c r="EU114" s="40">
        <v>0.69</v>
      </c>
      <c r="EV114" s="40">
        <v>0.67</v>
      </c>
      <c r="EW114" s="40">
        <v>0.34</v>
      </c>
      <c r="EX114" s="40">
        <v>0.61</v>
      </c>
      <c r="EY114" s="40">
        <v>0.63</v>
      </c>
      <c r="EZ114" s="40">
        <v>0.33</v>
      </c>
      <c r="FA114" s="40">
        <v>0.67</v>
      </c>
      <c r="FB114" s="246">
        <v>46</v>
      </c>
      <c r="FC114" s="246" t="s">
        <v>758</v>
      </c>
      <c r="FD114" s="246">
        <v>6</v>
      </c>
      <c r="FE114" s="246" t="s">
        <v>758</v>
      </c>
      <c r="FF114" s="263">
        <v>0.18</v>
      </c>
      <c r="FG114" s="263">
        <v>0.78</v>
      </c>
      <c r="FH114" s="263">
        <v>0.04</v>
      </c>
      <c r="FI114" s="263">
        <v>0</v>
      </c>
      <c r="FJ114" s="263">
        <v>0.54</v>
      </c>
      <c r="FK114" s="263">
        <v>0.72</v>
      </c>
      <c r="FL114" s="263">
        <v>0.55000000000000004</v>
      </c>
      <c r="FM114" s="263">
        <v>0.61</v>
      </c>
      <c r="FN114" s="263">
        <v>0.37</v>
      </c>
      <c r="FO114" s="263">
        <v>0.42</v>
      </c>
      <c r="FP114" s="263">
        <v>0.53</v>
      </c>
      <c r="FQ114" s="263">
        <v>0.44</v>
      </c>
      <c r="FR114" s="263">
        <v>0.73</v>
      </c>
      <c r="FS114" s="263">
        <v>0.63</v>
      </c>
      <c r="FT114" s="263">
        <v>0.67</v>
      </c>
      <c r="FU114" s="263">
        <v>0.5</v>
      </c>
      <c r="FV114" s="263">
        <v>0.69</v>
      </c>
      <c r="FW114" s="263">
        <v>0.64</v>
      </c>
      <c r="FX114" s="263">
        <v>0.57999999999999996</v>
      </c>
      <c r="FY114" s="263">
        <v>0.44</v>
      </c>
      <c r="FZ114" s="263">
        <v>0.39</v>
      </c>
      <c r="GA114" s="263">
        <v>0.52</v>
      </c>
      <c r="GB114" s="263">
        <v>0.56000000000000005</v>
      </c>
      <c r="GC114" s="263">
        <v>0.53</v>
      </c>
      <c r="GD114" s="263">
        <v>0.6</v>
      </c>
      <c r="GE114" s="263">
        <v>0.61</v>
      </c>
      <c r="GF114" s="263">
        <v>0.57999999999999996</v>
      </c>
      <c r="GG114" s="263">
        <v>0.53</v>
      </c>
      <c r="GH114" s="263">
        <v>0.67</v>
      </c>
      <c r="GI114" s="263">
        <v>0.42</v>
      </c>
      <c r="GJ114" s="309">
        <v>46</v>
      </c>
      <c r="GK114" s="309" t="s">
        <v>758</v>
      </c>
      <c r="GL114" s="309">
        <v>10</v>
      </c>
      <c r="GM114" s="309" t="s">
        <v>758</v>
      </c>
      <c r="GN114" s="327">
        <v>0.36</v>
      </c>
      <c r="GO114" s="327">
        <v>0.45</v>
      </c>
      <c r="GP114" s="327">
        <v>0.17</v>
      </c>
      <c r="GQ114" s="327">
        <v>0.02</v>
      </c>
      <c r="GR114" s="327">
        <v>0.59</v>
      </c>
      <c r="GS114" s="327">
        <v>0.65</v>
      </c>
      <c r="GT114" s="327">
        <v>0.63</v>
      </c>
      <c r="GU114" s="327">
        <v>0.37</v>
      </c>
      <c r="GV114" s="327">
        <v>0.57999999999999996</v>
      </c>
      <c r="GW114" s="327">
        <v>0.49</v>
      </c>
      <c r="GX114" s="327">
        <v>0.54</v>
      </c>
      <c r="GY114" s="309" t="s">
        <v>173</v>
      </c>
      <c r="GZ114" s="327">
        <v>0.43</v>
      </c>
      <c r="HA114" s="327">
        <v>0.72</v>
      </c>
      <c r="HB114" s="327">
        <v>0.56000000000000005</v>
      </c>
      <c r="HC114" s="327">
        <v>0.56000000000000005</v>
      </c>
      <c r="HD114" s="327">
        <v>0.68</v>
      </c>
      <c r="HE114" s="327">
        <v>0.62</v>
      </c>
      <c r="HF114" s="327">
        <v>0.56999999999999995</v>
      </c>
      <c r="HG114" s="327">
        <v>0.73</v>
      </c>
      <c r="HH114" s="327">
        <v>0.57999999999999996</v>
      </c>
      <c r="HI114" s="327">
        <v>0.64</v>
      </c>
      <c r="HJ114" s="327">
        <v>0.64</v>
      </c>
      <c r="HK114" s="327">
        <v>0.54</v>
      </c>
      <c r="HL114" s="327">
        <v>0.54</v>
      </c>
      <c r="HM114" s="327">
        <v>0.51</v>
      </c>
      <c r="HN114" s="327">
        <v>0.56999999999999995</v>
      </c>
      <c r="HO114" s="327">
        <v>0.53</v>
      </c>
      <c r="HP114" s="309" t="s">
        <v>173</v>
      </c>
      <c r="HQ114" s="327">
        <v>0.53</v>
      </c>
      <c r="HR114" s="424">
        <v>47</v>
      </c>
      <c r="HS114" s="424" t="s">
        <v>758</v>
      </c>
      <c r="HT114" s="424">
        <v>10</v>
      </c>
      <c r="HU114" s="424" t="s">
        <v>758</v>
      </c>
      <c r="HV114" s="428">
        <v>0.31</v>
      </c>
      <c r="HW114" s="428">
        <v>0.47</v>
      </c>
      <c r="HX114" s="428">
        <v>0.21</v>
      </c>
      <c r="HY114" s="428">
        <v>0.02</v>
      </c>
      <c r="HZ114" s="428">
        <v>0.51</v>
      </c>
      <c r="IA114" s="428">
        <v>0.6</v>
      </c>
      <c r="IB114" s="428">
        <v>0.44</v>
      </c>
      <c r="IC114" s="428">
        <v>0.57999999999999996</v>
      </c>
      <c r="ID114" s="428">
        <v>0.59</v>
      </c>
      <c r="IE114" s="428">
        <v>0.48</v>
      </c>
      <c r="IF114" s="428">
        <v>0.52</v>
      </c>
      <c r="IG114" s="428">
        <v>0.56999999999999995</v>
      </c>
      <c r="IH114" s="428">
        <v>0.56000000000000005</v>
      </c>
      <c r="II114" s="428">
        <v>0.48</v>
      </c>
      <c r="IJ114" s="428">
        <v>0.32</v>
      </c>
      <c r="IK114" s="428">
        <v>0.65</v>
      </c>
      <c r="IL114" s="428">
        <v>0.45</v>
      </c>
      <c r="IM114" s="428">
        <v>0.59</v>
      </c>
      <c r="IN114" s="428">
        <v>0.56999999999999995</v>
      </c>
      <c r="IO114" s="428">
        <v>0.66</v>
      </c>
      <c r="IP114" s="428">
        <v>0.57999999999999996</v>
      </c>
      <c r="IQ114" s="428">
        <v>0.69</v>
      </c>
      <c r="IR114" s="428">
        <v>0.66</v>
      </c>
      <c r="IS114" s="428">
        <v>0.56000000000000005</v>
      </c>
      <c r="IT114" s="428">
        <v>0.54</v>
      </c>
      <c r="IU114" s="424" t="s">
        <v>173</v>
      </c>
      <c r="IV114" s="428">
        <v>0.75</v>
      </c>
      <c r="IW114" s="428">
        <v>0.54</v>
      </c>
      <c r="IX114" s="428">
        <v>0.5</v>
      </c>
      <c r="IY114" s="428">
        <v>0.55000000000000004</v>
      </c>
      <c r="IZ114" s="464">
        <v>45</v>
      </c>
      <c r="JA114" s="464" t="s">
        <v>758</v>
      </c>
      <c r="JB114" s="464">
        <v>8</v>
      </c>
      <c r="JC114" s="464" t="s">
        <v>758</v>
      </c>
      <c r="JD114" s="476">
        <v>0.32</v>
      </c>
      <c r="JE114" s="476">
        <v>0.56000000000000005</v>
      </c>
      <c r="JF114" s="476">
        <v>0.12</v>
      </c>
      <c r="JG114" s="476">
        <v>0</v>
      </c>
      <c r="JH114" s="476">
        <v>0.52</v>
      </c>
      <c r="JI114" s="476">
        <v>0.56999999999999995</v>
      </c>
      <c r="JJ114" s="476">
        <v>0.59</v>
      </c>
      <c r="JK114" s="476">
        <v>0.65</v>
      </c>
      <c r="JL114" s="476">
        <v>0.59</v>
      </c>
      <c r="JM114" s="476">
        <v>0.62</v>
      </c>
      <c r="JN114" s="476">
        <v>0.64</v>
      </c>
      <c r="JO114" s="476">
        <v>0.57999999999999996</v>
      </c>
      <c r="JP114" s="476">
        <v>0.7</v>
      </c>
      <c r="JQ114" s="476">
        <v>0.39</v>
      </c>
      <c r="JR114" s="476">
        <v>0.66</v>
      </c>
      <c r="JS114" s="476">
        <v>0.75</v>
      </c>
      <c r="JT114" s="476">
        <v>0.59</v>
      </c>
      <c r="JU114" s="476">
        <v>0.64</v>
      </c>
      <c r="JV114" s="476">
        <v>0.64</v>
      </c>
      <c r="JW114" s="476">
        <v>0.55000000000000004</v>
      </c>
      <c r="JX114" s="476">
        <v>0.56999999999999995</v>
      </c>
      <c r="JY114" s="476">
        <v>0.56000000000000005</v>
      </c>
      <c r="JZ114" s="476">
        <v>0.51</v>
      </c>
      <c r="KA114" s="476">
        <v>0.6</v>
      </c>
      <c r="KB114" s="476">
        <v>0.66</v>
      </c>
      <c r="KC114" s="476">
        <v>0.76</v>
      </c>
      <c r="KD114" s="476">
        <v>0.46</v>
      </c>
      <c r="KE114" s="476">
        <v>0.54</v>
      </c>
      <c r="KF114" s="476">
        <v>0.5</v>
      </c>
      <c r="KG114" s="476">
        <v>0.73</v>
      </c>
      <c r="KH114" s="971">
        <v>47</v>
      </c>
      <c r="KI114" s="971" t="s">
        <v>758</v>
      </c>
      <c r="KJ114" s="971">
        <v>10</v>
      </c>
      <c r="KK114" s="971" t="s">
        <v>758</v>
      </c>
      <c r="KL114" s="949">
        <v>0.3</v>
      </c>
      <c r="KM114" s="949">
        <v>0.49</v>
      </c>
      <c r="KN114" s="949">
        <v>0.21</v>
      </c>
      <c r="KO114" s="949">
        <v>0</v>
      </c>
      <c r="KP114" s="949">
        <v>0.5</v>
      </c>
      <c r="KQ114" s="949">
        <v>0.45</v>
      </c>
      <c r="KR114" s="949">
        <v>0.64</v>
      </c>
      <c r="KS114" s="949">
        <v>0.54</v>
      </c>
      <c r="KT114" s="949">
        <v>0.63</v>
      </c>
      <c r="KU114" s="949">
        <v>0.49</v>
      </c>
      <c r="KV114" s="949">
        <v>0.72</v>
      </c>
      <c r="KW114" s="949">
        <v>0.42</v>
      </c>
      <c r="KX114" s="949">
        <v>0.45</v>
      </c>
      <c r="KY114" s="949">
        <v>0.62</v>
      </c>
      <c r="KZ114" s="949">
        <v>0.5</v>
      </c>
      <c r="LA114" s="949">
        <v>0.72</v>
      </c>
      <c r="LB114" s="949">
        <v>0.52</v>
      </c>
      <c r="LC114" s="949">
        <v>0.37</v>
      </c>
      <c r="LD114" s="949">
        <v>0.64</v>
      </c>
      <c r="LE114" s="949">
        <v>0.56000000000000005</v>
      </c>
      <c r="LF114" s="949">
        <v>0.47</v>
      </c>
      <c r="LG114" s="949">
        <v>0.6</v>
      </c>
      <c r="LH114" s="949">
        <v>0.64</v>
      </c>
      <c r="LI114" s="949">
        <v>0.52</v>
      </c>
      <c r="LJ114" s="949">
        <v>0.51</v>
      </c>
      <c r="LK114" s="949">
        <v>0.68</v>
      </c>
      <c r="LL114" s="949" t="s">
        <v>173</v>
      </c>
      <c r="LM114" s="949">
        <v>0.7</v>
      </c>
      <c r="LN114" s="949">
        <v>0.75</v>
      </c>
      <c r="LO114" s="949">
        <v>0.48</v>
      </c>
      <c r="LP114" s="922">
        <v>125754002538</v>
      </c>
      <c r="LQ114" s="126" t="s">
        <v>71</v>
      </c>
      <c r="LR114" s="424">
        <v>47</v>
      </c>
      <c r="LS114" s="971">
        <v>47</v>
      </c>
      <c r="LT114" s="946"/>
    </row>
    <row r="115" spans="1:332" ht="24.95" customHeight="1" x14ac:dyDescent="0.2">
      <c r="A115" s="126" t="s">
        <v>20</v>
      </c>
      <c r="B115" s="1" t="s">
        <v>121</v>
      </c>
      <c r="C115" s="2">
        <v>2</v>
      </c>
      <c r="D115" s="12">
        <v>55</v>
      </c>
      <c r="E115" s="12">
        <v>8</v>
      </c>
      <c r="F115" s="66">
        <v>0.04</v>
      </c>
      <c r="G115" s="66">
        <v>0.52</v>
      </c>
      <c r="H115" s="66">
        <v>0.43</v>
      </c>
      <c r="I115" s="66">
        <v>0.01</v>
      </c>
      <c r="J115" s="66">
        <v>0.36</v>
      </c>
      <c r="K115" s="66">
        <v>0.35</v>
      </c>
      <c r="L115" s="66">
        <v>0.68</v>
      </c>
      <c r="M115" s="66">
        <v>0.17</v>
      </c>
      <c r="N115" s="66">
        <v>0.26</v>
      </c>
      <c r="O115" s="66">
        <v>0.53</v>
      </c>
      <c r="P115" s="66">
        <v>0.27</v>
      </c>
      <c r="Q115" s="66">
        <v>0.33</v>
      </c>
      <c r="R115" s="66">
        <v>0.49</v>
      </c>
      <c r="S115" s="66">
        <v>0.5</v>
      </c>
      <c r="T115" s="66">
        <v>0.41</v>
      </c>
      <c r="U115" s="66">
        <v>0.56999999999999995</v>
      </c>
      <c r="V115" s="66">
        <v>0.08</v>
      </c>
      <c r="W115" s="66">
        <v>0.2</v>
      </c>
      <c r="X115" s="66">
        <v>0.49</v>
      </c>
      <c r="Y115" s="66">
        <v>0.45</v>
      </c>
      <c r="Z115" s="66">
        <v>1</v>
      </c>
      <c r="AA115" s="66">
        <v>0.05</v>
      </c>
      <c r="AB115" s="66">
        <v>0.39</v>
      </c>
      <c r="AC115" s="66">
        <v>0.2</v>
      </c>
      <c r="AD115" s="66">
        <v>0.38</v>
      </c>
      <c r="AE115" s="66">
        <v>0.44</v>
      </c>
      <c r="AF115" s="66">
        <v>0.54</v>
      </c>
      <c r="AG115" s="66">
        <v>0.4</v>
      </c>
      <c r="AH115" s="12">
        <v>54</v>
      </c>
      <c r="AI115" s="12">
        <v>8</v>
      </c>
      <c r="AJ115" s="40">
        <v>0.05</v>
      </c>
      <c r="AK115" s="40">
        <v>0.54</v>
      </c>
      <c r="AL115" s="40">
        <v>0.4</v>
      </c>
      <c r="AM115" s="40">
        <v>0.01</v>
      </c>
      <c r="AN115" s="40">
        <v>0.23</v>
      </c>
      <c r="AO115" s="40">
        <v>0.45</v>
      </c>
      <c r="AP115" s="40">
        <v>0.56000000000000005</v>
      </c>
      <c r="AQ115" s="40">
        <v>0.38</v>
      </c>
      <c r="AR115" s="40">
        <v>0.55000000000000004</v>
      </c>
      <c r="AS115" s="40">
        <v>0.48</v>
      </c>
      <c r="AT115" s="40">
        <v>0.48</v>
      </c>
      <c r="AU115" s="40">
        <v>0.48</v>
      </c>
      <c r="AV115" s="40">
        <v>0.56999999999999995</v>
      </c>
      <c r="AW115" s="40">
        <v>0.4</v>
      </c>
      <c r="AX115" s="40">
        <v>0.49</v>
      </c>
      <c r="AY115" s="40">
        <v>0.27</v>
      </c>
      <c r="AZ115" s="40">
        <v>0.23</v>
      </c>
      <c r="BA115" s="40">
        <v>0.49</v>
      </c>
      <c r="BB115" s="40">
        <v>0.65</v>
      </c>
      <c r="BC115" s="40">
        <v>0.57999999999999996</v>
      </c>
      <c r="BD115" s="40">
        <v>0.37</v>
      </c>
      <c r="BE115" s="40">
        <v>0.52</v>
      </c>
      <c r="BF115" s="40">
        <v>0.64</v>
      </c>
      <c r="BG115" s="40">
        <v>0.45</v>
      </c>
      <c r="BH115" s="40">
        <v>0.4</v>
      </c>
      <c r="BI115" s="40">
        <v>0.38</v>
      </c>
      <c r="BJ115" s="40">
        <v>0.38</v>
      </c>
      <c r="BK115" s="40">
        <v>0.42</v>
      </c>
      <c r="BL115" s="40">
        <v>0.44</v>
      </c>
      <c r="BM115" s="12">
        <v>52</v>
      </c>
      <c r="BN115" s="12">
        <v>9</v>
      </c>
      <c r="BO115" s="66">
        <v>0.13</v>
      </c>
      <c r="BP115" s="66">
        <v>0.53</v>
      </c>
      <c r="BQ115" s="66">
        <v>0.34</v>
      </c>
      <c r="BR115" s="66">
        <v>0</v>
      </c>
      <c r="BS115" s="66">
        <v>0.35</v>
      </c>
      <c r="BT115" s="66">
        <v>0.43</v>
      </c>
      <c r="BU115" s="66">
        <v>0.65</v>
      </c>
      <c r="BV115" s="66">
        <v>0.27</v>
      </c>
      <c r="BW115" s="66">
        <v>0.63</v>
      </c>
      <c r="BX115" s="66">
        <v>0.33</v>
      </c>
      <c r="BY115" s="66">
        <v>0.47</v>
      </c>
      <c r="BZ115" s="66">
        <v>0.53</v>
      </c>
      <c r="CA115" s="66">
        <v>0.48</v>
      </c>
      <c r="CB115" s="66">
        <v>0.35</v>
      </c>
      <c r="CC115" s="66">
        <v>0.2</v>
      </c>
      <c r="CD115" s="66">
        <v>0.4</v>
      </c>
      <c r="CE115" s="66">
        <v>0.3</v>
      </c>
      <c r="CF115" s="66">
        <v>0.6</v>
      </c>
      <c r="CG115" s="66">
        <v>0.6</v>
      </c>
      <c r="CH115" s="66">
        <v>0.43</v>
      </c>
      <c r="CI115" s="66">
        <v>0.56000000000000005</v>
      </c>
      <c r="CJ115" s="66">
        <v>0.31</v>
      </c>
      <c r="CK115" s="66">
        <v>0.64</v>
      </c>
      <c r="CL115" s="66">
        <v>0.3</v>
      </c>
      <c r="CM115" s="66">
        <v>0.42</v>
      </c>
      <c r="CN115" s="66">
        <v>0.41</v>
      </c>
      <c r="CO115" s="66">
        <v>0.43</v>
      </c>
      <c r="CP115" s="66">
        <v>0.35</v>
      </c>
      <c r="CQ115" s="66">
        <v>0.54</v>
      </c>
      <c r="CR115" s="66">
        <v>0.55000000000000004</v>
      </c>
      <c r="CS115" s="12">
        <v>50</v>
      </c>
      <c r="CT115" s="12">
        <v>9</v>
      </c>
      <c r="CU115" s="63">
        <v>0.12</v>
      </c>
      <c r="CV115" s="63">
        <v>0.61</v>
      </c>
      <c r="CW115" s="63">
        <v>0.26</v>
      </c>
      <c r="CX115" s="63">
        <v>0.01</v>
      </c>
      <c r="CY115" s="63">
        <v>0.51</v>
      </c>
      <c r="CZ115" s="63">
        <v>0.3</v>
      </c>
      <c r="DA115" s="63">
        <v>0.55000000000000004</v>
      </c>
      <c r="DB115" s="63">
        <v>0.34</v>
      </c>
      <c r="DC115" s="63">
        <v>0.45</v>
      </c>
      <c r="DD115" s="63">
        <v>0.65</v>
      </c>
      <c r="DE115" s="63">
        <v>0.46</v>
      </c>
      <c r="DF115" s="63">
        <v>0.53</v>
      </c>
      <c r="DG115" s="63">
        <v>0.44</v>
      </c>
      <c r="DH115" s="63">
        <v>0.37</v>
      </c>
      <c r="DI115" s="63">
        <v>0.49</v>
      </c>
      <c r="DJ115" s="63">
        <v>0.5</v>
      </c>
      <c r="DK115" s="63">
        <v>0.32</v>
      </c>
      <c r="DL115" s="63">
        <v>0.31</v>
      </c>
      <c r="DM115" s="63">
        <v>0.53</v>
      </c>
      <c r="DN115" s="63">
        <v>0.5</v>
      </c>
      <c r="DO115" s="63">
        <v>0.45</v>
      </c>
      <c r="DP115" s="63">
        <v>0.47</v>
      </c>
      <c r="DQ115" s="63">
        <v>0.53</v>
      </c>
      <c r="DR115" s="63">
        <v>0.19</v>
      </c>
      <c r="DS115" s="63">
        <v>0.38</v>
      </c>
      <c r="DT115" s="63">
        <v>0.6</v>
      </c>
      <c r="DU115" s="63">
        <v>0.46</v>
      </c>
      <c r="DV115" s="63">
        <v>0.56999999999999995</v>
      </c>
      <c r="DW115" s="63">
        <v>0.36</v>
      </c>
      <c r="DX115" s="35">
        <v>49</v>
      </c>
      <c r="DY115" s="35">
        <v>9</v>
      </c>
      <c r="DZ115" s="40">
        <v>0.16</v>
      </c>
      <c r="EA115" s="40">
        <v>0.56000000000000005</v>
      </c>
      <c r="EB115" s="40">
        <v>0.26</v>
      </c>
      <c r="EC115" s="40">
        <v>0.02</v>
      </c>
      <c r="ED115" s="40">
        <v>0.49</v>
      </c>
      <c r="EE115" s="40">
        <v>0.44</v>
      </c>
      <c r="EF115" s="40">
        <v>0.49</v>
      </c>
      <c r="EG115" s="40">
        <v>0.28000000000000003</v>
      </c>
      <c r="EH115" s="40">
        <v>0.43</v>
      </c>
      <c r="EI115" s="40">
        <v>0.51</v>
      </c>
      <c r="EJ115" s="40">
        <v>0.56000000000000005</v>
      </c>
      <c r="EK115" s="40">
        <v>0.28000000000000003</v>
      </c>
      <c r="EL115" s="40">
        <v>0.44</v>
      </c>
      <c r="EM115" s="40">
        <v>0.62</v>
      </c>
      <c r="EN115" s="40">
        <v>0.46</v>
      </c>
      <c r="EO115" s="40">
        <v>0.56999999999999995</v>
      </c>
      <c r="EP115" s="40">
        <v>0.44</v>
      </c>
      <c r="EQ115" s="40">
        <v>0.25</v>
      </c>
      <c r="ER115" s="40">
        <v>0.6</v>
      </c>
      <c r="ES115" s="40">
        <v>0.46</v>
      </c>
      <c r="ET115" s="40">
        <v>0.36</v>
      </c>
      <c r="EU115" s="40">
        <v>0.63</v>
      </c>
      <c r="EV115" s="40">
        <v>0.43</v>
      </c>
      <c r="EW115" s="40">
        <v>0.34</v>
      </c>
      <c r="EX115" s="40">
        <v>0.78</v>
      </c>
      <c r="EY115" s="40">
        <v>0.59</v>
      </c>
      <c r="EZ115" s="40">
        <v>0.25</v>
      </c>
      <c r="FA115" s="40">
        <v>0.6</v>
      </c>
      <c r="FB115" s="246">
        <v>50</v>
      </c>
      <c r="FC115" s="246" t="s">
        <v>758</v>
      </c>
      <c r="FD115" s="246">
        <v>8</v>
      </c>
      <c r="FE115" s="246" t="s">
        <v>758</v>
      </c>
      <c r="FF115" s="263">
        <v>0.13</v>
      </c>
      <c r="FG115" s="263">
        <v>0.63</v>
      </c>
      <c r="FH115" s="263">
        <v>0.24</v>
      </c>
      <c r="FI115" s="263">
        <v>0</v>
      </c>
      <c r="FJ115" s="263">
        <v>0.47</v>
      </c>
      <c r="FK115" s="263">
        <v>0.67</v>
      </c>
      <c r="FL115" s="263">
        <v>0.48</v>
      </c>
      <c r="FM115" s="263">
        <v>0.46</v>
      </c>
      <c r="FN115" s="263">
        <v>0.23</v>
      </c>
      <c r="FO115" s="263">
        <v>0.35</v>
      </c>
      <c r="FP115" s="263">
        <v>0.41</v>
      </c>
      <c r="FQ115" s="263">
        <v>0.39</v>
      </c>
      <c r="FR115" s="263">
        <v>0.62</v>
      </c>
      <c r="FS115" s="263">
        <v>0.49</v>
      </c>
      <c r="FT115" s="263">
        <v>0.5</v>
      </c>
      <c r="FU115" s="263">
        <v>0.41</v>
      </c>
      <c r="FV115" s="263">
        <v>0.6</v>
      </c>
      <c r="FW115" s="263">
        <v>0.59</v>
      </c>
      <c r="FX115" s="263">
        <v>0.47</v>
      </c>
      <c r="FY115" s="263">
        <v>0.32</v>
      </c>
      <c r="FZ115" s="263">
        <v>0.42</v>
      </c>
      <c r="GA115" s="263">
        <v>0.53</v>
      </c>
      <c r="GB115" s="263">
        <v>0.53</v>
      </c>
      <c r="GC115" s="263">
        <v>0.46</v>
      </c>
      <c r="GD115" s="263">
        <v>0.6</v>
      </c>
      <c r="GE115" s="263">
        <v>0.57999999999999996</v>
      </c>
      <c r="GF115" s="263">
        <v>0.47</v>
      </c>
      <c r="GG115" s="263">
        <v>0.44</v>
      </c>
      <c r="GH115" s="263">
        <v>0.56999999999999995</v>
      </c>
      <c r="GI115" s="263">
        <v>0.28000000000000003</v>
      </c>
      <c r="GJ115" s="309">
        <v>52</v>
      </c>
      <c r="GK115" s="309" t="s">
        <v>758</v>
      </c>
      <c r="GL115" s="309">
        <v>9</v>
      </c>
      <c r="GM115" s="309" t="s">
        <v>758</v>
      </c>
      <c r="GN115" s="327">
        <v>0.11</v>
      </c>
      <c r="GO115" s="327">
        <v>0.56000000000000005</v>
      </c>
      <c r="GP115" s="327">
        <v>0.32</v>
      </c>
      <c r="GQ115" s="327">
        <v>0.01</v>
      </c>
      <c r="GR115" s="327">
        <v>0.48</v>
      </c>
      <c r="GS115" s="327">
        <v>0.56000000000000005</v>
      </c>
      <c r="GT115" s="327">
        <v>0.6</v>
      </c>
      <c r="GU115" s="327">
        <v>0.18</v>
      </c>
      <c r="GV115" s="327">
        <v>0.55000000000000004</v>
      </c>
      <c r="GW115" s="327">
        <v>0.43</v>
      </c>
      <c r="GX115" s="327">
        <v>0.44</v>
      </c>
      <c r="GY115" s="309" t="s">
        <v>173</v>
      </c>
      <c r="GZ115" s="327">
        <v>0.28999999999999998</v>
      </c>
      <c r="HA115" s="327">
        <v>0.62</v>
      </c>
      <c r="HB115" s="327">
        <v>0.45</v>
      </c>
      <c r="HC115" s="327">
        <v>0.51</v>
      </c>
      <c r="HD115" s="327">
        <v>0.55000000000000004</v>
      </c>
      <c r="HE115" s="327">
        <v>0.42</v>
      </c>
      <c r="HF115" s="327">
        <v>0.47</v>
      </c>
      <c r="HG115" s="327">
        <v>0.68</v>
      </c>
      <c r="HH115" s="327">
        <v>0.37</v>
      </c>
      <c r="HI115" s="327">
        <v>0.51</v>
      </c>
      <c r="HJ115" s="327">
        <v>0.59</v>
      </c>
      <c r="HK115" s="327">
        <v>0.47</v>
      </c>
      <c r="HL115" s="327">
        <v>0.41</v>
      </c>
      <c r="HM115" s="327">
        <v>0.47</v>
      </c>
      <c r="HN115" s="327">
        <v>0.47</v>
      </c>
      <c r="HO115" s="327">
        <v>0.42</v>
      </c>
      <c r="HP115" s="309" t="s">
        <v>173</v>
      </c>
      <c r="HQ115" s="327">
        <v>0.42</v>
      </c>
      <c r="HR115" s="424">
        <v>51</v>
      </c>
      <c r="HS115" s="424" t="s">
        <v>758</v>
      </c>
      <c r="HT115" s="424">
        <v>9</v>
      </c>
      <c r="HU115" s="424" t="s">
        <v>758</v>
      </c>
      <c r="HV115" s="428">
        <v>0.12</v>
      </c>
      <c r="HW115" s="428">
        <v>0.57999999999999996</v>
      </c>
      <c r="HX115" s="428">
        <v>0.28999999999999998</v>
      </c>
      <c r="HY115" s="428">
        <v>0.02</v>
      </c>
      <c r="HZ115" s="428">
        <v>0.39</v>
      </c>
      <c r="IA115" s="428">
        <v>0.52</v>
      </c>
      <c r="IB115" s="428">
        <v>0.39</v>
      </c>
      <c r="IC115" s="428">
        <v>0.51</v>
      </c>
      <c r="ID115" s="428">
        <v>0.62</v>
      </c>
      <c r="IE115" s="428">
        <v>0.35</v>
      </c>
      <c r="IF115" s="428">
        <v>0.41</v>
      </c>
      <c r="IG115" s="428">
        <v>0.52</v>
      </c>
      <c r="IH115" s="428">
        <v>0.55000000000000004</v>
      </c>
      <c r="II115" s="428">
        <v>0.42</v>
      </c>
      <c r="IJ115" s="428">
        <v>0.3</v>
      </c>
      <c r="IK115" s="428">
        <v>0.56000000000000005</v>
      </c>
      <c r="IL115" s="428">
        <v>0.39</v>
      </c>
      <c r="IM115" s="428">
        <v>0.6</v>
      </c>
      <c r="IN115" s="428">
        <v>0.47</v>
      </c>
      <c r="IO115" s="428">
        <v>0.49</v>
      </c>
      <c r="IP115" s="428">
        <v>0.43</v>
      </c>
      <c r="IQ115" s="428">
        <v>0.63</v>
      </c>
      <c r="IR115" s="428">
        <v>0.56000000000000005</v>
      </c>
      <c r="IS115" s="428">
        <v>0.5</v>
      </c>
      <c r="IT115" s="428">
        <v>0.44</v>
      </c>
      <c r="IU115" s="424" t="s">
        <v>173</v>
      </c>
      <c r="IV115" s="428">
        <v>0.62</v>
      </c>
      <c r="IW115" s="428">
        <v>0.42</v>
      </c>
      <c r="IX115" s="428">
        <v>0.49</v>
      </c>
      <c r="IY115" s="428">
        <v>0.52</v>
      </c>
      <c r="IZ115" s="464">
        <v>51</v>
      </c>
      <c r="JA115" s="464" t="s">
        <v>758</v>
      </c>
      <c r="JB115" s="464">
        <v>9</v>
      </c>
      <c r="JC115" s="464" t="s">
        <v>758</v>
      </c>
      <c r="JD115" s="476">
        <v>0.14000000000000001</v>
      </c>
      <c r="JE115" s="476">
        <v>0.51</v>
      </c>
      <c r="JF115" s="476">
        <v>0.34</v>
      </c>
      <c r="JG115" s="476">
        <v>0.01</v>
      </c>
      <c r="JH115" s="476">
        <v>0.49</v>
      </c>
      <c r="JI115" s="476">
        <v>0.47</v>
      </c>
      <c r="JJ115" s="476">
        <v>0.39</v>
      </c>
      <c r="JK115" s="476">
        <v>0.46</v>
      </c>
      <c r="JL115" s="476">
        <v>0.5</v>
      </c>
      <c r="JM115" s="476">
        <v>0.52</v>
      </c>
      <c r="JN115" s="476">
        <v>0.43</v>
      </c>
      <c r="JO115" s="476">
        <v>0.47</v>
      </c>
      <c r="JP115" s="476">
        <v>0.54</v>
      </c>
      <c r="JQ115" s="476">
        <v>0.3</v>
      </c>
      <c r="JR115" s="476">
        <v>0.59</v>
      </c>
      <c r="JS115" s="476">
        <v>0.54</v>
      </c>
      <c r="JT115" s="476">
        <v>0.42</v>
      </c>
      <c r="JU115" s="476">
        <v>0.5</v>
      </c>
      <c r="JV115" s="476">
        <v>0.46</v>
      </c>
      <c r="JW115" s="476">
        <v>0.5</v>
      </c>
      <c r="JX115" s="476">
        <v>0.35</v>
      </c>
      <c r="JY115" s="476">
        <v>0.5</v>
      </c>
      <c r="JZ115" s="476">
        <v>0.45</v>
      </c>
      <c r="KA115" s="476">
        <v>0.56999999999999995</v>
      </c>
      <c r="KB115" s="476">
        <v>0.46</v>
      </c>
      <c r="KC115" s="476">
        <v>0.69</v>
      </c>
      <c r="KD115" s="476">
        <v>0.33</v>
      </c>
      <c r="KE115" s="476">
        <v>0.46</v>
      </c>
      <c r="KF115" s="476">
        <v>0.45</v>
      </c>
      <c r="KG115" s="476">
        <v>0.47</v>
      </c>
      <c r="KH115" s="971">
        <v>52</v>
      </c>
      <c r="KI115" s="971" t="s">
        <v>758</v>
      </c>
      <c r="KJ115" s="971">
        <v>10</v>
      </c>
      <c r="KK115" s="971" t="s">
        <v>758</v>
      </c>
      <c r="KL115" s="949">
        <v>0.12</v>
      </c>
      <c r="KM115" s="949">
        <v>0.51</v>
      </c>
      <c r="KN115" s="949">
        <v>0.35</v>
      </c>
      <c r="KO115" s="949">
        <v>0.01</v>
      </c>
      <c r="KP115" s="949">
        <v>0.45</v>
      </c>
      <c r="KQ115" s="949">
        <v>0.28999999999999998</v>
      </c>
      <c r="KR115" s="949">
        <v>0.57999999999999996</v>
      </c>
      <c r="KS115" s="949">
        <v>0.48</v>
      </c>
      <c r="KT115" s="949">
        <v>0.56999999999999995</v>
      </c>
      <c r="KU115" s="949">
        <v>0.45</v>
      </c>
      <c r="KV115" s="949">
        <v>0.56999999999999995</v>
      </c>
      <c r="KW115" s="949">
        <v>0.34</v>
      </c>
      <c r="KX115" s="949">
        <v>0.32</v>
      </c>
      <c r="KY115" s="949">
        <v>0.53</v>
      </c>
      <c r="KZ115" s="949">
        <v>0.37</v>
      </c>
      <c r="LA115" s="949">
        <v>0.37</v>
      </c>
      <c r="LB115" s="949">
        <v>0.41</v>
      </c>
      <c r="LC115" s="949">
        <v>0.4</v>
      </c>
      <c r="LD115" s="949">
        <v>0.54</v>
      </c>
      <c r="LE115" s="949">
        <v>0.47</v>
      </c>
      <c r="LF115" s="949">
        <v>0.34</v>
      </c>
      <c r="LG115" s="949">
        <v>0.34</v>
      </c>
      <c r="LH115" s="949">
        <v>0.53</v>
      </c>
      <c r="LI115" s="949">
        <v>0.46</v>
      </c>
      <c r="LJ115" s="949">
        <v>0.42</v>
      </c>
      <c r="LK115" s="949">
        <v>0.55000000000000004</v>
      </c>
      <c r="LL115" s="949" t="s">
        <v>173</v>
      </c>
      <c r="LM115" s="949">
        <v>0.57999999999999996</v>
      </c>
      <c r="LN115" s="949">
        <v>0.56999999999999995</v>
      </c>
      <c r="LO115" s="949">
        <v>0.43</v>
      </c>
      <c r="LP115" s="922">
        <v>125754000331</v>
      </c>
      <c r="LQ115" s="126" t="s">
        <v>20</v>
      </c>
      <c r="LR115" s="424">
        <v>51</v>
      </c>
      <c r="LS115" s="971">
        <v>52</v>
      </c>
      <c r="LT115" s="946"/>
    </row>
    <row r="116" spans="1:332" ht="24.95" customHeight="1" x14ac:dyDescent="0.2">
      <c r="A116" s="126" t="s">
        <v>124</v>
      </c>
      <c r="B116" s="1" t="s">
        <v>123</v>
      </c>
      <c r="C116" s="2">
        <v>1</v>
      </c>
      <c r="D116" s="12">
        <v>51</v>
      </c>
      <c r="E116" s="12">
        <v>8</v>
      </c>
      <c r="F116" s="66">
        <v>7.0000000000000007E-2</v>
      </c>
      <c r="G116" s="66">
        <v>0.76</v>
      </c>
      <c r="H116" s="66">
        <v>0.17</v>
      </c>
      <c r="I116" s="66">
        <v>0</v>
      </c>
      <c r="J116" s="66">
        <v>0.39</v>
      </c>
      <c r="K116" s="66">
        <v>0.6</v>
      </c>
      <c r="L116" s="66">
        <v>0.86</v>
      </c>
      <c r="M116" s="66">
        <v>0.28999999999999998</v>
      </c>
      <c r="N116" s="66">
        <v>0.32</v>
      </c>
      <c r="O116" s="66">
        <v>0.57999999999999996</v>
      </c>
      <c r="P116" s="66">
        <v>0.34</v>
      </c>
      <c r="Q116" s="66">
        <v>0.5</v>
      </c>
      <c r="R116" s="66">
        <v>0.64</v>
      </c>
      <c r="S116" s="66">
        <v>0.56000000000000005</v>
      </c>
      <c r="T116" s="66">
        <v>0.42</v>
      </c>
      <c r="U116" s="66">
        <v>0.73</v>
      </c>
      <c r="V116" s="66">
        <v>0.14000000000000001</v>
      </c>
      <c r="W116" s="66">
        <v>0.24</v>
      </c>
      <c r="X116" s="66">
        <v>0.5</v>
      </c>
      <c r="Y116" s="66">
        <v>0.47</v>
      </c>
      <c r="Z116" s="66">
        <v>1</v>
      </c>
      <c r="AA116" s="66">
        <v>0.31</v>
      </c>
      <c r="AB116" s="66">
        <v>0.39</v>
      </c>
      <c r="AC116" s="66">
        <v>0.19</v>
      </c>
      <c r="AD116" s="66">
        <v>0.63</v>
      </c>
      <c r="AE116" s="66">
        <v>0.48</v>
      </c>
      <c r="AF116" s="66">
        <v>0.52</v>
      </c>
      <c r="AG116" s="66">
        <v>0.51</v>
      </c>
      <c r="AH116" s="12">
        <v>54</v>
      </c>
      <c r="AI116" s="12">
        <v>9</v>
      </c>
      <c r="AJ116" s="40">
        <v>0.05</v>
      </c>
      <c r="AK116" s="40">
        <v>0.46</v>
      </c>
      <c r="AL116" s="40">
        <v>0.44</v>
      </c>
      <c r="AM116" s="40">
        <v>0.05</v>
      </c>
      <c r="AN116" s="40">
        <v>0.21</v>
      </c>
      <c r="AO116" s="40">
        <v>0.4</v>
      </c>
      <c r="AP116" s="40">
        <v>0.51</v>
      </c>
      <c r="AQ116" s="40">
        <v>0.35</v>
      </c>
      <c r="AR116" s="40">
        <v>0.45</v>
      </c>
      <c r="AS116" s="40">
        <v>0.45</v>
      </c>
      <c r="AT116" s="40">
        <v>0.46</v>
      </c>
      <c r="AU116" s="40">
        <v>0.45</v>
      </c>
      <c r="AV116" s="40">
        <v>0.49</v>
      </c>
      <c r="AW116" s="40">
        <v>0.47</v>
      </c>
      <c r="AX116" s="40">
        <v>0.61</v>
      </c>
      <c r="AY116" s="40">
        <v>0.28000000000000003</v>
      </c>
      <c r="AZ116" s="40">
        <v>0.16</v>
      </c>
      <c r="BA116" s="40">
        <v>0.45</v>
      </c>
      <c r="BB116" s="40">
        <v>0.57999999999999996</v>
      </c>
      <c r="BC116" s="40">
        <v>0.59</v>
      </c>
      <c r="BD116" s="40">
        <v>0.38</v>
      </c>
      <c r="BE116" s="40">
        <v>0.45</v>
      </c>
      <c r="BF116" s="40">
        <v>0.5</v>
      </c>
      <c r="BG116" s="40">
        <v>0.53</v>
      </c>
      <c r="BH116" s="40">
        <v>0.36</v>
      </c>
      <c r="BI116" s="40">
        <v>0.4</v>
      </c>
      <c r="BJ116" s="40">
        <v>0.3</v>
      </c>
      <c r="BK116" s="40">
        <v>0.43</v>
      </c>
      <c r="BL116" s="40">
        <v>0.37</v>
      </c>
      <c r="BM116" s="12">
        <v>54</v>
      </c>
      <c r="BN116" s="12">
        <v>8</v>
      </c>
      <c r="BO116" s="66">
        <v>0.03</v>
      </c>
      <c r="BP116" s="66">
        <v>0.55000000000000004</v>
      </c>
      <c r="BQ116" s="66">
        <v>0.39</v>
      </c>
      <c r="BR116" s="66">
        <v>0.03</v>
      </c>
      <c r="BS116" s="66">
        <v>0.22</v>
      </c>
      <c r="BT116" s="66">
        <v>0.33</v>
      </c>
      <c r="BU116" s="66">
        <v>0.52</v>
      </c>
      <c r="BV116" s="66">
        <v>0.14000000000000001</v>
      </c>
      <c r="BW116" s="66">
        <v>0.65</v>
      </c>
      <c r="BX116" s="66">
        <v>0.28999999999999998</v>
      </c>
      <c r="BY116" s="66">
        <v>0.35</v>
      </c>
      <c r="BZ116" s="66">
        <v>0.44</v>
      </c>
      <c r="CA116" s="66">
        <v>0.31</v>
      </c>
      <c r="CB116" s="66">
        <v>0.27</v>
      </c>
      <c r="CC116" s="66">
        <v>0.1</v>
      </c>
      <c r="CD116" s="66">
        <v>0.26</v>
      </c>
      <c r="CE116" s="66">
        <v>0.28999999999999998</v>
      </c>
      <c r="CF116" s="66">
        <v>0.69</v>
      </c>
      <c r="CG116" s="66">
        <v>0.52</v>
      </c>
      <c r="CH116" s="66">
        <v>0.44</v>
      </c>
      <c r="CI116" s="66">
        <v>0.42</v>
      </c>
      <c r="CJ116" s="66">
        <v>0.35</v>
      </c>
      <c r="CK116" s="66">
        <v>0.6</v>
      </c>
      <c r="CL116" s="66">
        <v>0.28000000000000003</v>
      </c>
      <c r="CM116" s="66">
        <v>0.41</v>
      </c>
      <c r="CN116" s="66">
        <v>0.37</v>
      </c>
      <c r="CO116" s="66">
        <v>0.42</v>
      </c>
      <c r="CP116" s="66">
        <v>0.28999999999999998</v>
      </c>
      <c r="CQ116" s="66">
        <v>0.51</v>
      </c>
      <c r="CR116" s="66">
        <v>0.44</v>
      </c>
      <c r="CS116" s="12">
        <v>53</v>
      </c>
      <c r="CT116" s="12">
        <v>7</v>
      </c>
      <c r="CU116" s="63">
        <v>0</v>
      </c>
      <c r="CV116" s="63">
        <v>0.7</v>
      </c>
      <c r="CW116" s="63">
        <v>0.24</v>
      </c>
      <c r="CX116" s="63">
        <v>0.05</v>
      </c>
      <c r="CY116" s="63">
        <v>0.43</v>
      </c>
      <c r="CZ116" s="63">
        <v>0.23</v>
      </c>
      <c r="DA116" s="63">
        <v>0.5</v>
      </c>
      <c r="DB116" s="63">
        <v>0.28999999999999998</v>
      </c>
      <c r="DC116" s="63">
        <v>0.38</v>
      </c>
      <c r="DD116" s="63">
        <v>0.56000000000000005</v>
      </c>
      <c r="DE116" s="63">
        <v>0.43</v>
      </c>
      <c r="DF116" s="63">
        <v>0.42</v>
      </c>
      <c r="DG116" s="63">
        <v>0.39</v>
      </c>
      <c r="DH116" s="63">
        <v>0.26</v>
      </c>
      <c r="DI116" s="63">
        <v>0.45</v>
      </c>
      <c r="DJ116" s="63">
        <v>0.47</v>
      </c>
      <c r="DK116" s="63">
        <v>0.35</v>
      </c>
      <c r="DL116" s="63">
        <v>0.15</v>
      </c>
      <c r="DM116" s="63">
        <v>0.44</v>
      </c>
      <c r="DN116" s="63">
        <v>0.51</v>
      </c>
      <c r="DO116" s="63">
        <v>0.43</v>
      </c>
      <c r="DP116" s="63">
        <v>0.33</v>
      </c>
      <c r="DQ116" s="63">
        <v>0.55000000000000004</v>
      </c>
      <c r="DR116" s="63">
        <v>0.14000000000000001</v>
      </c>
      <c r="DS116" s="63">
        <v>0.4</v>
      </c>
      <c r="DT116" s="63">
        <v>0.39</v>
      </c>
      <c r="DU116" s="63">
        <v>0.47</v>
      </c>
      <c r="DV116" s="63">
        <v>0.61</v>
      </c>
      <c r="DW116" s="63">
        <v>0.24</v>
      </c>
      <c r="DX116" s="35">
        <v>53</v>
      </c>
      <c r="DY116" s="35">
        <v>9</v>
      </c>
      <c r="DZ116" s="40">
        <v>7.0000000000000007E-2</v>
      </c>
      <c r="EA116" s="40">
        <v>0.56000000000000005</v>
      </c>
      <c r="EB116" s="40">
        <v>0.33</v>
      </c>
      <c r="EC116" s="40">
        <v>0.04</v>
      </c>
      <c r="ED116" s="40">
        <v>0.47</v>
      </c>
      <c r="EE116" s="40">
        <v>0.45</v>
      </c>
      <c r="EF116" s="40">
        <v>0.47</v>
      </c>
      <c r="EG116" s="40">
        <v>0.52</v>
      </c>
      <c r="EH116" s="40">
        <v>0.38</v>
      </c>
      <c r="EI116" s="40">
        <v>0.37</v>
      </c>
      <c r="EJ116" s="40">
        <v>0.43</v>
      </c>
      <c r="EK116" s="40">
        <v>0.15</v>
      </c>
      <c r="EL116" s="40">
        <v>0.41</v>
      </c>
      <c r="EM116" s="40">
        <v>0.59</v>
      </c>
      <c r="EN116" s="40">
        <v>0.32</v>
      </c>
      <c r="EO116" s="40">
        <v>0.56000000000000005</v>
      </c>
      <c r="EP116" s="40">
        <v>0.27</v>
      </c>
      <c r="EQ116" s="40">
        <v>0.2</v>
      </c>
      <c r="ER116" s="40">
        <v>0.47</v>
      </c>
      <c r="ES116" s="40">
        <v>0.46</v>
      </c>
      <c r="ET116" s="40">
        <v>0.35</v>
      </c>
      <c r="EU116" s="40">
        <v>0.61</v>
      </c>
      <c r="EV116" s="40">
        <v>0.39</v>
      </c>
      <c r="EW116" s="40">
        <v>0.28000000000000003</v>
      </c>
      <c r="EX116" s="40">
        <v>0.62</v>
      </c>
      <c r="EY116" s="40">
        <v>0.53</v>
      </c>
      <c r="EZ116" s="40">
        <v>0.05</v>
      </c>
      <c r="FA116" s="40">
        <v>0.56000000000000005</v>
      </c>
      <c r="FB116" s="246">
        <v>52</v>
      </c>
      <c r="FC116" s="246" t="s">
        <v>758</v>
      </c>
      <c r="FD116" s="246">
        <v>8</v>
      </c>
      <c r="FE116" s="246" t="s">
        <v>758</v>
      </c>
      <c r="FF116" s="263">
        <v>7.0000000000000007E-2</v>
      </c>
      <c r="FG116" s="263">
        <v>0.56999999999999995</v>
      </c>
      <c r="FH116" s="263">
        <v>0.36</v>
      </c>
      <c r="FI116" s="263">
        <v>0</v>
      </c>
      <c r="FJ116" s="263">
        <v>0.41</v>
      </c>
      <c r="FK116" s="263">
        <v>0.59</v>
      </c>
      <c r="FL116" s="263">
        <v>0.46</v>
      </c>
      <c r="FM116" s="263">
        <v>0.36</v>
      </c>
      <c r="FN116" s="263">
        <v>0.2</v>
      </c>
      <c r="FO116" s="263">
        <v>0.25</v>
      </c>
      <c r="FP116" s="263">
        <v>0.3</v>
      </c>
      <c r="FQ116" s="263">
        <v>0.37</v>
      </c>
      <c r="FR116" s="263">
        <v>0.57999999999999996</v>
      </c>
      <c r="FS116" s="263">
        <v>0.38</v>
      </c>
      <c r="FT116" s="263">
        <v>0.51</v>
      </c>
      <c r="FU116" s="263">
        <v>0.35</v>
      </c>
      <c r="FV116" s="263">
        <v>0.5</v>
      </c>
      <c r="FW116" s="263">
        <v>0.45</v>
      </c>
      <c r="FX116" s="263">
        <v>0.46</v>
      </c>
      <c r="FY116" s="263">
        <v>0.26</v>
      </c>
      <c r="FZ116" s="263">
        <v>0.36</v>
      </c>
      <c r="GA116" s="263">
        <v>0.42</v>
      </c>
      <c r="GB116" s="263">
        <v>0.59</v>
      </c>
      <c r="GC116" s="263">
        <v>0.46</v>
      </c>
      <c r="GD116" s="263">
        <v>0.57999999999999996</v>
      </c>
      <c r="GE116" s="263">
        <v>0.47</v>
      </c>
      <c r="GF116" s="263">
        <v>0.46</v>
      </c>
      <c r="GG116" s="263">
        <v>0.41</v>
      </c>
      <c r="GH116" s="263">
        <v>0.46</v>
      </c>
      <c r="GI116" s="263">
        <v>0.25</v>
      </c>
      <c r="GJ116" s="309">
        <v>52</v>
      </c>
      <c r="GK116" s="309" t="s">
        <v>758</v>
      </c>
      <c r="GL116" s="309">
        <v>9</v>
      </c>
      <c r="GM116" s="309" t="s">
        <v>758</v>
      </c>
      <c r="GN116" s="327">
        <v>0.15</v>
      </c>
      <c r="GO116" s="327">
        <v>0.46</v>
      </c>
      <c r="GP116" s="327">
        <v>0.37</v>
      </c>
      <c r="GQ116" s="327">
        <v>0.03</v>
      </c>
      <c r="GR116" s="327">
        <v>0.48</v>
      </c>
      <c r="GS116" s="327">
        <v>0.54</v>
      </c>
      <c r="GT116" s="327">
        <v>0.56999999999999995</v>
      </c>
      <c r="GU116" s="327">
        <v>0.1</v>
      </c>
      <c r="GV116" s="327">
        <v>0.56000000000000005</v>
      </c>
      <c r="GW116" s="327">
        <v>0.48</v>
      </c>
      <c r="GX116" s="327">
        <v>0.53</v>
      </c>
      <c r="GY116" s="309" t="s">
        <v>173</v>
      </c>
      <c r="GZ116" s="327">
        <v>0.31</v>
      </c>
      <c r="HA116" s="327">
        <v>0.68</v>
      </c>
      <c r="HB116" s="327">
        <v>0.48</v>
      </c>
      <c r="HC116" s="327">
        <v>0.55000000000000004</v>
      </c>
      <c r="HD116" s="327">
        <v>0.55000000000000004</v>
      </c>
      <c r="HE116" s="327">
        <v>0.44</v>
      </c>
      <c r="HF116" s="327">
        <v>0.42</v>
      </c>
      <c r="HG116" s="327">
        <v>0.64</v>
      </c>
      <c r="HH116" s="327">
        <v>0.38</v>
      </c>
      <c r="HI116" s="327">
        <v>0.5</v>
      </c>
      <c r="HJ116" s="327">
        <v>0.54</v>
      </c>
      <c r="HK116" s="327">
        <v>0.46</v>
      </c>
      <c r="HL116" s="327">
        <v>0.38</v>
      </c>
      <c r="HM116" s="327">
        <v>0.45</v>
      </c>
      <c r="HN116" s="327">
        <v>0.46</v>
      </c>
      <c r="HO116" s="327">
        <v>0.4</v>
      </c>
      <c r="HP116" s="309" t="s">
        <v>173</v>
      </c>
      <c r="HQ116" s="327">
        <v>0.44</v>
      </c>
      <c r="HR116" s="424">
        <v>56</v>
      </c>
      <c r="HS116" s="424" t="s">
        <v>758</v>
      </c>
      <c r="HT116" s="424">
        <v>8</v>
      </c>
      <c r="HU116" s="424" t="s">
        <v>758</v>
      </c>
      <c r="HV116" s="428">
        <v>0.04</v>
      </c>
      <c r="HW116" s="428">
        <v>0.5</v>
      </c>
      <c r="HX116" s="428">
        <v>0.41</v>
      </c>
      <c r="HY116" s="428">
        <v>0.06</v>
      </c>
      <c r="HZ116" s="428">
        <v>0.38</v>
      </c>
      <c r="IA116" s="428">
        <v>0.42</v>
      </c>
      <c r="IB116" s="428">
        <v>0.22</v>
      </c>
      <c r="IC116" s="428">
        <v>0.39</v>
      </c>
      <c r="ID116" s="428">
        <v>0.51</v>
      </c>
      <c r="IE116" s="428">
        <v>0.25</v>
      </c>
      <c r="IF116" s="428">
        <v>0.35</v>
      </c>
      <c r="IG116" s="428">
        <v>0.47</v>
      </c>
      <c r="IH116" s="428">
        <v>0.48</v>
      </c>
      <c r="II116" s="428">
        <v>0.19</v>
      </c>
      <c r="IJ116" s="428">
        <v>0.24</v>
      </c>
      <c r="IK116" s="428">
        <v>0.54</v>
      </c>
      <c r="IL116" s="428">
        <v>0.37</v>
      </c>
      <c r="IM116" s="428">
        <v>0.48</v>
      </c>
      <c r="IN116" s="428">
        <v>0.3</v>
      </c>
      <c r="IO116" s="428">
        <v>0.46</v>
      </c>
      <c r="IP116" s="428">
        <v>0.42</v>
      </c>
      <c r="IQ116" s="428">
        <v>0.61</v>
      </c>
      <c r="IR116" s="428">
        <v>0.56000000000000005</v>
      </c>
      <c r="IS116" s="428">
        <v>0.47</v>
      </c>
      <c r="IT116" s="428">
        <v>0.28999999999999998</v>
      </c>
      <c r="IU116" s="424" t="s">
        <v>173</v>
      </c>
      <c r="IV116" s="428">
        <v>0.49</v>
      </c>
      <c r="IW116" s="428">
        <v>0.32</v>
      </c>
      <c r="IX116" s="428">
        <v>0.39</v>
      </c>
      <c r="IY116" s="428">
        <v>0.41</v>
      </c>
      <c r="IZ116" s="464">
        <v>52</v>
      </c>
      <c r="JA116" s="464" t="s">
        <v>758</v>
      </c>
      <c r="JB116" s="464">
        <v>8</v>
      </c>
      <c r="JC116" s="464" t="s">
        <v>758</v>
      </c>
      <c r="JD116" s="476">
        <v>0.04</v>
      </c>
      <c r="JE116" s="476">
        <v>0.64</v>
      </c>
      <c r="JF116" s="476">
        <v>0.3</v>
      </c>
      <c r="JG116" s="476">
        <v>0.02</v>
      </c>
      <c r="JH116" s="476">
        <v>0.47</v>
      </c>
      <c r="JI116" s="476">
        <v>0.38</v>
      </c>
      <c r="JJ116" s="476">
        <v>0.5</v>
      </c>
      <c r="JK116" s="476">
        <v>0.52</v>
      </c>
      <c r="JL116" s="476">
        <v>0.47</v>
      </c>
      <c r="JM116" s="476">
        <v>0.47</v>
      </c>
      <c r="JN116" s="476">
        <v>0.52</v>
      </c>
      <c r="JO116" s="476">
        <v>0.46</v>
      </c>
      <c r="JP116" s="476">
        <v>0.53</v>
      </c>
      <c r="JQ116" s="476">
        <v>0.18</v>
      </c>
      <c r="JR116" s="476">
        <v>0.54</v>
      </c>
      <c r="JS116" s="476">
        <v>0.56999999999999995</v>
      </c>
      <c r="JT116" s="476">
        <v>0.43</v>
      </c>
      <c r="JU116" s="476">
        <v>0.53</v>
      </c>
      <c r="JV116" s="476">
        <v>0.45</v>
      </c>
      <c r="JW116" s="476">
        <v>0.44</v>
      </c>
      <c r="JX116" s="476">
        <v>0.39</v>
      </c>
      <c r="JY116" s="476">
        <v>0.51</v>
      </c>
      <c r="JZ116" s="476">
        <v>0.52</v>
      </c>
      <c r="KA116" s="476">
        <v>0.79</v>
      </c>
      <c r="KB116" s="476">
        <v>0.49</v>
      </c>
      <c r="KC116" s="476">
        <v>0.76</v>
      </c>
      <c r="KD116" s="476">
        <v>0.31</v>
      </c>
      <c r="KE116" s="476">
        <v>0.48</v>
      </c>
      <c r="KF116" s="476">
        <v>0.46</v>
      </c>
      <c r="KG116" s="476">
        <v>0.5</v>
      </c>
      <c r="KH116" s="971">
        <v>55</v>
      </c>
      <c r="KI116" s="971" t="s">
        <v>758</v>
      </c>
      <c r="KJ116" s="971">
        <v>9</v>
      </c>
      <c r="KK116" s="971" t="s">
        <v>758</v>
      </c>
      <c r="KL116" s="949">
        <v>0.08</v>
      </c>
      <c r="KM116" s="949">
        <v>0.41</v>
      </c>
      <c r="KN116" s="949">
        <v>0.48</v>
      </c>
      <c r="KO116" s="949">
        <v>0.03</v>
      </c>
      <c r="KP116" s="949">
        <v>0.47</v>
      </c>
      <c r="KQ116" s="949">
        <v>0.28000000000000003</v>
      </c>
      <c r="KR116" s="949">
        <v>0.51</v>
      </c>
      <c r="KS116" s="949">
        <v>0.4</v>
      </c>
      <c r="KT116" s="949">
        <v>0.48</v>
      </c>
      <c r="KU116" s="949">
        <v>0.33</v>
      </c>
      <c r="KV116" s="949">
        <v>0.55000000000000004</v>
      </c>
      <c r="KW116" s="949">
        <v>0.28000000000000003</v>
      </c>
      <c r="KX116" s="949">
        <v>0.28000000000000003</v>
      </c>
      <c r="KY116" s="949">
        <v>0.51</v>
      </c>
      <c r="KZ116" s="949">
        <v>0.32</v>
      </c>
      <c r="LA116" s="949">
        <v>0.54</v>
      </c>
      <c r="LB116" s="949">
        <v>0.34</v>
      </c>
      <c r="LC116" s="949">
        <v>0.31</v>
      </c>
      <c r="LD116" s="949">
        <v>0.51</v>
      </c>
      <c r="LE116" s="949">
        <v>0.4</v>
      </c>
      <c r="LF116" s="949">
        <v>0.28999999999999998</v>
      </c>
      <c r="LG116" s="949">
        <v>0.39</v>
      </c>
      <c r="LH116" s="949">
        <v>0.48</v>
      </c>
      <c r="LI116" s="949">
        <v>0.45</v>
      </c>
      <c r="LJ116" s="949">
        <v>0.43</v>
      </c>
      <c r="LK116" s="949">
        <v>0.51</v>
      </c>
      <c r="LL116" s="949" t="s">
        <v>173</v>
      </c>
      <c r="LM116" s="949">
        <v>0.46</v>
      </c>
      <c r="LN116" s="949">
        <v>0.7</v>
      </c>
      <c r="LO116" s="949">
        <v>0.35</v>
      </c>
      <c r="LP116" s="922">
        <v>325754001441</v>
      </c>
      <c r="LQ116" s="126" t="s">
        <v>124</v>
      </c>
      <c r="LR116" s="424">
        <v>56</v>
      </c>
      <c r="LS116" s="971">
        <v>55</v>
      </c>
      <c r="LT116" s="946"/>
    </row>
    <row r="117" spans="1:332" ht="24.95" customHeight="1" x14ac:dyDescent="0.2">
      <c r="A117" s="126" t="s">
        <v>53</v>
      </c>
      <c r="B117" s="1" t="s">
        <v>121</v>
      </c>
      <c r="C117" s="2">
        <v>2</v>
      </c>
      <c r="D117" s="12">
        <v>53</v>
      </c>
      <c r="E117" s="12">
        <v>7</v>
      </c>
      <c r="F117" s="66">
        <v>0.06</v>
      </c>
      <c r="G117" s="66">
        <v>0.61</v>
      </c>
      <c r="H117" s="66">
        <v>0.33</v>
      </c>
      <c r="I117" s="66">
        <v>0</v>
      </c>
      <c r="J117" s="66">
        <v>0.46</v>
      </c>
      <c r="K117" s="66">
        <v>0.44</v>
      </c>
      <c r="L117" s="66">
        <v>0.71</v>
      </c>
      <c r="M117" s="66">
        <v>0.23</v>
      </c>
      <c r="N117" s="66">
        <v>0.28999999999999998</v>
      </c>
      <c r="O117" s="66">
        <v>0.66</v>
      </c>
      <c r="P117" s="66">
        <v>0.35</v>
      </c>
      <c r="Q117" s="66">
        <v>0.4</v>
      </c>
      <c r="R117" s="66">
        <v>0.62</v>
      </c>
      <c r="S117" s="66">
        <v>0.61</v>
      </c>
      <c r="T117" s="66">
        <v>0.46</v>
      </c>
      <c r="U117" s="66">
        <v>0.56999999999999995</v>
      </c>
      <c r="V117" s="66">
        <v>0.06</v>
      </c>
      <c r="W117" s="66">
        <v>0.12</v>
      </c>
      <c r="X117" s="66">
        <v>0.47</v>
      </c>
      <c r="Y117" s="66">
        <v>0.54</v>
      </c>
      <c r="Z117" s="66">
        <v>0.75</v>
      </c>
      <c r="AA117" s="66">
        <v>0.1</v>
      </c>
      <c r="AB117" s="66">
        <v>0.45</v>
      </c>
      <c r="AC117" s="66">
        <v>0.21</v>
      </c>
      <c r="AD117" s="66">
        <v>0.45</v>
      </c>
      <c r="AE117" s="66">
        <v>0.5</v>
      </c>
      <c r="AF117" s="66">
        <v>0.57999999999999996</v>
      </c>
      <c r="AG117" s="66">
        <v>0.51</v>
      </c>
      <c r="AH117" s="12">
        <v>53</v>
      </c>
      <c r="AI117" s="12">
        <v>8</v>
      </c>
      <c r="AJ117" s="40">
        <v>7.0000000000000007E-2</v>
      </c>
      <c r="AK117" s="40">
        <v>0.54</v>
      </c>
      <c r="AL117" s="40">
        <v>0.38</v>
      </c>
      <c r="AM117" s="40">
        <v>0.01</v>
      </c>
      <c r="AN117" s="40">
        <v>0.28000000000000003</v>
      </c>
      <c r="AO117" s="40">
        <v>0.45</v>
      </c>
      <c r="AP117" s="40">
        <v>0.56999999999999995</v>
      </c>
      <c r="AQ117" s="40">
        <v>0.36</v>
      </c>
      <c r="AR117" s="40">
        <v>0.53</v>
      </c>
      <c r="AS117" s="40">
        <v>0.49</v>
      </c>
      <c r="AT117" s="40">
        <v>0.52</v>
      </c>
      <c r="AU117" s="40">
        <v>0.51</v>
      </c>
      <c r="AV117" s="40">
        <v>0.56999999999999995</v>
      </c>
      <c r="AW117" s="40">
        <v>0.46</v>
      </c>
      <c r="AX117" s="40">
        <v>0.6</v>
      </c>
      <c r="AY117" s="40">
        <v>0.28000000000000003</v>
      </c>
      <c r="AZ117" s="40">
        <v>0.3</v>
      </c>
      <c r="BA117" s="40">
        <v>0.5</v>
      </c>
      <c r="BB117" s="40">
        <v>0.6</v>
      </c>
      <c r="BC117" s="40">
        <v>0.64</v>
      </c>
      <c r="BD117" s="40">
        <v>0.38</v>
      </c>
      <c r="BE117" s="40">
        <v>0.48</v>
      </c>
      <c r="BF117" s="40">
        <v>0.61</v>
      </c>
      <c r="BG117" s="40">
        <v>0.48</v>
      </c>
      <c r="BH117" s="40">
        <v>0.43</v>
      </c>
      <c r="BI117" s="40">
        <v>0.36</v>
      </c>
      <c r="BJ117" s="40">
        <v>0.35</v>
      </c>
      <c r="BK117" s="40">
        <v>0.41</v>
      </c>
      <c r="BL117" s="40">
        <v>0.43</v>
      </c>
      <c r="BM117" s="12">
        <v>50</v>
      </c>
      <c r="BN117" s="12">
        <v>9</v>
      </c>
      <c r="BO117" s="66">
        <v>0.17</v>
      </c>
      <c r="BP117" s="66">
        <v>0.56999999999999995</v>
      </c>
      <c r="BQ117" s="66">
        <v>0.26</v>
      </c>
      <c r="BR117" s="66">
        <v>0</v>
      </c>
      <c r="BS117" s="66">
        <v>0.42</v>
      </c>
      <c r="BT117" s="66">
        <v>0.5</v>
      </c>
      <c r="BU117" s="66">
        <v>0.63</v>
      </c>
      <c r="BV117" s="66">
        <v>0.36</v>
      </c>
      <c r="BW117" s="66">
        <v>0.66</v>
      </c>
      <c r="BX117" s="66">
        <v>0.41</v>
      </c>
      <c r="BY117" s="66">
        <v>0.44</v>
      </c>
      <c r="BZ117" s="66">
        <v>0.53</v>
      </c>
      <c r="CA117" s="66">
        <v>0.46</v>
      </c>
      <c r="CB117" s="66">
        <v>0.32</v>
      </c>
      <c r="CC117" s="66">
        <v>0.27</v>
      </c>
      <c r="CD117" s="66">
        <v>0.42</v>
      </c>
      <c r="CE117" s="66">
        <v>0.35</v>
      </c>
      <c r="CF117" s="66">
        <v>0.6</v>
      </c>
      <c r="CG117" s="66">
        <v>0.56999999999999995</v>
      </c>
      <c r="CH117" s="66">
        <v>0.44</v>
      </c>
      <c r="CI117" s="66">
        <v>0.57999999999999996</v>
      </c>
      <c r="CJ117" s="66">
        <v>0.38</v>
      </c>
      <c r="CK117" s="66">
        <v>0.66</v>
      </c>
      <c r="CL117" s="66">
        <v>0.33</v>
      </c>
      <c r="CM117" s="66">
        <v>0.49</v>
      </c>
      <c r="CN117" s="66">
        <v>0.46</v>
      </c>
      <c r="CO117" s="66">
        <v>0.46</v>
      </c>
      <c r="CP117" s="66">
        <v>0.4</v>
      </c>
      <c r="CQ117" s="66">
        <v>0.56999999999999995</v>
      </c>
      <c r="CR117" s="66">
        <v>0.55000000000000004</v>
      </c>
      <c r="CS117" s="12">
        <v>48</v>
      </c>
      <c r="CT117" s="12">
        <v>9</v>
      </c>
      <c r="CU117" s="63">
        <v>0.19</v>
      </c>
      <c r="CV117" s="63">
        <v>0.6</v>
      </c>
      <c r="CW117" s="63">
        <v>0.21</v>
      </c>
      <c r="CX117" s="63">
        <v>0</v>
      </c>
      <c r="CY117" s="63">
        <v>0.55000000000000004</v>
      </c>
      <c r="CZ117" s="63">
        <v>0.34</v>
      </c>
      <c r="DA117" s="63">
        <v>0.56999999999999995</v>
      </c>
      <c r="DB117" s="63">
        <v>0.37</v>
      </c>
      <c r="DC117" s="63">
        <v>0.52</v>
      </c>
      <c r="DD117" s="63">
        <v>0.61</v>
      </c>
      <c r="DE117" s="63">
        <v>0.51</v>
      </c>
      <c r="DF117" s="63">
        <v>0.55000000000000004</v>
      </c>
      <c r="DG117" s="63">
        <v>0.47</v>
      </c>
      <c r="DH117" s="63">
        <v>0.39</v>
      </c>
      <c r="DI117" s="63">
        <v>0.56999999999999995</v>
      </c>
      <c r="DJ117" s="63">
        <v>0.56000000000000005</v>
      </c>
      <c r="DK117" s="63">
        <v>0.37</v>
      </c>
      <c r="DL117" s="63">
        <v>0.38</v>
      </c>
      <c r="DM117" s="63">
        <v>0.52</v>
      </c>
      <c r="DN117" s="63">
        <v>0.54</v>
      </c>
      <c r="DO117" s="63">
        <v>0.42</v>
      </c>
      <c r="DP117" s="63">
        <v>0.46</v>
      </c>
      <c r="DQ117" s="63">
        <v>0.59</v>
      </c>
      <c r="DR117" s="63">
        <v>0.22</v>
      </c>
      <c r="DS117" s="63">
        <v>0.4</v>
      </c>
      <c r="DT117" s="63">
        <v>0.51</v>
      </c>
      <c r="DU117" s="63">
        <v>0.56000000000000005</v>
      </c>
      <c r="DV117" s="63">
        <v>0.65</v>
      </c>
      <c r="DW117" s="63">
        <v>0.33</v>
      </c>
      <c r="DX117" s="35">
        <v>49</v>
      </c>
      <c r="DY117" s="35">
        <v>8</v>
      </c>
      <c r="DZ117" s="40">
        <v>0.18</v>
      </c>
      <c r="EA117" s="40">
        <v>0.57999999999999996</v>
      </c>
      <c r="EB117" s="40">
        <v>0.23</v>
      </c>
      <c r="EC117" s="40">
        <v>0.01</v>
      </c>
      <c r="ED117" s="40">
        <v>0.52</v>
      </c>
      <c r="EE117" s="40">
        <v>0.46</v>
      </c>
      <c r="EF117" s="40">
        <v>0.57999999999999996</v>
      </c>
      <c r="EG117" s="40">
        <v>0.33</v>
      </c>
      <c r="EH117" s="40">
        <v>0.47</v>
      </c>
      <c r="EI117" s="40">
        <v>0.49</v>
      </c>
      <c r="EJ117" s="40">
        <v>0.59</v>
      </c>
      <c r="EK117" s="40">
        <v>0.32</v>
      </c>
      <c r="EL117" s="40">
        <v>0.49</v>
      </c>
      <c r="EM117" s="40">
        <v>0.66</v>
      </c>
      <c r="EN117" s="40">
        <v>0.47</v>
      </c>
      <c r="EO117" s="40">
        <v>0.59</v>
      </c>
      <c r="EP117" s="40">
        <v>0.39</v>
      </c>
      <c r="EQ117" s="40">
        <v>0.27</v>
      </c>
      <c r="ER117" s="40">
        <v>0.63</v>
      </c>
      <c r="ES117" s="40">
        <v>0.49</v>
      </c>
      <c r="ET117" s="40">
        <v>0.33</v>
      </c>
      <c r="EU117" s="40">
        <v>0.6</v>
      </c>
      <c r="EV117" s="40">
        <v>0.37</v>
      </c>
      <c r="EW117" s="40">
        <v>0.32</v>
      </c>
      <c r="EX117" s="40">
        <v>0.71</v>
      </c>
      <c r="EY117" s="40">
        <v>0.59</v>
      </c>
      <c r="EZ117" s="40">
        <v>0.25</v>
      </c>
      <c r="FA117" s="40">
        <v>0.59</v>
      </c>
      <c r="FB117" s="246">
        <v>48</v>
      </c>
      <c r="FC117" s="246" t="s">
        <v>758</v>
      </c>
      <c r="FD117" s="246">
        <v>7</v>
      </c>
      <c r="FE117" s="246" t="s">
        <v>758</v>
      </c>
      <c r="FF117" s="263">
        <v>0.18</v>
      </c>
      <c r="FG117" s="263">
        <v>0.64</v>
      </c>
      <c r="FH117" s="263">
        <v>0.19</v>
      </c>
      <c r="FI117" s="263">
        <v>0</v>
      </c>
      <c r="FJ117" s="263">
        <v>0.49</v>
      </c>
      <c r="FK117" s="263">
        <v>0.67</v>
      </c>
      <c r="FL117" s="263">
        <v>0.51</v>
      </c>
      <c r="FM117" s="263">
        <v>0.47</v>
      </c>
      <c r="FN117" s="263">
        <v>0.28999999999999998</v>
      </c>
      <c r="FO117" s="263">
        <v>0.37</v>
      </c>
      <c r="FP117" s="263">
        <v>0.43</v>
      </c>
      <c r="FQ117" s="263">
        <v>0.42</v>
      </c>
      <c r="FR117" s="263">
        <v>0.61</v>
      </c>
      <c r="FS117" s="263">
        <v>0.55000000000000004</v>
      </c>
      <c r="FT117" s="263">
        <v>0.51</v>
      </c>
      <c r="FU117" s="263">
        <v>0.45</v>
      </c>
      <c r="FV117" s="263">
        <v>0.7</v>
      </c>
      <c r="FW117" s="263">
        <v>0.56999999999999995</v>
      </c>
      <c r="FX117" s="263">
        <v>0.52</v>
      </c>
      <c r="FY117" s="263">
        <v>0.43</v>
      </c>
      <c r="FZ117" s="263">
        <v>0.41</v>
      </c>
      <c r="GA117" s="263">
        <v>0.52</v>
      </c>
      <c r="GB117" s="263">
        <v>0.57999999999999996</v>
      </c>
      <c r="GC117" s="263">
        <v>0.51</v>
      </c>
      <c r="GD117" s="263">
        <v>0.65</v>
      </c>
      <c r="GE117" s="263">
        <v>0.6</v>
      </c>
      <c r="GF117" s="263">
        <v>0.53</v>
      </c>
      <c r="GG117" s="263">
        <v>0.46</v>
      </c>
      <c r="GH117" s="263">
        <v>0.62</v>
      </c>
      <c r="GI117" s="263">
        <v>0.33</v>
      </c>
      <c r="GJ117" s="309">
        <v>48</v>
      </c>
      <c r="GK117" s="309" t="s">
        <v>758</v>
      </c>
      <c r="GL117" s="309">
        <v>9</v>
      </c>
      <c r="GM117" s="309" t="s">
        <v>758</v>
      </c>
      <c r="GN117" s="327">
        <v>0.19</v>
      </c>
      <c r="GO117" s="327">
        <v>0.61</v>
      </c>
      <c r="GP117" s="327">
        <v>0.2</v>
      </c>
      <c r="GQ117" s="327">
        <v>0</v>
      </c>
      <c r="GR117" s="327">
        <v>0.54</v>
      </c>
      <c r="GS117" s="327">
        <v>0.57999999999999996</v>
      </c>
      <c r="GT117" s="327">
        <v>0.64</v>
      </c>
      <c r="GU117" s="327">
        <v>0.28999999999999998</v>
      </c>
      <c r="GV117" s="327">
        <v>0.61</v>
      </c>
      <c r="GW117" s="327">
        <v>0.54</v>
      </c>
      <c r="GX117" s="327">
        <v>0.5</v>
      </c>
      <c r="GY117" s="309" t="s">
        <v>173</v>
      </c>
      <c r="GZ117" s="327">
        <v>0.36</v>
      </c>
      <c r="HA117" s="327">
        <v>0.72</v>
      </c>
      <c r="HB117" s="327">
        <v>0.54</v>
      </c>
      <c r="HC117" s="327">
        <v>0.59</v>
      </c>
      <c r="HD117" s="327">
        <v>0.63</v>
      </c>
      <c r="HE117" s="327">
        <v>0.53</v>
      </c>
      <c r="HF117" s="327">
        <v>0.53</v>
      </c>
      <c r="HG117" s="327">
        <v>0.69</v>
      </c>
      <c r="HH117" s="327">
        <v>0.47</v>
      </c>
      <c r="HI117" s="327">
        <v>0.54</v>
      </c>
      <c r="HJ117" s="327">
        <v>0.64</v>
      </c>
      <c r="HK117" s="327">
        <v>0.54</v>
      </c>
      <c r="HL117" s="327">
        <v>0.44</v>
      </c>
      <c r="HM117" s="327">
        <v>0.47</v>
      </c>
      <c r="HN117" s="327">
        <v>0.52</v>
      </c>
      <c r="HO117" s="327">
        <v>0.49</v>
      </c>
      <c r="HP117" s="309" t="s">
        <v>173</v>
      </c>
      <c r="HQ117" s="327">
        <v>0.49</v>
      </c>
      <c r="HR117" s="424">
        <v>50</v>
      </c>
      <c r="HS117" s="424" t="s">
        <v>758</v>
      </c>
      <c r="HT117" s="424">
        <v>8</v>
      </c>
      <c r="HU117" s="424" t="s">
        <v>758</v>
      </c>
      <c r="HV117" s="428">
        <v>0.11</v>
      </c>
      <c r="HW117" s="428">
        <v>0.63</v>
      </c>
      <c r="HX117" s="428">
        <v>0.25</v>
      </c>
      <c r="HY117" s="428">
        <v>0.01</v>
      </c>
      <c r="HZ117" s="428">
        <v>0.44</v>
      </c>
      <c r="IA117" s="428">
        <v>0.54</v>
      </c>
      <c r="IB117" s="428">
        <v>0.4</v>
      </c>
      <c r="IC117" s="428">
        <v>0.54</v>
      </c>
      <c r="ID117" s="428">
        <v>0.64</v>
      </c>
      <c r="IE117" s="428">
        <v>0.37</v>
      </c>
      <c r="IF117" s="428">
        <v>0.45</v>
      </c>
      <c r="IG117" s="428">
        <v>0.57999999999999996</v>
      </c>
      <c r="IH117" s="428">
        <v>0.54</v>
      </c>
      <c r="II117" s="428">
        <v>0.32</v>
      </c>
      <c r="IJ117" s="428">
        <v>0.28999999999999998</v>
      </c>
      <c r="IK117" s="428">
        <v>0.61</v>
      </c>
      <c r="IL117" s="428">
        <v>0.35</v>
      </c>
      <c r="IM117" s="428">
        <v>0.57999999999999996</v>
      </c>
      <c r="IN117" s="428">
        <v>0.46</v>
      </c>
      <c r="IO117" s="428">
        <v>0.55000000000000004</v>
      </c>
      <c r="IP117" s="428">
        <v>0.41</v>
      </c>
      <c r="IQ117" s="428">
        <v>0.66</v>
      </c>
      <c r="IR117" s="428">
        <v>0.57999999999999996</v>
      </c>
      <c r="IS117" s="428">
        <v>0.56000000000000005</v>
      </c>
      <c r="IT117" s="428">
        <v>0.46</v>
      </c>
      <c r="IU117" s="424" t="s">
        <v>173</v>
      </c>
      <c r="IV117" s="428">
        <v>0.64</v>
      </c>
      <c r="IW117" s="428">
        <v>0.41</v>
      </c>
      <c r="IX117" s="428">
        <v>0.46</v>
      </c>
      <c r="IY117" s="428">
        <v>0.53</v>
      </c>
      <c r="IZ117" s="464">
        <v>51</v>
      </c>
      <c r="JA117" s="464" t="s">
        <v>758</v>
      </c>
      <c r="JB117" s="464">
        <v>9</v>
      </c>
      <c r="JC117" s="464" t="s">
        <v>758</v>
      </c>
      <c r="JD117" s="476">
        <v>0.13</v>
      </c>
      <c r="JE117" s="476">
        <v>0.55000000000000004</v>
      </c>
      <c r="JF117" s="476">
        <v>0.31</v>
      </c>
      <c r="JG117" s="476">
        <v>0.01</v>
      </c>
      <c r="JH117" s="476">
        <v>0.47</v>
      </c>
      <c r="JI117" s="476">
        <v>0.44</v>
      </c>
      <c r="JJ117" s="476">
        <v>0.43</v>
      </c>
      <c r="JK117" s="476">
        <v>0.47</v>
      </c>
      <c r="JL117" s="476">
        <v>0.49</v>
      </c>
      <c r="JM117" s="476">
        <v>0.49</v>
      </c>
      <c r="JN117" s="476">
        <v>0.41</v>
      </c>
      <c r="JO117" s="476">
        <v>0.49</v>
      </c>
      <c r="JP117" s="476">
        <v>0.59</v>
      </c>
      <c r="JQ117" s="476">
        <v>0.3</v>
      </c>
      <c r="JR117" s="476">
        <v>0.59</v>
      </c>
      <c r="JS117" s="476">
        <v>0.59</v>
      </c>
      <c r="JT117" s="476">
        <v>0.43</v>
      </c>
      <c r="JU117" s="476">
        <v>0.5</v>
      </c>
      <c r="JV117" s="476">
        <v>0.49</v>
      </c>
      <c r="JW117" s="476">
        <v>0.45</v>
      </c>
      <c r="JX117" s="476">
        <v>0.42</v>
      </c>
      <c r="JY117" s="476">
        <v>0.47</v>
      </c>
      <c r="JZ117" s="476">
        <v>0.47</v>
      </c>
      <c r="KA117" s="476">
        <v>0.65</v>
      </c>
      <c r="KB117" s="476">
        <v>0.45</v>
      </c>
      <c r="KC117" s="476">
        <v>0.65</v>
      </c>
      <c r="KD117" s="476">
        <v>0.34</v>
      </c>
      <c r="KE117" s="476">
        <v>0.5</v>
      </c>
      <c r="KF117" s="476">
        <v>0.45</v>
      </c>
      <c r="KG117" s="476">
        <v>0.54</v>
      </c>
      <c r="KH117" s="971">
        <v>51</v>
      </c>
      <c r="KI117" s="971" t="s">
        <v>758</v>
      </c>
      <c r="KJ117" s="971">
        <v>9</v>
      </c>
      <c r="KK117" s="971" t="s">
        <v>758</v>
      </c>
      <c r="KL117" s="949">
        <v>0.13</v>
      </c>
      <c r="KM117" s="949">
        <v>0.56999999999999995</v>
      </c>
      <c r="KN117" s="949">
        <v>0.28999999999999998</v>
      </c>
      <c r="KO117" s="949">
        <v>0.01</v>
      </c>
      <c r="KP117" s="949">
        <v>0.49</v>
      </c>
      <c r="KQ117" s="949">
        <v>0.27</v>
      </c>
      <c r="KR117" s="949">
        <v>0.6</v>
      </c>
      <c r="KS117" s="949">
        <v>0.52</v>
      </c>
      <c r="KT117" s="949">
        <v>0.55000000000000004</v>
      </c>
      <c r="KU117" s="949">
        <v>0.39</v>
      </c>
      <c r="KV117" s="949">
        <v>0.59</v>
      </c>
      <c r="KW117" s="949">
        <v>0.34</v>
      </c>
      <c r="KX117" s="949">
        <v>0.36</v>
      </c>
      <c r="KY117" s="949">
        <v>0.55000000000000004</v>
      </c>
      <c r="KZ117" s="949">
        <v>0.42</v>
      </c>
      <c r="LA117" s="949">
        <v>0.4</v>
      </c>
      <c r="LB117" s="949">
        <v>0.38</v>
      </c>
      <c r="LC117" s="949">
        <v>0.4</v>
      </c>
      <c r="LD117" s="949">
        <v>0.56999999999999995</v>
      </c>
      <c r="LE117" s="949">
        <v>0.53</v>
      </c>
      <c r="LF117" s="949">
        <v>0.35</v>
      </c>
      <c r="LG117" s="949">
        <v>0.54</v>
      </c>
      <c r="LH117" s="949">
        <v>0.56000000000000005</v>
      </c>
      <c r="LI117" s="949">
        <v>0.48</v>
      </c>
      <c r="LJ117" s="949">
        <v>0.41</v>
      </c>
      <c r="LK117" s="949">
        <v>0.56000000000000005</v>
      </c>
      <c r="LL117" s="949" t="s">
        <v>173</v>
      </c>
      <c r="LM117" s="949">
        <v>0.59</v>
      </c>
      <c r="LN117" s="949">
        <v>0.64</v>
      </c>
      <c r="LO117" s="949">
        <v>0.52</v>
      </c>
      <c r="LP117" s="922">
        <v>125754001035</v>
      </c>
      <c r="LQ117" s="126" t="s">
        <v>53</v>
      </c>
      <c r="LR117" s="424">
        <v>50</v>
      </c>
      <c r="LS117" s="971">
        <v>51</v>
      </c>
      <c r="LT117" s="946"/>
    </row>
    <row r="118" spans="1:332" ht="24.95" customHeight="1" x14ac:dyDescent="0.2">
      <c r="A118" s="126" t="s">
        <v>953</v>
      </c>
      <c r="B118" s="1" t="s">
        <v>121</v>
      </c>
      <c r="C118" s="2">
        <v>4</v>
      </c>
      <c r="D118" s="12">
        <v>54</v>
      </c>
      <c r="E118" s="12">
        <v>8</v>
      </c>
      <c r="F118" s="66">
        <v>0.06</v>
      </c>
      <c r="G118" s="66">
        <v>0.5</v>
      </c>
      <c r="H118" s="66">
        <v>0.42</v>
      </c>
      <c r="I118" s="66">
        <v>0.02</v>
      </c>
      <c r="J118" s="66">
        <v>0.31</v>
      </c>
      <c r="K118" s="66">
        <v>0.34</v>
      </c>
      <c r="L118" s="66">
        <v>0.61</v>
      </c>
      <c r="M118" s="66">
        <v>0.19</v>
      </c>
      <c r="N118" s="66">
        <v>0.3</v>
      </c>
      <c r="O118" s="66">
        <v>0.63</v>
      </c>
      <c r="P118" s="66">
        <v>0.36</v>
      </c>
      <c r="Q118" s="66">
        <v>0.45</v>
      </c>
      <c r="R118" s="66">
        <v>0.52</v>
      </c>
      <c r="S118" s="66">
        <v>0.59</v>
      </c>
      <c r="T118" s="66">
        <v>0.42</v>
      </c>
      <c r="U118" s="66">
        <v>0.66</v>
      </c>
      <c r="V118" s="66">
        <v>0.08</v>
      </c>
      <c r="W118" s="66">
        <v>0.14000000000000001</v>
      </c>
      <c r="X118" s="66">
        <v>0.48</v>
      </c>
      <c r="Y118" s="66">
        <v>0.44</v>
      </c>
      <c r="Z118" s="66">
        <v>0.6</v>
      </c>
      <c r="AA118" s="66">
        <v>0.08</v>
      </c>
      <c r="AB118" s="66">
        <v>0.4</v>
      </c>
      <c r="AC118" s="66">
        <v>0.24</v>
      </c>
      <c r="AD118" s="66">
        <v>0.42</v>
      </c>
      <c r="AE118" s="66">
        <v>0.34</v>
      </c>
      <c r="AF118" s="66">
        <v>0.49</v>
      </c>
      <c r="AG118" s="66">
        <v>0.52</v>
      </c>
      <c r="AH118" s="12">
        <v>54</v>
      </c>
      <c r="AI118" s="12">
        <v>9</v>
      </c>
      <c r="AJ118" s="40">
        <v>0.1</v>
      </c>
      <c r="AK118" s="40">
        <v>0.54</v>
      </c>
      <c r="AL118" s="40">
        <v>0.34</v>
      </c>
      <c r="AM118" s="40">
        <v>0.02</v>
      </c>
      <c r="AN118" s="40">
        <v>0.25</v>
      </c>
      <c r="AO118" s="40">
        <v>0.43</v>
      </c>
      <c r="AP118" s="40">
        <v>0.51</v>
      </c>
      <c r="AQ118" s="40">
        <v>0.36</v>
      </c>
      <c r="AR118" s="40">
        <v>0.56000000000000005</v>
      </c>
      <c r="AS118" s="40">
        <v>0.48</v>
      </c>
      <c r="AT118" s="40">
        <v>0.46</v>
      </c>
      <c r="AU118" s="40">
        <v>0.52</v>
      </c>
      <c r="AV118" s="40">
        <v>0.59</v>
      </c>
      <c r="AW118" s="40">
        <v>0.38</v>
      </c>
      <c r="AX118" s="40">
        <v>0.57999999999999996</v>
      </c>
      <c r="AY118" s="40">
        <v>0.28000000000000003</v>
      </c>
      <c r="AZ118" s="40">
        <v>0.24</v>
      </c>
      <c r="BA118" s="40">
        <v>0.49</v>
      </c>
      <c r="BB118" s="40">
        <v>0.64</v>
      </c>
      <c r="BC118" s="40">
        <v>0.64</v>
      </c>
      <c r="BD118" s="40">
        <v>0.37</v>
      </c>
      <c r="BE118" s="40">
        <v>0.53</v>
      </c>
      <c r="BF118" s="40">
        <v>0.63</v>
      </c>
      <c r="BG118" s="40">
        <v>0.43</v>
      </c>
      <c r="BH118" s="40">
        <v>0.37</v>
      </c>
      <c r="BI118" s="40">
        <v>0.38</v>
      </c>
      <c r="BJ118" s="40">
        <v>0.28999999999999998</v>
      </c>
      <c r="BK118" s="40">
        <v>0.41</v>
      </c>
      <c r="BL118" s="40">
        <v>0.47</v>
      </c>
      <c r="BM118" s="12">
        <v>47</v>
      </c>
      <c r="BN118" s="12">
        <v>8</v>
      </c>
      <c r="BO118" s="66">
        <v>0.22</v>
      </c>
      <c r="BP118" s="66">
        <v>0.62</v>
      </c>
      <c r="BQ118" s="66">
        <v>0.16</v>
      </c>
      <c r="BR118" s="66">
        <v>0</v>
      </c>
      <c r="BS118" s="66">
        <v>0.43</v>
      </c>
      <c r="BT118" s="66">
        <v>0.68</v>
      </c>
      <c r="BU118" s="66">
        <v>0.69</v>
      </c>
      <c r="BV118" s="66">
        <v>0.37</v>
      </c>
      <c r="BW118" s="66">
        <v>0.71</v>
      </c>
      <c r="BX118" s="66">
        <v>0.43</v>
      </c>
      <c r="BY118" s="66">
        <v>0.41</v>
      </c>
      <c r="BZ118" s="66">
        <v>0.59</v>
      </c>
      <c r="CA118" s="66">
        <v>0.54</v>
      </c>
      <c r="CB118" s="66">
        <v>0.47</v>
      </c>
      <c r="CC118" s="66">
        <v>0.26</v>
      </c>
      <c r="CD118" s="66">
        <v>0.5</v>
      </c>
      <c r="CE118" s="66">
        <v>0.44</v>
      </c>
      <c r="CF118" s="66">
        <v>0.73</v>
      </c>
      <c r="CG118" s="66">
        <v>0.63</v>
      </c>
      <c r="CH118" s="66">
        <v>0.51</v>
      </c>
      <c r="CI118" s="66">
        <v>0.64</v>
      </c>
      <c r="CJ118" s="66">
        <v>0.44</v>
      </c>
      <c r="CK118" s="66">
        <v>0.71</v>
      </c>
      <c r="CL118" s="66">
        <v>0.4</v>
      </c>
      <c r="CM118" s="66">
        <v>0.49</v>
      </c>
      <c r="CN118" s="66">
        <v>0.56999999999999995</v>
      </c>
      <c r="CO118" s="66">
        <v>0.45</v>
      </c>
      <c r="CP118" s="66">
        <v>0.44</v>
      </c>
      <c r="CQ118" s="66">
        <v>0.57999999999999996</v>
      </c>
      <c r="CR118" s="66">
        <v>0.63</v>
      </c>
      <c r="CS118" s="12">
        <v>48</v>
      </c>
      <c r="CT118" s="12">
        <v>9</v>
      </c>
      <c r="CU118" s="63">
        <v>0.19</v>
      </c>
      <c r="CV118" s="63">
        <v>0.61</v>
      </c>
      <c r="CW118" s="63">
        <v>0.2</v>
      </c>
      <c r="CX118" s="63">
        <v>0.01</v>
      </c>
      <c r="CY118" s="63">
        <v>0.54</v>
      </c>
      <c r="CZ118" s="63">
        <v>0.3</v>
      </c>
      <c r="DA118" s="63">
        <v>0.54</v>
      </c>
      <c r="DB118" s="63">
        <v>0.38</v>
      </c>
      <c r="DC118" s="63">
        <v>0.51</v>
      </c>
      <c r="DD118" s="63">
        <v>0.62</v>
      </c>
      <c r="DE118" s="63">
        <v>0.49</v>
      </c>
      <c r="DF118" s="63">
        <v>0.57999999999999996</v>
      </c>
      <c r="DG118" s="63">
        <v>0.5</v>
      </c>
      <c r="DH118" s="63">
        <v>0.35</v>
      </c>
      <c r="DI118" s="63">
        <v>0.55000000000000004</v>
      </c>
      <c r="DJ118" s="63">
        <v>0.53</v>
      </c>
      <c r="DK118" s="63">
        <v>0.42</v>
      </c>
      <c r="DL118" s="63">
        <v>0.42</v>
      </c>
      <c r="DM118" s="63">
        <v>0.53</v>
      </c>
      <c r="DN118" s="63">
        <v>0.53</v>
      </c>
      <c r="DO118" s="63">
        <v>0.46</v>
      </c>
      <c r="DP118" s="63">
        <v>0.51</v>
      </c>
      <c r="DQ118" s="63">
        <v>0.61</v>
      </c>
      <c r="DR118" s="63">
        <v>0.19</v>
      </c>
      <c r="DS118" s="63">
        <v>0.42</v>
      </c>
      <c r="DT118" s="63">
        <v>0.56999999999999995</v>
      </c>
      <c r="DU118" s="63">
        <v>0.5</v>
      </c>
      <c r="DV118" s="63">
        <v>0.61</v>
      </c>
      <c r="DW118" s="63">
        <v>0.34</v>
      </c>
      <c r="DX118" s="35">
        <v>47</v>
      </c>
      <c r="DY118" s="35">
        <v>8</v>
      </c>
      <c r="DZ118" s="40">
        <v>0.24</v>
      </c>
      <c r="EA118" s="40">
        <v>0.6</v>
      </c>
      <c r="EB118" s="40">
        <v>0.16</v>
      </c>
      <c r="EC118" s="40">
        <v>0</v>
      </c>
      <c r="ED118" s="40">
        <v>0.49</v>
      </c>
      <c r="EE118" s="40">
        <v>0.47</v>
      </c>
      <c r="EF118" s="40">
        <v>0.57999999999999996</v>
      </c>
      <c r="EG118" s="40">
        <v>0.4</v>
      </c>
      <c r="EH118" s="40">
        <v>0.51</v>
      </c>
      <c r="EI118" s="40">
        <v>0.51</v>
      </c>
      <c r="EJ118" s="40">
        <v>0.56999999999999995</v>
      </c>
      <c r="EK118" s="40">
        <v>0.37</v>
      </c>
      <c r="EL118" s="40">
        <v>0.5</v>
      </c>
      <c r="EM118" s="40">
        <v>0.7</v>
      </c>
      <c r="EN118" s="40">
        <v>0.52</v>
      </c>
      <c r="EO118" s="40">
        <v>0.63</v>
      </c>
      <c r="EP118" s="40">
        <v>0.46</v>
      </c>
      <c r="EQ118" s="40">
        <v>0.38</v>
      </c>
      <c r="ER118" s="40">
        <v>0.65</v>
      </c>
      <c r="ES118" s="40">
        <v>0.53</v>
      </c>
      <c r="ET118" s="40">
        <v>0.41</v>
      </c>
      <c r="EU118" s="40">
        <v>0.67</v>
      </c>
      <c r="EV118" s="40">
        <v>0.41</v>
      </c>
      <c r="EW118" s="40">
        <v>0.3</v>
      </c>
      <c r="EX118" s="40">
        <v>0.63</v>
      </c>
      <c r="EY118" s="40">
        <v>0.64</v>
      </c>
      <c r="EZ118" s="40">
        <v>0.24</v>
      </c>
      <c r="FA118" s="40">
        <v>0.69</v>
      </c>
      <c r="FB118" s="246">
        <v>47</v>
      </c>
      <c r="FC118" s="246" t="s">
        <v>758</v>
      </c>
      <c r="FD118" s="246">
        <v>8</v>
      </c>
      <c r="FE118" s="246" t="s">
        <v>758</v>
      </c>
      <c r="FF118" s="263">
        <v>0.22</v>
      </c>
      <c r="FG118" s="263">
        <v>0.66</v>
      </c>
      <c r="FH118" s="263">
        <v>0.1</v>
      </c>
      <c r="FI118" s="263">
        <v>0.01</v>
      </c>
      <c r="FJ118" s="263">
        <v>0.6</v>
      </c>
      <c r="FK118" s="263">
        <v>0.71</v>
      </c>
      <c r="FL118" s="263">
        <v>0.55000000000000004</v>
      </c>
      <c r="FM118" s="263">
        <v>0.49</v>
      </c>
      <c r="FN118" s="263">
        <v>0.37</v>
      </c>
      <c r="FO118" s="263">
        <v>0.35</v>
      </c>
      <c r="FP118" s="263">
        <v>0.44</v>
      </c>
      <c r="FQ118" s="263">
        <v>0.46</v>
      </c>
      <c r="FR118" s="263">
        <v>0.66</v>
      </c>
      <c r="FS118" s="263">
        <v>0.54</v>
      </c>
      <c r="FT118" s="263">
        <v>0.51</v>
      </c>
      <c r="FU118" s="263">
        <v>0.42</v>
      </c>
      <c r="FV118" s="263">
        <v>0.62</v>
      </c>
      <c r="FW118" s="263">
        <v>0.61</v>
      </c>
      <c r="FX118" s="263">
        <v>0.51</v>
      </c>
      <c r="FY118" s="263">
        <v>0.43</v>
      </c>
      <c r="FZ118" s="263">
        <v>0.46</v>
      </c>
      <c r="GA118" s="263">
        <v>0.53</v>
      </c>
      <c r="GB118" s="263">
        <v>0.6</v>
      </c>
      <c r="GC118" s="263">
        <v>0.56999999999999995</v>
      </c>
      <c r="GD118" s="263">
        <v>0.64</v>
      </c>
      <c r="GE118" s="263">
        <v>0.54</v>
      </c>
      <c r="GF118" s="263">
        <v>0.55000000000000004</v>
      </c>
      <c r="GG118" s="263">
        <v>0.54</v>
      </c>
      <c r="GH118" s="263">
        <v>0.64</v>
      </c>
      <c r="GI118" s="263">
        <v>0.3</v>
      </c>
      <c r="GJ118" s="309">
        <v>47</v>
      </c>
      <c r="GK118" s="309" t="s">
        <v>758</v>
      </c>
      <c r="GL118" s="309">
        <v>8</v>
      </c>
      <c r="GM118" s="309" t="s">
        <v>758</v>
      </c>
      <c r="GN118" s="327">
        <v>0.23</v>
      </c>
      <c r="GO118" s="327">
        <v>0.61</v>
      </c>
      <c r="GP118" s="327">
        <v>0.16</v>
      </c>
      <c r="GQ118" s="327">
        <v>0</v>
      </c>
      <c r="GR118" s="327">
        <v>0.57999999999999996</v>
      </c>
      <c r="GS118" s="327">
        <v>0.57999999999999996</v>
      </c>
      <c r="GT118" s="327">
        <v>0.69</v>
      </c>
      <c r="GU118" s="327">
        <v>0.27</v>
      </c>
      <c r="GV118" s="327">
        <v>0.6</v>
      </c>
      <c r="GW118" s="327">
        <v>0.54</v>
      </c>
      <c r="GX118" s="327">
        <v>0.57999999999999996</v>
      </c>
      <c r="GY118" s="309" t="s">
        <v>173</v>
      </c>
      <c r="GZ118" s="327">
        <v>0.37</v>
      </c>
      <c r="HA118" s="327">
        <v>0.61</v>
      </c>
      <c r="HB118" s="327">
        <v>0.52</v>
      </c>
      <c r="HC118" s="327">
        <v>0.63</v>
      </c>
      <c r="HD118" s="327">
        <v>0.64</v>
      </c>
      <c r="HE118" s="327">
        <v>0.56000000000000005</v>
      </c>
      <c r="HF118" s="327">
        <v>0.56000000000000005</v>
      </c>
      <c r="HG118" s="327">
        <v>0.75</v>
      </c>
      <c r="HH118" s="327">
        <v>0.42</v>
      </c>
      <c r="HI118" s="327">
        <v>0.6</v>
      </c>
      <c r="HJ118" s="327">
        <v>0.62</v>
      </c>
      <c r="HK118" s="327">
        <v>0.59</v>
      </c>
      <c r="HL118" s="327">
        <v>0.52</v>
      </c>
      <c r="HM118" s="327">
        <v>0.54</v>
      </c>
      <c r="HN118" s="327">
        <v>0.5</v>
      </c>
      <c r="HO118" s="327">
        <v>0.48</v>
      </c>
      <c r="HP118" s="309" t="s">
        <v>173</v>
      </c>
      <c r="HQ118" s="327">
        <v>0.48</v>
      </c>
      <c r="HR118" s="424">
        <v>49</v>
      </c>
      <c r="HS118" s="424" t="s">
        <v>758</v>
      </c>
      <c r="HT118" s="424">
        <v>9</v>
      </c>
      <c r="HU118" s="424" t="s">
        <v>758</v>
      </c>
      <c r="HV118" s="428">
        <v>0.16</v>
      </c>
      <c r="HW118" s="428">
        <v>0.62</v>
      </c>
      <c r="HX118" s="428">
        <v>0.21</v>
      </c>
      <c r="HY118" s="428">
        <v>0.01</v>
      </c>
      <c r="HZ118" s="428">
        <v>0.45</v>
      </c>
      <c r="IA118" s="428">
        <v>0.57999999999999996</v>
      </c>
      <c r="IB118" s="428">
        <v>0.37</v>
      </c>
      <c r="IC118" s="428">
        <v>0.48</v>
      </c>
      <c r="ID118" s="428">
        <v>0.63</v>
      </c>
      <c r="IE118" s="428">
        <v>0.35</v>
      </c>
      <c r="IF118" s="428">
        <v>0.42</v>
      </c>
      <c r="IG118" s="428">
        <v>0.6</v>
      </c>
      <c r="IH118" s="428">
        <v>0.57999999999999996</v>
      </c>
      <c r="II118" s="428">
        <v>0.4</v>
      </c>
      <c r="IJ118" s="428">
        <v>0.34</v>
      </c>
      <c r="IK118" s="428">
        <v>0.59</v>
      </c>
      <c r="IL118" s="428">
        <v>0.41</v>
      </c>
      <c r="IM118" s="428">
        <v>0.62</v>
      </c>
      <c r="IN118" s="428">
        <v>0.46</v>
      </c>
      <c r="IO118" s="428">
        <v>0.56999999999999995</v>
      </c>
      <c r="IP118" s="428">
        <v>0.43</v>
      </c>
      <c r="IQ118" s="428">
        <v>0.67</v>
      </c>
      <c r="IR118" s="428">
        <v>0.53</v>
      </c>
      <c r="IS118" s="428">
        <v>0.56999999999999995</v>
      </c>
      <c r="IT118" s="428">
        <v>0.49</v>
      </c>
      <c r="IU118" s="424" t="s">
        <v>173</v>
      </c>
      <c r="IV118" s="428">
        <v>0.64</v>
      </c>
      <c r="IW118" s="428">
        <v>0.47</v>
      </c>
      <c r="IX118" s="428">
        <v>0.54</v>
      </c>
      <c r="IY118" s="428">
        <v>0.55000000000000004</v>
      </c>
      <c r="IZ118" s="464">
        <v>48</v>
      </c>
      <c r="JA118" s="464" t="s">
        <v>758</v>
      </c>
      <c r="JB118" s="464">
        <v>8</v>
      </c>
      <c r="JC118" s="464" t="s">
        <v>758</v>
      </c>
      <c r="JD118" s="476">
        <v>0.19</v>
      </c>
      <c r="JE118" s="476">
        <v>0.62</v>
      </c>
      <c r="JF118" s="476">
        <v>0.19</v>
      </c>
      <c r="JG118" s="476">
        <v>0</v>
      </c>
      <c r="JH118" s="476">
        <v>0.63</v>
      </c>
      <c r="JI118" s="476">
        <v>0.48</v>
      </c>
      <c r="JJ118" s="476">
        <v>0.54</v>
      </c>
      <c r="JK118" s="476">
        <v>0.5</v>
      </c>
      <c r="JL118" s="476">
        <v>0.56999999999999995</v>
      </c>
      <c r="JM118" s="476">
        <v>0.5</v>
      </c>
      <c r="JN118" s="476">
        <v>0.44</v>
      </c>
      <c r="JO118" s="476">
        <v>0.51</v>
      </c>
      <c r="JP118" s="476">
        <v>0.65</v>
      </c>
      <c r="JQ118" s="476">
        <v>0.37</v>
      </c>
      <c r="JR118" s="476">
        <v>0.68</v>
      </c>
      <c r="JS118" s="476">
        <v>0.6</v>
      </c>
      <c r="JT118" s="476">
        <v>0.5</v>
      </c>
      <c r="JU118" s="476">
        <v>0.56999999999999995</v>
      </c>
      <c r="JV118" s="476">
        <v>0.59</v>
      </c>
      <c r="JW118" s="476">
        <v>0.54</v>
      </c>
      <c r="JX118" s="476">
        <v>0.48</v>
      </c>
      <c r="JY118" s="476">
        <v>0.62</v>
      </c>
      <c r="JZ118" s="476">
        <v>0.48</v>
      </c>
      <c r="KA118" s="476">
        <v>0.5</v>
      </c>
      <c r="KB118" s="476">
        <v>0.53</v>
      </c>
      <c r="KC118" s="476">
        <v>0.63</v>
      </c>
      <c r="KD118" s="476">
        <v>0.43</v>
      </c>
      <c r="KE118" s="476">
        <v>0.5</v>
      </c>
      <c r="KF118" s="476">
        <v>0.46</v>
      </c>
      <c r="KG118" s="476">
        <v>0.56999999999999995</v>
      </c>
      <c r="KH118" s="971">
        <v>49</v>
      </c>
      <c r="KI118" s="971" t="s">
        <v>758</v>
      </c>
      <c r="KJ118" s="971">
        <v>9</v>
      </c>
      <c r="KK118" s="971" t="s">
        <v>758</v>
      </c>
      <c r="KL118" s="949">
        <v>0.21</v>
      </c>
      <c r="KM118" s="949">
        <v>0.55000000000000004</v>
      </c>
      <c r="KN118" s="949">
        <v>0.22</v>
      </c>
      <c r="KO118" s="949">
        <v>0.02</v>
      </c>
      <c r="KP118" s="949">
        <v>0.57999999999999996</v>
      </c>
      <c r="KQ118" s="949">
        <v>0.34</v>
      </c>
      <c r="KR118" s="949">
        <v>0.66</v>
      </c>
      <c r="KS118" s="949">
        <v>0.53</v>
      </c>
      <c r="KT118" s="949">
        <v>0.64</v>
      </c>
      <c r="KU118" s="949">
        <v>0.44</v>
      </c>
      <c r="KV118" s="949">
        <v>0.66</v>
      </c>
      <c r="KW118" s="949">
        <v>0.44</v>
      </c>
      <c r="KX118" s="949">
        <v>0.4</v>
      </c>
      <c r="KY118" s="949">
        <v>0.54</v>
      </c>
      <c r="KZ118" s="949">
        <v>0.52</v>
      </c>
      <c r="LA118" s="949">
        <v>0.43</v>
      </c>
      <c r="LB118" s="949">
        <v>0.47</v>
      </c>
      <c r="LC118" s="949">
        <v>0.44</v>
      </c>
      <c r="LD118" s="949">
        <v>0.57999999999999996</v>
      </c>
      <c r="LE118" s="949">
        <v>0.55000000000000004</v>
      </c>
      <c r="LF118" s="949">
        <v>0.38</v>
      </c>
      <c r="LG118" s="949">
        <v>0.48</v>
      </c>
      <c r="LH118" s="949">
        <v>0.59</v>
      </c>
      <c r="LI118" s="949">
        <v>0.52</v>
      </c>
      <c r="LJ118" s="949">
        <v>0.49</v>
      </c>
      <c r="LK118" s="949">
        <v>0.61</v>
      </c>
      <c r="LL118" s="949" t="s">
        <v>173</v>
      </c>
      <c r="LM118" s="949">
        <v>0.59</v>
      </c>
      <c r="LN118" s="949">
        <v>0.62</v>
      </c>
      <c r="LO118" s="949">
        <v>0.47</v>
      </c>
      <c r="LP118" s="922">
        <v>125754001159</v>
      </c>
      <c r="LQ118" s="126" t="s">
        <v>953</v>
      </c>
      <c r="LR118" s="424">
        <v>49</v>
      </c>
      <c r="LS118" s="971">
        <v>49</v>
      </c>
      <c r="LT118" s="946"/>
    </row>
    <row r="119" spans="1:332" ht="24.95" customHeight="1" x14ac:dyDescent="0.2">
      <c r="A119" s="126" t="s">
        <v>954</v>
      </c>
      <c r="B119" s="1" t="s">
        <v>123</v>
      </c>
      <c r="C119" s="2">
        <v>1</v>
      </c>
      <c r="D119" s="12">
        <v>50</v>
      </c>
      <c r="E119" s="12">
        <v>7</v>
      </c>
      <c r="F119" s="66">
        <v>0.05</v>
      </c>
      <c r="G119" s="66">
        <v>0.76</v>
      </c>
      <c r="H119" s="66">
        <v>0.19</v>
      </c>
      <c r="I119" s="66">
        <v>0</v>
      </c>
      <c r="J119" s="66">
        <v>0.53</v>
      </c>
      <c r="K119" s="66">
        <v>0.4</v>
      </c>
      <c r="L119" s="66">
        <v>0.77</v>
      </c>
      <c r="M119" s="66">
        <v>0.33</v>
      </c>
      <c r="N119" s="66">
        <v>0.36</v>
      </c>
      <c r="O119" s="66">
        <v>0.63</v>
      </c>
      <c r="P119" s="66">
        <v>0.42</v>
      </c>
      <c r="Q119" s="66">
        <v>0.44</v>
      </c>
      <c r="R119" s="66">
        <v>0.66</v>
      </c>
      <c r="S119" s="66">
        <v>0.64</v>
      </c>
      <c r="T119" s="66">
        <v>0.36</v>
      </c>
      <c r="U119" s="66">
        <v>0.68</v>
      </c>
      <c r="V119" s="66">
        <v>0.12</v>
      </c>
      <c r="W119" s="66">
        <v>0.15</v>
      </c>
      <c r="X119" s="66">
        <v>0.6</v>
      </c>
      <c r="Y119" s="66">
        <v>0.46</v>
      </c>
      <c r="Z119" s="66">
        <v>1</v>
      </c>
      <c r="AA119" s="66">
        <v>0.13</v>
      </c>
      <c r="AB119" s="66">
        <v>0.48</v>
      </c>
      <c r="AC119" s="66">
        <v>0.28999999999999998</v>
      </c>
      <c r="AD119" s="66">
        <v>0.47</v>
      </c>
      <c r="AE119" s="66">
        <v>0.41</v>
      </c>
      <c r="AF119" s="66">
        <v>0.55000000000000004</v>
      </c>
      <c r="AG119" s="66">
        <v>0.44</v>
      </c>
      <c r="AH119" s="12">
        <v>48</v>
      </c>
      <c r="AI119" s="12">
        <v>9</v>
      </c>
      <c r="AJ119" s="40">
        <v>0.28999999999999998</v>
      </c>
      <c r="AK119" s="40">
        <v>0.47</v>
      </c>
      <c r="AL119" s="40">
        <v>0.24</v>
      </c>
      <c r="AM119" s="40">
        <v>0</v>
      </c>
      <c r="AN119" s="40">
        <v>0.31</v>
      </c>
      <c r="AO119" s="40">
        <v>0.52</v>
      </c>
      <c r="AP119" s="40">
        <v>0.59</v>
      </c>
      <c r="AQ119" s="40">
        <v>0.67</v>
      </c>
      <c r="AR119" s="40">
        <v>0.79</v>
      </c>
      <c r="AS119" s="40">
        <v>0.71</v>
      </c>
      <c r="AT119" s="40">
        <v>0.69</v>
      </c>
      <c r="AU119" s="40">
        <v>0.61</v>
      </c>
      <c r="AV119" s="40">
        <v>0.69</v>
      </c>
      <c r="AW119" s="40">
        <v>0.55000000000000004</v>
      </c>
      <c r="AX119" s="40">
        <v>0.61</v>
      </c>
      <c r="AY119" s="40">
        <v>0.41</v>
      </c>
      <c r="AZ119" s="40">
        <v>0.44</v>
      </c>
      <c r="BA119" s="40">
        <v>0.5</v>
      </c>
      <c r="BB119" s="40">
        <v>0.78</v>
      </c>
      <c r="BC119" s="40">
        <v>0.56999999999999995</v>
      </c>
      <c r="BD119" s="40">
        <v>0.39</v>
      </c>
      <c r="BE119" s="40">
        <v>0.86</v>
      </c>
      <c r="BF119" s="40">
        <v>0.8</v>
      </c>
      <c r="BG119" s="40">
        <v>0.6</v>
      </c>
      <c r="BH119" s="40">
        <v>0.57999999999999996</v>
      </c>
      <c r="BI119" s="40">
        <v>0.35</v>
      </c>
      <c r="BJ119" s="40">
        <v>0.4</v>
      </c>
      <c r="BK119" s="40">
        <v>0.57999999999999996</v>
      </c>
      <c r="BL119" s="40">
        <v>0.22</v>
      </c>
      <c r="BM119" s="12">
        <v>46</v>
      </c>
      <c r="BN119" s="12">
        <v>5</v>
      </c>
      <c r="BO119" s="66">
        <v>0.28999999999999998</v>
      </c>
      <c r="BP119" s="66">
        <v>0.71</v>
      </c>
      <c r="BQ119" s="66">
        <v>0</v>
      </c>
      <c r="BR119" s="66">
        <v>0</v>
      </c>
      <c r="BS119" s="66">
        <v>0.41</v>
      </c>
      <c r="BT119" s="66">
        <v>0.63</v>
      </c>
      <c r="BU119" s="66">
        <v>0.65</v>
      </c>
      <c r="BV119" s="66">
        <v>0.5</v>
      </c>
      <c r="BW119" s="66">
        <v>0.81</v>
      </c>
      <c r="BX119" s="66">
        <v>0.56000000000000005</v>
      </c>
      <c r="BY119" s="66">
        <v>0.56000000000000005</v>
      </c>
      <c r="BZ119" s="66">
        <v>0.46</v>
      </c>
      <c r="CA119" s="66">
        <v>0.39</v>
      </c>
      <c r="CB119" s="66">
        <v>0.43</v>
      </c>
      <c r="CC119" s="66">
        <v>0.2</v>
      </c>
      <c r="CD119" s="66">
        <v>0.33</v>
      </c>
      <c r="CE119" s="66">
        <v>0.44</v>
      </c>
      <c r="CF119" s="66">
        <v>0.78</v>
      </c>
      <c r="CG119" s="66">
        <v>0.81</v>
      </c>
      <c r="CH119" s="66">
        <v>0.5</v>
      </c>
      <c r="CI119" s="66">
        <v>0.62</v>
      </c>
      <c r="CJ119" s="66">
        <v>0.44</v>
      </c>
      <c r="CK119" s="66">
        <v>0.79</v>
      </c>
      <c r="CL119" s="66">
        <v>0.51</v>
      </c>
      <c r="CM119" s="66">
        <v>0.59</v>
      </c>
      <c r="CN119" s="66">
        <v>0.73</v>
      </c>
      <c r="CO119" s="66">
        <v>0.5</v>
      </c>
      <c r="CP119" s="66">
        <v>0.55000000000000004</v>
      </c>
      <c r="CQ119" s="66">
        <v>0.61</v>
      </c>
      <c r="CR119" s="66">
        <v>0.67</v>
      </c>
      <c r="CS119" s="12">
        <v>47</v>
      </c>
      <c r="CT119" s="12">
        <v>7</v>
      </c>
      <c r="CU119" s="63">
        <v>0.22</v>
      </c>
      <c r="CV119" s="63">
        <v>0.65</v>
      </c>
      <c r="CW119" s="63">
        <v>0.13</v>
      </c>
      <c r="CX119" s="63">
        <v>0</v>
      </c>
      <c r="CY119" s="63">
        <v>0.55000000000000004</v>
      </c>
      <c r="CZ119" s="63">
        <v>0.33</v>
      </c>
      <c r="DA119" s="63">
        <v>0.48</v>
      </c>
      <c r="DB119" s="63">
        <v>0.43</v>
      </c>
      <c r="DC119" s="63">
        <v>0.47</v>
      </c>
      <c r="DD119" s="63">
        <v>0.56000000000000005</v>
      </c>
      <c r="DE119" s="63">
        <v>0.68</v>
      </c>
      <c r="DF119" s="63">
        <v>0.5</v>
      </c>
      <c r="DG119" s="63">
        <v>0.44</v>
      </c>
      <c r="DH119" s="63">
        <v>0.27</v>
      </c>
      <c r="DI119" s="63">
        <v>0.59</v>
      </c>
      <c r="DJ119" s="63">
        <v>0.59</v>
      </c>
      <c r="DK119" s="63">
        <v>0.46</v>
      </c>
      <c r="DL119" s="63">
        <v>0.46</v>
      </c>
      <c r="DM119" s="63">
        <v>0.57999999999999996</v>
      </c>
      <c r="DN119" s="63">
        <v>0.57999999999999996</v>
      </c>
      <c r="DO119" s="63">
        <v>0.55000000000000004</v>
      </c>
      <c r="DP119" s="63">
        <v>0.54</v>
      </c>
      <c r="DQ119" s="63">
        <v>0.65</v>
      </c>
      <c r="DR119" s="63">
        <v>0.26</v>
      </c>
      <c r="DS119" s="63">
        <v>0.31</v>
      </c>
      <c r="DT119" s="63">
        <v>0.54</v>
      </c>
      <c r="DU119" s="63">
        <v>0.7</v>
      </c>
      <c r="DV119" s="63">
        <v>0.67</v>
      </c>
      <c r="DW119" s="63">
        <v>0.44</v>
      </c>
      <c r="DX119" s="35">
        <v>48</v>
      </c>
      <c r="DY119" s="35">
        <v>9</v>
      </c>
      <c r="DZ119" s="40">
        <v>0.19</v>
      </c>
      <c r="EA119" s="40">
        <v>0.62</v>
      </c>
      <c r="EB119" s="40">
        <v>0.19</v>
      </c>
      <c r="EC119" s="40">
        <v>0</v>
      </c>
      <c r="ED119" s="40">
        <v>0.46</v>
      </c>
      <c r="EE119" s="40">
        <v>0.52</v>
      </c>
      <c r="EF119" s="40">
        <v>0.5</v>
      </c>
      <c r="EG119" s="40">
        <v>0.38</v>
      </c>
      <c r="EH119" s="40">
        <v>0.65</v>
      </c>
      <c r="EI119" s="40">
        <v>0.46</v>
      </c>
      <c r="EJ119" s="40">
        <v>0.6</v>
      </c>
      <c r="EK119" s="40">
        <v>0.33</v>
      </c>
      <c r="EL119" s="40">
        <v>0.4</v>
      </c>
      <c r="EM119" s="40">
        <v>0.75</v>
      </c>
      <c r="EN119" s="40">
        <v>0.47</v>
      </c>
      <c r="EO119" s="40">
        <v>0.62</v>
      </c>
      <c r="EP119" s="40">
        <v>0.48</v>
      </c>
      <c r="EQ119" s="40">
        <v>0.28000000000000003</v>
      </c>
      <c r="ER119" s="40">
        <v>0.68</v>
      </c>
      <c r="ES119" s="40">
        <v>0.66</v>
      </c>
      <c r="ET119" s="40">
        <v>0.31</v>
      </c>
      <c r="EU119" s="40">
        <v>0.56999999999999995</v>
      </c>
      <c r="EV119" s="40">
        <v>0.57999999999999996</v>
      </c>
      <c r="EW119" s="40">
        <v>0.38</v>
      </c>
      <c r="EX119" s="40">
        <v>0.83</v>
      </c>
      <c r="EY119" s="40">
        <v>0.62</v>
      </c>
      <c r="EZ119" s="40">
        <v>0.25</v>
      </c>
      <c r="FA119" s="40">
        <v>0.67</v>
      </c>
      <c r="FB119" s="246">
        <v>49</v>
      </c>
      <c r="FC119" s="246" t="s">
        <v>758</v>
      </c>
      <c r="FD119" s="246">
        <v>10</v>
      </c>
      <c r="FE119" s="246" t="s">
        <v>758</v>
      </c>
      <c r="FF119" s="263">
        <v>0.24</v>
      </c>
      <c r="FG119" s="263">
        <v>0.43</v>
      </c>
      <c r="FH119" s="263">
        <v>0.33</v>
      </c>
      <c r="FI119" s="263">
        <v>0</v>
      </c>
      <c r="FJ119" s="263">
        <v>0.52</v>
      </c>
      <c r="FK119" s="263">
        <v>0.71</v>
      </c>
      <c r="FL119" s="263">
        <v>0.56999999999999995</v>
      </c>
      <c r="FM119" s="263">
        <v>0.42</v>
      </c>
      <c r="FN119" s="263">
        <v>0.22</v>
      </c>
      <c r="FO119" s="263">
        <v>0.34</v>
      </c>
      <c r="FP119" s="263">
        <v>0.35</v>
      </c>
      <c r="FQ119" s="263">
        <v>0.4</v>
      </c>
      <c r="FR119" s="263">
        <v>0.6</v>
      </c>
      <c r="FS119" s="263">
        <v>0.53</v>
      </c>
      <c r="FT119" s="263">
        <v>0.51</v>
      </c>
      <c r="FU119" s="263">
        <v>0.28999999999999998</v>
      </c>
      <c r="FV119" s="263">
        <v>0.43</v>
      </c>
      <c r="FW119" s="263">
        <v>0.6</v>
      </c>
      <c r="FX119" s="263">
        <v>0.42</v>
      </c>
      <c r="FY119" s="263">
        <v>0.4</v>
      </c>
      <c r="FZ119" s="263">
        <v>0.56999999999999995</v>
      </c>
      <c r="GA119" s="263">
        <v>0.56000000000000005</v>
      </c>
      <c r="GB119" s="263">
        <v>0.52</v>
      </c>
      <c r="GC119" s="263">
        <v>0.5</v>
      </c>
      <c r="GD119" s="263">
        <v>0.61</v>
      </c>
      <c r="GE119" s="263">
        <v>0.56999999999999995</v>
      </c>
      <c r="GF119" s="263">
        <v>0.44</v>
      </c>
      <c r="GG119" s="263">
        <v>0.46</v>
      </c>
      <c r="GH119" s="263">
        <v>0.48</v>
      </c>
      <c r="GI119" s="263">
        <v>0.34</v>
      </c>
      <c r="GJ119" s="309">
        <v>49</v>
      </c>
      <c r="GK119" s="309" t="s">
        <v>758</v>
      </c>
      <c r="GL119" s="309">
        <v>9</v>
      </c>
      <c r="GM119" s="309" t="s">
        <v>758</v>
      </c>
      <c r="GN119" s="327">
        <v>0.14000000000000001</v>
      </c>
      <c r="GO119" s="327">
        <v>0.62</v>
      </c>
      <c r="GP119" s="327">
        <v>0.24</v>
      </c>
      <c r="GQ119" s="327">
        <v>0</v>
      </c>
      <c r="GR119" s="327">
        <v>0.44</v>
      </c>
      <c r="GS119" s="327">
        <v>0.65</v>
      </c>
      <c r="GT119" s="327">
        <v>0.68</v>
      </c>
      <c r="GU119" s="327">
        <v>0.31</v>
      </c>
      <c r="GV119" s="327">
        <v>0.55000000000000004</v>
      </c>
      <c r="GW119" s="327">
        <v>0.55000000000000004</v>
      </c>
      <c r="GX119" s="327">
        <v>0.49</v>
      </c>
      <c r="GY119" s="309" t="s">
        <v>173</v>
      </c>
      <c r="GZ119" s="327">
        <v>0.18</v>
      </c>
      <c r="HA119" s="327">
        <v>0.67</v>
      </c>
      <c r="HB119" s="327">
        <v>0.46</v>
      </c>
      <c r="HC119" s="327">
        <v>0.71</v>
      </c>
      <c r="HD119" s="327">
        <v>0.62</v>
      </c>
      <c r="HE119" s="327">
        <v>0.38</v>
      </c>
      <c r="HF119" s="327">
        <v>0.5</v>
      </c>
      <c r="HG119" s="327">
        <v>0.78</v>
      </c>
      <c r="HH119" s="327">
        <v>0.36</v>
      </c>
      <c r="HI119" s="327">
        <v>0.45</v>
      </c>
      <c r="HJ119" s="327">
        <v>0.62</v>
      </c>
      <c r="HK119" s="327">
        <v>0.7</v>
      </c>
      <c r="HL119" s="327">
        <v>0.31</v>
      </c>
      <c r="HM119" s="327">
        <v>0.61</v>
      </c>
      <c r="HN119" s="327">
        <v>0.43</v>
      </c>
      <c r="HO119" s="327">
        <v>0.46</v>
      </c>
      <c r="HP119" s="309" t="s">
        <v>173</v>
      </c>
      <c r="HQ119" s="327">
        <v>0.39</v>
      </c>
      <c r="HR119" s="424">
        <v>49</v>
      </c>
      <c r="HS119" s="424" t="s">
        <v>758</v>
      </c>
      <c r="HT119" s="424">
        <v>9</v>
      </c>
      <c r="HU119" s="424" t="s">
        <v>758</v>
      </c>
      <c r="HV119" s="428">
        <v>0.16</v>
      </c>
      <c r="HW119" s="428">
        <v>0.52</v>
      </c>
      <c r="HX119" s="428">
        <v>0.32</v>
      </c>
      <c r="HY119" s="428">
        <v>0</v>
      </c>
      <c r="HZ119" s="428">
        <v>0.37</v>
      </c>
      <c r="IA119" s="428">
        <v>0.49</v>
      </c>
      <c r="IB119" s="428">
        <v>0.33</v>
      </c>
      <c r="IC119" s="428">
        <v>0.48</v>
      </c>
      <c r="ID119" s="428">
        <v>0.57999999999999996</v>
      </c>
      <c r="IE119" s="428">
        <v>0.37</v>
      </c>
      <c r="IF119" s="428">
        <v>0.41</v>
      </c>
      <c r="IG119" s="428">
        <v>0.67</v>
      </c>
      <c r="IH119" s="428">
        <v>0.47</v>
      </c>
      <c r="II119" s="428">
        <v>0.27</v>
      </c>
      <c r="IJ119" s="428">
        <v>0.35</v>
      </c>
      <c r="IK119" s="428">
        <v>0.64</v>
      </c>
      <c r="IL119" s="428">
        <v>0.48</v>
      </c>
      <c r="IM119" s="428">
        <v>0.55000000000000004</v>
      </c>
      <c r="IN119" s="428">
        <v>0.45</v>
      </c>
      <c r="IO119" s="428">
        <v>0.63</v>
      </c>
      <c r="IP119" s="428">
        <v>0.51</v>
      </c>
      <c r="IQ119" s="428">
        <v>0.77</v>
      </c>
      <c r="IR119" s="428">
        <v>0.59</v>
      </c>
      <c r="IS119" s="428">
        <v>0.62</v>
      </c>
      <c r="IT119" s="428">
        <v>0.46</v>
      </c>
      <c r="IU119" s="424" t="s">
        <v>173</v>
      </c>
      <c r="IV119" s="428">
        <v>0.7</v>
      </c>
      <c r="IW119" s="428">
        <v>0.42</v>
      </c>
      <c r="IX119" s="428">
        <v>0.5</v>
      </c>
      <c r="IY119" s="428">
        <v>0.5</v>
      </c>
      <c r="IZ119" s="464">
        <v>54</v>
      </c>
      <c r="JA119" s="464" t="s">
        <v>758</v>
      </c>
      <c r="JB119" s="464">
        <v>8</v>
      </c>
      <c r="JC119" s="464" t="s">
        <v>758</v>
      </c>
      <c r="JD119" s="476">
        <v>0</v>
      </c>
      <c r="JE119" s="476">
        <v>0.63</v>
      </c>
      <c r="JF119" s="476">
        <v>0.37</v>
      </c>
      <c r="JG119" s="476">
        <v>0</v>
      </c>
      <c r="JH119" s="476">
        <v>0.5</v>
      </c>
      <c r="JI119" s="476">
        <v>0.43</v>
      </c>
      <c r="JJ119" s="476">
        <v>0.38</v>
      </c>
      <c r="JK119" s="476">
        <v>0.3</v>
      </c>
      <c r="JL119" s="476">
        <v>0.41</v>
      </c>
      <c r="JM119" s="476">
        <v>0.38</v>
      </c>
      <c r="JN119" s="476">
        <v>0.26</v>
      </c>
      <c r="JO119" s="476">
        <v>0.46</v>
      </c>
      <c r="JP119" s="476">
        <v>0.49</v>
      </c>
      <c r="JQ119" s="476">
        <v>0.19</v>
      </c>
      <c r="JR119" s="476">
        <v>0.6</v>
      </c>
      <c r="JS119" s="476">
        <v>0.42</v>
      </c>
      <c r="JT119" s="476">
        <v>0.32</v>
      </c>
      <c r="JU119" s="476">
        <v>0.51</v>
      </c>
      <c r="JV119" s="476">
        <v>0.41</v>
      </c>
      <c r="JW119" s="476">
        <v>0.43</v>
      </c>
      <c r="JX119" s="476">
        <v>0.35</v>
      </c>
      <c r="JY119" s="476">
        <v>0.48</v>
      </c>
      <c r="JZ119" s="476">
        <v>0.38</v>
      </c>
      <c r="KA119" s="476">
        <v>0.8</v>
      </c>
      <c r="KB119" s="476">
        <v>0.28999999999999998</v>
      </c>
      <c r="KC119" s="476">
        <v>0.44</v>
      </c>
      <c r="KD119" s="476">
        <v>0.28000000000000003</v>
      </c>
      <c r="KE119" s="476">
        <v>0.59</v>
      </c>
      <c r="KF119" s="476">
        <v>0.47</v>
      </c>
      <c r="KG119" s="476">
        <v>0.49</v>
      </c>
      <c r="KH119" s="971">
        <v>52</v>
      </c>
      <c r="KI119" s="971" t="s">
        <v>758</v>
      </c>
      <c r="KJ119" s="971">
        <v>11</v>
      </c>
      <c r="KK119" s="971" t="s">
        <v>758</v>
      </c>
      <c r="KL119" s="949">
        <v>0.21</v>
      </c>
      <c r="KM119" s="949">
        <v>0.35</v>
      </c>
      <c r="KN119" s="949">
        <v>0.38</v>
      </c>
      <c r="KO119" s="949">
        <v>0.06</v>
      </c>
      <c r="KP119" s="949">
        <v>0.55000000000000004</v>
      </c>
      <c r="KQ119" s="949">
        <v>0.16</v>
      </c>
      <c r="KR119" s="949">
        <v>0.59</v>
      </c>
      <c r="KS119" s="949">
        <v>0.55000000000000004</v>
      </c>
      <c r="KT119" s="949">
        <v>0.45</v>
      </c>
      <c r="KU119" s="949">
        <v>0.4</v>
      </c>
      <c r="KV119" s="949">
        <v>0.65</v>
      </c>
      <c r="KW119" s="949">
        <v>0.39</v>
      </c>
      <c r="KX119" s="949">
        <v>0.34</v>
      </c>
      <c r="KY119" s="949">
        <v>0.48</v>
      </c>
      <c r="KZ119" s="949">
        <v>0.4</v>
      </c>
      <c r="LA119" s="949">
        <v>0.44</v>
      </c>
      <c r="LB119" s="949">
        <v>0.41</v>
      </c>
      <c r="LC119" s="949">
        <v>0.37</v>
      </c>
      <c r="LD119" s="949">
        <v>0.61</v>
      </c>
      <c r="LE119" s="949">
        <v>0.45</v>
      </c>
      <c r="LF119" s="949">
        <v>0.34</v>
      </c>
      <c r="LG119" s="949">
        <v>0.47</v>
      </c>
      <c r="LH119" s="949">
        <v>0.54</v>
      </c>
      <c r="LI119" s="949">
        <v>0.47</v>
      </c>
      <c r="LJ119" s="949">
        <v>0.31</v>
      </c>
      <c r="LK119" s="949">
        <v>0.51</v>
      </c>
      <c r="LL119" s="949" t="s">
        <v>173</v>
      </c>
      <c r="LM119" s="949">
        <v>0.61</v>
      </c>
      <c r="LN119" s="949">
        <v>0.52</v>
      </c>
      <c r="LO119" s="949">
        <v>0.48</v>
      </c>
      <c r="LP119" s="922">
        <v>325754002596</v>
      </c>
      <c r="LQ119" s="126" t="s">
        <v>954</v>
      </c>
      <c r="LR119" s="424">
        <v>49</v>
      </c>
      <c r="LS119" s="971">
        <v>52</v>
      </c>
      <c r="LT119" s="946"/>
    </row>
    <row r="120" spans="1:332" ht="24.95" customHeight="1" x14ac:dyDescent="0.2">
      <c r="A120" s="126" t="s">
        <v>96</v>
      </c>
      <c r="B120" s="1" t="s">
        <v>121</v>
      </c>
      <c r="C120" s="2">
        <v>3</v>
      </c>
      <c r="D120" s="12">
        <v>53</v>
      </c>
      <c r="E120" s="12">
        <v>7</v>
      </c>
      <c r="F120" s="66">
        <v>0.06</v>
      </c>
      <c r="G120" s="66">
        <v>0.64</v>
      </c>
      <c r="H120" s="66">
        <v>0.3</v>
      </c>
      <c r="I120" s="66">
        <v>0</v>
      </c>
      <c r="J120" s="66">
        <v>0.47</v>
      </c>
      <c r="K120" s="66">
        <v>0.47</v>
      </c>
      <c r="L120" s="66">
        <v>0.65</v>
      </c>
      <c r="M120" s="66">
        <v>0.32</v>
      </c>
      <c r="N120" s="66">
        <v>0.34</v>
      </c>
      <c r="O120" s="66">
        <v>0.71</v>
      </c>
      <c r="P120" s="66">
        <v>0.3</v>
      </c>
      <c r="Q120" s="66">
        <v>0.42</v>
      </c>
      <c r="R120" s="66">
        <v>0.52</v>
      </c>
      <c r="S120" s="66">
        <v>0.62</v>
      </c>
      <c r="T120" s="66">
        <v>0.46</v>
      </c>
      <c r="U120" s="66">
        <v>0.56999999999999995</v>
      </c>
      <c r="V120" s="66">
        <v>0.08</v>
      </c>
      <c r="W120" s="66">
        <v>0.13</v>
      </c>
      <c r="X120" s="66">
        <v>0.52</v>
      </c>
      <c r="Y120" s="66">
        <v>0.5</v>
      </c>
      <c r="Z120" s="66">
        <v>0.72</v>
      </c>
      <c r="AA120" s="66">
        <v>0.12</v>
      </c>
      <c r="AB120" s="66">
        <v>0.52</v>
      </c>
      <c r="AC120" s="66">
        <v>0.35</v>
      </c>
      <c r="AD120" s="66">
        <v>0.46</v>
      </c>
      <c r="AE120" s="66">
        <v>0.39</v>
      </c>
      <c r="AF120" s="66">
        <v>0.61</v>
      </c>
      <c r="AG120" s="66">
        <v>0.48</v>
      </c>
      <c r="AH120" s="12">
        <v>51</v>
      </c>
      <c r="AI120" s="12">
        <v>8</v>
      </c>
      <c r="AJ120" s="40">
        <v>0.09</v>
      </c>
      <c r="AK120" s="40">
        <v>0.57999999999999996</v>
      </c>
      <c r="AL120" s="40">
        <v>0.32</v>
      </c>
      <c r="AM120" s="40">
        <v>0</v>
      </c>
      <c r="AN120" s="40">
        <v>0.34</v>
      </c>
      <c r="AO120" s="40">
        <v>0.47</v>
      </c>
      <c r="AP120" s="40">
        <v>0.61</v>
      </c>
      <c r="AQ120" s="40">
        <v>0.43</v>
      </c>
      <c r="AR120" s="40">
        <v>0.54</v>
      </c>
      <c r="AS120" s="40">
        <v>0.55000000000000004</v>
      </c>
      <c r="AT120" s="40">
        <v>0.51</v>
      </c>
      <c r="AU120" s="40">
        <v>0.55000000000000004</v>
      </c>
      <c r="AV120" s="40">
        <v>0.63</v>
      </c>
      <c r="AW120" s="40">
        <v>0.53</v>
      </c>
      <c r="AX120" s="40">
        <v>0.62</v>
      </c>
      <c r="AY120" s="40">
        <v>0.32</v>
      </c>
      <c r="AZ120" s="40">
        <v>0.27</v>
      </c>
      <c r="BA120" s="40">
        <v>0.49</v>
      </c>
      <c r="BB120" s="40">
        <v>0.66</v>
      </c>
      <c r="BC120" s="40">
        <v>0.66</v>
      </c>
      <c r="BD120" s="40">
        <v>0.43</v>
      </c>
      <c r="BE120" s="40">
        <v>0.6</v>
      </c>
      <c r="BF120" s="40">
        <v>0.56999999999999995</v>
      </c>
      <c r="BG120" s="40">
        <v>0.5</v>
      </c>
      <c r="BH120" s="40">
        <v>0.45</v>
      </c>
      <c r="BI120" s="40">
        <v>0.39</v>
      </c>
      <c r="BJ120" s="40">
        <v>0.34</v>
      </c>
      <c r="BK120" s="40">
        <v>0.47</v>
      </c>
      <c r="BL120" s="40">
        <v>0.5</v>
      </c>
      <c r="BM120" s="12">
        <v>51</v>
      </c>
      <c r="BN120" s="12">
        <v>8</v>
      </c>
      <c r="BO120" s="66">
        <v>0.12</v>
      </c>
      <c r="BP120" s="66">
        <v>0.57999999999999996</v>
      </c>
      <c r="BQ120" s="66">
        <v>0.28999999999999998</v>
      </c>
      <c r="BR120" s="66">
        <v>0.01</v>
      </c>
      <c r="BS120" s="66">
        <v>0.33</v>
      </c>
      <c r="BT120" s="66">
        <v>0.51</v>
      </c>
      <c r="BU120" s="66">
        <v>0.67</v>
      </c>
      <c r="BV120" s="66">
        <v>0.34</v>
      </c>
      <c r="BW120" s="66">
        <v>0.63</v>
      </c>
      <c r="BX120" s="66">
        <v>0.36</v>
      </c>
      <c r="BY120" s="66">
        <v>0.43</v>
      </c>
      <c r="BZ120" s="66">
        <v>0.52</v>
      </c>
      <c r="CA120" s="66">
        <v>0.45</v>
      </c>
      <c r="CB120" s="66">
        <v>0.36</v>
      </c>
      <c r="CC120" s="66">
        <v>0.21</v>
      </c>
      <c r="CD120" s="66">
        <v>0.45</v>
      </c>
      <c r="CE120" s="66">
        <v>0.35</v>
      </c>
      <c r="CF120" s="66">
        <v>0.55000000000000004</v>
      </c>
      <c r="CG120" s="66">
        <v>0.61</v>
      </c>
      <c r="CH120" s="66">
        <v>0.45</v>
      </c>
      <c r="CI120" s="66">
        <v>0.52</v>
      </c>
      <c r="CJ120" s="66">
        <v>0.36</v>
      </c>
      <c r="CK120" s="66">
        <v>0.68</v>
      </c>
      <c r="CL120" s="66">
        <v>0.34</v>
      </c>
      <c r="CM120" s="66">
        <v>0.47</v>
      </c>
      <c r="CN120" s="66">
        <v>0.49</v>
      </c>
      <c r="CO120" s="66">
        <v>0.47</v>
      </c>
      <c r="CP120" s="66">
        <v>0.36</v>
      </c>
      <c r="CQ120" s="66">
        <v>0.5</v>
      </c>
      <c r="CR120" s="66">
        <v>0.57999999999999996</v>
      </c>
      <c r="CS120" s="12">
        <v>49</v>
      </c>
      <c r="CT120" s="12">
        <v>8</v>
      </c>
      <c r="CU120" s="63">
        <v>0.17</v>
      </c>
      <c r="CV120" s="63">
        <v>0.61</v>
      </c>
      <c r="CW120" s="63">
        <v>0.22</v>
      </c>
      <c r="CX120" s="63">
        <v>0</v>
      </c>
      <c r="CY120" s="63">
        <v>0.51</v>
      </c>
      <c r="CZ120" s="63">
        <v>0.31</v>
      </c>
      <c r="DA120" s="63">
        <v>0.61</v>
      </c>
      <c r="DB120" s="63">
        <v>0.4</v>
      </c>
      <c r="DC120" s="63">
        <v>0.46</v>
      </c>
      <c r="DD120" s="63">
        <v>0.62</v>
      </c>
      <c r="DE120" s="63">
        <v>0.46</v>
      </c>
      <c r="DF120" s="63">
        <v>0.54</v>
      </c>
      <c r="DG120" s="63">
        <v>0.48</v>
      </c>
      <c r="DH120" s="63">
        <v>0.39</v>
      </c>
      <c r="DI120" s="63">
        <v>0.54</v>
      </c>
      <c r="DJ120" s="63">
        <v>0.53</v>
      </c>
      <c r="DK120" s="63">
        <v>0.4</v>
      </c>
      <c r="DL120" s="63">
        <v>0.41</v>
      </c>
      <c r="DM120" s="63">
        <v>0.51</v>
      </c>
      <c r="DN120" s="63">
        <v>0.49</v>
      </c>
      <c r="DO120" s="63">
        <v>0.43</v>
      </c>
      <c r="DP120" s="63">
        <v>0.47</v>
      </c>
      <c r="DQ120" s="63">
        <v>0.56999999999999995</v>
      </c>
      <c r="DR120" s="63">
        <v>0.22</v>
      </c>
      <c r="DS120" s="63">
        <v>0.43</v>
      </c>
      <c r="DT120" s="63">
        <v>0.57999999999999996</v>
      </c>
      <c r="DU120" s="63">
        <v>0.49</v>
      </c>
      <c r="DV120" s="63">
        <v>0.63</v>
      </c>
      <c r="DW120" s="63">
        <v>0.4</v>
      </c>
      <c r="DX120" s="35">
        <v>47</v>
      </c>
      <c r="DY120" s="35">
        <v>9</v>
      </c>
      <c r="DZ120" s="40">
        <v>0.22</v>
      </c>
      <c r="EA120" s="40">
        <v>0.57999999999999996</v>
      </c>
      <c r="EB120" s="40">
        <v>0.2</v>
      </c>
      <c r="EC120" s="40">
        <v>0</v>
      </c>
      <c r="ED120" s="40">
        <v>0.5</v>
      </c>
      <c r="EE120" s="40">
        <v>0.49</v>
      </c>
      <c r="EF120" s="40">
        <v>0.54</v>
      </c>
      <c r="EG120" s="40">
        <v>0.45</v>
      </c>
      <c r="EH120" s="40">
        <v>0.46</v>
      </c>
      <c r="EI120" s="40">
        <v>0.56000000000000005</v>
      </c>
      <c r="EJ120" s="40">
        <v>0.63</v>
      </c>
      <c r="EK120" s="40">
        <v>0.37</v>
      </c>
      <c r="EL120" s="40">
        <v>0.56000000000000005</v>
      </c>
      <c r="EM120" s="40">
        <v>0.78</v>
      </c>
      <c r="EN120" s="40">
        <v>0.55000000000000004</v>
      </c>
      <c r="EO120" s="40">
        <v>0.56000000000000005</v>
      </c>
      <c r="EP120" s="40">
        <v>0.4</v>
      </c>
      <c r="EQ120" s="40">
        <v>0.37</v>
      </c>
      <c r="ER120" s="40">
        <v>0.63</v>
      </c>
      <c r="ES120" s="40">
        <v>0.51</v>
      </c>
      <c r="ET120" s="40">
        <v>0.37</v>
      </c>
      <c r="EU120" s="40">
        <v>0.62</v>
      </c>
      <c r="EV120" s="40">
        <v>0.53</v>
      </c>
      <c r="EW120" s="40">
        <v>0.36</v>
      </c>
      <c r="EX120" s="40">
        <v>0.63</v>
      </c>
      <c r="EY120" s="40">
        <v>0.61</v>
      </c>
      <c r="EZ120" s="40">
        <v>0.24</v>
      </c>
      <c r="FA120" s="40">
        <v>0.6</v>
      </c>
      <c r="FB120" s="246">
        <v>48</v>
      </c>
      <c r="FC120" s="246" t="s">
        <v>758</v>
      </c>
      <c r="FD120" s="246">
        <v>7</v>
      </c>
      <c r="FE120" s="246" t="s">
        <v>758</v>
      </c>
      <c r="FF120" s="263">
        <v>0.13</v>
      </c>
      <c r="FG120" s="263">
        <v>0.76</v>
      </c>
      <c r="FH120" s="263">
        <v>0.12</v>
      </c>
      <c r="FI120" s="263">
        <v>0</v>
      </c>
      <c r="FJ120" s="263">
        <v>0.5</v>
      </c>
      <c r="FK120" s="263">
        <v>0.7</v>
      </c>
      <c r="FL120" s="263">
        <v>0.52</v>
      </c>
      <c r="FM120" s="263">
        <v>0.46</v>
      </c>
      <c r="FN120" s="263">
        <v>0.32</v>
      </c>
      <c r="FO120" s="263">
        <v>0.4</v>
      </c>
      <c r="FP120" s="263">
        <v>0.41</v>
      </c>
      <c r="FQ120" s="263">
        <v>0.43</v>
      </c>
      <c r="FR120" s="263">
        <v>0.64</v>
      </c>
      <c r="FS120" s="263">
        <v>0.56000000000000005</v>
      </c>
      <c r="FT120" s="263">
        <v>0.56000000000000005</v>
      </c>
      <c r="FU120" s="263">
        <v>0.44</v>
      </c>
      <c r="FV120" s="263">
        <v>0.63</v>
      </c>
      <c r="FW120" s="263">
        <v>0.59</v>
      </c>
      <c r="FX120" s="263">
        <v>0.6</v>
      </c>
      <c r="FY120" s="263">
        <v>0.39</v>
      </c>
      <c r="FZ120" s="263">
        <v>0.43</v>
      </c>
      <c r="GA120" s="263">
        <v>0.56999999999999995</v>
      </c>
      <c r="GB120" s="263">
        <v>0.59</v>
      </c>
      <c r="GC120" s="263">
        <v>0.51</v>
      </c>
      <c r="GD120" s="263">
        <v>0.64</v>
      </c>
      <c r="GE120" s="263">
        <v>0.54</v>
      </c>
      <c r="GF120" s="263">
        <v>0.49</v>
      </c>
      <c r="GG120" s="263">
        <v>0.53</v>
      </c>
      <c r="GH120" s="263">
        <v>0.53</v>
      </c>
      <c r="GI120" s="263">
        <v>0.32</v>
      </c>
      <c r="GJ120" s="309">
        <v>49</v>
      </c>
      <c r="GK120" s="309" t="s">
        <v>758</v>
      </c>
      <c r="GL120" s="309">
        <v>9</v>
      </c>
      <c r="GM120" s="309" t="s">
        <v>758</v>
      </c>
      <c r="GN120" s="327">
        <v>0.21</v>
      </c>
      <c r="GO120" s="327">
        <v>0.55000000000000004</v>
      </c>
      <c r="GP120" s="327">
        <v>0.22</v>
      </c>
      <c r="GQ120" s="327">
        <v>0.03</v>
      </c>
      <c r="GR120" s="327">
        <v>0.51</v>
      </c>
      <c r="GS120" s="327">
        <v>0.56999999999999995</v>
      </c>
      <c r="GT120" s="327">
        <v>0.63</v>
      </c>
      <c r="GU120" s="327">
        <v>0.27</v>
      </c>
      <c r="GV120" s="327">
        <v>0.56000000000000005</v>
      </c>
      <c r="GW120" s="327">
        <v>0.56000000000000005</v>
      </c>
      <c r="GX120" s="327">
        <v>0.51</v>
      </c>
      <c r="GY120" s="309" t="s">
        <v>173</v>
      </c>
      <c r="GZ120" s="327">
        <v>0.39</v>
      </c>
      <c r="HA120" s="327">
        <v>0.73</v>
      </c>
      <c r="HB120" s="327">
        <v>0.51</v>
      </c>
      <c r="HC120" s="327">
        <v>0.56999999999999995</v>
      </c>
      <c r="HD120" s="327">
        <v>0.57999999999999996</v>
      </c>
      <c r="HE120" s="327">
        <v>0.49</v>
      </c>
      <c r="HF120" s="327">
        <v>0.52</v>
      </c>
      <c r="HG120" s="327">
        <v>0.69</v>
      </c>
      <c r="HH120" s="327">
        <v>0.44</v>
      </c>
      <c r="HI120" s="327">
        <v>0.56999999999999995</v>
      </c>
      <c r="HJ120" s="327">
        <v>0.63</v>
      </c>
      <c r="HK120" s="327">
        <v>0.55000000000000004</v>
      </c>
      <c r="HL120" s="327">
        <v>0.48</v>
      </c>
      <c r="HM120" s="327">
        <v>0.5</v>
      </c>
      <c r="HN120" s="327">
        <v>0.51</v>
      </c>
      <c r="HO120" s="327">
        <v>0.52</v>
      </c>
      <c r="HP120" s="309" t="s">
        <v>173</v>
      </c>
      <c r="HQ120" s="327">
        <v>0.41</v>
      </c>
      <c r="HR120" s="424">
        <v>49</v>
      </c>
      <c r="HS120" s="424" t="s">
        <v>758</v>
      </c>
      <c r="HT120" s="424">
        <v>8</v>
      </c>
      <c r="HU120" s="424" t="s">
        <v>758</v>
      </c>
      <c r="HV120" s="428">
        <v>0.15</v>
      </c>
      <c r="HW120" s="428">
        <v>0.61</v>
      </c>
      <c r="HX120" s="428">
        <v>0.24</v>
      </c>
      <c r="HY120" s="428">
        <v>0</v>
      </c>
      <c r="HZ120" s="428">
        <v>0.46</v>
      </c>
      <c r="IA120" s="428">
        <v>0.55000000000000004</v>
      </c>
      <c r="IB120" s="428">
        <v>0.41</v>
      </c>
      <c r="IC120" s="428">
        <v>0.55000000000000004</v>
      </c>
      <c r="ID120" s="428">
        <v>0.66</v>
      </c>
      <c r="IE120" s="428">
        <v>0.41</v>
      </c>
      <c r="IF120" s="428">
        <v>0.4</v>
      </c>
      <c r="IG120" s="428">
        <v>0.64</v>
      </c>
      <c r="IH120" s="428">
        <v>0.56999999999999995</v>
      </c>
      <c r="II120" s="428">
        <v>0.36</v>
      </c>
      <c r="IJ120" s="428">
        <v>0.32</v>
      </c>
      <c r="IK120" s="428">
        <v>0.66</v>
      </c>
      <c r="IL120" s="428">
        <v>0.4</v>
      </c>
      <c r="IM120" s="428">
        <v>0.64</v>
      </c>
      <c r="IN120" s="428">
        <v>0.49</v>
      </c>
      <c r="IO120" s="428">
        <v>0.53</v>
      </c>
      <c r="IP120" s="428">
        <v>0.51</v>
      </c>
      <c r="IQ120" s="428">
        <v>0.67</v>
      </c>
      <c r="IR120" s="428">
        <v>0.5</v>
      </c>
      <c r="IS120" s="428">
        <v>0.56999999999999995</v>
      </c>
      <c r="IT120" s="428">
        <v>0.51</v>
      </c>
      <c r="IU120" s="424" t="s">
        <v>173</v>
      </c>
      <c r="IV120" s="428">
        <v>0.63</v>
      </c>
      <c r="IW120" s="428">
        <v>0.46</v>
      </c>
      <c r="IX120" s="428">
        <v>0.53</v>
      </c>
      <c r="IY120" s="428">
        <v>0.55000000000000004</v>
      </c>
      <c r="IZ120" s="464">
        <v>49</v>
      </c>
      <c r="JA120" s="464" t="s">
        <v>758</v>
      </c>
      <c r="JB120" s="464">
        <v>8</v>
      </c>
      <c r="JC120" s="464" t="s">
        <v>758</v>
      </c>
      <c r="JD120" s="476">
        <v>0.13</v>
      </c>
      <c r="JE120" s="476">
        <v>0.61</v>
      </c>
      <c r="JF120" s="476">
        <v>0.26</v>
      </c>
      <c r="JG120" s="476">
        <v>0</v>
      </c>
      <c r="JH120" s="476">
        <v>0.49</v>
      </c>
      <c r="JI120" s="476">
        <v>0.49</v>
      </c>
      <c r="JJ120" s="476">
        <v>0.43</v>
      </c>
      <c r="JK120" s="476">
        <v>0.49</v>
      </c>
      <c r="JL120" s="476">
        <v>0.54</v>
      </c>
      <c r="JM120" s="476">
        <v>0.53</v>
      </c>
      <c r="JN120" s="476">
        <v>0.48</v>
      </c>
      <c r="JO120" s="476">
        <v>0.53</v>
      </c>
      <c r="JP120" s="476">
        <v>0.56999999999999995</v>
      </c>
      <c r="JQ120" s="476">
        <v>0.37</v>
      </c>
      <c r="JR120" s="476">
        <v>0.66</v>
      </c>
      <c r="JS120" s="476">
        <v>0.56000000000000005</v>
      </c>
      <c r="JT120" s="476">
        <v>0.49</v>
      </c>
      <c r="JU120" s="476">
        <v>0.6</v>
      </c>
      <c r="JV120" s="476">
        <v>0.54</v>
      </c>
      <c r="JW120" s="476">
        <v>0.48</v>
      </c>
      <c r="JX120" s="476">
        <v>0.5</v>
      </c>
      <c r="JY120" s="476">
        <v>0.53</v>
      </c>
      <c r="JZ120" s="476">
        <v>0.47</v>
      </c>
      <c r="KA120" s="476">
        <v>0.63</v>
      </c>
      <c r="KB120" s="476">
        <v>0.52</v>
      </c>
      <c r="KC120" s="476">
        <v>0.76</v>
      </c>
      <c r="KD120" s="476">
        <v>0.43</v>
      </c>
      <c r="KE120" s="476">
        <v>0.54</v>
      </c>
      <c r="KF120" s="476">
        <v>0.5</v>
      </c>
      <c r="KG120" s="476">
        <v>0.53</v>
      </c>
      <c r="KH120" s="971">
        <v>50</v>
      </c>
      <c r="KI120" s="971" t="s">
        <v>758</v>
      </c>
      <c r="KJ120" s="971">
        <v>8</v>
      </c>
      <c r="KK120" s="971" t="s">
        <v>758</v>
      </c>
      <c r="KL120" s="949">
        <v>0.11</v>
      </c>
      <c r="KM120" s="949">
        <v>0.64</v>
      </c>
      <c r="KN120" s="949">
        <v>0.25</v>
      </c>
      <c r="KO120" s="949">
        <v>0</v>
      </c>
      <c r="KP120" s="949">
        <v>0.54</v>
      </c>
      <c r="KQ120" s="949">
        <v>0.31</v>
      </c>
      <c r="KR120" s="949">
        <v>0.56999999999999995</v>
      </c>
      <c r="KS120" s="949">
        <v>0.47</v>
      </c>
      <c r="KT120" s="949">
        <v>0.55000000000000004</v>
      </c>
      <c r="KU120" s="949">
        <v>0.42</v>
      </c>
      <c r="KV120" s="949">
        <v>0.61</v>
      </c>
      <c r="KW120" s="949">
        <v>0.35</v>
      </c>
      <c r="KX120" s="949">
        <v>0.39</v>
      </c>
      <c r="KY120" s="949">
        <v>0.57999999999999996</v>
      </c>
      <c r="KZ120" s="949">
        <v>0.37</v>
      </c>
      <c r="LA120" s="949">
        <v>0.45</v>
      </c>
      <c r="LB120" s="949">
        <v>0.46</v>
      </c>
      <c r="LC120" s="949">
        <v>0.38</v>
      </c>
      <c r="LD120" s="949">
        <v>0.57999999999999996</v>
      </c>
      <c r="LE120" s="949">
        <v>0.56000000000000005</v>
      </c>
      <c r="LF120" s="949">
        <v>0.4</v>
      </c>
      <c r="LG120" s="949">
        <v>0.4</v>
      </c>
      <c r="LH120" s="949">
        <v>0.6</v>
      </c>
      <c r="LI120" s="949">
        <v>0.52</v>
      </c>
      <c r="LJ120" s="949">
        <v>0.47</v>
      </c>
      <c r="LK120" s="949">
        <v>0.6</v>
      </c>
      <c r="LL120" s="949" t="s">
        <v>173</v>
      </c>
      <c r="LM120" s="949">
        <v>0.63</v>
      </c>
      <c r="LN120" s="949">
        <v>0.63</v>
      </c>
      <c r="LO120" s="949">
        <v>0.4</v>
      </c>
      <c r="LP120" s="922">
        <v>125754000713</v>
      </c>
      <c r="LQ120" s="126" t="s">
        <v>96</v>
      </c>
      <c r="LR120" s="424">
        <v>49</v>
      </c>
      <c r="LS120" s="971">
        <v>50</v>
      </c>
      <c r="LT120" s="946"/>
    </row>
    <row r="121" spans="1:332" ht="24.95" customHeight="1" x14ac:dyDescent="0.2">
      <c r="A121" s="126" t="s">
        <v>25</v>
      </c>
      <c r="B121" s="1" t="s">
        <v>121</v>
      </c>
      <c r="C121" s="2">
        <v>6</v>
      </c>
      <c r="D121" s="12">
        <v>52</v>
      </c>
      <c r="E121" s="12">
        <v>7</v>
      </c>
      <c r="F121" s="66">
        <v>0.06</v>
      </c>
      <c r="G121" s="66">
        <v>0.63</v>
      </c>
      <c r="H121" s="66">
        <v>0.31</v>
      </c>
      <c r="I121" s="66">
        <v>0</v>
      </c>
      <c r="J121" s="66">
        <v>0.56999999999999995</v>
      </c>
      <c r="K121" s="66">
        <v>0.5</v>
      </c>
      <c r="L121" s="66">
        <v>0.78</v>
      </c>
      <c r="M121" s="66">
        <v>0.26</v>
      </c>
      <c r="N121" s="66">
        <v>0.33</v>
      </c>
      <c r="O121" s="66">
        <v>0.56999999999999995</v>
      </c>
      <c r="P121" s="66">
        <v>0.41</v>
      </c>
      <c r="Q121" s="66">
        <v>0.42</v>
      </c>
      <c r="R121" s="66">
        <v>0.55000000000000004</v>
      </c>
      <c r="S121" s="66">
        <v>0.61</v>
      </c>
      <c r="T121" s="66">
        <v>0.52</v>
      </c>
      <c r="U121" s="66">
        <v>0.65</v>
      </c>
      <c r="V121" s="66">
        <v>0.04</v>
      </c>
      <c r="W121" s="66">
        <v>0.3</v>
      </c>
      <c r="X121" s="66">
        <v>0.53</v>
      </c>
      <c r="Y121" s="66">
        <v>0.56000000000000005</v>
      </c>
      <c r="Z121" s="66">
        <v>0.75</v>
      </c>
      <c r="AA121" s="66">
        <v>0.09</v>
      </c>
      <c r="AB121" s="66">
        <v>0.47</v>
      </c>
      <c r="AC121" s="66">
        <v>0.35</v>
      </c>
      <c r="AD121" s="66">
        <v>0.49</v>
      </c>
      <c r="AE121" s="66">
        <v>0.45</v>
      </c>
      <c r="AF121" s="66">
        <v>0.53</v>
      </c>
      <c r="AG121" s="66">
        <v>0.49</v>
      </c>
      <c r="AH121" s="12">
        <v>53</v>
      </c>
      <c r="AI121" s="12">
        <v>8</v>
      </c>
      <c r="AJ121" s="40">
        <v>7.0000000000000007E-2</v>
      </c>
      <c r="AK121" s="40">
        <v>0.56000000000000005</v>
      </c>
      <c r="AL121" s="40">
        <v>0.38</v>
      </c>
      <c r="AM121" s="40">
        <v>0</v>
      </c>
      <c r="AN121" s="40">
        <v>0.32</v>
      </c>
      <c r="AO121" s="40">
        <v>0.45</v>
      </c>
      <c r="AP121" s="40">
        <v>0.57999999999999996</v>
      </c>
      <c r="AQ121" s="40">
        <v>0.34</v>
      </c>
      <c r="AR121" s="40">
        <v>0.5</v>
      </c>
      <c r="AS121" s="40">
        <v>0.5</v>
      </c>
      <c r="AT121" s="40">
        <v>0.53</v>
      </c>
      <c r="AU121" s="40">
        <v>0.5</v>
      </c>
      <c r="AV121" s="40">
        <v>0.66</v>
      </c>
      <c r="AW121" s="40">
        <v>0.46</v>
      </c>
      <c r="AX121" s="40">
        <v>0.55000000000000004</v>
      </c>
      <c r="AY121" s="40">
        <v>0.3</v>
      </c>
      <c r="AZ121" s="40">
        <v>0.33</v>
      </c>
      <c r="BA121" s="40">
        <v>0.5</v>
      </c>
      <c r="BB121" s="40">
        <v>0.69</v>
      </c>
      <c r="BC121" s="40">
        <v>0.63</v>
      </c>
      <c r="BD121" s="40">
        <v>0.39</v>
      </c>
      <c r="BE121" s="40">
        <v>0.41</v>
      </c>
      <c r="BF121" s="40">
        <v>0.68</v>
      </c>
      <c r="BG121" s="40">
        <v>0.48</v>
      </c>
      <c r="BH121" s="40">
        <v>0.39</v>
      </c>
      <c r="BI121" s="40">
        <v>0.44</v>
      </c>
      <c r="BJ121" s="40">
        <v>0.33</v>
      </c>
      <c r="BK121" s="40">
        <v>0.46</v>
      </c>
      <c r="BL121" s="40">
        <v>0.47</v>
      </c>
      <c r="BM121" s="12">
        <v>53</v>
      </c>
      <c r="BN121" s="12">
        <v>9</v>
      </c>
      <c r="BO121" s="66">
        <v>0.09</v>
      </c>
      <c r="BP121" s="66">
        <v>0.49</v>
      </c>
      <c r="BQ121" s="66">
        <v>0.41</v>
      </c>
      <c r="BR121" s="66">
        <v>0.01</v>
      </c>
      <c r="BS121" s="66">
        <v>0.28000000000000003</v>
      </c>
      <c r="BT121" s="66">
        <v>0.54</v>
      </c>
      <c r="BU121" s="66">
        <v>0.63</v>
      </c>
      <c r="BV121" s="66">
        <v>0.28000000000000003</v>
      </c>
      <c r="BW121" s="66">
        <v>0.59</v>
      </c>
      <c r="BX121" s="66">
        <v>0.25</v>
      </c>
      <c r="BY121" s="66">
        <v>0.39</v>
      </c>
      <c r="BZ121" s="66">
        <v>0.48</v>
      </c>
      <c r="CA121" s="66">
        <v>0.47</v>
      </c>
      <c r="CB121" s="66">
        <v>0.34</v>
      </c>
      <c r="CC121" s="66">
        <v>0.14000000000000001</v>
      </c>
      <c r="CD121" s="66">
        <v>0.39</v>
      </c>
      <c r="CE121" s="66">
        <v>0.28999999999999998</v>
      </c>
      <c r="CF121" s="66">
        <v>0.55000000000000004</v>
      </c>
      <c r="CG121" s="66">
        <v>0.54</v>
      </c>
      <c r="CH121" s="66">
        <v>0.42</v>
      </c>
      <c r="CI121" s="66">
        <v>0.52</v>
      </c>
      <c r="CJ121" s="66">
        <v>0.27</v>
      </c>
      <c r="CK121" s="66">
        <v>0.62</v>
      </c>
      <c r="CL121" s="66">
        <v>0.25</v>
      </c>
      <c r="CM121" s="66">
        <v>0.38</v>
      </c>
      <c r="CN121" s="66">
        <v>0.41</v>
      </c>
      <c r="CO121" s="66">
        <v>0.36</v>
      </c>
      <c r="CP121" s="66">
        <v>0.34</v>
      </c>
      <c r="CQ121" s="66">
        <v>0.52</v>
      </c>
      <c r="CR121" s="66">
        <v>0.51</v>
      </c>
      <c r="CS121" s="12">
        <v>49</v>
      </c>
      <c r="CT121" s="12">
        <v>8</v>
      </c>
      <c r="CU121" s="63">
        <v>0.17</v>
      </c>
      <c r="CV121" s="63">
        <v>0.61</v>
      </c>
      <c r="CW121" s="63">
        <v>0.22</v>
      </c>
      <c r="CX121" s="63">
        <v>0</v>
      </c>
      <c r="CY121" s="63">
        <v>0.46</v>
      </c>
      <c r="CZ121" s="63">
        <v>0.28999999999999998</v>
      </c>
      <c r="DA121" s="63">
        <v>0.6</v>
      </c>
      <c r="DB121" s="63">
        <v>0.39</v>
      </c>
      <c r="DC121" s="63">
        <v>0.45</v>
      </c>
      <c r="DD121" s="63">
        <v>0.61</v>
      </c>
      <c r="DE121" s="63">
        <v>0.53</v>
      </c>
      <c r="DF121" s="63">
        <v>0.47</v>
      </c>
      <c r="DG121" s="63">
        <v>0.46</v>
      </c>
      <c r="DH121" s="63">
        <v>0.38</v>
      </c>
      <c r="DI121" s="63">
        <v>0.51</v>
      </c>
      <c r="DJ121" s="63">
        <v>0.51</v>
      </c>
      <c r="DK121" s="63">
        <v>0.41</v>
      </c>
      <c r="DL121" s="63">
        <v>0.39</v>
      </c>
      <c r="DM121" s="63">
        <v>0.56000000000000005</v>
      </c>
      <c r="DN121" s="63">
        <v>0.52</v>
      </c>
      <c r="DO121" s="63">
        <v>0.46</v>
      </c>
      <c r="DP121" s="63">
        <v>0.48</v>
      </c>
      <c r="DQ121" s="63">
        <v>0.6</v>
      </c>
      <c r="DR121" s="63">
        <v>0.23</v>
      </c>
      <c r="DS121" s="63">
        <v>0.4</v>
      </c>
      <c r="DT121" s="63">
        <v>0.54</v>
      </c>
      <c r="DU121" s="63">
        <v>0.63</v>
      </c>
      <c r="DV121" s="63">
        <v>0.56999999999999995</v>
      </c>
      <c r="DW121" s="63">
        <v>0.39</v>
      </c>
      <c r="DX121" s="35">
        <v>49</v>
      </c>
      <c r="DY121" s="35">
        <v>8</v>
      </c>
      <c r="DZ121" s="40">
        <v>0.17</v>
      </c>
      <c r="EA121" s="40">
        <v>0.62</v>
      </c>
      <c r="EB121" s="40">
        <v>0.21</v>
      </c>
      <c r="EC121" s="40">
        <v>0</v>
      </c>
      <c r="ED121" s="40">
        <v>0.47</v>
      </c>
      <c r="EE121" s="40">
        <v>0.5</v>
      </c>
      <c r="EF121" s="40">
        <v>0.57999999999999996</v>
      </c>
      <c r="EG121" s="40">
        <v>0.26</v>
      </c>
      <c r="EH121" s="40">
        <v>0.43</v>
      </c>
      <c r="EI121" s="40">
        <v>0.51</v>
      </c>
      <c r="EJ121" s="40">
        <v>0.6</v>
      </c>
      <c r="EK121" s="40">
        <v>0.3</v>
      </c>
      <c r="EL121" s="40">
        <v>0.47</v>
      </c>
      <c r="EM121" s="40">
        <v>0.6</v>
      </c>
      <c r="EN121" s="40">
        <v>0.49</v>
      </c>
      <c r="EO121" s="40">
        <v>0.61</v>
      </c>
      <c r="EP121" s="40">
        <v>0.39</v>
      </c>
      <c r="EQ121" s="40">
        <v>0.28999999999999998</v>
      </c>
      <c r="ER121" s="40">
        <v>0.57999999999999996</v>
      </c>
      <c r="ES121" s="40">
        <v>0.5</v>
      </c>
      <c r="ET121" s="40">
        <v>0.32</v>
      </c>
      <c r="EU121" s="40">
        <v>0.59</v>
      </c>
      <c r="EV121" s="40">
        <v>0.52</v>
      </c>
      <c r="EW121" s="40">
        <v>0.36</v>
      </c>
      <c r="EX121" s="40">
        <v>0.7</v>
      </c>
      <c r="EY121" s="40">
        <v>0.63</v>
      </c>
      <c r="EZ121" s="40">
        <v>0.26</v>
      </c>
      <c r="FA121" s="40">
        <v>0.65</v>
      </c>
      <c r="FB121" s="246">
        <v>48</v>
      </c>
      <c r="FC121" s="246" t="s">
        <v>758</v>
      </c>
      <c r="FD121" s="246">
        <v>7</v>
      </c>
      <c r="FE121" s="246" t="s">
        <v>758</v>
      </c>
      <c r="FF121" s="263">
        <v>0.16</v>
      </c>
      <c r="FG121" s="263">
        <v>0.69</v>
      </c>
      <c r="FH121" s="263">
        <v>0.15</v>
      </c>
      <c r="FI121" s="263">
        <v>0</v>
      </c>
      <c r="FJ121" s="263">
        <v>0.49</v>
      </c>
      <c r="FK121" s="263">
        <v>0.67</v>
      </c>
      <c r="FL121" s="263">
        <v>0.55000000000000004</v>
      </c>
      <c r="FM121" s="263">
        <v>0.42</v>
      </c>
      <c r="FN121" s="263">
        <v>0.28999999999999998</v>
      </c>
      <c r="FO121" s="263">
        <v>0.33</v>
      </c>
      <c r="FP121" s="263">
        <v>0.44</v>
      </c>
      <c r="FQ121" s="263">
        <v>0.39</v>
      </c>
      <c r="FR121" s="263">
        <v>0.64</v>
      </c>
      <c r="FS121" s="263">
        <v>0.54</v>
      </c>
      <c r="FT121" s="263">
        <v>0.53</v>
      </c>
      <c r="FU121" s="263">
        <v>0.44</v>
      </c>
      <c r="FV121" s="263">
        <v>0.69</v>
      </c>
      <c r="FW121" s="263">
        <v>0.6</v>
      </c>
      <c r="FX121" s="263">
        <v>0.53</v>
      </c>
      <c r="FY121" s="263">
        <v>0.37</v>
      </c>
      <c r="FZ121" s="263">
        <v>0.45</v>
      </c>
      <c r="GA121" s="263">
        <v>0.5</v>
      </c>
      <c r="GB121" s="263">
        <v>0.56000000000000005</v>
      </c>
      <c r="GC121" s="263">
        <v>0.52</v>
      </c>
      <c r="GD121" s="263">
        <v>0.67</v>
      </c>
      <c r="GE121" s="263">
        <v>0.57999999999999996</v>
      </c>
      <c r="GF121" s="263">
        <v>0.5</v>
      </c>
      <c r="GG121" s="263">
        <v>0.48</v>
      </c>
      <c r="GH121" s="263">
        <v>0.63</v>
      </c>
      <c r="GI121" s="263">
        <v>0.33</v>
      </c>
      <c r="GJ121" s="309">
        <v>49</v>
      </c>
      <c r="GK121" s="309" t="s">
        <v>758</v>
      </c>
      <c r="GL121" s="309">
        <v>8</v>
      </c>
      <c r="GM121" s="309" t="s">
        <v>758</v>
      </c>
      <c r="GN121" s="327">
        <v>0.19</v>
      </c>
      <c r="GO121" s="327">
        <v>0.57999999999999996</v>
      </c>
      <c r="GP121" s="327">
        <v>0.23</v>
      </c>
      <c r="GQ121" s="327">
        <v>0</v>
      </c>
      <c r="GR121" s="327">
        <v>0.49</v>
      </c>
      <c r="GS121" s="327">
        <v>0.55000000000000004</v>
      </c>
      <c r="GT121" s="327">
        <v>0.63</v>
      </c>
      <c r="GU121" s="327">
        <v>0.28999999999999998</v>
      </c>
      <c r="GV121" s="327">
        <v>0.59</v>
      </c>
      <c r="GW121" s="327">
        <v>0.53</v>
      </c>
      <c r="GX121" s="327">
        <v>0.52</v>
      </c>
      <c r="GY121" s="309" t="s">
        <v>173</v>
      </c>
      <c r="GZ121" s="327">
        <v>0.34</v>
      </c>
      <c r="HA121" s="327">
        <v>0.66</v>
      </c>
      <c r="HB121" s="327">
        <v>0.5</v>
      </c>
      <c r="HC121" s="327">
        <v>0.55000000000000004</v>
      </c>
      <c r="HD121" s="327">
        <v>0.63</v>
      </c>
      <c r="HE121" s="327">
        <v>0.5</v>
      </c>
      <c r="HF121" s="327">
        <v>0.52</v>
      </c>
      <c r="HG121" s="327">
        <v>0.68</v>
      </c>
      <c r="HH121" s="327">
        <v>0.41</v>
      </c>
      <c r="HI121" s="327">
        <v>0.56000000000000005</v>
      </c>
      <c r="HJ121" s="327">
        <v>0.57999999999999996</v>
      </c>
      <c r="HK121" s="327">
        <v>0.54</v>
      </c>
      <c r="HL121" s="327">
        <v>0.49</v>
      </c>
      <c r="HM121" s="327">
        <v>0.47</v>
      </c>
      <c r="HN121" s="327">
        <v>0.5</v>
      </c>
      <c r="HO121" s="327">
        <v>0.5</v>
      </c>
      <c r="HP121" s="309" t="s">
        <v>173</v>
      </c>
      <c r="HQ121" s="327">
        <v>0.45</v>
      </c>
      <c r="HR121" s="424">
        <v>50</v>
      </c>
      <c r="HS121" s="424" t="s">
        <v>758</v>
      </c>
      <c r="HT121" s="424">
        <v>9</v>
      </c>
      <c r="HU121" s="424" t="s">
        <v>758</v>
      </c>
      <c r="HV121" s="428">
        <v>0.17</v>
      </c>
      <c r="HW121" s="428">
        <v>0.56000000000000005</v>
      </c>
      <c r="HX121" s="428">
        <v>0.26</v>
      </c>
      <c r="HY121" s="428">
        <v>0.01</v>
      </c>
      <c r="HZ121" s="428">
        <v>0.47</v>
      </c>
      <c r="IA121" s="428">
        <v>0.54</v>
      </c>
      <c r="IB121" s="428">
        <v>0.41</v>
      </c>
      <c r="IC121" s="428">
        <v>0.51</v>
      </c>
      <c r="ID121" s="428">
        <v>0.6</v>
      </c>
      <c r="IE121" s="428">
        <v>0.41</v>
      </c>
      <c r="IF121" s="428">
        <v>0.41</v>
      </c>
      <c r="IG121" s="428">
        <v>0.56000000000000005</v>
      </c>
      <c r="IH121" s="428">
        <v>0.56000000000000005</v>
      </c>
      <c r="II121" s="428">
        <v>0.37</v>
      </c>
      <c r="IJ121" s="428">
        <v>0.33</v>
      </c>
      <c r="IK121" s="428">
        <v>0.6</v>
      </c>
      <c r="IL121" s="428">
        <v>0.33</v>
      </c>
      <c r="IM121" s="428">
        <v>0.56000000000000005</v>
      </c>
      <c r="IN121" s="428">
        <v>0.48</v>
      </c>
      <c r="IO121" s="428">
        <v>0.54</v>
      </c>
      <c r="IP121" s="428">
        <v>0.41</v>
      </c>
      <c r="IQ121" s="428">
        <v>0.7</v>
      </c>
      <c r="IR121" s="428">
        <v>0.59</v>
      </c>
      <c r="IS121" s="428">
        <v>0.51</v>
      </c>
      <c r="IT121" s="428">
        <v>0.51</v>
      </c>
      <c r="IU121" s="424" t="s">
        <v>173</v>
      </c>
      <c r="IV121" s="428">
        <v>0.65</v>
      </c>
      <c r="IW121" s="428">
        <v>0.43</v>
      </c>
      <c r="IX121" s="428">
        <v>0.48</v>
      </c>
      <c r="IY121" s="428">
        <v>0.56999999999999995</v>
      </c>
      <c r="IZ121" s="464">
        <v>48</v>
      </c>
      <c r="JA121" s="464" t="s">
        <v>758</v>
      </c>
      <c r="JB121" s="464">
        <v>9</v>
      </c>
      <c r="JC121" s="464" t="s">
        <v>758</v>
      </c>
      <c r="JD121" s="476">
        <v>0.23</v>
      </c>
      <c r="JE121" s="476">
        <v>0.55000000000000004</v>
      </c>
      <c r="JF121" s="476">
        <v>0.21</v>
      </c>
      <c r="JG121" s="476">
        <v>0.01</v>
      </c>
      <c r="JH121" s="476">
        <v>0.54</v>
      </c>
      <c r="JI121" s="476">
        <v>0.48</v>
      </c>
      <c r="JJ121" s="476">
        <v>0.55000000000000004</v>
      </c>
      <c r="JK121" s="476">
        <v>0.5</v>
      </c>
      <c r="JL121" s="476">
        <v>0.55000000000000004</v>
      </c>
      <c r="JM121" s="476">
        <v>0.53</v>
      </c>
      <c r="JN121" s="476">
        <v>0.49</v>
      </c>
      <c r="JO121" s="476">
        <v>0.53</v>
      </c>
      <c r="JP121" s="476">
        <v>0.63</v>
      </c>
      <c r="JQ121" s="476">
        <v>0.4</v>
      </c>
      <c r="JR121" s="476">
        <v>0.65</v>
      </c>
      <c r="JS121" s="476">
        <v>0.54</v>
      </c>
      <c r="JT121" s="476">
        <v>0.54</v>
      </c>
      <c r="JU121" s="476">
        <v>0.53</v>
      </c>
      <c r="JV121" s="476">
        <v>0.53</v>
      </c>
      <c r="JW121" s="476">
        <v>0.55000000000000004</v>
      </c>
      <c r="JX121" s="476">
        <v>0.5</v>
      </c>
      <c r="JY121" s="476">
        <v>0.52</v>
      </c>
      <c r="JZ121" s="476">
        <v>0.53</v>
      </c>
      <c r="KA121" s="476">
        <v>0.59</v>
      </c>
      <c r="KB121" s="476">
        <v>0.56999999999999995</v>
      </c>
      <c r="KC121" s="476">
        <v>0.68</v>
      </c>
      <c r="KD121" s="476">
        <v>0.4</v>
      </c>
      <c r="KE121" s="476">
        <v>0.54</v>
      </c>
      <c r="KF121" s="476">
        <v>0.51</v>
      </c>
      <c r="KG121" s="476">
        <v>0.57999999999999996</v>
      </c>
      <c r="KH121" s="971">
        <v>50</v>
      </c>
      <c r="KI121" s="971" t="s">
        <v>758</v>
      </c>
      <c r="KJ121" s="971">
        <v>10</v>
      </c>
      <c r="KK121" s="971" t="s">
        <v>758</v>
      </c>
      <c r="KL121" s="949">
        <v>0.18</v>
      </c>
      <c r="KM121" s="949">
        <v>0.55000000000000004</v>
      </c>
      <c r="KN121" s="949">
        <v>0.25</v>
      </c>
      <c r="KO121" s="949">
        <v>0.02</v>
      </c>
      <c r="KP121" s="949">
        <v>0.47</v>
      </c>
      <c r="KQ121" s="949">
        <v>0.32</v>
      </c>
      <c r="KR121" s="949">
        <v>0.59</v>
      </c>
      <c r="KS121" s="949">
        <v>0.53</v>
      </c>
      <c r="KT121" s="949">
        <v>0.55000000000000004</v>
      </c>
      <c r="KU121" s="949">
        <v>0.4</v>
      </c>
      <c r="KV121" s="949">
        <v>0.6</v>
      </c>
      <c r="KW121" s="949">
        <v>0.4</v>
      </c>
      <c r="KX121" s="949">
        <v>0.35</v>
      </c>
      <c r="KY121" s="949">
        <v>0.53</v>
      </c>
      <c r="KZ121" s="949">
        <v>0.42</v>
      </c>
      <c r="LA121" s="949">
        <v>0.35</v>
      </c>
      <c r="LB121" s="949">
        <v>0.5</v>
      </c>
      <c r="LC121" s="949">
        <v>0.45</v>
      </c>
      <c r="LD121" s="949">
        <v>0.54</v>
      </c>
      <c r="LE121" s="949">
        <v>0.52</v>
      </c>
      <c r="LF121" s="949">
        <v>0.37</v>
      </c>
      <c r="LG121" s="949">
        <v>0.52</v>
      </c>
      <c r="LH121" s="949">
        <v>0.6</v>
      </c>
      <c r="LI121" s="949">
        <v>0.5</v>
      </c>
      <c r="LJ121" s="949">
        <v>0.41</v>
      </c>
      <c r="LK121" s="949">
        <v>0.56000000000000005</v>
      </c>
      <c r="LL121" s="949" t="s">
        <v>173</v>
      </c>
      <c r="LM121" s="949">
        <v>0.63</v>
      </c>
      <c r="LN121" s="949">
        <v>0.65</v>
      </c>
      <c r="LO121" s="949">
        <v>0.45</v>
      </c>
      <c r="LP121" s="922">
        <v>125754001019</v>
      </c>
      <c r="LQ121" s="126" t="s">
        <v>25</v>
      </c>
      <c r="LR121" s="424">
        <v>50</v>
      </c>
      <c r="LS121" s="971">
        <v>50</v>
      </c>
      <c r="LT121" s="946"/>
    </row>
    <row r="122" spans="1:332" ht="24.95" customHeight="1" x14ac:dyDescent="0.2">
      <c r="A122" s="126" t="s">
        <v>41</v>
      </c>
      <c r="B122" s="1" t="s">
        <v>121</v>
      </c>
      <c r="C122" s="2">
        <v>3</v>
      </c>
      <c r="D122" s="12">
        <v>53</v>
      </c>
      <c r="E122" s="12">
        <v>7</v>
      </c>
      <c r="F122" s="66">
        <v>7.0000000000000007E-2</v>
      </c>
      <c r="G122" s="66">
        <v>0.55000000000000004</v>
      </c>
      <c r="H122" s="66">
        <v>0.38</v>
      </c>
      <c r="I122" s="66">
        <v>0</v>
      </c>
      <c r="J122" s="66">
        <v>0.54</v>
      </c>
      <c r="K122" s="66">
        <v>0.37</v>
      </c>
      <c r="L122" s="66">
        <v>0.84</v>
      </c>
      <c r="M122" s="66">
        <v>0.22</v>
      </c>
      <c r="N122" s="66">
        <v>0.28999999999999998</v>
      </c>
      <c r="O122" s="66">
        <v>0.76</v>
      </c>
      <c r="P122" s="66">
        <v>0.41</v>
      </c>
      <c r="Q122" s="66">
        <v>0.4</v>
      </c>
      <c r="R122" s="66">
        <v>0.52</v>
      </c>
      <c r="S122" s="66">
        <v>0.61</v>
      </c>
      <c r="T122" s="66">
        <v>0.44</v>
      </c>
      <c r="U122" s="66">
        <v>0.62</v>
      </c>
      <c r="V122" s="66">
        <v>7.0000000000000007E-2</v>
      </c>
      <c r="W122" s="66">
        <v>0.31</v>
      </c>
      <c r="X122" s="66">
        <v>0.56000000000000005</v>
      </c>
      <c r="Y122" s="66">
        <v>0.46</v>
      </c>
      <c r="Z122" s="66">
        <v>1</v>
      </c>
      <c r="AA122" s="66">
        <v>0.27</v>
      </c>
      <c r="AB122" s="66">
        <v>0.49</v>
      </c>
      <c r="AC122" s="66">
        <v>0.2</v>
      </c>
      <c r="AD122" s="66">
        <v>0.41</v>
      </c>
      <c r="AE122" s="66">
        <v>0.56000000000000005</v>
      </c>
      <c r="AF122" s="66">
        <v>0.52</v>
      </c>
      <c r="AG122" s="66">
        <v>0.43</v>
      </c>
      <c r="AH122" s="12">
        <v>51</v>
      </c>
      <c r="AI122" s="12">
        <v>8</v>
      </c>
      <c r="AJ122" s="40">
        <v>0.08</v>
      </c>
      <c r="AK122" s="40">
        <v>0.57999999999999996</v>
      </c>
      <c r="AL122" s="40">
        <v>0.33</v>
      </c>
      <c r="AM122" s="40">
        <v>0.01</v>
      </c>
      <c r="AN122" s="40">
        <v>0.28000000000000003</v>
      </c>
      <c r="AO122" s="40">
        <v>0.47</v>
      </c>
      <c r="AP122" s="40">
        <v>0.59</v>
      </c>
      <c r="AQ122" s="40">
        <v>0.41</v>
      </c>
      <c r="AR122" s="40">
        <v>0.56000000000000005</v>
      </c>
      <c r="AS122" s="40">
        <v>0.52</v>
      </c>
      <c r="AT122" s="40">
        <v>0.53</v>
      </c>
      <c r="AU122" s="40">
        <v>0.52</v>
      </c>
      <c r="AV122" s="40">
        <v>0.62</v>
      </c>
      <c r="AW122" s="40">
        <v>0.47</v>
      </c>
      <c r="AX122" s="40">
        <v>0.56999999999999995</v>
      </c>
      <c r="AY122" s="40">
        <v>0.35</v>
      </c>
      <c r="AZ122" s="40">
        <v>0.32</v>
      </c>
      <c r="BA122" s="40">
        <v>0.53</v>
      </c>
      <c r="BB122" s="40">
        <v>0.68</v>
      </c>
      <c r="BC122" s="40">
        <v>0.62</v>
      </c>
      <c r="BD122" s="40">
        <v>0.42</v>
      </c>
      <c r="BE122" s="40">
        <v>0.53</v>
      </c>
      <c r="BF122" s="40">
        <v>0.56000000000000005</v>
      </c>
      <c r="BG122" s="40">
        <v>0.51</v>
      </c>
      <c r="BH122" s="40">
        <v>0.46</v>
      </c>
      <c r="BI122" s="40">
        <v>0.43</v>
      </c>
      <c r="BJ122" s="40">
        <v>0.36</v>
      </c>
      <c r="BK122" s="40">
        <v>0.45</v>
      </c>
      <c r="BL122" s="40">
        <v>0.44</v>
      </c>
      <c r="BM122" s="12">
        <v>50</v>
      </c>
      <c r="BN122" s="12">
        <v>8</v>
      </c>
      <c r="BO122" s="66">
        <v>0.12</v>
      </c>
      <c r="BP122" s="66">
        <v>0.62</v>
      </c>
      <c r="BQ122" s="66">
        <v>0.25</v>
      </c>
      <c r="BR122" s="66">
        <v>0</v>
      </c>
      <c r="BS122" s="66">
        <v>0.37</v>
      </c>
      <c r="BT122" s="66">
        <v>0.56999999999999995</v>
      </c>
      <c r="BU122" s="66">
        <v>0.63</v>
      </c>
      <c r="BV122" s="66">
        <v>0.37</v>
      </c>
      <c r="BW122" s="66">
        <v>0.63</v>
      </c>
      <c r="BX122" s="66">
        <v>0.43</v>
      </c>
      <c r="BY122" s="66">
        <v>0.39</v>
      </c>
      <c r="BZ122" s="66">
        <v>0.53</v>
      </c>
      <c r="CA122" s="66">
        <v>0.47</v>
      </c>
      <c r="CB122" s="66">
        <v>0.39</v>
      </c>
      <c r="CC122" s="66">
        <v>0.21</v>
      </c>
      <c r="CD122" s="66">
        <v>0.42</v>
      </c>
      <c r="CE122" s="66">
        <v>0.35</v>
      </c>
      <c r="CF122" s="66">
        <v>0.64</v>
      </c>
      <c r="CG122" s="66">
        <v>0.62</v>
      </c>
      <c r="CH122" s="66">
        <v>0.46</v>
      </c>
      <c r="CI122" s="66">
        <v>0.6</v>
      </c>
      <c r="CJ122" s="66">
        <v>0.4</v>
      </c>
      <c r="CK122" s="66">
        <v>0.72</v>
      </c>
      <c r="CL122" s="66">
        <v>0.31</v>
      </c>
      <c r="CM122" s="66">
        <v>0.47</v>
      </c>
      <c r="CN122" s="66">
        <v>0.49</v>
      </c>
      <c r="CO122" s="66">
        <v>0.46</v>
      </c>
      <c r="CP122" s="66">
        <v>0.36</v>
      </c>
      <c r="CQ122" s="66">
        <v>0.54</v>
      </c>
      <c r="CR122" s="66">
        <v>0.57999999999999996</v>
      </c>
      <c r="CS122" s="12">
        <v>49</v>
      </c>
      <c r="CT122" s="12">
        <v>9</v>
      </c>
      <c r="CU122" s="63">
        <v>0.18</v>
      </c>
      <c r="CV122" s="63">
        <v>0.61</v>
      </c>
      <c r="CW122" s="63">
        <v>0.21</v>
      </c>
      <c r="CX122" s="63">
        <v>0</v>
      </c>
      <c r="CY122" s="63">
        <v>0.51</v>
      </c>
      <c r="CZ122" s="63">
        <v>0.31</v>
      </c>
      <c r="DA122" s="63">
        <v>0.61</v>
      </c>
      <c r="DB122" s="63">
        <v>0.35</v>
      </c>
      <c r="DC122" s="63">
        <v>0.48</v>
      </c>
      <c r="DD122" s="63">
        <v>0.67</v>
      </c>
      <c r="DE122" s="63">
        <v>0.48</v>
      </c>
      <c r="DF122" s="63">
        <v>0.57999999999999996</v>
      </c>
      <c r="DG122" s="63">
        <v>0.49</v>
      </c>
      <c r="DH122" s="63">
        <v>0.37</v>
      </c>
      <c r="DI122" s="63">
        <v>0.56000000000000005</v>
      </c>
      <c r="DJ122" s="63">
        <v>0.53</v>
      </c>
      <c r="DK122" s="63">
        <v>0.4</v>
      </c>
      <c r="DL122" s="63">
        <v>0.36</v>
      </c>
      <c r="DM122" s="63">
        <v>0.49</v>
      </c>
      <c r="DN122" s="63">
        <v>0.53</v>
      </c>
      <c r="DO122" s="63">
        <v>0.46</v>
      </c>
      <c r="DP122" s="63">
        <v>0.45</v>
      </c>
      <c r="DQ122" s="63">
        <v>0.62</v>
      </c>
      <c r="DR122" s="63">
        <v>0.19</v>
      </c>
      <c r="DS122" s="63">
        <v>0.42</v>
      </c>
      <c r="DT122" s="63">
        <v>0.62</v>
      </c>
      <c r="DU122" s="63">
        <v>0.57999999999999996</v>
      </c>
      <c r="DV122" s="63">
        <v>0.6</v>
      </c>
      <c r="DW122" s="63">
        <v>0.38</v>
      </c>
      <c r="DX122" s="35">
        <v>50</v>
      </c>
      <c r="DY122" s="35">
        <v>9</v>
      </c>
      <c r="DZ122" s="40">
        <v>0.16</v>
      </c>
      <c r="EA122" s="40">
        <v>0.56000000000000005</v>
      </c>
      <c r="EB122" s="40">
        <v>0.28000000000000003</v>
      </c>
      <c r="EC122" s="40">
        <v>0</v>
      </c>
      <c r="ED122" s="40">
        <v>0.47</v>
      </c>
      <c r="EE122" s="40">
        <v>0.44</v>
      </c>
      <c r="EF122" s="40">
        <v>0.5</v>
      </c>
      <c r="EG122" s="40">
        <v>0.3</v>
      </c>
      <c r="EH122" s="40">
        <v>0.4</v>
      </c>
      <c r="EI122" s="40">
        <v>0.47</v>
      </c>
      <c r="EJ122" s="40">
        <v>0.54</v>
      </c>
      <c r="EK122" s="40">
        <v>0.26</v>
      </c>
      <c r="EL122" s="40">
        <v>0.44</v>
      </c>
      <c r="EM122" s="40">
        <v>0.61</v>
      </c>
      <c r="EN122" s="40">
        <v>0.48</v>
      </c>
      <c r="EO122" s="40">
        <v>0.6</v>
      </c>
      <c r="EP122" s="40">
        <v>0.37</v>
      </c>
      <c r="EQ122" s="40">
        <v>0.3</v>
      </c>
      <c r="ER122" s="40">
        <v>0.62</v>
      </c>
      <c r="ES122" s="40">
        <v>0.42</v>
      </c>
      <c r="ET122" s="40">
        <v>0.33</v>
      </c>
      <c r="EU122" s="40">
        <v>0.64</v>
      </c>
      <c r="EV122" s="40">
        <v>0.45</v>
      </c>
      <c r="EW122" s="40">
        <v>0.33</v>
      </c>
      <c r="EX122" s="40">
        <v>0.66</v>
      </c>
      <c r="EY122" s="40">
        <v>0.57999999999999996</v>
      </c>
      <c r="EZ122" s="40">
        <v>0.28999999999999998</v>
      </c>
      <c r="FA122" s="40">
        <v>0.62</v>
      </c>
      <c r="FB122" s="246">
        <v>48</v>
      </c>
      <c r="FC122" s="246" t="s">
        <v>758</v>
      </c>
      <c r="FD122" s="246">
        <v>8</v>
      </c>
      <c r="FE122" s="246" t="s">
        <v>758</v>
      </c>
      <c r="FF122" s="263">
        <v>0.19</v>
      </c>
      <c r="FG122" s="263">
        <v>0.65</v>
      </c>
      <c r="FH122" s="263">
        <v>0.15</v>
      </c>
      <c r="FI122" s="263">
        <v>0.01</v>
      </c>
      <c r="FJ122" s="263">
        <v>0.51</v>
      </c>
      <c r="FK122" s="263">
        <v>0.66</v>
      </c>
      <c r="FL122" s="263">
        <v>0.59</v>
      </c>
      <c r="FM122" s="263">
        <v>0.45</v>
      </c>
      <c r="FN122" s="263">
        <v>0.37</v>
      </c>
      <c r="FO122" s="263">
        <v>0.37</v>
      </c>
      <c r="FP122" s="263">
        <v>0.41</v>
      </c>
      <c r="FQ122" s="263">
        <v>0.45</v>
      </c>
      <c r="FR122" s="263">
        <v>0.64</v>
      </c>
      <c r="FS122" s="263">
        <v>0.56000000000000005</v>
      </c>
      <c r="FT122" s="263">
        <v>0.56000000000000005</v>
      </c>
      <c r="FU122" s="263">
        <v>0.38</v>
      </c>
      <c r="FV122" s="263">
        <v>0.64</v>
      </c>
      <c r="FW122" s="263">
        <v>0.59</v>
      </c>
      <c r="FX122" s="263">
        <v>0.51</v>
      </c>
      <c r="FY122" s="263">
        <v>0.44</v>
      </c>
      <c r="FZ122" s="263">
        <v>0.49</v>
      </c>
      <c r="GA122" s="263">
        <v>0.55000000000000004</v>
      </c>
      <c r="GB122" s="263">
        <v>0.54</v>
      </c>
      <c r="GC122" s="263">
        <v>0.5</v>
      </c>
      <c r="GD122" s="263">
        <v>0.61</v>
      </c>
      <c r="GE122" s="263">
        <v>0.54</v>
      </c>
      <c r="GF122" s="263">
        <v>0.49</v>
      </c>
      <c r="GG122" s="263">
        <v>0.52</v>
      </c>
      <c r="GH122" s="263">
        <v>0.61</v>
      </c>
      <c r="GI122" s="263">
        <v>0.36</v>
      </c>
      <c r="GJ122" s="309">
        <v>48</v>
      </c>
      <c r="GK122" s="309" t="s">
        <v>758</v>
      </c>
      <c r="GL122" s="309">
        <v>8</v>
      </c>
      <c r="GM122" s="309" t="s">
        <v>758</v>
      </c>
      <c r="GN122" s="327">
        <v>0.2</v>
      </c>
      <c r="GO122" s="327">
        <v>0.65</v>
      </c>
      <c r="GP122" s="327">
        <v>0.14000000000000001</v>
      </c>
      <c r="GQ122" s="327">
        <v>0.01</v>
      </c>
      <c r="GR122" s="327">
        <v>0.54</v>
      </c>
      <c r="GS122" s="327">
        <v>0.63</v>
      </c>
      <c r="GT122" s="327">
        <v>0.63</v>
      </c>
      <c r="GU122" s="327">
        <v>0.4</v>
      </c>
      <c r="GV122" s="327">
        <v>0.63</v>
      </c>
      <c r="GW122" s="327">
        <v>0.56000000000000005</v>
      </c>
      <c r="GX122" s="327">
        <v>0.53</v>
      </c>
      <c r="GY122" s="309" t="s">
        <v>173</v>
      </c>
      <c r="GZ122" s="327">
        <v>0.37</v>
      </c>
      <c r="HA122" s="327">
        <v>0.72</v>
      </c>
      <c r="HB122" s="327">
        <v>0.51</v>
      </c>
      <c r="HC122" s="327">
        <v>0.57999999999999996</v>
      </c>
      <c r="HD122" s="327">
        <v>0.62</v>
      </c>
      <c r="HE122" s="327">
        <v>0.49</v>
      </c>
      <c r="HF122" s="327">
        <v>0.52</v>
      </c>
      <c r="HG122" s="327">
        <v>0.69</v>
      </c>
      <c r="HH122" s="327">
        <v>0.43</v>
      </c>
      <c r="HI122" s="327">
        <v>0.59</v>
      </c>
      <c r="HJ122" s="327">
        <v>0.63</v>
      </c>
      <c r="HK122" s="327">
        <v>0.56000000000000005</v>
      </c>
      <c r="HL122" s="327">
        <v>0.47</v>
      </c>
      <c r="HM122" s="327">
        <v>0.55000000000000004</v>
      </c>
      <c r="HN122" s="327">
        <v>0.56000000000000005</v>
      </c>
      <c r="HO122" s="327">
        <v>0.48</v>
      </c>
      <c r="HP122" s="309" t="s">
        <v>173</v>
      </c>
      <c r="HQ122" s="327">
        <v>0.51</v>
      </c>
      <c r="HR122" s="424">
        <v>48</v>
      </c>
      <c r="HS122" s="424" t="s">
        <v>758</v>
      </c>
      <c r="HT122" s="424">
        <v>8</v>
      </c>
      <c r="HU122" s="424" t="s">
        <v>758</v>
      </c>
      <c r="HV122" s="428">
        <v>0.21</v>
      </c>
      <c r="HW122" s="428">
        <v>0.6</v>
      </c>
      <c r="HX122" s="428">
        <v>0.19</v>
      </c>
      <c r="HY122" s="428">
        <v>0</v>
      </c>
      <c r="HZ122" s="428">
        <v>0.51</v>
      </c>
      <c r="IA122" s="428">
        <v>0.57999999999999996</v>
      </c>
      <c r="IB122" s="428">
        <v>0.4</v>
      </c>
      <c r="IC122" s="428">
        <v>0.54</v>
      </c>
      <c r="ID122" s="428">
        <v>0.67</v>
      </c>
      <c r="IE122" s="428">
        <v>0.4</v>
      </c>
      <c r="IF122" s="428">
        <v>0.42</v>
      </c>
      <c r="IG122" s="428">
        <v>0.6</v>
      </c>
      <c r="IH122" s="428">
        <v>0.56999999999999995</v>
      </c>
      <c r="II122" s="428">
        <v>0.38</v>
      </c>
      <c r="IJ122" s="428">
        <v>0.34</v>
      </c>
      <c r="IK122" s="428">
        <v>0.6</v>
      </c>
      <c r="IL122" s="428">
        <v>0.38</v>
      </c>
      <c r="IM122" s="428">
        <v>0.65</v>
      </c>
      <c r="IN122" s="428">
        <v>0.49</v>
      </c>
      <c r="IO122" s="428">
        <v>0.62</v>
      </c>
      <c r="IP122" s="428">
        <v>0.5</v>
      </c>
      <c r="IQ122" s="428">
        <v>0.67</v>
      </c>
      <c r="IR122" s="428">
        <v>0.63</v>
      </c>
      <c r="IS122" s="428">
        <v>0.63</v>
      </c>
      <c r="IT122" s="428">
        <v>0.51</v>
      </c>
      <c r="IU122" s="424" t="s">
        <v>173</v>
      </c>
      <c r="IV122" s="428">
        <v>0.66</v>
      </c>
      <c r="IW122" s="428">
        <v>0.48</v>
      </c>
      <c r="IX122" s="428">
        <v>0.62</v>
      </c>
      <c r="IY122" s="428">
        <v>0.56999999999999995</v>
      </c>
      <c r="IZ122" s="464">
        <v>49</v>
      </c>
      <c r="JA122" s="464" t="s">
        <v>758</v>
      </c>
      <c r="JB122" s="464">
        <v>10</v>
      </c>
      <c r="JC122" s="464" t="s">
        <v>758</v>
      </c>
      <c r="JD122" s="476">
        <v>0.19</v>
      </c>
      <c r="JE122" s="476">
        <v>0.57999999999999996</v>
      </c>
      <c r="JF122" s="476">
        <v>0.21</v>
      </c>
      <c r="JG122" s="476">
        <v>0.02</v>
      </c>
      <c r="JH122" s="476">
        <v>0.49</v>
      </c>
      <c r="JI122" s="476">
        <v>0.48</v>
      </c>
      <c r="JJ122" s="476">
        <v>0.51</v>
      </c>
      <c r="JK122" s="476">
        <v>0.52</v>
      </c>
      <c r="JL122" s="476">
        <v>0.52</v>
      </c>
      <c r="JM122" s="476">
        <v>0.55000000000000004</v>
      </c>
      <c r="JN122" s="476">
        <v>0.45</v>
      </c>
      <c r="JO122" s="476">
        <v>0.53</v>
      </c>
      <c r="JP122" s="476">
        <v>0.56999999999999995</v>
      </c>
      <c r="JQ122" s="476">
        <v>0.34</v>
      </c>
      <c r="JR122" s="476">
        <v>0.63</v>
      </c>
      <c r="JS122" s="476">
        <v>0.59</v>
      </c>
      <c r="JT122" s="476">
        <v>0.53</v>
      </c>
      <c r="JU122" s="476">
        <v>0.53</v>
      </c>
      <c r="JV122" s="476">
        <v>0.51</v>
      </c>
      <c r="JW122" s="476">
        <v>0.51</v>
      </c>
      <c r="JX122" s="476">
        <v>0.49</v>
      </c>
      <c r="JY122" s="476">
        <v>0.45</v>
      </c>
      <c r="JZ122" s="476">
        <v>0.49</v>
      </c>
      <c r="KA122" s="476">
        <v>0.6</v>
      </c>
      <c r="KB122" s="476">
        <v>0.5</v>
      </c>
      <c r="KC122" s="476">
        <v>0.67</v>
      </c>
      <c r="KD122" s="476">
        <v>0.38</v>
      </c>
      <c r="KE122" s="476">
        <v>0.52</v>
      </c>
      <c r="KF122" s="476">
        <v>0.48</v>
      </c>
      <c r="KG122" s="476">
        <v>0.6</v>
      </c>
      <c r="KH122" s="971">
        <v>49</v>
      </c>
      <c r="KI122" s="971" t="s">
        <v>758</v>
      </c>
      <c r="KJ122" s="971">
        <v>8</v>
      </c>
      <c r="KK122" s="971" t="s">
        <v>758</v>
      </c>
      <c r="KL122" s="949">
        <v>0.15</v>
      </c>
      <c r="KM122" s="949">
        <v>0.63</v>
      </c>
      <c r="KN122" s="949">
        <v>0.22</v>
      </c>
      <c r="KO122" s="949">
        <v>0</v>
      </c>
      <c r="KP122" s="949">
        <v>0.52</v>
      </c>
      <c r="KQ122" s="949">
        <v>0.34</v>
      </c>
      <c r="KR122" s="949">
        <v>0.61</v>
      </c>
      <c r="KS122" s="949">
        <v>0.53</v>
      </c>
      <c r="KT122" s="949">
        <v>0.62</v>
      </c>
      <c r="KU122" s="949">
        <v>0.41</v>
      </c>
      <c r="KV122" s="949">
        <v>0.71</v>
      </c>
      <c r="KW122" s="949">
        <v>0.41</v>
      </c>
      <c r="KX122" s="949">
        <v>0.38</v>
      </c>
      <c r="KY122" s="949">
        <v>0.57999999999999996</v>
      </c>
      <c r="KZ122" s="949">
        <v>0.43</v>
      </c>
      <c r="LA122" s="949">
        <v>0.39</v>
      </c>
      <c r="LB122" s="949">
        <v>0.48</v>
      </c>
      <c r="LC122" s="949">
        <v>0.45</v>
      </c>
      <c r="LD122" s="949">
        <v>0.6</v>
      </c>
      <c r="LE122" s="949">
        <v>0.56000000000000005</v>
      </c>
      <c r="LF122" s="949">
        <v>0.41</v>
      </c>
      <c r="LG122" s="949">
        <v>0.51</v>
      </c>
      <c r="LH122" s="949">
        <v>0.61</v>
      </c>
      <c r="LI122" s="949">
        <v>0.54</v>
      </c>
      <c r="LJ122" s="949">
        <v>0.49</v>
      </c>
      <c r="LK122" s="949">
        <v>0.55000000000000004</v>
      </c>
      <c r="LL122" s="949" t="s">
        <v>173</v>
      </c>
      <c r="LM122" s="949">
        <v>0.61</v>
      </c>
      <c r="LN122" s="949">
        <v>0.66</v>
      </c>
      <c r="LO122" s="949">
        <v>0.49</v>
      </c>
      <c r="LP122" s="922">
        <v>125754003291</v>
      </c>
      <c r="LQ122" s="126" t="s">
        <v>41</v>
      </c>
      <c r="LR122" s="424">
        <v>48</v>
      </c>
      <c r="LS122" s="971">
        <v>49</v>
      </c>
      <c r="LT122" s="946"/>
    </row>
    <row r="123" spans="1:332" ht="24.95" customHeight="1" x14ac:dyDescent="0.2">
      <c r="A123" s="126" t="s">
        <v>62</v>
      </c>
      <c r="B123" s="1" t="s">
        <v>123</v>
      </c>
      <c r="C123" s="2">
        <v>1</v>
      </c>
      <c r="D123" s="12">
        <v>58</v>
      </c>
      <c r="E123" s="12">
        <v>7</v>
      </c>
      <c r="F123" s="66">
        <v>0.06</v>
      </c>
      <c r="G123" s="66">
        <v>0.26</v>
      </c>
      <c r="H123" s="66">
        <v>0.68</v>
      </c>
      <c r="I123" s="66">
        <v>0</v>
      </c>
      <c r="J123" s="66">
        <v>0.38</v>
      </c>
      <c r="K123" s="66">
        <v>0.28999999999999998</v>
      </c>
      <c r="L123" s="66">
        <v>0.63</v>
      </c>
      <c r="M123" s="66">
        <v>0.13</v>
      </c>
      <c r="N123" s="66">
        <v>0.23</v>
      </c>
      <c r="O123" s="66">
        <v>0.62</v>
      </c>
      <c r="P123" s="66">
        <v>0.31</v>
      </c>
      <c r="Q123" s="66">
        <v>0.35</v>
      </c>
      <c r="R123" s="66">
        <v>0.39</v>
      </c>
      <c r="S123" s="66">
        <v>0.56000000000000005</v>
      </c>
      <c r="T123" s="66">
        <v>0.36</v>
      </c>
      <c r="U123" s="66">
        <v>0.55000000000000004</v>
      </c>
      <c r="V123" s="66">
        <v>7.0000000000000007E-2</v>
      </c>
      <c r="W123" s="66">
        <v>0.04</v>
      </c>
      <c r="X123" s="66">
        <v>0.38</v>
      </c>
      <c r="Y123" s="66">
        <v>0.39</v>
      </c>
      <c r="Z123" s="12" t="s">
        <v>173</v>
      </c>
      <c r="AA123" s="66">
        <v>7.0000000000000007E-2</v>
      </c>
      <c r="AB123" s="66">
        <v>0.43</v>
      </c>
      <c r="AC123" s="66">
        <v>0.17</v>
      </c>
      <c r="AD123" s="66">
        <v>0.32</v>
      </c>
      <c r="AE123" s="66">
        <v>0.4</v>
      </c>
      <c r="AF123" s="66">
        <v>0.41</v>
      </c>
      <c r="AG123" s="66">
        <v>0.48</v>
      </c>
      <c r="AH123" s="12">
        <v>56</v>
      </c>
      <c r="AI123" s="12">
        <v>8</v>
      </c>
      <c r="AJ123" s="40">
        <v>0.03</v>
      </c>
      <c r="AK123" s="40">
        <v>0.37</v>
      </c>
      <c r="AL123" s="40">
        <v>0.61</v>
      </c>
      <c r="AM123" s="40">
        <v>0</v>
      </c>
      <c r="AN123" s="40">
        <v>0.21</v>
      </c>
      <c r="AO123" s="40">
        <v>0.35</v>
      </c>
      <c r="AP123" s="40">
        <v>0.55000000000000004</v>
      </c>
      <c r="AQ123" s="40">
        <v>0.26</v>
      </c>
      <c r="AR123" s="40">
        <v>0.49</v>
      </c>
      <c r="AS123" s="40">
        <v>0.43</v>
      </c>
      <c r="AT123" s="40">
        <v>0.43</v>
      </c>
      <c r="AU123" s="40">
        <v>0.47</v>
      </c>
      <c r="AV123" s="40">
        <v>0.44</v>
      </c>
      <c r="AW123" s="40">
        <v>0.59</v>
      </c>
      <c r="AX123" s="40">
        <v>0.37</v>
      </c>
      <c r="AY123" s="40">
        <v>0.21</v>
      </c>
      <c r="AZ123" s="40">
        <v>0.21</v>
      </c>
      <c r="BA123" s="40">
        <v>0.34</v>
      </c>
      <c r="BB123" s="40">
        <v>0.64</v>
      </c>
      <c r="BC123" s="40">
        <v>0.63</v>
      </c>
      <c r="BD123" s="40">
        <v>0.35</v>
      </c>
      <c r="BE123" s="40">
        <v>0.45</v>
      </c>
      <c r="BF123" s="40">
        <v>0.63</v>
      </c>
      <c r="BG123" s="40">
        <v>0.35</v>
      </c>
      <c r="BH123" s="40">
        <v>0.34</v>
      </c>
      <c r="BI123" s="40">
        <v>0.34</v>
      </c>
      <c r="BJ123" s="40">
        <v>0.25</v>
      </c>
      <c r="BK123" s="40">
        <v>0.39</v>
      </c>
      <c r="BL123" s="40">
        <v>0.47</v>
      </c>
      <c r="BM123" s="12">
        <v>53</v>
      </c>
      <c r="BN123" s="12">
        <v>9</v>
      </c>
      <c r="BO123" s="66">
        <v>0.11</v>
      </c>
      <c r="BP123" s="66">
        <v>0.5</v>
      </c>
      <c r="BQ123" s="66">
        <v>0.39</v>
      </c>
      <c r="BR123" s="66">
        <v>0</v>
      </c>
      <c r="BS123" s="66">
        <v>0.3</v>
      </c>
      <c r="BT123" s="66">
        <v>0.42</v>
      </c>
      <c r="BU123" s="66">
        <v>0.54</v>
      </c>
      <c r="BV123" s="66">
        <v>0.3</v>
      </c>
      <c r="BW123" s="66">
        <v>0.56999999999999995</v>
      </c>
      <c r="BX123" s="66">
        <v>0.31</v>
      </c>
      <c r="BY123" s="66">
        <v>0.4</v>
      </c>
      <c r="BZ123" s="66">
        <v>0.53</v>
      </c>
      <c r="CA123" s="66">
        <v>0.47</v>
      </c>
      <c r="CB123" s="66">
        <v>0.28999999999999998</v>
      </c>
      <c r="CC123" s="66">
        <v>0.14000000000000001</v>
      </c>
      <c r="CD123" s="66">
        <v>0.32</v>
      </c>
      <c r="CE123" s="66">
        <v>0.35</v>
      </c>
      <c r="CF123" s="66">
        <v>0.59</v>
      </c>
      <c r="CG123" s="66">
        <v>0.5</v>
      </c>
      <c r="CH123" s="66">
        <v>0.44</v>
      </c>
      <c r="CI123" s="66">
        <v>0.55000000000000004</v>
      </c>
      <c r="CJ123" s="66">
        <v>0.2</v>
      </c>
      <c r="CK123" s="66">
        <v>0.65</v>
      </c>
      <c r="CL123" s="66">
        <v>0.28000000000000003</v>
      </c>
      <c r="CM123" s="66">
        <v>0.43</v>
      </c>
      <c r="CN123" s="66">
        <v>0.38</v>
      </c>
      <c r="CO123" s="66">
        <v>0.37</v>
      </c>
      <c r="CP123" s="66">
        <v>0.28000000000000003</v>
      </c>
      <c r="CQ123" s="66">
        <v>0.46</v>
      </c>
      <c r="CR123" s="66">
        <v>0.48</v>
      </c>
      <c r="CS123" s="12">
        <v>49</v>
      </c>
      <c r="CT123" s="12">
        <v>9</v>
      </c>
      <c r="CU123" s="63">
        <v>0.11</v>
      </c>
      <c r="CV123" s="63">
        <v>0.68</v>
      </c>
      <c r="CW123" s="63">
        <v>0.22</v>
      </c>
      <c r="CX123" s="63">
        <v>0</v>
      </c>
      <c r="CY123" s="63">
        <v>0.5</v>
      </c>
      <c r="CZ123" s="63">
        <v>0.28000000000000003</v>
      </c>
      <c r="DA123" s="63">
        <v>0.49</v>
      </c>
      <c r="DB123" s="63">
        <v>0.35</v>
      </c>
      <c r="DC123" s="63">
        <v>0.56000000000000005</v>
      </c>
      <c r="DD123" s="63">
        <v>0.64</v>
      </c>
      <c r="DE123" s="63">
        <v>0.54</v>
      </c>
      <c r="DF123" s="63">
        <v>0.51</v>
      </c>
      <c r="DG123" s="63">
        <v>0.54</v>
      </c>
      <c r="DH123" s="63">
        <v>0.45</v>
      </c>
      <c r="DI123" s="63">
        <v>0.66</v>
      </c>
      <c r="DJ123" s="63">
        <v>0.47</v>
      </c>
      <c r="DK123" s="63">
        <v>0.46</v>
      </c>
      <c r="DL123" s="63">
        <v>0.5</v>
      </c>
      <c r="DM123" s="63">
        <v>0.56999999999999995</v>
      </c>
      <c r="DN123" s="63">
        <v>0.63</v>
      </c>
      <c r="DO123" s="63">
        <v>0.4</v>
      </c>
      <c r="DP123" s="63">
        <v>0.4</v>
      </c>
      <c r="DQ123" s="63">
        <v>0.47</v>
      </c>
      <c r="DR123" s="63">
        <v>0.19</v>
      </c>
      <c r="DS123" s="63">
        <v>0.36</v>
      </c>
      <c r="DT123" s="63">
        <v>0.5</v>
      </c>
      <c r="DU123" s="63">
        <v>0.56000000000000005</v>
      </c>
      <c r="DV123" s="63">
        <v>0.52</v>
      </c>
      <c r="DW123" s="63">
        <v>0.33</v>
      </c>
      <c r="DX123" s="35">
        <v>50</v>
      </c>
      <c r="DY123" s="35">
        <v>10</v>
      </c>
      <c r="DZ123" s="40">
        <v>0.27</v>
      </c>
      <c r="EA123" s="40">
        <v>0.32</v>
      </c>
      <c r="EB123" s="40">
        <v>0.41</v>
      </c>
      <c r="EC123" s="40">
        <v>0</v>
      </c>
      <c r="ED123" s="40">
        <v>0.43</v>
      </c>
      <c r="EE123" s="40">
        <v>0.56999999999999995</v>
      </c>
      <c r="EF123" s="40">
        <v>0.53</v>
      </c>
      <c r="EG123" s="40">
        <v>0.56999999999999995</v>
      </c>
      <c r="EH123" s="40">
        <v>0.55000000000000004</v>
      </c>
      <c r="EI123" s="40">
        <v>0.35</v>
      </c>
      <c r="EJ123" s="40">
        <v>0.56999999999999995</v>
      </c>
      <c r="EK123" s="40">
        <v>0.3</v>
      </c>
      <c r="EL123" s="40">
        <v>0.5</v>
      </c>
      <c r="EM123" s="40">
        <v>0.57999999999999996</v>
      </c>
      <c r="EN123" s="40">
        <v>0.36</v>
      </c>
      <c r="EO123" s="40">
        <v>0.48</v>
      </c>
      <c r="EP123" s="40">
        <v>0.28000000000000003</v>
      </c>
      <c r="EQ123" s="40">
        <v>0.28999999999999998</v>
      </c>
      <c r="ER123" s="40">
        <v>0.53</v>
      </c>
      <c r="ES123" s="40">
        <v>0.57999999999999996</v>
      </c>
      <c r="ET123" s="40">
        <v>0.32</v>
      </c>
      <c r="EU123" s="40">
        <v>0.64</v>
      </c>
      <c r="EV123" s="40">
        <v>0.33</v>
      </c>
      <c r="EW123" s="40">
        <v>0.46</v>
      </c>
      <c r="EX123" s="40">
        <v>0.64</v>
      </c>
      <c r="EY123" s="40">
        <v>0.55000000000000004</v>
      </c>
      <c r="EZ123" s="40">
        <v>0.17</v>
      </c>
      <c r="FA123" s="40">
        <v>0.43</v>
      </c>
      <c r="FB123" s="246">
        <v>49</v>
      </c>
      <c r="FC123" s="246" t="s">
        <v>758</v>
      </c>
      <c r="FD123" s="246">
        <v>9</v>
      </c>
      <c r="FE123" s="246" t="s">
        <v>758</v>
      </c>
      <c r="FF123" s="263">
        <v>0.19</v>
      </c>
      <c r="FG123" s="263">
        <v>0.54</v>
      </c>
      <c r="FH123" s="263">
        <v>0.27</v>
      </c>
      <c r="FI123" s="263">
        <v>0</v>
      </c>
      <c r="FJ123" s="263">
        <v>0.51</v>
      </c>
      <c r="FK123" s="263">
        <v>0.63</v>
      </c>
      <c r="FL123" s="263">
        <v>0.45</v>
      </c>
      <c r="FM123" s="263">
        <v>0.44</v>
      </c>
      <c r="FN123" s="263">
        <v>0.31</v>
      </c>
      <c r="FO123" s="263">
        <v>0.28000000000000003</v>
      </c>
      <c r="FP123" s="263">
        <v>0.37</v>
      </c>
      <c r="FQ123" s="263">
        <v>0.41</v>
      </c>
      <c r="FR123" s="263">
        <v>0.66</v>
      </c>
      <c r="FS123" s="263">
        <v>0.44</v>
      </c>
      <c r="FT123" s="263">
        <v>0.46</v>
      </c>
      <c r="FU123" s="263">
        <v>0.33</v>
      </c>
      <c r="FV123" s="263">
        <v>0.56999999999999995</v>
      </c>
      <c r="FW123" s="263">
        <v>0.54</v>
      </c>
      <c r="FX123" s="263">
        <v>0.41</v>
      </c>
      <c r="FY123" s="263">
        <v>0.36</v>
      </c>
      <c r="FZ123" s="263">
        <v>0.49</v>
      </c>
      <c r="GA123" s="263">
        <v>0.57999999999999996</v>
      </c>
      <c r="GB123" s="263">
        <v>0.61</v>
      </c>
      <c r="GC123" s="263">
        <v>0.52</v>
      </c>
      <c r="GD123" s="263">
        <v>0.64</v>
      </c>
      <c r="GE123" s="263">
        <v>0.55000000000000004</v>
      </c>
      <c r="GF123" s="263">
        <v>0.45</v>
      </c>
      <c r="GG123" s="263">
        <v>0.39</v>
      </c>
      <c r="GH123" s="263">
        <v>0.51</v>
      </c>
      <c r="GI123" s="263">
        <v>0.27</v>
      </c>
      <c r="GJ123" s="309">
        <v>56</v>
      </c>
      <c r="GK123" s="309" t="s">
        <v>758</v>
      </c>
      <c r="GL123" s="309">
        <v>8</v>
      </c>
      <c r="GM123" s="309" t="s">
        <v>758</v>
      </c>
      <c r="GN123" s="327">
        <v>0.06</v>
      </c>
      <c r="GO123" s="327">
        <v>0.41</v>
      </c>
      <c r="GP123" s="327">
        <v>0.53</v>
      </c>
      <c r="GQ123" s="327">
        <v>0</v>
      </c>
      <c r="GR123" s="327">
        <v>0.33</v>
      </c>
      <c r="GS123" s="327">
        <v>0.44</v>
      </c>
      <c r="GT123" s="327">
        <v>0.5</v>
      </c>
      <c r="GU123" s="327">
        <v>0.12</v>
      </c>
      <c r="GV123" s="327">
        <v>0.46</v>
      </c>
      <c r="GW123" s="327">
        <v>0.34</v>
      </c>
      <c r="GX123" s="327">
        <v>0.3</v>
      </c>
      <c r="GY123" s="309" t="s">
        <v>173</v>
      </c>
      <c r="GZ123" s="327">
        <v>0.16</v>
      </c>
      <c r="HA123" s="327">
        <v>0.5</v>
      </c>
      <c r="HB123" s="327">
        <v>0.37</v>
      </c>
      <c r="HC123" s="327">
        <v>0.47</v>
      </c>
      <c r="HD123" s="327">
        <v>0.46</v>
      </c>
      <c r="HE123" s="327">
        <v>0.3</v>
      </c>
      <c r="HF123" s="327">
        <v>0.34</v>
      </c>
      <c r="HG123" s="327">
        <v>0.68</v>
      </c>
      <c r="HH123" s="327">
        <v>0.31</v>
      </c>
      <c r="HI123" s="327">
        <v>0.53</v>
      </c>
      <c r="HJ123" s="327">
        <v>0.54</v>
      </c>
      <c r="HK123" s="327">
        <v>0.46</v>
      </c>
      <c r="HL123" s="327">
        <v>0.31</v>
      </c>
      <c r="HM123" s="327">
        <v>0.44</v>
      </c>
      <c r="HN123" s="327">
        <v>0.45</v>
      </c>
      <c r="HO123" s="327">
        <v>0.25</v>
      </c>
      <c r="HP123" s="309" t="s">
        <v>173</v>
      </c>
      <c r="HQ123" s="327">
        <v>0.3</v>
      </c>
      <c r="HR123" s="424">
        <v>55</v>
      </c>
      <c r="HS123" s="424" t="s">
        <v>758</v>
      </c>
      <c r="HT123" s="424">
        <v>8</v>
      </c>
      <c r="HU123" s="424" t="s">
        <v>758</v>
      </c>
      <c r="HV123" s="428">
        <v>0.09</v>
      </c>
      <c r="HW123" s="428">
        <v>0.38</v>
      </c>
      <c r="HX123" s="428">
        <v>0.52</v>
      </c>
      <c r="HY123" s="428">
        <v>0.02</v>
      </c>
      <c r="HZ123" s="428">
        <v>0.32</v>
      </c>
      <c r="IA123" s="428">
        <v>0.46</v>
      </c>
      <c r="IB123" s="428">
        <v>0.23</v>
      </c>
      <c r="IC123" s="428">
        <v>0.45</v>
      </c>
      <c r="ID123" s="428">
        <v>0.56000000000000005</v>
      </c>
      <c r="IE123" s="428">
        <v>0.2</v>
      </c>
      <c r="IF123" s="428">
        <v>0.26</v>
      </c>
      <c r="IG123" s="428">
        <v>0.41</v>
      </c>
      <c r="IH123" s="428">
        <v>0.42</v>
      </c>
      <c r="II123" s="428">
        <v>0.16</v>
      </c>
      <c r="IJ123" s="428">
        <v>0.17</v>
      </c>
      <c r="IK123" s="428">
        <v>0.52</v>
      </c>
      <c r="IL123" s="428">
        <v>0.25</v>
      </c>
      <c r="IM123" s="428">
        <v>0.53</v>
      </c>
      <c r="IN123" s="428">
        <v>0.39</v>
      </c>
      <c r="IO123" s="428">
        <v>0.42</v>
      </c>
      <c r="IP123" s="428">
        <v>0.32</v>
      </c>
      <c r="IQ123" s="428">
        <v>0.56000000000000005</v>
      </c>
      <c r="IR123" s="428">
        <v>0.51</v>
      </c>
      <c r="IS123" s="428">
        <v>0.47</v>
      </c>
      <c r="IT123" s="428">
        <v>0.38</v>
      </c>
      <c r="IU123" s="424" t="s">
        <v>173</v>
      </c>
      <c r="IV123" s="428">
        <v>0.54</v>
      </c>
      <c r="IW123" s="428">
        <v>0.38</v>
      </c>
      <c r="IX123" s="428">
        <v>0.37</v>
      </c>
      <c r="IY123" s="428">
        <v>0.44</v>
      </c>
      <c r="IZ123" s="464">
        <v>53</v>
      </c>
      <c r="JA123" s="464" t="s">
        <v>758</v>
      </c>
      <c r="JB123" s="464">
        <v>10</v>
      </c>
      <c r="JC123" s="464" t="s">
        <v>758</v>
      </c>
      <c r="JD123" s="476">
        <v>0.17</v>
      </c>
      <c r="JE123" s="476">
        <v>0.4</v>
      </c>
      <c r="JF123" s="476">
        <v>0.44</v>
      </c>
      <c r="JG123" s="476">
        <v>0</v>
      </c>
      <c r="JH123" s="476">
        <v>0.52</v>
      </c>
      <c r="JI123" s="476">
        <v>0.45</v>
      </c>
      <c r="JJ123" s="476">
        <v>0.4</v>
      </c>
      <c r="JK123" s="476">
        <v>0.47</v>
      </c>
      <c r="JL123" s="476">
        <v>0.49</v>
      </c>
      <c r="JM123" s="476">
        <v>0.48</v>
      </c>
      <c r="JN123" s="476">
        <v>0.4</v>
      </c>
      <c r="JO123" s="476">
        <v>0.56000000000000005</v>
      </c>
      <c r="JP123" s="476">
        <v>0.48</v>
      </c>
      <c r="JQ123" s="476">
        <v>0.28999999999999998</v>
      </c>
      <c r="JR123" s="476">
        <v>0.56000000000000005</v>
      </c>
      <c r="JS123" s="476">
        <v>0.44</v>
      </c>
      <c r="JT123" s="476">
        <v>0.45</v>
      </c>
      <c r="JU123" s="476">
        <v>0.47</v>
      </c>
      <c r="JV123" s="476">
        <v>0.42</v>
      </c>
      <c r="JW123" s="476">
        <v>0.44</v>
      </c>
      <c r="JX123" s="476">
        <v>0.27</v>
      </c>
      <c r="JY123" s="476">
        <v>0.55000000000000004</v>
      </c>
      <c r="JZ123" s="476">
        <v>0.49</v>
      </c>
      <c r="KA123" s="476">
        <v>0.65</v>
      </c>
      <c r="KB123" s="476">
        <v>0.36</v>
      </c>
      <c r="KC123" s="476">
        <v>0.67</v>
      </c>
      <c r="KD123" s="476">
        <v>0.31</v>
      </c>
      <c r="KE123" s="476">
        <v>0.56000000000000005</v>
      </c>
      <c r="KF123" s="476">
        <v>0.38</v>
      </c>
      <c r="KG123" s="476">
        <v>0.52</v>
      </c>
      <c r="KH123" s="971">
        <v>57</v>
      </c>
      <c r="KI123" s="971" t="s">
        <v>758</v>
      </c>
      <c r="KJ123" s="971">
        <v>10</v>
      </c>
      <c r="KK123" s="971" t="s">
        <v>758</v>
      </c>
      <c r="KL123" s="949">
        <v>7.0000000000000007E-2</v>
      </c>
      <c r="KM123" s="949">
        <v>0.34</v>
      </c>
      <c r="KN123" s="949">
        <v>0.51</v>
      </c>
      <c r="KO123" s="949">
        <v>7.0000000000000007E-2</v>
      </c>
      <c r="KP123" s="949">
        <v>0.42</v>
      </c>
      <c r="KQ123" s="949">
        <v>0.13</v>
      </c>
      <c r="KR123" s="949">
        <v>0.51</v>
      </c>
      <c r="KS123" s="949">
        <v>0.37</v>
      </c>
      <c r="KT123" s="949">
        <v>0.52</v>
      </c>
      <c r="KU123" s="949">
        <v>0.35</v>
      </c>
      <c r="KV123" s="949">
        <v>0.57999999999999996</v>
      </c>
      <c r="KW123" s="949">
        <v>0.31</v>
      </c>
      <c r="KX123" s="949">
        <v>0.25</v>
      </c>
      <c r="KY123" s="949">
        <v>0.52</v>
      </c>
      <c r="KZ123" s="949">
        <v>0.23</v>
      </c>
      <c r="LA123" s="949">
        <v>0.38</v>
      </c>
      <c r="LB123" s="949">
        <v>0.31</v>
      </c>
      <c r="LC123" s="949">
        <v>0.23</v>
      </c>
      <c r="LD123" s="949">
        <v>0.41</v>
      </c>
      <c r="LE123" s="949">
        <v>0.41</v>
      </c>
      <c r="LF123" s="949">
        <v>0.22</v>
      </c>
      <c r="LG123" s="949">
        <v>0.19</v>
      </c>
      <c r="LH123" s="949">
        <v>0.37</v>
      </c>
      <c r="LI123" s="949">
        <v>0.41</v>
      </c>
      <c r="LJ123" s="949">
        <v>0.41</v>
      </c>
      <c r="LK123" s="949">
        <v>0.4</v>
      </c>
      <c r="LL123" s="949" t="s">
        <v>173</v>
      </c>
      <c r="LM123" s="949">
        <v>0.56999999999999995</v>
      </c>
      <c r="LN123" s="949">
        <v>0.59</v>
      </c>
      <c r="LO123" s="949">
        <v>0.28999999999999998</v>
      </c>
      <c r="LP123" s="922">
        <v>325754004076</v>
      </c>
      <c r="LQ123" s="126" t="s">
        <v>62</v>
      </c>
      <c r="LR123" s="424">
        <v>55</v>
      </c>
      <c r="LS123" s="971">
        <v>57</v>
      </c>
      <c r="LT123" s="946"/>
    </row>
    <row r="124" spans="1:332" ht="24.95" customHeight="1" x14ac:dyDescent="0.2">
      <c r="A124" s="126" t="s">
        <v>103</v>
      </c>
      <c r="B124" s="1" t="s">
        <v>121</v>
      </c>
      <c r="C124" s="2">
        <v>4</v>
      </c>
      <c r="D124" s="12">
        <v>50</v>
      </c>
      <c r="E124" s="12">
        <v>7</v>
      </c>
      <c r="F124" s="66">
        <v>0.14000000000000001</v>
      </c>
      <c r="G124" s="66">
        <v>0.69</v>
      </c>
      <c r="H124" s="66">
        <v>0.17</v>
      </c>
      <c r="I124" s="66">
        <v>0</v>
      </c>
      <c r="J124" s="66">
        <v>0.42</v>
      </c>
      <c r="K124" s="66">
        <v>0.31</v>
      </c>
      <c r="L124" s="66">
        <v>0.83</v>
      </c>
      <c r="M124" s="66">
        <v>0.16</v>
      </c>
      <c r="N124" s="66">
        <v>0.42</v>
      </c>
      <c r="O124" s="66">
        <v>0.78</v>
      </c>
      <c r="P124" s="66">
        <v>0.39</v>
      </c>
      <c r="Q124" s="66">
        <v>0.47</v>
      </c>
      <c r="R124" s="66">
        <v>0.6</v>
      </c>
      <c r="S124" s="66">
        <v>0.63</v>
      </c>
      <c r="T124" s="66">
        <v>0.59</v>
      </c>
      <c r="U124" s="66">
        <v>0.68</v>
      </c>
      <c r="V124" s="66">
        <v>0.11</v>
      </c>
      <c r="W124" s="66">
        <v>0.21</v>
      </c>
      <c r="X124" s="66">
        <v>0.61</v>
      </c>
      <c r="Y124" s="66">
        <v>0.53</v>
      </c>
      <c r="Z124" s="12" t="s">
        <v>173</v>
      </c>
      <c r="AA124" s="66">
        <v>0.05</v>
      </c>
      <c r="AB124" s="66">
        <v>0.51</v>
      </c>
      <c r="AC124" s="66">
        <v>0.34</v>
      </c>
      <c r="AD124" s="66">
        <v>0.45</v>
      </c>
      <c r="AE124" s="66">
        <v>0.57999999999999996</v>
      </c>
      <c r="AF124" s="66">
        <v>0.61</v>
      </c>
      <c r="AG124" s="66">
        <v>0.59</v>
      </c>
      <c r="AH124" s="12">
        <v>49</v>
      </c>
      <c r="AI124" s="12">
        <v>7</v>
      </c>
      <c r="AJ124" s="40">
        <v>0.1</v>
      </c>
      <c r="AK124" s="40">
        <v>0.72</v>
      </c>
      <c r="AL124" s="40">
        <v>0.18</v>
      </c>
      <c r="AM124" s="40">
        <v>0</v>
      </c>
      <c r="AN124" s="40">
        <v>0.33</v>
      </c>
      <c r="AO124" s="40">
        <v>0.54</v>
      </c>
      <c r="AP124" s="40">
        <v>0.67</v>
      </c>
      <c r="AQ124" s="40">
        <v>0.5</v>
      </c>
      <c r="AR124" s="40">
        <v>0.6</v>
      </c>
      <c r="AS124" s="40">
        <v>0.56000000000000005</v>
      </c>
      <c r="AT124" s="40">
        <v>0.56000000000000005</v>
      </c>
      <c r="AU124" s="40">
        <v>0.6</v>
      </c>
      <c r="AV124" s="40">
        <v>0.63</v>
      </c>
      <c r="AW124" s="40">
        <v>0.61</v>
      </c>
      <c r="AX124" s="40">
        <v>0.71</v>
      </c>
      <c r="AY124" s="40">
        <v>0.48</v>
      </c>
      <c r="AZ124" s="40">
        <v>0.3</v>
      </c>
      <c r="BA124" s="40">
        <v>0.56000000000000005</v>
      </c>
      <c r="BB124" s="40">
        <v>0.73</v>
      </c>
      <c r="BC124" s="40">
        <v>0.71</v>
      </c>
      <c r="BD124" s="40">
        <v>0.43</v>
      </c>
      <c r="BE124" s="40">
        <v>0.62</v>
      </c>
      <c r="BF124" s="40">
        <v>0.62</v>
      </c>
      <c r="BG124" s="40">
        <v>0.6</v>
      </c>
      <c r="BH124" s="40">
        <v>0.51</v>
      </c>
      <c r="BI124" s="40">
        <v>0.52</v>
      </c>
      <c r="BJ124" s="40">
        <v>0.44</v>
      </c>
      <c r="BK124" s="40">
        <v>0.52</v>
      </c>
      <c r="BL124" s="40">
        <v>0.62</v>
      </c>
      <c r="BM124" s="12">
        <v>45</v>
      </c>
      <c r="BN124" s="12">
        <v>7</v>
      </c>
      <c r="BO124" s="66">
        <v>0.3</v>
      </c>
      <c r="BP124" s="66">
        <v>0.64</v>
      </c>
      <c r="BQ124" s="66">
        <v>0.06</v>
      </c>
      <c r="BR124" s="66">
        <v>0</v>
      </c>
      <c r="BS124" s="66">
        <v>0.42</v>
      </c>
      <c r="BT124" s="66">
        <v>0.73</v>
      </c>
      <c r="BU124" s="66">
        <v>0.72</v>
      </c>
      <c r="BV124" s="66">
        <v>0.56000000000000005</v>
      </c>
      <c r="BW124" s="66">
        <v>0.7</v>
      </c>
      <c r="BX124" s="66">
        <v>0.51</v>
      </c>
      <c r="BY124" s="66">
        <v>0.49</v>
      </c>
      <c r="BZ124" s="66">
        <v>0.57999999999999996</v>
      </c>
      <c r="CA124" s="66">
        <v>0.6</v>
      </c>
      <c r="CB124" s="66">
        <v>0.52</v>
      </c>
      <c r="CC124" s="66">
        <v>0.36</v>
      </c>
      <c r="CD124" s="66">
        <v>0.53</v>
      </c>
      <c r="CE124" s="66">
        <v>0.37</v>
      </c>
      <c r="CF124" s="66">
        <v>0.7</v>
      </c>
      <c r="CG124" s="66">
        <v>0.75</v>
      </c>
      <c r="CH124" s="66">
        <v>0.63</v>
      </c>
      <c r="CI124" s="66">
        <v>0.69</v>
      </c>
      <c r="CJ124" s="66">
        <v>0.42</v>
      </c>
      <c r="CK124" s="66">
        <v>0.78</v>
      </c>
      <c r="CL124" s="66">
        <v>0.37</v>
      </c>
      <c r="CM124" s="66">
        <v>0.63</v>
      </c>
      <c r="CN124" s="66">
        <v>0.56000000000000005</v>
      </c>
      <c r="CO124" s="66">
        <v>0.46</v>
      </c>
      <c r="CP124" s="66">
        <v>0.49</v>
      </c>
      <c r="CQ124" s="66">
        <v>0.6</v>
      </c>
      <c r="CR124" s="66">
        <v>0.66</v>
      </c>
      <c r="CS124" s="12">
        <v>45</v>
      </c>
      <c r="CT124" s="12">
        <v>8</v>
      </c>
      <c r="CU124" s="63">
        <v>0.28999999999999998</v>
      </c>
      <c r="CV124" s="63">
        <v>0.63</v>
      </c>
      <c r="CW124" s="63">
        <v>7.0000000000000007E-2</v>
      </c>
      <c r="CX124" s="63">
        <v>0</v>
      </c>
      <c r="CY124" s="63">
        <v>0.56999999999999995</v>
      </c>
      <c r="CZ124" s="63">
        <v>0.46</v>
      </c>
      <c r="DA124" s="63">
        <v>0.56000000000000005</v>
      </c>
      <c r="DB124" s="63">
        <v>0.48</v>
      </c>
      <c r="DC124" s="63">
        <v>0.56999999999999995</v>
      </c>
      <c r="DD124" s="63">
        <v>0.62</v>
      </c>
      <c r="DE124" s="63">
        <v>0.51</v>
      </c>
      <c r="DF124" s="63">
        <v>0.56000000000000005</v>
      </c>
      <c r="DG124" s="63">
        <v>0.51</v>
      </c>
      <c r="DH124" s="63">
        <v>0.37</v>
      </c>
      <c r="DI124" s="63">
        <v>0.66</v>
      </c>
      <c r="DJ124" s="63">
        <v>0.56000000000000005</v>
      </c>
      <c r="DK124" s="63">
        <v>0.52</v>
      </c>
      <c r="DL124" s="63">
        <v>0.44</v>
      </c>
      <c r="DM124" s="63">
        <v>0.69</v>
      </c>
      <c r="DN124" s="63">
        <v>0.56000000000000005</v>
      </c>
      <c r="DO124" s="63">
        <v>0.35</v>
      </c>
      <c r="DP124" s="63">
        <v>0.53</v>
      </c>
      <c r="DQ124" s="63">
        <v>0.64</v>
      </c>
      <c r="DR124" s="63">
        <v>0.37</v>
      </c>
      <c r="DS124" s="63">
        <v>0.35</v>
      </c>
      <c r="DT124" s="63">
        <v>0.65</v>
      </c>
      <c r="DU124" s="63">
        <v>0.62</v>
      </c>
      <c r="DV124" s="63">
        <v>0.71</v>
      </c>
      <c r="DW124" s="63">
        <v>0.43</v>
      </c>
      <c r="DX124" s="35">
        <v>45</v>
      </c>
      <c r="DY124" s="35">
        <v>7</v>
      </c>
      <c r="DZ124" s="40">
        <v>0.22</v>
      </c>
      <c r="EA124" s="40">
        <v>0.78</v>
      </c>
      <c r="EB124" s="40">
        <v>0</v>
      </c>
      <c r="EC124" s="40">
        <v>0</v>
      </c>
      <c r="ED124" s="40">
        <v>0.48</v>
      </c>
      <c r="EE124" s="40">
        <v>0.56000000000000005</v>
      </c>
      <c r="EF124" s="40">
        <v>0.6</v>
      </c>
      <c r="EG124" s="40">
        <v>0.46</v>
      </c>
      <c r="EH124" s="40">
        <v>0.41</v>
      </c>
      <c r="EI124" s="40">
        <v>0.6</v>
      </c>
      <c r="EJ124" s="40">
        <v>0.75</v>
      </c>
      <c r="EK124" s="40">
        <v>0.41</v>
      </c>
      <c r="EL124" s="40">
        <v>0.52</v>
      </c>
      <c r="EM124" s="40">
        <v>0.79</v>
      </c>
      <c r="EN124" s="40">
        <v>0.68</v>
      </c>
      <c r="EO124" s="40">
        <v>0.76</v>
      </c>
      <c r="EP124" s="40">
        <v>0.43</v>
      </c>
      <c r="EQ124" s="40">
        <v>0.53</v>
      </c>
      <c r="ER124" s="40">
        <v>0.67</v>
      </c>
      <c r="ES124" s="40">
        <v>0.51</v>
      </c>
      <c r="ET124" s="40">
        <v>0.4</v>
      </c>
      <c r="EU124" s="40">
        <v>0.79</v>
      </c>
      <c r="EV124" s="40">
        <v>0.47</v>
      </c>
      <c r="EW124" s="40">
        <v>0.39</v>
      </c>
      <c r="EX124" s="40">
        <v>0.81</v>
      </c>
      <c r="EY124" s="40">
        <v>0.63</v>
      </c>
      <c r="EZ124" s="40">
        <v>0.17</v>
      </c>
      <c r="FA124" s="40">
        <v>0.69</v>
      </c>
      <c r="FB124" s="246">
        <v>47</v>
      </c>
      <c r="FC124" s="246" t="s">
        <v>758</v>
      </c>
      <c r="FD124" s="246">
        <v>8</v>
      </c>
      <c r="FE124" s="246" t="s">
        <v>758</v>
      </c>
      <c r="FF124" s="263">
        <v>0.27</v>
      </c>
      <c r="FG124" s="263">
        <v>0.53</v>
      </c>
      <c r="FH124" s="263">
        <v>0.2</v>
      </c>
      <c r="FI124" s="263">
        <v>0</v>
      </c>
      <c r="FJ124" s="263">
        <v>0.6</v>
      </c>
      <c r="FK124" s="263">
        <v>0.78</v>
      </c>
      <c r="FL124" s="263">
        <v>0.62</v>
      </c>
      <c r="FM124" s="263">
        <v>0.57999999999999996</v>
      </c>
      <c r="FN124" s="263">
        <v>0.47</v>
      </c>
      <c r="FO124" s="263">
        <v>0.4</v>
      </c>
      <c r="FP124" s="263">
        <v>0.49</v>
      </c>
      <c r="FQ124" s="263">
        <v>0.44</v>
      </c>
      <c r="FR124" s="263">
        <v>0.62</v>
      </c>
      <c r="FS124" s="263">
        <v>0.63</v>
      </c>
      <c r="FT124" s="263">
        <v>0.57999999999999996</v>
      </c>
      <c r="FU124" s="263">
        <v>0.25</v>
      </c>
      <c r="FV124" s="263">
        <v>0.63</v>
      </c>
      <c r="FW124" s="263">
        <v>0.66</v>
      </c>
      <c r="FX124" s="263">
        <v>0.53</v>
      </c>
      <c r="FY124" s="263">
        <v>0.44</v>
      </c>
      <c r="FZ124" s="263">
        <v>0.41</v>
      </c>
      <c r="GA124" s="263">
        <v>0.5</v>
      </c>
      <c r="GB124" s="263">
        <v>0.61</v>
      </c>
      <c r="GC124" s="263">
        <v>0.41</v>
      </c>
      <c r="GD124" s="263">
        <v>0.6</v>
      </c>
      <c r="GE124" s="263">
        <v>0.59</v>
      </c>
      <c r="GF124" s="263">
        <v>0.45</v>
      </c>
      <c r="GG124" s="263">
        <v>0.48</v>
      </c>
      <c r="GH124" s="263">
        <v>0.63</v>
      </c>
      <c r="GI124" s="263">
        <v>0.27</v>
      </c>
      <c r="GJ124" s="309">
        <v>46</v>
      </c>
      <c r="GK124" s="309" t="s">
        <v>758</v>
      </c>
      <c r="GL124" s="309">
        <v>8</v>
      </c>
      <c r="GM124" s="309" t="s">
        <v>758</v>
      </c>
      <c r="GN124" s="327">
        <v>0.28000000000000003</v>
      </c>
      <c r="GO124" s="327">
        <v>0.61</v>
      </c>
      <c r="GP124" s="327">
        <v>0.11</v>
      </c>
      <c r="GQ124" s="327">
        <v>0</v>
      </c>
      <c r="GR124" s="327">
        <v>0.68</v>
      </c>
      <c r="GS124" s="327">
        <v>0.77</v>
      </c>
      <c r="GT124" s="327">
        <v>0.74</v>
      </c>
      <c r="GU124" s="327">
        <v>0.26</v>
      </c>
      <c r="GV124" s="327">
        <v>0.64</v>
      </c>
      <c r="GW124" s="327">
        <v>0.57999999999999996</v>
      </c>
      <c r="GX124" s="327">
        <v>0.56999999999999995</v>
      </c>
      <c r="GY124" s="309" t="s">
        <v>173</v>
      </c>
      <c r="GZ124" s="327">
        <v>0.35</v>
      </c>
      <c r="HA124" s="327">
        <v>0.43</v>
      </c>
      <c r="HB124" s="327">
        <v>0.59</v>
      </c>
      <c r="HC124" s="327">
        <v>0.65</v>
      </c>
      <c r="HD124" s="327">
        <v>0.6</v>
      </c>
      <c r="HE124" s="327">
        <v>0.53</v>
      </c>
      <c r="HF124" s="327">
        <v>0.6</v>
      </c>
      <c r="HG124" s="327">
        <v>0.67</v>
      </c>
      <c r="HH124" s="327">
        <v>0.48</v>
      </c>
      <c r="HI124" s="327">
        <v>0.54</v>
      </c>
      <c r="HJ124" s="327">
        <v>0.65</v>
      </c>
      <c r="HK124" s="327">
        <v>0.66</v>
      </c>
      <c r="HL124" s="327">
        <v>0.45</v>
      </c>
      <c r="HM124" s="327">
        <v>0.66</v>
      </c>
      <c r="HN124" s="327">
        <v>0.55000000000000004</v>
      </c>
      <c r="HO124" s="327">
        <v>0.52</v>
      </c>
      <c r="HP124" s="309" t="s">
        <v>173</v>
      </c>
      <c r="HQ124" s="327">
        <v>0.47</v>
      </c>
      <c r="HR124" s="424">
        <v>47</v>
      </c>
      <c r="HS124" s="424" t="s">
        <v>758</v>
      </c>
      <c r="HT124" s="424">
        <v>10</v>
      </c>
      <c r="HU124" s="424" t="s">
        <v>758</v>
      </c>
      <c r="HV124" s="428">
        <v>0.34</v>
      </c>
      <c r="HW124" s="428">
        <v>0.47</v>
      </c>
      <c r="HX124" s="428">
        <v>0.19</v>
      </c>
      <c r="HY124" s="428">
        <v>0</v>
      </c>
      <c r="HZ124" s="428">
        <v>0.56000000000000005</v>
      </c>
      <c r="IA124" s="428">
        <v>0.62</v>
      </c>
      <c r="IB124" s="428">
        <v>0.61</v>
      </c>
      <c r="IC124" s="428">
        <v>0.63</v>
      </c>
      <c r="ID124" s="428">
        <v>0.57999999999999996</v>
      </c>
      <c r="IE124" s="428">
        <v>0.41</v>
      </c>
      <c r="IF124" s="428">
        <v>0.52</v>
      </c>
      <c r="IG124" s="428">
        <v>0.59</v>
      </c>
      <c r="IH124" s="428">
        <v>0.5</v>
      </c>
      <c r="II124" s="428">
        <v>0.26</v>
      </c>
      <c r="IJ124" s="428">
        <v>0.4</v>
      </c>
      <c r="IK124" s="428">
        <v>0.7</v>
      </c>
      <c r="IL124" s="428">
        <v>0.35</v>
      </c>
      <c r="IM124" s="428">
        <v>0.69</v>
      </c>
      <c r="IN124" s="428">
        <v>0.52</v>
      </c>
      <c r="IO124" s="428">
        <v>0.57999999999999996</v>
      </c>
      <c r="IP124" s="428">
        <v>0.53</v>
      </c>
      <c r="IQ124" s="428">
        <v>0.75</v>
      </c>
      <c r="IR124" s="428">
        <v>0.51</v>
      </c>
      <c r="IS124" s="428">
        <v>0.55000000000000004</v>
      </c>
      <c r="IT124" s="428">
        <v>0.61</v>
      </c>
      <c r="IU124" s="424" t="s">
        <v>173</v>
      </c>
      <c r="IV124" s="428">
        <v>0.64</v>
      </c>
      <c r="IW124" s="428">
        <v>0.47</v>
      </c>
      <c r="IX124" s="428">
        <v>0.72</v>
      </c>
      <c r="IY124" s="428">
        <v>0.45</v>
      </c>
      <c r="IZ124" s="464">
        <v>48</v>
      </c>
      <c r="JA124" s="464" t="s">
        <v>758</v>
      </c>
      <c r="JB124" s="464">
        <v>9</v>
      </c>
      <c r="JC124" s="464" t="s">
        <v>758</v>
      </c>
      <c r="JD124" s="476">
        <v>0.27</v>
      </c>
      <c r="JE124" s="476">
        <v>0.53</v>
      </c>
      <c r="JF124" s="476">
        <v>0.2</v>
      </c>
      <c r="JG124" s="476">
        <v>0</v>
      </c>
      <c r="JH124" s="476">
        <v>0.43</v>
      </c>
      <c r="JI124" s="476">
        <v>0.57999999999999996</v>
      </c>
      <c r="JJ124" s="476">
        <v>0.54</v>
      </c>
      <c r="JK124" s="476">
        <v>0.56000000000000005</v>
      </c>
      <c r="JL124" s="476">
        <v>0.53</v>
      </c>
      <c r="JM124" s="476">
        <v>0.52</v>
      </c>
      <c r="JN124" s="476">
        <v>0.61</v>
      </c>
      <c r="JO124" s="476">
        <v>0.55000000000000004</v>
      </c>
      <c r="JP124" s="476">
        <v>0.48</v>
      </c>
      <c r="JQ124" s="476">
        <v>0.3</v>
      </c>
      <c r="JR124" s="476">
        <v>0.72</v>
      </c>
      <c r="JS124" s="476">
        <v>0.56000000000000005</v>
      </c>
      <c r="JT124" s="476">
        <v>0.45</v>
      </c>
      <c r="JU124" s="476">
        <v>0.62</v>
      </c>
      <c r="JV124" s="476">
        <v>0.57999999999999996</v>
      </c>
      <c r="JW124" s="476">
        <v>0.47</v>
      </c>
      <c r="JX124" s="476">
        <v>0.42</v>
      </c>
      <c r="JY124" s="476">
        <v>0.49</v>
      </c>
      <c r="JZ124" s="476">
        <v>0.39</v>
      </c>
      <c r="KA124" s="476">
        <v>0.35</v>
      </c>
      <c r="KB124" s="476">
        <v>0.63</v>
      </c>
      <c r="KC124" s="476">
        <v>0.69</v>
      </c>
      <c r="KD124" s="476">
        <v>0.44</v>
      </c>
      <c r="KE124" s="476">
        <v>0.56999999999999995</v>
      </c>
      <c r="KF124" s="476">
        <v>0.45</v>
      </c>
      <c r="KG124" s="476">
        <v>0.61</v>
      </c>
      <c r="KH124" s="971">
        <v>47</v>
      </c>
      <c r="KI124" s="971" t="s">
        <v>758</v>
      </c>
      <c r="KJ124" s="971">
        <v>9</v>
      </c>
      <c r="KK124" s="971" t="s">
        <v>758</v>
      </c>
      <c r="KL124" s="949">
        <v>0.27</v>
      </c>
      <c r="KM124" s="949">
        <v>0.62</v>
      </c>
      <c r="KN124" s="949">
        <v>0.08</v>
      </c>
      <c r="KO124" s="949">
        <v>0.03</v>
      </c>
      <c r="KP124" s="949">
        <v>0.61</v>
      </c>
      <c r="KQ124" s="949">
        <v>0.37</v>
      </c>
      <c r="KR124" s="949">
        <v>0.67</v>
      </c>
      <c r="KS124" s="949">
        <v>0.64</v>
      </c>
      <c r="KT124" s="949">
        <v>0.65</v>
      </c>
      <c r="KU124" s="949">
        <v>0.44</v>
      </c>
      <c r="KV124" s="949">
        <v>0.75</v>
      </c>
      <c r="KW124" s="949">
        <v>0.53</v>
      </c>
      <c r="KX124" s="949">
        <v>0.38</v>
      </c>
      <c r="KY124" s="949">
        <v>0.61</v>
      </c>
      <c r="KZ124" s="949">
        <v>0.5</v>
      </c>
      <c r="LA124" s="949">
        <v>0.45</v>
      </c>
      <c r="LB124" s="949">
        <v>0.42</v>
      </c>
      <c r="LC124" s="949">
        <v>0.41</v>
      </c>
      <c r="LD124" s="949">
        <v>0.64</v>
      </c>
      <c r="LE124" s="949">
        <v>0.62</v>
      </c>
      <c r="LF124" s="949">
        <v>0.37</v>
      </c>
      <c r="LG124" s="949">
        <v>0.54</v>
      </c>
      <c r="LH124" s="949">
        <v>0.61</v>
      </c>
      <c r="LI124" s="949">
        <v>0.53</v>
      </c>
      <c r="LJ124" s="949">
        <v>0.52</v>
      </c>
      <c r="LK124" s="949">
        <v>0.56999999999999995</v>
      </c>
      <c r="LL124" s="949" t="s">
        <v>173</v>
      </c>
      <c r="LM124" s="949">
        <v>0.69</v>
      </c>
      <c r="LN124" s="949">
        <v>0.73</v>
      </c>
      <c r="LO124" s="949">
        <v>0.56999999999999995</v>
      </c>
      <c r="LP124" s="922">
        <v>125754000934</v>
      </c>
      <c r="LQ124" s="126" t="s">
        <v>103</v>
      </c>
      <c r="LR124" s="424">
        <v>47</v>
      </c>
      <c r="LS124" s="971">
        <v>47</v>
      </c>
      <c r="LT124" s="946"/>
    </row>
    <row r="125" spans="1:332" ht="24.95" customHeight="1" x14ac:dyDescent="0.2">
      <c r="A125" s="126" t="s">
        <v>802</v>
      </c>
      <c r="B125" s="1" t="s">
        <v>121</v>
      </c>
      <c r="C125" s="2">
        <v>2</v>
      </c>
      <c r="D125" s="12"/>
      <c r="E125" s="12"/>
      <c r="F125" s="66"/>
      <c r="G125" s="66"/>
      <c r="H125" s="66"/>
      <c r="I125" s="66"/>
      <c r="J125" s="66"/>
      <c r="K125" s="66"/>
      <c r="L125" s="66"/>
      <c r="M125" s="66"/>
      <c r="N125" s="66"/>
      <c r="O125" s="66"/>
      <c r="P125" s="66"/>
      <c r="Q125" s="66"/>
      <c r="R125" s="66"/>
      <c r="S125" s="66"/>
      <c r="T125" s="66"/>
      <c r="U125" s="66"/>
      <c r="V125" s="66"/>
      <c r="W125" s="66"/>
      <c r="X125" s="66"/>
      <c r="Y125" s="66"/>
      <c r="Z125" s="12"/>
      <c r="AA125" s="66"/>
      <c r="AB125" s="66"/>
      <c r="AC125" s="66"/>
      <c r="AD125" s="66"/>
      <c r="AE125" s="66"/>
      <c r="AF125" s="66"/>
      <c r="AG125" s="66"/>
      <c r="AH125" s="12"/>
      <c r="AI125" s="12"/>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12"/>
      <c r="BN125" s="12"/>
      <c r="BO125" s="66"/>
      <c r="BP125" s="66"/>
      <c r="BQ125" s="66"/>
      <c r="BR125" s="66"/>
      <c r="BS125" s="66"/>
      <c r="BT125" s="66"/>
      <c r="BU125" s="66"/>
      <c r="BV125" s="66"/>
      <c r="BW125" s="66"/>
      <c r="BX125" s="66"/>
      <c r="BY125" s="66"/>
      <c r="BZ125" s="66"/>
      <c r="CA125" s="66"/>
      <c r="CB125" s="66"/>
      <c r="CC125" s="66"/>
      <c r="CD125" s="66"/>
      <c r="CE125" s="66"/>
      <c r="CF125" s="66"/>
      <c r="CG125" s="66"/>
      <c r="CH125" s="66"/>
      <c r="CI125" s="66"/>
      <c r="CJ125" s="66"/>
      <c r="CK125" s="66"/>
      <c r="CL125" s="66"/>
      <c r="CM125" s="66"/>
      <c r="CN125" s="66"/>
      <c r="CO125" s="66"/>
      <c r="CP125" s="66"/>
      <c r="CQ125" s="66"/>
      <c r="CR125" s="66"/>
      <c r="CS125" s="12"/>
      <c r="CT125" s="12"/>
      <c r="CU125" s="63"/>
      <c r="CV125" s="63"/>
      <c r="CW125" s="63"/>
      <c r="CX125" s="63"/>
      <c r="CY125" s="63"/>
      <c r="CZ125" s="63"/>
      <c r="DA125" s="63"/>
      <c r="DB125" s="63"/>
      <c r="DC125" s="63"/>
      <c r="DD125" s="63"/>
      <c r="DE125" s="63"/>
      <c r="DF125" s="63"/>
      <c r="DG125" s="63"/>
      <c r="DH125" s="63"/>
      <c r="DI125" s="63"/>
      <c r="DJ125" s="63"/>
      <c r="DK125" s="63"/>
      <c r="DL125" s="63"/>
      <c r="DM125" s="63"/>
      <c r="DN125" s="63"/>
      <c r="DO125" s="63"/>
      <c r="DP125" s="63"/>
      <c r="DQ125" s="63"/>
      <c r="DR125" s="63"/>
      <c r="DS125" s="63"/>
      <c r="DT125" s="63"/>
      <c r="DU125" s="63"/>
      <c r="DV125" s="63"/>
      <c r="DW125" s="63"/>
      <c r="DX125" s="35"/>
      <c r="DY125" s="35"/>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246"/>
      <c r="FC125" s="246"/>
      <c r="FD125" s="246"/>
      <c r="FE125" s="246"/>
      <c r="FF125" s="263"/>
      <c r="FG125" s="263"/>
      <c r="FH125" s="263"/>
      <c r="FI125" s="263"/>
      <c r="FJ125" s="263"/>
      <c r="FK125" s="263"/>
      <c r="FL125" s="263"/>
      <c r="FM125" s="263"/>
      <c r="FN125" s="263"/>
      <c r="FO125" s="263"/>
      <c r="FP125" s="263"/>
      <c r="FQ125" s="263"/>
      <c r="FR125" s="263"/>
      <c r="FS125" s="263"/>
      <c r="FT125" s="263"/>
      <c r="FU125" s="263"/>
      <c r="FV125" s="263"/>
      <c r="FW125" s="263"/>
      <c r="FX125" s="263"/>
      <c r="FY125" s="263"/>
      <c r="FZ125" s="263"/>
      <c r="GA125" s="263"/>
      <c r="GB125" s="263"/>
      <c r="GC125" s="263"/>
      <c r="GD125" s="263"/>
      <c r="GE125" s="263"/>
      <c r="GF125" s="263"/>
      <c r="GG125" s="263"/>
      <c r="GH125" s="263"/>
      <c r="GI125" s="263"/>
      <c r="GJ125" s="309">
        <v>51</v>
      </c>
      <c r="GK125" s="309" t="s">
        <v>758</v>
      </c>
      <c r="GL125" s="309">
        <v>6</v>
      </c>
      <c r="GM125" s="309" t="s">
        <v>758</v>
      </c>
      <c r="GN125" s="327">
        <v>0.05</v>
      </c>
      <c r="GO125" s="327">
        <v>0.61</v>
      </c>
      <c r="GP125" s="327">
        <v>0.34</v>
      </c>
      <c r="GQ125" s="327">
        <v>0</v>
      </c>
      <c r="GR125" s="327">
        <v>0.46</v>
      </c>
      <c r="GS125" s="327">
        <v>0.44</v>
      </c>
      <c r="GT125" s="327">
        <v>0.69</v>
      </c>
      <c r="GU125" s="327">
        <v>0.25</v>
      </c>
      <c r="GV125" s="327">
        <v>0.51</v>
      </c>
      <c r="GW125" s="327">
        <v>0.61</v>
      </c>
      <c r="GX125" s="327">
        <v>0.41</v>
      </c>
      <c r="GY125" s="309" t="s">
        <v>173</v>
      </c>
      <c r="GZ125" s="327">
        <v>0.4</v>
      </c>
      <c r="HA125" s="327">
        <v>0.82</v>
      </c>
      <c r="HB125" s="327">
        <v>0.39</v>
      </c>
      <c r="HC125" s="327">
        <v>0.53</v>
      </c>
      <c r="HD125" s="327">
        <v>0.64</v>
      </c>
      <c r="HE125" s="327">
        <v>0.46</v>
      </c>
      <c r="HF125" s="327">
        <v>0.49</v>
      </c>
      <c r="HG125" s="327">
        <v>0.63</v>
      </c>
      <c r="HH125" s="327">
        <v>0.32</v>
      </c>
      <c r="HI125" s="327">
        <v>0.55000000000000004</v>
      </c>
      <c r="HJ125" s="327">
        <v>0.67</v>
      </c>
      <c r="HK125" s="327">
        <v>0.38</v>
      </c>
      <c r="HL125" s="327">
        <v>0.45</v>
      </c>
      <c r="HM125" s="327">
        <v>0.45</v>
      </c>
      <c r="HN125" s="327">
        <v>0.42</v>
      </c>
      <c r="HO125" s="327">
        <v>0.4</v>
      </c>
      <c r="HP125" s="309" t="s">
        <v>173</v>
      </c>
      <c r="HQ125" s="327">
        <v>0.51</v>
      </c>
      <c r="HR125" s="424">
        <v>49</v>
      </c>
      <c r="HS125" s="424" t="s">
        <v>758</v>
      </c>
      <c r="HT125" s="424">
        <v>9</v>
      </c>
      <c r="HU125" s="424" t="s">
        <v>758</v>
      </c>
      <c r="HV125" s="428">
        <v>0.16</v>
      </c>
      <c r="HW125" s="428">
        <v>0.6</v>
      </c>
      <c r="HX125" s="428">
        <v>0.25</v>
      </c>
      <c r="HY125" s="428">
        <v>0</v>
      </c>
      <c r="HZ125" s="428">
        <v>0.41</v>
      </c>
      <c r="IA125" s="428">
        <v>0.6</v>
      </c>
      <c r="IB125" s="428">
        <v>0.4</v>
      </c>
      <c r="IC125" s="428">
        <v>0.62</v>
      </c>
      <c r="ID125" s="428">
        <v>0.61</v>
      </c>
      <c r="IE125" s="428">
        <v>0.38</v>
      </c>
      <c r="IF125" s="428">
        <v>0.39</v>
      </c>
      <c r="IG125" s="428">
        <v>0.59</v>
      </c>
      <c r="IH125" s="428">
        <v>0.55000000000000004</v>
      </c>
      <c r="II125" s="428">
        <v>0.33</v>
      </c>
      <c r="IJ125" s="428">
        <v>0.43</v>
      </c>
      <c r="IK125" s="428">
        <v>0.63</v>
      </c>
      <c r="IL125" s="428">
        <v>0.34</v>
      </c>
      <c r="IM125" s="428">
        <v>0.61</v>
      </c>
      <c r="IN125" s="428">
        <v>0.5</v>
      </c>
      <c r="IO125" s="428">
        <v>0.5</v>
      </c>
      <c r="IP125" s="428">
        <v>0.39</v>
      </c>
      <c r="IQ125" s="428">
        <v>0.65</v>
      </c>
      <c r="IR125" s="428">
        <v>0.6</v>
      </c>
      <c r="IS125" s="428">
        <v>0.55000000000000004</v>
      </c>
      <c r="IT125" s="428">
        <v>0.5</v>
      </c>
      <c r="IU125" s="424" t="s">
        <v>173</v>
      </c>
      <c r="IV125" s="428">
        <v>0.64</v>
      </c>
      <c r="IW125" s="428">
        <v>0.43</v>
      </c>
      <c r="IX125" s="428">
        <v>0.5</v>
      </c>
      <c r="IY125" s="428">
        <v>0.56000000000000005</v>
      </c>
      <c r="IZ125" s="464">
        <v>50</v>
      </c>
      <c r="JA125" s="464" t="s">
        <v>758</v>
      </c>
      <c r="JB125" s="464">
        <v>8</v>
      </c>
      <c r="JC125" s="464" t="s">
        <v>758</v>
      </c>
      <c r="JD125" s="476">
        <v>0.13</v>
      </c>
      <c r="JE125" s="476">
        <v>0.63</v>
      </c>
      <c r="JF125" s="476">
        <v>0.24</v>
      </c>
      <c r="JG125" s="476">
        <v>0</v>
      </c>
      <c r="JH125" s="476">
        <v>0.5</v>
      </c>
      <c r="JI125" s="476">
        <v>0.48</v>
      </c>
      <c r="JJ125" s="476">
        <v>0.47</v>
      </c>
      <c r="JK125" s="476">
        <v>0.54</v>
      </c>
      <c r="JL125" s="476">
        <v>0.56999999999999995</v>
      </c>
      <c r="JM125" s="476">
        <v>0.53</v>
      </c>
      <c r="JN125" s="476">
        <v>0.4</v>
      </c>
      <c r="JO125" s="476">
        <v>0.49</v>
      </c>
      <c r="JP125" s="476">
        <v>0.55000000000000004</v>
      </c>
      <c r="JQ125" s="476">
        <v>0.32</v>
      </c>
      <c r="JR125" s="476">
        <v>0.72</v>
      </c>
      <c r="JS125" s="476">
        <v>0.54</v>
      </c>
      <c r="JT125" s="476">
        <v>0.45</v>
      </c>
      <c r="JU125" s="476">
        <v>0.59</v>
      </c>
      <c r="JV125" s="476">
        <v>0.54</v>
      </c>
      <c r="JW125" s="476">
        <v>0.48</v>
      </c>
      <c r="JX125" s="476">
        <v>0.5</v>
      </c>
      <c r="JY125" s="476">
        <v>0.56999999999999995</v>
      </c>
      <c r="JZ125" s="476">
        <v>0.44</v>
      </c>
      <c r="KA125" s="476">
        <v>0.62</v>
      </c>
      <c r="KB125" s="476">
        <v>0.53</v>
      </c>
      <c r="KC125" s="476">
        <v>0.7</v>
      </c>
      <c r="KD125" s="476">
        <v>0.35</v>
      </c>
      <c r="KE125" s="476">
        <v>0.45</v>
      </c>
      <c r="KF125" s="476">
        <v>0.49</v>
      </c>
      <c r="KG125" s="476">
        <v>0.46</v>
      </c>
      <c r="KH125" s="971">
        <v>51</v>
      </c>
      <c r="KI125" s="971" t="s">
        <v>758</v>
      </c>
      <c r="KJ125" s="971">
        <v>8</v>
      </c>
      <c r="KK125" s="971" t="s">
        <v>758</v>
      </c>
      <c r="KL125" s="949">
        <v>0.1</v>
      </c>
      <c r="KM125" s="949">
        <v>0.59</v>
      </c>
      <c r="KN125" s="949">
        <v>0.31</v>
      </c>
      <c r="KO125" s="949">
        <v>0</v>
      </c>
      <c r="KP125" s="949">
        <v>0.59</v>
      </c>
      <c r="KQ125" s="949">
        <v>0.22</v>
      </c>
      <c r="KR125" s="949">
        <v>0.59</v>
      </c>
      <c r="KS125" s="949">
        <v>0.45</v>
      </c>
      <c r="KT125" s="949">
        <v>0.53</v>
      </c>
      <c r="KU125" s="949">
        <v>0.43</v>
      </c>
      <c r="KV125" s="949">
        <v>0.64</v>
      </c>
      <c r="KW125" s="949">
        <v>0.38</v>
      </c>
      <c r="KX125" s="949">
        <v>0.34</v>
      </c>
      <c r="KY125" s="949">
        <v>0.54</v>
      </c>
      <c r="KZ125" s="949">
        <v>0.46</v>
      </c>
      <c r="LA125" s="949">
        <v>0.44</v>
      </c>
      <c r="LB125" s="949">
        <v>0.43</v>
      </c>
      <c r="LC125" s="949">
        <v>0.41</v>
      </c>
      <c r="LD125" s="949">
        <v>0.55000000000000004</v>
      </c>
      <c r="LE125" s="949">
        <v>0.5</v>
      </c>
      <c r="LF125" s="949">
        <v>0.3</v>
      </c>
      <c r="LG125" s="949">
        <v>0.57999999999999996</v>
      </c>
      <c r="LH125" s="949">
        <v>0.57999999999999996</v>
      </c>
      <c r="LI125" s="949">
        <v>0.47</v>
      </c>
      <c r="LJ125" s="949">
        <v>0.39</v>
      </c>
      <c r="LK125" s="949">
        <v>0.6</v>
      </c>
      <c r="LL125" s="949" t="s">
        <v>173</v>
      </c>
      <c r="LM125" s="949">
        <v>0.56999999999999995</v>
      </c>
      <c r="LN125" s="949">
        <v>0.56000000000000005</v>
      </c>
      <c r="LO125" s="949">
        <v>0.41</v>
      </c>
      <c r="LP125" s="922">
        <v>125754800141</v>
      </c>
      <c r="LQ125" s="126" t="s">
        <v>802</v>
      </c>
      <c r="LR125" s="424">
        <v>49</v>
      </c>
      <c r="LS125" s="971">
        <v>51</v>
      </c>
      <c r="LT125" s="946"/>
    </row>
    <row r="126" spans="1:332" ht="24.95" customHeight="1" x14ac:dyDescent="0.2">
      <c r="A126" s="555" t="s">
        <v>74</v>
      </c>
      <c r="B126" s="1" t="s">
        <v>121</v>
      </c>
      <c r="C126" s="309">
        <v>3</v>
      </c>
      <c r="D126" s="328">
        <v>54</v>
      </c>
      <c r="E126" s="328">
        <v>8</v>
      </c>
      <c r="F126" s="333">
        <v>0.04</v>
      </c>
      <c r="G126" s="333">
        <v>0.6</v>
      </c>
      <c r="H126" s="333">
        <v>0.36</v>
      </c>
      <c r="I126" s="333">
        <v>0.01</v>
      </c>
      <c r="J126" s="333">
        <v>0.32</v>
      </c>
      <c r="K126" s="333">
        <v>0.31</v>
      </c>
      <c r="L126" s="333">
        <v>0.65</v>
      </c>
      <c r="M126" s="333">
        <v>0.19</v>
      </c>
      <c r="N126" s="333">
        <v>0.27</v>
      </c>
      <c r="O126" s="333">
        <v>0.66</v>
      </c>
      <c r="P126" s="333">
        <v>0.3</v>
      </c>
      <c r="Q126" s="333">
        <v>0.41</v>
      </c>
      <c r="R126" s="333">
        <v>0.49</v>
      </c>
      <c r="S126" s="333">
        <v>0.54</v>
      </c>
      <c r="T126" s="333">
        <v>0.42</v>
      </c>
      <c r="U126" s="333">
        <v>0.66</v>
      </c>
      <c r="V126" s="333">
        <v>7.0000000000000007E-2</v>
      </c>
      <c r="W126" s="333">
        <v>0.13</v>
      </c>
      <c r="X126" s="333">
        <v>0.48</v>
      </c>
      <c r="Y126" s="333">
        <v>0.38</v>
      </c>
      <c r="Z126" s="333">
        <v>0.67</v>
      </c>
      <c r="AA126" s="333">
        <v>0.06</v>
      </c>
      <c r="AB126" s="333">
        <v>0.45</v>
      </c>
      <c r="AC126" s="333">
        <v>0.22</v>
      </c>
      <c r="AD126" s="333">
        <v>0.45</v>
      </c>
      <c r="AE126" s="333">
        <v>0.42</v>
      </c>
      <c r="AF126" s="333">
        <v>0.51</v>
      </c>
      <c r="AG126" s="333">
        <v>0.47</v>
      </c>
      <c r="AH126" s="328">
        <v>52</v>
      </c>
      <c r="AI126" s="328">
        <v>8</v>
      </c>
      <c r="AJ126" s="331">
        <v>0.1</v>
      </c>
      <c r="AK126" s="331">
        <v>0.56000000000000005</v>
      </c>
      <c r="AL126" s="331">
        <v>0.34</v>
      </c>
      <c r="AM126" s="331">
        <v>0</v>
      </c>
      <c r="AN126" s="331">
        <v>0.28999999999999998</v>
      </c>
      <c r="AO126" s="331">
        <v>0.46</v>
      </c>
      <c r="AP126" s="331">
        <v>0.61</v>
      </c>
      <c r="AQ126" s="331">
        <v>0.4</v>
      </c>
      <c r="AR126" s="331">
        <v>0.53</v>
      </c>
      <c r="AS126" s="331">
        <v>0.56000000000000005</v>
      </c>
      <c r="AT126" s="331">
        <v>0.54</v>
      </c>
      <c r="AU126" s="331">
        <v>0.54</v>
      </c>
      <c r="AV126" s="331">
        <v>0.61</v>
      </c>
      <c r="AW126" s="331">
        <v>0.4</v>
      </c>
      <c r="AX126" s="331">
        <v>0.59</v>
      </c>
      <c r="AY126" s="331">
        <v>0.34</v>
      </c>
      <c r="AZ126" s="331">
        <v>0.3</v>
      </c>
      <c r="BA126" s="331">
        <v>0.46</v>
      </c>
      <c r="BB126" s="331">
        <v>0.65</v>
      </c>
      <c r="BC126" s="331">
        <v>0.65</v>
      </c>
      <c r="BD126" s="331">
        <v>0.39</v>
      </c>
      <c r="BE126" s="331">
        <v>0.62</v>
      </c>
      <c r="BF126" s="331">
        <v>0.59</v>
      </c>
      <c r="BG126" s="331">
        <v>0.53</v>
      </c>
      <c r="BH126" s="331">
        <v>0.45</v>
      </c>
      <c r="BI126" s="331">
        <v>0.4</v>
      </c>
      <c r="BJ126" s="331">
        <v>0.37</v>
      </c>
      <c r="BK126" s="331">
        <v>0.45</v>
      </c>
      <c r="BL126" s="331">
        <v>0.5</v>
      </c>
      <c r="BM126" s="328">
        <v>51</v>
      </c>
      <c r="BN126" s="328">
        <v>9</v>
      </c>
      <c r="BO126" s="333">
        <v>0.14000000000000001</v>
      </c>
      <c r="BP126" s="333">
        <v>0.53</v>
      </c>
      <c r="BQ126" s="333">
        <v>0.33</v>
      </c>
      <c r="BR126" s="333">
        <v>0</v>
      </c>
      <c r="BS126" s="333">
        <v>0.35</v>
      </c>
      <c r="BT126" s="333">
        <v>0.64</v>
      </c>
      <c r="BU126" s="333">
        <v>0.61</v>
      </c>
      <c r="BV126" s="333">
        <v>0.34</v>
      </c>
      <c r="BW126" s="333">
        <v>0.65</v>
      </c>
      <c r="BX126" s="333">
        <v>0.41</v>
      </c>
      <c r="BY126" s="333">
        <v>0.41</v>
      </c>
      <c r="BZ126" s="333">
        <v>0.54</v>
      </c>
      <c r="CA126" s="333">
        <v>0.46</v>
      </c>
      <c r="CB126" s="333">
        <v>0.28999999999999998</v>
      </c>
      <c r="CC126" s="333">
        <v>0.18</v>
      </c>
      <c r="CD126" s="333">
        <v>0.47</v>
      </c>
      <c r="CE126" s="333">
        <v>0.34</v>
      </c>
      <c r="CF126" s="333">
        <v>0.59</v>
      </c>
      <c r="CG126" s="333">
        <v>0.57999999999999996</v>
      </c>
      <c r="CH126" s="333">
        <v>0.51</v>
      </c>
      <c r="CI126" s="333">
        <v>0.59</v>
      </c>
      <c r="CJ126" s="333">
        <v>0.36</v>
      </c>
      <c r="CK126" s="333">
        <v>0.68</v>
      </c>
      <c r="CL126" s="333">
        <v>0.3</v>
      </c>
      <c r="CM126" s="333">
        <v>0.42</v>
      </c>
      <c r="CN126" s="333">
        <v>0.44</v>
      </c>
      <c r="CO126" s="333">
        <v>0.38</v>
      </c>
      <c r="CP126" s="333">
        <v>0.33</v>
      </c>
      <c r="CQ126" s="333">
        <v>0.5</v>
      </c>
      <c r="CR126" s="333">
        <v>0.54</v>
      </c>
      <c r="CS126" s="328">
        <v>48</v>
      </c>
      <c r="CT126" s="328">
        <v>8</v>
      </c>
      <c r="CU126" s="327">
        <v>0.13</v>
      </c>
      <c r="CV126" s="327">
        <v>0.7</v>
      </c>
      <c r="CW126" s="327">
        <v>0.16</v>
      </c>
      <c r="CX126" s="327">
        <v>0.01</v>
      </c>
      <c r="CY126" s="327">
        <v>0.54</v>
      </c>
      <c r="CZ126" s="327">
        <v>0.28000000000000003</v>
      </c>
      <c r="DA126" s="327">
        <v>0.61</v>
      </c>
      <c r="DB126" s="327">
        <v>0.41</v>
      </c>
      <c r="DC126" s="327">
        <v>0.51</v>
      </c>
      <c r="DD126" s="327">
        <v>0.62</v>
      </c>
      <c r="DE126" s="327">
        <v>0.45</v>
      </c>
      <c r="DF126" s="327">
        <v>0.56999999999999995</v>
      </c>
      <c r="DG126" s="327">
        <v>0.46</v>
      </c>
      <c r="DH126" s="327">
        <v>0.4</v>
      </c>
      <c r="DI126" s="327">
        <v>0.56999999999999995</v>
      </c>
      <c r="DJ126" s="327">
        <v>0.52</v>
      </c>
      <c r="DK126" s="327">
        <v>0.4</v>
      </c>
      <c r="DL126" s="327">
        <v>0.3</v>
      </c>
      <c r="DM126" s="327">
        <v>0.54</v>
      </c>
      <c r="DN126" s="327">
        <v>0.52</v>
      </c>
      <c r="DO126" s="327">
        <v>0.46</v>
      </c>
      <c r="DP126" s="327">
        <v>0.5</v>
      </c>
      <c r="DQ126" s="327">
        <v>0.59</v>
      </c>
      <c r="DR126" s="327">
        <v>0.25</v>
      </c>
      <c r="DS126" s="327">
        <v>0.38</v>
      </c>
      <c r="DT126" s="327">
        <v>0.6</v>
      </c>
      <c r="DU126" s="327">
        <v>0.6</v>
      </c>
      <c r="DV126" s="327">
        <v>0.62</v>
      </c>
      <c r="DW126" s="327">
        <v>0.35</v>
      </c>
      <c r="DX126" s="311">
        <v>48</v>
      </c>
      <c r="DY126" s="311">
        <v>8</v>
      </c>
      <c r="DZ126" s="331">
        <v>0.17</v>
      </c>
      <c r="EA126" s="331">
        <v>0.62</v>
      </c>
      <c r="EB126" s="331">
        <v>0.21</v>
      </c>
      <c r="EC126" s="331">
        <v>0</v>
      </c>
      <c r="ED126" s="331">
        <v>0.47</v>
      </c>
      <c r="EE126" s="331">
        <v>0.44</v>
      </c>
      <c r="EF126" s="331">
        <v>0.44</v>
      </c>
      <c r="EG126" s="331">
        <v>0.45</v>
      </c>
      <c r="EH126" s="331">
        <v>0.49</v>
      </c>
      <c r="EI126" s="331">
        <v>0.5</v>
      </c>
      <c r="EJ126" s="331">
        <v>0.64</v>
      </c>
      <c r="EK126" s="331">
        <v>0.28999999999999998</v>
      </c>
      <c r="EL126" s="331">
        <v>0.46</v>
      </c>
      <c r="EM126" s="331">
        <v>0.78</v>
      </c>
      <c r="EN126" s="331">
        <v>0.52</v>
      </c>
      <c r="EO126" s="331">
        <v>0.6</v>
      </c>
      <c r="EP126" s="331">
        <v>0.39</v>
      </c>
      <c r="EQ126" s="331">
        <v>0.31</v>
      </c>
      <c r="ER126" s="331">
        <v>0.62</v>
      </c>
      <c r="ES126" s="331">
        <v>0.52</v>
      </c>
      <c r="ET126" s="331">
        <v>0.34</v>
      </c>
      <c r="EU126" s="331">
        <v>0.56000000000000005</v>
      </c>
      <c r="EV126" s="331">
        <v>0.34</v>
      </c>
      <c r="EW126" s="331">
        <v>0.35</v>
      </c>
      <c r="EX126" s="331">
        <v>0.56999999999999995</v>
      </c>
      <c r="EY126" s="331">
        <v>0.61</v>
      </c>
      <c r="EZ126" s="331">
        <v>0.44</v>
      </c>
      <c r="FA126" s="331">
        <v>0.57999999999999996</v>
      </c>
      <c r="FB126" s="312">
        <v>49</v>
      </c>
      <c r="FC126" s="312" t="s">
        <v>758</v>
      </c>
      <c r="FD126" s="312">
        <v>9</v>
      </c>
      <c r="FE126" s="312" t="s">
        <v>758</v>
      </c>
      <c r="FF126" s="332">
        <v>0.14000000000000001</v>
      </c>
      <c r="FG126" s="332">
        <v>0.6</v>
      </c>
      <c r="FH126" s="332">
        <v>0.25</v>
      </c>
      <c r="FI126" s="332">
        <v>0</v>
      </c>
      <c r="FJ126" s="332">
        <v>0.47</v>
      </c>
      <c r="FK126" s="332">
        <v>0.66</v>
      </c>
      <c r="FL126" s="332">
        <v>0.5</v>
      </c>
      <c r="FM126" s="332">
        <v>0.4</v>
      </c>
      <c r="FN126" s="332">
        <v>0.28000000000000003</v>
      </c>
      <c r="FO126" s="332">
        <v>0.32</v>
      </c>
      <c r="FP126" s="332">
        <v>0.41</v>
      </c>
      <c r="FQ126" s="332">
        <v>0.45</v>
      </c>
      <c r="FR126" s="332">
        <v>0.62</v>
      </c>
      <c r="FS126" s="332">
        <v>0.48</v>
      </c>
      <c r="FT126" s="332">
        <v>0.56999999999999995</v>
      </c>
      <c r="FU126" s="332">
        <v>0.37</v>
      </c>
      <c r="FV126" s="332">
        <v>0.57999999999999996</v>
      </c>
      <c r="FW126" s="332">
        <v>0.57999999999999996</v>
      </c>
      <c r="FX126" s="332">
        <v>0.56000000000000005</v>
      </c>
      <c r="FY126" s="332">
        <v>0.31</v>
      </c>
      <c r="FZ126" s="332">
        <v>0.52</v>
      </c>
      <c r="GA126" s="332">
        <v>0.62</v>
      </c>
      <c r="GB126" s="332">
        <v>0.54</v>
      </c>
      <c r="GC126" s="332">
        <v>0.49</v>
      </c>
      <c r="GD126" s="332">
        <v>0.57999999999999996</v>
      </c>
      <c r="GE126" s="332">
        <v>0.53</v>
      </c>
      <c r="GF126" s="332">
        <v>0.54</v>
      </c>
      <c r="GG126" s="332">
        <v>0.48</v>
      </c>
      <c r="GH126" s="332">
        <v>0.56000000000000005</v>
      </c>
      <c r="GI126" s="332">
        <v>0.33</v>
      </c>
      <c r="GJ126" s="309">
        <v>50</v>
      </c>
      <c r="GK126" s="309" t="s">
        <v>758</v>
      </c>
      <c r="GL126" s="309">
        <v>9</v>
      </c>
      <c r="GM126" s="309" t="s">
        <v>758</v>
      </c>
      <c r="GN126" s="327">
        <v>0.18</v>
      </c>
      <c r="GO126" s="327">
        <v>0.53</v>
      </c>
      <c r="GP126" s="327">
        <v>0.28000000000000003</v>
      </c>
      <c r="GQ126" s="327">
        <v>0.01</v>
      </c>
      <c r="GR126" s="327">
        <v>0.45</v>
      </c>
      <c r="GS126" s="327">
        <v>0.52</v>
      </c>
      <c r="GT126" s="327">
        <v>0.63</v>
      </c>
      <c r="GU126" s="327">
        <v>0.2</v>
      </c>
      <c r="GV126" s="327">
        <v>0.59</v>
      </c>
      <c r="GW126" s="327">
        <v>0.53</v>
      </c>
      <c r="GX126" s="327">
        <v>0.46</v>
      </c>
      <c r="GY126" s="309" t="s">
        <v>173</v>
      </c>
      <c r="GZ126" s="327">
        <v>0.35</v>
      </c>
      <c r="HA126" s="327">
        <v>0.71</v>
      </c>
      <c r="HB126" s="327">
        <v>0.48</v>
      </c>
      <c r="HC126" s="327">
        <v>0.54</v>
      </c>
      <c r="HD126" s="327">
        <v>0.52</v>
      </c>
      <c r="HE126" s="327">
        <v>0.52</v>
      </c>
      <c r="HF126" s="327">
        <v>0.51</v>
      </c>
      <c r="HG126" s="327">
        <v>0.63</v>
      </c>
      <c r="HH126" s="327">
        <v>0.37</v>
      </c>
      <c r="HI126" s="327">
        <v>0.49</v>
      </c>
      <c r="HJ126" s="327">
        <v>0.55000000000000004</v>
      </c>
      <c r="HK126" s="327">
        <v>0.53</v>
      </c>
      <c r="HL126" s="327">
        <v>0.42</v>
      </c>
      <c r="HM126" s="327">
        <v>0.47</v>
      </c>
      <c r="HN126" s="327">
        <v>0.49</v>
      </c>
      <c r="HO126" s="327">
        <v>0.43</v>
      </c>
      <c r="HP126" s="309" t="s">
        <v>173</v>
      </c>
      <c r="HQ126" s="327">
        <v>0.41</v>
      </c>
      <c r="HR126" s="424">
        <v>50</v>
      </c>
      <c r="HS126" s="424" t="s">
        <v>758</v>
      </c>
      <c r="HT126" s="424">
        <v>9</v>
      </c>
      <c r="HU126" s="424" t="s">
        <v>758</v>
      </c>
      <c r="HV126" s="428">
        <v>0.17</v>
      </c>
      <c r="HW126" s="428">
        <v>0.52</v>
      </c>
      <c r="HX126" s="428">
        <v>0.3</v>
      </c>
      <c r="HY126" s="428">
        <v>0.01</v>
      </c>
      <c r="HZ126" s="428">
        <v>0.4</v>
      </c>
      <c r="IA126" s="428">
        <v>0.57999999999999996</v>
      </c>
      <c r="IB126" s="428">
        <v>0.34</v>
      </c>
      <c r="IC126" s="428">
        <v>0.49</v>
      </c>
      <c r="ID126" s="428">
        <v>0.6</v>
      </c>
      <c r="IE126" s="428">
        <v>0.34</v>
      </c>
      <c r="IF126" s="428">
        <v>0.44</v>
      </c>
      <c r="IG126" s="428">
        <v>0.53</v>
      </c>
      <c r="IH126" s="428">
        <v>0.5</v>
      </c>
      <c r="II126" s="428">
        <v>0.25</v>
      </c>
      <c r="IJ126" s="428">
        <v>0.28999999999999998</v>
      </c>
      <c r="IK126" s="428">
        <v>0.62</v>
      </c>
      <c r="IL126" s="428">
        <v>0.39</v>
      </c>
      <c r="IM126" s="428">
        <v>0.52</v>
      </c>
      <c r="IN126" s="428">
        <v>0.49</v>
      </c>
      <c r="IO126" s="428">
        <v>0.55000000000000004</v>
      </c>
      <c r="IP126" s="428">
        <v>0.5</v>
      </c>
      <c r="IQ126" s="428">
        <v>0.72</v>
      </c>
      <c r="IR126" s="428">
        <v>0.6</v>
      </c>
      <c r="IS126" s="428">
        <v>0.47</v>
      </c>
      <c r="IT126" s="428">
        <v>0.45</v>
      </c>
      <c r="IU126" s="424" t="s">
        <v>173</v>
      </c>
      <c r="IV126" s="428">
        <v>0.63</v>
      </c>
      <c r="IW126" s="428">
        <v>0.43</v>
      </c>
      <c r="IX126" s="428">
        <v>0.46</v>
      </c>
      <c r="IY126" s="428">
        <v>0.56000000000000005</v>
      </c>
      <c r="IZ126" s="464">
        <v>50</v>
      </c>
      <c r="JA126" s="464" t="s">
        <v>758</v>
      </c>
      <c r="JB126" s="464">
        <v>9</v>
      </c>
      <c r="JC126" s="464" t="s">
        <v>758</v>
      </c>
      <c r="JD126" s="476">
        <v>0.16</v>
      </c>
      <c r="JE126" s="476">
        <v>0.54</v>
      </c>
      <c r="JF126" s="476">
        <v>0.28000000000000003</v>
      </c>
      <c r="JG126" s="476">
        <v>0.02</v>
      </c>
      <c r="JH126" s="476">
        <v>0.53</v>
      </c>
      <c r="JI126" s="476">
        <v>0.52</v>
      </c>
      <c r="JJ126" s="476">
        <v>0.42</v>
      </c>
      <c r="JK126" s="476">
        <v>0.48</v>
      </c>
      <c r="JL126" s="476">
        <v>0.49</v>
      </c>
      <c r="JM126" s="476">
        <v>0.49</v>
      </c>
      <c r="JN126" s="476">
        <v>0.47</v>
      </c>
      <c r="JO126" s="476">
        <v>0.51</v>
      </c>
      <c r="JP126" s="476">
        <v>0.56000000000000005</v>
      </c>
      <c r="JQ126" s="476">
        <v>0.34</v>
      </c>
      <c r="JR126" s="476">
        <v>0.61</v>
      </c>
      <c r="JS126" s="476">
        <v>0.54</v>
      </c>
      <c r="JT126" s="476">
        <v>0.45</v>
      </c>
      <c r="JU126" s="476">
        <v>0.56000000000000005</v>
      </c>
      <c r="JV126" s="476">
        <v>0.52</v>
      </c>
      <c r="JW126" s="476">
        <v>0.46</v>
      </c>
      <c r="JX126" s="476">
        <v>0.38</v>
      </c>
      <c r="JY126" s="476">
        <v>0.51</v>
      </c>
      <c r="JZ126" s="476">
        <v>0.48</v>
      </c>
      <c r="KA126" s="476">
        <v>0.64</v>
      </c>
      <c r="KB126" s="476">
        <v>0.44</v>
      </c>
      <c r="KC126" s="476">
        <v>0.65</v>
      </c>
      <c r="KD126" s="476">
        <v>0.45</v>
      </c>
      <c r="KE126" s="476">
        <v>0.53</v>
      </c>
      <c r="KF126" s="476">
        <v>0.43</v>
      </c>
      <c r="KG126" s="476">
        <v>0.56000000000000005</v>
      </c>
      <c r="KH126" s="971">
        <v>49</v>
      </c>
      <c r="KI126" s="971" t="s">
        <v>758</v>
      </c>
      <c r="KJ126" s="971">
        <v>9</v>
      </c>
      <c r="KK126" s="971" t="s">
        <v>758</v>
      </c>
      <c r="KL126" s="949">
        <v>0.15</v>
      </c>
      <c r="KM126" s="949">
        <v>0.61</v>
      </c>
      <c r="KN126" s="949">
        <v>0.22</v>
      </c>
      <c r="KO126" s="949">
        <v>0.02</v>
      </c>
      <c r="KP126" s="949">
        <v>0.52</v>
      </c>
      <c r="KQ126" s="949">
        <v>0.37</v>
      </c>
      <c r="KR126" s="949">
        <v>0.63</v>
      </c>
      <c r="KS126" s="949">
        <v>0.5</v>
      </c>
      <c r="KT126" s="949">
        <v>0.64</v>
      </c>
      <c r="KU126" s="949">
        <v>0.47</v>
      </c>
      <c r="KV126" s="949">
        <v>0.6</v>
      </c>
      <c r="KW126" s="949">
        <v>0.41</v>
      </c>
      <c r="KX126" s="949">
        <v>0.41</v>
      </c>
      <c r="KY126" s="949">
        <v>0.56999999999999995</v>
      </c>
      <c r="KZ126" s="949">
        <v>0.47</v>
      </c>
      <c r="LA126" s="949">
        <v>0.49</v>
      </c>
      <c r="LB126" s="949">
        <v>0.44</v>
      </c>
      <c r="LC126" s="949">
        <v>0.44</v>
      </c>
      <c r="LD126" s="949">
        <v>0.56999999999999995</v>
      </c>
      <c r="LE126" s="949">
        <v>0.45</v>
      </c>
      <c r="LF126" s="949">
        <v>0.37</v>
      </c>
      <c r="LG126" s="949">
        <v>0.46</v>
      </c>
      <c r="LH126" s="949">
        <v>0.62</v>
      </c>
      <c r="LI126" s="949">
        <v>0.5</v>
      </c>
      <c r="LJ126" s="949">
        <v>0.53</v>
      </c>
      <c r="LK126" s="949">
        <v>0.56999999999999995</v>
      </c>
      <c r="LL126" s="949" t="s">
        <v>173</v>
      </c>
      <c r="LM126" s="949">
        <v>0.56000000000000005</v>
      </c>
      <c r="LN126" s="949">
        <v>0.61</v>
      </c>
      <c r="LO126" s="949">
        <v>0.44</v>
      </c>
      <c r="LP126" s="922">
        <v>225754000238</v>
      </c>
      <c r="LQ126" s="555" t="s">
        <v>74</v>
      </c>
      <c r="LR126" s="424">
        <v>50</v>
      </c>
      <c r="LS126" s="971">
        <v>49</v>
      </c>
      <c r="LT126" s="946"/>
    </row>
    <row r="127" spans="1:332" ht="24.95" customHeight="1" x14ac:dyDescent="0.2">
      <c r="A127" s="803" t="s">
        <v>803</v>
      </c>
      <c r="B127" s="1" t="s">
        <v>121</v>
      </c>
      <c r="C127" s="2">
        <v>1</v>
      </c>
      <c r="D127" s="12"/>
      <c r="E127" s="12"/>
      <c r="F127" s="66"/>
      <c r="G127" s="66"/>
      <c r="H127" s="66"/>
      <c r="I127" s="66"/>
      <c r="J127" s="66"/>
      <c r="K127" s="66"/>
      <c r="L127" s="66"/>
      <c r="M127" s="66"/>
      <c r="N127" s="66"/>
      <c r="O127" s="66"/>
      <c r="P127" s="66"/>
      <c r="Q127" s="66"/>
      <c r="R127" s="66"/>
      <c r="S127" s="66"/>
      <c r="T127" s="66"/>
      <c r="U127" s="66"/>
      <c r="V127" s="66"/>
      <c r="W127" s="66"/>
      <c r="X127" s="66"/>
      <c r="Y127" s="66"/>
      <c r="Z127" s="66"/>
      <c r="AA127" s="66"/>
      <c r="AB127" s="66"/>
      <c r="AC127" s="66"/>
      <c r="AD127" s="66"/>
      <c r="AE127" s="66"/>
      <c r="AF127" s="66"/>
      <c r="AG127" s="66"/>
      <c r="AH127" s="12"/>
      <c r="AI127" s="12"/>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12"/>
      <c r="BN127" s="12"/>
      <c r="BO127" s="66"/>
      <c r="BP127" s="66"/>
      <c r="BQ127" s="66"/>
      <c r="BR127" s="66"/>
      <c r="BS127" s="66"/>
      <c r="BT127" s="66"/>
      <c r="BU127" s="66"/>
      <c r="BV127" s="66"/>
      <c r="BW127" s="66"/>
      <c r="BX127" s="66"/>
      <c r="BY127" s="66"/>
      <c r="BZ127" s="66"/>
      <c r="CA127" s="66"/>
      <c r="CB127" s="66"/>
      <c r="CC127" s="66"/>
      <c r="CD127" s="66"/>
      <c r="CE127" s="66"/>
      <c r="CF127" s="66"/>
      <c r="CG127" s="66"/>
      <c r="CH127" s="66"/>
      <c r="CI127" s="66"/>
      <c r="CJ127" s="66"/>
      <c r="CK127" s="66"/>
      <c r="CL127" s="66"/>
      <c r="CM127" s="66"/>
      <c r="CN127" s="66"/>
      <c r="CO127" s="66"/>
      <c r="CP127" s="66"/>
      <c r="CQ127" s="66"/>
      <c r="CR127" s="66"/>
      <c r="CS127" s="12"/>
      <c r="CT127" s="12"/>
      <c r="CU127" s="63"/>
      <c r="CV127" s="63"/>
      <c r="CW127" s="63"/>
      <c r="CX127" s="63"/>
      <c r="CY127" s="63"/>
      <c r="CZ127" s="63"/>
      <c r="DA127" s="63"/>
      <c r="DB127" s="63"/>
      <c r="DC127" s="63"/>
      <c r="DD127" s="63"/>
      <c r="DE127" s="63"/>
      <c r="DF127" s="63"/>
      <c r="DG127" s="63"/>
      <c r="DH127" s="63"/>
      <c r="DI127" s="63"/>
      <c r="DJ127" s="63"/>
      <c r="DK127" s="63"/>
      <c r="DL127" s="63"/>
      <c r="DM127" s="63"/>
      <c r="DN127" s="63"/>
      <c r="DO127" s="63"/>
      <c r="DP127" s="63"/>
      <c r="DQ127" s="63"/>
      <c r="DR127" s="63"/>
      <c r="DS127" s="63"/>
      <c r="DT127" s="63"/>
      <c r="DU127" s="63"/>
      <c r="DV127" s="63"/>
      <c r="DW127" s="63"/>
      <c r="DX127" s="35"/>
      <c r="DY127" s="35"/>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246"/>
      <c r="FC127" s="246"/>
      <c r="FD127" s="246"/>
      <c r="FE127" s="246"/>
      <c r="FF127" s="263"/>
      <c r="FG127" s="263"/>
      <c r="FH127" s="263"/>
      <c r="FI127" s="263"/>
      <c r="FJ127" s="263"/>
      <c r="FK127" s="263"/>
      <c r="FL127" s="263"/>
      <c r="FM127" s="263"/>
      <c r="FN127" s="263"/>
      <c r="FO127" s="263"/>
      <c r="FP127" s="263"/>
      <c r="FQ127" s="263"/>
      <c r="FR127" s="263"/>
      <c r="FS127" s="263"/>
      <c r="FT127" s="263"/>
      <c r="FU127" s="263"/>
      <c r="FV127" s="263"/>
      <c r="FW127" s="263"/>
      <c r="FX127" s="263"/>
      <c r="FY127" s="263"/>
      <c r="FZ127" s="263"/>
      <c r="GA127" s="263"/>
      <c r="GB127" s="263"/>
      <c r="GC127" s="263"/>
      <c r="GD127" s="263"/>
      <c r="GE127" s="263"/>
      <c r="GF127" s="263"/>
      <c r="GG127" s="263"/>
      <c r="GH127" s="263"/>
      <c r="GI127" s="263"/>
      <c r="GJ127" s="309">
        <v>49</v>
      </c>
      <c r="GK127" s="309" t="s">
        <v>758</v>
      </c>
      <c r="GL127" s="309">
        <v>9</v>
      </c>
      <c r="GM127" s="309" t="s">
        <v>758</v>
      </c>
      <c r="GN127" s="327">
        <v>0.16</v>
      </c>
      <c r="GO127" s="327">
        <v>0.65</v>
      </c>
      <c r="GP127" s="327">
        <v>0.19</v>
      </c>
      <c r="GQ127" s="327">
        <v>0</v>
      </c>
      <c r="GR127" s="327">
        <v>0.59</v>
      </c>
      <c r="GS127" s="327">
        <v>0.65</v>
      </c>
      <c r="GT127" s="327">
        <v>0.65</v>
      </c>
      <c r="GU127" s="327">
        <v>0.33</v>
      </c>
      <c r="GV127" s="327">
        <v>0.61</v>
      </c>
      <c r="GW127" s="327">
        <v>0.49</v>
      </c>
      <c r="GX127" s="327">
        <v>0.5</v>
      </c>
      <c r="GY127" s="309" t="s">
        <v>173</v>
      </c>
      <c r="GZ127" s="327">
        <v>0.53</v>
      </c>
      <c r="HA127" s="327">
        <v>0.8</v>
      </c>
      <c r="HB127" s="327">
        <v>0.52</v>
      </c>
      <c r="HC127" s="327">
        <v>0.44</v>
      </c>
      <c r="HD127" s="327">
        <v>0.54</v>
      </c>
      <c r="HE127" s="327">
        <v>0.49</v>
      </c>
      <c r="HF127" s="327">
        <v>0.5</v>
      </c>
      <c r="HG127" s="327">
        <v>0.69</v>
      </c>
      <c r="HH127" s="327">
        <v>0.37</v>
      </c>
      <c r="HI127" s="327">
        <v>0.56999999999999995</v>
      </c>
      <c r="HJ127" s="327">
        <v>0.6</v>
      </c>
      <c r="HK127" s="327">
        <v>0.6</v>
      </c>
      <c r="HL127" s="327">
        <v>0.44</v>
      </c>
      <c r="HM127" s="327">
        <v>0.48</v>
      </c>
      <c r="HN127" s="327">
        <v>0.54</v>
      </c>
      <c r="HO127" s="327">
        <v>0.52</v>
      </c>
      <c r="HP127" s="309" t="s">
        <v>173</v>
      </c>
      <c r="HQ127" s="327">
        <v>0.37</v>
      </c>
      <c r="HR127" s="424">
        <v>52</v>
      </c>
      <c r="HS127" s="424" t="s">
        <v>758</v>
      </c>
      <c r="HT127" s="424">
        <v>8</v>
      </c>
      <c r="HU127" s="424" t="s">
        <v>758</v>
      </c>
      <c r="HV127" s="428">
        <v>0.08</v>
      </c>
      <c r="HW127" s="428">
        <v>0.57999999999999996</v>
      </c>
      <c r="HX127" s="428">
        <v>0.32</v>
      </c>
      <c r="HY127" s="428">
        <v>0.01</v>
      </c>
      <c r="HZ127" s="428">
        <v>0.41</v>
      </c>
      <c r="IA127" s="428">
        <v>0.5</v>
      </c>
      <c r="IB127" s="428">
        <v>0.37</v>
      </c>
      <c r="IC127" s="428">
        <v>0.46</v>
      </c>
      <c r="ID127" s="428">
        <v>0.65</v>
      </c>
      <c r="IE127" s="428">
        <v>0.37</v>
      </c>
      <c r="IF127" s="428">
        <v>0.35</v>
      </c>
      <c r="IG127" s="428">
        <v>0.6</v>
      </c>
      <c r="IH127" s="428">
        <v>0.48</v>
      </c>
      <c r="II127" s="428">
        <v>0.27</v>
      </c>
      <c r="IJ127" s="428">
        <v>0.21</v>
      </c>
      <c r="IK127" s="428">
        <v>0.57999999999999996</v>
      </c>
      <c r="IL127" s="428">
        <v>0.28000000000000003</v>
      </c>
      <c r="IM127" s="428">
        <v>0.56999999999999995</v>
      </c>
      <c r="IN127" s="428">
        <v>0.46</v>
      </c>
      <c r="IO127" s="428">
        <v>0.47</v>
      </c>
      <c r="IP127" s="428">
        <v>0.47</v>
      </c>
      <c r="IQ127" s="428">
        <v>0.67</v>
      </c>
      <c r="IR127" s="428">
        <v>0.63</v>
      </c>
      <c r="IS127" s="428">
        <v>0.46</v>
      </c>
      <c r="IT127" s="428">
        <v>0.44</v>
      </c>
      <c r="IU127" s="424" t="s">
        <v>173</v>
      </c>
      <c r="IV127" s="428">
        <v>0.53</v>
      </c>
      <c r="IW127" s="428">
        <v>0.41</v>
      </c>
      <c r="IX127" s="428">
        <v>0.42</v>
      </c>
      <c r="IY127" s="428">
        <v>0.48</v>
      </c>
      <c r="IZ127" s="464">
        <v>49</v>
      </c>
      <c r="JA127" s="464" t="s">
        <v>758</v>
      </c>
      <c r="JB127" s="464">
        <v>9</v>
      </c>
      <c r="JC127" s="464" t="s">
        <v>758</v>
      </c>
      <c r="JD127" s="476">
        <v>0.17</v>
      </c>
      <c r="JE127" s="476">
        <v>0.57999999999999996</v>
      </c>
      <c r="JF127" s="476">
        <v>0.25</v>
      </c>
      <c r="JG127" s="476">
        <v>0</v>
      </c>
      <c r="JH127" s="476">
        <v>0.57999999999999996</v>
      </c>
      <c r="JI127" s="476">
        <v>0.49</v>
      </c>
      <c r="JJ127" s="476">
        <v>0.48</v>
      </c>
      <c r="JK127" s="476">
        <v>0.48</v>
      </c>
      <c r="JL127" s="476">
        <v>0.51</v>
      </c>
      <c r="JM127" s="476">
        <v>0.5</v>
      </c>
      <c r="JN127" s="476">
        <v>0.48</v>
      </c>
      <c r="JO127" s="476">
        <v>0.49</v>
      </c>
      <c r="JP127" s="476">
        <v>0.61</v>
      </c>
      <c r="JQ127" s="476">
        <v>0.31</v>
      </c>
      <c r="JR127" s="476">
        <v>0.56999999999999995</v>
      </c>
      <c r="JS127" s="476">
        <v>0.56000000000000005</v>
      </c>
      <c r="JT127" s="476">
        <v>0.4</v>
      </c>
      <c r="JU127" s="476">
        <v>0.56999999999999995</v>
      </c>
      <c r="JV127" s="476">
        <v>0.48</v>
      </c>
      <c r="JW127" s="476">
        <v>0.5</v>
      </c>
      <c r="JX127" s="476">
        <v>0.44</v>
      </c>
      <c r="JY127" s="476">
        <v>0.48</v>
      </c>
      <c r="JZ127" s="476">
        <v>0.46</v>
      </c>
      <c r="KA127" s="476">
        <v>0.63</v>
      </c>
      <c r="KB127" s="476">
        <v>0.56000000000000005</v>
      </c>
      <c r="KC127" s="476">
        <v>0.72</v>
      </c>
      <c r="KD127" s="476">
        <v>0.37</v>
      </c>
      <c r="KE127" s="476">
        <v>0.5</v>
      </c>
      <c r="KF127" s="476">
        <v>0.42</v>
      </c>
      <c r="KG127" s="476">
        <v>0.63</v>
      </c>
      <c r="KH127" s="971">
        <v>52</v>
      </c>
      <c r="KI127" s="971" t="s">
        <v>758</v>
      </c>
      <c r="KJ127" s="971">
        <v>10</v>
      </c>
      <c r="KK127" s="971" t="s">
        <v>758</v>
      </c>
      <c r="KL127" s="949">
        <v>0.13</v>
      </c>
      <c r="KM127" s="949">
        <v>0.49</v>
      </c>
      <c r="KN127" s="949">
        <v>0.37</v>
      </c>
      <c r="KO127" s="949">
        <v>0.01</v>
      </c>
      <c r="KP127" s="949">
        <v>0.55000000000000004</v>
      </c>
      <c r="KQ127" s="949">
        <v>0.33</v>
      </c>
      <c r="KR127" s="949">
        <v>0.62</v>
      </c>
      <c r="KS127" s="949">
        <v>0.48</v>
      </c>
      <c r="KT127" s="949">
        <v>0.57999999999999996</v>
      </c>
      <c r="KU127" s="949">
        <v>0.42</v>
      </c>
      <c r="KV127" s="949">
        <v>0.56999999999999995</v>
      </c>
      <c r="KW127" s="949">
        <v>0.31</v>
      </c>
      <c r="KX127" s="949">
        <v>0.32</v>
      </c>
      <c r="KY127" s="949">
        <v>0.51</v>
      </c>
      <c r="KZ127" s="949">
        <v>0.38</v>
      </c>
      <c r="LA127" s="949">
        <v>0.44</v>
      </c>
      <c r="LB127" s="949">
        <v>0.44</v>
      </c>
      <c r="LC127" s="949">
        <v>0.4</v>
      </c>
      <c r="LD127" s="949">
        <v>0.43</v>
      </c>
      <c r="LE127" s="949">
        <v>0.51</v>
      </c>
      <c r="LF127" s="949">
        <v>0.33</v>
      </c>
      <c r="LG127" s="949">
        <v>0.53</v>
      </c>
      <c r="LH127" s="949">
        <v>0.52</v>
      </c>
      <c r="LI127" s="949">
        <v>0.51</v>
      </c>
      <c r="LJ127" s="949">
        <v>0.43</v>
      </c>
      <c r="LK127" s="949">
        <v>0.53</v>
      </c>
      <c r="LL127" s="949" t="s">
        <v>173</v>
      </c>
      <c r="LM127" s="949">
        <v>0.54</v>
      </c>
      <c r="LN127" s="949">
        <v>0.68</v>
      </c>
      <c r="LO127" s="949">
        <v>0.44</v>
      </c>
      <c r="LP127" s="922">
        <v>125754800132</v>
      </c>
      <c r="LQ127" s="803" t="s">
        <v>803</v>
      </c>
      <c r="LR127" s="424">
        <v>52</v>
      </c>
      <c r="LS127" s="971">
        <v>52</v>
      </c>
      <c r="LT127" s="946"/>
    </row>
    <row r="128" spans="1:332" ht="24.95" customHeight="1" x14ac:dyDescent="0.2">
      <c r="A128" s="804" t="s">
        <v>54</v>
      </c>
      <c r="B128" s="1" t="s">
        <v>121</v>
      </c>
      <c r="C128" s="309">
        <v>1</v>
      </c>
      <c r="D128" s="328">
        <v>57</v>
      </c>
      <c r="E128" s="328">
        <v>8</v>
      </c>
      <c r="F128" s="333">
        <v>0.02</v>
      </c>
      <c r="G128" s="333">
        <v>0.37</v>
      </c>
      <c r="H128" s="333">
        <v>0.59</v>
      </c>
      <c r="I128" s="333">
        <v>0.01</v>
      </c>
      <c r="J128" s="333">
        <v>0.25</v>
      </c>
      <c r="K128" s="333">
        <v>0.28999999999999998</v>
      </c>
      <c r="L128" s="333">
        <v>0.65</v>
      </c>
      <c r="M128" s="333">
        <v>0.19</v>
      </c>
      <c r="N128" s="333">
        <v>0.26</v>
      </c>
      <c r="O128" s="333">
        <v>0.72</v>
      </c>
      <c r="P128" s="333">
        <v>0.36</v>
      </c>
      <c r="Q128" s="333">
        <v>0.33</v>
      </c>
      <c r="R128" s="333">
        <v>0.41</v>
      </c>
      <c r="S128" s="333">
        <v>0.56000000000000005</v>
      </c>
      <c r="T128" s="333">
        <v>0.34</v>
      </c>
      <c r="U128" s="333">
        <v>0.42</v>
      </c>
      <c r="V128" s="333">
        <v>0.05</v>
      </c>
      <c r="W128" s="333">
        <v>0.12</v>
      </c>
      <c r="X128" s="333">
        <v>0.43</v>
      </c>
      <c r="Y128" s="333">
        <v>0.47</v>
      </c>
      <c r="Z128" s="328" t="s">
        <v>173</v>
      </c>
      <c r="AA128" s="333">
        <v>0.1</v>
      </c>
      <c r="AB128" s="333">
        <v>0.38</v>
      </c>
      <c r="AC128" s="333">
        <v>0.23</v>
      </c>
      <c r="AD128" s="333">
        <v>0.44</v>
      </c>
      <c r="AE128" s="333">
        <v>0.38</v>
      </c>
      <c r="AF128" s="333">
        <v>0.44</v>
      </c>
      <c r="AG128" s="333">
        <v>0.54</v>
      </c>
      <c r="AH128" s="328">
        <v>56</v>
      </c>
      <c r="AI128" s="328">
        <v>7</v>
      </c>
      <c r="AJ128" s="331">
        <v>0.02</v>
      </c>
      <c r="AK128" s="331">
        <v>0.42</v>
      </c>
      <c r="AL128" s="331">
        <v>0.55000000000000004</v>
      </c>
      <c r="AM128" s="331">
        <v>0.01</v>
      </c>
      <c r="AN128" s="331">
        <v>0.23</v>
      </c>
      <c r="AO128" s="331">
        <v>0.41</v>
      </c>
      <c r="AP128" s="331">
        <v>0.47</v>
      </c>
      <c r="AQ128" s="331">
        <v>0.34</v>
      </c>
      <c r="AR128" s="331">
        <v>0.56000000000000005</v>
      </c>
      <c r="AS128" s="331">
        <v>0.39</v>
      </c>
      <c r="AT128" s="331">
        <v>0.43</v>
      </c>
      <c r="AU128" s="331">
        <v>0.42</v>
      </c>
      <c r="AV128" s="331">
        <v>0.54</v>
      </c>
      <c r="AW128" s="331">
        <v>0.42</v>
      </c>
      <c r="AX128" s="331">
        <v>0.44</v>
      </c>
      <c r="AY128" s="331">
        <v>0.23</v>
      </c>
      <c r="AZ128" s="331">
        <v>0.17</v>
      </c>
      <c r="BA128" s="331">
        <v>0.42</v>
      </c>
      <c r="BB128" s="331">
        <v>0.56000000000000005</v>
      </c>
      <c r="BC128" s="331">
        <v>0.57999999999999996</v>
      </c>
      <c r="BD128" s="331">
        <v>0.39</v>
      </c>
      <c r="BE128" s="331">
        <v>0.43</v>
      </c>
      <c r="BF128" s="331">
        <v>0.57999999999999996</v>
      </c>
      <c r="BG128" s="331">
        <v>0.43</v>
      </c>
      <c r="BH128" s="331">
        <v>0.33</v>
      </c>
      <c r="BI128" s="331">
        <v>0.33</v>
      </c>
      <c r="BJ128" s="331">
        <v>0.28000000000000003</v>
      </c>
      <c r="BK128" s="331">
        <v>0.37</v>
      </c>
      <c r="BL128" s="331">
        <v>0.42</v>
      </c>
      <c r="BM128" s="328">
        <v>53</v>
      </c>
      <c r="BN128" s="328">
        <v>8</v>
      </c>
      <c r="BO128" s="333">
        <v>0.06</v>
      </c>
      <c r="BP128" s="333">
        <v>0.57999999999999996</v>
      </c>
      <c r="BQ128" s="333">
        <v>0.36</v>
      </c>
      <c r="BR128" s="333">
        <v>0.01</v>
      </c>
      <c r="BS128" s="333">
        <v>0.28999999999999998</v>
      </c>
      <c r="BT128" s="333">
        <v>0.51</v>
      </c>
      <c r="BU128" s="333">
        <v>0.66</v>
      </c>
      <c r="BV128" s="333">
        <v>0.31</v>
      </c>
      <c r="BW128" s="333">
        <v>0.65</v>
      </c>
      <c r="BX128" s="333">
        <v>0.31</v>
      </c>
      <c r="BY128" s="333">
        <v>0.42</v>
      </c>
      <c r="BZ128" s="333">
        <v>0.5</v>
      </c>
      <c r="CA128" s="333">
        <v>0.48</v>
      </c>
      <c r="CB128" s="333">
        <v>0.28000000000000003</v>
      </c>
      <c r="CC128" s="333">
        <v>0.13</v>
      </c>
      <c r="CD128" s="333">
        <v>0.41</v>
      </c>
      <c r="CE128" s="333">
        <v>0.28000000000000003</v>
      </c>
      <c r="CF128" s="333">
        <v>0.65</v>
      </c>
      <c r="CG128" s="333">
        <v>0.54</v>
      </c>
      <c r="CH128" s="333">
        <v>0.37</v>
      </c>
      <c r="CI128" s="333">
        <v>0.52</v>
      </c>
      <c r="CJ128" s="333">
        <v>0.23</v>
      </c>
      <c r="CK128" s="333">
        <v>0.64</v>
      </c>
      <c r="CL128" s="333">
        <v>0.25</v>
      </c>
      <c r="CM128" s="333">
        <v>0.42</v>
      </c>
      <c r="CN128" s="333">
        <v>0.35</v>
      </c>
      <c r="CO128" s="333">
        <v>0.39</v>
      </c>
      <c r="CP128" s="333">
        <v>0.3</v>
      </c>
      <c r="CQ128" s="333">
        <v>0.42</v>
      </c>
      <c r="CR128" s="333">
        <v>0.56000000000000005</v>
      </c>
      <c r="CS128" s="328">
        <v>52</v>
      </c>
      <c r="CT128" s="328">
        <v>9</v>
      </c>
      <c r="CU128" s="327">
        <v>0.08</v>
      </c>
      <c r="CV128" s="327">
        <v>0.57999999999999996</v>
      </c>
      <c r="CW128" s="327">
        <v>0.31</v>
      </c>
      <c r="CX128" s="327">
        <v>0.02</v>
      </c>
      <c r="CY128" s="327">
        <v>0.48</v>
      </c>
      <c r="CZ128" s="327">
        <v>0.25</v>
      </c>
      <c r="DA128" s="327">
        <v>0.57999999999999996</v>
      </c>
      <c r="DB128" s="327">
        <v>0.33</v>
      </c>
      <c r="DC128" s="327">
        <v>0.38</v>
      </c>
      <c r="DD128" s="327">
        <v>0.6</v>
      </c>
      <c r="DE128" s="327">
        <v>0.47</v>
      </c>
      <c r="DF128" s="327">
        <v>0.51</v>
      </c>
      <c r="DG128" s="327">
        <v>0.36</v>
      </c>
      <c r="DH128" s="327">
        <v>0.32</v>
      </c>
      <c r="DI128" s="327">
        <v>0.46</v>
      </c>
      <c r="DJ128" s="327">
        <v>0.4</v>
      </c>
      <c r="DK128" s="327">
        <v>0.39</v>
      </c>
      <c r="DL128" s="327">
        <v>0.23</v>
      </c>
      <c r="DM128" s="327">
        <v>0.48</v>
      </c>
      <c r="DN128" s="327">
        <v>0.45</v>
      </c>
      <c r="DO128" s="327">
        <v>0.37</v>
      </c>
      <c r="DP128" s="327">
        <v>0.4</v>
      </c>
      <c r="DQ128" s="327">
        <v>0.53</v>
      </c>
      <c r="DR128" s="327">
        <v>0.16</v>
      </c>
      <c r="DS128" s="327">
        <v>0.37</v>
      </c>
      <c r="DT128" s="327">
        <v>0.56000000000000005</v>
      </c>
      <c r="DU128" s="327">
        <v>0.52</v>
      </c>
      <c r="DV128" s="327">
        <v>0.55000000000000004</v>
      </c>
      <c r="DW128" s="327">
        <v>0.27</v>
      </c>
      <c r="DX128" s="311">
        <v>51</v>
      </c>
      <c r="DY128" s="311">
        <v>8</v>
      </c>
      <c r="DZ128" s="331">
        <v>0.14000000000000001</v>
      </c>
      <c r="EA128" s="331">
        <v>0.53</v>
      </c>
      <c r="EB128" s="331">
        <v>0.32</v>
      </c>
      <c r="EC128" s="331">
        <v>0.01</v>
      </c>
      <c r="ED128" s="331">
        <v>0.5</v>
      </c>
      <c r="EE128" s="331">
        <v>0.46</v>
      </c>
      <c r="EF128" s="331">
        <v>0.49</v>
      </c>
      <c r="EG128" s="331">
        <v>0.31</v>
      </c>
      <c r="EH128" s="331">
        <v>0.37</v>
      </c>
      <c r="EI128" s="331">
        <v>0.41</v>
      </c>
      <c r="EJ128" s="331">
        <v>0.56000000000000005</v>
      </c>
      <c r="EK128" s="331">
        <v>0.28999999999999998</v>
      </c>
      <c r="EL128" s="331">
        <v>0.44</v>
      </c>
      <c r="EM128" s="331">
        <v>0.67</v>
      </c>
      <c r="EN128" s="331">
        <v>0.42</v>
      </c>
      <c r="EO128" s="331">
        <v>0.49</v>
      </c>
      <c r="EP128" s="331">
        <v>0.35</v>
      </c>
      <c r="EQ128" s="331">
        <v>0.21</v>
      </c>
      <c r="ER128" s="331">
        <v>0.57999999999999996</v>
      </c>
      <c r="ES128" s="331">
        <v>0.39</v>
      </c>
      <c r="ET128" s="331">
        <v>0.27</v>
      </c>
      <c r="EU128" s="331">
        <v>0.62</v>
      </c>
      <c r="EV128" s="331">
        <v>0.33</v>
      </c>
      <c r="EW128" s="331">
        <v>0.3</v>
      </c>
      <c r="EX128" s="331">
        <v>0.57999999999999996</v>
      </c>
      <c r="EY128" s="331">
        <v>0.59</v>
      </c>
      <c r="EZ128" s="331">
        <v>0.26</v>
      </c>
      <c r="FA128" s="331">
        <v>0.61</v>
      </c>
      <c r="FB128" s="312">
        <v>50</v>
      </c>
      <c r="FC128" s="312" t="s">
        <v>758</v>
      </c>
      <c r="FD128" s="312">
        <v>9</v>
      </c>
      <c r="FE128" s="312" t="s">
        <v>758</v>
      </c>
      <c r="FF128" s="332">
        <v>0.13</v>
      </c>
      <c r="FG128" s="332">
        <v>0.63</v>
      </c>
      <c r="FH128" s="332">
        <v>0.23</v>
      </c>
      <c r="FI128" s="332">
        <v>0.02</v>
      </c>
      <c r="FJ128" s="332">
        <v>0.54</v>
      </c>
      <c r="FK128" s="332">
        <v>0.7</v>
      </c>
      <c r="FL128" s="332">
        <v>0.51</v>
      </c>
      <c r="FM128" s="332">
        <v>0.45</v>
      </c>
      <c r="FN128" s="332">
        <v>0.25</v>
      </c>
      <c r="FO128" s="332">
        <v>0.32</v>
      </c>
      <c r="FP128" s="332">
        <v>0.45</v>
      </c>
      <c r="FQ128" s="332">
        <v>0.36</v>
      </c>
      <c r="FR128" s="332">
        <v>0.56000000000000005</v>
      </c>
      <c r="FS128" s="332">
        <v>0.52</v>
      </c>
      <c r="FT128" s="332">
        <v>0.5</v>
      </c>
      <c r="FU128" s="332">
        <v>0.4</v>
      </c>
      <c r="FV128" s="332">
        <v>0.56000000000000005</v>
      </c>
      <c r="FW128" s="332">
        <v>0.56000000000000005</v>
      </c>
      <c r="FX128" s="332">
        <v>0.5</v>
      </c>
      <c r="FY128" s="332">
        <v>0.34</v>
      </c>
      <c r="FZ128" s="332">
        <v>0.36</v>
      </c>
      <c r="GA128" s="332">
        <v>0.47</v>
      </c>
      <c r="GB128" s="332">
        <v>0.55000000000000004</v>
      </c>
      <c r="GC128" s="332">
        <v>0.48</v>
      </c>
      <c r="GD128" s="332">
        <v>0.57999999999999996</v>
      </c>
      <c r="GE128" s="332">
        <v>0.55000000000000004</v>
      </c>
      <c r="GF128" s="332">
        <v>0.5</v>
      </c>
      <c r="GG128" s="332">
        <v>0.48</v>
      </c>
      <c r="GH128" s="332">
        <v>0.55000000000000004</v>
      </c>
      <c r="GI128" s="332">
        <v>0.31</v>
      </c>
      <c r="GJ128" s="309">
        <v>50</v>
      </c>
      <c r="GK128" s="309" t="s">
        <v>758</v>
      </c>
      <c r="GL128" s="309">
        <v>8</v>
      </c>
      <c r="GM128" s="309" t="s">
        <v>758</v>
      </c>
      <c r="GN128" s="327">
        <v>0.16</v>
      </c>
      <c r="GO128" s="327">
        <v>0.57999999999999996</v>
      </c>
      <c r="GP128" s="327">
        <v>0.25</v>
      </c>
      <c r="GQ128" s="327">
        <v>0.01</v>
      </c>
      <c r="GR128" s="327">
        <v>0.45</v>
      </c>
      <c r="GS128" s="327">
        <v>0.53</v>
      </c>
      <c r="GT128" s="327">
        <v>0.64</v>
      </c>
      <c r="GU128" s="327">
        <v>0.22</v>
      </c>
      <c r="GV128" s="327">
        <v>0.56000000000000005</v>
      </c>
      <c r="GW128" s="327">
        <v>0.45</v>
      </c>
      <c r="GX128" s="327">
        <v>0.51</v>
      </c>
      <c r="GY128" s="309" t="s">
        <v>173</v>
      </c>
      <c r="GZ128" s="327">
        <v>0.34</v>
      </c>
      <c r="HA128" s="327">
        <v>0.7</v>
      </c>
      <c r="HB128" s="327">
        <v>0.5</v>
      </c>
      <c r="HC128" s="327">
        <v>0.47</v>
      </c>
      <c r="HD128" s="327">
        <v>0.51</v>
      </c>
      <c r="HE128" s="327">
        <v>0.52</v>
      </c>
      <c r="HF128" s="327">
        <v>0.49</v>
      </c>
      <c r="HG128" s="327">
        <v>0.64</v>
      </c>
      <c r="HH128" s="327">
        <v>0.42</v>
      </c>
      <c r="HI128" s="327">
        <v>0.57999999999999996</v>
      </c>
      <c r="HJ128" s="327">
        <v>0.61</v>
      </c>
      <c r="HK128" s="327">
        <v>0.52</v>
      </c>
      <c r="HL128" s="327">
        <v>0.46</v>
      </c>
      <c r="HM128" s="327">
        <v>0.52</v>
      </c>
      <c r="HN128" s="327">
        <v>0.53</v>
      </c>
      <c r="HO128" s="327">
        <v>0.45</v>
      </c>
      <c r="HP128" s="309" t="s">
        <v>173</v>
      </c>
      <c r="HQ128" s="327">
        <v>0.47</v>
      </c>
      <c r="HR128" s="424">
        <v>51</v>
      </c>
      <c r="HS128" s="424" t="s">
        <v>758</v>
      </c>
      <c r="HT128" s="424">
        <v>8</v>
      </c>
      <c r="HU128" s="424" t="s">
        <v>758</v>
      </c>
      <c r="HV128" s="428">
        <v>0.1</v>
      </c>
      <c r="HW128" s="428">
        <v>0.64</v>
      </c>
      <c r="HX128" s="428">
        <v>0.25</v>
      </c>
      <c r="HY128" s="428">
        <v>0.01</v>
      </c>
      <c r="HZ128" s="428">
        <v>0.41</v>
      </c>
      <c r="IA128" s="428">
        <v>0.5</v>
      </c>
      <c r="IB128" s="428">
        <v>0.33</v>
      </c>
      <c r="IC128" s="428">
        <v>0.45</v>
      </c>
      <c r="ID128" s="428">
        <v>0.63</v>
      </c>
      <c r="IE128" s="428">
        <v>0.3</v>
      </c>
      <c r="IF128" s="428">
        <v>0.39</v>
      </c>
      <c r="IG128" s="428">
        <v>0.54</v>
      </c>
      <c r="IH128" s="428">
        <v>0.5</v>
      </c>
      <c r="II128" s="428">
        <v>0.31</v>
      </c>
      <c r="IJ128" s="428">
        <v>0.27</v>
      </c>
      <c r="IK128" s="428">
        <v>0.59</v>
      </c>
      <c r="IL128" s="428">
        <v>0.28999999999999998</v>
      </c>
      <c r="IM128" s="428">
        <v>0.55000000000000004</v>
      </c>
      <c r="IN128" s="428">
        <v>0.46</v>
      </c>
      <c r="IO128" s="428">
        <v>0.54</v>
      </c>
      <c r="IP128" s="428">
        <v>0.41</v>
      </c>
      <c r="IQ128" s="428">
        <v>0.65</v>
      </c>
      <c r="IR128" s="428">
        <v>0.52</v>
      </c>
      <c r="IS128" s="428">
        <v>0.51</v>
      </c>
      <c r="IT128" s="428">
        <v>0.44</v>
      </c>
      <c r="IU128" s="424" t="s">
        <v>173</v>
      </c>
      <c r="IV128" s="428">
        <v>0.66</v>
      </c>
      <c r="IW128" s="428">
        <v>0.4</v>
      </c>
      <c r="IX128" s="428">
        <v>0.56999999999999995</v>
      </c>
      <c r="IY128" s="428">
        <v>0.56000000000000005</v>
      </c>
      <c r="IZ128" s="464">
        <v>53</v>
      </c>
      <c r="JA128" s="464" t="s">
        <v>758</v>
      </c>
      <c r="JB128" s="464">
        <v>8</v>
      </c>
      <c r="JC128" s="464" t="s">
        <v>758</v>
      </c>
      <c r="JD128" s="476">
        <v>0.05</v>
      </c>
      <c r="JE128" s="476">
        <v>0.55000000000000004</v>
      </c>
      <c r="JF128" s="476">
        <v>0.4</v>
      </c>
      <c r="JG128" s="476">
        <v>0</v>
      </c>
      <c r="JH128" s="476">
        <v>0.38</v>
      </c>
      <c r="JI128" s="476">
        <v>0.42</v>
      </c>
      <c r="JJ128" s="476">
        <v>0.32</v>
      </c>
      <c r="JK128" s="476">
        <v>0.41</v>
      </c>
      <c r="JL128" s="476">
        <v>0.45</v>
      </c>
      <c r="JM128" s="476">
        <v>0.5</v>
      </c>
      <c r="JN128" s="476">
        <v>0.41</v>
      </c>
      <c r="JO128" s="476">
        <v>0.39</v>
      </c>
      <c r="JP128" s="476">
        <v>0.57999999999999996</v>
      </c>
      <c r="JQ128" s="476">
        <v>0.24</v>
      </c>
      <c r="JR128" s="476">
        <v>0.59</v>
      </c>
      <c r="JS128" s="476">
        <v>0.6</v>
      </c>
      <c r="JT128" s="476">
        <v>0.43</v>
      </c>
      <c r="JU128" s="476">
        <v>0.52</v>
      </c>
      <c r="JV128" s="476">
        <v>0.42</v>
      </c>
      <c r="JW128" s="476">
        <v>0.46</v>
      </c>
      <c r="JX128" s="476">
        <v>0.37</v>
      </c>
      <c r="JY128" s="476">
        <v>0.47</v>
      </c>
      <c r="JZ128" s="476">
        <v>0.47</v>
      </c>
      <c r="KA128" s="476">
        <v>0.68</v>
      </c>
      <c r="KB128" s="476">
        <v>0.4</v>
      </c>
      <c r="KC128" s="476">
        <v>0.69</v>
      </c>
      <c r="KD128" s="476">
        <v>0.33</v>
      </c>
      <c r="KE128" s="476">
        <v>0.51</v>
      </c>
      <c r="KF128" s="476">
        <v>0.42</v>
      </c>
      <c r="KG128" s="476">
        <v>0.51</v>
      </c>
      <c r="KH128" s="971">
        <v>52</v>
      </c>
      <c r="KI128" s="971" t="s">
        <v>758</v>
      </c>
      <c r="KJ128" s="971">
        <v>8</v>
      </c>
      <c r="KK128" s="971" t="s">
        <v>758</v>
      </c>
      <c r="KL128" s="949">
        <v>0.06</v>
      </c>
      <c r="KM128" s="949">
        <v>0.56999999999999995</v>
      </c>
      <c r="KN128" s="949">
        <v>0.37</v>
      </c>
      <c r="KO128" s="949">
        <v>0</v>
      </c>
      <c r="KP128" s="949">
        <v>0.47</v>
      </c>
      <c r="KQ128" s="949">
        <v>0.25</v>
      </c>
      <c r="KR128" s="949">
        <v>0.56999999999999995</v>
      </c>
      <c r="KS128" s="949">
        <v>0.48</v>
      </c>
      <c r="KT128" s="949">
        <v>0.56999999999999995</v>
      </c>
      <c r="KU128" s="949">
        <v>0.44</v>
      </c>
      <c r="KV128" s="949">
        <v>0.62</v>
      </c>
      <c r="KW128" s="949">
        <v>0.32</v>
      </c>
      <c r="KX128" s="949">
        <v>0.33</v>
      </c>
      <c r="KY128" s="949">
        <v>0.54</v>
      </c>
      <c r="KZ128" s="949">
        <v>0.37</v>
      </c>
      <c r="LA128" s="949">
        <v>0.33</v>
      </c>
      <c r="LB128" s="949">
        <v>0.43</v>
      </c>
      <c r="LC128" s="949">
        <v>0.38</v>
      </c>
      <c r="LD128" s="949">
        <v>0.6</v>
      </c>
      <c r="LE128" s="949">
        <v>0.47</v>
      </c>
      <c r="LF128" s="949">
        <v>0.32</v>
      </c>
      <c r="LG128" s="949">
        <v>0.32</v>
      </c>
      <c r="LH128" s="949">
        <v>0.57999999999999996</v>
      </c>
      <c r="LI128" s="949">
        <v>0.47</v>
      </c>
      <c r="LJ128" s="949">
        <v>0.45</v>
      </c>
      <c r="LK128" s="949">
        <v>0.54</v>
      </c>
      <c r="LL128" s="949" t="s">
        <v>173</v>
      </c>
      <c r="LM128" s="949">
        <v>0.59</v>
      </c>
      <c r="LN128" s="949">
        <v>0.68</v>
      </c>
      <c r="LO128" s="949">
        <v>0.39</v>
      </c>
      <c r="LP128" s="922">
        <v>125754000250</v>
      </c>
      <c r="LQ128" s="804" t="s">
        <v>54</v>
      </c>
      <c r="LR128" s="424">
        <v>51</v>
      </c>
      <c r="LS128" s="971">
        <v>52</v>
      </c>
      <c r="LT128" s="946"/>
    </row>
    <row r="129" spans="1:332" ht="24.95" customHeight="1" x14ac:dyDescent="0.2">
      <c r="A129" s="803" t="s">
        <v>34</v>
      </c>
      <c r="B129" s="1" t="s">
        <v>123</v>
      </c>
      <c r="C129" s="2">
        <v>1</v>
      </c>
      <c r="D129" s="12">
        <v>54</v>
      </c>
      <c r="E129" s="12">
        <v>7</v>
      </c>
      <c r="F129" s="66">
        <v>0.01</v>
      </c>
      <c r="G129" s="66">
        <v>0.6</v>
      </c>
      <c r="H129" s="66">
        <v>0.39</v>
      </c>
      <c r="I129" s="66">
        <v>0</v>
      </c>
      <c r="J129" s="66">
        <v>0.37</v>
      </c>
      <c r="K129" s="66">
        <v>0.21</v>
      </c>
      <c r="L129" s="66">
        <v>0.82</v>
      </c>
      <c r="M129" s="66">
        <v>0.18</v>
      </c>
      <c r="N129" s="66">
        <v>0.27</v>
      </c>
      <c r="O129" s="66">
        <v>0.68</v>
      </c>
      <c r="P129" s="66">
        <v>0.35</v>
      </c>
      <c r="Q129" s="66">
        <v>0.36</v>
      </c>
      <c r="R129" s="66">
        <v>0.54</v>
      </c>
      <c r="S129" s="66">
        <v>0.64</v>
      </c>
      <c r="T129" s="66">
        <v>0.49</v>
      </c>
      <c r="U129" s="66">
        <v>0.57999999999999996</v>
      </c>
      <c r="V129" s="66">
        <v>0.02</v>
      </c>
      <c r="W129" s="66">
        <v>0.16</v>
      </c>
      <c r="X129" s="66">
        <v>0.49</v>
      </c>
      <c r="Y129" s="66">
        <v>0.52</v>
      </c>
      <c r="Z129" s="12" t="s">
        <v>173</v>
      </c>
      <c r="AA129" s="66">
        <v>0.05</v>
      </c>
      <c r="AB129" s="66">
        <v>0.43</v>
      </c>
      <c r="AC129" s="66">
        <v>0.23</v>
      </c>
      <c r="AD129" s="66">
        <v>0.43</v>
      </c>
      <c r="AE129" s="66">
        <v>0.34</v>
      </c>
      <c r="AF129" s="66">
        <v>0.47</v>
      </c>
      <c r="AG129" s="66">
        <v>0.51</v>
      </c>
      <c r="AH129" s="12">
        <v>52</v>
      </c>
      <c r="AI129" s="12">
        <v>7</v>
      </c>
      <c r="AJ129" s="40">
        <v>0.04</v>
      </c>
      <c r="AK129" s="40">
        <v>0.62</v>
      </c>
      <c r="AL129" s="40">
        <v>0.34</v>
      </c>
      <c r="AM129" s="40">
        <v>0</v>
      </c>
      <c r="AN129" s="40">
        <v>0.27</v>
      </c>
      <c r="AO129" s="40">
        <v>0.44</v>
      </c>
      <c r="AP129" s="40">
        <v>0.59</v>
      </c>
      <c r="AQ129" s="40">
        <v>0.35</v>
      </c>
      <c r="AR129" s="40">
        <v>0.54</v>
      </c>
      <c r="AS129" s="40">
        <v>0.52</v>
      </c>
      <c r="AT129" s="40">
        <v>0.51</v>
      </c>
      <c r="AU129" s="40">
        <v>0.48</v>
      </c>
      <c r="AV129" s="40">
        <v>0.65</v>
      </c>
      <c r="AW129" s="40">
        <v>0.39</v>
      </c>
      <c r="AX129" s="40">
        <v>0.64</v>
      </c>
      <c r="AY129" s="40">
        <v>0.34</v>
      </c>
      <c r="AZ129" s="40">
        <v>0.27</v>
      </c>
      <c r="BA129" s="40">
        <v>0.48</v>
      </c>
      <c r="BB129" s="40">
        <v>0.74</v>
      </c>
      <c r="BC129" s="40">
        <v>0.61</v>
      </c>
      <c r="BD129" s="40">
        <v>0.38</v>
      </c>
      <c r="BE129" s="40">
        <v>0.44</v>
      </c>
      <c r="BF129" s="40">
        <v>0.51</v>
      </c>
      <c r="BG129" s="40">
        <v>0.54</v>
      </c>
      <c r="BH129" s="40">
        <v>0.42</v>
      </c>
      <c r="BI129" s="40">
        <v>0.39</v>
      </c>
      <c r="BJ129" s="40">
        <v>0.34</v>
      </c>
      <c r="BK129" s="40">
        <v>0.45</v>
      </c>
      <c r="BL129" s="40">
        <v>0.55000000000000004</v>
      </c>
      <c r="BM129" s="12">
        <v>52</v>
      </c>
      <c r="BN129" s="12">
        <v>8</v>
      </c>
      <c r="BO129" s="66">
        <v>0.04</v>
      </c>
      <c r="BP129" s="66">
        <v>0.59</v>
      </c>
      <c r="BQ129" s="66">
        <v>0.35</v>
      </c>
      <c r="BR129" s="66">
        <v>0.01</v>
      </c>
      <c r="BS129" s="66">
        <v>0.28000000000000003</v>
      </c>
      <c r="BT129" s="66">
        <v>0.52</v>
      </c>
      <c r="BU129" s="66">
        <v>0.66</v>
      </c>
      <c r="BV129" s="66">
        <v>0.44</v>
      </c>
      <c r="BW129" s="66">
        <v>0.6</v>
      </c>
      <c r="BX129" s="66">
        <v>0.31</v>
      </c>
      <c r="BY129" s="66">
        <v>0.4</v>
      </c>
      <c r="BZ129" s="66">
        <v>0.5</v>
      </c>
      <c r="CA129" s="66">
        <v>0.4</v>
      </c>
      <c r="CB129" s="66">
        <v>0.28000000000000003</v>
      </c>
      <c r="CC129" s="66">
        <v>0.17</v>
      </c>
      <c r="CD129" s="66">
        <v>0.43</v>
      </c>
      <c r="CE129" s="66">
        <v>0.27</v>
      </c>
      <c r="CF129" s="66">
        <v>0.48</v>
      </c>
      <c r="CG129" s="66">
        <v>0.56000000000000005</v>
      </c>
      <c r="CH129" s="66">
        <v>0.44</v>
      </c>
      <c r="CI129" s="66">
        <v>0.53</v>
      </c>
      <c r="CJ129" s="66">
        <v>0.34</v>
      </c>
      <c r="CK129" s="66">
        <v>0.66</v>
      </c>
      <c r="CL129" s="66">
        <v>0.28000000000000003</v>
      </c>
      <c r="CM129" s="66">
        <v>0.43</v>
      </c>
      <c r="CN129" s="66">
        <v>0.41</v>
      </c>
      <c r="CO129" s="66">
        <v>0.39</v>
      </c>
      <c r="CP129" s="66">
        <v>0.37</v>
      </c>
      <c r="CQ129" s="66">
        <v>0.52</v>
      </c>
      <c r="CR129" s="66">
        <v>0.56000000000000005</v>
      </c>
      <c r="CS129" s="12">
        <v>51</v>
      </c>
      <c r="CT129" s="12">
        <v>7</v>
      </c>
      <c r="CU129" s="63">
        <v>0.09</v>
      </c>
      <c r="CV129" s="63">
        <v>0.65</v>
      </c>
      <c r="CW129" s="63">
        <v>0.26</v>
      </c>
      <c r="CX129" s="63">
        <v>0</v>
      </c>
      <c r="CY129" s="63">
        <v>0.52</v>
      </c>
      <c r="CZ129" s="63">
        <v>0.26</v>
      </c>
      <c r="DA129" s="63">
        <v>0.63</v>
      </c>
      <c r="DB129" s="63">
        <v>0.25</v>
      </c>
      <c r="DC129" s="63">
        <v>0.43</v>
      </c>
      <c r="DD129" s="63">
        <v>0.71</v>
      </c>
      <c r="DE129" s="63">
        <v>0.36</v>
      </c>
      <c r="DF129" s="63">
        <v>0.5</v>
      </c>
      <c r="DG129" s="63">
        <v>0.37</v>
      </c>
      <c r="DH129" s="63">
        <v>0.31</v>
      </c>
      <c r="DI129" s="63">
        <v>0.48</v>
      </c>
      <c r="DJ129" s="63">
        <v>0.51</v>
      </c>
      <c r="DK129" s="63">
        <v>0.41</v>
      </c>
      <c r="DL129" s="63">
        <v>0.18</v>
      </c>
      <c r="DM129" s="63">
        <v>0.43</v>
      </c>
      <c r="DN129" s="63">
        <v>0.53</v>
      </c>
      <c r="DO129" s="63">
        <v>0.52</v>
      </c>
      <c r="DP129" s="63">
        <v>0.43</v>
      </c>
      <c r="DQ129" s="63">
        <v>0.55000000000000004</v>
      </c>
      <c r="DR129" s="63">
        <v>0.15</v>
      </c>
      <c r="DS129" s="63">
        <v>0.35</v>
      </c>
      <c r="DT129" s="63">
        <v>0.6</v>
      </c>
      <c r="DU129" s="63">
        <v>0.47</v>
      </c>
      <c r="DV129" s="63">
        <v>0.6</v>
      </c>
      <c r="DW129" s="63">
        <v>0.34</v>
      </c>
      <c r="DX129" s="35">
        <v>52</v>
      </c>
      <c r="DY129" s="35">
        <v>8</v>
      </c>
      <c r="DZ129" s="40">
        <v>0.1</v>
      </c>
      <c r="EA129" s="40">
        <v>0.57999999999999996</v>
      </c>
      <c r="EB129" s="40">
        <v>0.32</v>
      </c>
      <c r="EC129" s="40">
        <v>0</v>
      </c>
      <c r="ED129" s="40">
        <v>0.47</v>
      </c>
      <c r="EE129" s="40">
        <v>0.47</v>
      </c>
      <c r="EF129" s="40">
        <v>0.44</v>
      </c>
      <c r="EG129" s="40">
        <v>0.37</v>
      </c>
      <c r="EH129" s="40">
        <v>0.39</v>
      </c>
      <c r="EI129" s="40">
        <v>0.43</v>
      </c>
      <c r="EJ129" s="40">
        <v>0.55000000000000004</v>
      </c>
      <c r="EK129" s="40">
        <v>0.25</v>
      </c>
      <c r="EL129" s="40">
        <v>0.47</v>
      </c>
      <c r="EM129" s="40">
        <v>0.54</v>
      </c>
      <c r="EN129" s="40">
        <v>0.33</v>
      </c>
      <c r="EO129" s="40">
        <v>0.5</v>
      </c>
      <c r="EP129" s="40">
        <v>0.37</v>
      </c>
      <c r="EQ129" s="40">
        <v>0.35</v>
      </c>
      <c r="ER129" s="40">
        <v>0.62</v>
      </c>
      <c r="ES129" s="40">
        <v>0.43</v>
      </c>
      <c r="ET129" s="40">
        <v>0.28999999999999998</v>
      </c>
      <c r="EU129" s="40">
        <v>0.59</v>
      </c>
      <c r="EV129" s="40">
        <v>0.18</v>
      </c>
      <c r="EW129" s="40">
        <v>0.36</v>
      </c>
      <c r="EX129" s="40">
        <v>0.7</v>
      </c>
      <c r="EY129" s="40">
        <v>0.56000000000000005</v>
      </c>
      <c r="EZ129" s="40">
        <v>0.27</v>
      </c>
      <c r="FA129" s="40">
        <v>0.54</v>
      </c>
      <c r="FB129" s="246">
        <v>49</v>
      </c>
      <c r="FC129" s="246" t="s">
        <v>758</v>
      </c>
      <c r="FD129" s="246">
        <v>9</v>
      </c>
      <c r="FE129" s="246" t="s">
        <v>758</v>
      </c>
      <c r="FF129" s="263">
        <v>0.16</v>
      </c>
      <c r="FG129" s="263">
        <v>0.59</v>
      </c>
      <c r="FH129" s="263">
        <v>0.21</v>
      </c>
      <c r="FI129" s="263">
        <v>0.03</v>
      </c>
      <c r="FJ129" s="263">
        <v>0.47</v>
      </c>
      <c r="FK129" s="263">
        <v>0.7</v>
      </c>
      <c r="FL129" s="263">
        <v>0.47</v>
      </c>
      <c r="FM129" s="263">
        <v>0.44</v>
      </c>
      <c r="FN129" s="263">
        <v>0.38</v>
      </c>
      <c r="FO129" s="263">
        <v>0.38</v>
      </c>
      <c r="FP129" s="263">
        <v>0.41</v>
      </c>
      <c r="FQ129" s="263">
        <v>0.41</v>
      </c>
      <c r="FR129" s="263">
        <v>0.63</v>
      </c>
      <c r="FS129" s="263">
        <v>0.47</v>
      </c>
      <c r="FT129" s="263">
        <v>0.49</v>
      </c>
      <c r="FU129" s="263">
        <v>0.38</v>
      </c>
      <c r="FV129" s="263">
        <v>0.6</v>
      </c>
      <c r="FW129" s="263">
        <v>0.65</v>
      </c>
      <c r="FX129" s="263">
        <v>0.41</v>
      </c>
      <c r="FY129" s="263">
        <v>0.41</v>
      </c>
      <c r="FZ129" s="263">
        <v>0.41</v>
      </c>
      <c r="GA129" s="263">
        <v>0.45</v>
      </c>
      <c r="GB129" s="263">
        <v>0.52</v>
      </c>
      <c r="GC129" s="263">
        <v>0.38</v>
      </c>
      <c r="GD129" s="263">
        <v>0.63</v>
      </c>
      <c r="GE129" s="263">
        <v>0.55000000000000004</v>
      </c>
      <c r="GF129" s="263">
        <v>0.55000000000000004</v>
      </c>
      <c r="GG129" s="263">
        <v>0.46</v>
      </c>
      <c r="GH129" s="263">
        <v>0.53</v>
      </c>
      <c r="GI129" s="263">
        <v>0.3</v>
      </c>
      <c r="GJ129" s="309">
        <v>51</v>
      </c>
      <c r="GK129" s="309" t="s">
        <v>758</v>
      </c>
      <c r="GL129" s="309">
        <v>8</v>
      </c>
      <c r="GM129" s="309" t="s">
        <v>758</v>
      </c>
      <c r="GN129" s="327">
        <v>0.1</v>
      </c>
      <c r="GO129" s="327">
        <v>0.62</v>
      </c>
      <c r="GP129" s="327">
        <v>0.26</v>
      </c>
      <c r="GQ129" s="327">
        <v>0.02</v>
      </c>
      <c r="GR129" s="327">
        <v>0.4</v>
      </c>
      <c r="GS129" s="327">
        <v>0.55000000000000004</v>
      </c>
      <c r="GT129" s="327">
        <v>0.63</v>
      </c>
      <c r="GU129" s="327">
        <v>0.21</v>
      </c>
      <c r="GV129" s="327">
        <v>0.62</v>
      </c>
      <c r="GW129" s="327">
        <v>0.55000000000000004</v>
      </c>
      <c r="GX129" s="327">
        <v>0.4</v>
      </c>
      <c r="GY129" s="309" t="s">
        <v>173</v>
      </c>
      <c r="GZ129" s="327">
        <v>0.41</v>
      </c>
      <c r="HA129" s="327">
        <v>0.73</v>
      </c>
      <c r="HB129" s="327">
        <v>0.45</v>
      </c>
      <c r="HC129" s="327">
        <v>0.51</v>
      </c>
      <c r="HD129" s="327">
        <v>0.63</v>
      </c>
      <c r="HE129" s="327">
        <v>0.53</v>
      </c>
      <c r="HF129" s="327">
        <v>0.45</v>
      </c>
      <c r="HG129" s="327">
        <v>0.65</v>
      </c>
      <c r="HH129" s="327">
        <v>0.36</v>
      </c>
      <c r="HI129" s="327">
        <v>0.56999999999999995</v>
      </c>
      <c r="HJ129" s="327">
        <v>0.56000000000000005</v>
      </c>
      <c r="HK129" s="327">
        <v>0.61</v>
      </c>
      <c r="HL129" s="327">
        <v>0.45</v>
      </c>
      <c r="HM129" s="327">
        <v>0.52</v>
      </c>
      <c r="HN129" s="327">
        <v>0.39</v>
      </c>
      <c r="HO129" s="327">
        <v>0.39</v>
      </c>
      <c r="HP129" s="309" t="s">
        <v>173</v>
      </c>
      <c r="HQ129" s="327">
        <v>0.46</v>
      </c>
      <c r="HR129" s="651"/>
      <c r="HS129" s="651"/>
      <c r="HT129" s="651"/>
      <c r="HU129" s="651"/>
      <c r="HV129" s="651"/>
      <c r="HW129" s="651"/>
      <c r="HX129" s="651"/>
      <c r="HY129" s="651"/>
      <c r="HZ129" s="651"/>
      <c r="IA129" s="651"/>
      <c r="IB129" s="651"/>
      <c r="IC129" s="651"/>
      <c r="ID129" s="651"/>
      <c r="IE129" s="651"/>
      <c r="IF129" s="651"/>
      <c r="IG129" s="651"/>
      <c r="IH129" s="651"/>
      <c r="II129" s="651"/>
      <c r="IJ129" s="651"/>
      <c r="IK129" s="651"/>
      <c r="IL129" s="651"/>
      <c r="IM129" s="651"/>
      <c r="IN129" s="651"/>
      <c r="IO129" s="651"/>
      <c r="IP129" s="651"/>
      <c r="IQ129" s="651"/>
      <c r="IR129" s="651"/>
      <c r="IS129" s="651"/>
      <c r="IT129" s="651"/>
      <c r="IU129" s="651"/>
      <c r="IV129" s="651"/>
      <c r="IW129" s="651"/>
      <c r="IX129" s="651"/>
      <c r="IY129" s="651"/>
      <c r="IZ129" s="650"/>
      <c r="JA129" s="650"/>
      <c r="JB129" s="650"/>
      <c r="JC129" s="650"/>
      <c r="JD129" s="650"/>
      <c r="JE129" s="650"/>
      <c r="JF129" s="650"/>
      <c r="JG129" s="650"/>
      <c r="JH129" s="650"/>
      <c r="JI129" s="650"/>
      <c r="JJ129" s="650"/>
      <c r="JK129" s="650"/>
      <c r="JL129" s="650"/>
      <c r="JM129" s="650"/>
      <c r="JN129" s="650"/>
      <c r="JO129" s="650"/>
      <c r="JP129" s="650"/>
      <c r="JQ129" s="650"/>
      <c r="JR129" s="650"/>
      <c r="JS129" s="650"/>
      <c r="JT129" s="650"/>
      <c r="JU129" s="650"/>
      <c r="JV129" s="650"/>
      <c r="JW129" s="650"/>
      <c r="JX129" s="650"/>
      <c r="JY129" s="650"/>
      <c r="JZ129" s="650"/>
      <c r="KA129" s="650"/>
      <c r="KB129" s="650"/>
      <c r="KC129" s="650"/>
      <c r="KD129" s="650"/>
      <c r="KE129" s="650"/>
      <c r="KF129" s="650"/>
      <c r="KG129" s="650"/>
      <c r="KH129" s="971"/>
      <c r="KI129" s="971"/>
      <c r="KJ129" s="971"/>
      <c r="KK129" s="971"/>
      <c r="KL129" s="949"/>
      <c r="KM129" s="949"/>
      <c r="KN129" s="949"/>
      <c r="KO129" s="949"/>
      <c r="KP129" s="949"/>
      <c r="KQ129" s="949"/>
      <c r="KR129" s="949"/>
      <c r="KS129" s="949"/>
      <c r="KT129" s="949"/>
      <c r="KU129" s="949"/>
      <c r="KV129" s="949"/>
      <c r="KW129" s="949"/>
      <c r="KX129" s="949"/>
      <c r="KY129" s="949"/>
      <c r="KZ129" s="949"/>
      <c r="LA129" s="949"/>
      <c r="LB129" s="949"/>
      <c r="LC129" s="949"/>
      <c r="LD129" s="949"/>
      <c r="LE129" s="949"/>
      <c r="LF129" s="949"/>
      <c r="LG129" s="949"/>
      <c r="LH129" s="949"/>
      <c r="LI129" s="949"/>
      <c r="LJ129" s="949"/>
      <c r="LK129" s="949"/>
      <c r="LL129" s="949"/>
      <c r="LM129" s="949"/>
      <c r="LN129" s="949"/>
      <c r="LO129" s="949"/>
      <c r="LP129" s="922"/>
      <c r="LQ129" s="803" t="s">
        <v>34</v>
      </c>
      <c r="LR129" s="651"/>
      <c r="LS129" s="971"/>
      <c r="LT129" s="946"/>
    </row>
    <row r="130" spans="1:332" ht="24.95" customHeight="1" x14ac:dyDescent="0.2">
      <c r="A130" s="803" t="s">
        <v>804</v>
      </c>
      <c r="B130" s="1" t="s">
        <v>121</v>
      </c>
      <c r="C130" s="2">
        <v>3</v>
      </c>
      <c r="D130" s="12"/>
      <c r="E130" s="12"/>
      <c r="F130" s="66"/>
      <c r="G130" s="66"/>
      <c r="H130" s="66"/>
      <c r="I130" s="66"/>
      <c r="J130" s="66"/>
      <c r="K130" s="66"/>
      <c r="L130" s="66"/>
      <c r="M130" s="66"/>
      <c r="N130" s="66"/>
      <c r="O130" s="66"/>
      <c r="P130" s="66"/>
      <c r="Q130" s="66"/>
      <c r="R130" s="66"/>
      <c r="S130" s="66"/>
      <c r="T130" s="66"/>
      <c r="U130" s="66"/>
      <c r="V130" s="66"/>
      <c r="W130" s="66"/>
      <c r="X130" s="66"/>
      <c r="Y130" s="66"/>
      <c r="Z130" s="12"/>
      <c r="AA130" s="66"/>
      <c r="AB130" s="66"/>
      <c r="AC130" s="66"/>
      <c r="AD130" s="66"/>
      <c r="AE130" s="66"/>
      <c r="AF130" s="66"/>
      <c r="AG130" s="66"/>
      <c r="AH130" s="12"/>
      <c r="AI130" s="12"/>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12"/>
      <c r="BN130" s="12"/>
      <c r="BO130" s="66"/>
      <c r="BP130" s="66"/>
      <c r="BQ130" s="66"/>
      <c r="BR130" s="66"/>
      <c r="BS130" s="66"/>
      <c r="BT130" s="66"/>
      <c r="BU130" s="66"/>
      <c r="BV130" s="66"/>
      <c r="BW130" s="66"/>
      <c r="BX130" s="66"/>
      <c r="BY130" s="66"/>
      <c r="BZ130" s="66"/>
      <c r="CA130" s="66"/>
      <c r="CB130" s="66"/>
      <c r="CC130" s="66"/>
      <c r="CD130" s="66"/>
      <c r="CE130" s="66"/>
      <c r="CF130" s="66"/>
      <c r="CG130" s="66"/>
      <c r="CH130" s="66"/>
      <c r="CI130" s="66"/>
      <c r="CJ130" s="66"/>
      <c r="CK130" s="66"/>
      <c r="CL130" s="66"/>
      <c r="CM130" s="66"/>
      <c r="CN130" s="66"/>
      <c r="CO130" s="66"/>
      <c r="CP130" s="66"/>
      <c r="CQ130" s="66"/>
      <c r="CR130" s="66"/>
      <c r="CS130" s="12"/>
      <c r="CT130" s="12"/>
      <c r="CU130" s="63"/>
      <c r="CV130" s="63"/>
      <c r="CW130" s="63"/>
      <c r="CX130" s="63"/>
      <c r="CY130" s="63"/>
      <c r="CZ130" s="63"/>
      <c r="DA130" s="63"/>
      <c r="DB130" s="63"/>
      <c r="DC130" s="63"/>
      <c r="DD130" s="63"/>
      <c r="DE130" s="63"/>
      <c r="DF130" s="63"/>
      <c r="DG130" s="63"/>
      <c r="DH130" s="63"/>
      <c r="DI130" s="63"/>
      <c r="DJ130" s="63"/>
      <c r="DK130" s="63"/>
      <c r="DL130" s="63"/>
      <c r="DM130" s="63"/>
      <c r="DN130" s="63"/>
      <c r="DO130" s="63"/>
      <c r="DP130" s="63"/>
      <c r="DQ130" s="63"/>
      <c r="DR130" s="63"/>
      <c r="DS130" s="63"/>
      <c r="DT130" s="63"/>
      <c r="DU130" s="63"/>
      <c r="DV130" s="63"/>
      <c r="DW130" s="63"/>
      <c r="DX130" s="35"/>
      <c r="DY130" s="35"/>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246"/>
      <c r="FC130" s="246"/>
      <c r="FD130" s="246"/>
      <c r="FE130" s="246"/>
      <c r="FF130" s="263"/>
      <c r="FG130" s="263"/>
      <c r="FH130" s="263"/>
      <c r="FI130" s="263"/>
      <c r="FJ130" s="263"/>
      <c r="FK130" s="263"/>
      <c r="FL130" s="263"/>
      <c r="FM130" s="263"/>
      <c r="FN130" s="263"/>
      <c r="FO130" s="263"/>
      <c r="FP130" s="263"/>
      <c r="FQ130" s="263"/>
      <c r="FR130" s="263"/>
      <c r="FS130" s="263"/>
      <c r="FT130" s="263"/>
      <c r="FU130" s="263"/>
      <c r="FV130" s="263"/>
      <c r="FW130" s="263"/>
      <c r="FX130" s="263"/>
      <c r="FY130" s="263"/>
      <c r="FZ130" s="263"/>
      <c r="GA130" s="263"/>
      <c r="GB130" s="263"/>
      <c r="GC130" s="263"/>
      <c r="GD130" s="263"/>
      <c r="GE130" s="263"/>
      <c r="GF130" s="263"/>
      <c r="GG130" s="263"/>
      <c r="GH130" s="263"/>
      <c r="GI130" s="263"/>
      <c r="GJ130" s="309">
        <v>50</v>
      </c>
      <c r="GK130" s="309" t="s">
        <v>758</v>
      </c>
      <c r="GL130" s="309">
        <v>9</v>
      </c>
      <c r="GM130" s="309" t="s">
        <v>758</v>
      </c>
      <c r="GN130" s="327">
        <v>0.19</v>
      </c>
      <c r="GO130" s="327">
        <v>0.53</v>
      </c>
      <c r="GP130" s="327">
        <v>0.27</v>
      </c>
      <c r="GQ130" s="327">
        <v>0.01</v>
      </c>
      <c r="GR130" s="327">
        <v>0.53</v>
      </c>
      <c r="GS130" s="327">
        <v>0.52</v>
      </c>
      <c r="GT130" s="327">
        <v>0.67</v>
      </c>
      <c r="GU130" s="327">
        <v>0.3</v>
      </c>
      <c r="GV130" s="327">
        <v>0.59</v>
      </c>
      <c r="GW130" s="327">
        <v>0.47</v>
      </c>
      <c r="GX130" s="327">
        <v>0.48</v>
      </c>
      <c r="GY130" s="309" t="s">
        <v>173</v>
      </c>
      <c r="GZ130" s="327">
        <v>0.4</v>
      </c>
      <c r="HA130" s="327">
        <v>0.63</v>
      </c>
      <c r="HB130" s="327">
        <v>0.47</v>
      </c>
      <c r="HC130" s="327">
        <v>0.56999999999999995</v>
      </c>
      <c r="HD130" s="327">
        <v>0.63</v>
      </c>
      <c r="HE130" s="327">
        <v>0.44</v>
      </c>
      <c r="HF130" s="327">
        <v>0.48</v>
      </c>
      <c r="HG130" s="327">
        <v>0.68</v>
      </c>
      <c r="HH130" s="327">
        <v>0.4</v>
      </c>
      <c r="HI130" s="327">
        <v>0.54</v>
      </c>
      <c r="HJ130" s="327">
        <v>0.56999999999999995</v>
      </c>
      <c r="HK130" s="327">
        <v>0.54</v>
      </c>
      <c r="HL130" s="327">
        <v>0.46</v>
      </c>
      <c r="HM130" s="327">
        <v>0.52</v>
      </c>
      <c r="HN130" s="327">
        <v>0.48</v>
      </c>
      <c r="HO130" s="327">
        <v>0.5</v>
      </c>
      <c r="HP130" s="309" t="s">
        <v>173</v>
      </c>
      <c r="HQ130" s="327">
        <v>0.37</v>
      </c>
      <c r="HR130" s="652">
        <v>51</v>
      </c>
      <c r="HS130" s="652" t="s">
        <v>758</v>
      </c>
      <c r="HT130" s="652">
        <v>8</v>
      </c>
      <c r="HU130" s="652" t="s">
        <v>758</v>
      </c>
      <c r="HV130" s="653">
        <v>0.13</v>
      </c>
      <c r="HW130" s="653">
        <v>0.49</v>
      </c>
      <c r="HX130" s="653">
        <v>0.37</v>
      </c>
      <c r="HY130" s="653">
        <v>0.01</v>
      </c>
      <c r="HZ130" s="653">
        <v>0.39</v>
      </c>
      <c r="IA130" s="653">
        <v>0.52</v>
      </c>
      <c r="IB130" s="653">
        <v>0.32</v>
      </c>
      <c r="IC130" s="653">
        <v>0.48</v>
      </c>
      <c r="ID130" s="653">
        <v>0.66</v>
      </c>
      <c r="IE130" s="653">
        <v>0.34</v>
      </c>
      <c r="IF130" s="653">
        <v>0.38</v>
      </c>
      <c r="IG130" s="653">
        <v>0.49</v>
      </c>
      <c r="IH130" s="653">
        <v>0.56000000000000005</v>
      </c>
      <c r="II130" s="653">
        <v>0.34</v>
      </c>
      <c r="IJ130" s="653">
        <v>0.3</v>
      </c>
      <c r="IK130" s="653">
        <v>0.55000000000000004</v>
      </c>
      <c r="IL130" s="653">
        <v>0.35</v>
      </c>
      <c r="IM130" s="653">
        <v>0.53</v>
      </c>
      <c r="IN130" s="653">
        <v>0.47</v>
      </c>
      <c r="IO130" s="653">
        <v>0.55000000000000004</v>
      </c>
      <c r="IP130" s="653">
        <v>0.42</v>
      </c>
      <c r="IQ130" s="653">
        <v>0.63</v>
      </c>
      <c r="IR130" s="653">
        <v>0.48</v>
      </c>
      <c r="IS130" s="653">
        <v>0.56999999999999995</v>
      </c>
      <c r="IT130" s="653">
        <v>0.39</v>
      </c>
      <c r="IU130" s="652" t="s">
        <v>173</v>
      </c>
      <c r="IV130" s="653">
        <v>0.61</v>
      </c>
      <c r="IW130" s="653">
        <v>0.44</v>
      </c>
      <c r="IX130" s="653">
        <v>0.47</v>
      </c>
      <c r="IY130" s="653">
        <v>0.52</v>
      </c>
      <c r="IZ130" s="74">
        <v>52</v>
      </c>
      <c r="JA130" s="74" t="s">
        <v>758</v>
      </c>
      <c r="JB130" s="74">
        <v>9</v>
      </c>
      <c r="JC130" s="74" t="s">
        <v>758</v>
      </c>
      <c r="JD130" s="96">
        <v>0.1</v>
      </c>
      <c r="JE130" s="96">
        <v>0.53</v>
      </c>
      <c r="JF130" s="96">
        <v>0.35</v>
      </c>
      <c r="JG130" s="96">
        <v>0.02</v>
      </c>
      <c r="JH130" s="96">
        <v>0.48</v>
      </c>
      <c r="JI130" s="96">
        <v>0.42</v>
      </c>
      <c r="JJ130" s="96">
        <v>0.42</v>
      </c>
      <c r="JK130" s="96">
        <v>0.47</v>
      </c>
      <c r="JL130" s="96">
        <v>0.46</v>
      </c>
      <c r="JM130" s="96">
        <v>0.46</v>
      </c>
      <c r="JN130" s="96">
        <v>0.4</v>
      </c>
      <c r="JO130" s="96">
        <v>0.45</v>
      </c>
      <c r="JP130" s="96">
        <v>0.51</v>
      </c>
      <c r="JQ130" s="96">
        <v>0.26</v>
      </c>
      <c r="JR130" s="96">
        <v>0.56000000000000005</v>
      </c>
      <c r="JS130" s="96">
        <v>0.49</v>
      </c>
      <c r="JT130" s="96">
        <v>0.43</v>
      </c>
      <c r="JU130" s="96">
        <v>0.48</v>
      </c>
      <c r="JV130" s="96">
        <v>0.49</v>
      </c>
      <c r="JW130" s="96">
        <v>0.48</v>
      </c>
      <c r="JX130" s="96">
        <v>0.43</v>
      </c>
      <c r="JY130" s="96">
        <v>0.46</v>
      </c>
      <c r="JZ130" s="96">
        <v>0.45</v>
      </c>
      <c r="KA130" s="96">
        <v>0.59</v>
      </c>
      <c r="KB130" s="96">
        <v>0.47</v>
      </c>
      <c r="KC130" s="96">
        <v>0.63</v>
      </c>
      <c r="KD130" s="96">
        <v>0.35</v>
      </c>
      <c r="KE130" s="96">
        <v>0.49</v>
      </c>
      <c r="KF130" s="96">
        <v>0.44</v>
      </c>
      <c r="KG130" s="96">
        <v>0.48</v>
      </c>
      <c r="KH130" s="971">
        <v>52</v>
      </c>
      <c r="KI130" s="971" t="s">
        <v>758</v>
      </c>
      <c r="KJ130" s="971">
        <v>9</v>
      </c>
      <c r="KK130" s="971" t="s">
        <v>758</v>
      </c>
      <c r="KL130" s="949">
        <v>0.11</v>
      </c>
      <c r="KM130" s="949">
        <v>0.55000000000000004</v>
      </c>
      <c r="KN130" s="949">
        <v>0.32</v>
      </c>
      <c r="KO130" s="949">
        <v>0.02</v>
      </c>
      <c r="KP130" s="949">
        <v>0.51</v>
      </c>
      <c r="KQ130" s="949">
        <v>0.27</v>
      </c>
      <c r="KR130" s="949">
        <v>0.6</v>
      </c>
      <c r="KS130" s="949">
        <v>0.48</v>
      </c>
      <c r="KT130" s="949">
        <v>0.54</v>
      </c>
      <c r="KU130" s="949">
        <v>0.38</v>
      </c>
      <c r="KV130" s="949">
        <v>0.62</v>
      </c>
      <c r="KW130" s="949">
        <v>0.39</v>
      </c>
      <c r="KX130" s="949">
        <v>0.33</v>
      </c>
      <c r="KY130" s="949">
        <v>0.52</v>
      </c>
      <c r="KZ130" s="949">
        <v>0.4</v>
      </c>
      <c r="LA130" s="949">
        <v>0.42</v>
      </c>
      <c r="LB130" s="949">
        <v>0.4</v>
      </c>
      <c r="LC130" s="949">
        <v>0.39</v>
      </c>
      <c r="LD130" s="949">
        <v>0.56999999999999995</v>
      </c>
      <c r="LE130" s="949">
        <v>0.48</v>
      </c>
      <c r="LF130" s="949">
        <v>0.31</v>
      </c>
      <c r="LG130" s="949">
        <v>0.47</v>
      </c>
      <c r="LH130" s="949">
        <v>0.55000000000000004</v>
      </c>
      <c r="LI130" s="949">
        <v>0.49</v>
      </c>
      <c r="LJ130" s="949">
        <v>0.47</v>
      </c>
      <c r="LK130" s="949">
        <v>0.56000000000000005</v>
      </c>
      <c r="LL130" s="949" t="s">
        <v>173</v>
      </c>
      <c r="LM130" s="949">
        <v>0.55000000000000004</v>
      </c>
      <c r="LN130" s="949">
        <v>0.5</v>
      </c>
      <c r="LO130" s="949">
        <v>0.41</v>
      </c>
      <c r="LP130" s="922">
        <v>125754800329</v>
      </c>
      <c r="LQ130" s="803" t="s">
        <v>804</v>
      </c>
      <c r="LR130" s="652">
        <v>51</v>
      </c>
      <c r="LS130" s="971">
        <v>52</v>
      </c>
      <c r="LT130" s="946"/>
    </row>
    <row r="131" spans="1:332" ht="24.95" customHeight="1" x14ac:dyDescent="0.2">
      <c r="A131" s="805" t="s">
        <v>176</v>
      </c>
      <c r="B131" s="1" t="s">
        <v>121</v>
      </c>
      <c r="C131" s="309">
        <v>6</v>
      </c>
      <c r="D131" s="328">
        <v>52</v>
      </c>
      <c r="E131" s="328">
        <v>8</v>
      </c>
      <c r="F131" s="333">
        <v>7.0000000000000007E-2</v>
      </c>
      <c r="G131" s="333">
        <v>0.65</v>
      </c>
      <c r="H131" s="333">
        <v>0.28000000000000003</v>
      </c>
      <c r="I131" s="333">
        <v>0</v>
      </c>
      <c r="J131" s="333">
        <v>0.42</v>
      </c>
      <c r="K131" s="333">
        <v>0.45</v>
      </c>
      <c r="L131" s="333">
        <v>0.7</v>
      </c>
      <c r="M131" s="333">
        <v>0.22</v>
      </c>
      <c r="N131" s="333">
        <v>0.33</v>
      </c>
      <c r="O131" s="333">
        <v>0.62</v>
      </c>
      <c r="P131" s="333">
        <v>0.36</v>
      </c>
      <c r="Q131" s="333">
        <v>0.43</v>
      </c>
      <c r="R131" s="333">
        <v>0.53</v>
      </c>
      <c r="S131" s="333">
        <v>0.64</v>
      </c>
      <c r="T131" s="333">
        <v>0.51</v>
      </c>
      <c r="U131" s="333">
        <v>0.65</v>
      </c>
      <c r="V131" s="333">
        <v>0.11</v>
      </c>
      <c r="W131" s="333">
        <v>0.19</v>
      </c>
      <c r="X131" s="333">
        <v>0.54</v>
      </c>
      <c r="Y131" s="333">
        <v>0.54</v>
      </c>
      <c r="Z131" s="333">
        <v>0.5</v>
      </c>
      <c r="AA131" s="333">
        <v>0.22</v>
      </c>
      <c r="AB131" s="333">
        <v>0.43</v>
      </c>
      <c r="AC131" s="333">
        <v>0.34</v>
      </c>
      <c r="AD131" s="333">
        <v>0.5</v>
      </c>
      <c r="AE131" s="333">
        <v>0.36</v>
      </c>
      <c r="AF131" s="333">
        <v>0.57999999999999996</v>
      </c>
      <c r="AG131" s="333">
        <v>0.48</v>
      </c>
      <c r="AH131" s="328">
        <v>52</v>
      </c>
      <c r="AI131" s="328">
        <v>8</v>
      </c>
      <c r="AJ131" s="331">
        <v>0.11</v>
      </c>
      <c r="AK131" s="331">
        <v>0.53</v>
      </c>
      <c r="AL131" s="331">
        <v>0.35</v>
      </c>
      <c r="AM131" s="331">
        <v>0.01</v>
      </c>
      <c r="AN131" s="331">
        <v>0.26</v>
      </c>
      <c r="AO131" s="331">
        <v>0.4</v>
      </c>
      <c r="AP131" s="331">
        <v>0.61</v>
      </c>
      <c r="AQ131" s="331">
        <v>0.36</v>
      </c>
      <c r="AR131" s="331">
        <v>0.55000000000000004</v>
      </c>
      <c r="AS131" s="331">
        <v>0.49</v>
      </c>
      <c r="AT131" s="331">
        <v>0.5</v>
      </c>
      <c r="AU131" s="331">
        <v>0.56999999999999995</v>
      </c>
      <c r="AV131" s="331">
        <v>0.6</v>
      </c>
      <c r="AW131" s="331">
        <v>0.59</v>
      </c>
      <c r="AX131" s="331">
        <v>0.6</v>
      </c>
      <c r="AY131" s="331">
        <v>0.35</v>
      </c>
      <c r="AZ131" s="331">
        <v>0.37</v>
      </c>
      <c r="BA131" s="331">
        <v>0.5</v>
      </c>
      <c r="BB131" s="331">
        <v>0.6</v>
      </c>
      <c r="BC131" s="331">
        <v>0.67</v>
      </c>
      <c r="BD131" s="331">
        <v>0.35</v>
      </c>
      <c r="BE131" s="331">
        <v>0.55000000000000004</v>
      </c>
      <c r="BF131" s="331">
        <v>0.56999999999999995</v>
      </c>
      <c r="BG131" s="331">
        <v>0.52</v>
      </c>
      <c r="BH131" s="331">
        <v>0.42</v>
      </c>
      <c r="BI131" s="331">
        <v>0.4</v>
      </c>
      <c r="BJ131" s="331">
        <v>0.37</v>
      </c>
      <c r="BK131" s="331">
        <v>0.48</v>
      </c>
      <c r="BL131" s="331">
        <v>0.37</v>
      </c>
      <c r="BM131" s="328">
        <v>50</v>
      </c>
      <c r="BN131" s="328">
        <v>8</v>
      </c>
      <c r="BO131" s="333">
        <v>0.08</v>
      </c>
      <c r="BP131" s="333">
        <v>0.71</v>
      </c>
      <c r="BQ131" s="333">
        <v>0.21</v>
      </c>
      <c r="BR131" s="333">
        <v>0</v>
      </c>
      <c r="BS131" s="333">
        <v>0.33</v>
      </c>
      <c r="BT131" s="333">
        <v>0.6</v>
      </c>
      <c r="BU131" s="333">
        <v>0.67</v>
      </c>
      <c r="BV131" s="333">
        <v>0.41</v>
      </c>
      <c r="BW131" s="333">
        <v>0.66</v>
      </c>
      <c r="BX131" s="333">
        <v>0.36</v>
      </c>
      <c r="BY131" s="333">
        <v>0.42</v>
      </c>
      <c r="BZ131" s="333">
        <v>0.5</v>
      </c>
      <c r="CA131" s="333">
        <v>0.5</v>
      </c>
      <c r="CB131" s="333">
        <v>0.43</v>
      </c>
      <c r="CC131" s="333">
        <v>0.17</v>
      </c>
      <c r="CD131" s="333">
        <v>0.39</v>
      </c>
      <c r="CE131" s="333">
        <v>0.36</v>
      </c>
      <c r="CF131" s="333">
        <v>0.68</v>
      </c>
      <c r="CG131" s="333">
        <v>0.56000000000000005</v>
      </c>
      <c r="CH131" s="333">
        <v>0.45</v>
      </c>
      <c r="CI131" s="333">
        <v>0.55000000000000004</v>
      </c>
      <c r="CJ131" s="333">
        <v>0.36</v>
      </c>
      <c r="CK131" s="333">
        <v>0.73</v>
      </c>
      <c r="CL131" s="333">
        <v>0.36</v>
      </c>
      <c r="CM131" s="333">
        <v>0.53</v>
      </c>
      <c r="CN131" s="333">
        <v>0.47</v>
      </c>
      <c r="CO131" s="333">
        <v>0.51</v>
      </c>
      <c r="CP131" s="333">
        <v>0.38</v>
      </c>
      <c r="CQ131" s="333">
        <v>0.57999999999999996</v>
      </c>
      <c r="CR131" s="333">
        <v>0.59</v>
      </c>
      <c r="CS131" s="328">
        <v>48</v>
      </c>
      <c r="CT131" s="328">
        <v>8</v>
      </c>
      <c r="CU131" s="327">
        <v>0.12</v>
      </c>
      <c r="CV131" s="327">
        <v>0.73</v>
      </c>
      <c r="CW131" s="327">
        <v>0.15</v>
      </c>
      <c r="CX131" s="327">
        <v>0.01</v>
      </c>
      <c r="CY131" s="327">
        <v>0.5</v>
      </c>
      <c r="CZ131" s="327">
        <v>0.28000000000000003</v>
      </c>
      <c r="DA131" s="327">
        <v>0.6</v>
      </c>
      <c r="DB131" s="327">
        <v>0.43</v>
      </c>
      <c r="DC131" s="327">
        <v>0.48</v>
      </c>
      <c r="DD131" s="327">
        <v>0.6</v>
      </c>
      <c r="DE131" s="327">
        <v>0.51</v>
      </c>
      <c r="DF131" s="327">
        <v>0.57999999999999996</v>
      </c>
      <c r="DG131" s="327">
        <v>0.41</v>
      </c>
      <c r="DH131" s="327">
        <v>0.4</v>
      </c>
      <c r="DI131" s="327">
        <v>0.49</v>
      </c>
      <c r="DJ131" s="327">
        <v>0.56000000000000005</v>
      </c>
      <c r="DK131" s="327">
        <v>0.43</v>
      </c>
      <c r="DL131" s="327">
        <v>0.48</v>
      </c>
      <c r="DM131" s="327">
        <v>0.52</v>
      </c>
      <c r="DN131" s="327">
        <v>0.48</v>
      </c>
      <c r="DO131" s="327">
        <v>0.43</v>
      </c>
      <c r="DP131" s="327">
        <v>0.53</v>
      </c>
      <c r="DQ131" s="327">
        <v>0.62</v>
      </c>
      <c r="DR131" s="327">
        <v>0.25</v>
      </c>
      <c r="DS131" s="327">
        <v>0.39</v>
      </c>
      <c r="DT131" s="327">
        <v>0.57999999999999996</v>
      </c>
      <c r="DU131" s="327">
        <v>0.6</v>
      </c>
      <c r="DV131" s="327">
        <v>0.6</v>
      </c>
      <c r="DW131" s="327">
        <v>0.35</v>
      </c>
      <c r="DX131" s="311">
        <v>49</v>
      </c>
      <c r="DY131" s="311">
        <v>9</v>
      </c>
      <c r="DZ131" s="331">
        <v>0.22</v>
      </c>
      <c r="EA131" s="331">
        <v>0.52</v>
      </c>
      <c r="EB131" s="331">
        <v>0.26</v>
      </c>
      <c r="EC131" s="331">
        <v>0</v>
      </c>
      <c r="ED131" s="331">
        <v>0.52</v>
      </c>
      <c r="EE131" s="331">
        <v>0.55000000000000004</v>
      </c>
      <c r="EF131" s="331">
        <v>0.56999999999999995</v>
      </c>
      <c r="EG131" s="331">
        <v>0.38</v>
      </c>
      <c r="EH131" s="331">
        <v>0.51</v>
      </c>
      <c r="EI131" s="331">
        <v>0.55000000000000004</v>
      </c>
      <c r="EJ131" s="331">
        <v>0.61</v>
      </c>
      <c r="EK131" s="331">
        <v>0.25</v>
      </c>
      <c r="EL131" s="331">
        <v>0.45</v>
      </c>
      <c r="EM131" s="331">
        <v>0.72</v>
      </c>
      <c r="EN131" s="331">
        <v>0.48</v>
      </c>
      <c r="EO131" s="331">
        <v>0.56000000000000005</v>
      </c>
      <c r="EP131" s="331">
        <v>0.4</v>
      </c>
      <c r="EQ131" s="331">
        <v>0.3</v>
      </c>
      <c r="ER131" s="331">
        <v>0.66</v>
      </c>
      <c r="ES131" s="331">
        <v>0.49</v>
      </c>
      <c r="ET131" s="331">
        <v>0.34</v>
      </c>
      <c r="EU131" s="331">
        <v>0.56000000000000005</v>
      </c>
      <c r="EV131" s="331">
        <v>0.34</v>
      </c>
      <c r="EW131" s="331">
        <v>0.4</v>
      </c>
      <c r="EX131" s="331">
        <v>0.7</v>
      </c>
      <c r="EY131" s="331">
        <v>0.54</v>
      </c>
      <c r="EZ131" s="331">
        <v>0.18</v>
      </c>
      <c r="FA131" s="331">
        <v>0.6</v>
      </c>
      <c r="FB131" s="312">
        <v>48</v>
      </c>
      <c r="FC131" s="312" t="s">
        <v>758</v>
      </c>
      <c r="FD131" s="312">
        <v>7</v>
      </c>
      <c r="FE131" s="312" t="s">
        <v>758</v>
      </c>
      <c r="FF131" s="332">
        <v>0.17</v>
      </c>
      <c r="FG131" s="332">
        <v>0.7</v>
      </c>
      <c r="FH131" s="332">
        <v>0.13</v>
      </c>
      <c r="FI131" s="332">
        <v>0</v>
      </c>
      <c r="FJ131" s="332">
        <v>0.54</v>
      </c>
      <c r="FK131" s="332">
        <v>0.7</v>
      </c>
      <c r="FL131" s="332">
        <v>0.49</v>
      </c>
      <c r="FM131" s="332">
        <v>0.49</v>
      </c>
      <c r="FN131" s="332">
        <v>0.4</v>
      </c>
      <c r="FO131" s="332">
        <v>0.37</v>
      </c>
      <c r="FP131" s="332">
        <v>0.41</v>
      </c>
      <c r="FQ131" s="332">
        <v>0.42</v>
      </c>
      <c r="FR131" s="332">
        <v>0.63</v>
      </c>
      <c r="FS131" s="332">
        <v>0.56000000000000005</v>
      </c>
      <c r="FT131" s="332">
        <v>0.54</v>
      </c>
      <c r="FU131" s="332">
        <v>0.47</v>
      </c>
      <c r="FV131" s="332">
        <v>0.67</v>
      </c>
      <c r="FW131" s="332">
        <v>0.57999999999999996</v>
      </c>
      <c r="FX131" s="332">
        <v>0.54</v>
      </c>
      <c r="FY131" s="332">
        <v>0.43</v>
      </c>
      <c r="FZ131" s="332">
        <v>0.53</v>
      </c>
      <c r="GA131" s="332">
        <v>0.61</v>
      </c>
      <c r="GB131" s="332">
        <v>0.56999999999999995</v>
      </c>
      <c r="GC131" s="332">
        <v>0.48</v>
      </c>
      <c r="GD131" s="332">
        <v>0.65</v>
      </c>
      <c r="GE131" s="332">
        <v>0.59</v>
      </c>
      <c r="GF131" s="332">
        <v>0.51</v>
      </c>
      <c r="GG131" s="332">
        <v>0.56000000000000005</v>
      </c>
      <c r="GH131" s="332">
        <v>0.61</v>
      </c>
      <c r="GI131" s="332">
        <v>0.31</v>
      </c>
      <c r="GJ131" s="309">
        <v>47</v>
      </c>
      <c r="GK131" s="309" t="s">
        <v>758</v>
      </c>
      <c r="GL131" s="309">
        <v>9</v>
      </c>
      <c r="GM131" s="309" t="s">
        <v>758</v>
      </c>
      <c r="GN131" s="327">
        <v>0.25</v>
      </c>
      <c r="GO131" s="327">
        <v>0.61</v>
      </c>
      <c r="GP131" s="327">
        <v>0.14000000000000001</v>
      </c>
      <c r="GQ131" s="327">
        <v>0</v>
      </c>
      <c r="GR131" s="327">
        <v>0.66</v>
      </c>
      <c r="GS131" s="327">
        <v>0.61</v>
      </c>
      <c r="GT131" s="327">
        <v>0.7</v>
      </c>
      <c r="GU131" s="327">
        <v>0.24</v>
      </c>
      <c r="GV131" s="327">
        <v>0.64</v>
      </c>
      <c r="GW131" s="327">
        <v>0.64</v>
      </c>
      <c r="GX131" s="327">
        <v>0.56999999999999995</v>
      </c>
      <c r="GY131" s="309" t="s">
        <v>173</v>
      </c>
      <c r="GZ131" s="327">
        <v>0.39</v>
      </c>
      <c r="HA131" s="327">
        <v>0.63</v>
      </c>
      <c r="HB131" s="327">
        <v>0.57999999999999996</v>
      </c>
      <c r="HC131" s="327">
        <v>0.56999999999999995</v>
      </c>
      <c r="HD131" s="327">
        <v>0.65</v>
      </c>
      <c r="HE131" s="327">
        <v>0.53</v>
      </c>
      <c r="HF131" s="327">
        <v>0.56999999999999995</v>
      </c>
      <c r="HG131" s="327">
        <v>0.67</v>
      </c>
      <c r="HH131" s="327">
        <v>0.44</v>
      </c>
      <c r="HI131" s="327">
        <v>0.61</v>
      </c>
      <c r="HJ131" s="327">
        <v>0.63</v>
      </c>
      <c r="HK131" s="327">
        <v>0.57999999999999996</v>
      </c>
      <c r="HL131" s="327">
        <v>0.45</v>
      </c>
      <c r="HM131" s="327">
        <v>0.56000000000000005</v>
      </c>
      <c r="HN131" s="327">
        <v>0.55000000000000004</v>
      </c>
      <c r="HO131" s="327">
        <v>0.46</v>
      </c>
      <c r="HP131" s="309" t="s">
        <v>173</v>
      </c>
      <c r="HQ131" s="327">
        <v>0.46</v>
      </c>
      <c r="HR131" s="424">
        <v>49</v>
      </c>
      <c r="HS131" s="424" t="s">
        <v>758</v>
      </c>
      <c r="HT131" s="424">
        <v>9</v>
      </c>
      <c r="HU131" s="424" t="s">
        <v>758</v>
      </c>
      <c r="HV131" s="428">
        <v>0.16</v>
      </c>
      <c r="HW131" s="428">
        <v>0.6</v>
      </c>
      <c r="HX131" s="428">
        <v>0.23</v>
      </c>
      <c r="HY131" s="428">
        <v>0.01</v>
      </c>
      <c r="HZ131" s="428">
        <v>0.41</v>
      </c>
      <c r="IA131" s="428">
        <v>0.56000000000000005</v>
      </c>
      <c r="IB131" s="428">
        <v>0.49</v>
      </c>
      <c r="IC131" s="428">
        <v>0.51</v>
      </c>
      <c r="ID131" s="428">
        <v>0.66</v>
      </c>
      <c r="IE131" s="428">
        <v>0.33</v>
      </c>
      <c r="IF131" s="428">
        <v>0.48</v>
      </c>
      <c r="IG131" s="428">
        <v>0.62</v>
      </c>
      <c r="IH131" s="428">
        <v>0.55000000000000004</v>
      </c>
      <c r="II131" s="428">
        <v>0.43</v>
      </c>
      <c r="IJ131" s="428">
        <v>0.34</v>
      </c>
      <c r="IK131" s="428">
        <v>0.63</v>
      </c>
      <c r="IL131" s="428">
        <v>0.44</v>
      </c>
      <c r="IM131" s="428">
        <v>0.62</v>
      </c>
      <c r="IN131" s="428">
        <v>0.48</v>
      </c>
      <c r="IO131" s="428">
        <v>0.59</v>
      </c>
      <c r="IP131" s="428">
        <v>0.44</v>
      </c>
      <c r="IQ131" s="428">
        <v>0.68</v>
      </c>
      <c r="IR131" s="428">
        <v>0.61</v>
      </c>
      <c r="IS131" s="428">
        <v>0.59</v>
      </c>
      <c r="IT131" s="428">
        <v>0.46</v>
      </c>
      <c r="IU131" s="424" t="s">
        <v>173</v>
      </c>
      <c r="IV131" s="428">
        <v>0.66</v>
      </c>
      <c r="IW131" s="428">
        <v>0.43</v>
      </c>
      <c r="IX131" s="428">
        <v>0.64</v>
      </c>
      <c r="IY131" s="428">
        <v>0.56000000000000005</v>
      </c>
      <c r="IZ131" s="464">
        <v>51</v>
      </c>
      <c r="JA131" s="464" t="s">
        <v>758</v>
      </c>
      <c r="JB131" s="464">
        <v>9</v>
      </c>
      <c r="JC131" s="464" t="s">
        <v>758</v>
      </c>
      <c r="JD131" s="476">
        <v>0.12</v>
      </c>
      <c r="JE131" s="476">
        <v>0.57999999999999996</v>
      </c>
      <c r="JF131" s="476">
        <v>0.28999999999999998</v>
      </c>
      <c r="JG131" s="476">
        <v>0.02</v>
      </c>
      <c r="JH131" s="476">
        <v>0.5</v>
      </c>
      <c r="JI131" s="476">
        <v>0.53</v>
      </c>
      <c r="JJ131" s="476">
        <v>0.4</v>
      </c>
      <c r="JK131" s="476">
        <v>0.45</v>
      </c>
      <c r="JL131" s="476">
        <v>0.44</v>
      </c>
      <c r="JM131" s="476">
        <v>0.52</v>
      </c>
      <c r="JN131" s="476">
        <v>0.47</v>
      </c>
      <c r="JO131" s="476">
        <v>0.43</v>
      </c>
      <c r="JP131" s="476">
        <v>0.52</v>
      </c>
      <c r="JQ131" s="476">
        <v>0.28999999999999998</v>
      </c>
      <c r="JR131" s="476">
        <v>0.61</v>
      </c>
      <c r="JS131" s="476">
        <v>0.51</v>
      </c>
      <c r="JT131" s="476">
        <v>0.48</v>
      </c>
      <c r="JU131" s="476">
        <v>0.51</v>
      </c>
      <c r="JV131" s="476">
        <v>0.51</v>
      </c>
      <c r="JW131" s="476">
        <v>0.5</v>
      </c>
      <c r="JX131" s="476">
        <v>0.42</v>
      </c>
      <c r="JY131" s="476">
        <v>0.52</v>
      </c>
      <c r="JZ131" s="476">
        <v>0.45</v>
      </c>
      <c r="KA131" s="476">
        <v>0.61</v>
      </c>
      <c r="KB131" s="476">
        <v>0.43</v>
      </c>
      <c r="KC131" s="476">
        <v>0.69</v>
      </c>
      <c r="KD131" s="476">
        <v>0.33</v>
      </c>
      <c r="KE131" s="476">
        <v>0.46</v>
      </c>
      <c r="KF131" s="476">
        <v>0.4</v>
      </c>
      <c r="KG131" s="476">
        <v>0.56000000000000005</v>
      </c>
      <c r="KH131" s="971">
        <v>51</v>
      </c>
      <c r="KI131" s="971" t="s">
        <v>758</v>
      </c>
      <c r="KJ131" s="971">
        <v>9</v>
      </c>
      <c r="KK131" s="971" t="s">
        <v>758</v>
      </c>
      <c r="KL131" s="949">
        <v>0.1</v>
      </c>
      <c r="KM131" s="949">
        <v>0.56000000000000005</v>
      </c>
      <c r="KN131" s="949">
        <v>0.34</v>
      </c>
      <c r="KO131" s="949">
        <v>0</v>
      </c>
      <c r="KP131" s="949">
        <v>0.56000000000000005</v>
      </c>
      <c r="KQ131" s="949">
        <v>0.3</v>
      </c>
      <c r="KR131" s="949">
        <v>0.55000000000000004</v>
      </c>
      <c r="KS131" s="949">
        <v>0.51</v>
      </c>
      <c r="KT131" s="949">
        <v>0.56000000000000005</v>
      </c>
      <c r="KU131" s="949">
        <v>0.46</v>
      </c>
      <c r="KV131" s="949">
        <v>0.63</v>
      </c>
      <c r="KW131" s="949">
        <v>0.39</v>
      </c>
      <c r="KX131" s="949">
        <v>0.36</v>
      </c>
      <c r="KY131" s="949">
        <v>0.54</v>
      </c>
      <c r="KZ131" s="949">
        <v>0.42</v>
      </c>
      <c r="LA131" s="949">
        <v>0.37</v>
      </c>
      <c r="LB131" s="949">
        <v>0.48</v>
      </c>
      <c r="LC131" s="949">
        <v>0.34</v>
      </c>
      <c r="LD131" s="949">
        <v>0.53</v>
      </c>
      <c r="LE131" s="949">
        <v>0.51</v>
      </c>
      <c r="LF131" s="949">
        <v>0.36</v>
      </c>
      <c r="LG131" s="949">
        <v>0.47</v>
      </c>
      <c r="LH131" s="949">
        <v>0.56999999999999995</v>
      </c>
      <c r="LI131" s="949">
        <v>0.49</v>
      </c>
      <c r="LJ131" s="949">
        <v>0.44</v>
      </c>
      <c r="LK131" s="949">
        <v>0.53</v>
      </c>
      <c r="LL131" s="949" t="s">
        <v>173</v>
      </c>
      <c r="LM131" s="949">
        <v>0.52</v>
      </c>
      <c r="LN131" s="949">
        <v>0.57999999999999996</v>
      </c>
      <c r="LO131" s="949">
        <v>0.39</v>
      </c>
      <c r="LP131" s="922">
        <v>325754005404</v>
      </c>
      <c r="LQ131" s="805" t="s">
        <v>176</v>
      </c>
      <c r="LR131" s="424">
        <v>49</v>
      </c>
      <c r="LS131" s="971">
        <v>51</v>
      </c>
      <c r="LT131" s="946"/>
    </row>
    <row r="132" spans="1:332" ht="24.95" customHeight="1" x14ac:dyDescent="0.2">
      <c r="A132" s="803" t="s">
        <v>805</v>
      </c>
      <c r="B132" s="1" t="s">
        <v>121</v>
      </c>
      <c r="C132" s="2">
        <v>2</v>
      </c>
      <c r="D132" s="12"/>
      <c r="E132" s="12"/>
      <c r="F132" s="66"/>
      <c r="G132" s="66"/>
      <c r="H132" s="66"/>
      <c r="I132" s="66"/>
      <c r="J132" s="66"/>
      <c r="K132" s="66"/>
      <c r="L132" s="66"/>
      <c r="M132" s="66"/>
      <c r="N132" s="66"/>
      <c r="O132" s="66"/>
      <c r="P132" s="66"/>
      <c r="Q132" s="66"/>
      <c r="R132" s="66"/>
      <c r="S132" s="66"/>
      <c r="T132" s="66"/>
      <c r="U132" s="66"/>
      <c r="V132" s="66"/>
      <c r="W132" s="66"/>
      <c r="X132" s="66"/>
      <c r="Y132" s="66"/>
      <c r="Z132" s="66"/>
      <c r="AA132" s="66"/>
      <c r="AB132" s="66"/>
      <c r="AC132" s="66"/>
      <c r="AD132" s="66"/>
      <c r="AE132" s="66"/>
      <c r="AF132" s="66"/>
      <c r="AG132" s="66"/>
      <c r="AH132" s="12"/>
      <c r="AI132" s="12"/>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12"/>
      <c r="BN132" s="12"/>
      <c r="BO132" s="66"/>
      <c r="BP132" s="66"/>
      <c r="BQ132" s="66"/>
      <c r="BR132" s="66"/>
      <c r="BS132" s="66"/>
      <c r="BT132" s="66"/>
      <c r="BU132" s="66"/>
      <c r="BV132" s="66"/>
      <c r="BW132" s="66"/>
      <c r="BX132" s="66"/>
      <c r="BY132" s="66"/>
      <c r="BZ132" s="66"/>
      <c r="CA132" s="66"/>
      <c r="CB132" s="66"/>
      <c r="CC132" s="66"/>
      <c r="CD132" s="66"/>
      <c r="CE132" s="66"/>
      <c r="CF132" s="66"/>
      <c r="CG132" s="66"/>
      <c r="CH132" s="66"/>
      <c r="CI132" s="66"/>
      <c r="CJ132" s="66"/>
      <c r="CK132" s="66"/>
      <c r="CL132" s="66"/>
      <c r="CM132" s="66"/>
      <c r="CN132" s="66"/>
      <c r="CO132" s="66"/>
      <c r="CP132" s="66"/>
      <c r="CQ132" s="66"/>
      <c r="CR132" s="66"/>
      <c r="CS132" s="12"/>
      <c r="CT132" s="12"/>
      <c r="CU132" s="63"/>
      <c r="CV132" s="63"/>
      <c r="CW132" s="63"/>
      <c r="CX132" s="63"/>
      <c r="CY132" s="63"/>
      <c r="CZ132" s="63"/>
      <c r="DA132" s="63"/>
      <c r="DB132" s="63"/>
      <c r="DC132" s="63"/>
      <c r="DD132" s="63"/>
      <c r="DE132" s="63"/>
      <c r="DF132" s="63"/>
      <c r="DG132" s="63"/>
      <c r="DH132" s="63"/>
      <c r="DI132" s="63"/>
      <c r="DJ132" s="63"/>
      <c r="DK132" s="63"/>
      <c r="DL132" s="63"/>
      <c r="DM132" s="63"/>
      <c r="DN132" s="63"/>
      <c r="DO132" s="63"/>
      <c r="DP132" s="63"/>
      <c r="DQ132" s="63"/>
      <c r="DR132" s="63"/>
      <c r="DS132" s="63"/>
      <c r="DT132" s="63"/>
      <c r="DU132" s="63"/>
      <c r="DV132" s="63"/>
      <c r="DW132" s="63"/>
      <c r="DX132" s="35"/>
      <c r="DY132" s="35"/>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246"/>
      <c r="FC132" s="246"/>
      <c r="FD132" s="246"/>
      <c r="FE132" s="246"/>
      <c r="FF132" s="263"/>
      <c r="FG132" s="263"/>
      <c r="FH132" s="263"/>
      <c r="FI132" s="263"/>
      <c r="FJ132" s="263"/>
      <c r="FK132" s="263"/>
      <c r="FL132" s="263"/>
      <c r="FM132" s="263"/>
      <c r="FN132" s="263"/>
      <c r="FO132" s="263"/>
      <c r="FP132" s="263"/>
      <c r="FQ132" s="263"/>
      <c r="FR132" s="263"/>
      <c r="FS132" s="263"/>
      <c r="FT132" s="263"/>
      <c r="FU132" s="263"/>
      <c r="FV132" s="263"/>
      <c r="FW132" s="263"/>
      <c r="FX132" s="263"/>
      <c r="FY132" s="263"/>
      <c r="FZ132" s="263"/>
      <c r="GA132" s="263"/>
      <c r="GB132" s="263"/>
      <c r="GC132" s="263"/>
      <c r="GD132" s="263"/>
      <c r="GE132" s="263"/>
      <c r="GF132" s="263"/>
      <c r="GG132" s="263"/>
      <c r="GH132" s="263"/>
      <c r="GI132" s="263"/>
      <c r="GJ132" s="309">
        <v>48</v>
      </c>
      <c r="GK132" s="309" t="s">
        <v>758</v>
      </c>
      <c r="GL132" s="309">
        <v>8</v>
      </c>
      <c r="GM132" s="309" t="s">
        <v>758</v>
      </c>
      <c r="GN132" s="327">
        <v>0.2</v>
      </c>
      <c r="GO132" s="327">
        <v>0.71</v>
      </c>
      <c r="GP132" s="327">
        <v>0.1</v>
      </c>
      <c r="GQ132" s="327">
        <v>0</v>
      </c>
      <c r="GR132" s="327">
        <v>0.53</v>
      </c>
      <c r="GS132" s="327">
        <v>0.55000000000000004</v>
      </c>
      <c r="GT132" s="327">
        <v>0.68</v>
      </c>
      <c r="GU132" s="327">
        <v>0.17</v>
      </c>
      <c r="GV132" s="327">
        <v>0.7</v>
      </c>
      <c r="GW132" s="327">
        <v>0.52</v>
      </c>
      <c r="GX132" s="327">
        <v>0.54</v>
      </c>
      <c r="GY132" s="309" t="s">
        <v>173</v>
      </c>
      <c r="GZ132" s="327">
        <v>0.39</v>
      </c>
      <c r="HA132" s="327">
        <v>0.71</v>
      </c>
      <c r="HB132" s="327">
        <v>0.51</v>
      </c>
      <c r="HC132" s="327">
        <v>0.62</v>
      </c>
      <c r="HD132" s="327">
        <v>0.63</v>
      </c>
      <c r="HE132" s="327">
        <v>0.43</v>
      </c>
      <c r="HF132" s="327">
        <v>0.53</v>
      </c>
      <c r="HG132" s="327">
        <v>0.71</v>
      </c>
      <c r="HH132" s="327">
        <v>0.46</v>
      </c>
      <c r="HI132" s="327">
        <v>0.62</v>
      </c>
      <c r="HJ132" s="327">
        <v>0.63</v>
      </c>
      <c r="HK132" s="327">
        <v>0.57999999999999996</v>
      </c>
      <c r="HL132" s="327">
        <v>0.44</v>
      </c>
      <c r="HM132" s="327">
        <v>0.56000000000000005</v>
      </c>
      <c r="HN132" s="327">
        <v>0.5</v>
      </c>
      <c r="HO132" s="327">
        <v>0.52</v>
      </c>
      <c r="HP132" s="309" t="s">
        <v>173</v>
      </c>
      <c r="HQ132" s="327">
        <v>0.46</v>
      </c>
      <c r="HR132" s="424">
        <v>49</v>
      </c>
      <c r="HS132" s="424" t="s">
        <v>758</v>
      </c>
      <c r="HT132" s="424">
        <v>8</v>
      </c>
      <c r="HU132" s="424" t="s">
        <v>758</v>
      </c>
      <c r="HV132" s="428">
        <v>0.13</v>
      </c>
      <c r="HW132" s="428">
        <v>0.64</v>
      </c>
      <c r="HX132" s="428">
        <v>0.23</v>
      </c>
      <c r="HY132" s="428">
        <v>0.01</v>
      </c>
      <c r="HZ132" s="428">
        <v>0.37</v>
      </c>
      <c r="IA132" s="428">
        <v>0.56999999999999995</v>
      </c>
      <c r="IB132" s="428">
        <v>0.39</v>
      </c>
      <c r="IC132" s="428">
        <v>0.56000000000000005</v>
      </c>
      <c r="ID132" s="428">
        <v>0.69</v>
      </c>
      <c r="IE132" s="428">
        <v>0.33</v>
      </c>
      <c r="IF132" s="428">
        <v>0.38</v>
      </c>
      <c r="IG132" s="428">
        <v>0.55000000000000004</v>
      </c>
      <c r="IH132" s="428">
        <v>0.56000000000000005</v>
      </c>
      <c r="II132" s="428">
        <v>0.43</v>
      </c>
      <c r="IJ132" s="428">
        <v>0.35</v>
      </c>
      <c r="IK132" s="428">
        <v>0.63</v>
      </c>
      <c r="IL132" s="428">
        <v>0.42</v>
      </c>
      <c r="IM132" s="428">
        <v>0.59</v>
      </c>
      <c r="IN132" s="428">
        <v>0.43</v>
      </c>
      <c r="IO132" s="428">
        <v>0.57999999999999996</v>
      </c>
      <c r="IP132" s="428">
        <v>0.44</v>
      </c>
      <c r="IQ132" s="428">
        <v>0.66</v>
      </c>
      <c r="IR132" s="428">
        <v>0.62</v>
      </c>
      <c r="IS132" s="428">
        <v>0.56999999999999995</v>
      </c>
      <c r="IT132" s="428">
        <v>0.46</v>
      </c>
      <c r="IU132" s="424" t="s">
        <v>173</v>
      </c>
      <c r="IV132" s="428">
        <v>0.63</v>
      </c>
      <c r="IW132" s="428">
        <v>0.42</v>
      </c>
      <c r="IX132" s="428">
        <v>0.55000000000000004</v>
      </c>
      <c r="IY132" s="428">
        <v>0.55000000000000004</v>
      </c>
      <c r="IZ132" s="464">
        <v>52</v>
      </c>
      <c r="JA132" s="464" t="s">
        <v>758</v>
      </c>
      <c r="JB132" s="464">
        <v>10</v>
      </c>
      <c r="JC132" s="464" t="s">
        <v>758</v>
      </c>
      <c r="JD132" s="476">
        <v>0.15</v>
      </c>
      <c r="JE132" s="476">
        <v>0.52</v>
      </c>
      <c r="JF132" s="476">
        <v>0.3</v>
      </c>
      <c r="JG132" s="476">
        <v>0.03</v>
      </c>
      <c r="JH132" s="476">
        <v>0.43</v>
      </c>
      <c r="JI132" s="476">
        <v>0.44</v>
      </c>
      <c r="JJ132" s="476">
        <v>0.42</v>
      </c>
      <c r="JK132" s="476">
        <v>0.46</v>
      </c>
      <c r="JL132" s="476">
        <v>0.49</v>
      </c>
      <c r="JM132" s="476">
        <v>0.54</v>
      </c>
      <c r="JN132" s="476">
        <v>0.37</v>
      </c>
      <c r="JO132" s="476">
        <v>0.5</v>
      </c>
      <c r="JP132" s="476">
        <v>0.53</v>
      </c>
      <c r="JQ132" s="476">
        <v>0.27</v>
      </c>
      <c r="JR132" s="476">
        <v>0.57999999999999996</v>
      </c>
      <c r="JS132" s="476">
        <v>0.5</v>
      </c>
      <c r="JT132" s="476">
        <v>0.37</v>
      </c>
      <c r="JU132" s="476">
        <v>0.5</v>
      </c>
      <c r="JV132" s="476">
        <v>0.49</v>
      </c>
      <c r="JW132" s="476">
        <v>0.47</v>
      </c>
      <c r="JX132" s="476">
        <v>0.39</v>
      </c>
      <c r="JY132" s="476">
        <v>0.52</v>
      </c>
      <c r="JZ132" s="476">
        <v>0.45</v>
      </c>
      <c r="KA132" s="476">
        <v>0.49</v>
      </c>
      <c r="KB132" s="476">
        <v>0.43</v>
      </c>
      <c r="KC132" s="476">
        <v>0.63</v>
      </c>
      <c r="KD132" s="476">
        <v>0.33</v>
      </c>
      <c r="KE132" s="476">
        <v>0.48</v>
      </c>
      <c r="KF132" s="476">
        <v>0.4</v>
      </c>
      <c r="KG132" s="476">
        <v>0.51</v>
      </c>
      <c r="KH132" s="971">
        <v>53</v>
      </c>
      <c r="KI132" s="971" t="s">
        <v>758</v>
      </c>
      <c r="KJ132" s="971">
        <v>9</v>
      </c>
      <c r="KK132" s="971" t="s">
        <v>758</v>
      </c>
      <c r="KL132" s="949">
        <v>0.09</v>
      </c>
      <c r="KM132" s="949">
        <v>0.49</v>
      </c>
      <c r="KN132" s="949">
        <v>0.4</v>
      </c>
      <c r="KO132" s="949">
        <v>0.02</v>
      </c>
      <c r="KP132" s="949">
        <v>0.49</v>
      </c>
      <c r="KQ132" s="949">
        <v>0.23</v>
      </c>
      <c r="KR132" s="949">
        <v>0.56000000000000005</v>
      </c>
      <c r="KS132" s="949">
        <v>0.46</v>
      </c>
      <c r="KT132" s="949">
        <v>0.52</v>
      </c>
      <c r="KU132" s="949">
        <v>0.38</v>
      </c>
      <c r="KV132" s="949">
        <v>0.59</v>
      </c>
      <c r="KW132" s="949">
        <v>0.36</v>
      </c>
      <c r="KX132" s="949">
        <v>0.32</v>
      </c>
      <c r="KY132" s="949">
        <v>0.51</v>
      </c>
      <c r="KZ132" s="949">
        <v>0.35</v>
      </c>
      <c r="LA132" s="949">
        <v>0.32</v>
      </c>
      <c r="LB132" s="949">
        <v>0.36</v>
      </c>
      <c r="LC132" s="949">
        <v>0.36</v>
      </c>
      <c r="LD132" s="949">
        <v>0.54</v>
      </c>
      <c r="LE132" s="949">
        <v>0.46</v>
      </c>
      <c r="LF132" s="949">
        <v>0.28000000000000003</v>
      </c>
      <c r="LG132" s="949">
        <v>0.41</v>
      </c>
      <c r="LH132" s="949">
        <v>0.52</v>
      </c>
      <c r="LI132" s="949">
        <v>0.46</v>
      </c>
      <c r="LJ132" s="949">
        <v>0.41</v>
      </c>
      <c r="LK132" s="949">
        <v>0.51</v>
      </c>
      <c r="LL132" s="949" t="s">
        <v>173</v>
      </c>
      <c r="LM132" s="949">
        <v>0.6</v>
      </c>
      <c r="LN132" s="949">
        <v>0.54</v>
      </c>
      <c r="LO132" s="949">
        <v>0.45</v>
      </c>
      <c r="LP132" s="922">
        <v>125754800256</v>
      </c>
      <c r="LQ132" s="803" t="s">
        <v>805</v>
      </c>
      <c r="LR132" s="424">
        <v>49</v>
      </c>
      <c r="LS132" s="971">
        <v>53</v>
      </c>
      <c r="LT132" s="946"/>
    </row>
    <row r="133" spans="1:332" ht="24.95" customHeight="1" x14ac:dyDescent="0.2">
      <c r="A133" s="804" t="s">
        <v>106</v>
      </c>
      <c r="B133" s="1" t="s">
        <v>123</v>
      </c>
      <c r="C133" s="309">
        <v>2</v>
      </c>
      <c r="D133" s="328">
        <v>49</v>
      </c>
      <c r="E133" s="328">
        <v>10</v>
      </c>
      <c r="F133" s="333">
        <v>0</v>
      </c>
      <c r="G133" s="333">
        <v>0.5</v>
      </c>
      <c r="H133" s="333">
        <v>0.5</v>
      </c>
      <c r="I133" s="333">
        <v>0</v>
      </c>
      <c r="J133" s="333">
        <v>0</v>
      </c>
      <c r="K133" s="333">
        <v>0</v>
      </c>
      <c r="L133" s="333">
        <v>0.75</v>
      </c>
      <c r="M133" s="333">
        <v>0</v>
      </c>
      <c r="N133" s="333">
        <v>0.6</v>
      </c>
      <c r="O133" s="333">
        <v>0.67</v>
      </c>
      <c r="P133" s="333">
        <v>0.38</v>
      </c>
      <c r="Q133" s="333">
        <v>0.63</v>
      </c>
      <c r="R133" s="333">
        <v>0.7</v>
      </c>
      <c r="S133" s="333">
        <v>1</v>
      </c>
      <c r="T133" s="333">
        <v>1</v>
      </c>
      <c r="U133" s="333">
        <v>1</v>
      </c>
      <c r="V133" s="333">
        <v>0</v>
      </c>
      <c r="W133" s="333">
        <v>0</v>
      </c>
      <c r="X133" s="333">
        <v>0.63</v>
      </c>
      <c r="Y133" s="333">
        <v>0.5</v>
      </c>
      <c r="Z133" s="328" t="s">
        <v>173</v>
      </c>
      <c r="AA133" s="333">
        <v>0.5</v>
      </c>
      <c r="AB133" s="333">
        <v>0.57999999999999996</v>
      </c>
      <c r="AC133" s="333">
        <v>0.5</v>
      </c>
      <c r="AD133" s="333">
        <v>0.38</v>
      </c>
      <c r="AE133" s="333">
        <v>0.25</v>
      </c>
      <c r="AF133" s="333">
        <v>0.75</v>
      </c>
      <c r="AG133" s="333">
        <v>0.83</v>
      </c>
      <c r="AH133" s="328" t="s">
        <v>126</v>
      </c>
      <c r="AI133" s="328" t="s">
        <v>126</v>
      </c>
      <c r="AJ133" s="331"/>
      <c r="AK133" s="331"/>
      <c r="AL133" s="331"/>
      <c r="AM133" s="331"/>
      <c r="AN133" s="331"/>
      <c r="AO133" s="331"/>
      <c r="AP133" s="331"/>
      <c r="AQ133" s="331"/>
      <c r="AR133" s="331"/>
      <c r="AS133" s="331"/>
      <c r="AT133" s="331"/>
      <c r="AU133" s="331"/>
      <c r="AV133" s="331"/>
      <c r="AW133" s="331"/>
      <c r="AX133" s="331"/>
      <c r="AY133" s="331"/>
      <c r="AZ133" s="331"/>
      <c r="BA133" s="331"/>
      <c r="BB133" s="331"/>
      <c r="BC133" s="331"/>
      <c r="BD133" s="331"/>
      <c r="BE133" s="331"/>
      <c r="BF133" s="331"/>
      <c r="BG133" s="331"/>
      <c r="BH133" s="331"/>
      <c r="BI133" s="331"/>
      <c r="BJ133" s="331"/>
      <c r="BK133" s="331"/>
      <c r="BL133" s="331"/>
      <c r="BM133" s="328" t="s">
        <v>126</v>
      </c>
      <c r="BN133" s="328" t="s">
        <v>126</v>
      </c>
      <c r="BO133" s="328"/>
      <c r="BP133" s="328"/>
      <c r="BQ133" s="328"/>
      <c r="BR133" s="328"/>
      <c r="BS133" s="328"/>
      <c r="BT133" s="328"/>
      <c r="BU133" s="328"/>
      <c r="BV133" s="328"/>
      <c r="BW133" s="328"/>
      <c r="BX133" s="328"/>
      <c r="BY133" s="328"/>
      <c r="BZ133" s="328"/>
      <c r="CA133" s="328"/>
      <c r="CB133" s="328"/>
      <c r="CC133" s="328"/>
      <c r="CD133" s="328"/>
      <c r="CE133" s="328"/>
      <c r="CF133" s="328"/>
      <c r="CG133" s="328"/>
      <c r="CH133" s="328"/>
      <c r="CI133" s="328"/>
      <c r="CJ133" s="328"/>
      <c r="CK133" s="328"/>
      <c r="CL133" s="328"/>
      <c r="CM133" s="328"/>
      <c r="CN133" s="328"/>
      <c r="CO133" s="328"/>
      <c r="CP133" s="328"/>
      <c r="CQ133" s="328"/>
      <c r="CR133" s="328"/>
      <c r="CS133" s="328" t="s">
        <v>126</v>
      </c>
      <c r="CT133" s="328" t="s">
        <v>126</v>
      </c>
      <c r="CU133" s="309"/>
      <c r="CV133" s="309"/>
      <c r="CW133" s="309"/>
      <c r="CX133" s="309"/>
      <c r="CY133" s="309"/>
      <c r="CZ133" s="309"/>
      <c r="DA133" s="309"/>
      <c r="DB133" s="309"/>
      <c r="DC133" s="309"/>
      <c r="DD133" s="309"/>
      <c r="DE133" s="309"/>
      <c r="DF133" s="309"/>
      <c r="DG133" s="309"/>
      <c r="DH133" s="309"/>
      <c r="DI133" s="309"/>
      <c r="DJ133" s="309"/>
      <c r="DK133" s="309"/>
      <c r="DL133" s="309"/>
      <c r="DM133" s="309"/>
      <c r="DN133" s="309"/>
      <c r="DO133" s="309"/>
      <c r="DP133" s="309"/>
      <c r="DQ133" s="309"/>
      <c r="DR133" s="309"/>
      <c r="DS133" s="309"/>
      <c r="DT133" s="309"/>
      <c r="DU133" s="309"/>
      <c r="DV133" s="309"/>
      <c r="DW133" s="309"/>
      <c r="DX133" s="311">
        <v>45</v>
      </c>
      <c r="DY133" s="311">
        <v>8</v>
      </c>
      <c r="DZ133" s="331">
        <v>0.33</v>
      </c>
      <c r="EA133" s="331">
        <v>0.59</v>
      </c>
      <c r="EB133" s="331">
        <v>0.08</v>
      </c>
      <c r="EC133" s="331">
        <v>0</v>
      </c>
      <c r="ED133" s="331">
        <v>0.53</v>
      </c>
      <c r="EE133" s="331">
        <v>0.56999999999999995</v>
      </c>
      <c r="EF133" s="331">
        <v>0.62</v>
      </c>
      <c r="EG133" s="331">
        <v>0.5</v>
      </c>
      <c r="EH133" s="331">
        <v>0.5</v>
      </c>
      <c r="EI133" s="331">
        <v>0.54</v>
      </c>
      <c r="EJ133" s="331">
        <v>0.63</v>
      </c>
      <c r="EK133" s="331">
        <v>0.44</v>
      </c>
      <c r="EL133" s="331">
        <v>0.55000000000000004</v>
      </c>
      <c r="EM133" s="331">
        <v>0.66</v>
      </c>
      <c r="EN133" s="331">
        <v>0.56999999999999995</v>
      </c>
      <c r="EO133" s="331">
        <v>0.61</v>
      </c>
      <c r="EP133" s="331">
        <v>0.51</v>
      </c>
      <c r="EQ133" s="331">
        <v>0.4</v>
      </c>
      <c r="ER133" s="331">
        <v>0.67</v>
      </c>
      <c r="ES133" s="331">
        <v>0.59</v>
      </c>
      <c r="ET133" s="331">
        <v>0.41</v>
      </c>
      <c r="EU133" s="331">
        <v>0.63</v>
      </c>
      <c r="EV133" s="331">
        <v>0.49</v>
      </c>
      <c r="EW133" s="331">
        <v>0.35</v>
      </c>
      <c r="EX133" s="331">
        <v>0.67</v>
      </c>
      <c r="EY133" s="331">
        <v>0.7</v>
      </c>
      <c r="EZ133" s="331">
        <v>0.31</v>
      </c>
      <c r="FA133" s="331">
        <v>0.68</v>
      </c>
      <c r="FB133" s="312">
        <v>37</v>
      </c>
      <c r="FC133" s="312" t="s">
        <v>760</v>
      </c>
      <c r="FD133" s="312">
        <v>6</v>
      </c>
      <c r="FE133" s="312" t="s">
        <v>758</v>
      </c>
      <c r="FF133" s="332">
        <v>0.56000000000000005</v>
      </c>
      <c r="FG133" s="332">
        <v>0.44</v>
      </c>
      <c r="FH133" s="332">
        <v>0</v>
      </c>
      <c r="FI133" s="332">
        <v>0</v>
      </c>
      <c r="FJ133" s="332">
        <v>0.75</v>
      </c>
      <c r="FK133" s="332">
        <v>0.82</v>
      </c>
      <c r="FL133" s="332">
        <v>0.76</v>
      </c>
      <c r="FM133" s="332">
        <v>0.88</v>
      </c>
      <c r="FN133" s="332">
        <v>0.56000000000000005</v>
      </c>
      <c r="FO133" s="332">
        <v>0.6</v>
      </c>
      <c r="FP133" s="332">
        <v>0.7</v>
      </c>
      <c r="FQ133" s="332">
        <v>0.47</v>
      </c>
      <c r="FR133" s="332">
        <v>0.69</v>
      </c>
      <c r="FS133" s="332">
        <v>0.75</v>
      </c>
      <c r="FT133" s="332">
        <v>0.47</v>
      </c>
      <c r="FU133" s="332">
        <v>0.57999999999999996</v>
      </c>
      <c r="FV133" s="332">
        <v>0.82</v>
      </c>
      <c r="FW133" s="332">
        <v>0.76</v>
      </c>
      <c r="FX133" s="332">
        <v>0.82</v>
      </c>
      <c r="FY133" s="332">
        <v>0.75</v>
      </c>
      <c r="FZ133" s="332">
        <v>0.56999999999999995</v>
      </c>
      <c r="GA133" s="332">
        <v>0.5</v>
      </c>
      <c r="GB133" s="332">
        <v>0.75</v>
      </c>
      <c r="GC133" s="332">
        <v>0.62</v>
      </c>
      <c r="GD133" s="332">
        <v>0.69</v>
      </c>
      <c r="GE133" s="332">
        <v>0.71</v>
      </c>
      <c r="GF133" s="332">
        <v>0.67</v>
      </c>
      <c r="GG133" s="332">
        <v>0.76</v>
      </c>
      <c r="GH133" s="332">
        <v>0.62</v>
      </c>
      <c r="GI133" s="332">
        <v>0.65</v>
      </c>
      <c r="GJ133" s="649"/>
      <c r="GK133" s="649"/>
      <c r="GL133" s="649"/>
      <c r="GM133" s="649"/>
      <c r="GN133" s="649"/>
      <c r="GO133" s="649"/>
      <c r="GP133" s="649"/>
      <c r="GQ133" s="649"/>
      <c r="GR133" s="649"/>
      <c r="GS133" s="649"/>
      <c r="GT133" s="649"/>
      <c r="GU133" s="649"/>
      <c r="GV133" s="649"/>
      <c r="GW133" s="649"/>
      <c r="GX133" s="649"/>
      <c r="GY133" s="649"/>
      <c r="GZ133" s="649"/>
      <c r="HA133" s="649"/>
      <c r="HB133" s="649"/>
      <c r="HC133" s="649"/>
      <c r="HD133" s="649"/>
      <c r="HE133" s="649"/>
      <c r="HF133" s="649"/>
      <c r="HG133" s="649"/>
      <c r="HH133" s="649"/>
      <c r="HI133" s="649"/>
      <c r="HJ133" s="649"/>
      <c r="HK133" s="649"/>
      <c r="HL133" s="649"/>
      <c r="HM133" s="649"/>
      <c r="HN133" s="649"/>
      <c r="HO133" s="649"/>
      <c r="HP133" s="649"/>
      <c r="HQ133" s="649"/>
      <c r="HR133" s="651"/>
      <c r="HS133" s="651"/>
      <c r="HT133" s="651"/>
      <c r="HU133" s="651"/>
      <c r="HV133" s="651"/>
      <c r="HW133" s="651"/>
      <c r="HX133" s="651"/>
      <c r="HY133" s="651"/>
      <c r="HZ133" s="651"/>
      <c r="IA133" s="651"/>
      <c r="IB133" s="651"/>
      <c r="IC133" s="651"/>
      <c r="ID133" s="651"/>
      <c r="IE133" s="651"/>
      <c r="IF133" s="651"/>
      <c r="IG133" s="651"/>
      <c r="IH133" s="651"/>
      <c r="II133" s="651"/>
      <c r="IJ133" s="651"/>
      <c r="IK133" s="651"/>
      <c r="IL133" s="651"/>
      <c r="IM133" s="651"/>
      <c r="IN133" s="651"/>
      <c r="IO133" s="651"/>
      <c r="IP133" s="651"/>
      <c r="IQ133" s="651"/>
      <c r="IR133" s="651"/>
      <c r="IS133" s="651"/>
      <c r="IT133" s="651"/>
      <c r="IU133" s="651"/>
      <c r="IV133" s="651"/>
      <c r="IW133" s="651"/>
      <c r="IX133" s="651"/>
      <c r="IY133" s="651"/>
      <c r="IZ133" s="464">
        <v>51</v>
      </c>
      <c r="JA133" s="464" t="s">
        <v>758</v>
      </c>
      <c r="JB133" s="464">
        <v>16</v>
      </c>
      <c r="JC133" s="464" t="s">
        <v>759</v>
      </c>
      <c r="JD133" s="476">
        <v>0.5</v>
      </c>
      <c r="JE133" s="476">
        <v>0</v>
      </c>
      <c r="JF133" s="476">
        <v>0.5</v>
      </c>
      <c r="JG133" s="476">
        <v>0</v>
      </c>
      <c r="JH133" s="476">
        <v>0.33</v>
      </c>
      <c r="JI133" s="476">
        <v>0.4</v>
      </c>
      <c r="JJ133" s="476">
        <v>0.5</v>
      </c>
      <c r="JK133" s="476">
        <v>0.5</v>
      </c>
      <c r="JL133" s="476">
        <v>0.4</v>
      </c>
      <c r="JM133" s="476">
        <v>0.4</v>
      </c>
      <c r="JN133" s="476">
        <v>0.5</v>
      </c>
      <c r="JO133" s="476">
        <v>0.5</v>
      </c>
      <c r="JP133" s="476">
        <v>0.6</v>
      </c>
      <c r="JQ133" s="476">
        <v>0.33</v>
      </c>
      <c r="JR133" s="476">
        <v>0.6</v>
      </c>
      <c r="JS133" s="476">
        <v>1</v>
      </c>
      <c r="JT133" s="476">
        <v>0.5</v>
      </c>
      <c r="JU133" s="476">
        <v>1</v>
      </c>
      <c r="JV133" s="476">
        <v>0.4</v>
      </c>
      <c r="JW133" s="476">
        <v>0.43</v>
      </c>
      <c r="JX133" s="476">
        <v>0.5</v>
      </c>
      <c r="JY133" s="476">
        <v>0.4</v>
      </c>
      <c r="JZ133" s="476">
        <v>0</v>
      </c>
      <c r="KA133" s="476">
        <v>1</v>
      </c>
      <c r="KB133" s="476">
        <v>0.25</v>
      </c>
      <c r="KC133" s="476">
        <v>1</v>
      </c>
      <c r="KD133" s="476">
        <v>0.25</v>
      </c>
      <c r="KE133" s="476">
        <v>0</v>
      </c>
      <c r="KF133" s="476">
        <v>1</v>
      </c>
      <c r="KG133" s="476">
        <v>1</v>
      </c>
      <c r="KH133" s="971">
        <v>45</v>
      </c>
      <c r="KI133" s="971" t="s">
        <v>760</v>
      </c>
      <c r="KJ133" s="971">
        <v>9</v>
      </c>
      <c r="KK133" s="971" t="s">
        <v>758</v>
      </c>
      <c r="KL133" s="949">
        <v>0.35</v>
      </c>
      <c r="KM133" s="949">
        <v>0.59</v>
      </c>
      <c r="KN133" s="949">
        <v>0.06</v>
      </c>
      <c r="KO133" s="949">
        <v>0</v>
      </c>
      <c r="KP133" s="949">
        <v>0.57999999999999996</v>
      </c>
      <c r="KQ133" s="949">
        <v>0.46</v>
      </c>
      <c r="KR133" s="949">
        <v>0.7</v>
      </c>
      <c r="KS133" s="949">
        <v>0.6</v>
      </c>
      <c r="KT133" s="949">
        <v>0.73</v>
      </c>
      <c r="KU133" s="949">
        <v>0.54</v>
      </c>
      <c r="KV133" s="949">
        <v>0.69</v>
      </c>
      <c r="KW133" s="949">
        <v>0.51</v>
      </c>
      <c r="KX133" s="949">
        <v>0.57999999999999996</v>
      </c>
      <c r="KY133" s="949">
        <v>0.62</v>
      </c>
      <c r="KZ133" s="949">
        <v>0.54</v>
      </c>
      <c r="LA133" s="949">
        <v>0.42</v>
      </c>
      <c r="LB133" s="949">
        <v>0.55000000000000004</v>
      </c>
      <c r="LC133" s="949">
        <v>0.49</v>
      </c>
      <c r="LD133" s="949">
        <v>0.64</v>
      </c>
      <c r="LE133" s="949">
        <v>0.55000000000000004</v>
      </c>
      <c r="LF133" s="949">
        <v>0.45</v>
      </c>
      <c r="LG133" s="949">
        <v>0.55000000000000004</v>
      </c>
      <c r="LH133" s="949">
        <v>0.66</v>
      </c>
      <c r="LI133" s="949">
        <v>0.61</v>
      </c>
      <c r="LJ133" s="949">
        <v>0.62</v>
      </c>
      <c r="LK133" s="949">
        <v>0.65</v>
      </c>
      <c r="LL133" s="949" t="s">
        <v>173</v>
      </c>
      <c r="LM133" s="949">
        <v>0.61</v>
      </c>
      <c r="LN133" s="949">
        <v>0.67</v>
      </c>
      <c r="LO133" s="949">
        <v>0.54</v>
      </c>
      <c r="LP133" s="922">
        <v>325754005366</v>
      </c>
      <c r="LQ133" s="804" t="s">
        <v>106</v>
      </c>
      <c r="LR133" s="651"/>
      <c r="LS133" s="971">
        <v>45</v>
      </c>
      <c r="LT133" s="946"/>
    </row>
    <row r="134" spans="1:332" ht="24.95" customHeight="1" x14ac:dyDescent="0.2">
      <c r="A134" s="803" t="s">
        <v>133</v>
      </c>
      <c r="B134" s="1" t="s">
        <v>123</v>
      </c>
      <c r="C134" s="2">
        <v>4</v>
      </c>
      <c r="D134" s="12"/>
      <c r="E134" s="12"/>
      <c r="F134" s="12"/>
      <c r="G134" s="12"/>
      <c r="H134" s="12"/>
      <c r="I134" s="12"/>
      <c r="J134" s="12"/>
      <c r="K134" s="12"/>
      <c r="L134" s="12"/>
      <c r="M134" s="12"/>
      <c r="N134" s="12"/>
      <c r="O134" s="12"/>
      <c r="P134" s="12"/>
      <c r="Q134" s="12"/>
      <c r="R134" s="12"/>
      <c r="S134" s="12"/>
      <c r="T134" s="12"/>
      <c r="U134" s="12"/>
      <c r="V134" s="12"/>
      <c r="W134" s="12"/>
      <c r="X134" s="12"/>
      <c r="Y134" s="12"/>
      <c r="Z134" s="12"/>
      <c r="AA134" s="12"/>
      <c r="AB134" s="12"/>
      <c r="AC134" s="12"/>
      <c r="AD134" s="12"/>
      <c r="AE134" s="12"/>
      <c r="AF134" s="12"/>
      <c r="AG134" s="12"/>
      <c r="AH134" s="12" t="s">
        <v>126</v>
      </c>
      <c r="AI134" s="12" t="s">
        <v>126</v>
      </c>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12">
        <v>56</v>
      </c>
      <c r="BN134" s="12">
        <v>4</v>
      </c>
      <c r="BO134" s="66">
        <v>0</v>
      </c>
      <c r="BP134" s="66">
        <v>0.5</v>
      </c>
      <c r="BQ134" s="66">
        <v>0.5</v>
      </c>
      <c r="BR134" s="66">
        <v>0</v>
      </c>
      <c r="BS134" s="66">
        <v>0</v>
      </c>
      <c r="BT134" s="66">
        <v>1</v>
      </c>
      <c r="BU134" s="66">
        <v>1</v>
      </c>
      <c r="BV134" s="66">
        <v>0</v>
      </c>
      <c r="BW134" s="66">
        <v>1</v>
      </c>
      <c r="BX134" s="66">
        <v>0.33</v>
      </c>
      <c r="BY134" s="66">
        <v>0</v>
      </c>
      <c r="BZ134" s="66">
        <v>0.5</v>
      </c>
      <c r="CA134" s="66">
        <v>1</v>
      </c>
      <c r="CB134" s="66">
        <v>0.33</v>
      </c>
      <c r="CC134" s="66">
        <v>0.2</v>
      </c>
      <c r="CD134" s="66">
        <v>0.5</v>
      </c>
      <c r="CE134" s="66">
        <v>0</v>
      </c>
      <c r="CF134" s="66">
        <v>0.25</v>
      </c>
      <c r="CG134" s="66">
        <v>0.4</v>
      </c>
      <c r="CH134" s="66">
        <v>0.2</v>
      </c>
      <c r="CI134" s="66">
        <v>0.71</v>
      </c>
      <c r="CJ134" s="66">
        <v>0</v>
      </c>
      <c r="CK134" s="66">
        <v>1</v>
      </c>
      <c r="CL134" s="66">
        <v>0</v>
      </c>
      <c r="CM134" s="66">
        <v>0.28999999999999998</v>
      </c>
      <c r="CN134" s="66">
        <v>0.2</v>
      </c>
      <c r="CO134" s="66">
        <v>1</v>
      </c>
      <c r="CP134" s="66">
        <v>0.18</v>
      </c>
      <c r="CQ134" s="66">
        <v>0.43</v>
      </c>
      <c r="CR134" s="66">
        <v>0</v>
      </c>
      <c r="CS134" s="12" t="s">
        <v>126</v>
      </c>
      <c r="CT134" s="12" t="s">
        <v>126</v>
      </c>
      <c r="CU134" s="2"/>
      <c r="CV134" s="2"/>
      <c r="CW134" s="2"/>
      <c r="CX134" s="2"/>
      <c r="CY134" s="2"/>
      <c r="CZ134" s="2"/>
      <c r="DA134" s="2"/>
      <c r="DB134" s="2"/>
      <c r="DC134" s="2"/>
      <c r="DD134" s="2"/>
      <c r="DE134" s="2"/>
      <c r="DF134" s="2"/>
      <c r="DG134" s="2"/>
      <c r="DH134" s="2"/>
      <c r="DI134" s="2"/>
      <c r="DJ134" s="2"/>
      <c r="DK134" s="2"/>
      <c r="DL134" s="2"/>
      <c r="DM134" s="2"/>
      <c r="DN134" s="2"/>
      <c r="DO134" s="2"/>
      <c r="DP134" s="2"/>
      <c r="DQ134" s="2"/>
      <c r="DR134" s="2"/>
      <c r="DS134" s="2"/>
      <c r="DT134" s="2"/>
      <c r="DU134" s="2"/>
      <c r="DV134" s="2"/>
      <c r="DW134" s="2"/>
      <c r="DX134" s="35"/>
      <c r="DY134" s="35"/>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646"/>
      <c r="FC134" s="646"/>
      <c r="FD134" s="646"/>
      <c r="FE134" s="646"/>
      <c r="FF134" s="646"/>
      <c r="FG134" s="646"/>
      <c r="FH134" s="646"/>
      <c r="FI134" s="646"/>
      <c r="FJ134" s="646"/>
      <c r="FK134" s="646"/>
      <c r="FL134" s="646"/>
      <c r="FM134" s="646"/>
      <c r="FN134" s="646"/>
      <c r="FO134" s="646"/>
      <c r="FP134" s="646"/>
      <c r="FQ134" s="646"/>
      <c r="FR134" s="646"/>
      <c r="FS134" s="646"/>
      <c r="FT134" s="646"/>
      <c r="FU134" s="646"/>
      <c r="FV134" s="646"/>
      <c r="FW134" s="646"/>
      <c r="FX134" s="646"/>
      <c r="FY134" s="646"/>
      <c r="FZ134" s="646"/>
      <c r="GA134" s="646"/>
      <c r="GB134" s="646"/>
      <c r="GC134" s="646"/>
      <c r="GD134" s="646"/>
      <c r="GE134" s="646"/>
      <c r="GF134" s="646"/>
      <c r="GG134" s="646"/>
      <c r="GH134" s="646"/>
      <c r="GI134" s="646"/>
      <c r="IZ134" s="650"/>
      <c r="JA134" s="650"/>
      <c r="JB134" s="650"/>
      <c r="JC134" s="650"/>
      <c r="JD134" s="650"/>
      <c r="JE134" s="650"/>
      <c r="JF134" s="650"/>
      <c r="JG134" s="650"/>
      <c r="JH134" s="650"/>
      <c r="JI134" s="650"/>
      <c r="JJ134" s="650"/>
      <c r="JK134" s="650"/>
      <c r="JL134" s="650"/>
      <c r="JM134" s="650"/>
      <c r="JN134" s="650"/>
      <c r="JO134" s="650"/>
      <c r="JP134" s="650"/>
      <c r="JQ134" s="650"/>
      <c r="JR134" s="650"/>
      <c r="JS134" s="650"/>
      <c r="JT134" s="650"/>
      <c r="JU134" s="650"/>
      <c r="JV134" s="650"/>
      <c r="JW134" s="650"/>
      <c r="JX134" s="650"/>
      <c r="JY134" s="650"/>
      <c r="JZ134" s="650"/>
      <c r="KA134" s="650"/>
      <c r="KB134" s="650"/>
      <c r="KC134" s="650"/>
      <c r="KD134" s="650"/>
      <c r="KE134" s="650"/>
      <c r="KF134" s="650"/>
      <c r="KG134" s="650"/>
      <c r="KH134" s="971"/>
      <c r="KI134" s="971"/>
      <c r="KJ134" s="971"/>
      <c r="KK134" s="971"/>
      <c r="KL134" s="949"/>
      <c r="KM134" s="949"/>
      <c r="KN134" s="949"/>
      <c r="KO134" s="949"/>
      <c r="KP134" s="949"/>
      <c r="KQ134" s="949"/>
      <c r="KR134" s="949"/>
      <c r="KS134" s="949"/>
      <c r="KT134" s="949"/>
      <c r="KU134" s="949"/>
      <c r="KV134" s="949"/>
      <c r="KW134" s="949"/>
      <c r="KX134" s="949"/>
      <c r="KY134" s="949"/>
      <c r="KZ134" s="949"/>
      <c r="LA134" s="949"/>
      <c r="LB134" s="949"/>
      <c r="LC134" s="949"/>
      <c r="LD134" s="949"/>
      <c r="LE134" s="949"/>
      <c r="LF134" s="949"/>
      <c r="LG134" s="949"/>
      <c r="LH134" s="949"/>
      <c r="LI134" s="949"/>
      <c r="LJ134" s="949"/>
      <c r="LK134" s="949"/>
      <c r="LL134" s="949"/>
      <c r="LM134" s="949"/>
      <c r="LN134" s="949"/>
      <c r="LO134" s="949"/>
      <c r="LP134" s="922"/>
      <c r="LQ134" s="803" t="s">
        <v>133</v>
      </c>
      <c r="LR134" s="970"/>
      <c r="LS134" s="971"/>
      <c r="LT134" s="946"/>
    </row>
    <row r="135" spans="1:332" ht="24.95" customHeight="1" x14ac:dyDescent="0.2">
      <c r="A135" s="803" t="s">
        <v>955</v>
      </c>
      <c r="B135" s="1" t="s">
        <v>123</v>
      </c>
      <c r="C135" s="2">
        <v>5</v>
      </c>
      <c r="D135" s="12">
        <v>55</v>
      </c>
      <c r="E135" s="12">
        <v>7</v>
      </c>
      <c r="F135" s="66">
        <v>0.02</v>
      </c>
      <c r="G135" s="66">
        <v>0.53</v>
      </c>
      <c r="H135" s="66">
        <v>0.44</v>
      </c>
      <c r="I135" s="66">
        <v>0</v>
      </c>
      <c r="J135" s="66">
        <v>0.28000000000000003</v>
      </c>
      <c r="K135" s="66">
        <v>0.26</v>
      </c>
      <c r="L135" s="66">
        <v>0.75</v>
      </c>
      <c r="M135" s="66">
        <v>0.25</v>
      </c>
      <c r="N135" s="66">
        <v>0.25</v>
      </c>
      <c r="O135" s="66">
        <v>0.66</v>
      </c>
      <c r="P135" s="66">
        <v>0.34</v>
      </c>
      <c r="Q135" s="66">
        <v>0.33</v>
      </c>
      <c r="R135" s="66">
        <v>0.48</v>
      </c>
      <c r="S135" s="66">
        <v>0.56000000000000005</v>
      </c>
      <c r="T135" s="66">
        <v>0.55000000000000004</v>
      </c>
      <c r="U135" s="66">
        <v>0.57999999999999996</v>
      </c>
      <c r="V135" s="66">
        <v>0.04</v>
      </c>
      <c r="W135" s="66">
        <v>0.11</v>
      </c>
      <c r="X135" s="66">
        <v>0.49</v>
      </c>
      <c r="Y135" s="66">
        <v>0.46</v>
      </c>
      <c r="Z135" s="12" t="s">
        <v>173</v>
      </c>
      <c r="AA135" s="66">
        <v>0.04</v>
      </c>
      <c r="AB135" s="66">
        <v>0.54</v>
      </c>
      <c r="AC135" s="66">
        <v>0.22</v>
      </c>
      <c r="AD135" s="66">
        <v>0.38</v>
      </c>
      <c r="AE135" s="66">
        <v>0.34</v>
      </c>
      <c r="AF135" s="66">
        <v>0.45</v>
      </c>
      <c r="AG135" s="66">
        <v>0.45</v>
      </c>
      <c r="AH135" s="12">
        <v>54</v>
      </c>
      <c r="AI135" s="12">
        <v>8</v>
      </c>
      <c r="AJ135" s="40">
        <v>0.09</v>
      </c>
      <c r="AK135" s="40">
        <v>0.51</v>
      </c>
      <c r="AL135" s="40">
        <v>0.4</v>
      </c>
      <c r="AM135" s="40">
        <v>0</v>
      </c>
      <c r="AN135" s="40">
        <v>0.18</v>
      </c>
      <c r="AO135" s="40">
        <v>0.41</v>
      </c>
      <c r="AP135" s="40">
        <v>0.48</v>
      </c>
      <c r="AQ135" s="40">
        <v>0.4</v>
      </c>
      <c r="AR135" s="40">
        <v>0.44</v>
      </c>
      <c r="AS135" s="40">
        <v>0.5</v>
      </c>
      <c r="AT135" s="40">
        <v>0.6</v>
      </c>
      <c r="AU135" s="40">
        <v>0.36</v>
      </c>
      <c r="AV135" s="40">
        <v>0.55000000000000004</v>
      </c>
      <c r="AW135" s="40">
        <v>0.48</v>
      </c>
      <c r="AX135" s="40">
        <v>0.48</v>
      </c>
      <c r="AY135" s="40">
        <v>0.27</v>
      </c>
      <c r="AZ135" s="40">
        <v>0.22</v>
      </c>
      <c r="BA135" s="40">
        <v>0.42</v>
      </c>
      <c r="BB135" s="40">
        <v>0.67</v>
      </c>
      <c r="BC135" s="40">
        <v>0.66</v>
      </c>
      <c r="BD135" s="40">
        <v>0.39</v>
      </c>
      <c r="BE135" s="40">
        <v>0.45</v>
      </c>
      <c r="BF135" s="40">
        <v>0.41</v>
      </c>
      <c r="BG135" s="40">
        <v>0.46</v>
      </c>
      <c r="BH135" s="40">
        <v>0.45</v>
      </c>
      <c r="BI135" s="40">
        <v>0.35</v>
      </c>
      <c r="BJ135" s="40">
        <v>0.28999999999999998</v>
      </c>
      <c r="BK135" s="40">
        <v>0.46</v>
      </c>
      <c r="BL135" s="40">
        <v>0.45</v>
      </c>
      <c r="BM135" s="12">
        <v>52</v>
      </c>
      <c r="BN135" s="12">
        <v>8</v>
      </c>
      <c r="BO135" s="66">
        <v>0.05</v>
      </c>
      <c r="BP135" s="66">
        <v>0.62</v>
      </c>
      <c r="BQ135" s="66">
        <v>0.33</v>
      </c>
      <c r="BR135" s="66">
        <v>0</v>
      </c>
      <c r="BS135" s="66">
        <v>0.33</v>
      </c>
      <c r="BT135" s="66">
        <v>0.56000000000000005</v>
      </c>
      <c r="BU135" s="66">
        <v>0.71</v>
      </c>
      <c r="BV135" s="66">
        <v>0.3</v>
      </c>
      <c r="BW135" s="66">
        <v>0.57999999999999996</v>
      </c>
      <c r="BX135" s="66">
        <v>0.34</v>
      </c>
      <c r="BY135" s="66">
        <v>0.49</v>
      </c>
      <c r="BZ135" s="66">
        <v>0.45</v>
      </c>
      <c r="CA135" s="66">
        <v>0.52</v>
      </c>
      <c r="CB135" s="66">
        <v>0.33</v>
      </c>
      <c r="CC135" s="66">
        <v>0.18</v>
      </c>
      <c r="CD135" s="66">
        <v>0.41</v>
      </c>
      <c r="CE135" s="66">
        <v>0.42</v>
      </c>
      <c r="CF135" s="66">
        <v>0.56000000000000005</v>
      </c>
      <c r="CG135" s="66">
        <v>0.61</v>
      </c>
      <c r="CH135" s="66">
        <v>0.42</v>
      </c>
      <c r="CI135" s="66">
        <v>0.44</v>
      </c>
      <c r="CJ135" s="66">
        <v>0.33</v>
      </c>
      <c r="CK135" s="66">
        <v>0.59</v>
      </c>
      <c r="CL135" s="66">
        <v>0.26</v>
      </c>
      <c r="CM135" s="66">
        <v>0.5</v>
      </c>
      <c r="CN135" s="66">
        <v>0.42</v>
      </c>
      <c r="CO135" s="66">
        <v>0.4</v>
      </c>
      <c r="CP135" s="66">
        <v>0.39</v>
      </c>
      <c r="CQ135" s="66">
        <v>0.49</v>
      </c>
      <c r="CR135" s="66">
        <v>0.56000000000000005</v>
      </c>
      <c r="CS135" s="12">
        <v>51</v>
      </c>
      <c r="CT135" s="12">
        <v>8</v>
      </c>
      <c r="CU135" s="63">
        <v>0.1</v>
      </c>
      <c r="CV135" s="63">
        <v>0.56999999999999995</v>
      </c>
      <c r="CW135" s="63">
        <v>0.33</v>
      </c>
      <c r="CX135" s="63">
        <v>0</v>
      </c>
      <c r="CY135" s="63">
        <v>0.48</v>
      </c>
      <c r="CZ135" s="63">
        <v>0.32</v>
      </c>
      <c r="DA135" s="63">
        <v>0.64</v>
      </c>
      <c r="DB135" s="63">
        <v>0.36</v>
      </c>
      <c r="DC135" s="63">
        <v>0.5</v>
      </c>
      <c r="DD135" s="63">
        <v>0.61</v>
      </c>
      <c r="DE135" s="63">
        <v>0.33</v>
      </c>
      <c r="DF135" s="63">
        <v>0.49</v>
      </c>
      <c r="DG135" s="63">
        <v>0.5</v>
      </c>
      <c r="DH135" s="63">
        <v>0.3</v>
      </c>
      <c r="DI135" s="63">
        <v>0.46</v>
      </c>
      <c r="DJ135" s="63">
        <v>0.48</v>
      </c>
      <c r="DK135" s="63">
        <v>0.28999999999999998</v>
      </c>
      <c r="DL135" s="63">
        <v>0.28000000000000003</v>
      </c>
      <c r="DM135" s="63">
        <v>0.54</v>
      </c>
      <c r="DN135" s="63">
        <v>0.54</v>
      </c>
      <c r="DO135" s="63">
        <v>0.44</v>
      </c>
      <c r="DP135" s="63">
        <v>0.38</v>
      </c>
      <c r="DQ135" s="63">
        <v>0.49</v>
      </c>
      <c r="DR135" s="63">
        <v>0.2</v>
      </c>
      <c r="DS135" s="63">
        <v>0.41</v>
      </c>
      <c r="DT135" s="63">
        <v>0.57999999999999996</v>
      </c>
      <c r="DU135" s="63">
        <v>0.41</v>
      </c>
      <c r="DV135" s="63">
        <v>0.59</v>
      </c>
      <c r="DW135" s="63">
        <v>0.35</v>
      </c>
      <c r="DX135" s="35">
        <v>53</v>
      </c>
      <c r="DY135" s="35">
        <v>9</v>
      </c>
      <c r="DZ135" s="40">
        <v>0.13</v>
      </c>
      <c r="EA135" s="40">
        <v>0.44</v>
      </c>
      <c r="EB135" s="40">
        <v>0.42</v>
      </c>
      <c r="EC135" s="40">
        <v>0.02</v>
      </c>
      <c r="ED135" s="40">
        <v>0.54</v>
      </c>
      <c r="EE135" s="40">
        <v>0.44</v>
      </c>
      <c r="EF135" s="40">
        <v>0.41</v>
      </c>
      <c r="EG135" s="40">
        <v>0.3</v>
      </c>
      <c r="EH135" s="40">
        <v>0.3</v>
      </c>
      <c r="EI135" s="40">
        <v>0.45</v>
      </c>
      <c r="EJ135" s="40">
        <v>0.54</v>
      </c>
      <c r="EK135" s="40">
        <v>0.28000000000000003</v>
      </c>
      <c r="EL135" s="40">
        <v>0.35</v>
      </c>
      <c r="EM135" s="40">
        <v>0.59</v>
      </c>
      <c r="EN135" s="40">
        <v>0.34</v>
      </c>
      <c r="EO135" s="40">
        <v>0.56999999999999995</v>
      </c>
      <c r="EP135" s="40">
        <v>0.33</v>
      </c>
      <c r="EQ135" s="40">
        <v>0.18</v>
      </c>
      <c r="ER135" s="40">
        <v>0.45</v>
      </c>
      <c r="ES135" s="40">
        <v>0.41</v>
      </c>
      <c r="ET135" s="40">
        <v>0.28999999999999998</v>
      </c>
      <c r="EU135" s="40">
        <v>0.6</v>
      </c>
      <c r="EV135" s="40">
        <v>0.27</v>
      </c>
      <c r="EW135" s="40">
        <v>0.32</v>
      </c>
      <c r="EX135" s="40">
        <v>0.7</v>
      </c>
      <c r="EY135" s="40">
        <v>0.5</v>
      </c>
      <c r="EZ135" s="40">
        <v>0.14000000000000001</v>
      </c>
      <c r="FA135" s="40">
        <v>0.56999999999999995</v>
      </c>
      <c r="FB135" s="647">
        <v>50</v>
      </c>
      <c r="FC135" s="647" t="s">
        <v>758</v>
      </c>
      <c r="FD135" s="647">
        <v>8</v>
      </c>
      <c r="FE135" s="647" t="s">
        <v>758</v>
      </c>
      <c r="FF135" s="648">
        <v>0.14000000000000001</v>
      </c>
      <c r="FG135" s="648">
        <v>0.6</v>
      </c>
      <c r="FH135" s="648">
        <v>0.26</v>
      </c>
      <c r="FI135" s="648">
        <v>0</v>
      </c>
      <c r="FJ135" s="648">
        <v>0.48</v>
      </c>
      <c r="FK135" s="648">
        <v>0.68</v>
      </c>
      <c r="FL135" s="648">
        <v>0.45</v>
      </c>
      <c r="FM135" s="648">
        <v>0.42</v>
      </c>
      <c r="FN135" s="648">
        <v>0.37</v>
      </c>
      <c r="FO135" s="648">
        <v>0.39</v>
      </c>
      <c r="FP135" s="648">
        <v>0.43</v>
      </c>
      <c r="FQ135" s="648">
        <v>0.48</v>
      </c>
      <c r="FR135" s="648">
        <v>0.56000000000000005</v>
      </c>
      <c r="FS135" s="648">
        <v>0.45</v>
      </c>
      <c r="FT135" s="648">
        <v>0.49</v>
      </c>
      <c r="FU135" s="648">
        <v>0.28999999999999998</v>
      </c>
      <c r="FV135" s="648">
        <v>0.7</v>
      </c>
      <c r="FW135" s="648">
        <v>0.51</v>
      </c>
      <c r="FX135" s="648">
        <v>0.42</v>
      </c>
      <c r="FY135" s="648">
        <v>0.36</v>
      </c>
      <c r="FZ135" s="648">
        <v>0.35</v>
      </c>
      <c r="GA135" s="648">
        <v>0.43</v>
      </c>
      <c r="GB135" s="648">
        <v>0.53</v>
      </c>
      <c r="GC135" s="648">
        <v>0.48</v>
      </c>
      <c r="GD135" s="648">
        <v>0.55000000000000004</v>
      </c>
      <c r="GE135" s="648">
        <v>0.56000000000000005</v>
      </c>
      <c r="GF135" s="648">
        <v>0.5</v>
      </c>
      <c r="GG135" s="648">
        <v>0.47</v>
      </c>
      <c r="GH135" s="648">
        <v>0.51</v>
      </c>
      <c r="GI135" s="648">
        <v>0.31</v>
      </c>
      <c r="GJ135" s="74">
        <v>50</v>
      </c>
      <c r="GK135" s="74" t="s">
        <v>758</v>
      </c>
      <c r="GL135" s="74">
        <v>9</v>
      </c>
      <c r="GM135" s="74" t="s">
        <v>758</v>
      </c>
      <c r="GN135" s="96">
        <v>0.15</v>
      </c>
      <c r="GO135" s="96">
        <v>0.56999999999999995</v>
      </c>
      <c r="GP135" s="96">
        <v>0.28000000000000003</v>
      </c>
      <c r="GQ135" s="96">
        <v>0</v>
      </c>
      <c r="GR135" s="96">
        <v>0.49</v>
      </c>
      <c r="GS135" s="96">
        <v>0.49</v>
      </c>
      <c r="GT135" s="96">
        <v>0.61</v>
      </c>
      <c r="GU135" s="96">
        <v>0.28999999999999998</v>
      </c>
      <c r="GV135" s="96">
        <v>0.48</v>
      </c>
      <c r="GW135" s="96">
        <v>0.52</v>
      </c>
      <c r="GX135" s="96">
        <v>0.45</v>
      </c>
      <c r="GY135" s="74" t="s">
        <v>173</v>
      </c>
      <c r="GZ135" s="96">
        <v>0.35</v>
      </c>
      <c r="HA135" s="96">
        <v>0.65</v>
      </c>
      <c r="HB135" s="96">
        <v>0.5</v>
      </c>
      <c r="HC135" s="96">
        <v>0.48</v>
      </c>
      <c r="HD135" s="96">
        <v>0.6</v>
      </c>
      <c r="HE135" s="96">
        <v>0.52</v>
      </c>
      <c r="HF135" s="96">
        <v>0.55000000000000004</v>
      </c>
      <c r="HG135" s="96">
        <v>0.66</v>
      </c>
      <c r="HH135" s="96">
        <v>0.39</v>
      </c>
      <c r="HI135" s="96">
        <v>0.5</v>
      </c>
      <c r="HJ135" s="96">
        <v>0.61</v>
      </c>
      <c r="HK135" s="96">
        <v>0.48</v>
      </c>
      <c r="HL135" s="96">
        <v>0.44</v>
      </c>
      <c r="HM135" s="96">
        <v>0.49</v>
      </c>
      <c r="HN135" s="96">
        <v>0.53</v>
      </c>
      <c r="HO135" s="96">
        <v>0.44</v>
      </c>
      <c r="HP135" s="74" t="s">
        <v>173</v>
      </c>
      <c r="HQ135" s="96">
        <v>0.48</v>
      </c>
      <c r="HR135" s="652">
        <v>54</v>
      </c>
      <c r="HS135" s="652" t="s">
        <v>758</v>
      </c>
      <c r="HT135" s="652">
        <v>9</v>
      </c>
      <c r="HU135" s="652" t="s">
        <v>758</v>
      </c>
      <c r="HV135" s="653">
        <v>7.0000000000000007E-2</v>
      </c>
      <c r="HW135" s="653">
        <v>0.54</v>
      </c>
      <c r="HX135" s="653">
        <v>0.37</v>
      </c>
      <c r="HY135" s="653">
        <v>0.02</v>
      </c>
      <c r="HZ135" s="653">
        <v>0.36</v>
      </c>
      <c r="IA135" s="653">
        <v>0.45</v>
      </c>
      <c r="IB135" s="653">
        <v>0.27</v>
      </c>
      <c r="IC135" s="653">
        <v>0.46</v>
      </c>
      <c r="ID135" s="653">
        <v>0.64</v>
      </c>
      <c r="IE135" s="653">
        <v>0.35</v>
      </c>
      <c r="IF135" s="653">
        <v>0.38</v>
      </c>
      <c r="IG135" s="653">
        <v>0.6</v>
      </c>
      <c r="IH135" s="653">
        <v>0.53</v>
      </c>
      <c r="II135" s="653">
        <v>0.19</v>
      </c>
      <c r="IJ135" s="653">
        <v>0.22</v>
      </c>
      <c r="IK135" s="653">
        <v>0.56999999999999995</v>
      </c>
      <c r="IL135" s="653">
        <v>0.27</v>
      </c>
      <c r="IM135" s="653">
        <v>0.5</v>
      </c>
      <c r="IN135" s="653">
        <v>0.32</v>
      </c>
      <c r="IO135" s="653">
        <v>0.56999999999999995</v>
      </c>
      <c r="IP135" s="653">
        <v>0.28000000000000003</v>
      </c>
      <c r="IQ135" s="653">
        <v>0.66</v>
      </c>
      <c r="IR135" s="653">
        <v>0.56000000000000005</v>
      </c>
      <c r="IS135" s="653">
        <v>0.48</v>
      </c>
      <c r="IT135" s="653">
        <v>0.37</v>
      </c>
      <c r="IU135" s="652" t="s">
        <v>173</v>
      </c>
      <c r="IV135" s="653">
        <v>0.54</v>
      </c>
      <c r="IW135" s="653">
        <v>0.3</v>
      </c>
      <c r="IX135" s="653">
        <v>0.48</v>
      </c>
      <c r="IY135" s="653">
        <v>0.42</v>
      </c>
      <c r="IZ135" s="74">
        <v>49</v>
      </c>
      <c r="JA135" s="74" t="s">
        <v>758</v>
      </c>
      <c r="JB135" s="74">
        <v>9</v>
      </c>
      <c r="JC135" s="74" t="s">
        <v>758</v>
      </c>
      <c r="JD135" s="96">
        <v>0.11</v>
      </c>
      <c r="JE135" s="96">
        <v>0.7</v>
      </c>
      <c r="JF135" s="96">
        <v>0.17</v>
      </c>
      <c r="JG135" s="96">
        <v>0.02</v>
      </c>
      <c r="JH135" s="96">
        <v>0.63</v>
      </c>
      <c r="JI135" s="96">
        <v>0.45</v>
      </c>
      <c r="JJ135" s="96">
        <v>0.5</v>
      </c>
      <c r="JK135" s="96">
        <v>0.51</v>
      </c>
      <c r="JL135" s="96">
        <v>0.52</v>
      </c>
      <c r="JM135" s="96">
        <v>0.6</v>
      </c>
      <c r="JN135" s="96">
        <v>0.55000000000000004</v>
      </c>
      <c r="JO135" s="96">
        <v>0.52</v>
      </c>
      <c r="JP135" s="96">
        <v>0.6</v>
      </c>
      <c r="JQ135" s="96">
        <v>0.27</v>
      </c>
      <c r="JR135" s="96">
        <v>0.63</v>
      </c>
      <c r="JS135" s="96">
        <v>0.51</v>
      </c>
      <c r="JT135" s="96">
        <v>0.46</v>
      </c>
      <c r="JU135" s="96">
        <v>0.56000000000000005</v>
      </c>
      <c r="JV135" s="96">
        <v>0.51</v>
      </c>
      <c r="JW135" s="96">
        <v>0.46</v>
      </c>
      <c r="JX135" s="96">
        <v>0.47</v>
      </c>
      <c r="JY135" s="96">
        <v>0.56000000000000005</v>
      </c>
      <c r="JZ135" s="96">
        <v>0.48</v>
      </c>
      <c r="KA135" s="96">
        <v>0.71</v>
      </c>
      <c r="KB135" s="96">
        <v>0.54</v>
      </c>
      <c r="KC135" s="96">
        <v>0.76</v>
      </c>
      <c r="KD135" s="96">
        <v>0.35</v>
      </c>
      <c r="KE135" s="96">
        <v>0.52</v>
      </c>
      <c r="KF135" s="96">
        <v>0.44</v>
      </c>
      <c r="KG135" s="96">
        <v>0.6</v>
      </c>
      <c r="KH135" s="971">
        <v>53</v>
      </c>
      <c r="KI135" s="971" t="s">
        <v>758</v>
      </c>
      <c r="KJ135" s="971">
        <v>9</v>
      </c>
      <c r="KK135" s="971" t="s">
        <v>758</v>
      </c>
      <c r="KL135" s="949">
        <v>0.08</v>
      </c>
      <c r="KM135" s="949">
        <v>0.5</v>
      </c>
      <c r="KN135" s="949">
        <v>0.42</v>
      </c>
      <c r="KO135" s="949">
        <v>0</v>
      </c>
      <c r="KP135" s="949">
        <v>0.47</v>
      </c>
      <c r="KQ135" s="949">
        <v>0.25</v>
      </c>
      <c r="KR135" s="949">
        <v>0.55000000000000004</v>
      </c>
      <c r="KS135" s="949">
        <v>0.43</v>
      </c>
      <c r="KT135" s="949">
        <v>0.55000000000000004</v>
      </c>
      <c r="KU135" s="949">
        <v>0.34</v>
      </c>
      <c r="KV135" s="949">
        <v>0.56999999999999995</v>
      </c>
      <c r="KW135" s="949">
        <v>0.35</v>
      </c>
      <c r="KX135" s="949">
        <v>0.36</v>
      </c>
      <c r="KY135" s="949">
        <v>0.6</v>
      </c>
      <c r="KZ135" s="949">
        <v>0.36</v>
      </c>
      <c r="LA135" s="949">
        <v>0.42</v>
      </c>
      <c r="LB135" s="949">
        <v>0.45</v>
      </c>
      <c r="LC135" s="949">
        <v>0.34</v>
      </c>
      <c r="LD135" s="949">
        <v>0.55000000000000004</v>
      </c>
      <c r="LE135" s="949">
        <v>0.45</v>
      </c>
      <c r="LF135" s="949">
        <v>0.26</v>
      </c>
      <c r="LG135" s="949">
        <v>0.31</v>
      </c>
      <c r="LH135" s="949">
        <v>0.55000000000000004</v>
      </c>
      <c r="LI135" s="949">
        <v>0.5</v>
      </c>
      <c r="LJ135" s="949">
        <v>0.36</v>
      </c>
      <c r="LK135" s="949">
        <v>0.55000000000000004</v>
      </c>
      <c r="LL135" s="949" t="s">
        <v>173</v>
      </c>
      <c r="LM135" s="949">
        <v>0.59</v>
      </c>
      <c r="LN135" s="949">
        <v>0.44</v>
      </c>
      <c r="LO135" s="949">
        <v>0.34</v>
      </c>
      <c r="LP135" s="922">
        <v>325754005196</v>
      </c>
      <c r="LQ135" s="803" t="s">
        <v>955</v>
      </c>
      <c r="LR135" s="652">
        <v>54</v>
      </c>
      <c r="LS135" s="971">
        <v>53</v>
      </c>
      <c r="LT135" s="946"/>
    </row>
    <row r="136" spans="1:332" ht="24.95" customHeight="1" x14ac:dyDescent="0.2">
      <c r="A136" s="803" t="s">
        <v>117</v>
      </c>
      <c r="B136" s="1" t="s">
        <v>123</v>
      </c>
      <c r="C136" s="2">
        <v>6</v>
      </c>
      <c r="D136" s="12">
        <v>51</v>
      </c>
      <c r="E136" s="12">
        <v>0</v>
      </c>
      <c r="F136" s="66">
        <v>0</v>
      </c>
      <c r="G136" s="66">
        <v>1</v>
      </c>
      <c r="H136" s="66">
        <v>0</v>
      </c>
      <c r="I136" s="66">
        <v>0</v>
      </c>
      <c r="J136" s="66">
        <v>1</v>
      </c>
      <c r="K136" s="66">
        <v>1</v>
      </c>
      <c r="L136" s="66">
        <v>1</v>
      </c>
      <c r="M136" s="66">
        <v>0</v>
      </c>
      <c r="N136" s="66">
        <v>0.4</v>
      </c>
      <c r="O136" s="66">
        <v>0.5</v>
      </c>
      <c r="P136" s="66">
        <v>0.5</v>
      </c>
      <c r="Q136" s="66">
        <v>0.5</v>
      </c>
      <c r="R136" s="66">
        <v>0.6</v>
      </c>
      <c r="S136" s="66">
        <v>0.5</v>
      </c>
      <c r="T136" s="66">
        <v>0</v>
      </c>
      <c r="U136" s="66">
        <v>0</v>
      </c>
      <c r="V136" s="66">
        <v>0</v>
      </c>
      <c r="W136" s="66">
        <v>0</v>
      </c>
      <c r="X136" s="66">
        <v>0.5</v>
      </c>
      <c r="Y136" s="66">
        <v>0</v>
      </c>
      <c r="Z136" s="12" t="s">
        <v>173</v>
      </c>
      <c r="AA136" s="66">
        <v>0</v>
      </c>
      <c r="AB136" s="66">
        <v>0.5</v>
      </c>
      <c r="AC136" s="66">
        <v>1</v>
      </c>
      <c r="AD136" s="66">
        <v>0.25</v>
      </c>
      <c r="AE136" s="66">
        <v>0.5</v>
      </c>
      <c r="AF136" s="66">
        <v>0.5</v>
      </c>
      <c r="AG136" s="66">
        <v>0.67</v>
      </c>
      <c r="AH136" s="12" t="s">
        <v>128</v>
      </c>
      <c r="AI136" s="12" t="s">
        <v>128</v>
      </c>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12" t="s">
        <v>126</v>
      </c>
      <c r="BN136" s="12" t="s">
        <v>126</v>
      </c>
      <c r="BO136" s="12"/>
      <c r="BP136" s="12"/>
      <c r="BQ136" s="12"/>
      <c r="BR136" s="12"/>
      <c r="BS136" s="12"/>
      <c r="BT136" s="12"/>
      <c r="BU136" s="12"/>
      <c r="BV136" s="12"/>
      <c r="BW136" s="12"/>
      <c r="BX136" s="12"/>
      <c r="BY136" s="12"/>
      <c r="BZ136" s="12"/>
      <c r="CA136" s="12"/>
      <c r="CB136" s="12"/>
      <c r="CC136" s="12"/>
      <c r="CD136" s="12"/>
      <c r="CE136" s="12"/>
      <c r="CF136" s="12"/>
      <c r="CG136" s="12"/>
      <c r="CH136" s="12"/>
      <c r="CI136" s="12"/>
      <c r="CJ136" s="12"/>
      <c r="CK136" s="12"/>
      <c r="CL136" s="12"/>
      <c r="CM136" s="12"/>
      <c r="CN136" s="12"/>
      <c r="CO136" s="12"/>
      <c r="CP136" s="12"/>
      <c r="CQ136" s="12"/>
      <c r="CR136" s="12"/>
      <c r="CS136" s="12" t="s">
        <v>126</v>
      </c>
      <c r="CT136" s="12" t="s">
        <v>126</v>
      </c>
      <c r="CU136" s="2"/>
      <c r="CV136" s="2"/>
      <c r="CW136" s="2"/>
      <c r="CX136" s="2"/>
      <c r="CY136" s="2"/>
      <c r="CZ136" s="2"/>
      <c r="DA136" s="2"/>
      <c r="DB136" s="2"/>
      <c r="DC136" s="2"/>
      <c r="DD136" s="2"/>
      <c r="DE136" s="2"/>
      <c r="DF136" s="2"/>
      <c r="DG136" s="2"/>
      <c r="DH136" s="2"/>
      <c r="DI136" s="2"/>
      <c r="DJ136" s="2"/>
      <c r="DK136" s="2"/>
      <c r="DL136" s="2"/>
      <c r="DM136" s="2"/>
      <c r="DN136" s="2"/>
      <c r="DO136" s="2"/>
      <c r="DP136" s="2"/>
      <c r="DQ136" s="2"/>
      <c r="DR136" s="2"/>
      <c r="DS136" s="2"/>
      <c r="DT136" s="2"/>
      <c r="DU136" s="2"/>
      <c r="DV136" s="2"/>
      <c r="DW136" s="2"/>
      <c r="DX136" s="35"/>
      <c r="DY136" s="35"/>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246">
        <v>37</v>
      </c>
      <c r="FC136" s="246" t="s">
        <v>760</v>
      </c>
      <c r="FD136" s="246">
        <v>0</v>
      </c>
      <c r="FE136" s="246" t="s">
        <v>760</v>
      </c>
      <c r="FF136" s="263">
        <v>1</v>
      </c>
      <c r="FG136" s="263">
        <v>0</v>
      </c>
      <c r="FH136" s="263">
        <v>0</v>
      </c>
      <c r="FI136" s="263">
        <v>0</v>
      </c>
      <c r="FJ136" s="263">
        <v>1</v>
      </c>
      <c r="FK136" s="263">
        <v>1</v>
      </c>
      <c r="FL136" s="263">
        <v>0.67</v>
      </c>
      <c r="FM136" s="246" t="s">
        <v>173</v>
      </c>
      <c r="FN136" s="263">
        <v>0</v>
      </c>
      <c r="FO136" s="263">
        <v>1</v>
      </c>
      <c r="FP136" s="263">
        <v>0.67</v>
      </c>
      <c r="FQ136" s="263">
        <v>1</v>
      </c>
      <c r="FR136" s="263">
        <v>0.33</v>
      </c>
      <c r="FS136" s="246" t="s">
        <v>173</v>
      </c>
      <c r="FT136" s="263">
        <v>0.67</v>
      </c>
      <c r="FU136" s="263">
        <v>0.5</v>
      </c>
      <c r="FV136" s="263">
        <v>1</v>
      </c>
      <c r="FW136" s="263">
        <v>0</v>
      </c>
      <c r="FX136" s="263">
        <v>1</v>
      </c>
      <c r="FY136" s="263">
        <v>1</v>
      </c>
      <c r="FZ136" s="263">
        <v>1</v>
      </c>
      <c r="GA136" s="263">
        <v>0</v>
      </c>
      <c r="GB136" s="263">
        <v>1</v>
      </c>
      <c r="GC136" s="263">
        <v>1</v>
      </c>
      <c r="GD136" s="263">
        <v>0.33</v>
      </c>
      <c r="GE136" s="263">
        <v>0.5</v>
      </c>
      <c r="GF136" s="263">
        <v>0</v>
      </c>
      <c r="GG136" s="263">
        <v>1</v>
      </c>
      <c r="GH136" s="263">
        <v>1</v>
      </c>
      <c r="GI136" s="263">
        <v>0.5</v>
      </c>
      <c r="GJ136" s="649"/>
      <c r="GK136" s="649"/>
      <c r="GL136" s="649"/>
      <c r="GM136" s="649"/>
      <c r="GN136" s="649"/>
      <c r="GO136" s="649"/>
      <c r="GP136" s="649"/>
      <c r="GQ136" s="649"/>
      <c r="GR136" s="649"/>
      <c r="GS136" s="649"/>
      <c r="GT136" s="649"/>
      <c r="GU136" s="649"/>
      <c r="GV136" s="649"/>
      <c r="GW136" s="649"/>
      <c r="GX136" s="649"/>
      <c r="GY136" s="649"/>
      <c r="GZ136" s="649"/>
      <c r="HA136" s="649"/>
      <c r="HB136" s="649"/>
      <c r="HC136" s="649"/>
      <c r="HD136" s="649"/>
      <c r="HE136" s="649"/>
      <c r="HF136" s="649"/>
      <c r="HG136" s="649"/>
      <c r="HH136" s="649"/>
      <c r="HI136" s="649"/>
      <c r="HJ136" s="649"/>
      <c r="HK136" s="649"/>
      <c r="HL136" s="649"/>
      <c r="HM136" s="649"/>
      <c r="HN136" s="649"/>
      <c r="HO136" s="649"/>
      <c r="HP136" s="649"/>
      <c r="HQ136" s="649"/>
      <c r="HR136" s="651"/>
      <c r="HS136" s="651"/>
      <c r="HT136" s="651"/>
      <c r="HU136" s="651"/>
      <c r="HV136" s="651"/>
      <c r="HW136" s="651"/>
      <c r="HX136" s="651"/>
      <c r="HY136" s="651"/>
      <c r="HZ136" s="651"/>
      <c r="IA136" s="651"/>
      <c r="IB136" s="651"/>
      <c r="IC136" s="651"/>
      <c r="ID136" s="651"/>
      <c r="IE136" s="651"/>
      <c r="IF136" s="651"/>
      <c r="IG136" s="651"/>
      <c r="IH136" s="651"/>
      <c r="II136" s="651"/>
      <c r="IJ136" s="651"/>
      <c r="IK136" s="651"/>
      <c r="IL136" s="651"/>
      <c r="IM136" s="651"/>
      <c r="IN136" s="651"/>
      <c r="IO136" s="651"/>
      <c r="IP136" s="651"/>
      <c r="IQ136" s="651"/>
      <c r="IR136" s="651"/>
      <c r="IS136" s="651"/>
      <c r="IT136" s="651"/>
      <c r="IU136" s="651"/>
      <c r="IV136" s="651"/>
      <c r="IW136" s="651"/>
      <c r="IX136" s="651"/>
      <c r="IY136" s="651"/>
      <c r="IZ136" s="650"/>
      <c r="JA136" s="650"/>
      <c r="JB136" s="650"/>
      <c r="JC136" s="650"/>
      <c r="JD136" s="650"/>
      <c r="JE136" s="650"/>
      <c r="JF136" s="650"/>
      <c r="JG136" s="650"/>
      <c r="JH136" s="650"/>
      <c r="JI136" s="650"/>
      <c r="JJ136" s="650"/>
      <c r="JK136" s="650"/>
      <c r="JL136" s="650"/>
      <c r="JM136" s="650"/>
      <c r="JN136" s="650"/>
      <c r="JO136" s="650"/>
      <c r="JP136" s="650"/>
      <c r="JQ136" s="650"/>
      <c r="JR136" s="650"/>
      <c r="JS136" s="650"/>
      <c r="JT136" s="650"/>
      <c r="JU136" s="650"/>
      <c r="JV136" s="650"/>
      <c r="JW136" s="650"/>
      <c r="JX136" s="650"/>
      <c r="JY136" s="650"/>
      <c r="JZ136" s="650"/>
      <c r="KA136" s="650"/>
      <c r="KB136" s="650"/>
      <c r="KC136" s="650"/>
      <c r="KD136" s="650"/>
      <c r="KE136" s="650"/>
      <c r="KF136" s="650"/>
      <c r="KG136" s="650"/>
      <c r="KH136" s="971"/>
      <c r="KI136" s="971"/>
      <c r="KJ136" s="971"/>
      <c r="KK136" s="971"/>
      <c r="KL136" s="949"/>
      <c r="KM136" s="949"/>
      <c r="KN136" s="949"/>
      <c r="KO136" s="949"/>
      <c r="KP136" s="949"/>
      <c r="KQ136" s="949"/>
      <c r="KR136" s="949"/>
      <c r="KS136" s="949"/>
      <c r="KT136" s="949"/>
      <c r="KU136" s="949"/>
      <c r="KV136" s="949"/>
      <c r="KW136" s="949"/>
      <c r="KX136" s="949"/>
      <c r="KY136" s="949"/>
      <c r="KZ136" s="949"/>
      <c r="LA136" s="949"/>
      <c r="LB136" s="949"/>
      <c r="LC136" s="949"/>
      <c r="LD136" s="949"/>
      <c r="LE136" s="949"/>
      <c r="LF136" s="949"/>
      <c r="LG136" s="949"/>
      <c r="LH136" s="949"/>
      <c r="LI136" s="949"/>
      <c r="LJ136" s="949"/>
      <c r="LK136" s="949"/>
      <c r="LL136" s="949"/>
      <c r="LM136" s="949"/>
      <c r="LN136" s="949"/>
      <c r="LO136" s="949"/>
      <c r="LP136" s="922"/>
      <c r="LQ136" s="803" t="s">
        <v>117</v>
      </c>
      <c r="LR136" s="651"/>
      <c r="LS136" s="971"/>
      <c r="LT136" s="946"/>
    </row>
    <row r="137" spans="1:332" ht="24.95" customHeight="1" x14ac:dyDescent="0.2">
      <c r="A137" s="803" t="s">
        <v>69</v>
      </c>
      <c r="B137" s="1" t="s">
        <v>123</v>
      </c>
      <c r="C137" s="2">
        <v>4</v>
      </c>
      <c r="D137" s="12">
        <v>58</v>
      </c>
      <c r="E137" s="12">
        <v>5</v>
      </c>
      <c r="F137" s="66">
        <v>0</v>
      </c>
      <c r="G137" s="66">
        <v>0.38</v>
      </c>
      <c r="H137" s="66">
        <v>0.63</v>
      </c>
      <c r="I137" s="66">
        <v>0</v>
      </c>
      <c r="J137" s="66">
        <v>0.26</v>
      </c>
      <c r="K137" s="66">
        <v>0.27</v>
      </c>
      <c r="L137" s="66">
        <v>0.55000000000000004</v>
      </c>
      <c r="M137" s="66">
        <v>7.0000000000000007E-2</v>
      </c>
      <c r="N137" s="66">
        <v>0.1</v>
      </c>
      <c r="O137" s="66">
        <v>0.57999999999999996</v>
      </c>
      <c r="P137" s="66">
        <v>0.23</v>
      </c>
      <c r="Q137" s="66">
        <v>0.41</v>
      </c>
      <c r="R137" s="66">
        <v>0.56000000000000005</v>
      </c>
      <c r="S137" s="66">
        <v>0.56999999999999995</v>
      </c>
      <c r="T137" s="66">
        <v>0.3</v>
      </c>
      <c r="U137" s="66">
        <v>0.54</v>
      </c>
      <c r="V137" s="66">
        <v>0.13</v>
      </c>
      <c r="W137" s="66">
        <v>0.04</v>
      </c>
      <c r="X137" s="66">
        <v>0.31</v>
      </c>
      <c r="Y137" s="66">
        <v>0.49</v>
      </c>
      <c r="Z137" s="66">
        <v>0</v>
      </c>
      <c r="AA137" s="66">
        <v>0</v>
      </c>
      <c r="AB137" s="66">
        <v>0.25</v>
      </c>
      <c r="AC137" s="66">
        <v>0.34</v>
      </c>
      <c r="AD137" s="66">
        <v>0.28000000000000003</v>
      </c>
      <c r="AE137" s="66">
        <v>0.4</v>
      </c>
      <c r="AF137" s="66">
        <v>0.6</v>
      </c>
      <c r="AG137" s="66">
        <v>0.37</v>
      </c>
      <c r="AH137" s="12">
        <v>57</v>
      </c>
      <c r="AI137" s="12">
        <v>6</v>
      </c>
      <c r="AJ137" s="40">
        <v>0</v>
      </c>
      <c r="AK137" s="40">
        <v>0.45</v>
      </c>
      <c r="AL137" s="40">
        <v>0.55000000000000004</v>
      </c>
      <c r="AM137" s="40">
        <v>0</v>
      </c>
      <c r="AN137" s="40">
        <v>0.17</v>
      </c>
      <c r="AO137" s="40">
        <v>0.25</v>
      </c>
      <c r="AP137" s="40">
        <v>0.52</v>
      </c>
      <c r="AQ137" s="40">
        <v>0.35</v>
      </c>
      <c r="AR137" s="40">
        <v>0.38</v>
      </c>
      <c r="AS137" s="40">
        <v>0.46</v>
      </c>
      <c r="AT137" s="40">
        <v>0.42</v>
      </c>
      <c r="AU137" s="40">
        <v>0.28999999999999998</v>
      </c>
      <c r="AV137" s="40">
        <v>0.5</v>
      </c>
      <c r="AW137" s="40">
        <v>0.25</v>
      </c>
      <c r="AX137" s="40">
        <v>0.4</v>
      </c>
      <c r="AY137" s="40">
        <v>0.31</v>
      </c>
      <c r="AZ137" s="40">
        <v>0.28000000000000003</v>
      </c>
      <c r="BA137" s="40">
        <v>0.34</v>
      </c>
      <c r="BB137" s="40">
        <v>0.64</v>
      </c>
      <c r="BC137" s="40">
        <v>0.61</v>
      </c>
      <c r="BD137" s="40">
        <v>0.31</v>
      </c>
      <c r="BE137" s="40">
        <v>0.36</v>
      </c>
      <c r="BF137" s="40">
        <v>0.36</v>
      </c>
      <c r="BG137" s="40">
        <v>0.49</v>
      </c>
      <c r="BH137" s="40">
        <v>0.36</v>
      </c>
      <c r="BI137" s="40">
        <v>0.32</v>
      </c>
      <c r="BJ137" s="40">
        <v>0.27</v>
      </c>
      <c r="BK137" s="40">
        <v>0.34</v>
      </c>
      <c r="BL137" s="40">
        <v>0.5</v>
      </c>
      <c r="BM137" s="12">
        <v>57</v>
      </c>
      <c r="BN137" s="12">
        <v>6</v>
      </c>
      <c r="BO137" s="66">
        <v>0</v>
      </c>
      <c r="BP137" s="66">
        <v>0.45</v>
      </c>
      <c r="BQ137" s="66">
        <v>0.55000000000000004</v>
      </c>
      <c r="BR137" s="66">
        <v>0</v>
      </c>
      <c r="BS137" s="66">
        <v>0.47</v>
      </c>
      <c r="BT137" s="66">
        <v>0.33</v>
      </c>
      <c r="BU137" s="66">
        <v>0.5</v>
      </c>
      <c r="BV137" s="66">
        <v>0.14000000000000001</v>
      </c>
      <c r="BW137" s="66">
        <v>0.53</v>
      </c>
      <c r="BX137" s="66">
        <v>0.52</v>
      </c>
      <c r="BY137" s="66">
        <v>0.42</v>
      </c>
      <c r="BZ137" s="66">
        <v>0.44</v>
      </c>
      <c r="CA137" s="66">
        <v>0.35</v>
      </c>
      <c r="CB137" s="66">
        <v>0.27</v>
      </c>
      <c r="CC137" s="66">
        <v>0.11</v>
      </c>
      <c r="CD137" s="66">
        <v>0.15</v>
      </c>
      <c r="CE137" s="66">
        <v>0.25</v>
      </c>
      <c r="CF137" s="66">
        <v>0.55000000000000004</v>
      </c>
      <c r="CG137" s="66">
        <v>0.64</v>
      </c>
      <c r="CH137" s="66">
        <v>0.46</v>
      </c>
      <c r="CI137" s="66">
        <v>0.41</v>
      </c>
      <c r="CJ137" s="66">
        <v>0</v>
      </c>
      <c r="CK137" s="66">
        <v>0.64</v>
      </c>
      <c r="CL137" s="66">
        <v>0.11</v>
      </c>
      <c r="CM137" s="66">
        <v>0.23</v>
      </c>
      <c r="CN137" s="66">
        <v>0.22</v>
      </c>
      <c r="CO137" s="66">
        <v>0.27</v>
      </c>
      <c r="CP137" s="66">
        <v>0.16</v>
      </c>
      <c r="CQ137" s="66">
        <v>0.34</v>
      </c>
      <c r="CR137" s="66">
        <v>0.54</v>
      </c>
      <c r="CS137" s="12">
        <v>51</v>
      </c>
      <c r="CT137" s="12">
        <v>7</v>
      </c>
      <c r="CU137" s="63">
        <v>0</v>
      </c>
      <c r="CV137" s="63">
        <v>0.69</v>
      </c>
      <c r="CW137" s="63">
        <v>0.31</v>
      </c>
      <c r="CX137" s="63">
        <v>0</v>
      </c>
      <c r="CY137" s="63">
        <v>0.53</v>
      </c>
      <c r="CZ137" s="63">
        <v>0.21</v>
      </c>
      <c r="DA137" s="63">
        <v>0.65</v>
      </c>
      <c r="DB137" s="63">
        <v>0.35</v>
      </c>
      <c r="DC137" s="63">
        <v>0.5</v>
      </c>
      <c r="DD137" s="63">
        <v>0.61</v>
      </c>
      <c r="DE137" s="63">
        <v>0.22</v>
      </c>
      <c r="DF137" s="63">
        <v>0.53</v>
      </c>
      <c r="DG137" s="63">
        <v>0.48</v>
      </c>
      <c r="DH137" s="63">
        <v>0.28999999999999998</v>
      </c>
      <c r="DI137" s="63">
        <v>0.4</v>
      </c>
      <c r="DJ137" s="63">
        <v>0.44</v>
      </c>
      <c r="DK137" s="63">
        <v>0.25</v>
      </c>
      <c r="DL137" s="63">
        <v>0</v>
      </c>
      <c r="DM137" s="63">
        <v>0.42</v>
      </c>
      <c r="DN137" s="63">
        <v>0.48</v>
      </c>
      <c r="DO137" s="63">
        <v>0.33</v>
      </c>
      <c r="DP137" s="63">
        <v>0.59</v>
      </c>
      <c r="DQ137" s="63">
        <v>0.48</v>
      </c>
      <c r="DR137" s="63">
        <v>0.17</v>
      </c>
      <c r="DS137" s="63">
        <v>0.5</v>
      </c>
      <c r="DT137" s="63">
        <v>0.55000000000000004</v>
      </c>
      <c r="DU137" s="63">
        <v>0.3</v>
      </c>
      <c r="DV137" s="63">
        <v>0.61</v>
      </c>
      <c r="DW137" s="63">
        <v>0.42</v>
      </c>
      <c r="DX137" s="35">
        <v>55</v>
      </c>
      <c r="DY137" s="35">
        <v>7</v>
      </c>
      <c r="DZ137" s="40">
        <v>0</v>
      </c>
      <c r="EA137" s="40">
        <v>0.5</v>
      </c>
      <c r="EB137" s="40">
        <v>0.5</v>
      </c>
      <c r="EC137" s="40">
        <v>0</v>
      </c>
      <c r="ED137" s="40">
        <v>0.67</v>
      </c>
      <c r="EE137" s="40">
        <v>0.38</v>
      </c>
      <c r="EF137" s="40">
        <v>0.39</v>
      </c>
      <c r="EG137" s="40">
        <v>0.33</v>
      </c>
      <c r="EH137" s="40">
        <v>0.37</v>
      </c>
      <c r="EI137" s="40">
        <v>0.5</v>
      </c>
      <c r="EJ137" s="40">
        <v>0.33</v>
      </c>
      <c r="EK137" s="40">
        <v>0.17</v>
      </c>
      <c r="EL137" s="40">
        <v>0.4</v>
      </c>
      <c r="EM137" s="40">
        <v>0.62</v>
      </c>
      <c r="EN137" s="40">
        <v>0.17</v>
      </c>
      <c r="EO137" s="40">
        <v>0.59</v>
      </c>
      <c r="EP137" s="40">
        <v>0.32</v>
      </c>
      <c r="EQ137" s="40">
        <v>0.1</v>
      </c>
      <c r="ER137" s="40">
        <v>0.45</v>
      </c>
      <c r="ES137" s="40">
        <v>0.25</v>
      </c>
      <c r="ET137" s="40">
        <v>0.24</v>
      </c>
      <c r="EU137" s="40">
        <v>0.57999999999999996</v>
      </c>
      <c r="EV137" s="40">
        <v>0.13</v>
      </c>
      <c r="EW137" s="40">
        <v>0.5</v>
      </c>
      <c r="EX137" s="40">
        <v>0.8</v>
      </c>
      <c r="EY137" s="40">
        <v>0.28999999999999998</v>
      </c>
      <c r="EZ137" s="40">
        <v>0</v>
      </c>
      <c r="FA137" s="40">
        <v>0.48</v>
      </c>
      <c r="FB137" s="246">
        <v>51</v>
      </c>
      <c r="FC137" s="246" t="s">
        <v>758</v>
      </c>
      <c r="FD137" s="246">
        <v>8</v>
      </c>
      <c r="FE137" s="246" t="s">
        <v>758</v>
      </c>
      <c r="FF137" s="263">
        <v>0.09</v>
      </c>
      <c r="FG137" s="263">
        <v>0.64</v>
      </c>
      <c r="FH137" s="263">
        <v>0.27</v>
      </c>
      <c r="FI137" s="263">
        <v>0</v>
      </c>
      <c r="FJ137" s="263">
        <v>0.55000000000000004</v>
      </c>
      <c r="FK137" s="263">
        <v>0.67</v>
      </c>
      <c r="FL137" s="263">
        <v>0.5</v>
      </c>
      <c r="FM137" s="263">
        <v>0.33</v>
      </c>
      <c r="FN137" s="263">
        <v>0.16</v>
      </c>
      <c r="FO137" s="263">
        <v>0.39</v>
      </c>
      <c r="FP137" s="263">
        <v>0.36</v>
      </c>
      <c r="FQ137" s="263">
        <v>0.44</v>
      </c>
      <c r="FR137" s="263">
        <v>0.42</v>
      </c>
      <c r="FS137" s="263">
        <v>0.47</v>
      </c>
      <c r="FT137" s="263">
        <v>0.57999999999999996</v>
      </c>
      <c r="FU137" s="263">
        <v>0.42</v>
      </c>
      <c r="FV137" s="263">
        <v>0.57999999999999996</v>
      </c>
      <c r="FW137" s="263">
        <v>0.42</v>
      </c>
      <c r="FX137" s="263">
        <v>0.5</v>
      </c>
      <c r="FY137" s="263">
        <v>0.3</v>
      </c>
      <c r="FZ137" s="263">
        <v>0.35</v>
      </c>
      <c r="GA137" s="263">
        <v>0.42</v>
      </c>
      <c r="GB137" s="263">
        <v>0.53</v>
      </c>
      <c r="GC137" s="263">
        <v>0.32</v>
      </c>
      <c r="GD137" s="263">
        <v>0.53</v>
      </c>
      <c r="GE137" s="263">
        <v>0.52</v>
      </c>
      <c r="GF137" s="263">
        <v>0.47</v>
      </c>
      <c r="GG137" s="263">
        <v>0.53</v>
      </c>
      <c r="GH137" s="263">
        <v>0.68</v>
      </c>
      <c r="GI137" s="263">
        <v>0.25</v>
      </c>
      <c r="GJ137" s="74">
        <v>58</v>
      </c>
      <c r="GK137" s="74" t="s">
        <v>758</v>
      </c>
      <c r="GL137" s="74">
        <v>9</v>
      </c>
      <c r="GM137" s="74" t="s">
        <v>758</v>
      </c>
      <c r="GN137" s="96">
        <v>0</v>
      </c>
      <c r="GO137" s="96">
        <v>0.47</v>
      </c>
      <c r="GP137" s="96">
        <v>0.41</v>
      </c>
      <c r="GQ137" s="96">
        <v>0.12</v>
      </c>
      <c r="GR137" s="96">
        <v>0.4</v>
      </c>
      <c r="GS137" s="96">
        <v>0.5</v>
      </c>
      <c r="GT137" s="96">
        <v>0.45</v>
      </c>
      <c r="GU137" s="96">
        <v>0.27</v>
      </c>
      <c r="GV137" s="96">
        <v>0.42</v>
      </c>
      <c r="GW137" s="96">
        <v>0.33</v>
      </c>
      <c r="GX137" s="96">
        <v>0.39</v>
      </c>
      <c r="GY137" s="74" t="s">
        <v>173</v>
      </c>
      <c r="GZ137" s="96">
        <v>0.11</v>
      </c>
      <c r="HA137" s="96">
        <v>0.56000000000000005</v>
      </c>
      <c r="HB137" s="96">
        <v>0.33</v>
      </c>
      <c r="HC137" s="96">
        <v>0.33</v>
      </c>
      <c r="HD137" s="96">
        <v>0.49</v>
      </c>
      <c r="HE137" s="96">
        <v>0.23</v>
      </c>
      <c r="HF137" s="96">
        <v>0.33</v>
      </c>
      <c r="HG137" s="96">
        <v>0.57999999999999996</v>
      </c>
      <c r="HH137" s="96">
        <v>0.22</v>
      </c>
      <c r="HI137" s="96">
        <v>0.43</v>
      </c>
      <c r="HJ137" s="96">
        <v>0.41</v>
      </c>
      <c r="HK137" s="96">
        <v>0.24</v>
      </c>
      <c r="HL137" s="96">
        <v>0.28999999999999998</v>
      </c>
      <c r="HM137" s="96">
        <v>0.3</v>
      </c>
      <c r="HN137" s="96">
        <v>0.19</v>
      </c>
      <c r="HO137" s="96">
        <v>0.21</v>
      </c>
      <c r="HP137" s="74" t="s">
        <v>173</v>
      </c>
      <c r="HQ137" s="96">
        <v>0.27</v>
      </c>
      <c r="HR137" s="652">
        <v>52</v>
      </c>
      <c r="HS137" s="652" t="s">
        <v>758</v>
      </c>
      <c r="HT137" s="652">
        <v>9</v>
      </c>
      <c r="HU137" s="652" t="s">
        <v>758</v>
      </c>
      <c r="HV137" s="653">
        <v>0.09</v>
      </c>
      <c r="HW137" s="653">
        <v>0.55000000000000004</v>
      </c>
      <c r="HX137" s="653">
        <v>0.36</v>
      </c>
      <c r="HY137" s="653">
        <v>0</v>
      </c>
      <c r="HZ137" s="653">
        <v>0.6</v>
      </c>
      <c r="IA137" s="653">
        <v>0.53</v>
      </c>
      <c r="IB137" s="653">
        <v>0.3</v>
      </c>
      <c r="IC137" s="653">
        <v>0.52</v>
      </c>
      <c r="ID137" s="653">
        <v>0.61</v>
      </c>
      <c r="IE137" s="653">
        <v>0.28999999999999998</v>
      </c>
      <c r="IF137" s="653">
        <v>0.3</v>
      </c>
      <c r="IG137" s="653">
        <v>0.37</v>
      </c>
      <c r="IH137" s="653">
        <v>0.5</v>
      </c>
      <c r="II137" s="653">
        <v>0.46</v>
      </c>
      <c r="IJ137" s="653">
        <v>0.3</v>
      </c>
      <c r="IK137" s="653">
        <v>0.56000000000000005</v>
      </c>
      <c r="IL137" s="653">
        <v>0.33</v>
      </c>
      <c r="IM137" s="653">
        <v>0.52</v>
      </c>
      <c r="IN137" s="653">
        <v>0.43</v>
      </c>
      <c r="IO137" s="653">
        <v>0.53</v>
      </c>
      <c r="IP137" s="653">
        <v>0.33</v>
      </c>
      <c r="IQ137" s="653">
        <v>0.6</v>
      </c>
      <c r="IR137" s="653">
        <v>0.47</v>
      </c>
      <c r="IS137" s="653">
        <v>0.63</v>
      </c>
      <c r="IT137" s="653">
        <v>0.37</v>
      </c>
      <c r="IU137" s="652" t="s">
        <v>173</v>
      </c>
      <c r="IV137" s="653">
        <v>0.56000000000000005</v>
      </c>
      <c r="IW137" s="653">
        <v>0.39</v>
      </c>
      <c r="IX137" s="653">
        <v>0.56000000000000005</v>
      </c>
      <c r="IY137" s="653">
        <v>0.43</v>
      </c>
      <c r="IZ137" s="74">
        <v>58</v>
      </c>
      <c r="JA137" s="74" t="s">
        <v>758</v>
      </c>
      <c r="JB137" s="74">
        <v>8</v>
      </c>
      <c r="JC137" s="74" t="s">
        <v>758</v>
      </c>
      <c r="JD137" s="96">
        <v>0.03</v>
      </c>
      <c r="JE137" s="96">
        <v>0.3</v>
      </c>
      <c r="JF137" s="96">
        <v>0.64</v>
      </c>
      <c r="JG137" s="96">
        <v>0.03</v>
      </c>
      <c r="JH137" s="96">
        <v>0.35</v>
      </c>
      <c r="JI137" s="96">
        <v>0.34</v>
      </c>
      <c r="JJ137" s="96">
        <v>0.28999999999999998</v>
      </c>
      <c r="JK137" s="96">
        <v>0.38</v>
      </c>
      <c r="JL137" s="96">
        <v>0.49</v>
      </c>
      <c r="JM137" s="96">
        <v>0.39</v>
      </c>
      <c r="JN137" s="96">
        <v>0.27</v>
      </c>
      <c r="JO137" s="96">
        <v>0.3</v>
      </c>
      <c r="JP137" s="96">
        <v>0.3</v>
      </c>
      <c r="JQ137" s="96">
        <v>0.17</v>
      </c>
      <c r="JR137" s="96">
        <v>0.34</v>
      </c>
      <c r="JS137" s="96">
        <v>0.38</v>
      </c>
      <c r="JT137" s="96">
        <v>0.44</v>
      </c>
      <c r="JU137" s="96">
        <v>0.48</v>
      </c>
      <c r="JV137" s="96">
        <v>0.42</v>
      </c>
      <c r="JW137" s="96">
        <v>0.37</v>
      </c>
      <c r="JX137" s="96">
        <v>0.38</v>
      </c>
      <c r="JY137" s="96">
        <v>0.31</v>
      </c>
      <c r="JZ137" s="96">
        <v>0.25</v>
      </c>
      <c r="KA137" s="96">
        <v>0.61</v>
      </c>
      <c r="KB137" s="96">
        <v>0.32</v>
      </c>
      <c r="KC137" s="96">
        <v>0.54</v>
      </c>
      <c r="KD137" s="96">
        <v>0.19</v>
      </c>
      <c r="KE137" s="96">
        <v>0.36</v>
      </c>
      <c r="KF137" s="96">
        <v>0.25</v>
      </c>
      <c r="KG137" s="96">
        <v>0.4</v>
      </c>
      <c r="KH137" s="971">
        <v>53</v>
      </c>
      <c r="KI137" s="971" t="s">
        <v>758</v>
      </c>
      <c r="KJ137" s="971">
        <v>11</v>
      </c>
      <c r="KK137" s="971" t="s">
        <v>758</v>
      </c>
      <c r="KL137" s="949">
        <v>0.13</v>
      </c>
      <c r="KM137" s="949">
        <v>0.39</v>
      </c>
      <c r="KN137" s="949">
        <v>0.42</v>
      </c>
      <c r="KO137" s="949">
        <v>0.05</v>
      </c>
      <c r="KP137" s="949">
        <v>0.45</v>
      </c>
      <c r="KQ137" s="949">
        <v>0.3</v>
      </c>
      <c r="KR137" s="949">
        <v>0.57999999999999996</v>
      </c>
      <c r="KS137" s="949">
        <v>0.48</v>
      </c>
      <c r="KT137" s="949">
        <v>0.66</v>
      </c>
      <c r="KU137" s="949">
        <v>0.37</v>
      </c>
      <c r="KV137" s="949">
        <v>0.4</v>
      </c>
      <c r="KW137" s="949">
        <v>0.33</v>
      </c>
      <c r="KX137" s="949">
        <v>0.43</v>
      </c>
      <c r="KY137" s="949">
        <v>0.51</v>
      </c>
      <c r="KZ137" s="949">
        <v>0.38</v>
      </c>
      <c r="LA137" s="949">
        <v>0.38</v>
      </c>
      <c r="LB137" s="949">
        <v>0.32</v>
      </c>
      <c r="LC137" s="949">
        <v>0.44</v>
      </c>
      <c r="LD137" s="949">
        <v>0.53</v>
      </c>
      <c r="LE137" s="949">
        <v>0.38</v>
      </c>
      <c r="LF137" s="949">
        <v>0.28999999999999998</v>
      </c>
      <c r="LG137" s="949">
        <v>0.33</v>
      </c>
      <c r="LH137" s="949">
        <v>0.46</v>
      </c>
      <c r="LI137" s="949">
        <v>0.47</v>
      </c>
      <c r="LJ137" s="949">
        <v>0.32</v>
      </c>
      <c r="LK137" s="949">
        <v>0.52</v>
      </c>
      <c r="LL137" s="949" t="s">
        <v>173</v>
      </c>
      <c r="LM137" s="949">
        <v>0.54</v>
      </c>
      <c r="LN137" s="949">
        <v>0.74</v>
      </c>
      <c r="LO137" s="949">
        <v>0.41</v>
      </c>
      <c r="LP137" s="922">
        <v>325754004629</v>
      </c>
      <c r="LQ137" s="803" t="s">
        <v>69</v>
      </c>
      <c r="LR137" s="652">
        <v>52</v>
      </c>
      <c r="LS137" s="971">
        <v>53</v>
      </c>
      <c r="LT137" s="946"/>
    </row>
    <row r="138" spans="1:332" ht="24.95" customHeight="1" x14ac:dyDescent="0.2">
      <c r="A138" s="803" t="s">
        <v>35</v>
      </c>
      <c r="B138" s="1" t="s">
        <v>123</v>
      </c>
      <c r="C138" s="2">
        <v>6</v>
      </c>
      <c r="D138" s="12">
        <v>55</v>
      </c>
      <c r="E138" s="12">
        <v>7</v>
      </c>
      <c r="F138" s="66">
        <v>0</v>
      </c>
      <c r="G138" s="66">
        <v>0.59</v>
      </c>
      <c r="H138" s="66">
        <v>0.39</v>
      </c>
      <c r="I138" s="66">
        <v>0.01</v>
      </c>
      <c r="J138" s="66">
        <v>0.4</v>
      </c>
      <c r="K138" s="66">
        <v>0.33</v>
      </c>
      <c r="L138" s="66">
        <v>0.7</v>
      </c>
      <c r="M138" s="66">
        <v>0.26</v>
      </c>
      <c r="N138" s="66">
        <v>0.28000000000000003</v>
      </c>
      <c r="O138" s="66">
        <v>0.67</v>
      </c>
      <c r="P138" s="66">
        <v>0.33</v>
      </c>
      <c r="Q138" s="66">
        <v>0.43</v>
      </c>
      <c r="R138" s="66">
        <v>0.49</v>
      </c>
      <c r="S138" s="66">
        <v>0.57999999999999996</v>
      </c>
      <c r="T138" s="66">
        <v>0.56000000000000005</v>
      </c>
      <c r="U138" s="66">
        <v>0.6</v>
      </c>
      <c r="V138" s="66">
        <v>0.05</v>
      </c>
      <c r="W138" s="66">
        <v>0.1</v>
      </c>
      <c r="X138" s="66">
        <v>0.48</v>
      </c>
      <c r="Y138" s="66">
        <v>0.47</v>
      </c>
      <c r="Z138" s="66">
        <v>0.33</v>
      </c>
      <c r="AA138" s="66">
        <v>0.08</v>
      </c>
      <c r="AB138" s="66">
        <v>0.5</v>
      </c>
      <c r="AC138" s="66">
        <v>0.22</v>
      </c>
      <c r="AD138" s="66">
        <v>0.45</v>
      </c>
      <c r="AE138" s="66">
        <v>0.34</v>
      </c>
      <c r="AF138" s="66">
        <v>0.55000000000000004</v>
      </c>
      <c r="AG138" s="66">
        <v>0.56999999999999995</v>
      </c>
      <c r="AH138" s="12">
        <v>55</v>
      </c>
      <c r="AI138" s="12">
        <v>8</v>
      </c>
      <c r="AJ138" s="40">
        <v>7.0000000000000007E-2</v>
      </c>
      <c r="AK138" s="40">
        <v>0.43</v>
      </c>
      <c r="AL138" s="40">
        <v>0.5</v>
      </c>
      <c r="AM138" s="40">
        <v>0</v>
      </c>
      <c r="AN138" s="40">
        <v>0.2</v>
      </c>
      <c r="AO138" s="40">
        <v>0.48</v>
      </c>
      <c r="AP138" s="40">
        <v>0.53</v>
      </c>
      <c r="AQ138" s="40">
        <v>0.3</v>
      </c>
      <c r="AR138" s="40">
        <v>0.56000000000000005</v>
      </c>
      <c r="AS138" s="40">
        <v>0.5</v>
      </c>
      <c r="AT138" s="40">
        <v>0.48</v>
      </c>
      <c r="AU138" s="40">
        <v>0.42</v>
      </c>
      <c r="AV138" s="40">
        <v>0.44</v>
      </c>
      <c r="AW138" s="40">
        <v>0.43</v>
      </c>
      <c r="AX138" s="40">
        <v>0.46</v>
      </c>
      <c r="AY138" s="40">
        <v>0.27</v>
      </c>
      <c r="AZ138" s="40">
        <v>0.28000000000000003</v>
      </c>
      <c r="BA138" s="40">
        <v>0.44</v>
      </c>
      <c r="BB138" s="40">
        <v>0.64</v>
      </c>
      <c r="BC138" s="40">
        <v>0.54</v>
      </c>
      <c r="BD138" s="40">
        <v>0.36</v>
      </c>
      <c r="BE138" s="40">
        <v>0.5</v>
      </c>
      <c r="BF138" s="40">
        <v>0.56000000000000005</v>
      </c>
      <c r="BG138" s="40">
        <v>0.4</v>
      </c>
      <c r="BH138" s="40">
        <v>0.42</v>
      </c>
      <c r="BI138" s="40">
        <v>0.4</v>
      </c>
      <c r="BJ138" s="40">
        <v>0.3</v>
      </c>
      <c r="BK138" s="40">
        <v>0.34</v>
      </c>
      <c r="BL138" s="40">
        <v>0.47</v>
      </c>
      <c r="BM138" s="12">
        <v>54</v>
      </c>
      <c r="BN138" s="12">
        <v>9</v>
      </c>
      <c r="BO138" s="66">
        <v>0.08</v>
      </c>
      <c r="BP138" s="66">
        <v>0.55000000000000004</v>
      </c>
      <c r="BQ138" s="66">
        <v>0.33</v>
      </c>
      <c r="BR138" s="66">
        <v>0.04</v>
      </c>
      <c r="BS138" s="66">
        <v>0.32</v>
      </c>
      <c r="BT138" s="66">
        <v>0.5</v>
      </c>
      <c r="BU138" s="66">
        <v>0.56999999999999995</v>
      </c>
      <c r="BV138" s="66">
        <v>0.12</v>
      </c>
      <c r="BW138" s="66">
        <v>0.54</v>
      </c>
      <c r="BX138" s="66">
        <v>0.25</v>
      </c>
      <c r="BY138" s="66">
        <v>0.49</v>
      </c>
      <c r="BZ138" s="66">
        <v>0.5</v>
      </c>
      <c r="CA138" s="66">
        <v>0.47</v>
      </c>
      <c r="CB138" s="66">
        <v>0.18</v>
      </c>
      <c r="CC138" s="66">
        <v>0.21</v>
      </c>
      <c r="CD138" s="66">
        <v>0.33</v>
      </c>
      <c r="CE138" s="66">
        <v>0.31</v>
      </c>
      <c r="CF138" s="66">
        <v>0.56999999999999995</v>
      </c>
      <c r="CG138" s="66">
        <v>0.53</v>
      </c>
      <c r="CH138" s="66">
        <v>0.44</v>
      </c>
      <c r="CI138" s="66">
        <v>0.55000000000000004</v>
      </c>
      <c r="CJ138" s="66">
        <v>0.32</v>
      </c>
      <c r="CK138" s="66">
        <v>0.56000000000000005</v>
      </c>
      <c r="CL138" s="66">
        <v>0.25</v>
      </c>
      <c r="CM138" s="66">
        <v>0.34</v>
      </c>
      <c r="CN138" s="66">
        <v>0.34</v>
      </c>
      <c r="CO138" s="66">
        <v>0.3</v>
      </c>
      <c r="CP138" s="66">
        <v>0.33</v>
      </c>
      <c r="CQ138" s="66">
        <v>0.53</v>
      </c>
      <c r="CR138" s="66">
        <v>0.52</v>
      </c>
      <c r="CS138" s="12">
        <v>52</v>
      </c>
      <c r="CT138" s="12">
        <v>9</v>
      </c>
      <c r="CU138" s="63">
        <v>0.12</v>
      </c>
      <c r="CV138" s="63">
        <v>0.55000000000000004</v>
      </c>
      <c r="CW138" s="63">
        <v>0.32</v>
      </c>
      <c r="CX138" s="63">
        <v>0.02</v>
      </c>
      <c r="CY138" s="63">
        <v>0.5</v>
      </c>
      <c r="CZ138" s="63">
        <v>0.27</v>
      </c>
      <c r="DA138" s="63">
        <v>0.5</v>
      </c>
      <c r="DB138" s="63">
        <v>0.3</v>
      </c>
      <c r="DC138" s="63">
        <v>0.48</v>
      </c>
      <c r="DD138" s="63">
        <v>0.55000000000000004</v>
      </c>
      <c r="DE138" s="63">
        <v>0.41</v>
      </c>
      <c r="DF138" s="63">
        <v>0.48</v>
      </c>
      <c r="DG138" s="63">
        <v>0.38</v>
      </c>
      <c r="DH138" s="63">
        <v>0.32</v>
      </c>
      <c r="DI138" s="63">
        <v>0.63</v>
      </c>
      <c r="DJ138" s="63">
        <v>0.46</v>
      </c>
      <c r="DK138" s="63">
        <v>0.34</v>
      </c>
      <c r="DL138" s="63">
        <v>0.41</v>
      </c>
      <c r="DM138" s="63">
        <v>0.55000000000000004</v>
      </c>
      <c r="DN138" s="63">
        <v>0.47</v>
      </c>
      <c r="DO138" s="63">
        <v>0.27</v>
      </c>
      <c r="DP138" s="63">
        <v>0.45</v>
      </c>
      <c r="DQ138" s="63">
        <v>0.52</v>
      </c>
      <c r="DR138" s="63">
        <v>0.2</v>
      </c>
      <c r="DS138" s="63">
        <v>0.38</v>
      </c>
      <c r="DT138" s="63">
        <v>0.49</v>
      </c>
      <c r="DU138" s="63">
        <v>0.42</v>
      </c>
      <c r="DV138" s="63">
        <v>0.5</v>
      </c>
      <c r="DW138" s="63">
        <v>0.26</v>
      </c>
      <c r="DX138" s="35">
        <v>52</v>
      </c>
      <c r="DY138" s="35">
        <v>9</v>
      </c>
      <c r="DZ138" s="40">
        <v>0.12</v>
      </c>
      <c r="EA138" s="40">
        <v>0.51</v>
      </c>
      <c r="EB138" s="40">
        <v>0.38</v>
      </c>
      <c r="EC138" s="40">
        <v>0</v>
      </c>
      <c r="ED138" s="40">
        <v>0.47</v>
      </c>
      <c r="EE138" s="40">
        <v>0.48</v>
      </c>
      <c r="EF138" s="40">
        <v>0.35</v>
      </c>
      <c r="EG138" s="40">
        <v>0.35</v>
      </c>
      <c r="EH138" s="40">
        <v>0.43</v>
      </c>
      <c r="EI138" s="40">
        <v>0.43</v>
      </c>
      <c r="EJ138" s="40">
        <v>0.55000000000000004</v>
      </c>
      <c r="EK138" s="40">
        <v>0.3</v>
      </c>
      <c r="EL138" s="40">
        <v>0.43</v>
      </c>
      <c r="EM138" s="40">
        <v>0.64</v>
      </c>
      <c r="EN138" s="40">
        <v>0.36</v>
      </c>
      <c r="EO138" s="40">
        <v>0.47</v>
      </c>
      <c r="EP138" s="40">
        <v>0.36</v>
      </c>
      <c r="EQ138" s="40">
        <v>0.26</v>
      </c>
      <c r="ER138" s="40">
        <v>0.51</v>
      </c>
      <c r="ES138" s="40">
        <v>0.52</v>
      </c>
      <c r="ET138" s="40">
        <v>0.26</v>
      </c>
      <c r="EU138" s="40">
        <v>0.52</v>
      </c>
      <c r="EV138" s="40">
        <v>0.49</v>
      </c>
      <c r="EW138" s="40">
        <v>0.31</v>
      </c>
      <c r="EX138" s="40">
        <v>0.59</v>
      </c>
      <c r="EY138" s="40">
        <v>0.54</v>
      </c>
      <c r="EZ138" s="40">
        <v>0.2</v>
      </c>
      <c r="FA138" s="40">
        <v>0.52</v>
      </c>
      <c r="FB138" s="246">
        <v>52</v>
      </c>
      <c r="FC138" s="246" t="s">
        <v>758</v>
      </c>
      <c r="FD138" s="246">
        <v>8</v>
      </c>
      <c r="FE138" s="246" t="s">
        <v>758</v>
      </c>
      <c r="FF138" s="263">
        <v>0.04</v>
      </c>
      <c r="FG138" s="263">
        <v>0.63</v>
      </c>
      <c r="FH138" s="263">
        <v>0.31</v>
      </c>
      <c r="FI138" s="263">
        <v>0.02</v>
      </c>
      <c r="FJ138" s="263">
        <v>0.37</v>
      </c>
      <c r="FK138" s="263">
        <v>0.6</v>
      </c>
      <c r="FL138" s="263">
        <v>0.44</v>
      </c>
      <c r="FM138" s="263">
        <v>0.37</v>
      </c>
      <c r="FN138" s="263">
        <v>0.18</v>
      </c>
      <c r="FO138" s="263">
        <v>0.3</v>
      </c>
      <c r="FP138" s="263">
        <v>0.34</v>
      </c>
      <c r="FQ138" s="263">
        <v>0.35</v>
      </c>
      <c r="FR138" s="263">
        <v>0.55000000000000004</v>
      </c>
      <c r="FS138" s="263">
        <v>0.56000000000000005</v>
      </c>
      <c r="FT138" s="263">
        <v>0.53</v>
      </c>
      <c r="FU138" s="263">
        <v>0.38</v>
      </c>
      <c r="FV138" s="263">
        <v>0.72</v>
      </c>
      <c r="FW138" s="263">
        <v>0.59</v>
      </c>
      <c r="FX138" s="263">
        <v>0.45</v>
      </c>
      <c r="FY138" s="263">
        <v>0.34</v>
      </c>
      <c r="FZ138" s="263">
        <v>0.45</v>
      </c>
      <c r="GA138" s="263">
        <v>0.43</v>
      </c>
      <c r="GB138" s="263">
        <v>0.66</v>
      </c>
      <c r="GC138" s="263">
        <v>0.38</v>
      </c>
      <c r="GD138" s="263">
        <v>0.55000000000000004</v>
      </c>
      <c r="GE138" s="263">
        <v>0.5</v>
      </c>
      <c r="GF138" s="263">
        <v>0.39</v>
      </c>
      <c r="GG138" s="263">
        <v>0.41</v>
      </c>
      <c r="GH138" s="263">
        <v>0.44</v>
      </c>
      <c r="GI138" s="263">
        <v>0.28999999999999998</v>
      </c>
      <c r="GJ138" s="309">
        <v>54</v>
      </c>
      <c r="GK138" s="309" t="s">
        <v>758</v>
      </c>
      <c r="GL138" s="309">
        <v>9</v>
      </c>
      <c r="GM138" s="309" t="s">
        <v>758</v>
      </c>
      <c r="GN138" s="327">
        <v>0.06</v>
      </c>
      <c r="GO138" s="327">
        <v>0.53</v>
      </c>
      <c r="GP138" s="327">
        <v>0.39</v>
      </c>
      <c r="GQ138" s="327">
        <v>0.02</v>
      </c>
      <c r="GR138" s="327">
        <v>0.38</v>
      </c>
      <c r="GS138" s="327">
        <v>0.53</v>
      </c>
      <c r="GT138" s="327">
        <v>0.49</v>
      </c>
      <c r="GU138" s="327">
        <v>0.14000000000000001</v>
      </c>
      <c r="GV138" s="327">
        <v>0.5</v>
      </c>
      <c r="GW138" s="327">
        <v>0.45</v>
      </c>
      <c r="GX138" s="327">
        <v>0.39</v>
      </c>
      <c r="GY138" s="309" t="s">
        <v>173</v>
      </c>
      <c r="GZ138" s="327">
        <v>0.17</v>
      </c>
      <c r="HA138" s="327">
        <v>0.53</v>
      </c>
      <c r="HB138" s="327">
        <v>0.39</v>
      </c>
      <c r="HC138" s="327">
        <v>0.39</v>
      </c>
      <c r="HD138" s="327">
        <v>0.55000000000000004</v>
      </c>
      <c r="HE138" s="327">
        <v>0.43</v>
      </c>
      <c r="HF138" s="327">
        <v>0.45</v>
      </c>
      <c r="HG138" s="327">
        <v>0.66</v>
      </c>
      <c r="HH138" s="327">
        <v>0.34</v>
      </c>
      <c r="HI138" s="327">
        <v>0.45</v>
      </c>
      <c r="HJ138" s="327">
        <v>0.51</v>
      </c>
      <c r="HK138" s="327">
        <v>0.43</v>
      </c>
      <c r="HL138" s="327">
        <v>0.39</v>
      </c>
      <c r="HM138" s="327">
        <v>0.41</v>
      </c>
      <c r="HN138" s="327">
        <v>0.45</v>
      </c>
      <c r="HO138" s="327">
        <v>0.37</v>
      </c>
      <c r="HP138" s="309" t="s">
        <v>173</v>
      </c>
      <c r="HQ138" s="327">
        <v>0.31</v>
      </c>
      <c r="HR138" s="424">
        <v>54</v>
      </c>
      <c r="HS138" s="424" t="s">
        <v>758</v>
      </c>
      <c r="HT138" s="424">
        <v>10</v>
      </c>
      <c r="HU138" s="424" t="s">
        <v>758</v>
      </c>
      <c r="HV138" s="428">
        <v>0.15</v>
      </c>
      <c r="HW138" s="428">
        <v>0.37</v>
      </c>
      <c r="HX138" s="428">
        <v>0.49</v>
      </c>
      <c r="HY138" s="428">
        <v>0</v>
      </c>
      <c r="HZ138" s="428">
        <v>0.31</v>
      </c>
      <c r="IA138" s="428">
        <v>0.45</v>
      </c>
      <c r="IB138" s="428">
        <v>0.35</v>
      </c>
      <c r="IC138" s="428">
        <v>0.41</v>
      </c>
      <c r="ID138" s="428">
        <v>0.6</v>
      </c>
      <c r="IE138" s="428">
        <v>0.27</v>
      </c>
      <c r="IF138" s="428">
        <v>0.31</v>
      </c>
      <c r="IG138" s="428">
        <v>0.51</v>
      </c>
      <c r="IH138" s="428">
        <v>0.46</v>
      </c>
      <c r="II138" s="428">
        <v>0.25</v>
      </c>
      <c r="IJ138" s="428">
        <v>0.24</v>
      </c>
      <c r="IK138" s="428">
        <v>0.56000000000000005</v>
      </c>
      <c r="IL138" s="428">
        <v>0.28999999999999998</v>
      </c>
      <c r="IM138" s="428">
        <v>0.53</v>
      </c>
      <c r="IN138" s="428">
        <v>0.39</v>
      </c>
      <c r="IO138" s="428">
        <v>0.49</v>
      </c>
      <c r="IP138" s="428">
        <v>0.48</v>
      </c>
      <c r="IQ138" s="428">
        <v>0.59</v>
      </c>
      <c r="IR138" s="428">
        <v>0.59</v>
      </c>
      <c r="IS138" s="428">
        <v>0.47</v>
      </c>
      <c r="IT138" s="428">
        <v>0.34</v>
      </c>
      <c r="IU138" s="424" t="s">
        <v>173</v>
      </c>
      <c r="IV138" s="428">
        <v>0.61</v>
      </c>
      <c r="IW138" s="428">
        <v>0.4</v>
      </c>
      <c r="IX138" s="428">
        <v>0.45</v>
      </c>
      <c r="IY138" s="428">
        <v>0.48</v>
      </c>
      <c r="IZ138" s="464">
        <v>56</v>
      </c>
      <c r="JA138" s="464" t="s">
        <v>758</v>
      </c>
      <c r="JB138" s="464">
        <v>8</v>
      </c>
      <c r="JC138" s="464" t="s">
        <v>758</v>
      </c>
      <c r="JD138" s="476">
        <v>0.02</v>
      </c>
      <c r="JE138" s="476">
        <v>0.47</v>
      </c>
      <c r="JF138" s="476">
        <v>0.47</v>
      </c>
      <c r="JG138" s="476">
        <v>0.05</v>
      </c>
      <c r="JH138" s="476">
        <v>0.41</v>
      </c>
      <c r="JI138" s="476">
        <v>0.38</v>
      </c>
      <c r="JJ138" s="476">
        <v>0.33</v>
      </c>
      <c r="JK138" s="476">
        <v>0.43</v>
      </c>
      <c r="JL138" s="476">
        <v>0.41</v>
      </c>
      <c r="JM138" s="476">
        <v>0.35</v>
      </c>
      <c r="JN138" s="476">
        <v>0.28000000000000003</v>
      </c>
      <c r="JO138" s="476">
        <v>0.39</v>
      </c>
      <c r="JP138" s="476">
        <v>0.48</v>
      </c>
      <c r="JQ138" s="476">
        <v>0.14000000000000001</v>
      </c>
      <c r="JR138" s="476">
        <v>0.57999999999999996</v>
      </c>
      <c r="JS138" s="476">
        <v>0.57999999999999996</v>
      </c>
      <c r="JT138" s="476">
        <v>0.38</v>
      </c>
      <c r="JU138" s="476">
        <v>0.4</v>
      </c>
      <c r="JV138" s="476">
        <v>0.38</v>
      </c>
      <c r="JW138" s="476">
        <v>0.46</v>
      </c>
      <c r="JX138" s="476">
        <v>0.31</v>
      </c>
      <c r="JY138" s="476">
        <v>0.39</v>
      </c>
      <c r="JZ138" s="476">
        <v>0.44</v>
      </c>
      <c r="KA138" s="476">
        <v>0.59</v>
      </c>
      <c r="KB138" s="476">
        <v>0.27</v>
      </c>
      <c r="KC138" s="476">
        <v>0.59</v>
      </c>
      <c r="KD138" s="476">
        <v>0.31</v>
      </c>
      <c r="KE138" s="476">
        <v>0.52</v>
      </c>
      <c r="KF138" s="476">
        <v>0.35</v>
      </c>
      <c r="KG138" s="476">
        <v>0.4</v>
      </c>
      <c r="KH138" s="971">
        <v>57</v>
      </c>
      <c r="KI138" s="971" t="s">
        <v>758</v>
      </c>
      <c r="KJ138" s="971">
        <v>9</v>
      </c>
      <c r="KK138" s="971" t="s">
        <v>758</v>
      </c>
      <c r="KL138" s="949">
        <v>0.05</v>
      </c>
      <c r="KM138" s="949">
        <v>0.36</v>
      </c>
      <c r="KN138" s="949">
        <v>0.54</v>
      </c>
      <c r="KO138" s="949">
        <v>0.05</v>
      </c>
      <c r="KP138" s="949">
        <v>0.35</v>
      </c>
      <c r="KQ138" s="949">
        <v>0.17</v>
      </c>
      <c r="KR138" s="949">
        <v>0.56999999999999995</v>
      </c>
      <c r="KS138" s="949">
        <v>0.32</v>
      </c>
      <c r="KT138" s="949">
        <v>0.45</v>
      </c>
      <c r="KU138" s="949">
        <v>0.27</v>
      </c>
      <c r="KV138" s="949">
        <v>0.43</v>
      </c>
      <c r="KW138" s="949">
        <v>0.27</v>
      </c>
      <c r="KX138" s="949">
        <v>0.3</v>
      </c>
      <c r="KY138" s="949">
        <v>0.45</v>
      </c>
      <c r="KZ138" s="949">
        <v>0.22</v>
      </c>
      <c r="LA138" s="949">
        <v>0.38</v>
      </c>
      <c r="LB138" s="949">
        <v>0.35</v>
      </c>
      <c r="LC138" s="949">
        <v>0.26</v>
      </c>
      <c r="LD138" s="949">
        <v>0.45</v>
      </c>
      <c r="LE138" s="949">
        <v>0.46</v>
      </c>
      <c r="LF138" s="949">
        <v>0.25</v>
      </c>
      <c r="LG138" s="949">
        <v>0.33</v>
      </c>
      <c r="LH138" s="949">
        <v>0.48</v>
      </c>
      <c r="LI138" s="949">
        <v>0.4</v>
      </c>
      <c r="LJ138" s="949">
        <v>0.37</v>
      </c>
      <c r="LK138" s="949">
        <v>0.52</v>
      </c>
      <c r="LL138" s="949" t="s">
        <v>173</v>
      </c>
      <c r="LM138" s="949">
        <v>0.44</v>
      </c>
      <c r="LN138" s="949">
        <v>0.63</v>
      </c>
      <c r="LO138" s="949">
        <v>0.41</v>
      </c>
      <c r="LP138" s="922">
        <v>325754003592</v>
      </c>
      <c r="LQ138" s="803" t="s">
        <v>35</v>
      </c>
      <c r="LR138" s="424">
        <v>54</v>
      </c>
      <c r="LS138" s="971">
        <v>57</v>
      </c>
      <c r="LT138" s="946"/>
    </row>
    <row r="139" spans="1:332" ht="24.95" customHeight="1" x14ac:dyDescent="0.2">
      <c r="A139" s="803" t="s">
        <v>29</v>
      </c>
      <c r="B139" s="1" t="s">
        <v>123</v>
      </c>
      <c r="C139" s="2">
        <v>2</v>
      </c>
      <c r="D139" s="12">
        <v>52</v>
      </c>
      <c r="E139" s="12">
        <v>7</v>
      </c>
      <c r="F139" s="66">
        <v>0.06</v>
      </c>
      <c r="G139" s="66">
        <v>0.62</v>
      </c>
      <c r="H139" s="66">
        <v>0.32</v>
      </c>
      <c r="I139" s="66">
        <v>0</v>
      </c>
      <c r="J139" s="66">
        <v>0.43</v>
      </c>
      <c r="K139" s="66">
        <v>0.37</v>
      </c>
      <c r="L139" s="66">
        <v>0.82</v>
      </c>
      <c r="M139" s="66">
        <v>0.11</v>
      </c>
      <c r="N139" s="66">
        <v>0.33</v>
      </c>
      <c r="O139" s="66">
        <v>0.73</v>
      </c>
      <c r="P139" s="66">
        <v>0.39</v>
      </c>
      <c r="Q139" s="66">
        <v>0.41</v>
      </c>
      <c r="R139" s="66">
        <v>0.56999999999999995</v>
      </c>
      <c r="S139" s="66">
        <v>0.56000000000000005</v>
      </c>
      <c r="T139" s="66">
        <v>0.57999999999999996</v>
      </c>
      <c r="U139" s="66">
        <v>0.63</v>
      </c>
      <c r="V139" s="66">
        <v>0.14000000000000001</v>
      </c>
      <c r="W139" s="66">
        <v>0.27</v>
      </c>
      <c r="X139" s="66">
        <v>0.53</v>
      </c>
      <c r="Y139" s="66">
        <v>0.55000000000000004</v>
      </c>
      <c r="Z139" s="12" t="s">
        <v>173</v>
      </c>
      <c r="AA139" s="66">
        <v>0.08</v>
      </c>
      <c r="AB139" s="66">
        <v>0.51</v>
      </c>
      <c r="AC139" s="66">
        <v>0.3</v>
      </c>
      <c r="AD139" s="66">
        <v>0.5</v>
      </c>
      <c r="AE139" s="66">
        <v>0.4</v>
      </c>
      <c r="AF139" s="66">
        <v>0.45</v>
      </c>
      <c r="AG139" s="66">
        <v>0.61</v>
      </c>
      <c r="AH139" s="12">
        <v>51</v>
      </c>
      <c r="AI139" s="12">
        <v>8</v>
      </c>
      <c r="AJ139" s="40">
        <v>0.13</v>
      </c>
      <c r="AK139" s="40">
        <v>0.53</v>
      </c>
      <c r="AL139" s="40">
        <v>0.34</v>
      </c>
      <c r="AM139" s="40">
        <v>0</v>
      </c>
      <c r="AN139" s="40">
        <v>0.34</v>
      </c>
      <c r="AO139" s="40">
        <v>0.42</v>
      </c>
      <c r="AP139" s="40">
        <v>0.56000000000000005</v>
      </c>
      <c r="AQ139" s="40">
        <v>0.38</v>
      </c>
      <c r="AR139" s="40">
        <v>0.61</v>
      </c>
      <c r="AS139" s="40">
        <v>0.49</v>
      </c>
      <c r="AT139" s="40">
        <v>0.51</v>
      </c>
      <c r="AU139" s="40">
        <v>0.61</v>
      </c>
      <c r="AV139" s="40">
        <v>0.63</v>
      </c>
      <c r="AW139" s="40">
        <v>0.42</v>
      </c>
      <c r="AX139" s="40">
        <v>0.67</v>
      </c>
      <c r="AY139" s="40">
        <v>0.32</v>
      </c>
      <c r="AZ139" s="40">
        <v>0.3</v>
      </c>
      <c r="BA139" s="40">
        <v>0.51</v>
      </c>
      <c r="BB139" s="40">
        <v>0.65</v>
      </c>
      <c r="BC139" s="40">
        <v>0.67</v>
      </c>
      <c r="BD139" s="40">
        <v>0.4</v>
      </c>
      <c r="BE139" s="40">
        <v>0.55000000000000004</v>
      </c>
      <c r="BF139" s="40">
        <v>0.67</v>
      </c>
      <c r="BG139" s="40">
        <v>0.5</v>
      </c>
      <c r="BH139" s="40">
        <v>0.47</v>
      </c>
      <c r="BI139" s="40">
        <v>0.39</v>
      </c>
      <c r="BJ139" s="40">
        <v>0.39</v>
      </c>
      <c r="BK139" s="40">
        <v>0.42</v>
      </c>
      <c r="BL139" s="40">
        <v>0.55000000000000004</v>
      </c>
      <c r="BM139" s="12">
        <v>49</v>
      </c>
      <c r="BN139" s="12">
        <v>7</v>
      </c>
      <c r="BO139" s="66">
        <v>0.11</v>
      </c>
      <c r="BP139" s="66">
        <v>0.7</v>
      </c>
      <c r="BQ139" s="66">
        <v>0.18</v>
      </c>
      <c r="BR139" s="66">
        <v>0</v>
      </c>
      <c r="BS139" s="66">
        <v>0.37</v>
      </c>
      <c r="BT139" s="66">
        <v>0.76</v>
      </c>
      <c r="BU139" s="66">
        <v>0.7</v>
      </c>
      <c r="BV139" s="66">
        <v>0.52</v>
      </c>
      <c r="BW139" s="66">
        <v>0.75</v>
      </c>
      <c r="BX139" s="66">
        <v>0.38</v>
      </c>
      <c r="BY139" s="66">
        <v>0.43</v>
      </c>
      <c r="BZ139" s="66">
        <v>0.59</v>
      </c>
      <c r="CA139" s="66">
        <v>0.52</v>
      </c>
      <c r="CB139" s="66">
        <v>0.41</v>
      </c>
      <c r="CC139" s="66">
        <v>0.12</v>
      </c>
      <c r="CD139" s="66">
        <v>0.47</v>
      </c>
      <c r="CE139" s="66">
        <v>0.48</v>
      </c>
      <c r="CF139" s="66">
        <v>0.6</v>
      </c>
      <c r="CG139" s="66">
        <v>0.52</v>
      </c>
      <c r="CH139" s="66">
        <v>0.39</v>
      </c>
      <c r="CI139" s="66">
        <v>0.56999999999999995</v>
      </c>
      <c r="CJ139" s="66">
        <v>0.45</v>
      </c>
      <c r="CK139" s="66">
        <v>0.65</v>
      </c>
      <c r="CL139" s="66">
        <v>0.31</v>
      </c>
      <c r="CM139" s="66">
        <v>0.51</v>
      </c>
      <c r="CN139" s="66">
        <v>0.56000000000000005</v>
      </c>
      <c r="CO139" s="66">
        <v>0.49</v>
      </c>
      <c r="CP139" s="66">
        <v>0.33</v>
      </c>
      <c r="CQ139" s="66">
        <v>0.63</v>
      </c>
      <c r="CR139" s="66">
        <v>0.55000000000000004</v>
      </c>
      <c r="CS139" s="12">
        <v>49</v>
      </c>
      <c r="CT139" s="12">
        <v>9</v>
      </c>
      <c r="CU139" s="63">
        <v>0.16</v>
      </c>
      <c r="CV139" s="63">
        <v>0.64</v>
      </c>
      <c r="CW139" s="63">
        <v>0.19</v>
      </c>
      <c r="CX139" s="63">
        <v>0</v>
      </c>
      <c r="CY139" s="63">
        <v>0.55000000000000004</v>
      </c>
      <c r="CZ139" s="63">
        <v>0.31</v>
      </c>
      <c r="DA139" s="63">
        <v>0.56000000000000005</v>
      </c>
      <c r="DB139" s="63">
        <v>0.36</v>
      </c>
      <c r="DC139" s="63">
        <v>0.45</v>
      </c>
      <c r="DD139" s="63">
        <v>0.61</v>
      </c>
      <c r="DE139" s="63">
        <v>0.46</v>
      </c>
      <c r="DF139" s="63">
        <v>0.54</v>
      </c>
      <c r="DG139" s="63">
        <v>0.43</v>
      </c>
      <c r="DH139" s="63">
        <v>0.39</v>
      </c>
      <c r="DI139" s="63">
        <v>0.5</v>
      </c>
      <c r="DJ139" s="63">
        <v>0.6</v>
      </c>
      <c r="DK139" s="63">
        <v>0.36</v>
      </c>
      <c r="DL139" s="63">
        <v>0.34</v>
      </c>
      <c r="DM139" s="63">
        <v>0.55000000000000004</v>
      </c>
      <c r="DN139" s="63">
        <v>0.54</v>
      </c>
      <c r="DO139" s="63">
        <v>0.56000000000000005</v>
      </c>
      <c r="DP139" s="63">
        <v>0.44</v>
      </c>
      <c r="DQ139" s="63">
        <v>0.61</v>
      </c>
      <c r="DR139" s="63">
        <v>0.23</v>
      </c>
      <c r="DS139" s="63">
        <v>0.38</v>
      </c>
      <c r="DT139" s="63">
        <v>0.53</v>
      </c>
      <c r="DU139" s="63">
        <v>0.53</v>
      </c>
      <c r="DV139" s="63">
        <v>0.62</v>
      </c>
      <c r="DW139" s="63">
        <v>0.33</v>
      </c>
      <c r="DX139" s="35">
        <v>50</v>
      </c>
      <c r="DY139" s="35">
        <v>8</v>
      </c>
      <c r="DZ139" s="40">
        <v>0.18</v>
      </c>
      <c r="EA139" s="40">
        <v>0.56999999999999995</v>
      </c>
      <c r="EB139" s="40">
        <v>0.24</v>
      </c>
      <c r="EC139" s="40">
        <v>0</v>
      </c>
      <c r="ED139" s="40">
        <v>0.41</v>
      </c>
      <c r="EE139" s="40">
        <v>0.48</v>
      </c>
      <c r="EF139" s="40">
        <v>0.56000000000000005</v>
      </c>
      <c r="EG139" s="40">
        <v>0.28999999999999998</v>
      </c>
      <c r="EH139" s="40">
        <v>0.42</v>
      </c>
      <c r="EI139" s="40">
        <v>0.54</v>
      </c>
      <c r="EJ139" s="40">
        <v>0.59</v>
      </c>
      <c r="EK139" s="40">
        <v>0.34</v>
      </c>
      <c r="EL139" s="40">
        <v>0.48</v>
      </c>
      <c r="EM139" s="40">
        <v>0.71</v>
      </c>
      <c r="EN139" s="40">
        <v>0.47</v>
      </c>
      <c r="EO139" s="40">
        <v>0.61</v>
      </c>
      <c r="EP139" s="40">
        <v>0.42</v>
      </c>
      <c r="EQ139" s="40">
        <v>0.24</v>
      </c>
      <c r="ER139" s="40">
        <v>0.64</v>
      </c>
      <c r="ES139" s="40">
        <v>0.43</v>
      </c>
      <c r="ET139" s="40">
        <v>0.34</v>
      </c>
      <c r="EU139" s="40">
        <v>0.64</v>
      </c>
      <c r="EV139" s="40">
        <v>0.33</v>
      </c>
      <c r="EW139" s="40">
        <v>0.38</v>
      </c>
      <c r="EX139" s="40">
        <v>0.75</v>
      </c>
      <c r="EY139" s="40">
        <v>0.56000000000000005</v>
      </c>
      <c r="EZ139" s="40">
        <v>0.35</v>
      </c>
      <c r="FA139" s="40">
        <v>0.66</v>
      </c>
      <c r="FB139" s="246">
        <v>49</v>
      </c>
      <c r="FC139" s="246" t="s">
        <v>758</v>
      </c>
      <c r="FD139" s="246">
        <v>8</v>
      </c>
      <c r="FE139" s="246" t="s">
        <v>758</v>
      </c>
      <c r="FF139" s="263">
        <v>0.12</v>
      </c>
      <c r="FG139" s="263">
        <v>0.65</v>
      </c>
      <c r="FH139" s="263">
        <v>0.22</v>
      </c>
      <c r="FI139" s="263">
        <v>0</v>
      </c>
      <c r="FJ139" s="263">
        <v>0.45</v>
      </c>
      <c r="FK139" s="263">
        <v>0.72</v>
      </c>
      <c r="FL139" s="263">
        <v>0.55000000000000004</v>
      </c>
      <c r="FM139" s="263">
        <v>0.28999999999999998</v>
      </c>
      <c r="FN139" s="263">
        <v>0.28000000000000003</v>
      </c>
      <c r="FO139" s="263">
        <v>0.31</v>
      </c>
      <c r="FP139" s="263">
        <v>0.46</v>
      </c>
      <c r="FQ139" s="263">
        <v>0.39</v>
      </c>
      <c r="FR139" s="263">
        <v>0.65</v>
      </c>
      <c r="FS139" s="263">
        <v>0.57999999999999996</v>
      </c>
      <c r="FT139" s="263">
        <v>0.46</v>
      </c>
      <c r="FU139" s="263">
        <v>0.26</v>
      </c>
      <c r="FV139" s="263">
        <v>0.68</v>
      </c>
      <c r="FW139" s="263">
        <v>0.61</v>
      </c>
      <c r="FX139" s="263">
        <v>0.56000000000000005</v>
      </c>
      <c r="FY139" s="263">
        <v>0.4</v>
      </c>
      <c r="FZ139" s="263">
        <v>0.47</v>
      </c>
      <c r="GA139" s="263">
        <v>0.55000000000000004</v>
      </c>
      <c r="GB139" s="263">
        <v>0.59</v>
      </c>
      <c r="GC139" s="263">
        <v>0.48</v>
      </c>
      <c r="GD139" s="263">
        <v>0.64</v>
      </c>
      <c r="GE139" s="263">
        <v>0.54</v>
      </c>
      <c r="GF139" s="263">
        <v>0.46</v>
      </c>
      <c r="GG139" s="263">
        <v>0.39</v>
      </c>
      <c r="GH139" s="263">
        <v>0.62</v>
      </c>
      <c r="GI139" s="263">
        <v>0.32</v>
      </c>
      <c r="GJ139" s="309">
        <v>48</v>
      </c>
      <c r="GK139" s="309" t="s">
        <v>758</v>
      </c>
      <c r="GL139" s="309">
        <v>8</v>
      </c>
      <c r="GM139" s="309" t="s">
        <v>758</v>
      </c>
      <c r="GN139" s="327">
        <v>0.19</v>
      </c>
      <c r="GO139" s="327">
        <v>0.63</v>
      </c>
      <c r="GP139" s="327">
        <v>0.17</v>
      </c>
      <c r="GQ139" s="327">
        <v>0.01</v>
      </c>
      <c r="GR139" s="327">
        <v>0.52</v>
      </c>
      <c r="GS139" s="327">
        <v>0.49</v>
      </c>
      <c r="GT139" s="327">
        <v>0.68</v>
      </c>
      <c r="GU139" s="327">
        <v>0.28999999999999998</v>
      </c>
      <c r="GV139" s="327">
        <v>0.57999999999999996</v>
      </c>
      <c r="GW139" s="327">
        <v>0.42</v>
      </c>
      <c r="GX139" s="327">
        <v>0.56000000000000005</v>
      </c>
      <c r="GY139" s="309" t="s">
        <v>173</v>
      </c>
      <c r="GZ139" s="327">
        <v>0.35</v>
      </c>
      <c r="HA139" s="327">
        <v>0.67</v>
      </c>
      <c r="HB139" s="327">
        <v>0.52</v>
      </c>
      <c r="HC139" s="327">
        <v>0.56000000000000005</v>
      </c>
      <c r="HD139" s="327">
        <v>0.62</v>
      </c>
      <c r="HE139" s="327">
        <v>0.53</v>
      </c>
      <c r="HF139" s="327">
        <v>0.52</v>
      </c>
      <c r="HG139" s="327">
        <v>0.65</v>
      </c>
      <c r="HH139" s="327">
        <v>0.43</v>
      </c>
      <c r="HI139" s="327">
        <v>0.6</v>
      </c>
      <c r="HJ139" s="327">
        <v>0.62</v>
      </c>
      <c r="HK139" s="327">
        <v>0.56000000000000005</v>
      </c>
      <c r="HL139" s="327">
        <v>0.56999999999999995</v>
      </c>
      <c r="HM139" s="327">
        <v>0.53</v>
      </c>
      <c r="HN139" s="327">
        <v>0.53</v>
      </c>
      <c r="HO139" s="327">
        <v>0.56000000000000005</v>
      </c>
      <c r="HP139" s="309" t="s">
        <v>173</v>
      </c>
      <c r="HQ139" s="327">
        <v>0.46</v>
      </c>
      <c r="HR139" s="424">
        <v>52</v>
      </c>
      <c r="HS139" s="424" t="s">
        <v>758</v>
      </c>
      <c r="HT139" s="424">
        <v>8</v>
      </c>
      <c r="HU139" s="424" t="s">
        <v>758</v>
      </c>
      <c r="HV139" s="428">
        <v>0.08</v>
      </c>
      <c r="HW139" s="428">
        <v>0.61</v>
      </c>
      <c r="HX139" s="428">
        <v>0.31</v>
      </c>
      <c r="HY139" s="428">
        <v>0</v>
      </c>
      <c r="HZ139" s="428">
        <v>0.35</v>
      </c>
      <c r="IA139" s="428">
        <v>0.54</v>
      </c>
      <c r="IB139" s="428">
        <v>0.37</v>
      </c>
      <c r="IC139" s="428">
        <v>0.5</v>
      </c>
      <c r="ID139" s="428">
        <v>0.64</v>
      </c>
      <c r="IE139" s="428">
        <v>0.27</v>
      </c>
      <c r="IF139" s="428">
        <v>0.41</v>
      </c>
      <c r="IG139" s="428">
        <v>0.6</v>
      </c>
      <c r="IH139" s="428">
        <v>0.5</v>
      </c>
      <c r="II139" s="428">
        <v>0.17</v>
      </c>
      <c r="IJ139" s="428">
        <v>0.25</v>
      </c>
      <c r="IK139" s="428">
        <v>0.57999999999999996</v>
      </c>
      <c r="IL139" s="428">
        <v>0.31</v>
      </c>
      <c r="IM139" s="428">
        <v>0.54</v>
      </c>
      <c r="IN139" s="428">
        <v>0.38</v>
      </c>
      <c r="IO139" s="428">
        <v>0.53</v>
      </c>
      <c r="IP139" s="428">
        <v>0.38</v>
      </c>
      <c r="IQ139" s="428">
        <v>0.64</v>
      </c>
      <c r="IR139" s="428">
        <v>0.53</v>
      </c>
      <c r="IS139" s="428">
        <v>0.47</v>
      </c>
      <c r="IT139" s="428">
        <v>0.38</v>
      </c>
      <c r="IU139" s="424" t="s">
        <v>173</v>
      </c>
      <c r="IV139" s="428">
        <v>0.67</v>
      </c>
      <c r="IW139" s="428">
        <v>0.47</v>
      </c>
      <c r="IX139" s="428">
        <v>0.56999999999999995</v>
      </c>
      <c r="IY139" s="428">
        <v>0.54</v>
      </c>
      <c r="IZ139" s="464">
        <v>53</v>
      </c>
      <c r="JA139" s="464" t="s">
        <v>758</v>
      </c>
      <c r="JB139" s="464">
        <v>8</v>
      </c>
      <c r="JC139" s="464" t="s">
        <v>758</v>
      </c>
      <c r="JD139" s="476">
        <v>0.06</v>
      </c>
      <c r="JE139" s="476">
        <v>0.5</v>
      </c>
      <c r="JF139" s="476">
        <v>0.41</v>
      </c>
      <c r="JG139" s="476">
        <v>0.03</v>
      </c>
      <c r="JH139" s="476">
        <v>0.53</v>
      </c>
      <c r="JI139" s="476">
        <v>0.48</v>
      </c>
      <c r="JJ139" s="476">
        <v>0.39</v>
      </c>
      <c r="JK139" s="476">
        <v>0.4</v>
      </c>
      <c r="JL139" s="476">
        <v>0.47</v>
      </c>
      <c r="JM139" s="476">
        <v>0.42</v>
      </c>
      <c r="JN139" s="476">
        <v>0.38</v>
      </c>
      <c r="JO139" s="476">
        <v>0.4</v>
      </c>
      <c r="JP139" s="476">
        <v>0.62</v>
      </c>
      <c r="JQ139" s="476">
        <v>0.22</v>
      </c>
      <c r="JR139" s="476">
        <v>0.53</v>
      </c>
      <c r="JS139" s="476">
        <v>0.5</v>
      </c>
      <c r="JT139" s="476">
        <v>0.52</v>
      </c>
      <c r="JU139" s="476">
        <v>0.5</v>
      </c>
      <c r="JV139" s="476">
        <v>0.43</v>
      </c>
      <c r="JW139" s="476">
        <v>0.44</v>
      </c>
      <c r="JX139" s="476">
        <v>0.37</v>
      </c>
      <c r="JY139" s="476">
        <v>0.45</v>
      </c>
      <c r="JZ139" s="476">
        <v>0.41</v>
      </c>
      <c r="KA139" s="476">
        <v>0.42</v>
      </c>
      <c r="KB139" s="476">
        <v>0.44</v>
      </c>
      <c r="KC139" s="476">
        <v>0.66</v>
      </c>
      <c r="KD139" s="476">
        <v>0.31</v>
      </c>
      <c r="KE139" s="476">
        <v>0.38</v>
      </c>
      <c r="KF139" s="476">
        <v>0.47</v>
      </c>
      <c r="KG139" s="476">
        <v>0.43</v>
      </c>
      <c r="KH139" s="971">
        <v>56</v>
      </c>
      <c r="KI139" s="971" t="s">
        <v>758</v>
      </c>
      <c r="KJ139" s="971">
        <v>10</v>
      </c>
      <c r="KK139" s="971" t="s">
        <v>758</v>
      </c>
      <c r="KL139" s="949">
        <v>0.09</v>
      </c>
      <c r="KM139" s="949">
        <v>0.37</v>
      </c>
      <c r="KN139" s="949">
        <v>0.48</v>
      </c>
      <c r="KO139" s="949">
        <v>7.0000000000000007E-2</v>
      </c>
      <c r="KP139" s="949">
        <v>0.48</v>
      </c>
      <c r="KQ139" s="949">
        <v>0.17</v>
      </c>
      <c r="KR139" s="949">
        <v>0.5</v>
      </c>
      <c r="KS139" s="949">
        <v>0.42</v>
      </c>
      <c r="KT139" s="949">
        <v>0.42</v>
      </c>
      <c r="KU139" s="949">
        <v>0.26</v>
      </c>
      <c r="KV139" s="949">
        <v>0.51</v>
      </c>
      <c r="KW139" s="949">
        <v>0.28999999999999998</v>
      </c>
      <c r="KX139" s="949">
        <v>0.35</v>
      </c>
      <c r="KY139" s="949">
        <v>0.4</v>
      </c>
      <c r="KZ139" s="949">
        <v>0.28000000000000003</v>
      </c>
      <c r="LA139" s="949">
        <v>0.36</v>
      </c>
      <c r="LB139" s="949">
        <v>0.42</v>
      </c>
      <c r="LC139" s="949">
        <v>0.34</v>
      </c>
      <c r="LD139" s="949">
        <v>0.47</v>
      </c>
      <c r="LE139" s="949">
        <v>0.43</v>
      </c>
      <c r="LF139" s="949">
        <v>0.23</v>
      </c>
      <c r="LG139" s="949">
        <v>0.28000000000000003</v>
      </c>
      <c r="LH139" s="949">
        <v>0.48</v>
      </c>
      <c r="LI139" s="949">
        <v>0.49</v>
      </c>
      <c r="LJ139" s="949">
        <v>0.34</v>
      </c>
      <c r="LK139" s="949">
        <v>0.48</v>
      </c>
      <c r="LL139" s="949" t="s">
        <v>173</v>
      </c>
      <c r="LM139" s="949">
        <v>0.48</v>
      </c>
      <c r="LN139" s="949">
        <v>0.67</v>
      </c>
      <c r="LO139" s="949">
        <v>0.32</v>
      </c>
      <c r="LP139" s="922">
        <v>325754003606</v>
      </c>
      <c r="LQ139" s="803" t="s">
        <v>29</v>
      </c>
      <c r="LR139" s="424">
        <v>52</v>
      </c>
      <c r="LS139" s="971">
        <v>56</v>
      </c>
      <c r="LT139" s="946"/>
    </row>
    <row r="140" spans="1:332" ht="24.95" customHeight="1" x14ac:dyDescent="0.2">
      <c r="A140" s="803" t="s">
        <v>129</v>
      </c>
      <c r="B140" s="1" t="s">
        <v>123</v>
      </c>
      <c r="C140" s="2">
        <v>2</v>
      </c>
      <c r="D140" s="12"/>
      <c r="E140" s="12"/>
      <c r="F140" s="12"/>
      <c r="G140" s="12"/>
      <c r="H140" s="12"/>
      <c r="I140" s="12"/>
      <c r="J140" s="12"/>
      <c r="K140" s="12"/>
      <c r="L140" s="12"/>
      <c r="M140" s="12"/>
      <c r="N140" s="12"/>
      <c r="O140" s="12"/>
      <c r="P140" s="12"/>
      <c r="Q140" s="12"/>
      <c r="R140" s="12"/>
      <c r="S140" s="12"/>
      <c r="T140" s="12"/>
      <c r="U140" s="12"/>
      <c r="V140" s="12"/>
      <c r="W140" s="12"/>
      <c r="X140" s="12"/>
      <c r="Y140" s="12"/>
      <c r="Z140" s="12"/>
      <c r="AA140" s="12"/>
      <c r="AB140" s="12"/>
      <c r="AC140" s="12"/>
      <c r="AD140" s="12"/>
      <c r="AE140" s="12"/>
      <c r="AF140" s="12"/>
      <c r="AG140" s="12"/>
      <c r="AH140" s="12">
        <v>43</v>
      </c>
      <c r="AI140" s="12">
        <v>8</v>
      </c>
      <c r="AJ140" s="40">
        <v>0.33</v>
      </c>
      <c r="AK140" s="40">
        <v>0.61</v>
      </c>
      <c r="AL140" s="40">
        <v>0.06</v>
      </c>
      <c r="AM140" s="40">
        <v>0</v>
      </c>
      <c r="AN140" s="40">
        <v>0.59</v>
      </c>
      <c r="AO140" s="40">
        <v>0.5</v>
      </c>
      <c r="AP140" s="40">
        <v>0.67</v>
      </c>
      <c r="AQ140" s="40">
        <v>0.57999999999999996</v>
      </c>
      <c r="AR140" s="40">
        <v>0.65</v>
      </c>
      <c r="AS140" s="40">
        <v>0.75</v>
      </c>
      <c r="AT140" s="40">
        <v>0.66</v>
      </c>
      <c r="AU140" s="40">
        <v>0.71</v>
      </c>
      <c r="AV140" s="40">
        <v>0.79</v>
      </c>
      <c r="AW140" s="40">
        <v>0.56000000000000005</v>
      </c>
      <c r="AX140" s="40">
        <v>0.7</v>
      </c>
      <c r="AY140" s="40">
        <v>0.52</v>
      </c>
      <c r="AZ140" s="40">
        <v>0.4</v>
      </c>
      <c r="BA140" s="40">
        <v>0.51</v>
      </c>
      <c r="BB140" s="40">
        <v>0.76</v>
      </c>
      <c r="BC140" s="40">
        <v>0.76</v>
      </c>
      <c r="BD140" s="40">
        <v>0.62</v>
      </c>
      <c r="BE140" s="40">
        <v>0.71</v>
      </c>
      <c r="BF140" s="40">
        <v>0.28999999999999998</v>
      </c>
      <c r="BG140" s="40">
        <v>0.73</v>
      </c>
      <c r="BH140" s="40">
        <v>0.59</v>
      </c>
      <c r="BI140" s="40">
        <v>0.51</v>
      </c>
      <c r="BJ140" s="40">
        <v>0.59</v>
      </c>
      <c r="BK140" s="40">
        <v>0.73</v>
      </c>
      <c r="BL140" s="40">
        <v>0.5</v>
      </c>
      <c r="BM140" s="12" t="s">
        <v>126</v>
      </c>
      <c r="BN140" s="12" t="s">
        <v>126</v>
      </c>
      <c r="BO140" s="12"/>
      <c r="BP140" s="12"/>
      <c r="BQ140" s="12"/>
      <c r="BR140" s="12"/>
      <c r="BS140" s="12"/>
      <c r="BT140" s="12"/>
      <c r="BU140" s="12"/>
      <c r="BV140" s="12"/>
      <c r="BW140" s="12"/>
      <c r="BX140" s="12"/>
      <c r="BY140" s="12"/>
      <c r="BZ140" s="12"/>
      <c r="CA140" s="12"/>
      <c r="CB140" s="12"/>
      <c r="CC140" s="12"/>
      <c r="CD140" s="12"/>
      <c r="CE140" s="12"/>
      <c r="CF140" s="12"/>
      <c r="CG140" s="12"/>
      <c r="CH140" s="12"/>
      <c r="CI140" s="12"/>
      <c r="CJ140" s="12"/>
      <c r="CK140" s="12"/>
      <c r="CL140" s="12"/>
      <c r="CM140" s="12"/>
      <c r="CN140" s="12"/>
      <c r="CO140" s="12"/>
      <c r="CP140" s="12"/>
      <c r="CQ140" s="12"/>
      <c r="CR140" s="12"/>
      <c r="CS140" s="12" t="s">
        <v>126</v>
      </c>
      <c r="CT140" s="12" t="s">
        <v>126</v>
      </c>
      <c r="CU140" s="2"/>
      <c r="CV140" s="2"/>
      <c r="CW140" s="2"/>
      <c r="CX140" s="2"/>
      <c r="CY140" s="2"/>
      <c r="CZ140" s="2"/>
      <c r="DA140" s="2"/>
      <c r="DB140" s="2"/>
      <c r="DC140" s="2"/>
      <c r="DD140" s="2"/>
      <c r="DE140" s="2"/>
      <c r="DF140" s="2"/>
      <c r="DG140" s="2"/>
      <c r="DH140" s="2"/>
      <c r="DI140" s="2"/>
      <c r="DJ140" s="2"/>
      <c r="DK140" s="2"/>
      <c r="DL140" s="2"/>
      <c r="DM140" s="2"/>
      <c r="DN140" s="2"/>
      <c r="DO140" s="2"/>
      <c r="DP140" s="2"/>
      <c r="DQ140" s="2"/>
      <c r="DR140" s="2"/>
      <c r="DS140" s="2"/>
      <c r="DT140" s="2"/>
      <c r="DU140" s="2"/>
      <c r="DV140" s="2"/>
      <c r="DW140" s="2"/>
      <c r="DX140" s="35"/>
      <c r="DY140" s="35"/>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646"/>
      <c r="FC140" s="646"/>
      <c r="FD140" s="646"/>
      <c r="FE140" s="646"/>
      <c r="FF140" s="646"/>
      <c r="FG140" s="646"/>
      <c r="FH140" s="646"/>
      <c r="FI140" s="646"/>
      <c r="FJ140" s="646"/>
      <c r="FK140" s="646"/>
      <c r="FL140" s="646"/>
      <c r="FM140" s="646"/>
      <c r="FN140" s="646"/>
      <c r="FO140" s="646"/>
      <c r="FP140" s="646"/>
      <c r="FQ140" s="646"/>
      <c r="FR140" s="646"/>
      <c r="FS140" s="646"/>
      <c r="FT140" s="646"/>
      <c r="FU140" s="646"/>
      <c r="FV140" s="646"/>
      <c r="FW140" s="646"/>
      <c r="FX140" s="646"/>
      <c r="FY140" s="646"/>
      <c r="FZ140" s="646"/>
      <c r="GA140" s="646"/>
      <c r="GB140" s="646"/>
      <c r="GC140" s="646"/>
      <c r="GD140" s="646"/>
      <c r="GE140" s="646"/>
      <c r="GF140" s="646"/>
      <c r="GG140" s="646"/>
      <c r="GH140" s="646"/>
      <c r="GI140" s="646"/>
      <c r="GJ140" s="309">
        <v>43</v>
      </c>
      <c r="GK140" s="309" t="s">
        <v>760</v>
      </c>
      <c r="GL140" s="309">
        <v>0</v>
      </c>
      <c r="GM140" s="309" t="s">
        <v>760</v>
      </c>
      <c r="GN140" s="327">
        <v>0</v>
      </c>
      <c r="GO140" s="327">
        <v>1</v>
      </c>
      <c r="GP140" s="327">
        <v>0</v>
      </c>
      <c r="GQ140" s="327">
        <v>0</v>
      </c>
      <c r="GR140" s="327">
        <v>1</v>
      </c>
      <c r="GS140" s="327">
        <v>1</v>
      </c>
      <c r="GT140" s="327">
        <v>1</v>
      </c>
      <c r="GU140" s="309" t="s">
        <v>173</v>
      </c>
      <c r="GV140" s="327">
        <v>0.5</v>
      </c>
      <c r="GW140" s="327">
        <v>1</v>
      </c>
      <c r="GX140" s="327">
        <v>0.67</v>
      </c>
      <c r="GY140" s="309" t="s">
        <v>173</v>
      </c>
      <c r="GZ140" s="327">
        <v>1</v>
      </c>
      <c r="HA140" s="327">
        <v>1</v>
      </c>
      <c r="HB140" s="327">
        <v>0.6</v>
      </c>
      <c r="HC140" s="327">
        <v>1</v>
      </c>
      <c r="HD140" s="327">
        <v>0.33</v>
      </c>
      <c r="HE140" s="327">
        <v>0.33</v>
      </c>
      <c r="HF140" s="327">
        <v>0.33</v>
      </c>
      <c r="HG140" s="327">
        <v>0.67</v>
      </c>
      <c r="HH140" s="327">
        <v>1</v>
      </c>
      <c r="HI140" s="327">
        <v>1</v>
      </c>
      <c r="HJ140" s="327">
        <v>0.67</v>
      </c>
      <c r="HK140" s="327">
        <v>1</v>
      </c>
      <c r="HL140" s="327">
        <v>1</v>
      </c>
      <c r="HM140" s="327">
        <v>0</v>
      </c>
      <c r="HN140" s="327">
        <v>1</v>
      </c>
      <c r="HO140" s="327">
        <v>1</v>
      </c>
      <c r="HP140" s="309" t="s">
        <v>173</v>
      </c>
      <c r="HQ140" s="327">
        <v>0.5</v>
      </c>
      <c r="HR140" s="424">
        <v>40</v>
      </c>
      <c r="HS140" s="424" t="s">
        <v>760</v>
      </c>
      <c r="HT140" s="424">
        <v>5</v>
      </c>
      <c r="HU140" s="424" t="s">
        <v>760</v>
      </c>
      <c r="HV140" s="428">
        <v>0.77</v>
      </c>
      <c r="HW140" s="428">
        <v>0.23</v>
      </c>
      <c r="HX140" s="428">
        <v>0</v>
      </c>
      <c r="HY140" s="428">
        <v>0</v>
      </c>
      <c r="HZ140" s="428">
        <v>0.69</v>
      </c>
      <c r="IA140" s="428">
        <v>0.71</v>
      </c>
      <c r="IB140" s="428">
        <v>0.5</v>
      </c>
      <c r="IC140" s="428">
        <v>0.78</v>
      </c>
      <c r="ID140" s="428">
        <v>0.76</v>
      </c>
      <c r="IE140" s="428">
        <v>0.61</v>
      </c>
      <c r="IF140" s="428">
        <v>0.69</v>
      </c>
      <c r="IG140" s="428">
        <v>0.73</v>
      </c>
      <c r="IH140" s="428">
        <v>0.6</v>
      </c>
      <c r="II140" s="428">
        <v>0.25</v>
      </c>
      <c r="IJ140" s="428">
        <v>0.56000000000000005</v>
      </c>
      <c r="IK140" s="428">
        <v>0.76</v>
      </c>
      <c r="IL140" s="428">
        <v>0.56999999999999995</v>
      </c>
      <c r="IM140" s="428">
        <v>0.86</v>
      </c>
      <c r="IN140" s="428">
        <v>0.69</v>
      </c>
      <c r="IO140" s="428">
        <v>0.62</v>
      </c>
      <c r="IP140" s="428">
        <v>0.72</v>
      </c>
      <c r="IQ140" s="428">
        <v>0.62</v>
      </c>
      <c r="IR140" s="428">
        <v>0.85</v>
      </c>
      <c r="IS140" s="428">
        <v>0.78</v>
      </c>
      <c r="IT140" s="428">
        <v>0.75</v>
      </c>
      <c r="IU140" s="424" t="s">
        <v>173</v>
      </c>
      <c r="IV140" s="428">
        <v>0.57999999999999996</v>
      </c>
      <c r="IW140" s="428">
        <v>0.65</v>
      </c>
      <c r="IX140" s="428">
        <v>0.65</v>
      </c>
      <c r="IY140" s="428">
        <v>0.65</v>
      </c>
      <c r="IZ140" s="641"/>
      <c r="JA140" s="641"/>
      <c r="JB140" s="641"/>
      <c r="JC140" s="641"/>
      <c r="JD140" s="642"/>
      <c r="JE140" s="642"/>
      <c r="JF140" s="642"/>
      <c r="JG140" s="642"/>
      <c r="JH140" s="642"/>
      <c r="JI140" s="642"/>
      <c r="JJ140" s="642"/>
      <c r="JK140" s="642"/>
      <c r="JL140" s="642"/>
      <c r="JM140" s="642"/>
      <c r="JN140" s="642"/>
      <c r="JO140" s="642"/>
      <c r="JP140" s="642"/>
      <c r="JQ140" s="642"/>
      <c r="JR140" s="642"/>
      <c r="JS140" s="642"/>
      <c r="JT140" s="642"/>
      <c r="JU140" s="642"/>
      <c r="JV140" s="642"/>
      <c r="JW140" s="642"/>
      <c r="JX140" s="642"/>
      <c r="JY140" s="642"/>
      <c r="JZ140" s="641"/>
      <c r="KA140" s="642"/>
      <c r="KB140" s="642"/>
      <c r="KC140" s="642"/>
      <c r="KD140" s="642"/>
      <c r="KE140" s="642"/>
      <c r="KF140" s="642"/>
      <c r="KG140" s="642"/>
      <c r="KH140" s="971"/>
      <c r="KI140" s="971"/>
      <c r="KJ140" s="971"/>
      <c r="KK140" s="971"/>
      <c r="KL140" s="949"/>
      <c r="KM140" s="949"/>
      <c r="KN140" s="949"/>
      <c r="KO140" s="949"/>
      <c r="KP140" s="949"/>
      <c r="KQ140" s="949"/>
      <c r="KR140" s="949"/>
      <c r="KS140" s="949"/>
      <c r="KT140" s="949"/>
      <c r="KU140" s="949"/>
      <c r="KV140" s="949"/>
      <c r="KW140" s="949"/>
      <c r="KX140" s="949"/>
      <c r="KY140" s="949"/>
      <c r="KZ140" s="949"/>
      <c r="LA140" s="949"/>
      <c r="LB140" s="949"/>
      <c r="LC140" s="949"/>
      <c r="LD140" s="949"/>
      <c r="LE140" s="949"/>
      <c r="LF140" s="949"/>
      <c r="LG140" s="949"/>
      <c r="LH140" s="949"/>
      <c r="LI140" s="949"/>
      <c r="LJ140" s="949"/>
      <c r="LK140" s="949"/>
      <c r="LL140" s="949"/>
      <c r="LM140" s="949"/>
      <c r="LN140" s="949"/>
      <c r="LO140" s="949"/>
      <c r="LP140" s="922"/>
      <c r="LQ140" s="803" t="s">
        <v>129</v>
      </c>
      <c r="LR140" s="424">
        <v>40</v>
      </c>
      <c r="LS140" s="971"/>
      <c r="LT140" s="946"/>
    </row>
    <row r="141" spans="1:332" ht="24.95" customHeight="1" x14ac:dyDescent="0.2">
      <c r="A141" s="803" t="s">
        <v>806</v>
      </c>
      <c r="B141" s="1" t="s">
        <v>123</v>
      </c>
      <c r="C141" s="2">
        <v>4</v>
      </c>
      <c r="D141" s="12"/>
      <c r="E141" s="12"/>
      <c r="F141" s="12"/>
      <c r="G141" s="12"/>
      <c r="H141" s="12"/>
      <c r="I141" s="12"/>
      <c r="J141" s="12"/>
      <c r="K141" s="12"/>
      <c r="L141" s="12"/>
      <c r="M141" s="12"/>
      <c r="N141" s="12"/>
      <c r="O141" s="12"/>
      <c r="P141" s="12"/>
      <c r="Q141" s="12"/>
      <c r="R141" s="12"/>
      <c r="S141" s="12"/>
      <c r="T141" s="12"/>
      <c r="U141" s="12"/>
      <c r="V141" s="12"/>
      <c r="W141" s="12"/>
      <c r="X141" s="12"/>
      <c r="Y141" s="12"/>
      <c r="Z141" s="12"/>
      <c r="AA141" s="12"/>
      <c r="AB141" s="12"/>
      <c r="AC141" s="12"/>
      <c r="AD141" s="12"/>
      <c r="AE141" s="12"/>
      <c r="AF141" s="12"/>
      <c r="AG141" s="12"/>
      <c r="AH141" s="12"/>
      <c r="AI141" s="12"/>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12"/>
      <c r="BN141" s="12"/>
      <c r="BO141" s="12"/>
      <c r="BP141" s="12"/>
      <c r="BQ141" s="12"/>
      <c r="BR141" s="12"/>
      <c r="BS141" s="12"/>
      <c r="BT141" s="12"/>
      <c r="BU141" s="12"/>
      <c r="BV141" s="12"/>
      <c r="BW141" s="12"/>
      <c r="BX141" s="12"/>
      <c r="BY141" s="12"/>
      <c r="BZ141" s="12"/>
      <c r="CA141" s="12"/>
      <c r="CB141" s="12"/>
      <c r="CC141" s="12"/>
      <c r="CD141" s="12"/>
      <c r="CE141" s="12"/>
      <c r="CF141" s="12"/>
      <c r="CG141" s="12"/>
      <c r="CH141" s="12"/>
      <c r="CI141" s="12"/>
      <c r="CJ141" s="12"/>
      <c r="CK141" s="12"/>
      <c r="CL141" s="12"/>
      <c r="CM141" s="12"/>
      <c r="CN141" s="12"/>
      <c r="CO141" s="12"/>
      <c r="CP141" s="12"/>
      <c r="CQ141" s="12"/>
      <c r="CR141" s="12"/>
      <c r="CS141" s="12"/>
      <c r="CT141" s="12"/>
      <c r="CU141" s="2"/>
      <c r="CV141" s="2"/>
      <c r="CW141" s="2"/>
      <c r="CX141" s="2"/>
      <c r="CY141" s="2"/>
      <c r="CZ141" s="2"/>
      <c r="DA141" s="2"/>
      <c r="DB141" s="2"/>
      <c r="DC141" s="2"/>
      <c r="DD141" s="2"/>
      <c r="DE141" s="2"/>
      <c r="DF141" s="2"/>
      <c r="DG141" s="2"/>
      <c r="DH141" s="2"/>
      <c r="DI141" s="2"/>
      <c r="DJ141" s="2"/>
      <c r="DK141" s="2"/>
      <c r="DL141" s="2"/>
      <c r="DM141" s="2"/>
      <c r="DN141" s="2"/>
      <c r="DO141" s="2"/>
      <c r="DP141" s="2"/>
      <c r="DQ141" s="2"/>
      <c r="DR141" s="2"/>
      <c r="DS141" s="2"/>
      <c r="DT141" s="2"/>
      <c r="DU141" s="2"/>
      <c r="DV141" s="2"/>
      <c r="DW141" s="2"/>
      <c r="DX141" s="35"/>
      <c r="DY141" s="35"/>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GJ141" s="309">
        <v>45</v>
      </c>
      <c r="GK141" s="309" t="s">
        <v>758</v>
      </c>
      <c r="GL141" s="309">
        <v>8</v>
      </c>
      <c r="GM141" s="309" t="s">
        <v>758</v>
      </c>
      <c r="GN141" s="327">
        <v>0.4</v>
      </c>
      <c r="GO141" s="327">
        <v>0.47</v>
      </c>
      <c r="GP141" s="327">
        <v>0.13</v>
      </c>
      <c r="GQ141" s="327">
        <v>0</v>
      </c>
      <c r="GR141" s="327">
        <v>0.6</v>
      </c>
      <c r="GS141" s="327">
        <v>0.61</v>
      </c>
      <c r="GT141" s="327">
        <v>0.71</v>
      </c>
      <c r="GU141" s="327">
        <v>0.78</v>
      </c>
      <c r="GV141" s="327">
        <v>0.66</v>
      </c>
      <c r="GW141" s="327">
        <v>0.67</v>
      </c>
      <c r="GX141" s="327">
        <v>0.56999999999999995</v>
      </c>
      <c r="GY141" s="309" t="s">
        <v>173</v>
      </c>
      <c r="GZ141" s="327">
        <v>0.56999999999999995</v>
      </c>
      <c r="HA141" s="327">
        <v>0.75</v>
      </c>
      <c r="HB141" s="327">
        <v>0.59</v>
      </c>
      <c r="HC141" s="327">
        <v>0.6</v>
      </c>
      <c r="HD141" s="327">
        <v>0.6</v>
      </c>
      <c r="HE141" s="327">
        <v>0.56999999999999995</v>
      </c>
      <c r="HF141" s="327">
        <v>0.43</v>
      </c>
      <c r="HG141" s="327">
        <v>0.8</v>
      </c>
      <c r="HH141" s="327">
        <v>0.63</v>
      </c>
      <c r="HI141" s="327">
        <v>0.57999999999999996</v>
      </c>
      <c r="HJ141" s="327">
        <v>0.71</v>
      </c>
      <c r="HK141" s="327">
        <v>0.61</v>
      </c>
      <c r="HL141" s="327">
        <v>0.45</v>
      </c>
      <c r="HM141" s="327">
        <v>0.53</v>
      </c>
      <c r="HN141" s="327">
        <v>0.48</v>
      </c>
      <c r="HO141" s="327">
        <v>0.44</v>
      </c>
      <c r="HP141" s="309" t="s">
        <v>173</v>
      </c>
      <c r="HQ141" s="327">
        <v>0.62</v>
      </c>
      <c r="HR141" s="424">
        <v>40</v>
      </c>
      <c r="HS141" s="424" t="s">
        <v>760</v>
      </c>
      <c r="HT141" s="424">
        <v>6</v>
      </c>
      <c r="HU141" s="424" t="s">
        <v>758</v>
      </c>
      <c r="HV141" s="428">
        <v>0.54</v>
      </c>
      <c r="HW141" s="428">
        <v>0.46</v>
      </c>
      <c r="HX141" s="428">
        <v>0</v>
      </c>
      <c r="HY141" s="428">
        <v>0</v>
      </c>
      <c r="HZ141" s="428">
        <v>0.43</v>
      </c>
      <c r="IA141" s="428">
        <v>0.79</v>
      </c>
      <c r="IB141" s="428">
        <v>0.45</v>
      </c>
      <c r="IC141" s="428">
        <v>0.71</v>
      </c>
      <c r="ID141" s="428">
        <v>0.88</v>
      </c>
      <c r="IE141" s="428">
        <v>0.67</v>
      </c>
      <c r="IF141" s="428">
        <v>0.73</v>
      </c>
      <c r="IG141" s="428">
        <v>0.54</v>
      </c>
      <c r="IH141" s="428">
        <v>0.62</v>
      </c>
      <c r="II141" s="428">
        <v>0.43</v>
      </c>
      <c r="IJ141" s="428">
        <v>0.42</v>
      </c>
      <c r="IK141" s="428">
        <v>0.68</v>
      </c>
      <c r="IL141" s="428">
        <v>0.67</v>
      </c>
      <c r="IM141" s="428">
        <v>0.71</v>
      </c>
      <c r="IN141" s="428">
        <v>0.68</v>
      </c>
      <c r="IO141" s="428">
        <v>0.71</v>
      </c>
      <c r="IP141" s="428">
        <v>0.65</v>
      </c>
      <c r="IQ141" s="428">
        <v>0.76</v>
      </c>
      <c r="IR141" s="428">
        <v>0.84</v>
      </c>
      <c r="IS141" s="428">
        <v>0.7</v>
      </c>
      <c r="IT141" s="428">
        <v>0.7</v>
      </c>
      <c r="IU141" s="424" t="s">
        <v>173</v>
      </c>
      <c r="IV141" s="428">
        <v>0.84</v>
      </c>
      <c r="IW141" s="428">
        <v>0.65</v>
      </c>
      <c r="IX141" s="428">
        <v>0.79</v>
      </c>
      <c r="IY141" s="428">
        <v>0.63</v>
      </c>
      <c r="IZ141" s="424"/>
      <c r="JA141" s="424"/>
      <c r="JB141" s="424"/>
      <c r="JC141" s="424"/>
      <c r="JD141" s="428"/>
      <c r="JE141" s="428"/>
      <c r="JF141" s="428"/>
      <c r="JG141" s="428"/>
      <c r="JH141" s="428"/>
      <c r="JI141" s="428"/>
      <c r="JJ141" s="428"/>
      <c r="JK141" s="428"/>
      <c r="JL141" s="428"/>
      <c r="JM141" s="428"/>
      <c r="JN141" s="428"/>
      <c r="JO141" s="428"/>
      <c r="JP141" s="428"/>
      <c r="JQ141" s="428"/>
      <c r="JR141" s="428"/>
      <c r="JS141" s="428"/>
      <c r="JT141" s="428"/>
      <c r="JU141" s="428"/>
      <c r="JV141" s="428"/>
      <c r="JW141" s="428"/>
      <c r="JX141" s="428"/>
      <c r="JY141" s="428"/>
      <c r="JZ141" s="424"/>
      <c r="KA141" s="428"/>
      <c r="KB141" s="428"/>
      <c r="KC141" s="428"/>
      <c r="KD141" s="428"/>
      <c r="KE141" s="428"/>
      <c r="KF141" s="428"/>
      <c r="KG141" s="428"/>
      <c r="KH141" s="971"/>
      <c r="KI141" s="971"/>
      <c r="KJ141" s="971"/>
      <c r="KK141" s="971"/>
      <c r="KL141" s="949"/>
      <c r="KM141" s="949"/>
      <c r="KN141" s="949"/>
      <c r="KO141" s="949"/>
      <c r="KP141" s="949"/>
      <c r="KQ141" s="949"/>
      <c r="KR141" s="949"/>
      <c r="KS141" s="949"/>
      <c r="KT141" s="949"/>
      <c r="KU141" s="949"/>
      <c r="KV141" s="949"/>
      <c r="KW141" s="949"/>
      <c r="KX141" s="949"/>
      <c r="KY141" s="949"/>
      <c r="KZ141" s="949"/>
      <c r="LA141" s="949"/>
      <c r="LB141" s="949"/>
      <c r="LC141" s="949"/>
      <c r="LD141" s="949"/>
      <c r="LE141" s="949"/>
      <c r="LF141" s="949"/>
      <c r="LG141" s="949"/>
      <c r="LH141" s="949"/>
      <c r="LI141" s="949"/>
      <c r="LJ141" s="949"/>
      <c r="LK141" s="949"/>
      <c r="LL141" s="949"/>
      <c r="LM141" s="949"/>
      <c r="LN141" s="949"/>
      <c r="LO141" s="949"/>
      <c r="LP141" s="922"/>
      <c r="LQ141" s="803" t="s">
        <v>806</v>
      </c>
      <c r="LR141" s="424">
        <v>40</v>
      </c>
      <c r="LS141" s="971"/>
      <c r="LT141" s="946"/>
    </row>
    <row r="142" spans="1:332" ht="24.95" customHeight="1" x14ac:dyDescent="0.2">
      <c r="A142" s="804" t="s">
        <v>87</v>
      </c>
      <c r="B142" s="1" t="s">
        <v>123</v>
      </c>
      <c r="C142" s="309">
        <v>5</v>
      </c>
      <c r="D142" s="328">
        <v>53</v>
      </c>
      <c r="E142" s="328">
        <v>4</v>
      </c>
      <c r="F142" s="333">
        <v>0</v>
      </c>
      <c r="G142" s="333">
        <v>0.67</v>
      </c>
      <c r="H142" s="333">
        <v>0.33</v>
      </c>
      <c r="I142" s="333">
        <v>0</v>
      </c>
      <c r="J142" s="333">
        <v>0.33</v>
      </c>
      <c r="K142" s="333">
        <v>0.33</v>
      </c>
      <c r="L142" s="333">
        <v>1</v>
      </c>
      <c r="M142" s="333">
        <v>0</v>
      </c>
      <c r="N142" s="333">
        <v>0.2</v>
      </c>
      <c r="O142" s="333">
        <v>0.89</v>
      </c>
      <c r="P142" s="333">
        <v>0.5</v>
      </c>
      <c r="Q142" s="333">
        <v>0.42</v>
      </c>
      <c r="R142" s="333">
        <v>0.67</v>
      </c>
      <c r="S142" s="333">
        <v>0.67</v>
      </c>
      <c r="T142" s="333">
        <v>0.67</v>
      </c>
      <c r="U142" s="333">
        <v>1</v>
      </c>
      <c r="V142" s="333">
        <v>0</v>
      </c>
      <c r="W142" s="333">
        <v>0.33</v>
      </c>
      <c r="X142" s="333">
        <v>0.5</v>
      </c>
      <c r="Y142" s="333">
        <v>0.33</v>
      </c>
      <c r="Z142" s="328" t="s">
        <v>173</v>
      </c>
      <c r="AA142" s="333">
        <v>0</v>
      </c>
      <c r="AB142" s="333">
        <v>0.44</v>
      </c>
      <c r="AC142" s="333">
        <v>0</v>
      </c>
      <c r="AD142" s="333">
        <v>0.39</v>
      </c>
      <c r="AE142" s="333">
        <v>0.17</v>
      </c>
      <c r="AF142" s="333">
        <v>0.33</v>
      </c>
      <c r="AG142" s="333">
        <v>0.56000000000000005</v>
      </c>
      <c r="AH142" s="328">
        <v>56</v>
      </c>
      <c r="AI142" s="328">
        <v>8</v>
      </c>
      <c r="AJ142" s="331">
        <v>0</v>
      </c>
      <c r="AK142" s="331">
        <v>0.57999999999999996</v>
      </c>
      <c r="AL142" s="331">
        <v>0.42</v>
      </c>
      <c r="AM142" s="331">
        <v>0</v>
      </c>
      <c r="AN142" s="331">
        <v>0.2</v>
      </c>
      <c r="AO142" s="331">
        <v>0.47</v>
      </c>
      <c r="AP142" s="331">
        <v>0.59</v>
      </c>
      <c r="AQ142" s="331">
        <v>0.3</v>
      </c>
      <c r="AR142" s="331">
        <v>0.28999999999999998</v>
      </c>
      <c r="AS142" s="331">
        <v>0.26</v>
      </c>
      <c r="AT142" s="331">
        <v>0.32</v>
      </c>
      <c r="AU142" s="331">
        <v>0.26</v>
      </c>
      <c r="AV142" s="331">
        <v>0.52</v>
      </c>
      <c r="AW142" s="331">
        <v>0.67</v>
      </c>
      <c r="AX142" s="331">
        <v>0.67</v>
      </c>
      <c r="AY142" s="331">
        <v>0.28999999999999998</v>
      </c>
      <c r="AZ142" s="331">
        <v>0</v>
      </c>
      <c r="BA142" s="331">
        <v>0.39</v>
      </c>
      <c r="BB142" s="331">
        <v>0.43</v>
      </c>
      <c r="BC142" s="331">
        <v>0.57999999999999996</v>
      </c>
      <c r="BD142" s="331">
        <v>0.41</v>
      </c>
      <c r="BE142" s="331">
        <v>0.44</v>
      </c>
      <c r="BF142" s="331">
        <v>0.6</v>
      </c>
      <c r="BG142" s="331">
        <v>0.48</v>
      </c>
      <c r="BH142" s="331">
        <v>0.47</v>
      </c>
      <c r="BI142" s="331">
        <v>0.34</v>
      </c>
      <c r="BJ142" s="331">
        <v>0.3</v>
      </c>
      <c r="BK142" s="331">
        <v>0.31</v>
      </c>
      <c r="BL142" s="331">
        <v>0.5</v>
      </c>
      <c r="BM142" s="328">
        <v>51</v>
      </c>
      <c r="BN142" s="328">
        <v>5</v>
      </c>
      <c r="BO142" s="333">
        <v>0</v>
      </c>
      <c r="BP142" s="333">
        <v>1</v>
      </c>
      <c r="BQ142" s="333">
        <v>0</v>
      </c>
      <c r="BR142" s="333">
        <v>0</v>
      </c>
      <c r="BS142" s="333">
        <v>0.33</v>
      </c>
      <c r="BT142" s="328" t="s">
        <v>173</v>
      </c>
      <c r="BU142" s="328" t="s">
        <v>173</v>
      </c>
      <c r="BV142" s="333">
        <v>1</v>
      </c>
      <c r="BW142" s="333">
        <v>0.33</v>
      </c>
      <c r="BX142" s="333">
        <v>0.43</v>
      </c>
      <c r="BY142" s="333">
        <v>0.33</v>
      </c>
      <c r="BZ142" s="333">
        <v>0.33</v>
      </c>
      <c r="CA142" s="333">
        <v>0.25</v>
      </c>
      <c r="CB142" s="333">
        <v>0.33</v>
      </c>
      <c r="CC142" s="333">
        <v>0.5</v>
      </c>
      <c r="CD142" s="333">
        <v>0.2</v>
      </c>
      <c r="CE142" s="333">
        <v>0.6</v>
      </c>
      <c r="CF142" s="333">
        <v>0.5</v>
      </c>
      <c r="CG142" s="333">
        <v>0.5</v>
      </c>
      <c r="CH142" s="333">
        <v>0.71</v>
      </c>
      <c r="CI142" s="333">
        <v>0.33</v>
      </c>
      <c r="CJ142" s="333">
        <v>1</v>
      </c>
      <c r="CK142" s="333">
        <v>0.67</v>
      </c>
      <c r="CL142" s="333">
        <v>0.2</v>
      </c>
      <c r="CM142" s="333">
        <v>0.25</v>
      </c>
      <c r="CN142" s="333">
        <v>0.71</v>
      </c>
      <c r="CO142" s="333">
        <v>0.67</v>
      </c>
      <c r="CP142" s="333">
        <v>0</v>
      </c>
      <c r="CQ142" s="333">
        <v>0.9</v>
      </c>
      <c r="CR142" s="333">
        <v>0.33</v>
      </c>
      <c r="CS142" s="328">
        <v>45</v>
      </c>
      <c r="CT142" s="328">
        <v>9</v>
      </c>
      <c r="CU142" s="327">
        <v>0.4</v>
      </c>
      <c r="CV142" s="327">
        <v>0.4</v>
      </c>
      <c r="CW142" s="327">
        <v>0.2</v>
      </c>
      <c r="CX142" s="327">
        <v>0</v>
      </c>
      <c r="CY142" s="327">
        <v>0.44</v>
      </c>
      <c r="CZ142" s="327">
        <v>0.43</v>
      </c>
      <c r="DA142" s="327">
        <v>0.56999999999999995</v>
      </c>
      <c r="DB142" s="327">
        <v>0.33</v>
      </c>
      <c r="DC142" s="327">
        <v>0.38</v>
      </c>
      <c r="DD142" s="327">
        <v>0.67</v>
      </c>
      <c r="DE142" s="327">
        <v>0.83</v>
      </c>
      <c r="DF142" s="327">
        <v>0.54</v>
      </c>
      <c r="DG142" s="327">
        <v>0.4</v>
      </c>
      <c r="DH142" s="327">
        <v>0.47</v>
      </c>
      <c r="DI142" s="327">
        <v>0.86</v>
      </c>
      <c r="DJ142" s="327">
        <v>0.67</v>
      </c>
      <c r="DK142" s="327">
        <v>0.43</v>
      </c>
      <c r="DL142" s="327">
        <v>1</v>
      </c>
      <c r="DM142" s="327">
        <v>0.64</v>
      </c>
      <c r="DN142" s="327">
        <v>0.6</v>
      </c>
      <c r="DO142" s="327">
        <v>0.43</v>
      </c>
      <c r="DP142" s="327">
        <v>0.23</v>
      </c>
      <c r="DQ142" s="327">
        <v>0.41</v>
      </c>
      <c r="DR142" s="327">
        <v>0.7</v>
      </c>
      <c r="DS142" s="327">
        <v>0.75</v>
      </c>
      <c r="DT142" s="327">
        <v>0.75</v>
      </c>
      <c r="DU142" s="327">
        <v>0.5</v>
      </c>
      <c r="DV142" s="327">
        <v>0.56999999999999995</v>
      </c>
      <c r="DW142" s="327">
        <v>0.36</v>
      </c>
      <c r="DX142" s="311">
        <v>51</v>
      </c>
      <c r="DY142" s="311">
        <v>5</v>
      </c>
      <c r="DZ142" s="331">
        <v>0</v>
      </c>
      <c r="EA142" s="331">
        <v>0.67</v>
      </c>
      <c r="EB142" s="331">
        <v>0.33</v>
      </c>
      <c r="EC142" s="331">
        <v>0</v>
      </c>
      <c r="ED142" s="331">
        <v>0.67</v>
      </c>
      <c r="EE142" s="331">
        <v>0.5</v>
      </c>
      <c r="EF142" s="331">
        <v>0.5</v>
      </c>
      <c r="EG142" s="331">
        <v>0</v>
      </c>
      <c r="EH142" s="331">
        <v>0.17</v>
      </c>
      <c r="EI142" s="331">
        <v>0.4</v>
      </c>
      <c r="EJ142" s="331">
        <v>0.6</v>
      </c>
      <c r="EK142" s="331">
        <v>0</v>
      </c>
      <c r="EL142" s="331">
        <v>0.4</v>
      </c>
      <c r="EM142" s="331">
        <v>0.25</v>
      </c>
      <c r="EN142" s="331">
        <v>0.33</v>
      </c>
      <c r="EO142" s="331">
        <v>0.44</v>
      </c>
      <c r="EP142" s="331">
        <v>0.6</v>
      </c>
      <c r="EQ142" s="331">
        <v>0</v>
      </c>
      <c r="ER142" s="331">
        <v>0.6</v>
      </c>
      <c r="ES142" s="331">
        <v>0.5</v>
      </c>
      <c r="ET142" s="331">
        <v>0.13</v>
      </c>
      <c r="EU142" s="331">
        <v>0.5</v>
      </c>
      <c r="EV142" s="331">
        <v>0</v>
      </c>
      <c r="EW142" s="331">
        <v>0.5</v>
      </c>
      <c r="EX142" s="331">
        <v>1</v>
      </c>
      <c r="EY142" s="331">
        <v>0.5</v>
      </c>
      <c r="EZ142" s="331">
        <v>1</v>
      </c>
      <c r="FA142" s="331">
        <v>0.88</v>
      </c>
      <c r="FB142" s="647">
        <v>52</v>
      </c>
      <c r="FC142" s="647" t="s">
        <v>758</v>
      </c>
      <c r="FD142" s="647">
        <v>5</v>
      </c>
      <c r="FE142" s="647" t="s">
        <v>760</v>
      </c>
      <c r="FF142" s="648">
        <v>0</v>
      </c>
      <c r="FG142" s="648">
        <v>0.67</v>
      </c>
      <c r="FH142" s="648">
        <v>0.33</v>
      </c>
      <c r="FI142" s="648">
        <v>0</v>
      </c>
      <c r="FJ142" s="648">
        <v>0.25</v>
      </c>
      <c r="FK142" s="648">
        <v>0.75</v>
      </c>
      <c r="FL142" s="648">
        <v>0.45</v>
      </c>
      <c r="FM142" s="648">
        <v>0.8</v>
      </c>
      <c r="FN142" s="648">
        <v>0.22</v>
      </c>
      <c r="FO142" s="648">
        <v>0.5</v>
      </c>
      <c r="FP142" s="648">
        <v>0.36</v>
      </c>
      <c r="FQ142" s="648">
        <v>0.27</v>
      </c>
      <c r="FR142" s="648">
        <v>0.47</v>
      </c>
      <c r="FS142" s="648">
        <v>0.64</v>
      </c>
      <c r="FT142" s="648">
        <v>0.45</v>
      </c>
      <c r="FU142" s="648">
        <v>0.33</v>
      </c>
      <c r="FV142" s="648">
        <v>0.5</v>
      </c>
      <c r="FW142" s="648">
        <v>0.46</v>
      </c>
      <c r="FX142" s="648">
        <v>0.75</v>
      </c>
      <c r="FY142" s="648">
        <v>0.47</v>
      </c>
      <c r="FZ142" s="648">
        <v>0.22</v>
      </c>
      <c r="GA142" s="648">
        <v>0.22</v>
      </c>
      <c r="GB142" s="648">
        <v>0.36</v>
      </c>
      <c r="GC142" s="648">
        <v>0.25</v>
      </c>
      <c r="GD142" s="648">
        <v>0.71</v>
      </c>
      <c r="GE142" s="648">
        <v>0.36</v>
      </c>
      <c r="GF142" s="648">
        <v>0.25</v>
      </c>
      <c r="GG142" s="648">
        <v>0.5</v>
      </c>
      <c r="GH142" s="648">
        <v>0.63</v>
      </c>
      <c r="GI142" s="648">
        <v>0.28999999999999998</v>
      </c>
      <c r="GJ142" s="309">
        <v>52</v>
      </c>
      <c r="GK142" s="309" t="s">
        <v>758</v>
      </c>
      <c r="GL142" s="309">
        <v>4</v>
      </c>
      <c r="GM142" s="309" t="s">
        <v>760</v>
      </c>
      <c r="GN142" s="327">
        <v>0</v>
      </c>
      <c r="GO142" s="327">
        <v>1</v>
      </c>
      <c r="GP142" s="327">
        <v>0</v>
      </c>
      <c r="GQ142" s="327">
        <v>0</v>
      </c>
      <c r="GR142" s="327">
        <v>0</v>
      </c>
      <c r="GS142" s="327">
        <v>0.28999999999999998</v>
      </c>
      <c r="GT142" s="327">
        <v>0.56000000000000005</v>
      </c>
      <c r="GU142" s="327">
        <v>0</v>
      </c>
      <c r="GV142" s="327">
        <v>0.44</v>
      </c>
      <c r="GW142" s="327">
        <v>0.33</v>
      </c>
      <c r="GX142" s="327">
        <v>0.25</v>
      </c>
      <c r="GY142" s="309" t="s">
        <v>173</v>
      </c>
      <c r="GZ142" s="327">
        <v>0.5</v>
      </c>
      <c r="HA142" s="327">
        <v>0</v>
      </c>
      <c r="HB142" s="327">
        <v>0.4</v>
      </c>
      <c r="HC142" s="327">
        <v>0.6</v>
      </c>
      <c r="HD142" s="327">
        <v>0.5</v>
      </c>
      <c r="HE142" s="327">
        <v>0.5</v>
      </c>
      <c r="HF142" s="327">
        <v>0.44</v>
      </c>
      <c r="HG142" s="327">
        <v>0.86</v>
      </c>
      <c r="HH142" s="327">
        <v>0.67</v>
      </c>
      <c r="HI142" s="327">
        <v>0.67</v>
      </c>
      <c r="HJ142" s="327">
        <v>0.56999999999999995</v>
      </c>
      <c r="HK142" s="327">
        <v>0.75</v>
      </c>
      <c r="HL142" s="327">
        <v>0.17</v>
      </c>
      <c r="HM142" s="327">
        <v>0.42</v>
      </c>
      <c r="HN142" s="327">
        <v>0.4</v>
      </c>
      <c r="HO142" s="327">
        <v>0.44</v>
      </c>
      <c r="HP142" s="309" t="s">
        <v>173</v>
      </c>
      <c r="HQ142" s="327">
        <v>0.5</v>
      </c>
      <c r="HR142" s="424">
        <v>55</v>
      </c>
      <c r="HS142" s="424" t="s">
        <v>758</v>
      </c>
      <c r="HT142" s="424">
        <v>8</v>
      </c>
      <c r="HU142" s="424" t="s">
        <v>758</v>
      </c>
      <c r="HV142" s="428">
        <v>0</v>
      </c>
      <c r="HW142" s="428">
        <v>0.5</v>
      </c>
      <c r="HX142" s="428">
        <v>0.5</v>
      </c>
      <c r="HY142" s="428">
        <v>0</v>
      </c>
      <c r="HZ142" s="428">
        <v>0.71</v>
      </c>
      <c r="IA142" s="428">
        <v>0.38</v>
      </c>
      <c r="IB142" s="428">
        <v>0.67</v>
      </c>
      <c r="IC142" s="428">
        <v>0.38</v>
      </c>
      <c r="ID142" s="428">
        <v>0.69</v>
      </c>
      <c r="IE142" s="428">
        <v>0.22</v>
      </c>
      <c r="IF142" s="428">
        <v>0.25</v>
      </c>
      <c r="IG142" s="428">
        <v>0.33</v>
      </c>
      <c r="IH142" s="428">
        <v>0.56000000000000005</v>
      </c>
      <c r="II142" s="428">
        <v>0</v>
      </c>
      <c r="IJ142" s="428">
        <v>0.11</v>
      </c>
      <c r="IK142" s="428">
        <v>0.67</v>
      </c>
      <c r="IL142" s="428">
        <v>0.5</v>
      </c>
      <c r="IM142" s="428">
        <v>0.73</v>
      </c>
      <c r="IN142" s="428">
        <v>0.14000000000000001</v>
      </c>
      <c r="IO142" s="428">
        <v>0.56000000000000005</v>
      </c>
      <c r="IP142" s="428">
        <v>0</v>
      </c>
      <c r="IQ142" s="428">
        <v>0.67</v>
      </c>
      <c r="IR142" s="428">
        <v>0.25</v>
      </c>
      <c r="IS142" s="428">
        <v>0.5</v>
      </c>
      <c r="IT142" s="428">
        <v>0.25</v>
      </c>
      <c r="IU142" s="424" t="s">
        <v>173</v>
      </c>
      <c r="IV142" s="428">
        <v>0.38</v>
      </c>
      <c r="IW142" s="428">
        <v>0.43</v>
      </c>
      <c r="IX142" s="428">
        <v>0.14000000000000001</v>
      </c>
      <c r="IY142" s="428">
        <v>0.36</v>
      </c>
      <c r="IZ142" s="654">
        <v>49</v>
      </c>
      <c r="JA142" s="654" t="s">
        <v>758</v>
      </c>
      <c r="JB142" s="654">
        <v>9</v>
      </c>
      <c r="JC142" s="654" t="s">
        <v>758</v>
      </c>
      <c r="JD142" s="655">
        <v>0.14000000000000001</v>
      </c>
      <c r="JE142" s="655">
        <v>0.56999999999999995</v>
      </c>
      <c r="JF142" s="655">
        <v>0.28999999999999998</v>
      </c>
      <c r="JG142" s="655">
        <v>0</v>
      </c>
      <c r="JH142" s="655">
        <v>0.5</v>
      </c>
      <c r="JI142" s="655">
        <v>0.41</v>
      </c>
      <c r="JJ142" s="655">
        <v>0.63</v>
      </c>
      <c r="JK142" s="655">
        <v>0.6</v>
      </c>
      <c r="JL142" s="655">
        <v>0.38</v>
      </c>
      <c r="JM142" s="655">
        <v>0.56000000000000005</v>
      </c>
      <c r="JN142" s="655">
        <v>0.56999999999999995</v>
      </c>
      <c r="JO142" s="655">
        <v>0.5</v>
      </c>
      <c r="JP142" s="655">
        <v>0.57999999999999996</v>
      </c>
      <c r="JQ142" s="655">
        <v>0.5</v>
      </c>
      <c r="JR142" s="655">
        <v>0.46</v>
      </c>
      <c r="JS142" s="655">
        <v>0.2</v>
      </c>
      <c r="JT142" s="655">
        <v>0.5</v>
      </c>
      <c r="JU142" s="655">
        <v>0.4</v>
      </c>
      <c r="JV142" s="655">
        <v>0.59</v>
      </c>
      <c r="JW142" s="655">
        <v>0.52</v>
      </c>
      <c r="JX142" s="655">
        <v>0.43</v>
      </c>
      <c r="JY142" s="655">
        <v>0.54</v>
      </c>
      <c r="JZ142" s="655">
        <v>0.6</v>
      </c>
      <c r="KA142" s="655">
        <v>0.33</v>
      </c>
      <c r="KB142" s="655">
        <v>0.77</v>
      </c>
      <c r="KC142" s="655">
        <v>0.88</v>
      </c>
      <c r="KD142" s="655">
        <v>0.38</v>
      </c>
      <c r="KE142" s="655">
        <v>0.67</v>
      </c>
      <c r="KF142" s="655">
        <v>0.27</v>
      </c>
      <c r="KG142" s="655">
        <v>0.36</v>
      </c>
      <c r="KH142" s="971">
        <v>47</v>
      </c>
      <c r="KI142" s="971" t="s">
        <v>758</v>
      </c>
      <c r="KJ142" s="971">
        <v>8</v>
      </c>
      <c r="KK142" s="971" t="s">
        <v>758</v>
      </c>
      <c r="KL142" s="949">
        <v>0.3</v>
      </c>
      <c r="KM142" s="949">
        <v>0.6</v>
      </c>
      <c r="KN142" s="949">
        <v>0.1</v>
      </c>
      <c r="KO142" s="949">
        <v>0</v>
      </c>
      <c r="KP142" s="949">
        <v>0.69</v>
      </c>
      <c r="KQ142" s="949">
        <v>0.4</v>
      </c>
      <c r="KR142" s="949">
        <v>0.67</v>
      </c>
      <c r="KS142" s="949">
        <v>0.48</v>
      </c>
      <c r="KT142" s="949">
        <v>0.47</v>
      </c>
      <c r="KU142" s="949">
        <v>0.5</v>
      </c>
      <c r="KV142" s="949">
        <v>0.85</v>
      </c>
      <c r="KW142" s="949">
        <v>0.48</v>
      </c>
      <c r="KX142" s="949">
        <v>0.48</v>
      </c>
      <c r="KY142" s="949">
        <v>0.53</v>
      </c>
      <c r="KZ142" s="949">
        <v>0.59</v>
      </c>
      <c r="LA142" s="949">
        <v>0.4</v>
      </c>
      <c r="LB142" s="949">
        <v>0.42</v>
      </c>
      <c r="LC142" s="949">
        <v>0.34</v>
      </c>
      <c r="LD142" s="949">
        <v>0.67</v>
      </c>
      <c r="LE142" s="949">
        <v>0.64</v>
      </c>
      <c r="LF142" s="949">
        <v>0.28999999999999998</v>
      </c>
      <c r="LG142" s="949">
        <v>1</v>
      </c>
      <c r="LH142" s="949">
        <v>0.63</v>
      </c>
      <c r="LI142" s="949">
        <v>0.61</v>
      </c>
      <c r="LJ142" s="949">
        <v>0.46</v>
      </c>
      <c r="LK142" s="949">
        <v>0.75</v>
      </c>
      <c r="LL142" s="949" t="s">
        <v>173</v>
      </c>
      <c r="LM142" s="949">
        <v>0.53</v>
      </c>
      <c r="LN142" s="949">
        <v>0.33</v>
      </c>
      <c r="LO142" s="949">
        <v>0.56999999999999995</v>
      </c>
      <c r="LP142" s="922">
        <v>325754004173</v>
      </c>
      <c r="LQ142" s="804" t="s">
        <v>87</v>
      </c>
      <c r="LR142" s="424">
        <v>55</v>
      </c>
      <c r="LS142" s="971">
        <v>47</v>
      </c>
      <c r="LT142" s="946"/>
    </row>
    <row r="143" spans="1:332" ht="24.95" customHeight="1" x14ac:dyDescent="0.2">
      <c r="A143" s="803" t="s">
        <v>135</v>
      </c>
      <c r="B143" s="1" t="s">
        <v>123</v>
      </c>
      <c r="C143" s="2">
        <v>2</v>
      </c>
      <c r="D143" s="12"/>
      <c r="E143" s="12"/>
      <c r="F143" s="12"/>
      <c r="G143" s="12"/>
      <c r="H143" s="12"/>
      <c r="I143" s="12"/>
      <c r="J143" s="12"/>
      <c r="K143" s="12"/>
      <c r="L143" s="12"/>
      <c r="M143" s="12"/>
      <c r="N143" s="12"/>
      <c r="O143" s="12"/>
      <c r="P143" s="12"/>
      <c r="Q143" s="12"/>
      <c r="R143" s="12"/>
      <c r="S143" s="12"/>
      <c r="T143" s="12"/>
      <c r="U143" s="12"/>
      <c r="V143" s="12"/>
      <c r="W143" s="12"/>
      <c r="X143" s="12"/>
      <c r="Y143" s="12"/>
      <c r="Z143" s="12"/>
      <c r="AA143" s="12"/>
      <c r="AB143" s="12"/>
      <c r="AC143" s="12"/>
      <c r="AD143" s="12"/>
      <c r="AE143" s="12"/>
      <c r="AF143" s="12"/>
      <c r="AG143" s="12"/>
      <c r="AH143" s="12" t="s">
        <v>126</v>
      </c>
      <c r="AI143" s="12" t="s">
        <v>126</v>
      </c>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12" t="s">
        <v>126</v>
      </c>
      <c r="BN143" s="12" t="s">
        <v>126</v>
      </c>
      <c r="BO143" s="12"/>
      <c r="BP143" s="12"/>
      <c r="BQ143" s="12"/>
      <c r="BR143" s="12"/>
      <c r="BS143" s="12"/>
      <c r="BT143" s="12"/>
      <c r="BU143" s="12"/>
      <c r="BV143" s="12"/>
      <c r="BW143" s="12"/>
      <c r="BX143" s="12"/>
      <c r="BY143" s="12"/>
      <c r="BZ143" s="12"/>
      <c r="CA143" s="12"/>
      <c r="CB143" s="12"/>
      <c r="CC143" s="12"/>
      <c r="CD143" s="12"/>
      <c r="CE143" s="12"/>
      <c r="CF143" s="12"/>
      <c r="CG143" s="12"/>
      <c r="CH143" s="12"/>
      <c r="CI143" s="12"/>
      <c r="CJ143" s="12"/>
      <c r="CK143" s="12"/>
      <c r="CL143" s="12"/>
      <c r="CM143" s="12"/>
      <c r="CN143" s="12"/>
      <c r="CO143" s="12"/>
      <c r="CP143" s="12"/>
      <c r="CQ143" s="12"/>
      <c r="CR143" s="12"/>
      <c r="CS143" s="12">
        <v>49</v>
      </c>
      <c r="CT143" s="12">
        <v>6</v>
      </c>
      <c r="CU143" s="63">
        <v>0.17</v>
      </c>
      <c r="CV143" s="63">
        <v>0.83</v>
      </c>
      <c r="CW143" s="63">
        <v>0</v>
      </c>
      <c r="CX143" s="63">
        <v>0</v>
      </c>
      <c r="CY143" s="63">
        <v>0.33</v>
      </c>
      <c r="CZ143" s="63">
        <v>0.26</v>
      </c>
      <c r="DA143" s="63">
        <v>0.56000000000000005</v>
      </c>
      <c r="DB143" s="63">
        <v>0.18</v>
      </c>
      <c r="DC143" s="63">
        <v>0.56000000000000005</v>
      </c>
      <c r="DD143" s="63">
        <v>0.75</v>
      </c>
      <c r="DE143" s="63">
        <v>0.44</v>
      </c>
      <c r="DF143" s="63">
        <v>0.6</v>
      </c>
      <c r="DG143" s="63">
        <v>0.6</v>
      </c>
      <c r="DH143" s="63">
        <v>0.39</v>
      </c>
      <c r="DI143" s="63">
        <v>1</v>
      </c>
      <c r="DJ143" s="63">
        <v>0.76</v>
      </c>
      <c r="DK143" s="63">
        <v>0.36</v>
      </c>
      <c r="DL143" s="63">
        <v>0</v>
      </c>
      <c r="DM143" s="63">
        <v>0.35</v>
      </c>
      <c r="DN143" s="63">
        <v>0.22</v>
      </c>
      <c r="DO143" s="63">
        <v>0.2</v>
      </c>
      <c r="DP143" s="63">
        <v>0.67</v>
      </c>
      <c r="DQ143" s="63">
        <v>0.48</v>
      </c>
      <c r="DR143" s="63">
        <v>0.14000000000000001</v>
      </c>
      <c r="DS143" s="63">
        <v>0.62</v>
      </c>
      <c r="DT143" s="63">
        <v>0.64</v>
      </c>
      <c r="DU143" s="63">
        <v>0.33</v>
      </c>
      <c r="DV143" s="63">
        <v>0.89</v>
      </c>
      <c r="DW143" s="63">
        <v>0.17</v>
      </c>
      <c r="DX143" s="35">
        <v>50</v>
      </c>
      <c r="DY143" s="35">
        <v>7</v>
      </c>
      <c r="DZ143" s="40">
        <v>0</v>
      </c>
      <c r="EA143" s="40">
        <v>0.67</v>
      </c>
      <c r="EB143" s="40">
        <v>0.33</v>
      </c>
      <c r="EC143" s="40">
        <v>0</v>
      </c>
      <c r="ED143" s="40">
        <v>0.75</v>
      </c>
      <c r="EE143" s="40">
        <v>0.88</v>
      </c>
      <c r="EF143" s="40">
        <v>0.2</v>
      </c>
      <c r="EG143" s="40">
        <v>0</v>
      </c>
      <c r="EH143" s="40">
        <v>0</v>
      </c>
      <c r="EI143" s="40">
        <v>0.33</v>
      </c>
      <c r="EJ143" s="40">
        <v>0.5</v>
      </c>
      <c r="EK143" s="40">
        <v>0.33</v>
      </c>
      <c r="EL143" s="40">
        <v>0.6</v>
      </c>
      <c r="EM143" s="40">
        <v>0.5</v>
      </c>
      <c r="EN143" s="40">
        <v>0.5</v>
      </c>
      <c r="EO143" s="40">
        <v>0.33</v>
      </c>
      <c r="EP143" s="40">
        <v>0.14000000000000001</v>
      </c>
      <c r="EQ143" s="40">
        <v>0.5</v>
      </c>
      <c r="ER143" s="40">
        <v>0.56999999999999995</v>
      </c>
      <c r="ES143" s="40">
        <v>0.25</v>
      </c>
      <c r="ET143" s="40">
        <v>0.22</v>
      </c>
      <c r="EU143" s="40">
        <v>1</v>
      </c>
      <c r="EV143" s="35" t="s">
        <v>173</v>
      </c>
      <c r="EW143" s="40">
        <v>0.67</v>
      </c>
      <c r="EX143" s="40">
        <v>0.5</v>
      </c>
      <c r="EY143" s="40">
        <v>0.73</v>
      </c>
      <c r="EZ143" s="40">
        <v>1</v>
      </c>
      <c r="FA143" s="40">
        <v>0.56999999999999995</v>
      </c>
      <c r="FB143" s="246">
        <v>47</v>
      </c>
      <c r="FC143" s="246" t="s">
        <v>758</v>
      </c>
      <c r="FD143" s="246">
        <v>11</v>
      </c>
      <c r="FE143" s="246" t="s">
        <v>758</v>
      </c>
      <c r="FF143" s="263">
        <v>0.43</v>
      </c>
      <c r="FG143" s="263">
        <v>0.28999999999999998</v>
      </c>
      <c r="FH143" s="263">
        <v>0.28999999999999998</v>
      </c>
      <c r="FI143" s="263">
        <v>0</v>
      </c>
      <c r="FJ143" s="263">
        <v>0.53</v>
      </c>
      <c r="FK143" s="263">
        <v>0.54</v>
      </c>
      <c r="FL143" s="263">
        <v>0.56999999999999995</v>
      </c>
      <c r="FM143" s="263">
        <v>0.38</v>
      </c>
      <c r="FN143" s="263">
        <v>0.53</v>
      </c>
      <c r="FO143" s="263">
        <v>0.24</v>
      </c>
      <c r="FP143" s="263">
        <v>0.47</v>
      </c>
      <c r="FQ143" s="263">
        <v>0.41</v>
      </c>
      <c r="FR143" s="263">
        <v>0.56999999999999995</v>
      </c>
      <c r="FS143" s="263">
        <v>0.65</v>
      </c>
      <c r="FT143" s="263">
        <v>0.44</v>
      </c>
      <c r="FU143" s="263">
        <v>0.67</v>
      </c>
      <c r="FV143" s="263">
        <v>0.48</v>
      </c>
      <c r="FW143" s="263">
        <v>0.66</v>
      </c>
      <c r="FX143" s="263">
        <v>0.53</v>
      </c>
      <c r="FY143" s="263">
        <v>0.48</v>
      </c>
      <c r="FZ143" s="263">
        <v>0.35</v>
      </c>
      <c r="GA143" s="263">
        <v>0.59</v>
      </c>
      <c r="GB143" s="263">
        <v>0.26</v>
      </c>
      <c r="GC143" s="263">
        <v>0.43</v>
      </c>
      <c r="GD143" s="263">
        <v>0.64</v>
      </c>
      <c r="GE143" s="263">
        <v>0.57999999999999996</v>
      </c>
      <c r="GF143" s="263">
        <v>0.52</v>
      </c>
      <c r="GG143" s="263">
        <v>0.42</v>
      </c>
      <c r="GH143" s="263">
        <v>0.59</v>
      </c>
      <c r="GI143" s="263">
        <v>0.48</v>
      </c>
      <c r="GJ143" s="309">
        <v>50</v>
      </c>
      <c r="GK143" s="309" t="s">
        <v>758</v>
      </c>
      <c r="GL143" s="309">
        <v>7</v>
      </c>
      <c r="GM143" s="309" t="s">
        <v>758</v>
      </c>
      <c r="GN143" s="327">
        <v>0.05</v>
      </c>
      <c r="GO143" s="327">
        <v>0.81</v>
      </c>
      <c r="GP143" s="327">
        <v>0.14000000000000001</v>
      </c>
      <c r="GQ143" s="327">
        <v>0</v>
      </c>
      <c r="GR143" s="327">
        <v>0.55000000000000004</v>
      </c>
      <c r="GS143" s="327">
        <v>0.62</v>
      </c>
      <c r="GT143" s="327">
        <v>0.56000000000000005</v>
      </c>
      <c r="GU143" s="327">
        <v>0.33</v>
      </c>
      <c r="GV143" s="327">
        <v>0.55000000000000004</v>
      </c>
      <c r="GW143" s="327">
        <v>0.63</v>
      </c>
      <c r="GX143" s="327">
        <v>0.54</v>
      </c>
      <c r="GY143" s="309" t="s">
        <v>173</v>
      </c>
      <c r="GZ143" s="327">
        <v>0.4</v>
      </c>
      <c r="HA143" s="327">
        <v>0.82</v>
      </c>
      <c r="HB143" s="327">
        <v>0.51</v>
      </c>
      <c r="HC143" s="327">
        <v>0.59</v>
      </c>
      <c r="HD143" s="327">
        <v>0.56000000000000005</v>
      </c>
      <c r="HE143" s="327">
        <v>0.41</v>
      </c>
      <c r="HF143" s="327">
        <v>0.44</v>
      </c>
      <c r="HG143" s="327">
        <v>0.65</v>
      </c>
      <c r="HH143" s="327">
        <v>0.42</v>
      </c>
      <c r="HI143" s="327">
        <v>0.44</v>
      </c>
      <c r="HJ143" s="327">
        <v>0.61</v>
      </c>
      <c r="HK143" s="327">
        <v>0.61</v>
      </c>
      <c r="HL143" s="327">
        <v>0.4</v>
      </c>
      <c r="HM143" s="327">
        <v>0.62</v>
      </c>
      <c r="HN143" s="327">
        <v>0.52</v>
      </c>
      <c r="HO143" s="327">
        <v>0.38</v>
      </c>
      <c r="HP143" s="309" t="s">
        <v>173</v>
      </c>
      <c r="HQ143" s="327">
        <v>0.53</v>
      </c>
      <c r="HR143" s="424">
        <v>46</v>
      </c>
      <c r="HS143" s="424" t="s">
        <v>758</v>
      </c>
      <c r="HT143" s="424">
        <v>10</v>
      </c>
      <c r="HU143" s="424" t="s">
        <v>758</v>
      </c>
      <c r="HV143" s="428">
        <v>0.32</v>
      </c>
      <c r="HW143" s="428">
        <v>0.42</v>
      </c>
      <c r="HX143" s="428">
        <v>0.26</v>
      </c>
      <c r="HY143" s="428">
        <v>0</v>
      </c>
      <c r="HZ143" s="428">
        <v>0.44</v>
      </c>
      <c r="IA143" s="428">
        <v>0.64</v>
      </c>
      <c r="IB143" s="428">
        <v>0.39</v>
      </c>
      <c r="IC143" s="428">
        <v>0.56000000000000005</v>
      </c>
      <c r="ID143" s="428">
        <v>0.73</v>
      </c>
      <c r="IE143" s="428">
        <v>0.41</v>
      </c>
      <c r="IF143" s="428">
        <v>0.47</v>
      </c>
      <c r="IG143" s="428">
        <v>0.72</v>
      </c>
      <c r="IH143" s="428">
        <v>0.64</v>
      </c>
      <c r="II143" s="428">
        <v>0.64</v>
      </c>
      <c r="IJ143" s="428">
        <v>0.48</v>
      </c>
      <c r="IK143" s="428">
        <v>0.61</v>
      </c>
      <c r="IL143" s="428">
        <v>0.24</v>
      </c>
      <c r="IM143" s="428">
        <v>0.67</v>
      </c>
      <c r="IN143" s="428">
        <v>0.66</v>
      </c>
      <c r="IO143" s="428">
        <v>0.62</v>
      </c>
      <c r="IP143" s="428">
        <v>0.48</v>
      </c>
      <c r="IQ143" s="428">
        <v>0.73</v>
      </c>
      <c r="IR143" s="428">
        <v>0.54</v>
      </c>
      <c r="IS143" s="428">
        <v>0.7</v>
      </c>
      <c r="IT143" s="428">
        <v>0.56999999999999995</v>
      </c>
      <c r="IU143" s="424" t="s">
        <v>173</v>
      </c>
      <c r="IV143" s="428">
        <v>0.84</v>
      </c>
      <c r="IW143" s="428">
        <v>0.56000000000000005</v>
      </c>
      <c r="IX143" s="428">
        <v>0.42</v>
      </c>
      <c r="IY143" s="428">
        <v>0.62</v>
      </c>
      <c r="IZ143" s="464">
        <v>44</v>
      </c>
      <c r="JA143" s="464" t="s">
        <v>760</v>
      </c>
      <c r="JB143" s="464">
        <v>7</v>
      </c>
      <c r="JC143" s="464" t="s">
        <v>758</v>
      </c>
      <c r="JD143" s="476">
        <v>0.17</v>
      </c>
      <c r="JE143" s="476">
        <v>0.75</v>
      </c>
      <c r="JF143" s="476">
        <v>0.08</v>
      </c>
      <c r="JG143" s="476">
        <v>0</v>
      </c>
      <c r="JH143" s="476">
        <v>0.57999999999999996</v>
      </c>
      <c r="JI143" s="476">
        <v>0.51</v>
      </c>
      <c r="JJ143" s="476">
        <v>0.59</v>
      </c>
      <c r="JK143" s="476">
        <v>0.48</v>
      </c>
      <c r="JL143" s="476">
        <v>0.56999999999999995</v>
      </c>
      <c r="JM143" s="476">
        <v>0.78</v>
      </c>
      <c r="JN143" s="476">
        <v>0.62</v>
      </c>
      <c r="JO143" s="476">
        <v>0.69</v>
      </c>
      <c r="JP143" s="476">
        <v>0.63</v>
      </c>
      <c r="JQ143" s="476">
        <v>0.31</v>
      </c>
      <c r="JR143" s="476">
        <v>0.63</v>
      </c>
      <c r="JS143" s="476">
        <v>0.5</v>
      </c>
      <c r="JT143" s="476">
        <v>0.5</v>
      </c>
      <c r="JU143" s="476">
        <v>0.5</v>
      </c>
      <c r="JV143" s="476">
        <v>0.77</v>
      </c>
      <c r="JW143" s="476">
        <v>0.48</v>
      </c>
      <c r="JX143" s="476">
        <v>0.48</v>
      </c>
      <c r="JY143" s="476">
        <v>0.56999999999999995</v>
      </c>
      <c r="JZ143" s="476">
        <v>0.86</v>
      </c>
      <c r="KA143" s="476">
        <v>0.6</v>
      </c>
      <c r="KB143" s="476">
        <v>0.55000000000000004</v>
      </c>
      <c r="KC143" s="476">
        <v>0.63</v>
      </c>
      <c r="KD143" s="476">
        <v>0.65</v>
      </c>
      <c r="KE143" s="476">
        <v>0.71</v>
      </c>
      <c r="KF143" s="476">
        <v>0.53</v>
      </c>
      <c r="KG143" s="476">
        <v>0.81</v>
      </c>
      <c r="KH143" s="971">
        <v>48</v>
      </c>
      <c r="KI143" s="971" t="s">
        <v>758</v>
      </c>
      <c r="KJ143" s="971">
        <v>3</v>
      </c>
      <c r="KK143" s="971" t="s">
        <v>760</v>
      </c>
      <c r="KL143" s="949">
        <v>0</v>
      </c>
      <c r="KM143" s="949">
        <v>1</v>
      </c>
      <c r="KN143" s="949">
        <v>0</v>
      </c>
      <c r="KO143" s="949">
        <v>0</v>
      </c>
      <c r="KP143" s="949">
        <v>0.75</v>
      </c>
      <c r="KQ143" s="949">
        <v>0.44</v>
      </c>
      <c r="KR143" s="949">
        <v>0.78</v>
      </c>
      <c r="KS143" s="949">
        <v>0.43</v>
      </c>
      <c r="KT143" s="949">
        <v>0.64</v>
      </c>
      <c r="KU143" s="949">
        <v>0.7</v>
      </c>
      <c r="KV143" s="949">
        <v>0.57999999999999996</v>
      </c>
      <c r="KW143" s="949">
        <v>0.44</v>
      </c>
      <c r="KX143" s="949">
        <v>0.32</v>
      </c>
      <c r="KY143" s="949">
        <v>0.5</v>
      </c>
      <c r="KZ143" s="949">
        <v>0.56000000000000005</v>
      </c>
      <c r="LA143" s="949">
        <v>0.63</v>
      </c>
      <c r="LB143" s="949">
        <v>0.67</v>
      </c>
      <c r="LC143" s="949">
        <v>0.3</v>
      </c>
      <c r="LD143" s="949">
        <v>0.74</v>
      </c>
      <c r="LE143" s="949">
        <v>0.47</v>
      </c>
      <c r="LF143" s="949">
        <v>0.54</v>
      </c>
      <c r="LG143" s="949">
        <v>0.5</v>
      </c>
      <c r="LH143" s="949">
        <v>0.64</v>
      </c>
      <c r="LI143" s="949">
        <v>0.5</v>
      </c>
      <c r="LJ143" s="949">
        <v>0.5</v>
      </c>
      <c r="LK143" s="949">
        <v>0.5</v>
      </c>
      <c r="LL143" s="949" t="s">
        <v>173</v>
      </c>
      <c r="LM143" s="949">
        <v>0.6</v>
      </c>
      <c r="LN143" s="949">
        <v>1</v>
      </c>
      <c r="LO143" s="949">
        <v>0.55000000000000004</v>
      </c>
      <c r="LP143" s="922">
        <v>325754000968</v>
      </c>
      <c r="LQ143" s="803" t="s">
        <v>135</v>
      </c>
      <c r="LR143" s="424">
        <v>46</v>
      </c>
      <c r="LS143" s="971">
        <v>48</v>
      </c>
      <c r="LT143" s="946"/>
    </row>
    <row r="144" spans="1:332" ht="24.95" customHeight="1" x14ac:dyDescent="0.2">
      <c r="A144" s="803" t="s">
        <v>81</v>
      </c>
      <c r="B144" s="1" t="s">
        <v>123</v>
      </c>
      <c r="C144" s="2">
        <v>2</v>
      </c>
      <c r="D144" s="12">
        <v>51</v>
      </c>
      <c r="E144" s="12">
        <v>8</v>
      </c>
      <c r="F144" s="66">
        <v>0.1</v>
      </c>
      <c r="G144" s="66">
        <v>0.67</v>
      </c>
      <c r="H144" s="66">
        <v>0.24</v>
      </c>
      <c r="I144" s="66">
        <v>0</v>
      </c>
      <c r="J144" s="66">
        <v>0.53</v>
      </c>
      <c r="K144" s="66">
        <v>0.5</v>
      </c>
      <c r="L144" s="66">
        <v>0.81</v>
      </c>
      <c r="M144" s="66">
        <v>0.38</v>
      </c>
      <c r="N144" s="66">
        <v>0.32</v>
      </c>
      <c r="O144" s="66">
        <v>0.71</v>
      </c>
      <c r="P144" s="66">
        <v>0.43</v>
      </c>
      <c r="Q144" s="66">
        <v>0.59</v>
      </c>
      <c r="R144" s="66">
        <v>0.62</v>
      </c>
      <c r="S144" s="66">
        <v>0.65</v>
      </c>
      <c r="T144" s="66">
        <v>0.61</v>
      </c>
      <c r="U144" s="66">
        <v>0.6</v>
      </c>
      <c r="V144" s="66">
        <v>0.09</v>
      </c>
      <c r="W144" s="66">
        <v>0.39</v>
      </c>
      <c r="X144" s="66">
        <v>0.55000000000000004</v>
      </c>
      <c r="Y144" s="66">
        <v>0.61</v>
      </c>
      <c r="Z144" s="66">
        <v>1</v>
      </c>
      <c r="AA144" s="66">
        <v>0.08</v>
      </c>
      <c r="AB144" s="66">
        <v>0.55000000000000004</v>
      </c>
      <c r="AC144" s="66">
        <v>0.22</v>
      </c>
      <c r="AD144" s="66">
        <v>0.49</v>
      </c>
      <c r="AE144" s="66">
        <v>0.57999999999999996</v>
      </c>
      <c r="AF144" s="66">
        <v>0.57999999999999996</v>
      </c>
      <c r="AG144" s="66">
        <v>0.4</v>
      </c>
      <c r="AH144" s="12">
        <v>55</v>
      </c>
      <c r="AI144" s="12">
        <v>8</v>
      </c>
      <c r="AJ144" s="40">
        <v>0.05</v>
      </c>
      <c r="AK144" s="40">
        <v>0.38</v>
      </c>
      <c r="AL144" s="40">
        <v>0.56000000000000005</v>
      </c>
      <c r="AM144" s="40">
        <v>0</v>
      </c>
      <c r="AN144" s="40">
        <v>0.21</v>
      </c>
      <c r="AO144" s="40">
        <v>0.34</v>
      </c>
      <c r="AP144" s="40">
        <v>0.53</v>
      </c>
      <c r="AQ144" s="40">
        <v>0.3</v>
      </c>
      <c r="AR144" s="40">
        <v>0.57999999999999996</v>
      </c>
      <c r="AS144" s="40">
        <v>0.48</v>
      </c>
      <c r="AT144" s="40">
        <v>0.44</v>
      </c>
      <c r="AU144" s="40">
        <v>0.49</v>
      </c>
      <c r="AV144" s="40">
        <v>0.54</v>
      </c>
      <c r="AW144" s="40">
        <v>0.44</v>
      </c>
      <c r="AX144" s="40">
        <v>0.53</v>
      </c>
      <c r="AY144" s="40">
        <v>0.27</v>
      </c>
      <c r="AZ144" s="40">
        <v>0.24</v>
      </c>
      <c r="BA144" s="40">
        <v>0.45</v>
      </c>
      <c r="BB144" s="40">
        <v>0.61</v>
      </c>
      <c r="BC144" s="40">
        <v>0.64</v>
      </c>
      <c r="BD144" s="40">
        <v>0.45</v>
      </c>
      <c r="BE144" s="40">
        <v>0.55000000000000004</v>
      </c>
      <c r="BF144" s="40">
        <v>0.6</v>
      </c>
      <c r="BG144" s="40">
        <v>0.43</v>
      </c>
      <c r="BH144" s="40">
        <v>0.39</v>
      </c>
      <c r="BI144" s="40">
        <v>0.36</v>
      </c>
      <c r="BJ144" s="40">
        <v>0.26</v>
      </c>
      <c r="BK144" s="40">
        <v>0.36</v>
      </c>
      <c r="BL144" s="40">
        <v>0.42</v>
      </c>
      <c r="BM144" s="12">
        <v>52</v>
      </c>
      <c r="BN144" s="12">
        <v>10</v>
      </c>
      <c r="BO144" s="66">
        <v>0.12</v>
      </c>
      <c r="BP144" s="66">
        <v>0.49</v>
      </c>
      <c r="BQ144" s="66">
        <v>0.33</v>
      </c>
      <c r="BR144" s="66">
        <v>0.06</v>
      </c>
      <c r="BS144" s="66">
        <v>0.3</v>
      </c>
      <c r="BT144" s="66">
        <v>0.62</v>
      </c>
      <c r="BU144" s="66">
        <v>0.59</v>
      </c>
      <c r="BV144" s="66">
        <v>0.47</v>
      </c>
      <c r="BW144" s="66">
        <v>0.55000000000000004</v>
      </c>
      <c r="BX144" s="66">
        <v>0.39</v>
      </c>
      <c r="BY144" s="66">
        <v>0.4</v>
      </c>
      <c r="BZ144" s="66">
        <v>0.55000000000000004</v>
      </c>
      <c r="CA144" s="66">
        <v>0.4</v>
      </c>
      <c r="CB144" s="66">
        <v>0.33</v>
      </c>
      <c r="CC144" s="66">
        <v>0.2</v>
      </c>
      <c r="CD144" s="66">
        <v>0.4</v>
      </c>
      <c r="CE144" s="66">
        <v>0.32</v>
      </c>
      <c r="CF144" s="66">
        <v>0.72</v>
      </c>
      <c r="CG144" s="66">
        <v>0.57999999999999996</v>
      </c>
      <c r="CH144" s="66">
        <v>0.45</v>
      </c>
      <c r="CI144" s="66">
        <v>0.57999999999999996</v>
      </c>
      <c r="CJ144" s="66">
        <v>0.28999999999999998</v>
      </c>
      <c r="CK144" s="66">
        <v>0.66</v>
      </c>
      <c r="CL144" s="66">
        <v>0.27</v>
      </c>
      <c r="CM144" s="66">
        <v>0.38</v>
      </c>
      <c r="CN144" s="66">
        <v>0.38</v>
      </c>
      <c r="CO144" s="66">
        <v>0.46</v>
      </c>
      <c r="CP144" s="66">
        <v>0.27</v>
      </c>
      <c r="CQ144" s="66">
        <v>0.49</v>
      </c>
      <c r="CR144" s="66">
        <v>0.5</v>
      </c>
      <c r="CS144" s="12">
        <v>52</v>
      </c>
      <c r="CT144" s="12">
        <v>8</v>
      </c>
      <c r="CU144" s="63">
        <v>0.09</v>
      </c>
      <c r="CV144" s="63">
        <v>0.61</v>
      </c>
      <c r="CW144" s="63">
        <v>0.27</v>
      </c>
      <c r="CX144" s="63">
        <v>0.02</v>
      </c>
      <c r="CY144" s="63">
        <v>0.49</v>
      </c>
      <c r="CZ144" s="63">
        <v>0.25</v>
      </c>
      <c r="DA144" s="63">
        <v>0.56999999999999995</v>
      </c>
      <c r="DB144" s="63">
        <v>0.27</v>
      </c>
      <c r="DC144" s="63">
        <v>0.38</v>
      </c>
      <c r="DD144" s="63">
        <v>0.57999999999999996</v>
      </c>
      <c r="DE144" s="63">
        <v>0.48</v>
      </c>
      <c r="DF144" s="63">
        <v>0.48</v>
      </c>
      <c r="DG144" s="63">
        <v>0.42</v>
      </c>
      <c r="DH144" s="63">
        <v>0.43</v>
      </c>
      <c r="DI144" s="63">
        <v>0.47</v>
      </c>
      <c r="DJ144" s="63">
        <v>0.49</v>
      </c>
      <c r="DK144" s="63">
        <v>0.27</v>
      </c>
      <c r="DL144" s="63">
        <v>0.44</v>
      </c>
      <c r="DM144" s="63">
        <v>0.55000000000000004</v>
      </c>
      <c r="DN144" s="63">
        <v>0.4</v>
      </c>
      <c r="DO144" s="63">
        <v>0.38</v>
      </c>
      <c r="DP144" s="63">
        <v>0.39</v>
      </c>
      <c r="DQ144" s="63">
        <v>0.54</v>
      </c>
      <c r="DR144" s="63">
        <v>0.17</v>
      </c>
      <c r="DS144" s="63">
        <v>0.34</v>
      </c>
      <c r="DT144" s="63">
        <v>0.52</v>
      </c>
      <c r="DU144" s="63">
        <v>0.54</v>
      </c>
      <c r="DV144" s="63">
        <v>0.57999999999999996</v>
      </c>
      <c r="DW144" s="63">
        <v>0.34</v>
      </c>
      <c r="DX144" s="35">
        <v>53</v>
      </c>
      <c r="DY144" s="35">
        <v>10</v>
      </c>
      <c r="DZ144" s="40">
        <v>0.11</v>
      </c>
      <c r="EA144" s="40">
        <v>0.45</v>
      </c>
      <c r="EB144" s="40">
        <v>0.41</v>
      </c>
      <c r="EC144" s="40">
        <v>0.04</v>
      </c>
      <c r="ED144" s="40">
        <v>0.39</v>
      </c>
      <c r="EE144" s="40">
        <v>0.47</v>
      </c>
      <c r="EF144" s="40">
        <v>0.45</v>
      </c>
      <c r="EG144" s="40">
        <v>0.23</v>
      </c>
      <c r="EH144" s="40">
        <v>0.35</v>
      </c>
      <c r="EI144" s="40">
        <v>0.35</v>
      </c>
      <c r="EJ144" s="40">
        <v>0.57999999999999996</v>
      </c>
      <c r="EK144" s="40">
        <v>0.3</v>
      </c>
      <c r="EL144" s="40">
        <v>0.34</v>
      </c>
      <c r="EM144" s="40">
        <v>0.61</v>
      </c>
      <c r="EN144" s="40">
        <v>0.37</v>
      </c>
      <c r="EO144" s="40">
        <v>0.54</v>
      </c>
      <c r="EP144" s="40">
        <v>0.31</v>
      </c>
      <c r="EQ144" s="40">
        <v>0.31</v>
      </c>
      <c r="ER144" s="40">
        <v>0.54</v>
      </c>
      <c r="ES144" s="40">
        <v>0.34</v>
      </c>
      <c r="ET144" s="40">
        <v>0.28000000000000003</v>
      </c>
      <c r="EU144" s="40">
        <v>0.51</v>
      </c>
      <c r="EV144" s="40">
        <v>0.18</v>
      </c>
      <c r="EW144" s="40">
        <v>0.3</v>
      </c>
      <c r="EX144" s="40">
        <v>0.59</v>
      </c>
      <c r="EY144" s="40">
        <v>0.45</v>
      </c>
      <c r="EZ144" s="40">
        <v>0.06</v>
      </c>
      <c r="FA144" s="40">
        <v>0.53</v>
      </c>
      <c r="FB144" s="246">
        <v>53</v>
      </c>
      <c r="FC144" s="246" t="s">
        <v>758</v>
      </c>
      <c r="FD144" s="246">
        <v>8</v>
      </c>
      <c r="FE144" s="246" t="s">
        <v>758</v>
      </c>
      <c r="FF144" s="263">
        <v>0.05</v>
      </c>
      <c r="FG144" s="263">
        <v>0.54</v>
      </c>
      <c r="FH144" s="263">
        <v>0.41</v>
      </c>
      <c r="FI144" s="263">
        <v>0</v>
      </c>
      <c r="FJ144" s="263">
        <v>0.39</v>
      </c>
      <c r="FK144" s="263">
        <v>0.7</v>
      </c>
      <c r="FL144" s="263">
        <v>0.41</v>
      </c>
      <c r="FM144" s="263">
        <v>0.27</v>
      </c>
      <c r="FN144" s="263">
        <v>0.2</v>
      </c>
      <c r="FO144" s="263">
        <v>0.28000000000000003</v>
      </c>
      <c r="FP144" s="263">
        <v>0.38</v>
      </c>
      <c r="FQ144" s="263">
        <v>0.36</v>
      </c>
      <c r="FR144" s="263">
        <v>0.55000000000000004</v>
      </c>
      <c r="FS144" s="263">
        <v>0.5</v>
      </c>
      <c r="FT144" s="263">
        <v>0.47</v>
      </c>
      <c r="FU144" s="263">
        <v>0.3</v>
      </c>
      <c r="FV144" s="263">
        <v>0.48</v>
      </c>
      <c r="FW144" s="263">
        <v>0.52</v>
      </c>
      <c r="FX144" s="263">
        <v>0.31</v>
      </c>
      <c r="FY144" s="263">
        <v>0.31</v>
      </c>
      <c r="FZ144" s="263">
        <v>0.33</v>
      </c>
      <c r="GA144" s="263">
        <v>0.38</v>
      </c>
      <c r="GB144" s="263">
        <v>0.55000000000000004</v>
      </c>
      <c r="GC144" s="263">
        <v>0.38</v>
      </c>
      <c r="GD144" s="263">
        <v>0.55000000000000004</v>
      </c>
      <c r="GE144" s="263">
        <v>0.51</v>
      </c>
      <c r="GF144" s="263">
        <v>0.49</v>
      </c>
      <c r="GG144" s="263">
        <v>0.35</v>
      </c>
      <c r="GH144" s="263">
        <v>0.46</v>
      </c>
      <c r="GI144" s="263">
        <v>0.23</v>
      </c>
      <c r="GJ144" s="309">
        <v>51</v>
      </c>
      <c r="GK144" s="309" t="s">
        <v>758</v>
      </c>
      <c r="GL144" s="309">
        <v>10</v>
      </c>
      <c r="GM144" s="309" t="s">
        <v>758</v>
      </c>
      <c r="GN144" s="327">
        <v>0.14000000000000001</v>
      </c>
      <c r="GO144" s="327">
        <v>0.57999999999999996</v>
      </c>
      <c r="GP144" s="327">
        <v>0.27</v>
      </c>
      <c r="GQ144" s="327">
        <v>0.01</v>
      </c>
      <c r="GR144" s="327">
        <v>0.55000000000000004</v>
      </c>
      <c r="GS144" s="327">
        <v>0.49</v>
      </c>
      <c r="GT144" s="327">
        <v>0.62</v>
      </c>
      <c r="GU144" s="327">
        <v>0.25</v>
      </c>
      <c r="GV144" s="327">
        <v>0.56000000000000005</v>
      </c>
      <c r="GW144" s="327">
        <v>0.46</v>
      </c>
      <c r="GX144" s="327">
        <v>0.49</v>
      </c>
      <c r="GY144" s="309" t="s">
        <v>173</v>
      </c>
      <c r="GZ144" s="327">
        <v>0.34</v>
      </c>
      <c r="HA144" s="327">
        <v>0.7</v>
      </c>
      <c r="HB144" s="327">
        <v>0.49</v>
      </c>
      <c r="HC144" s="327">
        <v>0.54</v>
      </c>
      <c r="HD144" s="327">
        <v>0.56000000000000005</v>
      </c>
      <c r="HE144" s="327">
        <v>0.39</v>
      </c>
      <c r="HF144" s="327">
        <v>0.48</v>
      </c>
      <c r="HG144" s="327">
        <v>0.62</v>
      </c>
      <c r="HH144" s="327">
        <v>0.38</v>
      </c>
      <c r="HI144" s="327">
        <v>0.56999999999999995</v>
      </c>
      <c r="HJ144" s="327">
        <v>0.59</v>
      </c>
      <c r="HK144" s="327">
        <v>0.54</v>
      </c>
      <c r="HL144" s="327">
        <v>0.38</v>
      </c>
      <c r="HM144" s="327">
        <v>0.48</v>
      </c>
      <c r="HN144" s="327">
        <v>0.47</v>
      </c>
      <c r="HO144" s="327">
        <v>0.47</v>
      </c>
      <c r="HP144" s="309" t="s">
        <v>173</v>
      </c>
      <c r="HQ144" s="327">
        <v>0.43</v>
      </c>
      <c r="HR144" s="424">
        <v>52</v>
      </c>
      <c r="HS144" s="424" t="s">
        <v>758</v>
      </c>
      <c r="HT144" s="424">
        <v>9</v>
      </c>
      <c r="HU144" s="424" t="s">
        <v>758</v>
      </c>
      <c r="HV144" s="428">
        <v>0.08</v>
      </c>
      <c r="HW144" s="428">
        <v>0.54</v>
      </c>
      <c r="HX144" s="428">
        <v>0.37</v>
      </c>
      <c r="HY144" s="428">
        <v>0.01</v>
      </c>
      <c r="HZ144" s="428">
        <v>0.36</v>
      </c>
      <c r="IA144" s="428">
        <v>0.5</v>
      </c>
      <c r="IB144" s="428">
        <v>0.39</v>
      </c>
      <c r="IC144" s="428">
        <v>0.45</v>
      </c>
      <c r="ID144" s="428">
        <v>0.62</v>
      </c>
      <c r="IE144" s="428">
        <v>0.28999999999999998</v>
      </c>
      <c r="IF144" s="428">
        <v>0.39</v>
      </c>
      <c r="IG144" s="428">
        <v>0.57999999999999996</v>
      </c>
      <c r="IH144" s="428">
        <v>0.53</v>
      </c>
      <c r="II144" s="428">
        <v>0.27</v>
      </c>
      <c r="IJ144" s="428">
        <v>0.27</v>
      </c>
      <c r="IK144" s="428">
        <v>0.56999999999999995</v>
      </c>
      <c r="IL144" s="428">
        <v>0.28000000000000003</v>
      </c>
      <c r="IM144" s="428">
        <v>0.55000000000000004</v>
      </c>
      <c r="IN144" s="428">
        <v>0.42</v>
      </c>
      <c r="IO144" s="428">
        <v>0.53</v>
      </c>
      <c r="IP144" s="428">
        <v>0.39</v>
      </c>
      <c r="IQ144" s="428">
        <v>0.63</v>
      </c>
      <c r="IR144" s="428">
        <v>0.56000000000000005</v>
      </c>
      <c r="IS144" s="428">
        <v>0.51</v>
      </c>
      <c r="IT144" s="428">
        <v>0.42</v>
      </c>
      <c r="IU144" s="424" t="s">
        <v>173</v>
      </c>
      <c r="IV144" s="428">
        <v>0.59</v>
      </c>
      <c r="IW144" s="428">
        <v>0.41</v>
      </c>
      <c r="IX144" s="428">
        <v>0.35</v>
      </c>
      <c r="IY144" s="428">
        <v>0.51</v>
      </c>
      <c r="IZ144" s="464">
        <v>53</v>
      </c>
      <c r="JA144" s="464" t="s">
        <v>758</v>
      </c>
      <c r="JB144" s="464">
        <v>9</v>
      </c>
      <c r="JC144" s="464" t="s">
        <v>758</v>
      </c>
      <c r="JD144" s="476">
        <v>0.1</v>
      </c>
      <c r="JE144" s="476">
        <v>0.5</v>
      </c>
      <c r="JF144" s="476">
        <v>0.39</v>
      </c>
      <c r="JG144" s="476">
        <v>0.01</v>
      </c>
      <c r="JH144" s="476">
        <v>0.49</v>
      </c>
      <c r="JI144" s="476">
        <v>0.38</v>
      </c>
      <c r="JJ144" s="476">
        <v>0.41</v>
      </c>
      <c r="JK144" s="476">
        <v>0.48</v>
      </c>
      <c r="JL144" s="476">
        <v>0.49</v>
      </c>
      <c r="JM144" s="476">
        <v>0.42</v>
      </c>
      <c r="JN144" s="476">
        <v>0.41</v>
      </c>
      <c r="JO144" s="476">
        <v>0.42</v>
      </c>
      <c r="JP144" s="476">
        <v>0.55000000000000004</v>
      </c>
      <c r="JQ144" s="476">
        <v>0.25</v>
      </c>
      <c r="JR144" s="476">
        <v>0.55000000000000004</v>
      </c>
      <c r="JS144" s="476">
        <v>0.52</v>
      </c>
      <c r="JT144" s="476">
        <v>0.36</v>
      </c>
      <c r="JU144" s="476">
        <v>0.45</v>
      </c>
      <c r="JV144" s="476">
        <v>0.43</v>
      </c>
      <c r="JW144" s="476">
        <v>0.47</v>
      </c>
      <c r="JX144" s="476">
        <v>0.48</v>
      </c>
      <c r="JY144" s="476">
        <v>0.43</v>
      </c>
      <c r="JZ144" s="476">
        <v>0.39</v>
      </c>
      <c r="KA144" s="476">
        <v>0.64</v>
      </c>
      <c r="KB144" s="476">
        <v>0.43</v>
      </c>
      <c r="KC144" s="476">
        <v>0.67</v>
      </c>
      <c r="KD144" s="476">
        <v>0.34</v>
      </c>
      <c r="KE144" s="476">
        <v>0.48</v>
      </c>
      <c r="KF144" s="476">
        <v>0.36</v>
      </c>
      <c r="KG144" s="476">
        <v>0.53</v>
      </c>
      <c r="KH144" s="971">
        <v>54</v>
      </c>
      <c r="KI144" s="971" t="s">
        <v>758</v>
      </c>
      <c r="KJ144" s="971">
        <v>9</v>
      </c>
      <c r="KK144" s="971" t="s">
        <v>758</v>
      </c>
      <c r="KL144" s="949">
        <v>0.08</v>
      </c>
      <c r="KM144" s="949">
        <v>0.49</v>
      </c>
      <c r="KN144" s="949">
        <v>0.41</v>
      </c>
      <c r="KO144" s="949">
        <v>0.02</v>
      </c>
      <c r="KP144" s="949">
        <v>0.51</v>
      </c>
      <c r="KQ144" s="949">
        <v>0.25</v>
      </c>
      <c r="KR144" s="949">
        <v>0.5</v>
      </c>
      <c r="KS144" s="949">
        <v>0.44</v>
      </c>
      <c r="KT144" s="949">
        <v>0.63</v>
      </c>
      <c r="KU144" s="949">
        <v>0.32</v>
      </c>
      <c r="KV144" s="949">
        <v>0.54</v>
      </c>
      <c r="KW144" s="949">
        <v>0.31</v>
      </c>
      <c r="KX144" s="949">
        <v>0.28999999999999998</v>
      </c>
      <c r="KY144" s="949">
        <v>0.4</v>
      </c>
      <c r="KZ144" s="949">
        <v>0.33</v>
      </c>
      <c r="LA144" s="949">
        <v>0.38</v>
      </c>
      <c r="LB144" s="949">
        <v>0.35</v>
      </c>
      <c r="LC144" s="949">
        <v>0.34</v>
      </c>
      <c r="LD144" s="949">
        <v>0.51</v>
      </c>
      <c r="LE144" s="949">
        <v>0.43</v>
      </c>
      <c r="LF144" s="949">
        <v>0.32</v>
      </c>
      <c r="LG144" s="949">
        <v>0.38</v>
      </c>
      <c r="LH144" s="949">
        <v>0.49</v>
      </c>
      <c r="LI144" s="949">
        <v>0.39</v>
      </c>
      <c r="LJ144" s="949">
        <v>0.37</v>
      </c>
      <c r="LK144" s="949">
        <v>0.52</v>
      </c>
      <c r="LL144" s="949" t="s">
        <v>173</v>
      </c>
      <c r="LM144" s="949">
        <v>0.5</v>
      </c>
      <c r="LN144" s="949">
        <v>0.6</v>
      </c>
      <c r="LO144" s="949">
        <v>0.41</v>
      </c>
      <c r="LP144" s="922">
        <v>325754004530</v>
      </c>
      <c r="LQ144" s="803" t="s">
        <v>81</v>
      </c>
      <c r="LR144" s="424">
        <v>52</v>
      </c>
      <c r="LS144" s="971">
        <v>54</v>
      </c>
      <c r="LT144" s="946"/>
    </row>
    <row r="145" spans="1:332" ht="24.95" customHeight="1" x14ac:dyDescent="0.2">
      <c r="A145" s="803" t="s">
        <v>114</v>
      </c>
      <c r="B145" s="1" t="s">
        <v>123</v>
      </c>
      <c r="C145" s="2">
        <v>1</v>
      </c>
      <c r="D145" s="12">
        <v>53</v>
      </c>
      <c r="E145" s="12">
        <v>4</v>
      </c>
      <c r="F145" s="66">
        <v>0</v>
      </c>
      <c r="G145" s="66">
        <v>0.71</v>
      </c>
      <c r="H145" s="66">
        <v>0.28999999999999998</v>
      </c>
      <c r="I145" s="66">
        <v>0</v>
      </c>
      <c r="J145" s="66">
        <v>0.32</v>
      </c>
      <c r="K145" s="66">
        <v>0.27</v>
      </c>
      <c r="L145" s="66">
        <v>0.65</v>
      </c>
      <c r="M145" s="66">
        <v>0.25</v>
      </c>
      <c r="N145" s="66">
        <v>0.16</v>
      </c>
      <c r="O145" s="66">
        <v>0.69</v>
      </c>
      <c r="P145" s="66">
        <v>0.4</v>
      </c>
      <c r="Q145" s="66">
        <v>0.35</v>
      </c>
      <c r="R145" s="66">
        <v>0.54</v>
      </c>
      <c r="S145" s="66">
        <v>0.42</v>
      </c>
      <c r="T145" s="66">
        <v>0.56999999999999995</v>
      </c>
      <c r="U145" s="66">
        <v>0.48</v>
      </c>
      <c r="V145" s="66">
        <v>0.1</v>
      </c>
      <c r="W145" s="66">
        <v>0</v>
      </c>
      <c r="X145" s="66">
        <v>0.57999999999999996</v>
      </c>
      <c r="Y145" s="66">
        <v>0.63</v>
      </c>
      <c r="Z145" s="12" t="s">
        <v>173</v>
      </c>
      <c r="AA145" s="66">
        <v>0</v>
      </c>
      <c r="AB145" s="66">
        <v>0.39</v>
      </c>
      <c r="AC145" s="66">
        <v>0.38</v>
      </c>
      <c r="AD145" s="66">
        <v>0.66</v>
      </c>
      <c r="AE145" s="66">
        <v>0.51</v>
      </c>
      <c r="AF145" s="66">
        <v>0.72</v>
      </c>
      <c r="AG145" s="66">
        <v>0.44</v>
      </c>
      <c r="AH145" s="12">
        <v>54</v>
      </c>
      <c r="AI145" s="12">
        <v>6</v>
      </c>
      <c r="AJ145" s="40">
        <v>0</v>
      </c>
      <c r="AK145" s="40">
        <v>0.71</v>
      </c>
      <c r="AL145" s="40">
        <v>0.28999999999999998</v>
      </c>
      <c r="AM145" s="40">
        <v>0</v>
      </c>
      <c r="AN145" s="40">
        <v>0.17</v>
      </c>
      <c r="AO145" s="40">
        <v>0.44</v>
      </c>
      <c r="AP145" s="40">
        <v>0.7</v>
      </c>
      <c r="AQ145" s="40">
        <v>0.41</v>
      </c>
      <c r="AR145" s="40">
        <v>0.59</v>
      </c>
      <c r="AS145" s="40">
        <v>0.44</v>
      </c>
      <c r="AT145" s="40">
        <v>0.5</v>
      </c>
      <c r="AU145" s="40">
        <v>0.56000000000000005</v>
      </c>
      <c r="AV145" s="40">
        <v>0.49</v>
      </c>
      <c r="AW145" s="40">
        <v>0.27</v>
      </c>
      <c r="AX145" s="40">
        <v>0.6</v>
      </c>
      <c r="AY145" s="40">
        <v>0.25</v>
      </c>
      <c r="AZ145" s="40">
        <v>0.15</v>
      </c>
      <c r="BA145" s="40">
        <v>0.35</v>
      </c>
      <c r="BB145" s="40">
        <v>0.68</v>
      </c>
      <c r="BC145" s="40">
        <v>0.76</v>
      </c>
      <c r="BD145" s="40">
        <v>0.43</v>
      </c>
      <c r="BE145" s="40">
        <v>0.75</v>
      </c>
      <c r="BF145" s="40">
        <v>0.5</v>
      </c>
      <c r="BG145" s="40">
        <v>0.44</v>
      </c>
      <c r="BH145" s="40">
        <v>0.45</v>
      </c>
      <c r="BI145" s="40">
        <v>0.36</v>
      </c>
      <c r="BJ145" s="40">
        <v>0.28999999999999998</v>
      </c>
      <c r="BK145" s="40">
        <v>0.46</v>
      </c>
      <c r="BL145" s="40">
        <v>0.5</v>
      </c>
      <c r="BM145" s="12">
        <v>51</v>
      </c>
      <c r="BN145" s="12">
        <v>9</v>
      </c>
      <c r="BO145" s="66">
        <v>0.25</v>
      </c>
      <c r="BP145" s="66">
        <v>0.38</v>
      </c>
      <c r="BQ145" s="66">
        <v>0.38</v>
      </c>
      <c r="BR145" s="66">
        <v>0</v>
      </c>
      <c r="BS145" s="66">
        <v>0.4</v>
      </c>
      <c r="BT145" s="66">
        <v>0.33</v>
      </c>
      <c r="BU145" s="66">
        <v>0.38</v>
      </c>
      <c r="BV145" s="66">
        <v>0</v>
      </c>
      <c r="BW145" s="66">
        <v>0.75</v>
      </c>
      <c r="BX145" s="66">
        <v>0.27</v>
      </c>
      <c r="BY145" s="66">
        <v>0.64</v>
      </c>
      <c r="BZ145" s="66">
        <v>0.48</v>
      </c>
      <c r="CA145" s="66">
        <v>0.33</v>
      </c>
      <c r="CB145" s="66">
        <v>0.5</v>
      </c>
      <c r="CC145" s="66">
        <v>0.18</v>
      </c>
      <c r="CD145" s="66">
        <v>0.46</v>
      </c>
      <c r="CE145" s="66">
        <v>0.5</v>
      </c>
      <c r="CF145" s="66">
        <v>1</v>
      </c>
      <c r="CG145" s="66">
        <v>0.67</v>
      </c>
      <c r="CH145" s="66">
        <v>0.3</v>
      </c>
      <c r="CI145" s="66">
        <v>0.56000000000000005</v>
      </c>
      <c r="CJ145" s="66">
        <v>0.67</v>
      </c>
      <c r="CK145" s="66">
        <v>0.78</v>
      </c>
      <c r="CL145" s="66">
        <v>0.54</v>
      </c>
      <c r="CM145" s="66">
        <v>0.6</v>
      </c>
      <c r="CN145" s="66">
        <v>0.36</v>
      </c>
      <c r="CO145" s="66">
        <v>0.23</v>
      </c>
      <c r="CP145" s="66">
        <v>0.38</v>
      </c>
      <c r="CQ145" s="66">
        <v>0.56000000000000005</v>
      </c>
      <c r="CR145" s="66">
        <v>0.38</v>
      </c>
      <c r="CS145" s="12">
        <v>52</v>
      </c>
      <c r="CT145" s="12">
        <v>6</v>
      </c>
      <c r="CU145" s="63">
        <v>0.11</v>
      </c>
      <c r="CV145" s="63">
        <v>0.61</v>
      </c>
      <c r="CW145" s="63">
        <v>0.28000000000000003</v>
      </c>
      <c r="CX145" s="63">
        <v>0</v>
      </c>
      <c r="CY145" s="63">
        <v>0.64</v>
      </c>
      <c r="CZ145" s="63">
        <v>0.24</v>
      </c>
      <c r="DA145" s="63">
        <v>0.51</v>
      </c>
      <c r="DB145" s="63">
        <v>0.24</v>
      </c>
      <c r="DC145" s="63">
        <v>0.39</v>
      </c>
      <c r="DD145" s="63">
        <v>0.59</v>
      </c>
      <c r="DE145" s="63">
        <v>0.4</v>
      </c>
      <c r="DF145" s="63">
        <v>0.59</v>
      </c>
      <c r="DG145" s="63">
        <v>0.36</v>
      </c>
      <c r="DH145" s="63">
        <v>0.54</v>
      </c>
      <c r="DI145" s="63">
        <v>0.5</v>
      </c>
      <c r="DJ145" s="63">
        <v>0.43</v>
      </c>
      <c r="DK145" s="63">
        <v>0.38</v>
      </c>
      <c r="DL145" s="63">
        <v>0.2</v>
      </c>
      <c r="DM145" s="63">
        <v>0.37</v>
      </c>
      <c r="DN145" s="63">
        <v>0.6</v>
      </c>
      <c r="DO145" s="63">
        <v>0.28999999999999998</v>
      </c>
      <c r="DP145" s="63">
        <v>0.65</v>
      </c>
      <c r="DQ145" s="63">
        <v>0.42</v>
      </c>
      <c r="DR145" s="63">
        <v>0.18</v>
      </c>
      <c r="DS145" s="63">
        <v>0.19</v>
      </c>
      <c r="DT145" s="63">
        <v>0.57999999999999996</v>
      </c>
      <c r="DU145" s="63">
        <v>0.6</v>
      </c>
      <c r="DV145" s="63">
        <v>0.66</v>
      </c>
      <c r="DW145" s="63">
        <v>0.23</v>
      </c>
      <c r="DX145" s="35">
        <v>52</v>
      </c>
      <c r="DY145" s="35">
        <v>8</v>
      </c>
      <c r="DZ145" s="40">
        <v>0.08</v>
      </c>
      <c r="EA145" s="40">
        <v>0.6</v>
      </c>
      <c r="EB145" s="40">
        <v>0.32</v>
      </c>
      <c r="EC145" s="40">
        <v>0</v>
      </c>
      <c r="ED145" s="40">
        <v>0.49</v>
      </c>
      <c r="EE145" s="40">
        <v>0.45</v>
      </c>
      <c r="EF145" s="40">
        <v>0.61</v>
      </c>
      <c r="EG145" s="40">
        <v>0.33</v>
      </c>
      <c r="EH145" s="40">
        <v>0.24</v>
      </c>
      <c r="EI145" s="40">
        <v>0.37</v>
      </c>
      <c r="EJ145" s="40">
        <v>0.53</v>
      </c>
      <c r="EK145" s="40">
        <v>0.31</v>
      </c>
      <c r="EL145" s="40">
        <v>0.38</v>
      </c>
      <c r="EM145" s="40">
        <v>0.68</v>
      </c>
      <c r="EN145" s="40">
        <v>0.32</v>
      </c>
      <c r="EO145" s="40">
        <v>0.49</v>
      </c>
      <c r="EP145" s="40">
        <v>0.39</v>
      </c>
      <c r="EQ145" s="40">
        <v>0.16</v>
      </c>
      <c r="ER145" s="40">
        <v>0.6</v>
      </c>
      <c r="ES145" s="40">
        <v>0.4</v>
      </c>
      <c r="ET145" s="40">
        <v>0.28999999999999998</v>
      </c>
      <c r="EU145" s="40">
        <v>0.6</v>
      </c>
      <c r="EV145" s="40">
        <v>0.64</v>
      </c>
      <c r="EW145" s="40">
        <v>0.3</v>
      </c>
      <c r="EX145" s="40">
        <v>0.71</v>
      </c>
      <c r="EY145" s="40">
        <v>0.46</v>
      </c>
      <c r="EZ145" s="40">
        <v>0.08</v>
      </c>
      <c r="FA145" s="40">
        <v>0.56999999999999995</v>
      </c>
      <c r="FB145" s="246">
        <v>47</v>
      </c>
      <c r="FC145" s="246" t="s">
        <v>758</v>
      </c>
      <c r="FD145" s="246">
        <v>7</v>
      </c>
      <c r="FE145" s="246" t="s">
        <v>758</v>
      </c>
      <c r="FF145" s="263">
        <v>0.21</v>
      </c>
      <c r="FG145" s="263">
        <v>0.67</v>
      </c>
      <c r="FH145" s="263">
        <v>0.13</v>
      </c>
      <c r="FI145" s="263">
        <v>0</v>
      </c>
      <c r="FJ145" s="263">
        <v>0.51</v>
      </c>
      <c r="FK145" s="263">
        <v>0.69</v>
      </c>
      <c r="FL145" s="263">
        <v>0.49</v>
      </c>
      <c r="FM145" s="263">
        <v>0.36</v>
      </c>
      <c r="FN145" s="263">
        <v>0.32</v>
      </c>
      <c r="FO145" s="263">
        <v>0.38</v>
      </c>
      <c r="FP145" s="263">
        <v>0.38</v>
      </c>
      <c r="FQ145" s="263">
        <v>0.57999999999999996</v>
      </c>
      <c r="FR145" s="263">
        <v>0.57999999999999996</v>
      </c>
      <c r="FS145" s="263">
        <v>0.56000000000000005</v>
      </c>
      <c r="FT145" s="263">
        <v>0.57999999999999996</v>
      </c>
      <c r="FU145" s="263">
        <v>0.41</v>
      </c>
      <c r="FV145" s="263">
        <v>0.72</v>
      </c>
      <c r="FW145" s="263">
        <v>0.61</v>
      </c>
      <c r="FX145" s="263">
        <v>0.51</v>
      </c>
      <c r="FY145" s="263">
        <v>0.47</v>
      </c>
      <c r="FZ145" s="263">
        <v>0.51</v>
      </c>
      <c r="GA145" s="263">
        <v>0.47</v>
      </c>
      <c r="GB145" s="263">
        <v>0.65</v>
      </c>
      <c r="GC145" s="263">
        <v>0.5</v>
      </c>
      <c r="GD145" s="263">
        <v>0.7</v>
      </c>
      <c r="GE145" s="263">
        <v>0.46</v>
      </c>
      <c r="GF145" s="263">
        <v>0.5</v>
      </c>
      <c r="GG145" s="263">
        <v>0.62</v>
      </c>
      <c r="GH145" s="263">
        <v>0.62</v>
      </c>
      <c r="GI145" s="263">
        <v>0.28000000000000003</v>
      </c>
      <c r="GJ145" s="309">
        <v>53</v>
      </c>
      <c r="GK145" s="309" t="s">
        <v>758</v>
      </c>
      <c r="GL145" s="309">
        <v>9</v>
      </c>
      <c r="GM145" s="309" t="s">
        <v>758</v>
      </c>
      <c r="GN145" s="327">
        <v>0.1</v>
      </c>
      <c r="GO145" s="327">
        <v>0.45</v>
      </c>
      <c r="GP145" s="327">
        <v>0.45</v>
      </c>
      <c r="GQ145" s="327">
        <v>0</v>
      </c>
      <c r="GR145" s="327">
        <v>0.37</v>
      </c>
      <c r="GS145" s="327">
        <v>0.52</v>
      </c>
      <c r="GT145" s="327">
        <v>0.68</v>
      </c>
      <c r="GU145" s="327">
        <v>0.06</v>
      </c>
      <c r="GV145" s="327">
        <v>0.56999999999999995</v>
      </c>
      <c r="GW145" s="327">
        <v>0.3</v>
      </c>
      <c r="GX145" s="327">
        <v>0.42</v>
      </c>
      <c r="GY145" s="309" t="s">
        <v>173</v>
      </c>
      <c r="GZ145" s="327">
        <v>0.35</v>
      </c>
      <c r="HA145" s="327">
        <v>0.71</v>
      </c>
      <c r="HB145" s="327">
        <v>0.46</v>
      </c>
      <c r="HC145" s="327">
        <v>0.49</v>
      </c>
      <c r="HD145" s="327">
        <v>0.45</v>
      </c>
      <c r="HE145" s="327">
        <v>0.42</v>
      </c>
      <c r="HF145" s="327">
        <v>0.47</v>
      </c>
      <c r="HG145" s="327">
        <v>0.66</v>
      </c>
      <c r="HH145" s="327">
        <v>0.37</v>
      </c>
      <c r="HI145" s="327">
        <v>0.63</v>
      </c>
      <c r="HJ145" s="327">
        <v>0.56000000000000005</v>
      </c>
      <c r="HK145" s="327">
        <v>0.49</v>
      </c>
      <c r="HL145" s="327">
        <v>0.42</v>
      </c>
      <c r="HM145" s="327">
        <v>0.38</v>
      </c>
      <c r="HN145" s="327">
        <v>0.51</v>
      </c>
      <c r="HO145" s="327">
        <v>0.32</v>
      </c>
      <c r="HP145" s="309" t="s">
        <v>173</v>
      </c>
      <c r="HQ145" s="327">
        <v>0.19</v>
      </c>
      <c r="HR145" s="424">
        <v>52</v>
      </c>
      <c r="HS145" s="424" t="s">
        <v>758</v>
      </c>
      <c r="HT145" s="424">
        <v>8</v>
      </c>
      <c r="HU145" s="424" t="s">
        <v>758</v>
      </c>
      <c r="HV145" s="428">
        <v>0.06</v>
      </c>
      <c r="HW145" s="428">
        <v>0.53</v>
      </c>
      <c r="HX145" s="428">
        <v>0.4</v>
      </c>
      <c r="HY145" s="428">
        <v>0</v>
      </c>
      <c r="HZ145" s="428">
        <v>0.35</v>
      </c>
      <c r="IA145" s="428">
        <v>0.5</v>
      </c>
      <c r="IB145" s="428">
        <v>0.37</v>
      </c>
      <c r="IC145" s="428">
        <v>0.47</v>
      </c>
      <c r="ID145" s="428">
        <v>0.61</v>
      </c>
      <c r="IE145" s="428">
        <v>0.28000000000000003</v>
      </c>
      <c r="IF145" s="428">
        <v>0.42</v>
      </c>
      <c r="IG145" s="428">
        <v>0.57999999999999996</v>
      </c>
      <c r="IH145" s="428">
        <v>0.55000000000000004</v>
      </c>
      <c r="II145" s="428">
        <v>0.35</v>
      </c>
      <c r="IJ145" s="428">
        <v>0.18</v>
      </c>
      <c r="IK145" s="428">
        <v>0.63</v>
      </c>
      <c r="IL145" s="428">
        <v>0.36</v>
      </c>
      <c r="IM145" s="428">
        <v>0.59</v>
      </c>
      <c r="IN145" s="428">
        <v>0.4</v>
      </c>
      <c r="IO145" s="428">
        <v>0.53</v>
      </c>
      <c r="IP145" s="428">
        <v>0.24</v>
      </c>
      <c r="IQ145" s="428">
        <v>0.76</v>
      </c>
      <c r="IR145" s="428">
        <v>0.56000000000000005</v>
      </c>
      <c r="IS145" s="428">
        <v>0.45</v>
      </c>
      <c r="IT145" s="428">
        <v>0.44</v>
      </c>
      <c r="IU145" s="424" t="s">
        <v>173</v>
      </c>
      <c r="IV145" s="428">
        <v>0.56000000000000005</v>
      </c>
      <c r="IW145" s="428">
        <v>0.39</v>
      </c>
      <c r="IX145" s="428">
        <v>0.46</v>
      </c>
      <c r="IY145" s="428">
        <v>0.44</v>
      </c>
      <c r="IZ145" s="464">
        <v>52</v>
      </c>
      <c r="JA145" s="464" t="s">
        <v>758</v>
      </c>
      <c r="JB145" s="464">
        <v>8</v>
      </c>
      <c r="JC145" s="464" t="s">
        <v>758</v>
      </c>
      <c r="JD145" s="476">
        <v>0.04</v>
      </c>
      <c r="JE145" s="476">
        <v>0.56999999999999995</v>
      </c>
      <c r="JF145" s="476">
        <v>0.37</v>
      </c>
      <c r="JG145" s="476">
        <v>0.02</v>
      </c>
      <c r="JH145" s="476">
        <v>0.53</v>
      </c>
      <c r="JI145" s="476">
        <v>0.4</v>
      </c>
      <c r="JJ145" s="476">
        <v>0.49</v>
      </c>
      <c r="JK145" s="476">
        <v>0.44</v>
      </c>
      <c r="JL145" s="476">
        <v>0.57999999999999996</v>
      </c>
      <c r="JM145" s="476">
        <v>0.52</v>
      </c>
      <c r="JN145" s="476">
        <v>0.33</v>
      </c>
      <c r="JO145" s="476">
        <v>0.44</v>
      </c>
      <c r="JP145" s="476">
        <v>0.49</v>
      </c>
      <c r="JQ145" s="476">
        <v>0.22</v>
      </c>
      <c r="JR145" s="476">
        <v>0.65</v>
      </c>
      <c r="JS145" s="476">
        <v>0.55000000000000004</v>
      </c>
      <c r="JT145" s="476">
        <v>0.34</v>
      </c>
      <c r="JU145" s="476">
        <v>0.56000000000000005</v>
      </c>
      <c r="JV145" s="476">
        <v>0.48</v>
      </c>
      <c r="JW145" s="476">
        <v>0.42</v>
      </c>
      <c r="JX145" s="476">
        <v>0.43</v>
      </c>
      <c r="JY145" s="476">
        <v>0.44</v>
      </c>
      <c r="JZ145" s="476">
        <v>0.41</v>
      </c>
      <c r="KA145" s="476">
        <v>0.46</v>
      </c>
      <c r="KB145" s="476">
        <v>0.31</v>
      </c>
      <c r="KC145" s="476">
        <v>0.64</v>
      </c>
      <c r="KD145" s="476">
        <v>0.34</v>
      </c>
      <c r="KE145" s="476">
        <v>0.48</v>
      </c>
      <c r="KF145" s="476">
        <v>0.43</v>
      </c>
      <c r="KG145" s="476">
        <v>0.47</v>
      </c>
      <c r="KH145" s="971">
        <v>52</v>
      </c>
      <c r="KI145" s="971" t="s">
        <v>758</v>
      </c>
      <c r="KJ145" s="971">
        <v>9</v>
      </c>
      <c r="KK145" s="971" t="s">
        <v>758</v>
      </c>
      <c r="KL145" s="949">
        <v>0.13</v>
      </c>
      <c r="KM145" s="949">
        <v>0.52</v>
      </c>
      <c r="KN145" s="949">
        <v>0.33</v>
      </c>
      <c r="KO145" s="949">
        <v>0.02</v>
      </c>
      <c r="KP145" s="949">
        <v>0.54</v>
      </c>
      <c r="KQ145" s="949">
        <v>0.24</v>
      </c>
      <c r="KR145" s="949">
        <v>0.61</v>
      </c>
      <c r="KS145" s="949">
        <v>0.48</v>
      </c>
      <c r="KT145" s="949">
        <v>0.65</v>
      </c>
      <c r="KU145" s="949">
        <v>0.45</v>
      </c>
      <c r="KV145" s="949">
        <v>0.63</v>
      </c>
      <c r="KW145" s="949">
        <v>0.35</v>
      </c>
      <c r="KX145" s="949">
        <v>0.4</v>
      </c>
      <c r="KY145" s="949">
        <v>0.45</v>
      </c>
      <c r="KZ145" s="949">
        <v>0.42</v>
      </c>
      <c r="LA145" s="949">
        <v>0.4</v>
      </c>
      <c r="LB145" s="949">
        <v>0.43</v>
      </c>
      <c r="LC145" s="949">
        <v>0.43</v>
      </c>
      <c r="LD145" s="949">
        <v>0.55000000000000004</v>
      </c>
      <c r="LE145" s="949">
        <v>0.51</v>
      </c>
      <c r="LF145" s="949">
        <v>0.3</v>
      </c>
      <c r="LG145" s="949">
        <v>0.3</v>
      </c>
      <c r="LH145" s="949">
        <v>0.48</v>
      </c>
      <c r="LI145" s="949">
        <v>0.45</v>
      </c>
      <c r="LJ145" s="949">
        <v>0.4</v>
      </c>
      <c r="LK145" s="949">
        <v>0.57999999999999996</v>
      </c>
      <c r="LL145" s="949" t="s">
        <v>173</v>
      </c>
      <c r="LM145" s="949">
        <v>0.55000000000000004</v>
      </c>
      <c r="LN145" s="949">
        <v>0.5</v>
      </c>
      <c r="LO145" s="949">
        <v>0.45</v>
      </c>
      <c r="LP145" s="922">
        <v>325754003134</v>
      </c>
      <c r="LQ145" s="803" t="s">
        <v>114</v>
      </c>
      <c r="LR145" s="424">
        <v>52</v>
      </c>
      <c r="LS145" s="971">
        <v>52</v>
      </c>
      <c r="LT145" s="946"/>
    </row>
    <row r="146" spans="1:332" ht="24.95" customHeight="1" x14ac:dyDescent="0.2">
      <c r="A146" s="803" t="s">
        <v>42</v>
      </c>
      <c r="B146" s="1" t="s">
        <v>123</v>
      </c>
      <c r="C146" s="2">
        <v>1</v>
      </c>
      <c r="D146" s="12">
        <v>54</v>
      </c>
      <c r="E146" s="12">
        <v>8</v>
      </c>
      <c r="F146" s="66">
        <v>0.06</v>
      </c>
      <c r="G146" s="66">
        <v>0.48</v>
      </c>
      <c r="H146" s="66">
        <v>0.45</v>
      </c>
      <c r="I146" s="66">
        <v>0.02</v>
      </c>
      <c r="J146" s="66">
        <v>0.45</v>
      </c>
      <c r="K146" s="66">
        <v>0.32</v>
      </c>
      <c r="L146" s="66">
        <v>0.71</v>
      </c>
      <c r="M146" s="66">
        <v>0.2</v>
      </c>
      <c r="N146" s="66">
        <v>0.31</v>
      </c>
      <c r="O146" s="66">
        <v>0.6</v>
      </c>
      <c r="P146" s="66">
        <v>0.33</v>
      </c>
      <c r="Q146" s="66">
        <v>0.44</v>
      </c>
      <c r="R146" s="66">
        <v>0.53</v>
      </c>
      <c r="S146" s="66">
        <v>0.61</v>
      </c>
      <c r="T146" s="66">
        <v>0.39</v>
      </c>
      <c r="U146" s="66">
        <v>0.6</v>
      </c>
      <c r="V146" s="66">
        <v>7.0000000000000007E-2</v>
      </c>
      <c r="W146" s="66">
        <v>0.2</v>
      </c>
      <c r="X146" s="66">
        <v>0.45</v>
      </c>
      <c r="Y146" s="66">
        <v>0.52</v>
      </c>
      <c r="Z146" s="66">
        <v>1</v>
      </c>
      <c r="AA146" s="66">
        <v>0.1</v>
      </c>
      <c r="AB146" s="66">
        <v>0.45</v>
      </c>
      <c r="AC146" s="66">
        <v>0.24</v>
      </c>
      <c r="AD146" s="66">
        <v>0.48</v>
      </c>
      <c r="AE146" s="66">
        <v>0.33</v>
      </c>
      <c r="AF146" s="66">
        <v>0.48</v>
      </c>
      <c r="AG146" s="66">
        <v>0.56999999999999995</v>
      </c>
      <c r="AH146" s="12">
        <v>55</v>
      </c>
      <c r="AI146" s="12">
        <v>9</v>
      </c>
      <c r="AJ146" s="40">
        <v>7.0000000000000007E-2</v>
      </c>
      <c r="AK146" s="40">
        <v>0.38</v>
      </c>
      <c r="AL146" s="40">
        <v>0.52</v>
      </c>
      <c r="AM146" s="40">
        <v>0.02</v>
      </c>
      <c r="AN146" s="40">
        <v>0.24</v>
      </c>
      <c r="AO146" s="40">
        <v>0.41</v>
      </c>
      <c r="AP146" s="40">
        <v>0.45</v>
      </c>
      <c r="AQ146" s="40">
        <v>0.3</v>
      </c>
      <c r="AR146" s="40">
        <v>0.5</v>
      </c>
      <c r="AS146" s="40">
        <v>0.47</v>
      </c>
      <c r="AT146" s="40">
        <v>0.49</v>
      </c>
      <c r="AU146" s="40">
        <v>0.45</v>
      </c>
      <c r="AV146" s="40">
        <v>0.56999999999999995</v>
      </c>
      <c r="AW146" s="40">
        <v>0.43</v>
      </c>
      <c r="AX146" s="40">
        <v>0.46</v>
      </c>
      <c r="AY146" s="40">
        <v>0.25</v>
      </c>
      <c r="AZ146" s="40">
        <v>0.24</v>
      </c>
      <c r="BA146" s="40">
        <v>0.44</v>
      </c>
      <c r="BB146" s="40">
        <v>0.55000000000000004</v>
      </c>
      <c r="BC146" s="40">
        <v>0.52</v>
      </c>
      <c r="BD146" s="40">
        <v>0.35</v>
      </c>
      <c r="BE146" s="40">
        <v>0.46</v>
      </c>
      <c r="BF146" s="40">
        <v>0.56000000000000005</v>
      </c>
      <c r="BG146" s="40">
        <v>0.42</v>
      </c>
      <c r="BH146" s="40">
        <v>0.38</v>
      </c>
      <c r="BI146" s="40">
        <v>0.33</v>
      </c>
      <c r="BJ146" s="40">
        <v>0.28000000000000003</v>
      </c>
      <c r="BK146" s="40">
        <v>0.38</v>
      </c>
      <c r="BL146" s="40">
        <v>0.44</v>
      </c>
      <c r="BM146" s="12">
        <v>52</v>
      </c>
      <c r="BN146" s="12">
        <v>8</v>
      </c>
      <c r="BO146" s="66">
        <v>7.0000000000000007E-2</v>
      </c>
      <c r="BP146" s="66">
        <v>0.57999999999999996</v>
      </c>
      <c r="BQ146" s="66">
        <v>0.33</v>
      </c>
      <c r="BR146" s="66">
        <v>0.02</v>
      </c>
      <c r="BS146" s="66">
        <v>0.26</v>
      </c>
      <c r="BT146" s="66">
        <v>0.55000000000000004</v>
      </c>
      <c r="BU146" s="66">
        <v>0.6</v>
      </c>
      <c r="BV146" s="66">
        <v>0.3</v>
      </c>
      <c r="BW146" s="66">
        <v>0.67</v>
      </c>
      <c r="BX146" s="66">
        <v>0.27</v>
      </c>
      <c r="BY146" s="66">
        <v>0.41</v>
      </c>
      <c r="BZ146" s="66">
        <v>0.5</v>
      </c>
      <c r="CA146" s="66">
        <v>0.47</v>
      </c>
      <c r="CB146" s="66">
        <v>0.36</v>
      </c>
      <c r="CC146" s="66">
        <v>0.17</v>
      </c>
      <c r="CD146" s="66">
        <v>0.35</v>
      </c>
      <c r="CE146" s="66">
        <v>0.32</v>
      </c>
      <c r="CF146" s="66">
        <v>0.69</v>
      </c>
      <c r="CG146" s="66">
        <v>0.56000000000000005</v>
      </c>
      <c r="CH146" s="66">
        <v>0.41</v>
      </c>
      <c r="CI146" s="66">
        <v>0.56000000000000005</v>
      </c>
      <c r="CJ146" s="66">
        <v>0.31</v>
      </c>
      <c r="CK146" s="66">
        <v>0.66</v>
      </c>
      <c r="CL146" s="66">
        <v>0.27</v>
      </c>
      <c r="CM146" s="66">
        <v>0.38</v>
      </c>
      <c r="CN146" s="66">
        <v>0.43</v>
      </c>
      <c r="CO146" s="66">
        <v>0.35</v>
      </c>
      <c r="CP146" s="66">
        <v>0.31</v>
      </c>
      <c r="CQ146" s="66">
        <v>0.55000000000000004</v>
      </c>
      <c r="CR146" s="66">
        <v>0.54</v>
      </c>
      <c r="CS146" s="12">
        <v>52</v>
      </c>
      <c r="CT146" s="12">
        <v>9</v>
      </c>
      <c r="CU146" s="63">
        <v>7.0000000000000007E-2</v>
      </c>
      <c r="CV146" s="63">
        <v>0.61</v>
      </c>
      <c r="CW146" s="63">
        <v>0.31</v>
      </c>
      <c r="CX146" s="63">
        <v>0.02</v>
      </c>
      <c r="CY146" s="63">
        <v>0.49</v>
      </c>
      <c r="CZ146" s="63">
        <v>0.23</v>
      </c>
      <c r="DA146" s="63">
        <v>0.53</v>
      </c>
      <c r="DB146" s="63">
        <v>0.32</v>
      </c>
      <c r="DC146" s="63">
        <v>0.44</v>
      </c>
      <c r="DD146" s="63">
        <v>0.55000000000000004</v>
      </c>
      <c r="DE146" s="63">
        <v>0.45</v>
      </c>
      <c r="DF146" s="63">
        <v>0.48</v>
      </c>
      <c r="DG146" s="63">
        <v>0.46</v>
      </c>
      <c r="DH146" s="63">
        <v>0.38</v>
      </c>
      <c r="DI146" s="63">
        <v>0.48</v>
      </c>
      <c r="DJ146" s="63">
        <v>0.49</v>
      </c>
      <c r="DK146" s="63">
        <v>0.32</v>
      </c>
      <c r="DL146" s="63">
        <v>0.32</v>
      </c>
      <c r="DM146" s="63">
        <v>0.52</v>
      </c>
      <c r="DN146" s="63">
        <v>0.47</v>
      </c>
      <c r="DO146" s="63">
        <v>0.38</v>
      </c>
      <c r="DP146" s="63">
        <v>0.38</v>
      </c>
      <c r="DQ146" s="63">
        <v>0.52</v>
      </c>
      <c r="DR146" s="63">
        <v>0.17</v>
      </c>
      <c r="DS146" s="63">
        <v>0.35</v>
      </c>
      <c r="DT146" s="63">
        <v>0.53</v>
      </c>
      <c r="DU146" s="63">
        <v>0.3</v>
      </c>
      <c r="DV146" s="63">
        <v>0.54</v>
      </c>
      <c r="DW146" s="63">
        <v>0.34</v>
      </c>
      <c r="DX146" s="35">
        <v>52</v>
      </c>
      <c r="DY146" s="35">
        <v>9</v>
      </c>
      <c r="DZ146" s="40">
        <v>0.09</v>
      </c>
      <c r="EA146" s="40">
        <v>0.56000000000000005</v>
      </c>
      <c r="EB146" s="40">
        <v>0.36</v>
      </c>
      <c r="EC146" s="40">
        <v>0</v>
      </c>
      <c r="ED146" s="40">
        <v>0.42</v>
      </c>
      <c r="EE146" s="40">
        <v>0.42</v>
      </c>
      <c r="EF146" s="40">
        <v>0.45</v>
      </c>
      <c r="EG146" s="40">
        <v>0.4</v>
      </c>
      <c r="EH146" s="40">
        <v>0.36</v>
      </c>
      <c r="EI146" s="40">
        <v>0.42</v>
      </c>
      <c r="EJ146" s="40">
        <v>0.57999999999999996</v>
      </c>
      <c r="EK146" s="40">
        <v>0.2</v>
      </c>
      <c r="EL146" s="40">
        <v>0.41</v>
      </c>
      <c r="EM146" s="40">
        <v>0.57999999999999996</v>
      </c>
      <c r="EN146" s="40">
        <v>0.38</v>
      </c>
      <c r="EO146" s="40">
        <v>0.53</v>
      </c>
      <c r="EP146" s="40">
        <v>0.28999999999999998</v>
      </c>
      <c r="EQ146" s="40">
        <v>0.19</v>
      </c>
      <c r="ER146" s="40">
        <v>0.59</v>
      </c>
      <c r="ES146" s="40">
        <v>0.46</v>
      </c>
      <c r="ET146" s="40">
        <v>0.28000000000000003</v>
      </c>
      <c r="EU146" s="40">
        <v>0.53</v>
      </c>
      <c r="EV146" s="40">
        <v>0.38</v>
      </c>
      <c r="EW146" s="40">
        <v>0.28999999999999998</v>
      </c>
      <c r="EX146" s="40">
        <v>0.68</v>
      </c>
      <c r="EY146" s="40">
        <v>0.56000000000000005</v>
      </c>
      <c r="EZ146" s="40">
        <v>0.11</v>
      </c>
      <c r="FA146" s="40">
        <v>0.56999999999999995</v>
      </c>
      <c r="FB146" s="246">
        <v>53</v>
      </c>
      <c r="FC146" s="246" t="s">
        <v>758</v>
      </c>
      <c r="FD146" s="246">
        <v>9</v>
      </c>
      <c r="FE146" s="246" t="s">
        <v>758</v>
      </c>
      <c r="FF146" s="263">
        <v>0.05</v>
      </c>
      <c r="FG146" s="263">
        <v>0.57999999999999996</v>
      </c>
      <c r="FH146" s="263">
        <v>0.33</v>
      </c>
      <c r="FI146" s="263">
        <v>0.04</v>
      </c>
      <c r="FJ146" s="263">
        <v>0.39</v>
      </c>
      <c r="FK146" s="263">
        <v>0.61</v>
      </c>
      <c r="FL146" s="263">
        <v>0.44</v>
      </c>
      <c r="FM146" s="263">
        <v>0.38</v>
      </c>
      <c r="FN146" s="263">
        <v>0.19</v>
      </c>
      <c r="FO146" s="263">
        <v>0.27</v>
      </c>
      <c r="FP146" s="263">
        <v>0.34</v>
      </c>
      <c r="FQ146" s="263">
        <v>0.39</v>
      </c>
      <c r="FR146" s="263">
        <v>0.56000000000000005</v>
      </c>
      <c r="FS146" s="263">
        <v>0.47</v>
      </c>
      <c r="FT146" s="263">
        <v>0.45</v>
      </c>
      <c r="FU146" s="263">
        <v>0.34</v>
      </c>
      <c r="FV146" s="263">
        <v>0.5</v>
      </c>
      <c r="FW146" s="263">
        <v>0.53</v>
      </c>
      <c r="FX146" s="263">
        <v>0.36</v>
      </c>
      <c r="FY146" s="263">
        <v>0.3</v>
      </c>
      <c r="FZ146" s="263">
        <v>0.42</v>
      </c>
      <c r="GA146" s="263">
        <v>0.46</v>
      </c>
      <c r="GB146" s="263">
        <v>0.43</v>
      </c>
      <c r="GC146" s="263">
        <v>0.35</v>
      </c>
      <c r="GD146" s="263">
        <v>0.56999999999999995</v>
      </c>
      <c r="GE146" s="263">
        <v>0.52</v>
      </c>
      <c r="GF146" s="263">
        <v>0.43</v>
      </c>
      <c r="GG146" s="263">
        <v>0.36</v>
      </c>
      <c r="GH146" s="263">
        <v>0.52</v>
      </c>
      <c r="GI146" s="263">
        <v>0.24</v>
      </c>
      <c r="GJ146" s="309">
        <v>54</v>
      </c>
      <c r="GK146" s="309" t="s">
        <v>758</v>
      </c>
      <c r="GL146" s="309">
        <v>10</v>
      </c>
      <c r="GM146" s="309" t="s">
        <v>758</v>
      </c>
      <c r="GN146" s="327">
        <v>0.13</v>
      </c>
      <c r="GO146" s="327">
        <v>0.41</v>
      </c>
      <c r="GP146" s="327">
        <v>0.45</v>
      </c>
      <c r="GQ146" s="327">
        <v>0.01</v>
      </c>
      <c r="GR146" s="327">
        <v>0.41</v>
      </c>
      <c r="GS146" s="327">
        <v>0.45</v>
      </c>
      <c r="GT146" s="327">
        <v>0.59</v>
      </c>
      <c r="GU146" s="327">
        <v>0.19</v>
      </c>
      <c r="GV146" s="327">
        <v>0.48</v>
      </c>
      <c r="GW146" s="327">
        <v>0.44</v>
      </c>
      <c r="GX146" s="327">
        <v>0.42</v>
      </c>
      <c r="GY146" s="309" t="s">
        <v>173</v>
      </c>
      <c r="GZ146" s="327">
        <v>0.24</v>
      </c>
      <c r="HA146" s="327">
        <v>0.68</v>
      </c>
      <c r="HB146" s="327">
        <v>0.4</v>
      </c>
      <c r="HC146" s="327">
        <v>0.48</v>
      </c>
      <c r="HD146" s="327">
        <v>0.48</v>
      </c>
      <c r="HE146" s="327">
        <v>0.42</v>
      </c>
      <c r="HF146" s="327">
        <v>0.41</v>
      </c>
      <c r="HG146" s="327">
        <v>0.54</v>
      </c>
      <c r="HH146" s="327">
        <v>0.31</v>
      </c>
      <c r="HI146" s="327">
        <v>0.55000000000000004</v>
      </c>
      <c r="HJ146" s="327">
        <v>0.51</v>
      </c>
      <c r="HK146" s="327">
        <v>0.49</v>
      </c>
      <c r="HL146" s="327">
        <v>0.4</v>
      </c>
      <c r="HM146" s="327">
        <v>0.45</v>
      </c>
      <c r="HN146" s="327">
        <v>0.43</v>
      </c>
      <c r="HO146" s="327">
        <v>0.33</v>
      </c>
      <c r="HP146" s="309" t="s">
        <v>173</v>
      </c>
      <c r="HQ146" s="327">
        <v>0.32</v>
      </c>
      <c r="HR146" s="424">
        <v>55</v>
      </c>
      <c r="HS146" s="424" t="s">
        <v>758</v>
      </c>
      <c r="HT146" s="424">
        <v>9</v>
      </c>
      <c r="HU146" s="424" t="s">
        <v>758</v>
      </c>
      <c r="HV146" s="428">
        <v>0.04</v>
      </c>
      <c r="HW146" s="428">
        <v>0.48</v>
      </c>
      <c r="HX146" s="428">
        <v>0.43</v>
      </c>
      <c r="HY146" s="428">
        <v>0.04</v>
      </c>
      <c r="HZ146" s="428">
        <v>0.27</v>
      </c>
      <c r="IA146" s="428">
        <v>0.39</v>
      </c>
      <c r="IB146" s="428">
        <v>0.24</v>
      </c>
      <c r="IC146" s="428">
        <v>0.46</v>
      </c>
      <c r="ID146" s="428">
        <v>0.56999999999999995</v>
      </c>
      <c r="IE146" s="428">
        <v>0.27</v>
      </c>
      <c r="IF146" s="428">
        <v>0.35</v>
      </c>
      <c r="IG146" s="428">
        <v>0.52</v>
      </c>
      <c r="IH146" s="428">
        <v>0.46</v>
      </c>
      <c r="II146" s="428">
        <v>0.26</v>
      </c>
      <c r="IJ146" s="428">
        <v>0.21</v>
      </c>
      <c r="IK146" s="428">
        <v>0.5</v>
      </c>
      <c r="IL146" s="428">
        <v>0.18</v>
      </c>
      <c r="IM146" s="428">
        <v>0.44</v>
      </c>
      <c r="IN146" s="428">
        <v>0.4</v>
      </c>
      <c r="IO146" s="428">
        <v>0.48</v>
      </c>
      <c r="IP146" s="428">
        <v>0.41</v>
      </c>
      <c r="IQ146" s="428">
        <v>0.6</v>
      </c>
      <c r="IR146" s="428">
        <v>0.49</v>
      </c>
      <c r="IS146" s="428">
        <v>0.46</v>
      </c>
      <c r="IT146" s="428">
        <v>0.41</v>
      </c>
      <c r="IU146" s="424" t="s">
        <v>173</v>
      </c>
      <c r="IV146" s="428">
        <v>0.56000000000000005</v>
      </c>
      <c r="IW146" s="428">
        <v>0.4</v>
      </c>
      <c r="IX146" s="428">
        <v>0.45</v>
      </c>
      <c r="IY146" s="428">
        <v>0.46</v>
      </c>
      <c r="IZ146" s="464">
        <v>53</v>
      </c>
      <c r="JA146" s="464" t="s">
        <v>758</v>
      </c>
      <c r="JB146" s="464">
        <v>11</v>
      </c>
      <c r="JC146" s="464" t="s">
        <v>758</v>
      </c>
      <c r="JD146" s="476">
        <v>0.15</v>
      </c>
      <c r="JE146" s="476">
        <v>0.43</v>
      </c>
      <c r="JF146" s="476">
        <v>0.42</v>
      </c>
      <c r="JG146" s="476">
        <v>0.01</v>
      </c>
      <c r="JH146" s="476">
        <v>0.48</v>
      </c>
      <c r="JI146" s="476">
        <v>0.4</v>
      </c>
      <c r="JJ146" s="476">
        <v>0.39</v>
      </c>
      <c r="JK146" s="476">
        <v>0.45</v>
      </c>
      <c r="JL146" s="476">
        <v>0.45</v>
      </c>
      <c r="JM146" s="476">
        <v>0.44</v>
      </c>
      <c r="JN146" s="476">
        <v>0.39</v>
      </c>
      <c r="JO146" s="476">
        <v>0.46</v>
      </c>
      <c r="JP146" s="476">
        <v>0.49</v>
      </c>
      <c r="JQ146" s="476">
        <v>0.24</v>
      </c>
      <c r="JR146" s="476">
        <v>0.57999999999999996</v>
      </c>
      <c r="JS146" s="476">
        <v>0.54</v>
      </c>
      <c r="JT146" s="476">
        <v>0.44</v>
      </c>
      <c r="JU146" s="476">
        <v>0.49</v>
      </c>
      <c r="JV146" s="476">
        <v>0.43</v>
      </c>
      <c r="JW146" s="476">
        <v>0.43</v>
      </c>
      <c r="JX146" s="476">
        <v>0.4</v>
      </c>
      <c r="JY146" s="476">
        <v>0.42</v>
      </c>
      <c r="JZ146" s="476">
        <v>0.38</v>
      </c>
      <c r="KA146" s="476">
        <v>0.65</v>
      </c>
      <c r="KB146" s="476">
        <v>0.41</v>
      </c>
      <c r="KC146" s="476">
        <v>0.64</v>
      </c>
      <c r="KD146" s="476">
        <v>0.31</v>
      </c>
      <c r="KE146" s="476">
        <v>0.39</v>
      </c>
      <c r="KF146" s="476">
        <v>0.45</v>
      </c>
      <c r="KG146" s="476">
        <v>0.49</v>
      </c>
      <c r="KH146" s="971">
        <v>54</v>
      </c>
      <c r="KI146" s="971" t="s">
        <v>758</v>
      </c>
      <c r="KJ146" s="971">
        <v>10</v>
      </c>
      <c r="KK146" s="971" t="s">
        <v>758</v>
      </c>
      <c r="KL146" s="949">
        <v>0.08</v>
      </c>
      <c r="KM146" s="949">
        <v>0.46</v>
      </c>
      <c r="KN146" s="949">
        <v>0.37</v>
      </c>
      <c r="KO146" s="949">
        <v>0.08</v>
      </c>
      <c r="KP146" s="949">
        <v>0.45</v>
      </c>
      <c r="KQ146" s="949">
        <v>0.25</v>
      </c>
      <c r="KR146" s="949">
        <v>0.53</v>
      </c>
      <c r="KS146" s="949">
        <v>0.44</v>
      </c>
      <c r="KT146" s="949">
        <v>0.54</v>
      </c>
      <c r="KU146" s="949">
        <v>0.35</v>
      </c>
      <c r="KV146" s="949">
        <v>0.53</v>
      </c>
      <c r="KW146" s="949">
        <v>0.33</v>
      </c>
      <c r="KX146" s="949">
        <v>0.32</v>
      </c>
      <c r="KY146" s="949">
        <v>0.48</v>
      </c>
      <c r="KZ146" s="949">
        <v>0.34</v>
      </c>
      <c r="LA146" s="949">
        <v>0.39</v>
      </c>
      <c r="LB146" s="949">
        <v>0.38</v>
      </c>
      <c r="LC146" s="949">
        <v>0.36</v>
      </c>
      <c r="LD146" s="949">
        <v>0.5</v>
      </c>
      <c r="LE146" s="949">
        <v>0.45</v>
      </c>
      <c r="LF146" s="949">
        <v>0.3</v>
      </c>
      <c r="LG146" s="949">
        <v>0.35</v>
      </c>
      <c r="LH146" s="949">
        <v>0.55000000000000004</v>
      </c>
      <c r="LI146" s="949">
        <v>0.41</v>
      </c>
      <c r="LJ146" s="949">
        <v>0.41</v>
      </c>
      <c r="LK146" s="949">
        <v>0.5</v>
      </c>
      <c r="LL146" s="949" t="s">
        <v>173</v>
      </c>
      <c r="LM146" s="949">
        <v>0.56000000000000005</v>
      </c>
      <c r="LN146" s="949">
        <v>0.44</v>
      </c>
      <c r="LO146" s="949">
        <v>0.34</v>
      </c>
      <c r="LP146" s="922">
        <v>325754003410</v>
      </c>
      <c r="LQ146" s="803" t="s">
        <v>42</v>
      </c>
      <c r="LR146" s="424">
        <v>55</v>
      </c>
      <c r="LS146" s="971">
        <v>54</v>
      </c>
      <c r="LT146" s="946"/>
    </row>
    <row r="147" spans="1:332" ht="24.95" customHeight="1" x14ac:dyDescent="0.2">
      <c r="A147" s="803" t="s">
        <v>774</v>
      </c>
      <c r="B147" s="1" t="s">
        <v>123</v>
      </c>
      <c r="C147" s="2">
        <v>6</v>
      </c>
      <c r="D147" s="12"/>
      <c r="E147" s="12"/>
      <c r="F147" s="66"/>
      <c r="G147" s="66"/>
      <c r="H147" s="66"/>
      <c r="I147" s="66"/>
      <c r="J147" s="66"/>
      <c r="K147" s="66"/>
      <c r="L147" s="66"/>
      <c r="M147" s="66"/>
      <c r="N147" s="66"/>
      <c r="O147" s="66"/>
      <c r="P147" s="66"/>
      <c r="Q147" s="66"/>
      <c r="R147" s="66"/>
      <c r="S147" s="66"/>
      <c r="T147" s="66"/>
      <c r="U147" s="66"/>
      <c r="V147" s="66"/>
      <c r="W147" s="66"/>
      <c r="X147" s="66"/>
      <c r="Y147" s="66"/>
      <c r="Z147" s="66"/>
      <c r="AA147" s="66"/>
      <c r="AB147" s="66"/>
      <c r="AC147" s="66"/>
      <c r="AD147" s="66"/>
      <c r="AE147" s="66"/>
      <c r="AF147" s="66"/>
      <c r="AG147" s="66"/>
      <c r="AH147" s="12"/>
      <c r="AI147" s="12"/>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12"/>
      <c r="BN147" s="12"/>
      <c r="BO147" s="66"/>
      <c r="BP147" s="66"/>
      <c r="BQ147" s="66"/>
      <c r="BR147" s="66"/>
      <c r="BS147" s="66"/>
      <c r="BT147" s="66"/>
      <c r="BU147" s="66"/>
      <c r="BV147" s="66"/>
      <c r="BW147" s="66"/>
      <c r="BX147" s="66"/>
      <c r="BY147" s="66"/>
      <c r="BZ147" s="66"/>
      <c r="CA147" s="66"/>
      <c r="CB147" s="66"/>
      <c r="CC147" s="66"/>
      <c r="CD147" s="66"/>
      <c r="CE147" s="66"/>
      <c r="CF147" s="66"/>
      <c r="CG147" s="66"/>
      <c r="CH147" s="66"/>
      <c r="CI147" s="66"/>
      <c r="CJ147" s="66"/>
      <c r="CK147" s="66"/>
      <c r="CL147" s="66"/>
      <c r="CM147" s="66"/>
      <c r="CN147" s="66"/>
      <c r="CO147" s="66"/>
      <c r="CP147" s="66"/>
      <c r="CQ147" s="66"/>
      <c r="CR147" s="66"/>
      <c r="CS147" s="12"/>
      <c r="CT147" s="12"/>
      <c r="CU147" s="63"/>
      <c r="CV147" s="63"/>
      <c r="CW147" s="63"/>
      <c r="CX147" s="63"/>
      <c r="CY147" s="63"/>
      <c r="CZ147" s="63"/>
      <c r="DA147" s="63"/>
      <c r="DB147" s="63"/>
      <c r="DC147" s="63"/>
      <c r="DD147" s="63"/>
      <c r="DE147" s="63"/>
      <c r="DF147" s="63"/>
      <c r="DG147" s="63"/>
      <c r="DH147" s="63"/>
      <c r="DI147" s="63"/>
      <c r="DJ147" s="63"/>
      <c r="DK147" s="63"/>
      <c r="DL147" s="63"/>
      <c r="DM147" s="63"/>
      <c r="DN147" s="63"/>
      <c r="DO147" s="63"/>
      <c r="DP147" s="63"/>
      <c r="DQ147" s="63"/>
      <c r="DR147" s="63"/>
      <c r="DS147" s="63"/>
      <c r="DT147" s="63"/>
      <c r="DU147" s="63"/>
      <c r="DV147" s="63"/>
      <c r="DW147" s="63"/>
      <c r="DX147" s="35"/>
      <c r="DY147" s="35"/>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246"/>
      <c r="FC147" s="246"/>
      <c r="FD147" s="246"/>
      <c r="FE147" s="246"/>
      <c r="FF147" s="263"/>
      <c r="FG147" s="263"/>
      <c r="FH147" s="263"/>
      <c r="FI147" s="263"/>
      <c r="FJ147" s="263"/>
      <c r="FK147" s="263"/>
      <c r="FL147" s="263"/>
      <c r="FM147" s="263"/>
      <c r="FN147" s="263"/>
      <c r="FO147" s="263"/>
      <c r="FP147" s="263"/>
      <c r="FQ147" s="263"/>
      <c r="FR147" s="263"/>
      <c r="FS147" s="263"/>
      <c r="FT147" s="263"/>
      <c r="FU147" s="263"/>
      <c r="FV147" s="263"/>
      <c r="FW147" s="263"/>
      <c r="FX147" s="263"/>
      <c r="FY147" s="263"/>
      <c r="FZ147" s="263"/>
      <c r="GA147" s="263"/>
      <c r="GB147" s="263"/>
      <c r="GC147" s="263"/>
      <c r="GD147" s="263"/>
      <c r="GE147" s="263"/>
      <c r="GF147" s="263"/>
      <c r="GG147" s="263"/>
      <c r="GH147" s="263"/>
      <c r="GI147" s="263"/>
      <c r="GJ147" s="309">
        <v>47</v>
      </c>
      <c r="GK147" s="309" t="s">
        <v>758</v>
      </c>
      <c r="GL147" s="309">
        <v>7</v>
      </c>
      <c r="GM147" s="309" t="s">
        <v>758</v>
      </c>
      <c r="GN147" s="327">
        <v>0.14000000000000001</v>
      </c>
      <c r="GO147" s="327">
        <v>0.86</v>
      </c>
      <c r="GP147" s="327">
        <v>0</v>
      </c>
      <c r="GQ147" s="327">
        <v>0</v>
      </c>
      <c r="GR147" s="327">
        <v>0.33</v>
      </c>
      <c r="GS147" s="327">
        <v>0.75</v>
      </c>
      <c r="GT147" s="327">
        <v>0.73</v>
      </c>
      <c r="GU147" s="327">
        <v>0</v>
      </c>
      <c r="GV147" s="327">
        <v>0.52</v>
      </c>
      <c r="GW147" s="327">
        <v>0.38</v>
      </c>
      <c r="GX147" s="327">
        <v>0.64</v>
      </c>
      <c r="GY147" s="309" t="s">
        <v>173</v>
      </c>
      <c r="GZ147" s="327">
        <v>0.45</v>
      </c>
      <c r="HA147" s="327">
        <v>0.67</v>
      </c>
      <c r="HB147" s="327">
        <v>0.68</v>
      </c>
      <c r="HC147" s="327">
        <v>0.38</v>
      </c>
      <c r="HD147" s="327">
        <v>0.68</v>
      </c>
      <c r="HE147" s="327">
        <v>0.63</v>
      </c>
      <c r="HF147" s="327">
        <v>0.48</v>
      </c>
      <c r="HG147" s="327">
        <v>0.75</v>
      </c>
      <c r="HH147" s="327">
        <v>0.57999999999999996</v>
      </c>
      <c r="HI147" s="327">
        <v>0.46</v>
      </c>
      <c r="HJ147" s="327">
        <v>0.78</v>
      </c>
      <c r="HK147" s="327">
        <v>0.43</v>
      </c>
      <c r="HL147" s="327">
        <v>0.27</v>
      </c>
      <c r="HM147" s="327">
        <v>0.88</v>
      </c>
      <c r="HN147" s="327">
        <v>0.41</v>
      </c>
      <c r="HO147" s="327">
        <v>0.6</v>
      </c>
      <c r="HP147" s="309" t="s">
        <v>173</v>
      </c>
      <c r="HQ147" s="327">
        <v>0.53</v>
      </c>
      <c r="HR147" s="424">
        <v>40</v>
      </c>
      <c r="HS147" s="424" t="s">
        <v>760</v>
      </c>
      <c r="HT147" s="424">
        <v>9</v>
      </c>
      <c r="HU147" s="424" t="s">
        <v>758</v>
      </c>
      <c r="HV147" s="428">
        <v>0.67</v>
      </c>
      <c r="HW147" s="428">
        <v>0.33</v>
      </c>
      <c r="HX147" s="428">
        <v>0</v>
      </c>
      <c r="HY147" s="428">
        <v>0</v>
      </c>
      <c r="HZ147" s="428">
        <v>0.54</v>
      </c>
      <c r="IA147" s="428">
        <v>0.65</v>
      </c>
      <c r="IB147" s="428">
        <v>0.71</v>
      </c>
      <c r="IC147" s="428">
        <v>0.81</v>
      </c>
      <c r="ID147" s="428">
        <v>0.56000000000000005</v>
      </c>
      <c r="IE147" s="428">
        <v>0.55000000000000004</v>
      </c>
      <c r="IF147" s="428">
        <v>0.82</v>
      </c>
      <c r="IG147" s="428">
        <v>0.31</v>
      </c>
      <c r="IH147" s="428">
        <v>0.57999999999999996</v>
      </c>
      <c r="II147" s="428">
        <v>1</v>
      </c>
      <c r="IJ147" s="428">
        <v>0.47</v>
      </c>
      <c r="IK147" s="428">
        <v>0.87</v>
      </c>
      <c r="IL147" s="428">
        <v>0.55000000000000004</v>
      </c>
      <c r="IM147" s="428">
        <v>0.76</v>
      </c>
      <c r="IN147" s="428">
        <v>0.71</v>
      </c>
      <c r="IO147" s="428">
        <v>0.62</v>
      </c>
      <c r="IP147" s="428">
        <v>0.44</v>
      </c>
      <c r="IQ147" s="428">
        <v>0.67</v>
      </c>
      <c r="IR147" s="428">
        <v>0.71</v>
      </c>
      <c r="IS147" s="428">
        <v>1</v>
      </c>
      <c r="IT147" s="428">
        <v>0.79</v>
      </c>
      <c r="IU147" s="424" t="s">
        <v>173</v>
      </c>
      <c r="IV147" s="428">
        <v>0.75</v>
      </c>
      <c r="IW147" s="428">
        <v>0.64</v>
      </c>
      <c r="IX147" s="428">
        <v>0.75</v>
      </c>
      <c r="IY147" s="428">
        <v>0.8</v>
      </c>
      <c r="IZ147" s="464">
        <v>39</v>
      </c>
      <c r="JA147" s="464" t="s">
        <v>760</v>
      </c>
      <c r="JB147" s="464">
        <v>10</v>
      </c>
      <c r="JC147" s="464" t="s">
        <v>758</v>
      </c>
      <c r="JD147" s="476">
        <v>0.5</v>
      </c>
      <c r="JE147" s="476">
        <v>0.5</v>
      </c>
      <c r="JF147" s="476">
        <v>0</v>
      </c>
      <c r="JG147" s="476">
        <v>0</v>
      </c>
      <c r="JH147" s="476">
        <v>0.67</v>
      </c>
      <c r="JI147" s="476">
        <v>0.67</v>
      </c>
      <c r="JJ147" s="476">
        <v>0.67</v>
      </c>
      <c r="JK147" s="476">
        <v>0.82</v>
      </c>
      <c r="JL147" s="476">
        <v>0.86</v>
      </c>
      <c r="JM147" s="476">
        <v>0.77</v>
      </c>
      <c r="JN147" s="476">
        <v>0.5</v>
      </c>
      <c r="JO147" s="476">
        <v>0.64</v>
      </c>
      <c r="JP147" s="476">
        <v>0.67</v>
      </c>
      <c r="JQ147" s="476">
        <v>0.78</v>
      </c>
      <c r="JR147" s="476">
        <v>0.82</v>
      </c>
      <c r="JS147" s="476">
        <v>1</v>
      </c>
      <c r="JT147" s="476">
        <v>0.56999999999999995</v>
      </c>
      <c r="JU147" s="476">
        <v>0.5</v>
      </c>
      <c r="JV147" s="476">
        <v>0.69</v>
      </c>
      <c r="JW147" s="476">
        <v>0.64</v>
      </c>
      <c r="JX147" s="476">
        <v>0.67</v>
      </c>
      <c r="JY147" s="476">
        <v>0.86</v>
      </c>
      <c r="JZ147" s="476">
        <v>0.78</v>
      </c>
      <c r="KA147" s="476">
        <v>0.67</v>
      </c>
      <c r="KB147" s="476">
        <v>0.83</v>
      </c>
      <c r="KC147" s="476">
        <v>1</v>
      </c>
      <c r="KD147" s="476">
        <v>0.86</v>
      </c>
      <c r="KE147" s="476">
        <v>0.64</v>
      </c>
      <c r="KF147" s="476">
        <v>0.43</v>
      </c>
      <c r="KG147" s="476">
        <v>1</v>
      </c>
      <c r="KH147" s="971">
        <v>44</v>
      </c>
      <c r="KI147" s="971" t="s">
        <v>760</v>
      </c>
      <c r="KJ147" s="971">
        <v>9</v>
      </c>
      <c r="KK147" s="971" t="s">
        <v>758</v>
      </c>
      <c r="KL147" s="949">
        <v>0.4</v>
      </c>
      <c r="KM147" s="949">
        <v>0.42</v>
      </c>
      <c r="KN147" s="949">
        <v>0.18</v>
      </c>
      <c r="KO147" s="949">
        <v>0</v>
      </c>
      <c r="KP147" s="949">
        <v>0.64</v>
      </c>
      <c r="KQ147" s="949">
        <v>0.38</v>
      </c>
      <c r="KR147" s="949">
        <v>0.71</v>
      </c>
      <c r="KS147" s="949">
        <v>0.65</v>
      </c>
      <c r="KT147" s="949">
        <v>0.65</v>
      </c>
      <c r="KU147" s="949">
        <v>0.57999999999999996</v>
      </c>
      <c r="KV147" s="949">
        <v>0.66</v>
      </c>
      <c r="KW147" s="949">
        <v>0.44</v>
      </c>
      <c r="KX147" s="949">
        <v>0.55000000000000004</v>
      </c>
      <c r="KY147" s="949">
        <v>0.6</v>
      </c>
      <c r="KZ147" s="949">
        <v>0.54</v>
      </c>
      <c r="LA147" s="949">
        <v>0.64</v>
      </c>
      <c r="LB147" s="949">
        <v>0.41</v>
      </c>
      <c r="LC147" s="949">
        <v>0.55000000000000004</v>
      </c>
      <c r="LD147" s="949">
        <v>0.69</v>
      </c>
      <c r="LE147" s="949">
        <v>0.62</v>
      </c>
      <c r="LF147" s="949">
        <v>0.52</v>
      </c>
      <c r="LG147" s="949">
        <v>0.62</v>
      </c>
      <c r="LH147" s="949">
        <v>0.66</v>
      </c>
      <c r="LI147" s="949">
        <v>0.62</v>
      </c>
      <c r="LJ147" s="949">
        <v>0.6</v>
      </c>
      <c r="LK147" s="949">
        <v>0.66</v>
      </c>
      <c r="LL147" s="949" t="s">
        <v>173</v>
      </c>
      <c r="LM147" s="949">
        <v>0.67</v>
      </c>
      <c r="LN147" s="949">
        <v>0.72</v>
      </c>
      <c r="LO147" s="949">
        <v>0.51</v>
      </c>
      <c r="LP147" s="922">
        <v>325754005498</v>
      </c>
      <c r="LQ147" s="803" t="s">
        <v>774</v>
      </c>
      <c r="LR147" s="424">
        <v>40</v>
      </c>
      <c r="LS147" s="971">
        <v>44</v>
      </c>
      <c r="LT147" s="946"/>
    </row>
    <row r="148" spans="1:332" ht="24.95" customHeight="1" x14ac:dyDescent="0.2">
      <c r="A148" s="804" t="s">
        <v>24</v>
      </c>
      <c r="B148" s="1" t="s">
        <v>123</v>
      </c>
      <c r="C148" s="309">
        <v>6</v>
      </c>
      <c r="D148" s="328">
        <v>56</v>
      </c>
      <c r="E148" s="328">
        <v>7</v>
      </c>
      <c r="F148" s="333">
        <v>0</v>
      </c>
      <c r="G148" s="333">
        <v>0.36</v>
      </c>
      <c r="H148" s="333">
        <v>0.64</v>
      </c>
      <c r="I148" s="333">
        <v>0</v>
      </c>
      <c r="J148" s="333">
        <v>0.38</v>
      </c>
      <c r="K148" s="333">
        <v>0.33</v>
      </c>
      <c r="L148" s="333">
        <v>0.67</v>
      </c>
      <c r="M148" s="333">
        <v>0.17</v>
      </c>
      <c r="N148" s="333">
        <v>0.27</v>
      </c>
      <c r="O148" s="333">
        <v>0.69</v>
      </c>
      <c r="P148" s="333">
        <v>0.3</v>
      </c>
      <c r="Q148" s="333">
        <v>0.42</v>
      </c>
      <c r="R148" s="333">
        <v>0.53</v>
      </c>
      <c r="S148" s="333">
        <v>0.48</v>
      </c>
      <c r="T148" s="333">
        <v>0.42</v>
      </c>
      <c r="U148" s="333">
        <v>0.17</v>
      </c>
      <c r="V148" s="333">
        <v>0</v>
      </c>
      <c r="W148" s="333">
        <v>0.13</v>
      </c>
      <c r="X148" s="333">
        <v>0.52</v>
      </c>
      <c r="Y148" s="333">
        <v>0.56000000000000005</v>
      </c>
      <c r="Z148" s="328" t="s">
        <v>173</v>
      </c>
      <c r="AA148" s="333">
        <v>0.08</v>
      </c>
      <c r="AB148" s="333">
        <v>0.46</v>
      </c>
      <c r="AC148" s="333">
        <v>0.04</v>
      </c>
      <c r="AD148" s="333">
        <v>0.45</v>
      </c>
      <c r="AE148" s="333">
        <v>0.4</v>
      </c>
      <c r="AF148" s="333">
        <v>0.48</v>
      </c>
      <c r="AG148" s="333">
        <v>0.56000000000000005</v>
      </c>
      <c r="AH148" s="328">
        <v>46</v>
      </c>
      <c r="AI148" s="328">
        <v>8</v>
      </c>
      <c r="AJ148" s="331">
        <v>0.33</v>
      </c>
      <c r="AK148" s="331">
        <v>0.5</v>
      </c>
      <c r="AL148" s="331">
        <v>0.17</v>
      </c>
      <c r="AM148" s="331">
        <v>0</v>
      </c>
      <c r="AN148" s="331">
        <v>0.5</v>
      </c>
      <c r="AO148" s="331">
        <v>0.45</v>
      </c>
      <c r="AP148" s="331">
        <v>0.71</v>
      </c>
      <c r="AQ148" s="331">
        <v>0.59</v>
      </c>
      <c r="AR148" s="331">
        <v>0.8</v>
      </c>
      <c r="AS148" s="331">
        <v>0.59</v>
      </c>
      <c r="AT148" s="331">
        <v>0.71</v>
      </c>
      <c r="AU148" s="331">
        <v>0.56999999999999995</v>
      </c>
      <c r="AV148" s="331">
        <v>0.65</v>
      </c>
      <c r="AW148" s="331">
        <v>0.55000000000000004</v>
      </c>
      <c r="AX148" s="331">
        <v>0.42</v>
      </c>
      <c r="AY148" s="331">
        <v>0.31</v>
      </c>
      <c r="AZ148" s="331">
        <v>0.5</v>
      </c>
      <c r="BA148" s="331">
        <v>0.41</v>
      </c>
      <c r="BB148" s="331">
        <v>0.89</v>
      </c>
      <c r="BC148" s="331">
        <v>0.75</v>
      </c>
      <c r="BD148" s="331">
        <v>0.46</v>
      </c>
      <c r="BE148" s="331">
        <v>1</v>
      </c>
      <c r="BF148" s="331">
        <v>0.6</v>
      </c>
      <c r="BG148" s="331">
        <v>0.67</v>
      </c>
      <c r="BH148" s="331">
        <v>0.55000000000000004</v>
      </c>
      <c r="BI148" s="331">
        <v>0.5</v>
      </c>
      <c r="BJ148" s="331">
        <v>0.67</v>
      </c>
      <c r="BK148" s="331">
        <v>0.64</v>
      </c>
      <c r="BL148" s="331">
        <v>0.17</v>
      </c>
      <c r="BM148" s="328">
        <v>49</v>
      </c>
      <c r="BN148" s="328">
        <v>13</v>
      </c>
      <c r="BO148" s="333">
        <v>0.13</v>
      </c>
      <c r="BP148" s="333">
        <v>0.63</v>
      </c>
      <c r="BQ148" s="333">
        <v>0.25</v>
      </c>
      <c r="BR148" s="333">
        <v>0</v>
      </c>
      <c r="BS148" s="333">
        <v>0.67</v>
      </c>
      <c r="BT148" s="333">
        <v>1</v>
      </c>
      <c r="BU148" s="333">
        <v>0.43</v>
      </c>
      <c r="BV148" s="333">
        <v>0</v>
      </c>
      <c r="BW148" s="333">
        <v>0.67</v>
      </c>
      <c r="BX148" s="333">
        <v>0.44</v>
      </c>
      <c r="BY148" s="333">
        <v>0.47</v>
      </c>
      <c r="BZ148" s="333">
        <v>0.48</v>
      </c>
      <c r="CA148" s="333">
        <v>0.46</v>
      </c>
      <c r="CB148" s="333">
        <v>0.31</v>
      </c>
      <c r="CC148" s="333">
        <v>0.27</v>
      </c>
      <c r="CD148" s="333">
        <v>0.6</v>
      </c>
      <c r="CE148" s="333">
        <v>0.47</v>
      </c>
      <c r="CF148" s="333">
        <v>0.89</v>
      </c>
      <c r="CG148" s="333">
        <v>0.45</v>
      </c>
      <c r="CH148" s="333">
        <v>0.38</v>
      </c>
      <c r="CI148" s="333">
        <v>0.52</v>
      </c>
      <c r="CJ148" s="333">
        <v>0.43</v>
      </c>
      <c r="CK148" s="333">
        <v>0.63</v>
      </c>
      <c r="CL148" s="333">
        <v>0.21</v>
      </c>
      <c r="CM148" s="333">
        <v>0.28999999999999998</v>
      </c>
      <c r="CN148" s="333">
        <v>0.52</v>
      </c>
      <c r="CO148" s="333">
        <v>0.64</v>
      </c>
      <c r="CP148" s="333">
        <v>0.46</v>
      </c>
      <c r="CQ148" s="333">
        <v>0.68</v>
      </c>
      <c r="CR148" s="333">
        <v>0.56999999999999995</v>
      </c>
      <c r="CS148" s="328">
        <v>47</v>
      </c>
      <c r="CT148" s="328">
        <v>4</v>
      </c>
      <c r="CU148" s="327">
        <v>0</v>
      </c>
      <c r="CV148" s="327">
        <v>1</v>
      </c>
      <c r="CW148" s="327">
        <v>0</v>
      </c>
      <c r="CX148" s="327">
        <v>0</v>
      </c>
      <c r="CY148" s="327">
        <v>0.5</v>
      </c>
      <c r="CZ148" s="327">
        <v>0.45</v>
      </c>
      <c r="DA148" s="327">
        <v>0.63</v>
      </c>
      <c r="DB148" s="327">
        <v>0.2</v>
      </c>
      <c r="DC148" s="327">
        <v>0.33</v>
      </c>
      <c r="DD148" s="327">
        <v>1</v>
      </c>
      <c r="DE148" s="327">
        <v>0</v>
      </c>
      <c r="DF148" s="327">
        <v>0.67</v>
      </c>
      <c r="DG148" s="327">
        <v>0.5</v>
      </c>
      <c r="DH148" s="327">
        <v>0.6</v>
      </c>
      <c r="DI148" s="327">
        <v>0.43</v>
      </c>
      <c r="DJ148" s="327">
        <v>0.67</v>
      </c>
      <c r="DK148" s="327">
        <v>0.6</v>
      </c>
      <c r="DL148" s="327">
        <v>0</v>
      </c>
      <c r="DM148" s="327">
        <v>0.63</v>
      </c>
      <c r="DN148" s="327">
        <v>0.67</v>
      </c>
      <c r="DO148" s="327">
        <v>0.5</v>
      </c>
      <c r="DP148" s="327">
        <v>0.63</v>
      </c>
      <c r="DQ148" s="327">
        <v>0.5</v>
      </c>
      <c r="DR148" s="327">
        <v>0.1</v>
      </c>
      <c r="DS148" s="327">
        <v>0.44</v>
      </c>
      <c r="DT148" s="327">
        <v>0.75</v>
      </c>
      <c r="DU148" s="327">
        <v>0.5</v>
      </c>
      <c r="DV148" s="327">
        <v>0.38</v>
      </c>
      <c r="DW148" s="327">
        <v>0.17</v>
      </c>
      <c r="DX148" s="311">
        <v>53</v>
      </c>
      <c r="DY148" s="311">
        <v>6</v>
      </c>
      <c r="DZ148" s="331">
        <v>0</v>
      </c>
      <c r="EA148" s="331">
        <v>0.75</v>
      </c>
      <c r="EB148" s="331">
        <v>0.25</v>
      </c>
      <c r="EC148" s="331">
        <v>0</v>
      </c>
      <c r="ED148" s="331">
        <v>0.75</v>
      </c>
      <c r="EE148" s="331">
        <v>0.56000000000000005</v>
      </c>
      <c r="EF148" s="331">
        <v>0.44</v>
      </c>
      <c r="EG148" s="331">
        <v>0.5</v>
      </c>
      <c r="EH148" s="331">
        <v>0.33</v>
      </c>
      <c r="EI148" s="331">
        <v>0.33</v>
      </c>
      <c r="EJ148" s="331">
        <v>0.25</v>
      </c>
      <c r="EK148" s="331">
        <v>0.2</v>
      </c>
      <c r="EL148" s="331">
        <v>0.25</v>
      </c>
      <c r="EM148" s="331">
        <v>0</v>
      </c>
      <c r="EN148" s="331">
        <v>0.4</v>
      </c>
      <c r="EO148" s="331">
        <v>0.56000000000000005</v>
      </c>
      <c r="EP148" s="331">
        <v>0.17</v>
      </c>
      <c r="EQ148" s="331">
        <v>0</v>
      </c>
      <c r="ER148" s="331">
        <v>0.43</v>
      </c>
      <c r="ES148" s="331">
        <v>0.44</v>
      </c>
      <c r="ET148" s="331">
        <v>0.23</v>
      </c>
      <c r="EU148" s="331">
        <v>0.5</v>
      </c>
      <c r="EV148" s="331">
        <v>0</v>
      </c>
      <c r="EW148" s="331">
        <v>0.5</v>
      </c>
      <c r="EX148" s="331">
        <v>1</v>
      </c>
      <c r="EY148" s="331">
        <v>0.62</v>
      </c>
      <c r="EZ148" s="331">
        <v>0</v>
      </c>
      <c r="FA148" s="331">
        <v>0.73</v>
      </c>
      <c r="FB148" s="312">
        <v>55</v>
      </c>
      <c r="FC148" s="312" t="s">
        <v>758</v>
      </c>
      <c r="FD148" s="312">
        <v>5</v>
      </c>
      <c r="FE148" s="312" t="s">
        <v>760</v>
      </c>
      <c r="FF148" s="332">
        <v>0</v>
      </c>
      <c r="FG148" s="332">
        <v>0.6</v>
      </c>
      <c r="FH148" s="332">
        <v>0.4</v>
      </c>
      <c r="FI148" s="332">
        <v>0</v>
      </c>
      <c r="FJ148" s="332">
        <v>0.36</v>
      </c>
      <c r="FK148" s="332">
        <v>0.64</v>
      </c>
      <c r="FL148" s="332">
        <v>0.43</v>
      </c>
      <c r="FM148" s="332">
        <v>0.17</v>
      </c>
      <c r="FN148" s="332">
        <v>0.2</v>
      </c>
      <c r="FO148" s="332">
        <v>0.14000000000000001</v>
      </c>
      <c r="FP148" s="332">
        <v>0.17</v>
      </c>
      <c r="FQ148" s="332">
        <v>0.27</v>
      </c>
      <c r="FR148" s="332">
        <v>0.62</v>
      </c>
      <c r="FS148" s="332">
        <v>0.5</v>
      </c>
      <c r="FT148" s="332">
        <v>0.44</v>
      </c>
      <c r="FU148" s="332">
        <v>0.25</v>
      </c>
      <c r="FV148" s="332">
        <v>0.7</v>
      </c>
      <c r="FW148" s="332">
        <v>0.64</v>
      </c>
      <c r="FX148" s="332">
        <v>0</v>
      </c>
      <c r="FY148" s="332">
        <v>0.27</v>
      </c>
      <c r="FZ148" s="332">
        <v>0.1</v>
      </c>
      <c r="GA148" s="332">
        <v>0.56000000000000005</v>
      </c>
      <c r="GB148" s="332">
        <v>0.28999999999999998</v>
      </c>
      <c r="GC148" s="332">
        <v>0.38</v>
      </c>
      <c r="GD148" s="332">
        <v>0.59</v>
      </c>
      <c r="GE148" s="332">
        <v>0.36</v>
      </c>
      <c r="GF148" s="332">
        <v>0.56999999999999995</v>
      </c>
      <c r="GG148" s="332">
        <v>0.27</v>
      </c>
      <c r="GH148" s="332">
        <v>0.5</v>
      </c>
      <c r="GI148" s="332">
        <v>0.17</v>
      </c>
      <c r="GJ148" s="309">
        <v>49</v>
      </c>
      <c r="GK148" s="309" t="s">
        <v>758</v>
      </c>
      <c r="GL148" s="309">
        <v>8</v>
      </c>
      <c r="GM148" s="309" t="s">
        <v>758</v>
      </c>
      <c r="GN148" s="327">
        <v>0.2</v>
      </c>
      <c r="GO148" s="327">
        <v>0.4</v>
      </c>
      <c r="GP148" s="327">
        <v>0.4</v>
      </c>
      <c r="GQ148" s="327">
        <v>0</v>
      </c>
      <c r="GR148" s="327">
        <v>0.19</v>
      </c>
      <c r="GS148" s="327">
        <v>0.5</v>
      </c>
      <c r="GT148" s="327">
        <v>0.61</v>
      </c>
      <c r="GU148" s="327">
        <v>0.67</v>
      </c>
      <c r="GV148" s="327">
        <v>0.56999999999999995</v>
      </c>
      <c r="GW148" s="327">
        <v>0.22</v>
      </c>
      <c r="GX148" s="327">
        <v>0.46</v>
      </c>
      <c r="GY148" s="309" t="s">
        <v>173</v>
      </c>
      <c r="GZ148" s="327">
        <v>0.21</v>
      </c>
      <c r="HA148" s="327">
        <v>0.63</v>
      </c>
      <c r="HB148" s="327">
        <v>0.49</v>
      </c>
      <c r="HC148" s="327">
        <v>0.55000000000000004</v>
      </c>
      <c r="HD148" s="327">
        <v>0.48</v>
      </c>
      <c r="HE148" s="327">
        <v>0.53</v>
      </c>
      <c r="HF148" s="327">
        <v>0.39</v>
      </c>
      <c r="HG148" s="327">
        <v>0.69</v>
      </c>
      <c r="HH148" s="327">
        <v>0.56000000000000005</v>
      </c>
      <c r="HI148" s="327">
        <v>0.62</v>
      </c>
      <c r="HJ148" s="327">
        <v>0.67</v>
      </c>
      <c r="HK148" s="327">
        <v>0.56000000000000005</v>
      </c>
      <c r="HL148" s="327">
        <v>0.6</v>
      </c>
      <c r="HM148" s="327">
        <v>0.5</v>
      </c>
      <c r="HN148" s="327">
        <v>0.6</v>
      </c>
      <c r="HO148" s="327">
        <v>0.5</v>
      </c>
      <c r="HP148" s="309" t="s">
        <v>173</v>
      </c>
      <c r="HQ148" s="327">
        <v>0.53</v>
      </c>
      <c r="HR148" s="424">
        <v>52</v>
      </c>
      <c r="HS148" s="424" t="s">
        <v>758</v>
      </c>
      <c r="HT148" s="424">
        <v>9</v>
      </c>
      <c r="HU148" s="424" t="s">
        <v>758</v>
      </c>
      <c r="HV148" s="428">
        <v>0.14000000000000001</v>
      </c>
      <c r="HW148" s="428">
        <v>0.56999999999999995</v>
      </c>
      <c r="HX148" s="428">
        <v>0.28999999999999998</v>
      </c>
      <c r="HY148" s="428">
        <v>0</v>
      </c>
      <c r="HZ148" s="428">
        <v>0.36</v>
      </c>
      <c r="IA148" s="428">
        <v>0.53</v>
      </c>
      <c r="IB148" s="428">
        <v>0.25</v>
      </c>
      <c r="IC148" s="428">
        <v>0.54</v>
      </c>
      <c r="ID148" s="428">
        <v>0.72</v>
      </c>
      <c r="IE148" s="428">
        <v>0.24</v>
      </c>
      <c r="IF148" s="428">
        <v>0.36</v>
      </c>
      <c r="IG148" s="428">
        <v>0.56999999999999995</v>
      </c>
      <c r="IH148" s="428">
        <v>0.28999999999999998</v>
      </c>
      <c r="II148" s="428">
        <v>0</v>
      </c>
      <c r="IJ148" s="428">
        <v>0.38</v>
      </c>
      <c r="IK148" s="428">
        <v>0.72</v>
      </c>
      <c r="IL148" s="428">
        <v>0.13</v>
      </c>
      <c r="IM148" s="428">
        <v>0.69</v>
      </c>
      <c r="IN148" s="428">
        <v>0.38</v>
      </c>
      <c r="IO148" s="428">
        <v>0.53</v>
      </c>
      <c r="IP148" s="428">
        <v>0.22</v>
      </c>
      <c r="IQ148" s="428">
        <v>0.5</v>
      </c>
      <c r="IR148" s="428">
        <v>0.69</v>
      </c>
      <c r="IS148" s="428">
        <v>0.61</v>
      </c>
      <c r="IT148" s="428">
        <v>0.32</v>
      </c>
      <c r="IU148" s="424" t="s">
        <v>173</v>
      </c>
      <c r="IV148" s="428">
        <v>0.9</v>
      </c>
      <c r="IW148" s="428">
        <v>0.42</v>
      </c>
      <c r="IX148" s="428">
        <v>0.45</v>
      </c>
      <c r="IY148" s="428">
        <v>0.5</v>
      </c>
      <c r="IZ148" s="464">
        <v>48</v>
      </c>
      <c r="JA148" s="464" t="s">
        <v>758</v>
      </c>
      <c r="JB148" s="464">
        <v>10</v>
      </c>
      <c r="JC148" s="464" t="s">
        <v>758</v>
      </c>
      <c r="JD148" s="476">
        <v>0.3</v>
      </c>
      <c r="JE148" s="476">
        <v>0.4</v>
      </c>
      <c r="JF148" s="476">
        <v>0.3</v>
      </c>
      <c r="JG148" s="476">
        <v>0</v>
      </c>
      <c r="JH148" s="476">
        <v>0.63</v>
      </c>
      <c r="JI148" s="476">
        <v>0.44</v>
      </c>
      <c r="JJ148" s="476">
        <v>0.36</v>
      </c>
      <c r="JK148" s="476">
        <v>0.41</v>
      </c>
      <c r="JL148" s="476">
        <v>0.62</v>
      </c>
      <c r="JM148" s="476">
        <v>0.41</v>
      </c>
      <c r="JN148" s="476">
        <v>0.52</v>
      </c>
      <c r="JO148" s="476">
        <v>0.37</v>
      </c>
      <c r="JP148" s="476">
        <v>0.78</v>
      </c>
      <c r="JQ148" s="476">
        <v>0.19</v>
      </c>
      <c r="JR148" s="476">
        <v>0.65</v>
      </c>
      <c r="JS148" s="476">
        <v>0.57999999999999996</v>
      </c>
      <c r="JT148" s="476">
        <v>0.64</v>
      </c>
      <c r="JU148" s="476">
        <v>0.43</v>
      </c>
      <c r="JV148" s="476">
        <v>0.62</v>
      </c>
      <c r="JW148" s="476">
        <v>0.7</v>
      </c>
      <c r="JX148" s="476">
        <v>0.25</v>
      </c>
      <c r="JY148" s="476">
        <v>0.69</v>
      </c>
      <c r="JZ148" s="476">
        <v>0.57999999999999996</v>
      </c>
      <c r="KA148" s="476">
        <v>0.83</v>
      </c>
      <c r="KB148" s="476">
        <v>0.5</v>
      </c>
      <c r="KC148" s="476">
        <v>0.7</v>
      </c>
      <c r="KD148" s="476">
        <v>0.43</v>
      </c>
      <c r="KE148" s="476">
        <v>0.55000000000000004</v>
      </c>
      <c r="KF148" s="476">
        <v>0.62</v>
      </c>
      <c r="KG148" s="476">
        <v>0.68</v>
      </c>
      <c r="KH148" s="971">
        <v>53</v>
      </c>
      <c r="KI148" s="971" t="s">
        <v>758</v>
      </c>
      <c r="KJ148" s="971">
        <v>8</v>
      </c>
      <c r="KK148" s="971" t="s">
        <v>758</v>
      </c>
      <c r="KL148" s="949">
        <v>0.05</v>
      </c>
      <c r="KM148" s="949">
        <v>0.62</v>
      </c>
      <c r="KN148" s="949">
        <v>0.28999999999999998</v>
      </c>
      <c r="KO148" s="949">
        <v>0.05</v>
      </c>
      <c r="KP148" s="949">
        <v>0.55000000000000004</v>
      </c>
      <c r="KQ148" s="949">
        <v>0.16</v>
      </c>
      <c r="KR148" s="949">
        <v>0.45</v>
      </c>
      <c r="KS148" s="949">
        <v>0.45</v>
      </c>
      <c r="KT148" s="949">
        <v>0.59</v>
      </c>
      <c r="KU148" s="949">
        <v>0.18</v>
      </c>
      <c r="KV148" s="949">
        <v>0.55000000000000004</v>
      </c>
      <c r="KW148" s="949">
        <v>0.3</v>
      </c>
      <c r="KX148" s="949">
        <v>0.35</v>
      </c>
      <c r="KY148" s="949">
        <v>0.54</v>
      </c>
      <c r="KZ148" s="949">
        <v>0.34</v>
      </c>
      <c r="LA148" s="949">
        <v>0.27</v>
      </c>
      <c r="LB148" s="949">
        <v>0.4</v>
      </c>
      <c r="LC148" s="949">
        <v>0.39</v>
      </c>
      <c r="LD148" s="949">
        <v>0.55000000000000004</v>
      </c>
      <c r="LE148" s="949">
        <v>0.42</v>
      </c>
      <c r="LF148" s="949">
        <v>0.32</v>
      </c>
      <c r="LG148" s="949">
        <v>0.64</v>
      </c>
      <c r="LH148" s="949">
        <v>0.57999999999999996</v>
      </c>
      <c r="LI148" s="949">
        <v>0.53</v>
      </c>
      <c r="LJ148" s="949">
        <v>0.31</v>
      </c>
      <c r="LK148" s="949">
        <v>0.52</v>
      </c>
      <c r="LL148" s="949" t="s">
        <v>173</v>
      </c>
      <c r="LM148" s="949">
        <v>0.59</v>
      </c>
      <c r="LN148" s="949">
        <v>0.45</v>
      </c>
      <c r="LO148" s="949">
        <v>0.24</v>
      </c>
      <c r="LP148" s="922">
        <v>325754004050</v>
      </c>
      <c r="LQ148" s="804" t="s">
        <v>24</v>
      </c>
      <c r="LR148" s="424">
        <v>52</v>
      </c>
      <c r="LS148" s="971">
        <v>53</v>
      </c>
      <c r="LT148" s="946"/>
    </row>
    <row r="149" spans="1:332" ht="24.95" customHeight="1" x14ac:dyDescent="0.2">
      <c r="A149" s="803" t="s">
        <v>36</v>
      </c>
      <c r="B149" s="1" t="s">
        <v>123</v>
      </c>
      <c r="C149" s="2">
        <v>6</v>
      </c>
      <c r="D149" s="12">
        <v>59</v>
      </c>
      <c r="E149" s="12">
        <v>6</v>
      </c>
      <c r="F149" s="66">
        <v>0</v>
      </c>
      <c r="G149" s="66">
        <v>0.25</v>
      </c>
      <c r="H149" s="66">
        <v>0.75</v>
      </c>
      <c r="I149" s="66">
        <v>0</v>
      </c>
      <c r="J149" s="66">
        <v>0.21</v>
      </c>
      <c r="K149" s="66">
        <v>0.32</v>
      </c>
      <c r="L149" s="66">
        <v>0.68</v>
      </c>
      <c r="M149" s="66">
        <v>0.12</v>
      </c>
      <c r="N149" s="66">
        <v>0.21</v>
      </c>
      <c r="O149" s="66">
        <v>0.44</v>
      </c>
      <c r="P149" s="66">
        <v>0.26</v>
      </c>
      <c r="Q149" s="66">
        <v>0.48</v>
      </c>
      <c r="R149" s="66">
        <v>0.49</v>
      </c>
      <c r="S149" s="66">
        <v>0.44</v>
      </c>
      <c r="T149" s="66">
        <v>0.38</v>
      </c>
      <c r="U149" s="66">
        <v>0.6</v>
      </c>
      <c r="V149" s="66">
        <v>0.06</v>
      </c>
      <c r="W149" s="66">
        <v>0</v>
      </c>
      <c r="X149" s="66">
        <v>0.39</v>
      </c>
      <c r="Y149" s="66">
        <v>0.44</v>
      </c>
      <c r="Z149" s="66">
        <v>1</v>
      </c>
      <c r="AA149" s="66">
        <v>7.0000000000000007E-2</v>
      </c>
      <c r="AB149" s="66">
        <v>0.26</v>
      </c>
      <c r="AC149" s="66">
        <v>0.09</v>
      </c>
      <c r="AD149" s="66">
        <v>0.26</v>
      </c>
      <c r="AE149" s="66">
        <v>0.22</v>
      </c>
      <c r="AF149" s="66">
        <v>0.36</v>
      </c>
      <c r="AG149" s="66">
        <v>0.32</v>
      </c>
      <c r="AH149" s="12">
        <v>60</v>
      </c>
      <c r="AI149" s="12">
        <v>8</v>
      </c>
      <c r="AJ149" s="40">
        <v>0</v>
      </c>
      <c r="AK149" s="40">
        <v>0.31</v>
      </c>
      <c r="AL149" s="40">
        <v>0.6</v>
      </c>
      <c r="AM149" s="40">
        <v>0.09</v>
      </c>
      <c r="AN149" s="40">
        <v>0.19</v>
      </c>
      <c r="AO149" s="40">
        <v>0.39</v>
      </c>
      <c r="AP149" s="40">
        <v>0.37</v>
      </c>
      <c r="AQ149" s="40">
        <v>0.27</v>
      </c>
      <c r="AR149" s="40">
        <v>0.39</v>
      </c>
      <c r="AS149" s="40">
        <v>0.44</v>
      </c>
      <c r="AT149" s="40">
        <v>0.4</v>
      </c>
      <c r="AU149" s="40">
        <v>0.35</v>
      </c>
      <c r="AV149" s="40">
        <v>0.38</v>
      </c>
      <c r="AW149" s="40">
        <v>0.3</v>
      </c>
      <c r="AX149" s="40">
        <v>0.2</v>
      </c>
      <c r="AY149" s="40">
        <v>0.2</v>
      </c>
      <c r="AZ149" s="40">
        <v>0.23</v>
      </c>
      <c r="BA149" s="40">
        <v>0.4</v>
      </c>
      <c r="BB149" s="40">
        <v>0.5</v>
      </c>
      <c r="BC149" s="40">
        <v>0.6</v>
      </c>
      <c r="BD149" s="40">
        <v>0.22</v>
      </c>
      <c r="BE149" s="40">
        <v>0.24</v>
      </c>
      <c r="BF149" s="40">
        <v>0.67</v>
      </c>
      <c r="BG149" s="40">
        <v>0.23</v>
      </c>
      <c r="BH149" s="40">
        <v>0.28999999999999998</v>
      </c>
      <c r="BI149" s="40">
        <v>0.28000000000000003</v>
      </c>
      <c r="BJ149" s="40">
        <v>0.18</v>
      </c>
      <c r="BK149" s="40">
        <v>0.33</v>
      </c>
      <c r="BL149" s="40">
        <v>0</v>
      </c>
      <c r="BM149" s="12">
        <v>56</v>
      </c>
      <c r="BN149" s="12">
        <v>6</v>
      </c>
      <c r="BO149" s="66">
        <v>0</v>
      </c>
      <c r="BP149" s="66">
        <v>0.4</v>
      </c>
      <c r="BQ149" s="66">
        <v>0.6</v>
      </c>
      <c r="BR149" s="66">
        <v>0</v>
      </c>
      <c r="BS149" s="66">
        <v>0.31</v>
      </c>
      <c r="BT149" s="66">
        <v>0.2</v>
      </c>
      <c r="BU149" s="66">
        <v>0.74</v>
      </c>
      <c r="BV149" s="66">
        <v>0.13</v>
      </c>
      <c r="BW149" s="66">
        <v>0.65</v>
      </c>
      <c r="BX149" s="66">
        <v>0.25</v>
      </c>
      <c r="BY149" s="66">
        <v>0.27</v>
      </c>
      <c r="BZ149" s="66">
        <v>0.35</v>
      </c>
      <c r="CA149" s="66">
        <v>0.4</v>
      </c>
      <c r="CB149" s="66">
        <v>0.18</v>
      </c>
      <c r="CC149" s="66">
        <v>0.1</v>
      </c>
      <c r="CD149" s="66">
        <v>0.32</v>
      </c>
      <c r="CE149" s="66">
        <v>0.19</v>
      </c>
      <c r="CF149" s="66">
        <v>0.48</v>
      </c>
      <c r="CG149" s="66">
        <v>0.47</v>
      </c>
      <c r="CH149" s="66">
        <v>0.37</v>
      </c>
      <c r="CI149" s="66">
        <v>0.52</v>
      </c>
      <c r="CJ149" s="66">
        <v>0.21</v>
      </c>
      <c r="CK149" s="66">
        <v>0.57999999999999996</v>
      </c>
      <c r="CL149" s="66">
        <v>0.13</v>
      </c>
      <c r="CM149" s="66">
        <v>0.37</v>
      </c>
      <c r="CN149" s="66">
        <v>0.34</v>
      </c>
      <c r="CO149" s="66">
        <v>0.33</v>
      </c>
      <c r="CP149" s="66">
        <v>0.26</v>
      </c>
      <c r="CQ149" s="66">
        <v>0.53</v>
      </c>
      <c r="CR149" s="66">
        <v>0.52</v>
      </c>
      <c r="CS149" s="12">
        <v>58</v>
      </c>
      <c r="CT149" s="12">
        <v>9</v>
      </c>
      <c r="CU149" s="63">
        <v>7.0000000000000007E-2</v>
      </c>
      <c r="CV149" s="63">
        <v>0.33</v>
      </c>
      <c r="CW149" s="63">
        <v>0.5</v>
      </c>
      <c r="CX149" s="63">
        <v>0.1</v>
      </c>
      <c r="CY149" s="63">
        <v>0.45</v>
      </c>
      <c r="CZ149" s="63">
        <v>0.16</v>
      </c>
      <c r="DA149" s="63">
        <v>0.48</v>
      </c>
      <c r="DB149" s="63">
        <v>0.19</v>
      </c>
      <c r="DC149" s="63">
        <v>0.27</v>
      </c>
      <c r="DD149" s="63">
        <v>0.51</v>
      </c>
      <c r="DE149" s="63">
        <v>0.16</v>
      </c>
      <c r="DF149" s="63">
        <v>0.4</v>
      </c>
      <c r="DG149" s="63">
        <v>0.39</v>
      </c>
      <c r="DH149" s="63">
        <v>0.19</v>
      </c>
      <c r="DI149" s="63">
        <v>0.26</v>
      </c>
      <c r="DJ149" s="63">
        <v>0.36</v>
      </c>
      <c r="DK149" s="63">
        <v>0.26</v>
      </c>
      <c r="DL149" s="63">
        <v>0.14000000000000001</v>
      </c>
      <c r="DM149" s="63">
        <v>0.3</v>
      </c>
      <c r="DN149" s="63">
        <v>0.31</v>
      </c>
      <c r="DO149" s="63">
        <v>0.31</v>
      </c>
      <c r="DP149" s="63">
        <v>0.37</v>
      </c>
      <c r="DQ149" s="63">
        <v>0.52</v>
      </c>
      <c r="DR149" s="63">
        <v>0.08</v>
      </c>
      <c r="DS149" s="63">
        <v>0.28999999999999998</v>
      </c>
      <c r="DT149" s="63">
        <v>0.44</v>
      </c>
      <c r="DU149" s="63">
        <v>0.33</v>
      </c>
      <c r="DV149" s="63">
        <v>0.38</v>
      </c>
      <c r="DW149" s="63">
        <v>0.25</v>
      </c>
      <c r="DX149" s="35">
        <v>54</v>
      </c>
      <c r="DY149" s="35">
        <v>8</v>
      </c>
      <c r="DZ149" s="40">
        <v>0</v>
      </c>
      <c r="EA149" s="40">
        <v>0.52</v>
      </c>
      <c r="EB149" s="40">
        <v>0.44</v>
      </c>
      <c r="EC149" s="40">
        <v>0.04</v>
      </c>
      <c r="ED149" s="40">
        <v>0.38</v>
      </c>
      <c r="EE149" s="40">
        <v>0.45</v>
      </c>
      <c r="EF149" s="40">
        <v>0.28999999999999998</v>
      </c>
      <c r="EG149" s="40">
        <v>0.33</v>
      </c>
      <c r="EH149" s="40">
        <v>0.28000000000000003</v>
      </c>
      <c r="EI149" s="40">
        <v>0.37</v>
      </c>
      <c r="EJ149" s="40">
        <v>0.52</v>
      </c>
      <c r="EK149" s="40">
        <v>0.19</v>
      </c>
      <c r="EL149" s="40">
        <v>0.53</v>
      </c>
      <c r="EM149" s="40">
        <v>0.6</v>
      </c>
      <c r="EN149" s="40">
        <v>0.23</v>
      </c>
      <c r="EO149" s="40">
        <v>0.51</v>
      </c>
      <c r="EP149" s="40">
        <v>0.36</v>
      </c>
      <c r="EQ149" s="40">
        <v>0.19</v>
      </c>
      <c r="ER149" s="40">
        <v>0.48</v>
      </c>
      <c r="ES149" s="40">
        <v>0.53</v>
      </c>
      <c r="ET149" s="40">
        <v>0.34</v>
      </c>
      <c r="EU149" s="40">
        <v>0.68</v>
      </c>
      <c r="EV149" s="40">
        <v>0.28999999999999998</v>
      </c>
      <c r="EW149" s="40">
        <v>0.2</v>
      </c>
      <c r="EX149" s="40">
        <v>0.56000000000000005</v>
      </c>
      <c r="EY149" s="40">
        <v>0.45</v>
      </c>
      <c r="EZ149" s="40">
        <v>0.11</v>
      </c>
      <c r="FA149" s="40">
        <v>0.56999999999999995</v>
      </c>
      <c r="FB149" s="246">
        <v>55</v>
      </c>
      <c r="FC149" s="246" t="s">
        <v>758</v>
      </c>
      <c r="FD149" s="246">
        <v>9</v>
      </c>
      <c r="FE149" s="246" t="s">
        <v>758</v>
      </c>
      <c r="FF149" s="263">
        <v>0.1</v>
      </c>
      <c r="FG149" s="263">
        <v>0.35</v>
      </c>
      <c r="FH149" s="263">
        <v>0.52</v>
      </c>
      <c r="FI149" s="263">
        <v>0.03</v>
      </c>
      <c r="FJ149" s="263">
        <v>0.31</v>
      </c>
      <c r="FK149" s="263">
        <v>0.6</v>
      </c>
      <c r="FL149" s="263">
        <v>0.32</v>
      </c>
      <c r="FM149" s="263">
        <v>0.2</v>
      </c>
      <c r="FN149" s="263">
        <v>0.27</v>
      </c>
      <c r="FO149" s="263">
        <v>0.36</v>
      </c>
      <c r="FP149" s="263">
        <v>0.28999999999999998</v>
      </c>
      <c r="FQ149" s="263">
        <v>0.34</v>
      </c>
      <c r="FR149" s="263">
        <v>0.49</v>
      </c>
      <c r="FS149" s="263">
        <v>0.24</v>
      </c>
      <c r="FT149" s="263">
        <v>0.4</v>
      </c>
      <c r="FU149" s="263">
        <v>0.16</v>
      </c>
      <c r="FV149" s="263">
        <v>0.48</v>
      </c>
      <c r="FW149" s="263">
        <v>0.45</v>
      </c>
      <c r="FX149" s="263">
        <v>0.3</v>
      </c>
      <c r="FY149" s="263">
        <v>0.28000000000000003</v>
      </c>
      <c r="FZ149" s="263">
        <v>0.37</v>
      </c>
      <c r="GA149" s="263">
        <v>0.51</v>
      </c>
      <c r="GB149" s="263">
        <v>0.4</v>
      </c>
      <c r="GC149" s="263">
        <v>0.41</v>
      </c>
      <c r="GD149" s="263">
        <v>0.48</v>
      </c>
      <c r="GE149" s="263">
        <v>0.38</v>
      </c>
      <c r="GF149" s="263">
        <v>0.41</v>
      </c>
      <c r="GG149" s="263">
        <v>0.41</v>
      </c>
      <c r="GH149" s="263">
        <v>0.43</v>
      </c>
      <c r="GI149" s="263">
        <v>0.26</v>
      </c>
      <c r="GJ149" s="309">
        <v>57</v>
      </c>
      <c r="GK149" s="309" t="s">
        <v>758</v>
      </c>
      <c r="GL149" s="309">
        <v>7</v>
      </c>
      <c r="GM149" s="309" t="s">
        <v>758</v>
      </c>
      <c r="GN149" s="327">
        <v>0</v>
      </c>
      <c r="GO149" s="327">
        <v>0.35</v>
      </c>
      <c r="GP149" s="327">
        <v>0.62</v>
      </c>
      <c r="GQ149" s="327">
        <v>0.04</v>
      </c>
      <c r="GR149" s="327">
        <v>0.33</v>
      </c>
      <c r="GS149" s="327">
        <v>0.34</v>
      </c>
      <c r="GT149" s="327">
        <v>0.46</v>
      </c>
      <c r="GU149" s="327">
        <v>0</v>
      </c>
      <c r="GV149" s="327">
        <v>0.45</v>
      </c>
      <c r="GW149" s="327">
        <v>0.23</v>
      </c>
      <c r="GX149" s="327">
        <v>0.34</v>
      </c>
      <c r="GY149" s="309" t="s">
        <v>173</v>
      </c>
      <c r="GZ149" s="327">
        <v>0.24</v>
      </c>
      <c r="HA149" s="327">
        <v>0.67</v>
      </c>
      <c r="HB149" s="327">
        <v>0.39</v>
      </c>
      <c r="HC149" s="327">
        <v>0.39</v>
      </c>
      <c r="HD149" s="327">
        <v>0.37</v>
      </c>
      <c r="HE149" s="327">
        <v>0.36</v>
      </c>
      <c r="HF149" s="327">
        <v>0.32</v>
      </c>
      <c r="HG149" s="327">
        <v>0.71</v>
      </c>
      <c r="HH149" s="327">
        <v>0.25</v>
      </c>
      <c r="HI149" s="327">
        <v>0.39</v>
      </c>
      <c r="HJ149" s="327">
        <v>0.48</v>
      </c>
      <c r="HK149" s="327">
        <v>0.44</v>
      </c>
      <c r="HL149" s="327">
        <v>0.38</v>
      </c>
      <c r="HM149" s="327">
        <v>0.3</v>
      </c>
      <c r="HN149" s="327">
        <v>0.35</v>
      </c>
      <c r="HO149" s="327">
        <v>0.2</v>
      </c>
      <c r="HP149" s="309" t="s">
        <v>173</v>
      </c>
      <c r="HQ149" s="327">
        <v>0.28000000000000003</v>
      </c>
      <c r="HR149" s="424">
        <v>58</v>
      </c>
      <c r="HS149" s="424" t="s">
        <v>758</v>
      </c>
      <c r="HT149" s="424">
        <v>9</v>
      </c>
      <c r="HU149" s="424" t="s">
        <v>758</v>
      </c>
      <c r="HV149" s="428">
        <v>0</v>
      </c>
      <c r="HW149" s="428">
        <v>0.35</v>
      </c>
      <c r="HX149" s="428">
        <v>0.56999999999999995</v>
      </c>
      <c r="HY149" s="428">
        <v>0.09</v>
      </c>
      <c r="HZ149" s="428">
        <v>0.23</v>
      </c>
      <c r="IA149" s="428">
        <v>0.42</v>
      </c>
      <c r="IB149" s="428">
        <v>0.24</v>
      </c>
      <c r="IC149" s="428">
        <v>0.45</v>
      </c>
      <c r="ID149" s="428">
        <v>0.48</v>
      </c>
      <c r="IE149" s="428">
        <v>0.34</v>
      </c>
      <c r="IF149" s="428">
        <v>0.31</v>
      </c>
      <c r="IG149" s="428">
        <v>0.43</v>
      </c>
      <c r="IH149" s="428">
        <v>0.46</v>
      </c>
      <c r="II149" s="428">
        <v>0.2</v>
      </c>
      <c r="IJ149" s="428">
        <v>0.12</v>
      </c>
      <c r="IK149" s="428">
        <v>0.38</v>
      </c>
      <c r="IL149" s="428">
        <v>0.18</v>
      </c>
      <c r="IM149" s="428">
        <v>0.44</v>
      </c>
      <c r="IN149" s="428">
        <v>0.24</v>
      </c>
      <c r="IO149" s="428">
        <v>0.45</v>
      </c>
      <c r="IP149" s="428">
        <v>0.32</v>
      </c>
      <c r="IQ149" s="428">
        <v>0.5</v>
      </c>
      <c r="IR149" s="428">
        <v>0.49</v>
      </c>
      <c r="IS149" s="428">
        <v>0.25</v>
      </c>
      <c r="IT149" s="428">
        <v>0.33</v>
      </c>
      <c r="IU149" s="424" t="s">
        <v>173</v>
      </c>
      <c r="IV149" s="428">
        <v>0.55000000000000004</v>
      </c>
      <c r="IW149" s="428">
        <v>0.34</v>
      </c>
      <c r="IX149" s="428">
        <v>0.39</v>
      </c>
      <c r="IY149" s="428">
        <v>0.47</v>
      </c>
      <c r="IZ149" s="464">
        <v>54</v>
      </c>
      <c r="JA149" s="464" t="s">
        <v>758</v>
      </c>
      <c r="JB149" s="464">
        <v>8</v>
      </c>
      <c r="JC149" s="464" t="s">
        <v>758</v>
      </c>
      <c r="JD149" s="476">
        <v>0.05</v>
      </c>
      <c r="JE149" s="476">
        <v>0.52</v>
      </c>
      <c r="JF149" s="476">
        <v>0.43</v>
      </c>
      <c r="JG149" s="476">
        <v>0</v>
      </c>
      <c r="JH149" s="476">
        <v>0.3</v>
      </c>
      <c r="JI149" s="476">
        <v>0.36</v>
      </c>
      <c r="JJ149" s="476">
        <v>0.38</v>
      </c>
      <c r="JK149" s="476">
        <v>0.46</v>
      </c>
      <c r="JL149" s="476">
        <v>0.21</v>
      </c>
      <c r="JM149" s="476">
        <v>0.47</v>
      </c>
      <c r="JN149" s="476">
        <v>0.27</v>
      </c>
      <c r="JO149" s="476">
        <v>0.39</v>
      </c>
      <c r="JP149" s="476">
        <v>0.48</v>
      </c>
      <c r="JQ149" s="476">
        <v>0.27</v>
      </c>
      <c r="JR149" s="476">
        <v>0.48</v>
      </c>
      <c r="JS149" s="476">
        <v>0.62</v>
      </c>
      <c r="JT149" s="476">
        <v>0.35</v>
      </c>
      <c r="JU149" s="476">
        <v>0.53</v>
      </c>
      <c r="JV149" s="476">
        <v>0.31</v>
      </c>
      <c r="JW149" s="476">
        <v>0.38</v>
      </c>
      <c r="JX149" s="476">
        <v>0.34</v>
      </c>
      <c r="JY149" s="476">
        <v>0.46</v>
      </c>
      <c r="JZ149" s="476">
        <v>0.4</v>
      </c>
      <c r="KA149" s="476">
        <v>0.09</v>
      </c>
      <c r="KB149" s="476">
        <v>0.31</v>
      </c>
      <c r="KC149" s="476">
        <v>0.5</v>
      </c>
      <c r="KD149" s="476">
        <v>0.26</v>
      </c>
      <c r="KE149" s="476">
        <v>0.53</v>
      </c>
      <c r="KF149" s="476">
        <v>0.44</v>
      </c>
      <c r="KG149" s="476">
        <v>0.59</v>
      </c>
      <c r="KH149" s="971">
        <v>57</v>
      </c>
      <c r="KI149" s="971" t="s">
        <v>758</v>
      </c>
      <c r="KJ149" s="971">
        <v>8</v>
      </c>
      <c r="KK149" s="971" t="s">
        <v>758</v>
      </c>
      <c r="KL149" s="949">
        <v>0</v>
      </c>
      <c r="KM149" s="949">
        <v>0.57999999999999996</v>
      </c>
      <c r="KN149" s="949">
        <v>0.38</v>
      </c>
      <c r="KO149" s="949">
        <v>0.04</v>
      </c>
      <c r="KP149" s="949">
        <v>0.47</v>
      </c>
      <c r="KQ149" s="949">
        <v>0.17</v>
      </c>
      <c r="KR149" s="949">
        <v>0.56999999999999995</v>
      </c>
      <c r="KS149" s="949">
        <v>0.41</v>
      </c>
      <c r="KT149" s="949">
        <v>0.41</v>
      </c>
      <c r="KU149" s="949">
        <v>0.38</v>
      </c>
      <c r="KV149" s="949">
        <v>0.61</v>
      </c>
      <c r="KW149" s="949">
        <v>0.3</v>
      </c>
      <c r="KX149" s="949">
        <v>0.21</v>
      </c>
      <c r="KY149" s="949">
        <v>0.18</v>
      </c>
      <c r="KZ149" s="949">
        <v>0.27</v>
      </c>
      <c r="LA149" s="949">
        <v>0.19</v>
      </c>
      <c r="LB149" s="949">
        <v>0.35</v>
      </c>
      <c r="LC149" s="949">
        <v>0.32</v>
      </c>
      <c r="LD149" s="949">
        <v>0.5</v>
      </c>
      <c r="LE149" s="949">
        <v>0.33</v>
      </c>
      <c r="LF149" s="949">
        <v>0.33</v>
      </c>
      <c r="LG149" s="949">
        <v>0.18</v>
      </c>
      <c r="LH149" s="949">
        <v>0.45</v>
      </c>
      <c r="LI149" s="949">
        <v>0.35</v>
      </c>
      <c r="LJ149" s="949">
        <v>0.3</v>
      </c>
      <c r="LK149" s="949">
        <v>0.55000000000000004</v>
      </c>
      <c r="LL149" s="949" t="s">
        <v>173</v>
      </c>
      <c r="LM149" s="949">
        <v>0.54</v>
      </c>
      <c r="LN149" s="949">
        <v>0.63</v>
      </c>
      <c r="LO149" s="949">
        <v>0.26</v>
      </c>
      <c r="LP149" s="922">
        <v>425754001551</v>
      </c>
      <c r="LQ149" s="803" t="s">
        <v>36</v>
      </c>
      <c r="LR149" s="424">
        <v>58</v>
      </c>
      <c r="LS149" s="971">
        <v>57</v>
      </c>
      <c r="LT149" s="946"/>
    </row>
    <row r="150" spans="1:332" ht="24.95" customHeight="1" x14ac:dyDescent="0.2">
      <c r="A150" s="803" t="s">
        <v>728</v>
      </c>
      <c r="B150" s="1" t="s">
        <v>123</v>
      </c>
      <c r="C150" s="2">
        <v>4</v>
      </c>
      <c r="D150" s="12"/>
      <c r="E150" s="12"/>
      <c r="F150" s="66"/>
      <c r="G150" s="66"/>
      <c r="H150" s="66"/>
      <c r="I150" s="66"/>
      <c r="J150" s="66"/>
      <c r="K150" s="66"/>
      <c r="L150" s="66"/>
      <c r="M150" s="66"/>
      <c r="N150" s="66"/>
      <c r="O150" s="66"/>
      <c r="P150" s="66"/>
      <c r="Q150" s="66"/>
      <c r="R150" s="66"/>
      <c r="S150" s="66"/>
      <c r="T150" s="66"/>
      <c r="U150" s="66"/>
      <c r="V150" s="66"/>
      <c r="W150" s="66"/>
      <c r="X150" s="66"/>
      <c r="Y150" s="66"/>
      <c r="Z150" s="66"/>
      <c r="AA150" s="66"/>
      <c r="AB150" s="66"/>
      <c r="AC150" s="66"/>
      <c r="AD150" s="66"/>
      <c r="AE150" s="66"/>
      <c r="AF150" s="66"/>
      <c r="AG150" s="66"/>
      <c r="AH150" s="12"/>
      <c r="AI150" s="12"/>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12"/>
      <c r="BN150" s="12"/>
      <c r="BO150" s="66"/>
      <c r="BP150" s="66"/>
      <c r="BQ150" s="66"/>
      <c r="BR150" s="66"/>
      <c r="BS150" s="66"/>
      <c r="BT150" s="66"/>
      <c r="BU150" s="66"/>
      <c r="BV150" s="66"/>
      <c r="BW150" s="66"/>
      <c r="BX150" s="66"/>
      <c r="BY150" s="66"/>
      <c r="BZ150" s="66"/>
      <c r="CA150" s="66"/>
      <c r="CB150" s="66"/>
      <c r="CC150" s="66"/>
      <c r="CD150" s="66"/>
      <c r="CE150" s="66"/>
      <c r="CF150" s="66"/>
      <c r="CG150" s="66"/>
      <c r="CH150" s="66"/>
      <c r="CI150" s="66"/>
      <c r="CJ150" s="66"/>
      <c r="CK150" s="66"/>
      <c r="CL150" s="66"/>
      <c r="CM150" s="66"/>
      <c r="CN150" s="66"/>
      <c r="CO150" s="66"/>
      <c r="CP150" s="66"/>
      <c r="CQ150" s="66"/>
      <c r="CR150" s="66"/>
      <c r="CS150" s="12"/>
      <c r="CT150" s="12"/>
      <c r="CU150" s="63"/>
      <c r="CV150" s="63"/>
      <c r="CW150" s="63"/>
      <c r="CX150" s="63"/>
      <c r="CY150" s="63"/>
      <c r="CZ150" s="63"/>
      <c r="DA150" s="63"/>
      <c r="DB150" s="63"/>
      <c r="DC150" s="63"/>
      <c r="DD150" s="63"/>
      <c r="DE150" s="63"/>
      <c r="DF150" s="63"/>
      <c r="DG150" s="63"/>
      <c r="DH150" s="63"/>
      <c r="DI150" s="63"/>
      <c r="DJ150" s="63"/>
      <c r="DK150" s="63"/>
      <c r="DL150" s="63"/>
      <c r="DM150" s="63"/>
      <c r="DN150" s="63"/>
      <c r="DO150" s="63"/>
      <c r="DP150" s="63"/>
      <c r="DQ150" s="63"/>
      <c r="DR150" s="63"/>
      <c r="DS150" s="63"/>
      <c r="DT150" s="63"/>
      <c r="DU150" s="63"/>
      <c r="DV150" s="63"/>
      <c r="DW150" s="63"/>
      <c r="DX150" s="35"/>
      <c r="DY150" s="35"/>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646"/>
      <c r="FC150" s="646"/>
      <c r="FD150" s="646"/>
      <c r="FE150" s="646"/>
      <c r="FF150" s="646"/>
      <c r="FG150" s="646"/>
      <c r="FH150" s="646"/>
      <c r="FI150" s="646"/>
      <c r="FJ150" s="646"/>
      <c r="FK150" s="646"/>
      <c r="FL150" s="646"/>
      <c r="FM150" s="646"/>
      <c r="FN150" s="646"/>
      <c r="FO150" s="646"/>
      <c r="FP150" s="646"/>
      <c r="FQ150" s="646"/>
      <c r="FR150" s="646"/>
      <c r="FS150" s="646"/>
      <c r="FT150" s="646"/>
      <c r="FU150" s="646"/>
      <c r="FV150" s="646"/>
      <c r="FW150" s="646"/>
      <c r="FX150" s="646"/>
      <c r="FY150" s="646"/>
      <c r="FZ150" s="646"/>
      <c r="GA150" s="646"/>
      <c r="GB150" s="646"/>
      <c r="GC150" s="646"/>
      <c r="GD150" s="646"/>
      <c r="GE150" s="646"/>
      <c r="GF150" s="646"/>
      <c r="GG150" s="646"/>
      <c r="GH150" s="646"/>
      <c r="GI150" s="646"/>
      <c r="GJ150" s="649"/>
      <c r="GK150" s="649"/>
      <c r="GL150" s="649"/>
      <c r="GM150" s="649"/>
      <c r="GN150" s="649"/>
      <c r="GO150" s="649"/>
      <c r="GP150" s="649"/>
      <c r="GQ150" s="649"/>
      <c r="GR150" s="649"/>
      <c r="GS150" s="649"/>
      <c r="GT150" s="649"/>
      <c r="GU150" s="649"/>
      <c r="GV150" s="649"/>
      <c r="GW150" s="649"/>
      <c r="GX150" s="649"/>
      <c r="GY150" s="649"/>
      <c r="GZ150" s="649"/>
      <c r="HA150" s="649"/>
      <c r="HB150" s="649"/>
      <c r="HC150" s="649"/>
      <c r="HD150" s="649"/>
      <c r="HE150" s="649"/>
      <c r="HF150" s="649"/>
      <c r="HG150" s="649"/>
      <c r="HH150" s="649"/>
      <c r="HI150" s="649"/>
      <c r="HJ150" s="649"/>
      <c r="HK150" s="649"/>
      <c r="HL150" s="649"/>
      <c r="HM150" s="649"/>
      <c r="HN150" s="649"/>
      <c r="HO150" s="649"/>
      <c r="HP150" s="649"/>
      <c r="HQ150" s="649"/>
      <c r="HR150" s="424">
        <v>50</v>
      </c>
      <c r="HS150" s="424" t="s">
        <v>758</v>
      </c>
      <c r="HT150" s="424">
        <v>8</v>
      </c>
      <c r="HU150" s="424" t="s">
        <v>758</v>
      </c>
      <c r="HV150" s="428">
        <v>0</v>
      </c>
      <c r="HW150" s="428">
        <v>0.75</v>
      </c>
      <c r="HX150" s="428">
        <v>0.25</v>
      </c>
      <c r="HY150" s="428">
        <v>0</v>
      </c>
      <c r="HZ150" s="428">
        <v>0.38</v>
      </c>
      <c r="IA150" s="428">
        <v>0.42</v>
      </c>
      <c r="IB150" s="428">
        <v>0.33</v>
      </c>
      <c r="IC150" s="428">
        <v>0.57999999999999996</v>
      </c>
      <c r="ID150" s="428">
        <v>0.74</v>
      </c>
      <c r="IE150" s="428">
        <v>0.25</v>
      </c>
      <c r="IF150" s="428">
        <v>0.56999999999999995</v>
      </c>
      <c r="IG150" s="428">
        <v>0.6</v>
      </c>
      <c r="IH150" s="428">
        <v>0.59</v>
      </c>
      <c r="II150" s="428">
        <v>0.33</v>
      </c>
      <c r="IJ150" s="428">
        <v>0.38</v>
      </c>
      <c r="IK150" s="428">
        <v>0.61</v>
      </c>
      <c r="IL150" s="428">
        <v>0.17</v>
      </c>
      <c r="IM150" s="428">
        <v>0.53</v>
      </c>
      <c r="IN150" s="428">
        <v>0.54</v>
      </c>
      <c r="IO150" s="428">
        <v>0.56999999999999995</v>
      </c>
      <c r="IP150" s="428">
        <v>0.53</v>
      </c>
      <c r="IQ150" s="428">
        <v>0.61</v>
      </c>
      <c r="IR150" s="428">
        <v>0.57999999999999996</v>
      </c>
      <c r="IS150" s="428">
        <v>0.5</v>
      </c>
      <c r="IT150" s="428">
        <v>0.48</v>
      </c>
      <c r="IU150" s="424" t="s">
        <v>173</v>
      </c>
      <c r="IV150" s="428">
        <v>0.68</v>
      </c>
      <c r="IW150" s="428">
        <v>0.25</v>
      </c>
      <c r="IX150" s="428">
        <v>0.38</v>
      </c>
      <c r="IY150" s="428">
        <v>0.52</v>
      </c>
      <c r="IZ150" s="641"/>
      <c r="JA150" s="641"/>
      <c r="JB150" s="641"/>
      <c r="JC150" s="641"/>
      <c r="JD150" s="642"/>
      <c r="JE150" s="642"/>
      <c r="JF150" s="642"/>
      <c r="JG150" s="642"/>
      <c r="JH150" s="642"/>
      <c r="JI150" s="642"/>
      <c r="JJ150" s="642"/>
      <c r="JK150" s="642"/>
      <c r="JL150" s="642"/>
      <c r="JM150" s="642"/>
      <c r="JN150" s="642"/>
      <c r="JO150" s="642"/>
      <c r="JP150" s="642"/>
      <c r="JQ150" s="642"/>
      <c r="JR150" s="642"/>
      <c r="JS150" s="642"/>
      <c r="JT150" s="642"/>
      <c r="JU150" s="642"/>
      <c r="JV150" s="642"/>
      <c r="JW150" s="642"/>
      <c r="JX150" s="642"/>
      <c r="JY150" s="642"/>
      <c r="JZ150" s="641"/>
      <c r="KA150" s="642"/>
      <c r="KB150" s="642"/>
      <c r="KC150" s="642"/>
      <c r="KD150" s="642"/>
      <c r="KE150" s="642"/>
      <c r="KF150" s="642"/>
      <c r="KG150" s="642"/>
      <c r="KH150" s="971">
        <v>54</v>
      </c>
      <c r="KI150" s="971" t="s">
        <v>758</v>
      </c>
      <c r="KJ150" s="971">
        <v>8</v>
      </c>
      <c r="KK150" s="971" t="s">
        <v>758</v>
      </c>
      <c r="KL150" s="949">
        <v>0</v>
      </c>
      <c r="KM150" s="949">
        <v>0.67</v>
      </c>
      <c r="KN150" s="949">
        <v>0.25</v>
      </c>
      <c r="KO150" s="949">
        <v>0.08</v>
      </c>
      <c r="KP150" s="949">
        <v>0.65</v>
      </c>
      <c r="KQ150" s="949">
        <v>0.28999999999999998</v>
      </c>
      <c r="KR150" s="949">
        <v>0.69</v>
      </c>
      <c r="KS150" s="949">
        <v>0.5</v>
      </c>
      <c r="KT150" s="949">
        <v>0.55000000000000004</v>
      </c>
      <c r="KU150" s="949">
        <v>0.27</v>
      </c>
      <c r="KV150" s="949">
        <v>0.55000000000000004</v>
      </c>
      <c r="KW150" s="949">
        <v>0.15</v>
      </c>
      <c r="KX150" s="949">
        <v>0.25</v>
      </c>
      <c r="KY150" s="949">
        <v>0.27</v>
      </c>
      <c r="KZ150" s="949">
        <v>0.35</v>
      </c>
      <c r="LA150" s="949">
        <v>0.25</v>
      </c>
      <c r="LB150" s="949">
        <v>0.24</v>
      </c>
      <c r="LC150" s="949">
        <v>0.43</v>
      </c>
      <c r="LD150" s="949">
        <v>0.56999999999999995</v>
      </c>
      <c r="LE150" s="949">
        <v>0.33</v>
      </c>
      <c r="LF150" s="949">
        <v>0.38</v>
      </c>
      <c r="LG150" s="949">
        <v>0.6</v>
      </c>
      <c r="LH150" s="949">
        <v>0.55000000000000004</v>
      </c>
      <c r="LI150" s="949">
        <v>0.39</v>
      </c>
      <c r="LJ150" s="949">
        <v>0.28999999999999998</v>
      </c>
      <c r="LK150" s="949">
        <v>0.59</v>
      </c>
      <c r="LL150" s="949" t="s">
        <v>173</v>
      </c>
      <c r="LM150" s="949">
        <v>0.46</v>
      </c>
      <c r="LN150" s="949">
        <v>0</v>
      </c>
      <c r="LO150" s="949">
        <v>0.32</v>
      </c>
      <c r="LP150" s="922">
        <v>325754004203</v>
      </c>
      <c r="LQ150" s="803" t="s">
        <v>728</v>
      </c>
      <c r="LR150" s="424">
        <v>50</v>
      </c>
      <c r="LS150" s="971">
        <v>54</v>
      </c>
      <c r="LT150" s="946"/>
    </row>
    <row r="151" spans="1:332" ht="24.95" customHeight="1" x14ac:dyDescent="0.2">
      <c r="A151" s="803" t="s">
        <v>80</v>
      </c>
      <c r="B151" s="1" t="s">
        <v>123</v>
      </c>
      <c r="C151" s="2">
        <v>2</v>
      </c>
      <c r="D151" s="12">
        <v>48</v>
      </c>
      <c r="E151" s="12">
        <v>8</v>
      </c>
      <c r="F151" s="66">
        <v>0.13</v>
      </c>
      <c r="G151" s="66">
        <v>0.69</v>
      </c>
      <c r="H151" s="66">
        <v>0.19</v>
      </c>
      <c r="I151" s="66">
        <v>0</v>
      </c>
      <c r="J151" s="66">
        <v>0.4</v>
      </c>
      <c r="K151" s="66">
        <v>0.45</v>
      </c>
      <c r="L151" s="66">
        <v>0.8</v>
      </c>
      <c r="M151" s="66">
        <v>0.43</v>
      </c>
      <c r="N151" s="66">
        <v>0.48</v>
      </c>
      <c r="O151" s="66">
        <v>0.82</v>
      </c>
      <c r="P151" s="66">
        <v>0.41</v>
      </c>
      <c r="Q151" s="66">
        <v>0.36</v>
      </c>
      <c r="R151" s="66">
        <v>0.64</v>
      </c>
      <c r="S151" s="66">
        <v>0.63</v>
      </c>
      <c r="T151" s="66">
        <v>0.56999999999999995</v>
      </c>
      <c r="U151" s="66">
        <v>0.78</v>
      </c>
      <c r="V151" s="66">
        <v>0.15</v>
      </c>
      <c r="W151" s="66">
        <v>0.37</v>
      </c>
      <c r="X151" s="66">
        <v>0.69</v>
      </c>
      <c r="Y151" s="66">
        <v>0.48</v>
      </c>
      <c r="Z151" s="12" t="s">
        <v>173</v>
      </c>
      <c r="AA151" s="66">
        <v>0.15</v>
      </c>
      <c r="AB151" s="66">
        <v>0.5</v>
      </c>
      <c r="AC151" s="66">
        <v>0.56000000000000005</v>
      </c>
      <c r="AD151" s="66">
        <v>0.49</v>
      </c>
      <c r="AE151" s="66">
        <v>0.45</v>
      </c>
      <c r="AF151" s="66">
        <v>0.64</v>
      </c>
      <c r="AG151" s="66">
        <v>0.62</v>
      </c>
      <c r="AH151" s="12">
        <v>52</v>
      </c>
      <c r="AI151" s="12">
        <v>7</v>
      </c>
      <c r="AJ151" s="40">
        <v>0</v>
      </c>
      <c r="AK151" s="40">
        <v>0.67</v>
      </c>
      <c r="AL151" s="40">
        <v>0.33</v>
      </c>
      <c r="AM151" s="40">
        <v>0</v>
      </c>
      <c r="AN151" s="40">
        <v>0.33</v>
      </c>
      <c r="AO151" s="40">
        <v>0.25</v>
      </c>
      <c r="AP151" s="40">
        <v>0.71</v>
      </c>
      <c r="AQ151" s="40">
        <v>0.22</v>
      </c>
      <c r="AR151" s="40">
        <v>0.36</v>
      </c>
      <c r="AS151" s="40">
        <v>0.63</v>
      </c>
      <c r="AT151" s="40">
        <v>0.33</v>
      </c>
      <c r="AU151" s="40">
        <v>0.56000000000000005</v>
      </c>
      <c r="AV151" s="40">
        <v>0.6</v>
      </c>
      <c r="AW151" s="35" t="s">
        <v>173</v>
      </c>
      <c r="AX151" s="40">
        <v>0.6</v>
      </c>
      <c r="AY151" s="40">
        <v>0.36</v>
      </c>
      <c r="AZ151" s="40">
        <v>0.13</v>
      </c>
      <c r="BA151" s="40">
        <v>0.44</v>
      </c>
      <c r="BB151" s="40">
        <v>0.68</v>
      </c>
      <c r="BC151" s="40">
        <v>0.63</v>
      </c>
      <c r="BD151" s="40">
        <v>0.5</v>
      </c>
      <c r="BE151" s="40">
        <v>0.28999999999999998</v>
      </c>
      <c r="BF151" s="40">
        <v>0.75</v>
      </c>
      <c r="BG151" s="40">
        <v>0.39</v>
      </c>
      <c r="BH151" s="40">
        <v>0.41</v>
      </c>
      <c r="BI151" s="40">
        <v>0.43</v>
      </c>
      <c r="BJ151" s="40">
        <v>0.19</v>
      </c>
      <c r="BK151" s="40">
        <v>0.39</v>
      </c>
      <c r="BL151" s="40">
        <v>0.4</v>
      </c>
      <c r="BM151" s="12">
        <v>50</v>
      </c>
      <c r="BN151" s="12">
        <v>5</v>
      </c>
      <c r="BO151" s="66">
        <v>7.0000000000000007E-2</v>
      </c>
      <c r="BP151" s="66">
        <v>0.8</v>
      </c>
      <c r="BQ151" s="66">
        <v>0.13</v>
      </c>
      <c r="BR151" s="66">
        <v>0</v>
      </c>
      <c r="BS151" s="66">
        <v>0.2</v>
      </c>
      <c r="BT151" s="66">
        <v>0.67</v>
      </c>
      <c r="BU151" s="66">
        <v>0.73</v>
      </c>
      <c r="BV151" s="66">
        <v>0.6</v>
      </c>
      <c r="BW151" s="66">
        <v>0.55000000000000004</v>
      </c>
      <c r="BX151" s="66">
        <v>0.46</v>
      </c>
      <c r="BY151" s="66">
        <v>0.52</v>
      </c>
      <c r="BZ151" s="66">
        <v>0.53</v>
      </c>
      <c r="CA151" s="66">
        <v>0.5</v>
      </c>
      <c r="CB151" s="66">
        <v>0.38</v>
      </c>
      <c r="CC151" s="66">
        <v>0.34</v>
      </c>
      <c r="CD151" s="66">
        <v>0.37</v>
      </c>
      <c r="CE151" s="66">
        <v>0.37</v>
      </c>
      <c r="CF151" s="66">
        <v>0.55000000000000004</v>
      </c>
      <c r="CG151" s="66">
        <v>0.79</v>
      </c>
      <c r="CH151" s="66">
        <v>0.42</v>
      </c>
      <c r="CI151" s="66">
        <v>0.74</v>
      </c>
      <c r="CJ151" s="66">
        <v>0.42</v>
      </c>
      <c r="CK151" s="66">
        <v>0.74</v>
      </c>
      <c r="CL151" s="66">
        <v>0.19</v>
      </c>
      <c r="CM151" s="66">
        <v>0.5</v>
      </c>
      <c r="CN151" s="66">
        <v>0.53</v>
      </c>
      <c r="CO151" s="66">
        <v>0.67</v>
      </c>
      <c r="CP151" s="66">
        <v>0.32</v>
      </c>
      <c r="CQ151" s="66">
        <v>0.45</v>
      </c>
      <c r="CR151" s="66">
        <v>0.37</v>
      </c>
      <c r="CS151" s="12">
        <v>41</v>
      </c>
      <c r="CT151" s="12">
        <v>10</v>
      </c>
      <c r="CU151" s="63">
        <v>0.45</v>
      </c>
      <c r="CV151" s="63">
        <v>0.45</v>
      </c>
      <c r="CW151" s="63">
        <v>0.09</v>
      </c>
      <c r="CX151" s="63">
        <v>0</v>
      </c>
      <c r="CY151" s="63">
        <v>0.54</v>
      </c>
      <c r="CZ151" s="63">
        <v>0.43</v>
      </c>
      <c r="DA151" s="63">
        <v>0.8</v>
      </c>
      <c r="DB151" s="63">
        <v>0.66</v>
      </c>
      <c r="DC151" s="63">
        <v>0.52</v>
      </c>
      <c r="DD151" s="63">
        <v>0.67</v>
      </c>
      <c r="DE151" s="63">
        <v>0.77</v>
      </c>
      <c r="DF151" s="63">
        <v>0.75</v>
      </c>
      <c r="DG151" s="63">
        <v>0.56000000000000005</v>
      </c>
      <c r="DH151" s="63">
        <v>0.57999999999999996</v>
      </c>
      <c r="DI151" s="63">
        <v>0.6</v>
      </c>
      <c r="DJ151" s="63">
        <v>0.77</v>
      </c>
      <c r="DK151" s="63">
        <v>0.65</v>
      </c>
      <c r="DL151" s="63">
        <v>0.56000000000000005</v>
      </c>
      <c r="DM151" s="63">
        <v>0.68</v>
      </c>
      <c r="DN151" s="63">
        <v>0.61</v>
      </c>
      <c r="DO151" s="63">
        <v>0.71</v>
      </c>
      <c r="DP151" s="63">
        <v>0.57999999999999996</v>
      </c>
      <c r="DQ151" s="63">
        <v>0.5</v>
      </c>
      <c r="DR151" s="63">
        <v>0.32</v>
      </c>
      <c r="DS151" s="63">
        <v>0.5</v>
      </c>
      <c r="DT151" s="63">
        <v>0.65</v>
      </c>
      <c r="DU151" s="63">
        <v>1</v>
      </c>
      <c r="DV151" s="63">
        <v>0.44</v>
      </c>
      <c r="DW151" s="63">
        <v>0.33</v>
      </c>
      <c r="DX151" s="35">
        <v>46</v>
      </c>
      <c r="DY151" s="35">
        <v>9</v>
      </c>
      <c r="DZ151" s="40">
        <v>0.36</v>
      </c>
      <c r="EA151" s="40">
        <v>0.5</v>
      </c>
      <c r="EB151" s="40">
        <v>0.14000000000000001</v>
      </c>
      <c r="EC151" s="40">
        <v>0</v>
      </c>
      <c r="ED151" s="40">
        <v>0.56999999999999995</v>
      </c>
      <c r="EE151" s="40">
        <v>0.5</v>
      </c>
      <c r="EF151" s="40">
        <v>0.56000000000000005</v>
      </c>
      <c r="EG151" s="40">
        <v>0.33</v>
      </c>
      <c r="EH151" s="40">
        <v>0.61</v>
      </c>
      <c r="EI151" s="40">
        <v>0.5</v>
      </c>
      <c r="EJ151" s="40">
        <v>0.6</v>
      </c>
      <c r="EK151" s="40">
        <v>0.33</v>
      </c>
      <c r="EL151" s="40">
        <v>0.6</v>
      </c>
      <c r="EM151" s="40">
        <v>0.59</v>
      </c>
      <c r="EN151" s="40">
        <v>0.63</v>
      </c>
      <c r="EO151" s="40">
        <v>0.61</v>
      </c>
      <c r="EP151" s="40">
        <v>0.6</v>
      </c>
      <c r="EQ151" s="40">
        <v>0.53</v>
      </c>
      <c r="ER151" s="40">
        <v>0.65</v>
      </c>
      <c r="ES151" s="40">
        <v>0.5</v>
      </c>
      <c r="ET151" s="40">
        <v>0.33</v>
      </c>
      <c r="EU151" s="40">
        <v>0.45</v>
      </c>
      <c r="EV151" s="40">
        <v>0.4</v>
      </c>
      <c r="EW151" s="40">
        <v>0.27</v>
      </c>
      <c r="EX151" s="40">
        <v>0.56999999999999995</v>
      </c>
      <c r="EY151" s="40">
        <v>0.69</v>
      </c>
      <c r="EZ151" s="40">
        <v>0.5</v>
      </c>
      <c r="FA151" s="40">
        <v>0.8</v>
      </c>
      <c r="FB151" s="647">
        <v>52</v>
      </c>
      <c r="FC151" s="647" t="s">
        <v>758</v>
      </c>
      <c r="FD151" s="647">
        <v>7</v>
      </c>
      <c r="FE151" s="647" t="s">
        <v>758</v>
      </c>
      <c r="FF151" s="648">
        <v>0</v>
      </c>
      <c r="FG151" s="648">
        <v>0.69</v>
      </c>
      <c r="FH151" s="648">
        <v>0.31</v>
      </c>
      <c r="FI151" s="648">
        <v>0</v>
      </c>
      <c r="FJ151" s="648">
        <v>0.32</v>
      </c>
      <c r="FK151" s="648">
        <v>0.74</v>
      </c>
      <c r="FL151" s="648">
        <v>0.41</v>
      </c>
      <c r="FM151" s="648">
        <v>0.45</v>
      </c>
      <c r="FN151" s="648">
        <v>0.27</v>
      </c>
      <c r="FO151" s="648">
        <v>0.24</v>
      </c>
      <c r="FP151" s="648">
        <v>0.34</v>
      </c>
      <c r="FQ151" s="648">
        <v>0.27</v>
      </c>
      <c r="FR151" s="648">
        <v>0.47</v>
      </c>
      <c r="FS151" s="648">
        <v>0.45</v>
      </c>
      <c r="FT151" s="648">
        <v>0.48</v>
      </c>
      <c r="FU151" s="648">
        <v>0.44</v>
      </c>
      <c r="FV151" s="648">
        <v>0.56000000000000005</v>
      </c>
      <c r="FW151" s="648">
        <v>0.44</v>
      </c>
      <c r="FX151" s="648">
        <v>0.53</v>
      </c>
      <c r="FY151" s="648">
        <v>0.33</v>
      </c>
      <c r="FZ151" s="648">
        <v>0.18</v>
      </c>
      <c r="GA151" s="648">
        <v>0.31</v>
      </c>
      <c r="GB151" s="648">
        <v>0.56999999999999995</v>
      </c>
      <c r="GC151" s="648">
        <v>0.41</v>
      </c>
      <c r="GD151" s="648">
        <v>0.6</v>
      </c>
      <c r="GE151" s="648">
        <v>0.55000000000000004</v>
      </c>
      <c r="GF151" s="648">
        <v>0.61</v>
      </c>
      <c r="GG151" s="648">
        <v>0.4</v>
      </c>
      <c r="GH151" s="648">
        <v>0.64</v>
      </c>
      <c r="GI151" s="648">
        <v>0.23</v>
      </c>
      <c r="GJ151" s="74">
        <v>52</v>
      </c>
      <c r="GK151" s="74" t="s">
        <v>758</v>
      </c>
      <c r="GL151" s="74">
        <v>6</v>
      </c>
      <c r="GM151" s="74" t="s">
        <v>758</v>
      </c>
      <c r="GN151" s="96">
        <v>0</v>
      </c>
      <c r="GO151" s="96">
        <v>0.64</v>
      </c>
      <c r="GP151" s="96">
        <v>0.36</v>
      </c>
      <c r="GQ151" s="96">
        <v>0</v>
      </c>
      <c r="GR151" s="96">
        <v>0.3</v>
      </c>
      <c r="GS151" s="96">
        <v>0.41</v>
      </c>
      <c r="GT151" s="96">
        <v>0.75</v>
      </c>
      <c r="GU151" s="96">
        <v>0.09</v>
      </c>
      <c r="GV151" s="96">
        <v>0.49</v>
      </c>
      <c r="GW151" s="96">
        <v>0.1</v>
      </c>
      <c r="GX151" s="96">
        <v>0.46</v>
      </c>
      <c r="GY151" s="74" t="s">
        <v>173</v>
      </c>
      <c r="GZ151" s="96">
        <v>0.2</v>
      </c>
      <c r="HA151" s="96">
        <v>0.43</v>
      </c>
      <c r="HB151" s="96">
        <v>0.4</v>
      </c>
      <c r="HC151" s="96">
        <v>0.45</v>
      </c>
      <c r="HD151" s="96">
        <v>0.56000000000000005</v>
      </c>
      <c r="HE151" s="96">
        <v>0.48</v>
      </c>
      <c r="HF151" s="96">
        <v>0.48</v>
      </c>
      <c r="HG151" s="96">
        <v>0.71</v>
      </c>
      <c r="HH151" s="96">
        <v>0.23</v>
      </c>
      <c r="HI151" s="96">
        <v>0.37</v>
      </c>
      <c r="HJ151" s="96">
        <v>0.56000000000000005</v>
      </c>
      <c r="HK151" s="96">
        <v>0.53</v>
      </c>
      <c r="HL151" s="96">
        <v>0.39</v>
      </c>
      <c r="HM151" s="96">
        <v>0.5</v>
      </c>
      <c r="HN151" s="96">
        <v>0.55000000000000004</v>
      </c>
      <c r="HO151" s="96">
        <v>0.43</v>
      </c>
      <c r="HP151" s="74" t="s">
        <v>173</v>
      </c>
      <c r="HQ151" s="96">
        <v>0.46</v>
      </c>
      <c r="HR151" s="424">
        <v>53</v>
      </c>
      <c r="HS151" s="424" t="s">
        <v>758</v>
      </c>
      <c r="HT151" s="424">
        <v>7</v>
      </c>
      <c r="HU151" s="424" t="s">
        <v>758</v>
      </c>
      <c r="HV151" s="428">
        <v>0.05</v>
      </c>
      <c r="HW151" s="428">
        <v>0.63</v>
      </c>
      <c r="HX151" s="428">
        <v>0.32</v>
      </c>
      <c r="HY151" s="428">
        <v>0</v>
      </c>
      <c r="HZ151" s="428">
        <v>0.41</v>
      </c>
      <c r="IA151" s="428">
        <v>0.4</v>
      </c>
      <c r="IB151" s="428">
        <v>0.14000000000000001</v>
      </c>
      <c r="IC151" s="428">
        <v>0.45</v>
      </c>
      <c r="ID151" s="428">
        <v>0.56000000000000005</v>
      </c>
      <c r="IE151" s="428">
        <v>0.34</v>
      </c>
      <c r="IF151" s="428">
        <v>0.38</v>
      </c>
      <c r="IG151" s="428">
        <v>0.61</v>
      </c>
      <c r="IH151" s="428">
        <v>0.39</v>
      </c>
      <c r="II151" s="428">
        <v>0.33</v>
      </c>
      <c r="IJ151" s="428">
        <v>0.28999999999999998</v>
      </c>
      <c r="IK151" s="428">
        <v>0.56000000000000005</v>
      </c>
      <c r="IL151" s="428">
        <v>0.37</v>
      </c>
      <c r="IM151" s="428">
        <v>0.66</v>
      </c>
      <c r="IN151" s="428">
        <v>0.28000000000000003</v>
      </c>
      <c r="IO151" s="428">
        <v>0.45</v>
      </c>
      <c r="IP151" s="428">
        <v>0.27</v>
      </c>
      <c r="IQ151" s="428">
        <v>0.56000000000000005</v>
      </c>
      <c r="IR151" s="428">
        <v>0.5</v>
      </c>
      <c r="IS151" s="428">
        <v>0.49</v>
      </c>
      <c r="IT151" s="428">
        <v>0.37</v>
      </c>
      <c r="IU151" s="424" t="s">
        <v>173</v>
      </c>
      <c r="IV151" s="428">
        <v>0.65</v>
      </c>
      <c r="IW151" s="428">
        <v>0.44</v>
      </c>
      <c r="IX151" s="428">
        <v>0.63</v>
      </c>
      <c r="IY151" s="428">
        <v>0.56000000000000005</v>
      </c>
      <c r="IZ151" s="654">
        <v>55</v>
      </c>
      <c r="JA151" s="654" t="s">
        <v>758</v>
      </c>
      <c r="JB151" s="654">
        <v>9</v>
      </c>
      <c r="JC151" s="654" t="s">
        <v>758</v>
      </c>
      <c r="JD151" s="655">
        <v>0.11</v>
      </c>
      <c r="JE151" s="655">
        <v>0.37</v>
      </c>
      <c r="JF151" s="655">
        <v>0.53</v>
      </c>
      <c r="JG151" s="655">
        <v>0</v>
      </c>
      <c r="JH151" s="655">
        <v>0.28000000000000003</v>
      </c>
      <c r="JI151" s="655">
        <v>0.34</v>
      </c>
      <c r="JJ151" s="655">
        <v>0.34</v>
      </c>
      <c r="JK151" s="655">
        <v>0.38</v>
      </c>
      <c r="JL151" s="655">
        <v>0.38</v>
      </c>
      <c r="JM151" s="655">
        <v>0.36</v>
      </c>
      <c r="JN151" s="655">
        <v>0.23</v>
      </c>
      <c r="JO151" s="655">
        <v>0.36</v>
      </c>
      <c r="JP151" s="655">
        <v>0.53</v>
      </c>
      <c r="JQ151" s="655">
        <v>0.24</v>
      </c>
      <c r="JR151" s="655">
        <v>0.48</v>
      </c>
      <c r="JS151" s="655">
        <v>0.42</v>
      </c>
      <c r="JT151" s="655">
        <v>0.32</v>
      </c>
      <c r="JU151" s="655">
        <v>0.32</v>
      </c>
      <c r="JV151" s="655">
        <v>0.35</v>
      </c>
      <c r="JW151" s="655">
        <v>0.51</v>
      </c>
      <c r="JX151" s="655">
        <v>0.31</v>
      </c>
      <c r="JY151" s="655">
        <v>0.28000000000000003</v>
      </c>
      <c r="JZ151" s="655">
        <v>0.38</v>
      </c>
      <c r="KA151" s="655">
        <v>1</v>
      </c>
      <c r="KB151" s="655">
        <v>0.36</v>
      </c>
      <c r="KC151" s="655">
        <v>0.78</v>
      </c>
      <c r="KD151" s="655">
        <v>0.28000000000000003</v>
      </c>
      <c r="KE151" s="655">
        <v>0.51</v>
      </c>
      <c r="KF151" s="655">
        <v>0.24</v>
      </c>
      <c r="KG151" s="655">
        <v>0.51</v>
      </c>
      <c r="KH151" s="971"/>
      <c r="KI151" s="971"/>
      <c r="KJ151" s="971"/>
      <c r="KK151" s="971"/>
      <c r="KL151" s="949"/>
      <c r="KM151" s="949"/>
      <c r="KN151" s="949"/>
      <c r="KO151" s="949"/>
      <c r="KP151" s="949"/>
      <c r="KQ151" s="949"/>
      <c r="KR151" s="949"/>
      <c r="KS151" s="949"/>
      <c r="KT151" s="949"/>
      <c r="KU151" s="949"/>
      <c r="KV151" s="949"/>
      <c r="KW151" s="949"/>
      <c r="KX151" s="949"/>
      <c r="KY151" s="949"/>
      <c r="KZ151" s="949"/>
      <c r="LA151" s="949"/>
      <c r="LB151" s="949"/>
      <c r="LC151" s="949"/>
      <c r="LD151" s="949"/>
      <c r="LE151" s="949"/>
      <c r="LF151" s="949"/>
      <c r="LG151" s="949"/>
      <c r="LH151" s="949"/>
      <c r="LI151" s="949"/>
      <c r="LJ151" s="949"/>
      <c r="LK151" s="949"/>
      <c r="LL151" s="949"/>
      <c r="LM151" s="949"/>
      <c r="LN151" s="949"/>
      <c r="LO151" s="949"/>
      <c r="LP151" s="922"/>
      <c r="LQ151" s="803" t="s">
        <v>80</v>
      </c>
      <c r="LR151" s="424">
        <v>53</v>
      </c>
      <c r="LS151" s="971"/>
      <c r="LT151" s="946"/>
    </row>
    <row r="152" spans="1:332" ht="24.95" customHeight="1" x14ac:dyDescent="0.2">
      <c r="A152" s="803" t="s">
        <v>84</v>
      </c>
      <c r="B152" s="1" t="s">
        <v>123</v>
      </c>
      <c r="C152" s="2">
        <v>5</v>
      </c>
      <c r="D152" s="12">
        <v>53</v>
      </c>
      <c r="E152" s="12">
        <v>7</v>
      </c>
      <c r="F152" s="66">
        <v>0.02</v>
      </c>
      <c r="G152" s="66">
        <v>0.64</v>
      </c>
      <c r="H152" s="66">
        <v>0.33</v>
      </c>
      <c r="I152" s="66">
        <v>0</v>
      </c>
      <c r="J152" s="66">
        <v>0.36</v>
      </c>
      <c r="K152" s="66">
        <v>0.54</v>
      </c>
      <c r="L152" s="66">
        <v>0.8</v>
      </c>
      <c r="M152" s="66">
        <v>0.19</v>
      </c>
      <c r="N152" s="66">
        <v>0.32</v>
      </c>
      <c r="O152" s="66">
        <v>0.78</v>
      </c>
      <c r="P152" s="66">
        <v>0.36</v>
      </c>
      <c r="Q152" s="66">
        <v>0.45</v>
      </c>
      <c r="R152" s="66">
        <v>0.59</v>
      </c>
      <c r="S152" s="66">
        <v>0.63</v>
      </c>
      <c r="T152" s="66">
        <v>0.54</v>
      </c>
      <c r="U152" s="66">
        <v>0.6</v>
      </c>
      <c r="V152" s="66">
        <v>0.09</v>
      </c>
      <c r="W152" s="66">
        <v>0.14000000000000001</v>
      </c>
      <c r="X152" s="66">
        <v>0.56000000000000005</v>
      </c>
      <c r="Y152" s="66">
        <v>0.51</v>
      </c>
      <c r="Z152" s="12" t="s">
        <v>173</v>
      </c>
      <c r="AA152" s="66">
        <v>0.15</v>
      </c>
      <c r="AB152" s="66">
        <v>0.45</v>
      </c>
      <c r="AC152" s="66">
        <v>0.35</v>
      </c>
      <c r="AD152" s="66">
        <v>0.41</v>
      </c>
      <c r="AE152" s="66">
        <v>0.35</v>
      </c>
      <c r="AF152" s="66">
        <v>0.49</v>
      </c>
      <c r="AG152" s="66">
        <v>0.49</v>
      </c>
      <c r="AH152" s="12">
        <v>49</v>
      </c>
      <c r="AI152" s="12">
        <v>9</v>
      </c>
      <c r="AJ152" s="40">
        <v>0.2</v>
      </c>
      <c r="AK152" s="40">
        <v>0.54</v>
      </c>
      <c r="AL152" s="40">
        <v>0.27</v>
      </c>
      <c r="AM152" s="40">
        <v>0</v>
      </c>
      <c r="AN152" s="40">
        <v>0.45</v>
      </c>
      <c r="AO152" s="40">
        <v>0.49</v>
      </c>
      <c r="AP152" s="40">
        <v>0.56000000000000005</v>
      </c>
      <c r="AQ152" s="40">
        <v>0.47</v>
      </c>
      <c r="AR152" s="40">
        <v>0.69</v>
      </c>
      <c r="AS152" s="40">
        <v>0.53</v>
      </c>
      <c r="AT152" s="40">
        <v>0.54</v>
      </c>
      <c r="AU152" s="40">
        <v>0.57999999999999996</v>
      </c>
      <c r="AV152" s="40">
        <v>0.65</v>
      </c>
      <c r="AW152" s="40">
        <v>0.6</v>
      </c>
      <c r="AX152" s="40">
        <v>0.67</v>
      </c>
      <c r="AY152" s="40">
        <v>0.42</v>
      </c>
      <c r="AZ152" s="40">
        <v>0.3</v>
      </c>
      <c r="BA152" s="40">
        <v>0.48</v>
      </c>
      <c r="BB152" s="40">
        <v>0.71</v>
      </c>
      <c r="BC152" s="40">
        <v>0.63</v>
      </c>
      <c r="BD152" s="40">
        <v>0.46</v>
      </c>
      <c r="BE152" s="40">
        <v>0.81</v>
      </c>
      <c r="BF152" s="40">
        <v>0.55000000000000004</v>
      </c>
      <c r="BG152" s="40">
        <v>0.49</v>
      </c>
      <c r="BH152" s="40">
        <v>0.51</v>
      </c>
      <c r="BI152" s="40">
        <v>0.44</v>
      </c>
      <c r="BJ152" s="40">
        <v>0.46</v>
      </c>
      <c r="BK152" s="40">
        <v>0.55000000000000004</v>
      </c>
      <c r="BL152" s="40">
        <v>0.52</v>
      </c>
      <c r="BM152" s="12">
        <v>45</v>
      </c>
      <c r="BN152" s="12">
        <v>8</v>
      </c>
      <c r="BO152" s="66">
        <v>0.31</v>
      </c>
      <c r="BP152" s="66">
        <v>0.59</v>
      </c>
      <c r="BQ152" s="66">
        <v>0.09</v>
      </c>
      <c r="BR152" s="66">
        <v>0</v>
      </c>
      <c r="BS152" s="66">
        <v>0.42</v>
      </c>
      <c r="BT152" s="66">
        <v>0.8</v>
      </c>
      <c r="BU152" s="66">
        <v>0.56000000000000005</v>
      </c>
      <c r="BV152" s="66">
        <v>0.44</v>
      </c>
      <c r="BW152" s="66">
        <v>0.74</v>
      </c>
      <c r="BX152" s="66">
        <v>0.43</v>
      </c>
      <c r="BY152" s="66">
        <v>0.48</v>
      </c>
      <c r="BZ152" s="66">
        <v>0.66</v>
      </c>
      <c r="CA152" s="66">
        <v>0.57999999999999996</v>
      </c>
      <c r="CB152" s="66">
        <v>0.52</v>
      </c>
      <c r="CC152" s="66">
        <v>0.45</v>
      </c>
      <c r="CD152" s="66">
        <v>0.48</v>
      </c>
      <c r="CE152" s="66">
        <v>0.49</v>
      </c>
      <c r="CF152" s="66">
        <v>0.84</v>
      </c>
      <c r="CG152" s="66">
        <v>0.71</v>
      </c>
      <c r="CH152" s="66">
        <v>0.59</v>
      </c>
      <c r="CI152" s="66">
        <v>0.61</v>
      </c>
      <c r="CJ152" s="66">
        <v>0.31</v>
      </c>
      <c r="CK152" s="66">
        <v>0.73</v>
      </c>
      <c r="CL152" s="66">
        <v>0.34</v>
      </c>
      <c r="CM152" s="66">
        <v>0.56000000000000005</v>
      </c>
      <c r="CN152" s="66">
        <v>0.63</v>
      </c>
      <c r="CO152" s="66">
        <v>0.52</v>
      </c>
      <c r="CP152" s="66">
        <v>0.44</v>
      </c>
      <c r="CQ152" s="66">
        <v>0.66</v>
      </c>
      <c r="CR152" s="66">
        <v>0.72</v>
      </c>
      <c r="CS152" s="12">
        <v>48</v>
      </c>
      <c r="CT152" s="12">
        <v>9</v>
      </c>
      <c r="CU152" s="63">
        <v>0.25</v>
      </c>
      <c r="CV152" s="63">
        <v>0.5</v>
      </c>
      <c r="CW152" s="63">
        <v>0.25</v>
      </c>
      <c r="CX152" s="63">
        <v>0</v>
      </c>
      <c r="CY152" s="63">
        <v>0.49</v>
      </c>
      <c r="CZ152" s="63">
        <v>0.31</v>
      </c>
      <c r="DA152" s="63">
        <v>0.65</v>
      </c>
      <c r="DB152" s="63">
        <v>0.33</v>
      </c>
      <c r="DC152" s="63">
        <v>0.4</v>
      </c>
      <c r="DD152" s="63">
        <v>0.71</v>
      </c>
      <c r="DE152" s="63">
        <v>0.47</v>
      </c>
      <c r="DF152" s="63">
        <v>0.62</v>
      </c>
      <c r="DG152" s="63">
        <v>0.48</v>
      </c>
      <c r="DH152" s="63">
        <v>0.39</v>
      </c>
      <c r="DI152" s="63">
        <v>0.55000000000000004</v>
      </c>
      <c r="DJ152" s="63">
        <v>0.51</v>
      </c>
      <c r="DK152" s="63">
        <v>0.23</v>
      </c>
      <c r="DL152" s="63">
        <v>0.4</v>
      </c>
      <c r="DM152" s="63">
        <v>0.6</v>
      </c>
      <c r="DN152" s="63">
        <v>0.52</v>
      </c>
      <c r="DO152" s="63">
        <v>0.48</v>
      </c>
      <c r="DP152" s="63">
        <v>0.41</v>
      </c>
      <c r="DQ152" s="63">
        <v>0.72</v>
      </c>
      <c r="DR152" s="63">
        <v>0.23</v>
      </c>
      <c r="DS152" s="63">
        <v>0.41</v>
      </c>
      <c r="DT152" s="63">
        <v>0.6</v>
      </c>
      <c r="DU152" s="63">
        <v>0.5</v>
      </c>
      <c r="DV152" s="63">
        <v>0.65</v>
      </c>
      <c r="DW152" s="63">
        <v>0.39</v>
      </c>
      <c r="DX152" s="35">
        <v>46</v>
      </c>
      <c r="DY152" s="35">
        <v>8</v>
      </c>
      <c r="DZ152" s="40">
        <v>0.26</v>
      </c>
      <c r="EA152" s="40">
        <v>0.65</v>
      </c>
      <c r="EB152" s="40">
        <v>0.09</v>
      </c>
      <c r="EC152" s="40">
        <v>0</v>
      </c>
      <c r="ED152" s="40">
        <v>0.46</v>
      </c>
      <c r="EE152" s="40">
        <v>0.46</v>
      </c>
      <c r="EF152" s="40">
        <v>0.61</v>
      </c>
      <c r="EG152" s="40">
        <v>0.64</v>
      </c>
      <c r="EH152" s="40">
        <v>0.51</v>
      </c>
      <c r="EI152" s="40">
        <v>0.57999999999999996</v>
      </c>
      <c r="EJ152" s="40">
        <v>0.66</v>
      </c>
      <c r="EK152" s="40">
        <v>0.3</v>
      </c>
      <c r="EL152" s="40">
        <v>0.52</v>
      </c>
      <c r="EM152" s="40">
        <v>0.72</v>
      </c>
      <c r="EN152" s="40">
        <v>0.48</v>
      </c>
      <c r="EO152" s="40">
        <v>0.55000000000000004</v>
      </c>
      <c r="EP152" s="40">
        <v>0.61</v>
      </c>
      <c r="EQ152" s="40">
        <v>0.5</v>
      </c>
      <c r="ER152" s="40">
        <v>0.65</v>
      </c>
      <c r="ES152" s="40">
        <v>0.45</v>
      </c>
      <c r="ET152" s="40">
        <v>0.42</v>
      </c>
      <c r="EU152" s="40">
        <v>0.63</v>
      </c>
      <c r="EV152" s="40">
        <v>0.5</v>
      </c>
      <c r="EW152" s="40">
        <v>0.37</v>
      </c>
      <c r="EX152" s="40">
        <v>0.64</v>
      </c>
      <c r="EY152" s="40">
        <v>0.64</v>
      </c>
      <c r="EZ152" s="40">
        <v>0.2</v>
      </c>
      <c r="FA152" s="40">
        <v>0.68</v>
      </c>
      <c r="FB152" s="246">
        <v>45</v>
      </c>
      <c r="FC152" s="246" t="s">
        <v>758</v>
      </c>
      <c r="FD152" s="246">
        <v>8</v>
      </c>
      <c r="FE152" s="246" t="s">
        <v>758</v>
      </c>
      <c r="FF152" s="263">
        <v>0.21</v>
      </c>
      <c r="FG152" s="263">
        <v>0.72</v>
      </c>
      <c r="FH152" s="263">
        <v>7.0000000000000007E-2</v>
      </c>
      <c r="FI152" s="263">
        <v>0</v>
      </c>
      <c r="FJ152" s="263">
        <v>0.49</v>
      </c>
      <c r="FK152" s="263">
        <v>0.71</v>
      </c>
      <c r="FL152" s="263">
        <v>0.56999999999999995</v>
      </c>
      <c r="FM152" s="263">
        <v>0.67</v>
      </c>
      <c r="FN152" s="263">
        <v>0.48</v>
      </c>
      <c r="FO152" s="263">
        <v>0.48</v>
      </c>
      <c r="FP152" s="263">
        <v>0.44</v>
      </c>
      <c r="FQ152" s="263">
        <v>0.45</v>
      </c>
      <c r="FR152" s="263">
        <v>0.66</v>
      </c>
      <c r="FS152" s="263">
        <v>0.63</v>
      </c>
      <c r="FT152" s="263">
        <v>0.63</v>
      </c>
      <c r="FU152" s="263">
        <v>0.55000000000000004</v>
      </c>
      <c r="FV152" s="263">
        <v>0.69</v>
      </c>
      <c r="FW152" s="263">
        <v>0.57999999999999996</v>
      </c>
      <c r="FX152" s="263">
        <v>0.54</v>
      </c>
      <c r="FY152" s="263">
        <v>0.48</v>
      </c>
      <c r="FZ152" s="263">
        <v>0.48</v>
      </c>
      <c r="GA152" s="263">
        <v>0.55000000000000004</v>
      </c>
      <c r="GB152" s="263">
        <v>0.57999999999999996</v>
      </c>
      <c r="GC152" s="263">
        <v>0.67</v>
      </c>
      <c r="GD152" s="263">
        <v>0.75</v>
      </c>
      <c r="GE152" s="263">
        <v>0.55000000000000004</v>
      </c>
      <c r="GF152" s="263">
        <v>0.65</v>
      </c>
      <c r="GG152" s="263">
        <v>0.56000000000000005</v>
      </c>
      <c r="GH152" s="263">
        <v>0.7</v>
      </c>
      <c r="GI152" s="263">
        <v>0.37</v>
      </c>
      <c r="GJ152" s="309">
        <v>47</v>
      </c>
      <c r="GK152" s="309" t="s">
        <v>758</v>
      </c>
      <c r="GL152" s="309">
        <v>8</v>
      </c>
      <c r="GM152" s="309" t="s">
        <v>758</v>
      </c>
      <c r="GN152" s="327">
        <v>0.19</v>
      </c>
      <c r="GO152" s="327">
        <v>0.65</v>
      </c>
      <c r="GP152" s="327">
        <v>0.15</v>
      </c>
      <c r="GQ152" s="327">
        <v>0</v>
      </c>
      <c r="GR152" s="327">
        <v>0.59</v>
      </c>
      <c r="GS152" s="327">
        <v>0.68</v>
      </c>
      <c r="GT152" s="327">
        <v>0.62</v>
      </c>
      <c r="GU152" s="327">
        <v>0.5</v>
      </c>
      <c r="GV152" s="327">
        <v>0.64</v>
      </c>
      <c r="GW152" s="327">
        <v>0.5</v>
      </c>
      <c r="GX152" s="327">
        <v>0.52</v>
      </c>
      <c r="GY152" s="309" t="s">
        <v>173</v>
      </c>
      <c r="GZ152" s="327">
        <v>0.43</v>
      </c>
      <c r="HA152" s="327">
        <v>0.63</v>
      </c>
      <c r="HB152" s="327">
        <v>0.56000000000000005</v>
      </c>
      <c r="HC152" s="327">
        <v>0.72</v>
      </c>
      <c r="HD152" s="327">
        <v>0.62</v>
      </c>
      <c r="HE152" s="327">
        <v>0.59</v>
      </c>
      <c r="HF152" s="327">
        <v>0.56999999999999995</v>
      </c>
      <c r="HG152" s="327">
        <v>0.74</v>
      </c>
      <c r="HH152" s="327">
        <v>0.31</v>
      </c>
      <c r="HI152" s="327">
        <v>0.54</v>
      </c>
      <c r="HJ152" s="327">
        <v>0.68</v>
      </c>
      <c r="HK152" s="327">
        <v>0.51</v>
      </c>
      <c r="HL152" s="327">
        <v>0.32</v>
      </c>
      <c r="HM152" s="327">
        <v>0.61</v>
      </c>
      <c r="HN152" s="327">
        <v>0.44</v>
      </c>
      <c r="HO152" s="327">
        <v>0.43</v>
      </c>
      <c r="HP152" s="309" t="s">
        <v>173</v>
      </c>
      <c r="HQ152" s="327">
        <v>0.43</v>
      </c>
      <c r="HR152" s="424">
        <v>49</v>
      </c>
      <c r="HS152" s="424" t="s">
        <v>758</v>
      </c>
      <c r="HT152" s="424">
        <v>9</v>
      </c>
      <c r="HU152" s="424" t="s">
        <v>758</v>
      </c>
      <c r="HV152" s="428">
        <v>0.2</v>
      </c>
      <c r="HW152" s="428">
        <v>0.56999999999999995</v>
      </c>
      <c r="HX152" s="428">
        <v>0.23</v>
      </c>
      <c r="HY152" s="428">
        <v>0</v>
      </c>
      <c r="HZ152" s="428">
        <v>0.35</v>
      </c>
      <c r="IA152" s="428">
        <v>0.56000000000000005</v>
      </c>
      <c r="IB152" s="428">
        <v>0.47</v>
      </c>
      <c r="IC152" s="428">
        <v>0.44</v>
      </c>
      <c r="ID152" s="428">
        <v>0.62</v>
      </c>
      <c r="IE152" s="428">
        <v>0.5</v>
      </c>
      <c r="IF152" s="428">
        <v>0.48</v>
      </c>
      <c r="IG152" s="428">
        <v>0.68</v>
      </c>
      <c r="IH152" s="428">
        <v>0.56000000000000005</v>
      </c>
      <c r="II152" s="428">
        <v>0.21</v>
      </c>
      <c r="IJ152" s="428">
        <v>0.28000000000000003</v>
      </c>
      <c r="IK152" s="428">
        <v>0.56999999999999995</v>
      </c>
      <c r="IL152" s="428">
        <v>0.35</v>
      </c>
      <c r="IM152" s="428">
        <v>0.67</v>
      </c>
      <c r="IN152" s="428">
        <v>0.47</v>
      </c>
      <c r="IO152" s="428">
        <v>0.48</v>
      </c>
      <c r="IP152" s="428">
        <v>0.44</v>
      </c>
      <c r="IQ152" s="428">
        <v>0.66</v>
      </c>
      <c r="IR152" s="428">
        <v>0.74</v>
      </c>
      <c r="IS152" s="428">
        <v>0.64</v>
      </c>
      <c r="IT152" s="428">
        <v>0.57999999999999996</v>
      </c>
      <c r="IU152" s="424" t="s">
        <v>173</v>
      </c>
      <c r="IV152" s="428">
        <v>0.57999999999999996</v>
      </c>
      <c r="IW152" s="428">
        <v>0.49</v>
      </c>
      <c r="IX152" s="428">
        <v>0.54</v>
      </c>
      <c r="IY152" s="428">
        <v>0.51</v>
      </c>
      <c r="IZ152" s="464">
        <v>50</v>
      </c>
      <c r="JA152" s="464" t="s">
        <v>758</v>
      </c>
      <c r="JB152" s="464">
        <v>8</v>
      </c>
      <c r="JC152" s="464" t="s">
        <v>758</v>
      </c>
      <c r="JD152" s="476">
        <v>0.11</v>
      </c>
      <c r="JE152" s="476">
        <v>0.66</v>
      </c>
      <c r="JF152" s="476">
        <v>0.23</v>
      </c>
      <c r="JG152" s="476">
        <v>0</v>
      </c>
      <c r="JH152" s="476">
        <v>0.45</v>
      </c>
      <c r="JI152" s="476">
        <v>0.42</v>
      </c>
      <c r="JJ152" s="476">
        <v>0.5</v>
      </c>
      <c r="JK152" s="476">
        <v>0.5</v>
      </c>
      <c r="JL152" s="476">
        <v>0.54</v>
      </c>
      <c r="JM152" s="476">
        <v>0.51</v>
      </c>
      <c r="JN152" s="476">
        <v>0.42</v>
      </c>
      <c r="JO152" s="476">
        <v>0.5</v>
      </c>
      <c r="JP152" s="476">
        <v>0.48</v>
      </c>
      <c r="JQ152" s="476">
        <v>0.22</v>
      </c>
      <c r="JR152" s="476">
        <v>0.61</v>
      </c>
      <c r="JS152" s="476">
        <v>0.56999999999999995</v>
      </c>
      <c r="JT152" s="476">
        <v>0.52</v>
      </c>
      <c r="JU152" s="476">
        <v>0.59</v>
      </c>
      <c r="JV152" s="476">
        <v>0.52</v>
      </c>
      <c r="JW152" s="476">
        <v>0.54</v>
      </c>
      <c r="JX152" s="476">
        <v>0.46</v>
      </c>
      <c r="JY152" s="476">
        <v>0.56999999999999995</v>
      </c>
      <c r="JZ152" s="476">
        <v>0.42</v>
      </c>
      <c r="KA152" s="476">
        <v>0.64</v>
      </c>
      <c r="KB152" s="476">
        <v>0.52</v>
      </c>
      <c r="KC152" s="476">
        <v>0.6</v>
      </c>
      <c r="KD152" s="476">
        <v>0.43</v>
      </c>
      <c r="KE152" s="476">
        <v>0.44</v>
      </c>
      <c r="KF152" s="476">
        <v>0.56000000000000005</v>
      </c>
      <c r="KG152" s="476">
        <v>0.62</v>
      </c>
      <c r="KH152" s="971">
        <v>48</v>
      </c>
      <c r="KI152" s="971" t="s">
        <v>758</v>
      </c>
      <c r="KJ152" s="971">
        <v>7</v>
      </c>
      <c r="KK152" s="971" t="s">
        <v>758</v>
      </c>
      <c r="KL152" s="949">
        <v>0.18</v>
      </c>
      <c r="KM152" s="949">
        <v>0.7</v>
      </c>
      <c r="KN152" s="949">
        <v>0.11</v>
      </c>
      <c r="KO152" s="949">
        <v>0</v>
      </c>
      <c r="KP152" s="949">
        <v>0.56999999999999995</v>
      </c>
      <c r="KQ152" s="949">
        <v>0.26</v>
      </c>
      <c r="KR152" s="949">
        <v>0.66</v>
      </c>
      <c r="KS152" s="949">
        <v>0.53</v>
      </c>
      <c r="KT152" s="949">
        <v>0.65</v>
      </c>
      <c r="KU152" s="949">
        <v>0.32</v>
      </c>
      <c r="KV152" s="949">
        <v>0.61</v>
      </c>
      <c r="KW152" s="949">
        <v>0.48</v>
      </c>
      <c r="KX152" s="949">
        <v>0.43</v>
      </c>
      <c r="KY152" s="949">
        <v>0.54</v>
      </c>
      <c r="KZ152" s="949">
        <v>0.38</v>
      </c>
      <c r="LA152" s="949">
        <v>0.39</v>
      </c>
      <c r="LB152" s="949">
        <v>0.38</v>
      </c>
      <c r="LC152" s="949">
        <v>0.48</v>
      </c>
      <c r="LD152" s="949">
        <v>0.63</v>
      </c>
      <c r="LE152" s="949">
        <v>0.57999999999999996</v>
      </c>
      <c r="LF152" s="949">
        <v>0.33</v>
      </c>
      <c r="LG152" s="949">
        <v>0.65</v>
      </c>
      <c r="LH152" s="949">
        <v>0.64</v>
      </c>
      <c r="LI152" s="949">
        <v>0.56000000000000005</v>
      </c>
      <c r="LJ152" s="949">
        <v>0.51</v>
      </c>
      <c r="LK152" s="949">
        <v>0.62</v>
      </c>
      <c r="LL152" s="949" t="s">
        <v>173</v>
      </c>
      <c r="LM152" s="949">
        <v>0.61</v>
      </c>
      <c r="LN152" s="949">
        <v>0.84</v>
      </c>
      <c r="LO152" s="949">
        <v>0.52</v>
      </c>
      <c r="LP152" s="922">
        <v>325754003860</v>
      </c>
      <c r="LQ152" s="803" t="s">
        <v>84</v>
      </c>
      <c r="LR152" s="424">
        <v>49</v>
      </c>
      <c r="LS152" s="971">
        <v>48</v>
      </c>
      <c r="LT152" s="946"/>
    </row>
    <row r="153" spans="1:332" ht="24.95" customHeight="1" x14ac:dyDescent="0.2">
      <c r="A153" s="803" t="s">
        <v>79</v>
      </c>
      <c r="B153" s="1" t="s">
        <v>123</v>
      </c>
      <c r="C153" s="2">
        <v>2</v>
      </c>
      <c r="D153" s="12">
        <v>52</v>
      </c>
      <c r="E153" s="12">
        <v>8</v>
      </c>
      <c r="F153" s="66">
        <v>0.13</v>
      </c>
      <c r="G153" s="66">
        <v>0.63</v>
      </c>
      <c r="H153" s="66">
        <v>0.25</v>
      </c>
      <c r="I153" s="66">
        <v>0</v>
      </c>
      <c r="J153" s="66">
        <v>0.5</v>
      </c>
      <c r="K153" s="66">
        <v>0.38</v>
      </c>
      <c r="L153" s="66">
        <v>0.63</v>
      </c>
      <c r="M153" s="66">
        <v>0.25</v>
      </c>
      <c r="N153" s="66">
        <v>0.35</v>
      </c>
      <c r="O153" s="66">
        <v>0.69</v>
      </c>
      <c r="P153" s="66">
        <v>0.38</v>
      </c>
      <c r="Q153" s="66">
        <v>0.38</v>
      </c>
      <c r="R153" s="66">
        <v>0.53</v>
      </c>
      <c r="S153" s="66">
        <v>0.5</v>
      </c>
      <c r="T153" s="66">
        <v>0.38</v>
      </c>
      <c r="U153" s="66">
        <v>0.88</v>
      </c>
      <c r="V153" s="66">
        <v>0.13</v>
      </c>
      <c r="W153" s="66">
        <v>0.38</v>
      </c>
      <c r="X153" s="66">
        <v>0.53</v>
      </c>
      <c r="Y153" s="66">
        <v>0.38</v>
      </c>
      <c r="Z153" s="12" t="s">
        <v>173</v>
      </c>
      <c r="AA153" s="66">
        <v>0</v>
      </c>
      <c r="AB153" s="66">
        <v>0.52</v>
      </c>
      <c r="AC153" s="66">
        <v>0.31</v>
      </c>
      <c r="AD153" s="66">
        <v>0.44</v>
      </c>
      <c r="AE153" s="66">
        <v>0.44</v>
      </c>
      <c r="AF153" s="66">
        <v>0.69</v>
      </c>
      <c r="AG153" s="66">
        <v>0.46</v>
      </c>
      <c r="AH153" s="12">
        <v>54</v>
      </c>
      <c r="AI153" s="12">
        <v>6</v>
      </c>
      <c r="AJ153" s="40">
        <v>0.05</v>
      </c>
      <c r="AK153" s="40">
        <v>0.3</v>
      </c>
      <c r="AL153" s="40">
        <v>0.65</v>
      </c>
      <c r="AM153" s="40">
        <v>0</v>
      </c>
      <c r="AN153" s="40">
        <v>0.26</v>
      </c>
      <c r="AO153" s="40">
        <v>0.37</v>
      </c>
      <c r="AP153" s="40">
        <v>0.45</v>
      </c>
      <c r="AQ153" s="40">
        <v>0.31</v>
      </c>
      <c r="AR153" s="40">
        <v>0.54</v>
      </c>
      <c r="AS153" s="40">
        <v>0.39</v>
      </c>
      <c r="AT153" s="40">
        <v>0.57999999999999996</v>
      </c>
      <c r="AU153" s="40">
        <v>0.45</v>
      </c>
      <c r="AV153" s="40">
        <v>0.62</v>
      </c>
      <c r="AW153" s="40">
        <v>0.75</v>
      </c>
      <c r="AX153" s="40">
        <v>0.5</v>
      </c>
      <c r="AY153" s="40">
        <v>0.23</v>
      </c>
      <c r="AZ153" s="40">
        <v>0.21</v>
      </c>
      <c r="BA153" s="40">
        <v>0.56000000000000005</v>
      </c>
      <c r="BB153" s="40">
        <v>0.7</v>
      </c>
      <c r="BC153" s="40">
        <v>0.56999999999999995</v>
      </c>
      <c r="BD153" s="40">
        <v>0.42</v>
      </c>
      <c r="BE153" s="40">
        <v>0.56000000000000005</v>
      </c>
      <c r="BF153" s="40">
        <v>0.83</v>
      </c>
      <c r="BG153" s="40">
        <v>0.49</v>
      </c>
      <c r="BH153" s="40">
        <v>0.42</v>
      </c>
      <c r="BI153" s="40">
        <v>0.44</v>
      </c>
      <c r="BJ153" s="40">
        <v>0.31</v>
      </c>
      <c r="BK153" s="40">
        <v>0.28999999999999998</v>
      </c>
      <c r="BL153" s="40">
        <v>0.6</v>
      </c>
      <c r="BM153" s="12">
        <v>52</v>
      </c>
      <c r="BN153" s="12">
        <v>10</v>
      </c>
      <c r="BO153" s="66">
        <v>0.09</v>
      </c>
      <c r="BP153" s="66">
        <v>0.56999999999999995</v>
      </c>
      <c r="BQ153" s="66">
        <v>0.3</v>
      </c>
      <c r="BR153" s="66">
        <v>0.04</v>
      </c>
      <c r="BS153" s="66">
        <v>0.38</v>
      </c>
      <c r="BT153" s="66">
        <v>0.27</v>
      </c>
      <c r="BU153" s="66">
        <v>0.68</v>
      </c>
      <c r="BV153" s="66">
        <v>0.31</v>
      </c>
      <c r="BW153" s="66">
        <v>0.61</v>
      </c>
      <c r="BX153" s="66">
        <v>0.32</v>
      </c>
      <c r="BY153" s="66">
        <v>0.43</v>
      </c>
      <c r="BZ153" s="66">
        <v>0.64</v>
      </c>
      <c r="CA153" s="66">
        <v>0.47</v>
      </c>
      <c r="CB153" s="66">
        <v>0.23</v>
      </c>
      <c r="CC153" s="66">
        <v>0.27</v>
      </c>
      <c r="CD153" s="66">
        <v>0.41</v>
      </c>
      <c r="CE153" s="66">
        <v>0.27</v>
      </c>
      <c r="CF153" s="66">
        <v>0.55000000000000004</v>
      </c>
      <c r="CG153" s="66">
        <v>0.53</v>
      </c>
      <c r="CH153" s="66">
        <v>0.47</v>
      </c>
      <c r="CI153" s="66">
        <v>0.62</v>
      </c>
      <c r="CJ153" s="66">
        <v>0.26</v>
      </c>
      <c r="CK153" s="66">
        <v>0.68</v>
      </c>
      <c r="CL153" s="66">
        <v>0.17</v>
      </c>
      <c r="CM153" s="66">
        <v>0.44</v>
      </c>
      <c r="CN153" s="66">
        <v>0.4</v>
      </c>
      <c r="CO153" s="66">
        <v>0.33</v>
      </c>
      <c r="CP153" s="66">
        <v>0.28000000000000003</v>
      </c>
      <c r="CQ153" s="66">
        <v>0.48</v>
      </c>
      <c r="CR153" s="66">
        <v>0.53</v>
      </c>
      <c r="CS153" s="12">
        <v>52</v>
      </c>
      <c r="CT153" s="12">
        <v>8</v>
      </c>
      <c r="CU153" s="63">
        <v>0.06</v>
      </c>
      <c r="CV153" s="63">
        <v>0.61</v>
      </c>
      <c r="CW153" s="63">
        <v>0.3</v>
      </c>
      <c r="CX153" s="63">
        <v>0.03</v>
      </c>
      <c r="CY153" s="63">
        <v>0.53</v>
      </c>
      <c r="CZ153" s="63">
        <v>0.24</v>
      </c>
      <c r="DA153" s="63">
        <v>0.48</v>
      </c>
      <c r="DB153" s="63">
        <v>0.28000000000000003</v>
      </c>
      <c r="DC153" s="63">
        <v>0.34</v>
      </c>
      <c r="DD153" s="63">
        <v>0.69</v>
      </c>
      <c r="DE153" s="63">
        <v>0.34</v>
      </c>
      <c r="DF153" s="63">
        <v>0.56000000000000005</v>
      </c>
      <c r="DG153" s="63">
        <v>0.43</v>
      </c>
      <c r="DH153" s="63">
        <v>0.35</v>
      </c>
      <c r="DI153" s="63">
        <v>0.5</v>
      </c>
      <c r="DJ153" s="63">
        <v>0.4</v>
      </c>
      <c r="DK153" s="63">
        <v>0.28999999999999998</v>
      </c>
      <c r="DL153" s="63">
        <v>0.13</v>
      </c>
      <c r="DM153" s="63">
        <v>0.44</v>
      </c>
      <c r="DN153" s="63">
        <v>0.4</v>
      </c>
      <c r="DO153" s="63">
        <v>0.5</v>
      </c>
      <c r="DP153" s="63">
        <v>0.45</v>
      </c>
      <c r="DQ153" s="63">
        <v>0.48</v>
      </c>
      <c r="DR153" s="63">
        <v>0.17</v>
      </c>
      <c r="DS153" s="63">
        <v>0.28000000000000003</v>
      </c>
      <c r="DT153" s="63">
        <v>0.62</v>
      </c>
      <c r="DU153" s="63">
        <v>0.52</v>
      </c>
      <c r="DV153" s="63">
        <v>0.65</v>
      </c>
      <c r="DW153" s="63">
        <v>0.43</v>
      </c>
      <c r="DX153" s="35">
        <v>48</v>
      </c>
      <c r="DY153" s="35">
        <v>8</v>
      </c>
      <c r="DZ153" s="40">
        <v>0.23</v>
      </c>
      <c r="EA153" s="40">
        <v>0.61</v>
      </c>
      <c r="EB153" s="40">
        <v>0.16</v>
      </c>
      <c r="EC153" s="40">
        <v>0</v>
      </c>
      <c r="ED153" s="40">
        <v>0.42</v>
      </c>
      <c r="EE153" s="40">
        <v>0.47</v>
      </c>
      <c r="EF153" s="40">
        <v>0.5</v>
      </c>
      <c r="EG153" s="40">
        <v>0.47</v>
      </c>
      <c r="EH153" s="40">
        <v>0.43</v>
      </c>
      <c r="EI153" s="40">
        <v>0.53</v>
      </c>
      <c r="EJ153" s="40">
        <v>0.59</v>
      </c>
      <c r="EK153" s="40">
        <v>0.26</v>
      </c>
      <c r="EL153" s="40">
        <v>0.46</v>
      </c>
      <c r="EM153" s="40">
        <v>0.79</v>
      </c>
      <c r="EN153" s="40">
        <v>0.49</v>
      </c>
      <c r="EO153" s="40">
        <v>0.59</v>
      </c>
      <c r="EP153" s="40">
        <v>0.45</v>
      </c>
      <c r="EQ153" s="40">
        <v>0.13</v>
      </c>
      <c r="ER153" s="40">
        <v>0.63</v>
      </c>
      <c r="ES153" s="40">
        <v>0.37</v>
      </c>
      <c r="ET153" s="40">
        <v>0.4</v>
      </c>
      <c r="EU153" s="40">
        <v>0.57999999999999996</v>
      </c>
      <c r="EV153" s="40">
        <v>0.33</v>
      </c>
      <c r="EW153" s="40">
        <v>0.25</v>
      </c>
      <c r="EX153" s="40">
        <v>0.75</v>
      </c>
      <c r="EY153" s="40">
        <v>0.6</v>
      </c>
      <c r="EZ153" s="40">
        <v>0.18</v>
      </c>
      <c r="FA153" s="40">
        <v>0.56999999999999995</v>
      </c>
      <c r="FB153" s="246">
        <v>49</v>
      </c>
      <c r="FC153" s="246" t="s">
        <v>758</v>
      </c>
      <c r="FD153" s="246">
        <v>8</v>
      </c>
      <c r="FE153" s="246" t="s">
        <v>758</v>
      </c>
      <c r="FF153" s="263">
        <v>0.15</v>
      </c>
      <c r="FG153" s="263">
        <v>0.71</v>
      </c>
      <c r="FH153" s="263">
        <v>0.15</v>
      </c>
      <c r="FI153" s="263">
        <v>0</v>
      </c>
      <c r="FJ153" s="263">
        <v>0.45</v>
      </c>
      <c r="FK153" s="263">
        <v>0.72</v>
      </c>
      <c r="FL153" s="263">
        <v>0.52</v>
      </c>
      <c r="FM153" s="263">
        <v>0.57999999999999996</v>
      </c>
      <c r="FN153" s="263">
        <v>0.39</v>
      </c>
      <c r="FO153" s="263">
        <v>0.36</v>
      </c>
      <c r="FP153" s="263">
        <v>0.48</v>
      </c>
      <c r="FQ153" s="263">
        <v>0.44</v>
      </c>
      <c r="FR153" s="263">
        <v>0.65</v>
      </c>
      <c r="FS153" s="263">
        <v>0.4</v>
      </c>
      <c r="FT153" s="263">
        <v>0.48</v>
      </c>
      <c r="FU153" s="263">
        <v>0.47</v>
      </c>
      <c r="FV153" s="263">
        <v>0.67</v>
      </c>
      <c r="FW153" s="263">
        <v>0.66</v>
      </c>
      <c r="FX153" s="263">
        <v>0.5</v>
      </c>
      <c r="FY153" s="263">
        <v>0.38</v>
      </c>
      <c r="FZ153" s="263">
        <v>0.42</v>
      </c>
      <c r="GA153" s="263">
        <v>0.51</v>
      </c>
      <c r="GB153" s="263">
        <v>0.4</v>
      </c>
      <c r="GC153" s="263">
        <v>0.52</v>
      </c>
      <c r="GD153" s="263">
        <v>0.63</v>
      </c>
      <c r="GE153" s="263">
        <v>0.56000000000000005</v>
      </c>
      <c r="GF153" s="263">
        <v>0.44</v>
      </c>
      <c r="GG153" s="263">
        <v>0.41</v>
      </c>
      <c r="GH153" s="263">
        <v>0.65</v>
      </c>
      <c r="GI153" s="263">
        <v>0.26</v>
      </c>
      <c r="GJ153" s="309">
        <v>51</v>
      </c>
      <c r="GK153" s="309" t="s">
        <v>758</v>
      </c>
      <c r="GL153" s="309">
        <v>8</v>
      </c>
      <c r="GM153" s="309" t="s">
        <v>758</v>
      </c>
      <c r="GN153" s="327">
        <v>0.05</v>
      </c>
      <c r="GO153" s="327">
        <v>0.65</v>
      </c>
      <c r="GP153" s="327">
        <v>0.3</v>
      </c>
      <c r="GQ153" s="327">
        <v>0</v>
      </c>
      <c r="GR153" s="327">
        <v>0.53</v>
      </c>
      <c r="GS153" s="327">
        <v>0.59</v>
      </c>
      <c r="GT153" s="327">
        <v>0.63</v>
      </c>
      <c r="GU153" s="327">
        <v>0.26</v>
      </c>
      <c r="GV153" s="327">
        <v>0.55000000000000004</v>
      </c>
      <c r="GW153" s="327">
        <v>0.53</v>
      </c>
      <c r="GX153" s="327">
        <v>0.43</v>
      </c>
      <c r="GY153" s="309" t="s">
        <v>173</v>
      </c>
      <c r="GZ153" s="327">
        <v>0.23</v>
      </c>
      <c r="HA153" s="327">
        <v>0.59</v>
      </c>
      <c r="HB153" s="327">
        <v>0.47</v>
      </c>
      <c r="HC153" s="327">
        <v>0.48</v>
      </c>
      <c r="HD153" s="327">
        <v>0.55000000000000004</v>
      </c>
      <c r="HE153" s="327">
        <v>0.45</v>
      </c>
      <c r="HF153" s="327">
        <v>0.49</v>
      </c>
      <c r="HG153" s="327">
        <v>0.71</v>
      </c>
      <c r="HH153" s="327">
        <v>0.42</v>
      </c>
      <c r="HI153" s="327">
        <v>0.55000000000000004</v>
      </c>
      <c r="HJ153" s="327">
        <v>0.57999999999999996</v>
      </c>
      <c r="HK153" s="327">
        <v>0.47</v>
      </c>
      <c r="HL153" s="327">
        <v>0.47</v>
      </c>
      <c r="HM153" s="327">
        <v>0.51</v>
      </c>
      <c r="HN153" s="327">
        <v>0.45</v>
      </c>
      <c r="HO153" s="327">
        <v>0.44</v>
      </c>
      <c r="HP153" s="309" t="s">
        <v>173</v>
      </c>
      <c r="HQ153" s="327">
        <v>0.47</v>
      </c>
      <c r="HR153" s="424">
        <v>51</v>
      </c>
      <c r="HS153" s="424" t="s">
        <v>758</v>
      </c>
      <c r="HT153" s="424">
        <v>9</v>
      </c>
      <c r="HU153" s="424" t="s">
        <v>758</v>
      </c>
      <c r="HV153" s="428">
        <v>0.12</v>
      </c>
      <c r="HW153" s="428">
        <v>0.56000000000000005</v>
      </c>
      <c r="HX153" s="428">
        <v>0.28999999999999998</v>
      </c>
      <c r="HY153" s="428">
        <v>0.02</v>
      </c>
      <c r="HZ153" s="428">
        <v>0.38</v>
      </c>
      <c r="IA153" s="428">
        <v>0.56999999999999995</v>
      </c>
      <c r="IB153" s="428">
        <v>0.3</v>
      </c>
      <c r="IC153" s="428">
        <v>0.51</v>
      </c>
      <c r="ID153" s="428">
        <v>0.57999999999999996</v>
      </c>
      <c r="IE153" s="428">
        <v>0.33</v>
      </c>
      <c r="IF153" s="428">
        <v>0.36</v>
      </c>
      <c r="IG153" s="428">
        <v>0.54</v>
      </c>
      <c r="IH153" s="428">
        <v>0.56999999999999995</v>
      </c>
      <c r="II153" s="428">
        <v>0.18</v>
      </c>
      <c r="IJ153" s="428">
        <v>0.27</v>
      </c>
      <c r="IK153" s="428">
        <v>0.61</v>
      </c>
      <c r="IL153" s="428">
        <v>0.34</v>
      </c>
      <c r="IM153" s="428">
        <v>0.55000000000000004</v>
      </c>
      <c r="IN153" s="428">
        <v>0.44</v>
      </c>
      <c r="IO153" s="428">
        <v>0.52</v>
      </c>
      <c r="IP153" s="428">
        <v>0.44</v>
      </c>
      <c r="IQ153" s="428">
        <v>0.64</v>
      </c>
      <c r="IR153" s="428">
        <v>0.57999999999999996</v>
      </c>
      <c r="IS153" s="428">
        <v>0.56000000000000005</v>
      </c>
      <c r="IT153" s="428">
        <v>0.44</v>
      </c>
      <c r="IU153" s="424" t="s">
        <v>173</v>
      </c>
      <c r="IV153" s="428">
        <v>0.73</v>
      </c>
      <c r="IW153" s="428">
        <v>0.42</v>
      </c>
      <c r="IX153" s="428">
        <v>0.61</v>
      </c>
      <c r="IY153" s="428">
        <v>0.5</v>
      </c>
      <c r="IZ153" s="464">
        <v>49</v>
      </c>
      <c r="JA153" s="464" t="s">
        <v>758</v>
      </c>
      <c r="JB153" s="464">
        <v>10</v>
      </c>
      <c r="JC153" s="464" t="s">
        <v>758</v>
      </c>
      <c r="JD153" s="476">
        <v>0.21</v>
      </c>
      <c r="JE153" s="476">
        <v>0.47</v>
      </c>
      <c r="JF153" s="476">
        <v>0.32</v>
      </c>
      <c r="JG153" s="476">
        <v>0</v>
      </c>
      <c r="JH153" s="476">
        <v>0.51</v>
      </c>
      <c r="JI153" s="476">
        <v>0.39</v>
      </c>
      <c r="JJ153" s="476">
        <v>0.42</v>
      </c>
      <c r="JK153" s="476">
        <v>0.56000000000000005</v>
      </c>
      <c r="JL153" s="476">
        <v>0.54</v>
      </c>
      <c r="JM153" s="476">
        <v>0.5</v>
      </c>
      <c r="JN153" s="476">
        <v>0.48</v>
      </c>
      <c r="JO153" s="476">
        <v>0.56000000000000005</v>
      </c>
      <c r="JP153" s="476">
        <v>0.64</v>
      </c>
      <c r="JQ153" s="476">
        <v>0.22</v>
      </c>
      <c r="JR153" s="476">
        <v>0.63</v>
      </c>
      <c r="JS153" s="476">
        <v>0.64</v>
      </c>
      <c r="JT153" s="476">
        <v>0.5</v>
      </c>
      <c r="JU153" s="476">
        <v>0.56000000000000005</v>
      </c>
      <c r="JV153" s="476">
        <v>0.49</v>
      </c>
      <c r="JW153" s="476">
        <v>0.43</v>
      </c>
      <c r="JX153" s="476">
        <v>0.45</v>
      </c>
      <c r="JY153" s="476">
        <v>0.51</v>
      </c>
      <c r="JZ153" s="476">
        <v>0.4</v>
      </c>
      <c r="KA153" s="476">
        <v>0.5</v>
      </c>
      <c r="KB153" s="476">
        <v>0.63</v>
      </c>
      <c r="KC153" s="476">
        <v>0.66</v>
      </c>
      <c r="KD153" s="476">
        <v>0.43</v>
      </c>
      <c r="KE153" s="476">
        <v>0.5</v>
      </c>
      <c r="KF153" s="476">
        <v>0.46</v>
      </c>
      <c r="KG153" s="476">
        <v>0.49</v>
      </c>
      <c r="KH153" s="971">
        <v>53</v>
      </c>
      <c r="KI153" s="971" t="s">
        <v>758</v>
      </c>
      <c r="KJ153" s="971">
        <v>9</v>
      </c>
      <c r="KK153" s="971" t="s">
        <v>758</v>
      </c>
      <c r="KL153" s="949">
        <v>0.06</v>
      </c>
      <c r="KM153" s="949">
        <v>0.54</v>
      </c>
      <c r="KN153" s="949">
        <v>0.38</v>
      </c>
      <c r="KO153" s="949">
        <v>0.02</v>
      </c>
      <c r="KP153" s="949">
        <v>0.47</v>
      </c>
      <c r="KQ153" s="949">
        <v>0.25</v>
      </c>
      <c r="KR153" s="949">
        <v>0.54</v>
      </c>
      <c r="KS153" s="949">
        <v>0.46</v>
      </c>
      <c r="KT153" s="949">
        <v>0.57999999999999996</v>
      </c>
      <c r="KU153" s="949">
        <v>0.39</v>
      </c>
      <c r="KV153" s="949">
        <v>0.55000000000000004</v>
      </c>
      <c r="KW153" s="949">
        <v>0.33</v>
      </c>
      <c r="KX153" s="949">
        <v>0.26</v>
      </c>
      <c r="KY153" s="949">
        <v>0.49</v>
      </c>
      <c r="KZ153" s="949">
        <v>0.38</v>
      </c>
      <c r="LA153" s="949">
        <v>0.34</v>
      </c>
      <c r="LB153" s="949">
        <v>0.41</v>
      </c>
      <c r="LC153" s="949">
        <v>0.41</v>
      </c>
      <c r="LD153" s="949">
        <v>0.51</v>
      </c>
      <c r="LE153" s="949">
        <v>0.43</v>
      </c>
      <c r="LF153" s="949">
        <v>0.28999999999999998</v>
      </c>
      <c r="LG153" s="949">
        <v>0.46</v>
      </c>
      <c r="LH153" s="949">
        <v>0.53</v>
      </c>
      <c r="LI153" s="949">
        <v>0.53</v>
      </c>
      <c r="LJ153" s="949">
        <v>0.37</v>
      </c>
      <c r="LK153" s="949">
        <v>0.55000000000000004</v>
      </c>
      <c r="LL153" s="949" t="s">
        <v>173</v>
      </c>
      <c r="LM153" s="949">
        <v>0.61</v>
      </c>
      <c r="LN153" s="949">
        <v>0.48</v>
      </c>
      <c r="LO153" s="949">
        <v>0.39</v>
      </c>
      <c r="LP153" s="922">
        <v>325754001883</v>
      </c>
      <c r="LQ153" s="803" t="s">
        <v>79</v>
      </c>
      <c r="LR153" s="424">
        <v>51</v>
      </c>
      <c r="LS153" s="971">
        <v>53</v>
      </c>
      <c r="LT153" s="946"/>
    </row>
    <row r="154" spans="1:332" ht="24.95" customHeight="1" x14ac:dyDescent="0.2">
      <c r="A154" s="803" t="s">
        <v>70</v>
      </c>
      <c r="B154" s="1" t="s">
        <v>123</v>
      </c>
      <c r="C154" s="2">
        <v>6</v>
      </c>
      <c r="D154" s="12">
        <v>57</v>
      </c>
      <c r="E154" s="12">
        <v>7</v>
      </c>
      <c r="F154" s="66">
        <v>0.03</v>
      </c>
      <c r="G154" s="66">
        <v>0.37</v>
      </c>
      <c r="H154" s="66">
        <v>0.6</v>
      </c>
      <c r="I154" s="66">
        <v>0</v>
      </c>
      <c r="J154" s="66">
        <v>0.34</v>
      </c>
      <c r="K154" s="66">
        <v>0.31</v>
      </c>
      <c r="L154" s="66">
        <v>0.48</v>
      </c>
      <c r="M154" s="66">
        <v>0.23</v>
      </c>
      <c r="N154" s="66">
        <v>0.26</v>
      </c>
      <c r="O154" s="66">
        <v>0.71</v>
      </c>
      <c r="P154" s="66">
        <v>0.26</v>
      </c>
      <c r="Q154" s="66">
        <v>0.4</v>
      </c>
      <c r="R154" s="66">
        <v>0.47</v>
      </c>
      <c r="S154" s="66">
        <v>0.53</v>
      </c>
      <c r="T154" s="66">
        <v>0.37</v>
      </c>
      <c r="U154" s="66">
        <v>0.41</v>
      </c>
      <c r="V154" s="66">
        <v>0.03</v>
      </c>
      <c r="W154" s="66">
        <v>0.18</v>
      </c>
      <c r="X154" s="66">
        <v>0.4</v>
      </c>
      <c r="Y154" s="66">
        <v>0.41</v>
      </c>
      <c r="Z154" s="66">
        <v>0</v>
      </c>
      <c r="AA154" s="66">
        <v>0.14000000000000001</v>
      </c>
      <c r="AB154" s="66">
        <v>0.38</v>
      </c>
      <c r="AC154" s="66">
        <v>0.25</v>
      </c>
      <c r="AD154" s="66">
        <v>0.36</v>
      </c>
      <c r="AE154" s="66">
        <v>0.36</v>
      </c>
      <c r="AF154" s="66">
        <v>0.54</v>
      </c>
      <c r="AG154" s="66">
        <v>0.44</v>
      </c>
      <c r="AH154" s="12">
        <v>54</v>
      </c>
      <c r="AI154" s="12">
        <v>8</v>
      </c>
      <c r="AJ154" s="40">
        <v>0.04</v>
      </c>
      <c r="AK154" s="40">
        <v>0.53</v>
      </c>
      <c r="AL154" s="40">
        <v>0.4</v>
      </c>
      <c r="AM154" s="40">
        <v>0.03</v>
      </c>
      <c r="AN154" s="40">
        <v>0.22</v>
      </c>
      <c r="AO154" s="40">
        <v>0.42</v>
      </c>
      <c r="AP154" s="40">
        <v>0.5</v>
      </c>
      <c r="AQ154" s="40">
        <v>0.31</v>
      </c>
      <c r="AR154" s="40">
        <v>0.56000000000000005</v>
      </c>
      <c r="AS154" s="40">
        <v>0.48</v>
      </c>
      <c r="AT154" s="40">
        <v>0.45</v>
      </c>
      <c r="AU154" s="40">
        <v>0.44</v>
      </c>
      <c r="AV154" s="40">
        <v>0.53</v>
      </c>
      <c r="AW154" s="40">
        <v>0.48</v>
      </c>
      <c r="AX154" s="40">
        <v>0.54</v>
      </c>
      <c r="AY154" s="40">
        <v>0.31</v>
      </c>
      <c r="AZ154" s="40">
        <v>0.26</v>
      </c>
      <c r="BA154" s="40">
        <v>0.5</v>
      </c>
      <c r="BB154" s="40">
        <v>0.59</v>
      </c>
      <c r="BC154" s="40">
        <v>0.6</v>
      </c>
      <c r="BD154" s="40">
        <v>0.37</v>
      </c>
      <c r="BE154" s="40">
        <v>0.42</v>
      </c>
      <c r="BF154" s="40">
        <v>0.55000000000000004</v>
      </c>
      <c r="BG154" s="40">
        <v>0.41</v>
      </c>
      <c r="BH154" s="40">
        <v>0.4</v>
      </c>
      <c r="BI154" s="40">
        <v>0.37</v>
      </c>
      <c r="BJ154" s="40">
        <v>0.27</v>
      </c>
      <c r="BK154" s="40">
        <v>0.4</v>
      </c>
      <c r="BL154" s="40">
        <v>0.45</v>
      </c>
      <c r="BM154" s="12">
        <v>53</v>
      </c>
      <c r="BN154" s="12">
        <v>8</v>
      </c>
      <c r="BO154" s="66">
        <v>7.0000000000000007E-2</v>
      </c>
      <c r="BP154" s="66">
        <v>0.56000000000000005</v>
      </c>
      <c r="BQ154" s="66">
        <v>0.36</v>
      </c>
      <c r="BR154" s="66">
        <v>0.01</v>
      </c>
      <c r="BS154" s="66">
        <v>0.32</v>
      </c>
      <c r="BT154" s="66">
        <v>0.54</v>
      </c>
      <c r="BU154" s="66">
        <v>0.64</v>
      </c>
      <c r="BV154" s="66">
        <v>0.36</v>
      </c>
      <c r="BW154" s="66">
        <v>0.67</v>
      </c>
      <c r="BX154" s="66">
        <v>0.3</v>
      </c>
      <c r="BY154" s="66">
        <v>0.42</v>
      </c>
      <c r="BZ154" s="66">
        <v>0.49</v>
      </c>
      <c r="CA154" s="66">
        <v>0.41</v>
      </c>
      <c r="CB154" s="66">
        <v>0.32</v>
      </c>
      <c r="CC154" s="66">
        <v>0.15</v>
      </c>
      <c r="CD154" s="66">
        <v>0.34</v>
      </c>
      <c r="CE154" s="66">
        <v>0.28999999999999998</v>
      </c>
      <c r="CF154" s="66">
        <v>0.6</v>
      </c>
      <c r="CG154" s="66">
        <v>0.48</v>
      </c>
      <c r="CH154" s="66">
        <v>0.42</v>
      </c>
      <c r="CI154" s="66">
        <v>0.5</v>
      </c>
      <c r="CJ154" s="66">
        <v>0.25</v>
      </c>
      <c r="CK154" s="66">
        <v>0.63</v>
      </c>
      <c r="CL154" s="66">
        <v>0.31</v>
      </c>
      <c r="CM154" s="66">
        <v>0.4</v>
      </c>
      <c r="CN154" s="66">
        <v>0.41</v>
      </c>
      <c r="CO154" s="66">
        <v>0.4</v>
      </c>
      <c r="CP154" s="66">
        <v>0.32</v>
      </c>
      <c r="CQ154" s="66">
        <v>0.55000000000000004</v>
      </c>
      <c r="CR154" s="66">
        <v>0.5</v>
      </c>
      <c r="CS154" s="12">
        <v>50</v>
      </c>
      <c r="CT154" s="12">
        <v>9</v>
      </c>
      <c r="CU154" s="63">
        <v>0.15</v>
      </c>
      <c r="CV154" s="63">
        <v>0.56999999999999995</v>
      </c>
      <c r="CW154" s="63">
        <v>0.27</v>
      </c>
      <c r="CX154" s="63">
        <v>0.01</v>
      </c>
      <c r="CY154" s="63">
        <v>0.46</v>
      </c>
      <c r="CZ154" s="63">
        <v>0.3</v>
      </c>
      <c r="DA154" s="63">
        <v>0.56000000000000005</v>
      </c>
      <c r="DB154" s="63">
        <v>0.38</v>
      </c>
      <c r="DC154" s="63">
        <v>0.43</v>
      </c>
      <c r="DD154" s="63">
        <v>0.64</v>
      </c>
      <c r="DE154" s="63">
        <v>0.46</v>
      </c>
      <c r="DF154" s="63">
        <v>0.57999999999999996</v>
      </c>
      <c r="DG154" s="63">
        <v>0.44</v>
      </c>
      <c r="DH154" s="63">
        <v>0.39</v>
      </c>
      <c r="DI154" s="63">
        <v>0.53</v>
      </c>
      <c r="DJ154" s="63">
        <v>0.52</v>
      </c>
      <c r="DK154" s="63">
        <v>0.35</v>
      </c>
      <c r="DL154" s="63">
        <v>0.43</v>
      </c>
      <c r="DM154" s="63">
        <v>0.47</v>
      </c>
      <c r="DN154" s="63">
        <v>0.5</v>
      </c>
      <c r="DO154" s="63">
        <v>0.38</v>
      </c>
      <c r="DP154" s="63">
        <v>0.46</v>
      </c>
      <c r="DQ154" s="63">
        <v>0.54</v>
      </c>
      <c r="DR154" s="63">
        <v>0.16</v>
      </c>
      <c r="DS154" s="63">
        <v>0.39</v>
      </c>
      <c r="DT154" s="63">
        <v>0.53</v>
      </c>
      <c r="DU154" s="63">
        <v>0.44</v>
      </c>
      <c r="DV154" s="63">
        <v>0.6</v>
      </c>
      <c r="DW154" s="63">
        <v>0.33</v>
      </c>
      <c r="DX154" s="35">
        <v>48</v>
      </c>
      <c r="DY154" s="35">
        <v>9</v>
      </c>
      <c r="DZ154" s="40">
        <v>0.21</v>
      </c>
      <c r="EA154" s="40">
        <v>0.59</v>
      </c>
      <c r="EB154" s="40">
        <v>0.19</v>
      </c>
      <c r="EC154" s="40">
        <v>0.01</v>
      </c>
      <c r="ED154" s="40">
        <v>0.53</v>
      </c>
      <c r="EE154" s="40">
        <v>0.52</v>
      </c>
      <c r="EF154" s="40">
        <v>0.6</v>
      </c>
      <c r="EG154" s="40">
        <v>0.46</v>
      </c>
      <c r="EH154" s="40">
        <v>0.43</v>
      </c>
      <c r="EI154" s="40">
        <v>0.54</v>
      </c>
      <c r="EJ154" s="40">
        <v>0.56999999999999995</v>
      </c>
      <c r="EK154" s="40">
        <v>0.28999999999999998</v>
      </c>
      <c r="EL154" s="40">
        <v>0.45</v>
      </c>
      <c r="EM154" s="40">
        <v>0.63</v>
      </c>
      <c r="EN154" s="40">
        <v>0.46</v>
      </c>
      <c r="EO154" s="40">
        <v>0.59</v>
      </c>
      <c r="EP154" s="40">
        <v>0.38</v>
      </c>
      <c r="EQ154" s="40">
        <v>0.33</v>
      </c>
      <c r="ER154" s="40">
        <v>0.63</v>
      </c>
      <c r="ES154" s="40">
        <v>0.45</v>
      </c>
      <c r="ET154" s="40">
        <v>0.39</v>
      </c>
      <c r="EU154" s="40">
        <v>0.56999999999999995</v>
      </c>
      <c r="EV154" s="40">
        <v>0.44</v>
      </c>
      <c r="EW154" s="40">
        <v>0.43</v>
      </c>
      <c r="EX154" s="40">
        <v>0.68</v>
      </c>
      <c r="EY154" s="40">
        <v>0.65</v>
      </c>
      <c r="EZ154" s="40">
        <v>0.22</v>
      </c>
      <c r="FA154" s="40">
        <v>0.66</v>
      </c>
      <c r="FB154" s="246">
        <v>49</v>
      </c>
      <c r="FC154" s="246" t="s">
        <v>758</v>
      </c>
      <c r="FD154" s="246">
        <v>8</v>
      </c>
      <c r="FE154" s="246" t="s">
        <v>758</v>
      </c>
      <c r="FF154" s="263">
        <v>0.16</v>
      </c>
      <c r="FG154" s="263">
        <v>0.57999999999999996</v>
      </c>
      <c r="FH154" s="263">
        <v>0.26</v>
      </c>
      <c r="FI154" s="263">
        <v>0</v>
      </c>
      <c r="FJ154" s="263">
        <v>0.5</v>
      </c>
      <c r="FK154" s="263">
        <v>0.62</v>
      </c>
      <c r="FL154" s="263">
        <v>0.49</v>
      </c>
      <c r="FM154" s="263">
        <v>0.38</v>
      </c>
      <c r="FN154" s="263">
        <v>0.35</v>
      </c>
      <c r="FO154" s="263">
        <v>0.3</v>
      </c>
      <c r="FP154" s="263">
        <v>0.4</v>
      </c>
      <c r="FQ154" s="263">
        <v>0.44</v>
      </c>
      <c r="FR154" s="263">
        <v>0.57999999999999996</v>
      </c>
      <c r="FS154" s="263">
        <v>0.51</v>
      </c>
      <c r="FT154" s="263">
        <v>0.54</v>
      </c>
      <c r="FU154" s="263">
        <v>0.33</v>
      </c>
      <c r="FV154" s="263">
        <v>0.61</v>
      </c>
      <c r="FW154" s="263">
        <v>0.56999999999999995</v>
      </c>
      <c r="FX154" s="263">
        <v>0.49</v>
      </c>
      <c r="FY154" s="263">
        <v>0.45</v>
      </c>
      <c r="FZ154" s="263">
        <v>0.4</v>
      </c>
      <c r="GA154" s="263">
        <v>0.52</v>
      </c>
      <c r="GB154" s="263">
        <v>0.53</v>
      </c>
      <c r="GC154" s="263">
        <v>0.47</v>
      </c>
      <c r="GD154" s="263">
        <v>0.64</v>
      </c>
      <c r="GE154" s="263">
        <v>0.54</v>
      </c>
      <c r="GF154" s="263">
        <v>0.48</v>
      </c>
      <c r="GG154" s="263">
        <v>0.42</v>
      </c>
      <c r="GH154" s="263">
        <v>0.52</v>
      </c>
      <c r="GI154" s="263">
        <v>0.3</v>
      </c>
      <c r="GJ154" s="309">
        <v>50</v>
      </c>
      <c r="GK154" s="309" t="s">
        <v>758</v>
      </c>
      <c r="GL154" s="309">
        <v>10</v>
      </c>
      <c r="GM154" s="309" t="s">
        <v>758</v>
      </c>
      <c r="GN154" s="327">
        <v>0.18</v>
      </c>
      <c r="GO154" s="327">
        <v>0.52</v>
      </c>
      <c r="GP154" s="327">
        <v>0.28999999999999998</v>
      </c>
      <c r="GQ154" s="327">
        <v>0.02</v>
      </c>
      <c r="GR154" s="327">
        <v>0.48</v>
      </c>
      <c r="GS154" s="327">
        <v>0.51</v>
      </c>
      <c r="GT154" s="327">
        <v>0.62</v>
      </c>
      <c r="GU154" s="327">
        <v>0.23</v>
      </c>
      <c r="GV154" s="327">
        <v>0.53</v>
      </c>
      <c r="GW154" s="327">
        <v>0.49</v>
      </c>
      <c r="GX154" s="327">
        <v>0.48</v>
      </c>
      <c r="GY154" s="309" t="s">
        <v>173</v>
      </c>
      <c r="GZ154" s="327">
        <v>0.34</v>
      </c>
      <c r="HA154" s="327">
        <v>0.71</v>
      </c>
      <c r="HB154" s="327">
        <v>0.43</v>
      </c>
      <c r="HC154" s="327">
        <v>0.52</v>
      </c>
      <c r="HD154" s="327">
        <v>0.57999999999999996</v>
      </c>
      <c r="HE154" s="327">
        <v>0.5</v>
      </c>
      <c r="HF154" s="327">
        <v>0.48</v>
      </c>
      <c r="HG154" s="327">
        <v>0.67</v>
      </c>
      <c r="HH154" s="327">
        <v>0.4</v>
      </c>
      <c r="HI154" s="327">
        <v>0.52</v>
      </c>
      <c r="HJ154" s="327">
        <v>0.57999999999999996</v>
      </c>
      <c r="HK154" s="327">
        <v>0.51</v>
      </c>
      <c r="HL154" s="327">
        <v>0.41</v>
      </c>
      <c r="HM154" s="327">
        <v>0.5</v>
      </c>
      <c r="HN154" s="327">
        <v>0.5</v>
      </c>
      <c r="HO154" s="327">
        <v>0.44</v>
      </c>
      <c r="HP154" s="309" t="s">
        <v>173</v>
      </c>
      <c r="HQ154" s="327">
        <v>0.4</v>
      </c>
      <c r="HR154" s="424">
        <v>52</v>
      </c>
      <c r="HS154" s="424" t="s">
        <v>758</v>
      </c>
      <c r="HT154" s="424">
        <v>10</v>
      </c>
      <c r="HU154" s="424" t="s">
        <v>758</v>
      </c>
      <c r="HV154" s="428">
        <v>0.14000000000000001</v>
      </c>
      <c r="HW154" s="428">
        <v>0.49</v>
      </c>
      <c r="HX154" s="428">
        <v>0.34</v>
      </c>
      <c r="HY154" s="428">
        <v>0.03</v>
      </c>
      <c r="HZ154" s="428">
        <v>0.35</v>
      </c>
      <c r="IA154" s="428">
        <v>0.45</v>
      </c>
      <c r="IB154" s="428">
        <v>0.34</v>
      </c>
      <c r="IC154" s="428">
        <v>0.47</v>
      </c>
      <c r="ID154" s="428">
        <v>0.6</v>
      </c>
      <c r="IE154" s="428">
        <v>0.36</v>
      </c>
      <c r="IF154" s="428">
        <v>0.39</v>
      </c>
      <c r="IG154" s="428">
        <v>0.52</v>
      </c>
      <c r="IH154" s="428">
        <v>0.51</v>
      </c>
      <c r="II154" s="428">
        <v>0.34</v>
      </c>
      <c r="IJ154" s="428">
        <v>0.28000000000000003</v>
      </c>
      <c r="IK154" s="428">
        <v>0.55000000000000004</v>
      </c>
      <c r="IL154" s="428">
        <v>0.35</v>
      </c>
      <c r="IM154" s="428">
        <v>0.56000000000000005</v>
      </c>
      <c r="IN154" s="428">
        <v>0.44</v>
      </c>
      <c r="IO154" s="428">
        <v>0.45</v>
      </c>
      <c r="IP154" s="428">
        <v>0.44</v>
      </c>
      <c r="IQ154" s="428">
        <v>0.63</v>
      </c>
      <c r="IR154" s="428">
        <v>0.56999999999999995</v>
      </c>
      <c r="IS154" s="428">
        <v>0.54</v>
      </c>
      <c r="IT154" s="428">
        <v>0.38</v>
      </c>
      <c r="IU154" s="424" t="s">
        <v>173</v>
      </c>
      <c r="IV154" s="428">
        <v>0.55000000000000004</v>
      </c>
      <c r="IW154" s="428">
        <v>0.41</v>
      </c>
      <c r="IX154" s="428">
        <v>0.47</v>
      </c>
      <c r="IY154" s="428">
        <v>0.46</v>
      </c>
      <c r="IZ154" s="464">
        <v>52</v>
      </c>
      <c r="JA154" s="464" t="s">
        <v>758</v>
      </c>
      <c r="JB154" s="464">
        <v>9</v>
      </c>
      <c r="JC154" s="464" t="s">
        <v>758</v>
      </c>
      <c r="JD154" s="476">
        <v>0.13</v>
      </c>
      <c r="JE154" s="476">
        <v>0.52</v>
      </c>
      <c r="JF154" s="476">
        <v>0.34</v>
      </c>
      <c r="JG154" s="476">
        <v>0.01</v>
      </c>
      <c r="JH154" s="476">
        <v>0.41</v>
      </c>
      <c r="JI154" s="476">
        <v>0.47</v>
      </c>
      <c r="JJ154" s="476">
        <v>0.46</v>
      </c>
      <c r="JK154" s="476">
        <v>0.47</v>
      </c>
      <c r="JL154" s="476">
        <v>0.44</v>
      </c>
      <c r="JM154" s="476">
        <v>0.52</v>
      </c>
      <c r="JN154" s="476">
        <v>0.41</v>
      </c>
      <c r="JO154" s="476">
        <v>0.45</v>
      </c>
      <c r="JP154" s="476">
        <v>0.56000000000000005</v>
      </c>
      <c r="JQ154" s="476">
        <v>0.28999999999999998</v>
      </c>
      <c r="JR154" s="476">
        <v>0.55000000000000004</v>
      </c>
      <c r="JS154" s="476">
        <v>0.56000000000000005</v>
      </c>
      <c r="JT154" s="476">
        <v>0.4</v>
      </c>
      <c r="JU154" s="476">
        <v>0.47</v>
      </c>
      <c r="JV154" s="476">
        <v>0.45</v>
      </c>
      <c r="JW154" s="476">
        <v>0.5</v>
      </c>
      <c r="JX154" s="476">
        <v>0.37</v>
      </c>
      <c r="JY154" s="476">
        <v>0.49</v>
      </c>
      <c r="JZ154" s="476">
        <v>0.46</v>
      </c>
      <c r="KA154" s="476">
        <v>0.63</v>
      </c>
      <c r="KB154" s="476">
        <v>0.47</v>
      </c>
      <c r="KC154" s="476">
        <v>0.67</v>
      </c>
      <c r="KD154" s="476">
        <v>0.3</v>
      </c>
      <c r="KE154" s="476">
        <v>0.49</v>
      </c>
      <c r="KF154" s="476">
        <v>0.46</v>
      </c>
      <c r="KG154" s="476">
        <v>0.5</v>
      </c>
      <c r="KH154" s="971">
        <v>54</v>
      </c>
      <c r="KI154" s="971" t="s">
        <v>758</v>
      </c>
      <c r="KJ154" s="971">
        <v>10</v>
      </c>
      <c r="KK154" s="971" t="s">
        <v>758</v>
      </c>
      <c r="KL154" s="949">
        <v>0.11</v>
      </c>
      <c r="KM154" s="949">
        <v>0.39</v>
      </c>
      <c r="KN154" s="949">
        <v>0.48</v>
      </c>
      <c r="KO154" s="949">
        <v>0.03</v>
      </c>
      <c r="KP154" s="949">
        <v>0.41</v>
      </c>
      <c r="KQ154" s="949">
        <v>0.24</v>
      </c>
      <c r="KR154" s="949">
        <v>0.55000000000000004</v>
      </c>
      <c r="KS154" s="949">
        <v>0.44</v>
      </c>
      <c r="KT154" s="949">
        <v>0.59</v>
      </c>
      <c r="KU154" s="949">
        <v>0.3</v>
      </c>
      <c r="KV154" s="949">
        <v>0.54</v>
      </c>
      <c r="KW154" s="949">
        <v>0.27</v>
      </c>
      <c r="KX154" s="949">
        <v>0.35</v>
      </c>
      <c r="KY154" s="949">
        <v>0.38</v>
      </c>
      <c r="KZ154" s="949">
        <v>0.34</v>
      </c>
      <c r="LA154" s="949">
        <v>0.28000000000000003</v>
      </c>
      <c r="LB154" s="949">
        <v>0.41</v>
      </c>
      <c r="LC154" s="949">
        <v>0.34</v>
      </c>
      <c r="LD154" s="949">
        <v>0.49</v>
      </c>
      <c r="LE154" s="949">
        <v>0.41</v>
      </c>
      <c r="LF154" s="949">
        <v>0.25</v>
      </c>
      <c r="LG154" s="949">
        <v>0.36</v>
      </c>
      <c r="LH154" s="949">
        <v>0.51</v>
      </c>
      <c r="LI154" s="949">
        <v>0.47</v>
      </c>
      <c r="LJ154" s="949">
        <v>0.36</v>
      </c>
      <c r="LK154" s="949">
        <v>0.5</v>
      </c>
      <c r="LL154" s="949" t="s">
        <v>173</v>
      </c>
      <c r="LM154" s="949">
        <v>0.57999999999999996</v>
      </c>
      <c r="LN154" s="949">
        <v>0.61</v>
      </c>
      <c r="LO154" s="949">
        <v>0.45</v>
      </c>
      <c r="LP154" s="922">
        <v>325754004238</v>
      </c>
      <c r="LQ154" s="803" t="s">
        <v>70</v>
      </c>
      <c r="LR154" s="424">
        <v>52</v>
      </c>
      <c r="LS154" s="971">
        <v>54</v>
      </c>
      <c r="LT154" s="946"/>
    </row>
    <row r="155" spans="1:332" ht="24.95" customHeight="1" x14ac:dyDescent="0.2">
      <c r="A155" s="803" t="s">
        <v>108</v>
      </c>
      <c r="B155" s="1" t="s">
        <v>123</v>
      </c>
      <c r="C155" s="2">
        <v>5</v>
      </c>
      <c r="D155" s="12">
        <v>62</v>
      </c>
      <c r="E155" s="12">
        <v>7</v>
      </c>
      <c r="F155" s="66">
        <v>0</v>
      </c>
      <c r="G155" s="66">
        <v>0.23</v>
      </c>
      <c r="H155" s="66">
        <v>0.7</v>
      </c>
      <c r="I155" s="66">
        <v>7.0000000000000007E-2</v>
      </c>
      <c r="J155" s="66">
        <v>0.05</v>
      </c>
      <c r="K155" s="66">
        <v>0.26</v>
      </c>
      <c r="L155" s="66">
        <v>0.36</v>
      </c>
      <c r="M155" s="66">
        <v>0.11</v>
      </c>
      <c r="N155" s="66">
        <v>0.22</v>
      </c>
      <c r="O155" s="66">
        <v>0.56999999999999995</v>
      </c>
      <c r="P155" s="66">
        <v>0.17</v>
      </c>
      <c r="Q155" s="66">
        <v>0.3</v>
      </c>
      <c r="R155" s="66">
        <v>0.42</v>
      </c>
      <c r="S155" s="66">
        <v>0.56000000000000005</v>
      </c>
      <c r="T155" s="66">
        <v>0.28000000000000003</v>
      </c>
      <c r="U155" s="66">
        <v>0.32</v>
      </c>
      <c r="V155" s="66">
        <v>0.04</v>
      </c>
      <c r="W155" s="66">
        <v>0.08</v>
      </c>
      <c r="X155" s="66">
        <v>0.25</v>
      </c>
      <c r="Y155" s="66">
        <v>0.4</v>
      </c>
      <c r="Z155" s="66">
        <v>1</v>
      </c>
      <c r="AA155" s="66">
        <v>0</v>
      </c>
      <c r="AB155" s="66">
        <v>0.38</v>
      </c>
      <c r="AC155" s="66">
        <v>0.13</v>
      </c>
      <c r="AD155" s="66">
        <v>0.25</v>
      </c>
      <c r="AE155" s="66">
        <v>0.25</v>
      </c>
      <c r="AF155" s="66">
        <v>0.46</v>
      </c>
      <c r="AG155" s="66">
        <v>0.38</v>
      </c>
      <c r="AH155" s="12">
        <v>60</v>
      </c>
      <c r="AI155" s="12">
        <v>7</v>
      </c>
      <c r="AJ155" s="40">
        <v>0.04</v>
      </c>
      <c r="AK155" s="40">
        <v>0.17</v>
      </c>
      <c r="AL155" s="40">
        <v>0.74</v>
      </c>
      <c r="AM155" s="40">
        <v>0.04</v>
      </c>
      <c r="AN155" s="40">
        <v>0.08</v>
      </c>
      <c r="AO155" s="40">
        <v>0.54</v>
      </c>
      <c r="AP155" s="40">
        <v>0.36</v>
      </c>
      <c r="AQ155" s="40">
        <v>0.23</v>
      </c>
      <c r="AR155" s="40">
        <v>0.49</v>
      </c>
      <c r="AS155" s="40">
        <v>0.38</v>
      </c>
      <c r="AT155" s="40">
        <v>0.38</v>
      </c>
      <c r="AU155" s="40">
        <v>0.33</v>
      </c>
      <c r="AV155" s="40">
        <v>0.32</v>
      </c>
      <c r="AW155" s="40">
        <v>0.2</v>
      </c>
      <c r="AX155" s="40">
        <v>0.35</v>
      </c>
      <c r="AY155" s="40">
        <v>0.2</v>
      </c>
      <c r="AZ155" s="40">
        <v>0.23</v>
      </c>
      <c r="BA155" s="40">
        <v>0.3</v>
      </c>
      <c r="BB155" s="40">
        <v>0.44</v>
      </c>
      <c r="BC155" s="40">
        <v>0.49</v>
      </c>
      <c r="BD155" s="40">
        <v>0.25</v>
      </c>
      <c r="BE155" s="40">
        <v>0.57999999999999996</v>
      </c>
      <c r="BF155" s="40">
        <v>0.25</v>
      </c>
      <c r="BG155" s="40">
        <v>0.42</v>
      </c>
      <c r="BH155" s="40">
        <v>0.27</v>
      </c>
      <c r="BI155" s="40">
        <v>0.28999999999999998</v>
      </c>
      <c r="BJ155" s="40">
        <v>0.24</v>
      </c>
      <c r="BK155" s="40">
        <v>0.23</v>
      </c>
      <c r="BL155" s="40">
        <v>0.15</v>
      </c>
      <c r="BM155" s="12">
        <v>59</v>
      </c>
      <c r="BN155" s="12">
        <v>9</v>
      </c>
      <c r="BO155" s="66">
        <v>0</v>
      </c>
      <c r="BP155" s="66">
        <v>0.37</v>
      </c>
      <c r="BQ155" s="66">
        <v>0.54</v>
      </c>
      <c r="BR155" s="66">
        <v>0.09</v>
      </c>
      <c r="BS155" s="66">
        <v>0.21</v>
      </c>
      <c r="BT155" s="66">
        <v>0.5</v>
      </c>
      <c r="BU155" s="66">
        <v>0.33</v>
      </c>
      <c r="BV155" s="66">
        <v>0.09</v>
      </c>
      <c r="BW155" s="66">
        <v>0.47</v>
      </c>
      <c r="BX155" s="66">
        <v>0.18</v>
      </c>
      <c r="BY155" s="66">
        <v>0.38</v>
      </c>
      <c r="BZ155" s="66">
        <v>0.36</v>
      </c>
      <c r="CA155" s="66">
        <v>0.3</v>
      </c>
      <c r="CB155" s="66">
        <v>0.17</v>
      </c>
      <c r="CC155" s="66">
        <v>0.12</v>
      </c>
      <c r="CD155" s="66">
        <v>0.27</v>
      </c>
      <c r="CE155" s="66">
        <v>0.15</v>
      </c>
      <c r="CF155" s="66">
        <v>0.61</v>
      </c>
      <c r="CG155" s="66">
        <v>0.36</v>
      </c>
      <c r="CH155" s="66">
        <v>0.26</v>
      </c>
      <c r="CI155" s="66">
        <v>0.45</v>
      </c>
      <c r="CJ155" s="66">
        <v>0.15</v>
      </c>
      <c r="CK155" s="66">
        <v>0.51</v>
      </c>
      <c r="CL155" s="66">
        <v>0.19</v>
      </c>
      <c r="CM155" s="66">
        <v>0.27</v>
      </c>
      <c r="CN155" s="66">
        <v>0.3</v>
      </c>
      <c r="CO155" s="66">
        <v>0.31</v>
      </c>
      <c r="CP155" s="66">
        <v>0.18</v>
      </c>
      <c r="CQ155" s="66">
        <v>0.36</v>
      </c>
      <c r="CR155" s="66">
        <v>0.4</v>
      </c>
      <c r="CS155" s="12">
        <v>56</v>
      </c>
      <c r="CT155" s="12">
        <v>11</v>
      </c>
      <c r="CU155" s="63">
        <v>0.09</v>
      </c>
      <c r="CV155" s="63">
        <v>0.37</v>
      </c>
      <c r="CW155" s="63">
        <v>0.48</v>
      </c>
      <c r="CX155" s="63">
        <v>7.0000000000000007E-2</v>
      </c>
      <c r="CY155" s="63">
        <v>0.41</v>
      </c>
      <c r="CZ155" s="63">
        <v>0.18</v>
      </c>
      <c r="DA155" s="63">
        <v>0.48</v>
      </c>
      <c r="DB155" s="63">
        <v>0.26</v>
      </c>
      <c r="DC155" s="63">
        <v>0.37</v>
      </c>
      <c r="DD155" s="63">
        <v>0.54</v>
      </c>
      <c r="DE155" s="63">
        <v>0.38</v>
      </c>
      <c r="DF155" s="63">
        <v>0.53</v>
      </c>
      <c r="DG155" s="63">
        <v>0.26</v>
      </c>
      <c r="DH155" s="63">
        <v>0.32</v>
      </c>
      <c r="DI155" s="63">
        <v>0.39</v>
      </c>
      <c r="DJ155" s="63">
        <v>0.44</v>
      </c>
      <c r="DK155" s="63">
        <v>0.22</v>
      </c>
      <c r="DL155" s="63">
        <v>0.28000000000000003</v>
      </c>
      <c r="DM155" s="63">
        <v>0.41</v>
      </c>
      <c r="DN155" s="63">
        <v>0.3</v>
      </c>
      <c r="DO155" s="63">
        <v>0.28999999999999998</v>
      </c>
      <c r="DP155" s="63">
        <v>0.41</v>
      </c>
      <c r="DQ155" s="63">
        <v>0.42</v>
      </c>
      <c r="DR155" s="63">
        <v>0.12</v>
      </c>
      <c r="DS155" s="63">
        <v>0.31</v>
      </c>
      <c r="DT155" s="63">
        <v>0.48</v>
      </c>
      <c r="DU155" s="63">
        <v>0.4</v>
      </c>
      <c r="DV155" s="63">
        <v>0.46</v>
      </c>
      <c r="DW155" s="63">
        <v>0.25</v>
      </c>
      <c r="DX155" s="35">
        <v>55</v>
      </c>
      <c r="DY155" s="35">
        <v>8</v>
      </c>
      <c r="DZ155" s="40">
        <v>0.04</v>
      </c>
      <c r="EA155" s="40">
        <v>0.5</v>
      </c>
      <c r="EB155" s="40">
        <v>0.44</v>
      </c>
      <c r="EC155" s="40">
        <v>0.02</v>
      </c>
      <c r="ED155" s="40">
        <v>0.41</v>
      </c>
      <c r="EE155" s="40">
        <v>0.45</v>
      </c>
      <c r="EF155" s="40">
        <v>0.42</v>
      </c>
      <c r="EG155" s="40">
        <v>0.28999999999999998</v>
      </c>
      <c r="EH155" s="40">
        <v>0.31</v>
      </c>
      <c r="EI155" s="40">
        <v>0.38</v>
      </c>
      <c r="EJ155" s="40">
        <v>0.56000000000000005</v>
      </c>
      <c r="EK155" s="40">
        <v>0.17</v>
      </c>
      <c r="EL155" s="40">
        <v>0.35</v>
      </c>
      <c r="EM155" s="40">
        <v>0.46</v>
      </c>
      <c r="EN155" s="40">
        <v>0.28000000000000003</v>
      </c>
      <c r="EO155" s="40">
        <v>0.5</v>
      </c>
      <c r="EP155" s="40">
        <v>0.25</v>
      </c>
      <c r="EQ155" s="40">
        <v>0.19</v>
      </c>
      <c r="ER155" s="40">
        <v>0.56000000000000005</v>
      </c>
      <c r="ES155" s="40">
        <v>0.36</v>
      </c>
      <c r="ET155" s="40">
        <v>0.27</v>
      </c>
      <c r="EU155" s="40">
        <v>0.4</v>
      </c>
      <c r="EV155" s="40">
        <v>0.2</v>
      </c>
      <c r="EW155" s="40">
        <v>0.18</v>
      </c>
      <c r="EX155" s="40">
        <v>0.7</v>
      </c>
      <c r="EY155" s="40">
        <v>0.51</v>
      </c>
      <c r="EZ155" s="40">
        <v>0.14000000000000001</v>
      </c>
      <c r="FA155" s="40">
        <v>0.55000000000000004</v>
      </c>
      <c r="FB155" s="246">
        <v>52</v>
      </c>
      <c r="FC155" s="246" t="s">
        <v>758</v>
      </c>
      <c r="FD155" s="246">
        <v>8</v>
      </c>
      <c r="FE155" s="246" t="s">
        <v>758</v>
      </c>
      <c r="FF155" s="263">
        <v>0.08</v>
      </c>
      <c r="FG155" s="263">
        <v>0.48</v>
      </c>
      <c r="FH155" s="263">
        <v>0.44</v>
      </c>
      <c r="FI155" s="263">
        <v>0</v>
      </c>
      <c r="FJ155" s="263">
        <v>0.41</v>
      </c>
      <c r="FK155" s="263">
        <v>0.62</v>
      </c>
      <c r="FL155" s="263">
        <v>0.5</v>
      </c>
      <c r="FM155" s="263">
        <v>0.33</v>
      </c>
      <c r="FN155" s="263">
        <v>0.28999999999999998</v>
      </c>
      <c r="FO155" s="263">
        <v>0.21</v>
      </c>
      <c r="FP155" s="263">
        <v>0.4</v>
      </c>
      <c r="FQ155" s="263">
        <v>0.34</v>
      </c>
      <c r="FR155" s="263">
        <v>0.57999999999999996</v>
      </c>
      <c r="FS155" s="263">
        <v>0.46</v>
      </c>
      <c r="FT155" s="263">
        <v>0.51</v>
      </c>
      <c r="FU155" s="263">
        <v>0.25</v>
      </c>
      <c r="FV155" s="263">
        <v>0.53</v>
      </c>
      <c r="FW155" s="263">
        <v>0.44</v>
      </c>
      <c r="FX155" s="263">
        <v>0.35</v>
      </c>
      <c r="FY155" s="263">
        <v>0.3</v>
      </c>
      <c r="FZ155" s="263">
        <v>0.33</v>
      </c>
      <c r="GA155" s="263">
        <v>0.53</v>
      </c>
      <c r="GB155" s="263">
        <v>0.45</v>
      </c>
      <c r="GC155" s="263">
        <v>0.45</v>
      </c>
      <c r="GD155" s="263">
        <v>0.65</v>
      </c>
      <c r="GE155" s="263">
        <v>0.36</v>
      </c>
      <c r="GF155" s="263">
        <v>0.42</v>
      </c>
      <c r="GG155" s="263">
        <v>0.4</v>
      </c>
      <c r="GH155" s="263">
        <v>0.55000000000000004</v>
      </c>
      <c r="GI155" s="263">
        <v>0.25</v>
      </c>
      <c r="GJ155" s="309">
        <v>56</v>
      </c>
      <c r="GK155" s="309" t="s">
        <v>758</v>
      </c>
      <c r="GL155" s="309">
        <v>9</v>
      </c>
      <c r="GM155" s="309" t="s">
        <v>758</v>
      </c>
      <c r="GN155" s="327">
        <v>0.11</v>
      </c>
      <c r="GO155" s="327">
        <v>0.3</v>
      </c>
      <c r="GP155" s="327">
        <v>0.56999999999999995</v>
      </c>
      <c r="GQ155" s="327">
        <v>0.02</v>
      </c>
      <c r="GR155" s="327">
        <v>0.38</v>
      </c>
      <c r="GS155" s="327">
        <v>0.41</v>
      </c>
      <c r="GT155" s="327">
        <v>0.56000000000000005</v>
      </c>
      <c r="GU155" s="327">
        <v>0.14000000000000001</v>
      </c>
      <c r="GV155" s="327">
        <v>0.46</v>
      </c>
      <c r="GW155" s="327">
        <v>0.26</v>
      </c>
      <c r="GX155" s="327">
        <v>0.36</v>
      </c>
      <c r="GY155" s="309" t="s">
        <v>173</v>
      </c>
      <c r="GZ155" s="327">
        <v>0.2</v>
      </c>
      <c r="HA155" s="327">
        <v>0.67</v>
      </c>
      <c r="HB155" s="327">
        <v>0.33</v>
      </c>
      <c r="HC155" s="327">
        <v>0.44</v>
      </c>
      <c r="HD155" s="327">
        <v>0.43</v>
      </c>
      <c r="HE155" s="327">
        <v>0.27</v>
      </c>
      <c r="HF155" s="327">
        <v>0.35</v>
      </c>
      <c r="HG155" s="327">
        <v>0.64</v>
      </c>
      <c r="HH155" s="327">
        <v>0.23</v>
      </c>
      <c r="HI155" s="327">
        <v>0.42</v>
      </c>
      <c r="HJ155" s="327">
        <v>0.49</v>
      </c>
      <c r="HK155" s="327">
        <v>0.48</v>
      </c>
      <c r="HL155" s="327">
        <v>0.23</v>
      </c>
      <c r="HM155" s="327">
        <v>0.4</v>
      </c>
      <c r="HN155" s="327">
        <v>0.39</v>
      </c>
      <c r="HO155" s="327">
        <v>0.22</v>
      </c>
      <c r="HP155" s="309" t="s">
        <v>173</v>
      </c>
      <c r="HQ155" s="327">
        <v>0.36</v>
      </c>
      <c r="HR155" s="424">
        <v>57</v>
      </c>
      <c r="HS155" s="424" t="s">
        <v>758</v>
      </c>
      <c r="HT155" s="424">
        <v>7</v>
      </c>
      <c r="HU155" s="424" t="s">
        <v>758</v>
      </c>
      <c r="HV155" s="428">
        <v>0.01</v>
      </c>
      <c r="HW155" s="428">
        <v>0.41</v>
      </c>
      <c r="HX155" s="428">
        <v>0.55000000000000004</v>
      </c>
      <c r="HY155" s="428">
        <v>0.03</v>
      </c>
      <c r="HZ155" s="428">
        <v>0.23</v>
      </c>
      <c r="IA155" s="428">
        <v>0.52</v>
      </c>
      <c r="IB155" s="428">
        <v>0.28999999999999998</v>
      </c>
      <c r="IC155" s="428">
        <v>0.41</v>
      </c>
      <c r="ID155" s="428">
        <v>0.59</v>
      </c>
      <c r="IE155" s="428">
        <v>0.18</v>
      </c>
      <c r="IF155" s="428">
        <v>0.28000000000000003</v>
      </c>
      <c r="IG155" s="428">
        <v>0.5</v>
      </c>
      <c r="IH155" s="428">
        <v>0.45</v>
      </c>
      <c r="II155" s="428">
        <v>0.18</v>
      </c>
      <c r="IJ155" s="428">
        <v>0.15</v>
      </c>
      <c r="IK155" s="428">
        <v>0.43</v>
      </c>
      <c r="IL155" s="428">
        <v>0.22</v>
      </c>
      <c r="IM155" s="428">
        <v>0.51</v>
      </c>
      <c r="IN155" s="428">
        <v>0.36</v>
      </c>
      <c r="IO155" s="428">
        <v>0.41</v>
      </c>
      <c r="IP155" s="428">
        <v>0.28999999999999998</v>
      </c>
      <c r="IQ155" s="428">
        <v>0.56000000000000005</v>
      </c>
      <c r="IR155" s="428">
        <v>0.46</v>
      </c>
      <c r="IS155" s="428">
        <v>0.41</v>
      </c>
      <c r="IT155" s="428">
        <v>0.27</v>
      </c>
      <c r="IU155" s="424" t="s">
        <v>173</v>
      </c>
      <c r="IV155" s="428">
        <v>0.44</v>
      </c>
      <c r="IW155" s="428">
        <v>0.34</v>
      </c>
      <c r="IX155" s="428">
        <v>0.36</v>
      </c>
      <c r="IY155" s="428">
        <v>0.37</v>
      </c>
      <c r="IZ155" s="464">
        <v>57</v>
      </c>
      <c r="JA155" s="464" t="s">
        <v>758</v>
      </c>
      <c r="JB155" s="464">
        <v>9</v>
      </c>
      <c r="JC155" s="464" t="s">
        <v>758</v>
      </c>
      <c r="JD155" s="476">
        <v>0</v>
      </c>
      <c r="JE155" s="476">
        <v>0.48</v>
      </c>
      <c r="JF155" s="476">
        <v>0.48</v>
      </c>
      <c r="JG155" s="476">
        <v>0.05</v>
      </c>
      <c r="JH155" s="476">
        <v>0.39</v>
      </c>
      <c r="JI155" s="476">
        <v>0.38</v>
      </c>
      <c r="JJ155" s="476">
        <v>0.28999999999999998</v>
      </c>
      <c r="JK155" s="476">
        <v>0.4</v>
      </c>
      <c r="JL155" s="476">
        <v>0.36</v>
      </c>
      <c r="JM155" s="476">
        <v>0.4</v>
      </c>
      <c r="JN155" s="476">
        <v>0.26</v>
      </c>
      <c r="JO155" s="476">
        <v>0.36</v>
      </c>
      <c r="JP155" s="476">
        <v>0.47</v>
      </c>
      <c r="JQ155" s="476">
        <v>0.13</v>
      </c>
      <c r="JR155" s="476">
        <v>0.42</v>
      </c>
      <c r="JS155" s="476">
        <v>0.4</v>
      </c>
      <c r="JT155" s="476">
        <v>0.37</v>
      </c>
      <c r="JU155" s="476">
        <v>0.33</v>
      </c>
      <c r="JV155" s="476">
        <v>0.4</v>
      </c>
      <c r="JW155" s="476">
        <v>0.43</v>
      </c>
      <c r="JX155" s="476">
        <v>0.36</v>
      </c>
      <c r="JY155" s="476">
        <v>0.48</v>
      </c>
      <c r="JZ155" s="476">
        <v>0.44</v>
      </c>
      <c r="KA155" s="476">
        <v>0.45</v>
      </c>
      <c r="KB155" s="476">
        <v>0.35</v>
      </c>
      <c r="KC155" s="476">
        <v>0.56000000000000005</v>
      </c>
      <c r="KD155" s="476">
        <v>0.3</v>
      </c>
      <c r="KE155" s="476">
        <v>0.38</v>
      </c>
      <c r="KF155" s="476">
        <v>0.41</v>
      </c>
      <c r="KG155" s="476">
        <v>0.42</v>
      </c>
      <c r="KH155" s="971">
        <v>56</v>
      </c>
      <c r="KI155" s="971" t="s">
        <v>758</v>
      </c>
      <c r="KJ155" s="971">
        <v>10</v>
      </c>
      <c r="KK155" s="971" t="s">
        <v>758</v>
      </c>
      <c r="KL155" s="949">
        <v>0.06</v>
      </c>
      <c r="KM155" s="949">
        <v>0.39</v>
      </c>
      <c r="KN155" s="949">
        <v>0.47</v>
      </c>
      <c r="KO155" s="949">
        <v>0.08</v>
      </c>
      <c r="KP155" s="949">
        <v>0.4</v>
      </c>
      <c r="KQ155" s="949">
        <v>0.2</v>
      </c>
      <c r="KR155" s="949">
        <v>0.55000000000000004</v>
      </c>
      <c r="KS155" s="949">
        <v>0.36</v>
      </c>
      <c r="KT155" s="949">
        <v>0.43</v>
      </c>
      <c r="KU155" s="949">
        <v>0.3</v>
      </c>
      <c r="KV155" s="949">
        <v>0.56000000000000005</v>
      </c>
      <c r="KW155" s="949">
        <v>0.27</v>
      </c>
      <c r="KX155" s="949">
        <v>0.28999999999999998</v>
      </c>
      <c r="KY155" s="949">
        <v>0.34</v>
      </c>
      <c r="KZ155" s="949">
        <v>0.28000000000000003</v>
      </c>
      <c r="LA155" s="949">
        <v>0.3</v>
      </c>
      <c r="LB155" s="949">
        <v>0.34</v>
      </c>
      <c r="LC155" s="949">
        <v>0.28999999999999998</v>
      </c>
      <c r="LD155" s="949">
        <v>0.49</v>
      </c>
      <c r="LE155" s="949">
        <v>0.41</v>
      </c>
      <c r="LF155" s="949">
        <v>0.21</v>
      </c>
      <c r="LG155" s="949">
        <v>0.26</v>
      </c>
      <c r="LH155" s="949">
        <v>0.47</v>
      </c>
      <c r="LI155" s="949">
        <v>0.44</v>
      </c>
      <c r="LJ155" s="949">
        <v>0.33</v>
      </c>
      <c r="LK155" s="949">
        <v>0.48</v>
      </c>
      <c r="LL155" s="949" t="s">
        <v>173</v>
      </c>
      <c r="LM155" s="949">
        <v>0.52</v>
      </c>
      <c r="LN155" s="949">
        <v>0.41</v>
      </c>
      <c r="LO155" s="949">
        <v>0.28999999999999998</v>
      </c>
      <c r="LP155" s="922">
        <v>325754005099</v>
      </c>
      <c r="LQ155" s="803" t="s">
        <v>108</v>
      </c>
      <c r="LR155" s="424">
        <v>57</v>
      </c>
      <c r="LS155" s="971">
        <v>56</v>
      </c>
      <c r="LT155" s="946"/>
    </row>
    <row r="156" spans="1:332" ht="24.95" customHeight="1" x14ac:dyDescent="0.2">
      <c r="A156" s="803" t="s">
        <v>92</v>
      </c>
      <c r="B156" s="1" t="s">
        <v>123</v>
      </c>
      <c r="C156" s="2">
        <v>1</v>
      </c>
      <c r="D156" s="12">
        <v>54</v>
      </c>
      <c r="E156" s="12">
        <v>8</v>
      </c>
      <c r="F156" s="66">
        <v>0.05</v>
      </c>
      <c r="G156" s="66">
        <v>0.53</v>
      </c>
      <c r="H156" s="66">
        <v>0.42</v>
      </c>
      <c r="I156" s="66">
        <v>0</v>
      </c>
      <c r="J156" s="66">
        <v>0.18</v>
      </c>
      <c r="K156" s="66">
        <v>0.26</v>
      </c>
      <c r="L156" s="66">
        <v>0.77</v>
      </c>
      <c r="M156" s="66">
        <v>0.24</v>
      </c>
      <c r="N156" s="66">
        <v>0.3</v>
      </c>
      <c r="O156" s="66">
        <v>0.66</v>
      </c>
      <c r="P156" s="66">
        <v>0.43</v>
      </c>
      <c r="Q156" s="66">
        <v>0.36</v>
      </c>
      <c r="R156" s="66">
        <v>0.51</v>
      </c>
      <c r="S156" s="66">
        <v>0.59</v>
      </c>
      <c r="T156" s="66">
        <v>0.54</v>
      </c>
      <c r="U156" s="66">
        <v>0.69</v>
      </c>
      <c r="V156" s="66">
        <v>0</v>
      </c>
      <c r="W156" s="66">
        <v>0.21</v>
      </c>
      <c r="X156" s="66">
        <v>0.53</v>
      </c>
      <c r="Y156" s="66">
        <v>0.47</v>
      </c>
      <c r="Z156" s="12" t="s">
        <v>173</v>
      </c>
      <c r="AA156" s="66">
        <v>0.08</v>
      </c>
      <c r="AB156" s="66">
        <v>0.38</v>
      </c>
      <c r="AC156" s="66">
        <v>0.23</v>
      </c>
      <c r="AD156" s="66">
        <v>0.47</v>
      </c>
      <c r="AE156" s="66">
        <v>0.42</v>
      </c>
      <c r="AF156" s="66">
        <v>0.51</v>
      </c>
      <c r="AG156" s="66">
        <v>0.56999999999999995</v>
      </c>
      <c r="AH156" s="12">
        <v>54</v>
      </c>
      <c r="AI156" s="12">
        <v>7</v>
      </c>
      <c r="AJ156" s="40">
        <v>0</v>
      </c>
      <c r="AK156" s="40">
        <v>0.57999999999999996</v>
      </c>
      <c r="AL156" s="40">
        <v>0.42</v>
      </c>
      <c r="AM156" s="40">
        <v>0</v>
      </c>
      <c r="AN156" s="40">
        <v>0.21</v>
      </c>
      <c r="AO156" s="40">
        <v>0.5</v>
      </c>
      <c r="AP156" s="40">
        <v>0.53</v>
      </c>
      <c r="AQ156" s="40">
        <v>0.41</v>
      </c>
      <c r="AR156" s="40">
        <v>0.51</v>
      </c>
      <c r="AS156" s="40">
        <v>0.52</v>
      </c>
      <c r="AT156" s="40">
        <v>0.44</v>
      </c>
      <c r="AU156" s="40">
        <v>0.48</v>
      </c>
      <c r="AV156" s="40">
        <v>0.61</v>
      </c>
      <c r="AW156" s="40">
        <v>0.53</v>
      </c>
      <c r="AX156" s="40">
        <v>0.53</v>
      </c>
      <c r="AY156" s="40">
        <v>0.24</v>
      </c>
      <c r="AZ156" s="40">
        <v>0.27</v>
      </c>
      <c r="BA156" s="40">
        <v>0.42</v>
      </c>
      <c r="BB156" s="40">
        <v>0.77</v>
      </c>
      <c r="BC156" s="40">
        <v>0.67</v>
      </c>
      <c r="BD156" s="40">
        <v>0.43</v>
      </c>
      <c r="BE156" s="40">
        <v>0.76</v>
      </c>
      <c r="BF156" s="40">
        <v>0.69</v>
      </c>
      <c r="BG156" s="40">
        <v>0.46</v>
      </c>
      <c r="BH156" s="40">
        <v>0.36</v>
      </c>
      <c r="BI156" s="40">
        <v>0.34</v>
      </c>
      <c r="BJ156" s="40">
        <v>0.27</v>
      </c>
      <c r="BK156" s="40">
        <v>0.39</v>
      </c>
      <c r="BL156" s="40">
        <v>0.41</v>
      </c>
      <c r="BM156" s="12">
        <v>51</v>
      </c>
      <c r="BN156" s="12">
        <v>7</v>
      </c>
      <c r="BO156" s="66">
        <v>0.05</v>
      </c>
      <c r="BP156" s="66">
        <v>0.55000000000000004</v>
      </c>
      <c r="BQ156" s="66">
        <v>0.4</v>
      </c>
      <c r="BR156" s="66">
        <v>0</v>
      </c>
      <c r="BS156" s="66">
        <v>0.38</v>
      </c>
      <c r="BT156" s="66">
        <v>0.63</v>
      </c>
      <c r="BU156" s="66">
        <v>0.67</v>
      </c>
      <c r="BV156" s="66">
        <v>0.2</v>
      </c>
      <c r="BW156" s="66">
        <v>0.57999999999999996</v>
      </c>
      <c r="BX156" s="66">
        <v>0.36</v>
      </c>
      <c r="BY156" s="66">
        <v>0.53</v>
      </c>
      <c r="BZ156" s="66">
        <v>0.44</v>
      </c>
      <c r="CA156" s="66">
        <v>0.56000000000000005</v>
      </c>
      <c r="CB156" s="66">
        <v>0.28999999999999998</v>
      </c>
      <c r="CC156" s="66">
        <v>0</v>
      </c>
      <c r="CD156" s="66">
        <v>0.38</v>
      </c>
      <c r="CE156" s="66">
        <v>0.39</v>
      </c>
      <c r="CF156" s="66">
        <v>0.7</v>
      </c>
      <c r="CG156" s="66">
        <v>0.67</v>
      </c>
      <c r="CH156" s="66">
        <v>0.44</v>
      </c>
      <c r="CI156" s="66">
        <v>0.66</v>
      </c>
      <c r="CJ156" s="66">
        <v>0.38</v>
      </c>
      <c r="CK156" s="66">
        <v>0.53</v>
      </c>
      <c r="CL156" s="66">
        <v>0.24</v>
      </c>
      <c r="CM156" s="66">
        <v>0.48</v>
      </c>
      <c r="CN156" s="66">
        <v>0.52</v>
      </c>
      <c r="CO156" s="66">
        <v>0.44</v>
      </c>
      <c r="CP156" s="66">
        <v>0.38</v>
      </c>
      <c r="CQ156" s="66">
        <v>0.59</v>
      </c>
      <c r="CR156" s="66">
        <v>0.53</v>
      </c>
      <c r="CS156" s="12">
        <v>50</v>
      </c>
      <c r="CT156" s="12">
        <v>9</v>
      </c>
      <c r="CU156" s="63">
        <v>0.16</v>
      </c>
      <c r="CV156" s="63">
        <v>0.56000000000000005</v>
      </c>
      <c r="CW156" s="63">
        <v>0.28000000000000003</v>
      </c>
      <c r="CX156" s="63">
        <v>0</v>
      </c>
      <c r="CY156" s="63">
        <v>0.42</v>
      </c>
      <c r="CZ156" s="63">
        <v>0.28999999999999998</v>
      </c>
      <c r="DA156" s="63">
        <v>0.55000000000000004</v>
      </c>
      <c r="DB156" s="63">
        <v>0.28999999999999998</v>
      </c>
      <c r="DC156" s="63">
        <v>0.38</v>
      </c>
      <c r="DD156" s="63">
        <v>0.62</v>
      </c>
      <c r="DE156" s="63">
        <v>0.44</v>
      </c>
      <c r="DF156" s="63">
        <v>0.5</v>
      </c>
      <c r="DG156" s="63">
        <v>0.41</v>
      </c>
      <c r="DH156" s="63">
        <v>0.4</v>
      </c>
      <c r="DI156" s="63">
        <v>0.5</v>
      </c>
      <c r="DJ156" s="63">
        <v>0.57999999999999996</v>
      </c>
      <c r="DK156" s="63">
        <v>0.33</v>
      </c>
      <c r="DL156" s="63">
        <v>0.08</v>
      </c>
      <c r="DM156" s="63">
        <v>0.59</v>
      </c>
      <c r="DN156" s="63">
        <v>0.56000000000000005</v>
      </c>
      <c r="DO156" s="63">
        <v>0.48</v>
      </c>
      <c r="DP156" s="63">
        <v>0.38</v>
      </c>
      <c r="DQ156" s="63">
        <v>0.61</v>
      </c>
      <c r="DR156" s="63">
        <v>0.2</v>
      </c>
      <c r="DS156" s="63">
        <v>0.4</v>
      </c>
      <c r="DT156" s="63">
        <v>0.44</v>
      </c>
      <c r="DU156" s="63">
        <v>0.5</v>
      </c>
      <c r="DV156" s="63">
        <v>0.6</v>
      </c>
      <c r="DW156" s="63">
        <v>0.38</v>
      </c>
      <c r="DX156" s="35">
        <v>48</v>
      </c>
      <c r="DY156" s="35">
        <v>8</v>
      </c>
      <c r="DZ156" s="40">
        <v>0.2</v>
      </c>
      <c r="EA156" s="40">
        <v>0.61</v>
      </c>
      <c r="EB156" s="40">
        <v>0.18</v>
      </c>
      <c r="EC156" s="40">
        <v>0</v>
      </c>
      <c r="ED156" s="40">
        <v>0.56000000000000005</v>
      </c>
      <c r="EE156" s="40">
        <v>0.51</v>
      </c>
      <c r="EF156" s="40">
        <v>0.52</v>
      </c>
      <c r="EG156" s="40">
        <v>0.5</v>
      </c>
      <c r="EH156" s="40">
        <v>0.48</v>
      </c>
      <c r="EI156" s="40">
        <v>0.63</v>
      </c>
      <c r="EJ156" s="40">
        <v>0.64</v>
      </c>
      <c r="EK156" s="40">
        <v>0.17</v>
      </c>
      <c r="EL156" s="40">
        <v>0.45</v>
      </c>
      <c r="EM156" s="40">
        <v>0.56000000000000005</v>
      </c>
      <c r="EN156" s="40">
        <v>0.46</v>
      </c>
      <c r="EO156" s="40">
        <v>0.57999999999999996</v>
      </c>
      <c r="EP156" s="40">
        <v>0.46</v>
      </c>
      <c r="EQ156" s="40">
        <v>0.27</v>
      </c>
      <c r="ER156" s="40">
        <v>0.61</v>
      </c>
      <c r="ES156" s="40">
        <v>0.52</v>
      </c>
      <c r="ET156" s="40">
        <v>0.32</v>
      </c>
      <c r="EU156" s="40">
        <v>0.73</v>
      </c>
      <c r="EV156" s="40">
        <v>0.43</v>
      </c>
      <c r="EW156" s="40">
        <v>0.34</v>
      </c>
      <c r="EX156" s="40">
        <v>0.75</v>
      </c>
      <c r="EY156" s="40">
        <v>0.71</v>
      </c>
      <c r="EZ156" s="40">
        <v>0.22</v>
      </c>
      <c r="FA156" s="40">
        <v>0.5</v>
      </c>
      <c r="FB156" s="246">
        <v>48</v>
      </c>
      <c r="FC156" s="246" t="s">
        <v>758</v>
      </c>
      <c r="FD156" s="246">
        <v>8</v>
      </c>
      <c r="FE156" s="246" t="s">
        <v>758</v>
      </c>
      <c r="FF156" s="263">
        <v>0.11</v>
      </c>
      <c r="FG156" s="263">
        <v>0.71</v>
      </c>
      <c r="FH156" s="263">
        <v>0.18</v>
      </c>
      <c r="FI156" s="263">
        <v>0</v>
      </c>
      <c r="FJ156" s="263">
        <v>0.53</v>
      </c>
      <c r="FK156" s="263">
        <v>0.68</v>
      </c>
      <c r="FL156" s="263">
        <v>0.49</v>
      </c>
      <c r="FM156" s="263">
        <v>0.43</v>
      </c>
      <c r="FN156" s="263">
        <v>0.24</v>
      </c>
      <c r="FO156" s="263">
        <v>0.38</v>
      </c>
      <c r="FP156" s="263">
        <v>0.39</v>
      </c>
      <c r="FQ156" s="263">
        <v>0.42</v>
      </c>
      <c r="FR156" s="263">
        <v>0.59</v>
      </c>
      <c r="FS156" s="263">
        <v>0.65</v>
      </c>
      <c r="FT156" s="263">
        <v>0.49</v>
      </c>
      <c r="FU156" s="263">
        <v>0.47</v>
      </c>
      <c r="FV156" s="263">
        <v>0.68</v>
      </c>
      <c r="FW156" s="263">
        <v>0.55000000000000004</v>
      </c>
      <c r="FX156" s="263">
        <v>0.57999999999999996</v>
      </c>
      <c r="FY156" s="263">
        <v>0.42</v>
      </c>
      <c r="FZ156" s="263">
        <v>0.44</v>
      </c>
      <c r="GA156" s="263">
        <v>0.54</v>
      </c>
      <c r="GB156" s="263">
        <v>0.6</v>
      </c>
      <c r="GC156" s="263">
        <v>0.48</v>
      </c>
      <c r="GD156" s="263">
        <v>0.66</v>
      </c>
      <c r="GE156" s="263">
        <v>0.63</v>
      </c>
      <c r="GF156" s="263">
        <v>0.52</v>
      </c>
      <c r="GG156" s="263">
        <v>0.43</v>
      </c>
      <c r="GH156" s="263">
        <v>0.56000000000000005</v>
      </c>
      <c r="GI156" s="263">
        <v>0.38</v>
      </c>
      <c r="GJ156" s="309">
        <v>50</v>
      </c>
      <c r="GK156" s="309" t="s">
        <v>758</v>
      </c>
      <c r="GL156" s="309">
        <v>9</v>
      </c>
      <c r="GM156" s="309" t="s">
        <v>758</v>
      </c>
      <c r="GN156" s="327">
        <v>0.19</v>
      </c>
      <c r="GO156" s="327">
        <v>0.56000000000000005</v>
      </c>
      <c r="GP156" s="327">
        <v>0.23</v>
      </c>
      <c r="GQ156" s="327">
        <v>0.02</v>
      </c>
      <c r="GR156" s="327">
        <v>0.55000000000000004</v>
      </c>
      <c r="GS156" s="327">
        <v>0.54</v>
      </c>
      <c r="GT156" s="327">
        <v>0.56000000000000005</v>
      </c>
      <c r="GU156" s="327">
        <v>0.24</v>
      </c>
      <c r="GV156" s="327">
        <v>0.55000000000000004</v>
      </c>
      <c r="GW156" s="327">
        <v>0.6</v>
      </c>
      <c r="GX156" s="327">
        <v>0.5</v>
      </c>
      <c r="GY156" s="309" t="s">
        <v>173</v>
      </c>
      <c r="GZ156" s="327">
        <v>0.34</v>
      </c>
      <c r="HA156" s="327">
        <v>0.72</v>
      </c>
      <c r="HB156" s="327">
        <v>0.43</v>
      </c>
      <c r="HC156" s="327">
        <v>0.51</v>
      </c>
      <c r="HD156" s="327">
        <v>0.64</v>
      </c>
      <c r="HE156" s="327">
        <v>0.41</v>
      </c>
      <c r="HF156" s="327">
        <v>0.53</v>
      </c>
      <c r="HG156" s="327">
        <v>0.64</v>
      </c>
      <c r="HH156" s="327">
        <v>0.43</v>
      </c>
      <c r="HI156" s="327">
        <v>0.4</v>
      </c>
      <c r="HJ156" s="327">
        <v>0.65</v>
      </c>
      <c r="HK156" s="327">
        <v>0.51</v>
      </c>
      <c r="HL156" s="327">
        <v>0.41</v>
      </c>
      <c r="HM156" s="327">
        <v>0.56000000000000005</v>
      </c>
      <c r="HN156" s="327">
        <v>0.56000000000000005</v>
      </c>
      <c r="HO156" s="327">
        <v>0.46</v>
      </c>
      <c r="HP156" s="309" t="s">
        <v>173</v>
      </c>
      <c r="HQ156" s="327">
        <v>0.43</v>
      </c>
      <c r="HR156" s="424">
        <v>51</v>
      </c>
      <c r="HS156" s="424" t="s">
        <v>758</v>
      </c>
      <c r="HT156" s="424">
        <v>8</v>
      </c>
      <c r="HU156" s="424" t="s">
        <v>758</v>
      </c>
      <c r="HV156" s="428">
        <v>0.15</v>
      </c>
      <c r="HW156" s="428">
        <v>0.56000000000000005</v>
      </c>
      <c r="HX156" s="428">
        <v>0.28999999999999998</v>
      </c>
      <c r="HY156" s="428">
        <v>0</v>
      </c>
      <c r="HZ156" s="428">
        <v>0.37</v>
      </c>
      <c r="IA156" s="428">
        <v>0.54</v>
      </c>
      <c r="IB156" s="428">
        <v>0.31</v>
      </c>
      <c r="IC156" s="428">
        <v>0.53</v>
      </c>
      <c r="ID156" s="428">
        <v>0.56000000000000005</v>
      </c>
      <c r="IE156" s="428">
        <v>0.45</v>
      </c>
      <c r="IF156" s="428">
        <v>0.37</v>
      </c>
      <c r="IG156" s="428">
        <v>0.49</v>
      </c>
      <c r="IH156" s="428">
        <v>0.43</v>
      </c>
      <c r="II156" s="428">
        <v>0.27</v>
      </c>
      <c r="IJ156" s="428">
        <v>0.26</v>
      </c>
      <c r="IK156" s="428">
        <v>0.65</v>
      </c>
      <c r="IL156" s="428">
        <v>0.35</v>
      </c>
      <c r="IM156" s="428">
        <v>0.64</v>
      </c>
      <c r="IN156" s="428">
        <v>0.41</v>
      </c>
      <c r="IO156" s="428">
        <v>0.5</v>
      </c>
      <c r="IP156" s="428">
        <v>0.43</v>
      </c>
      <c r="IQ156" s="428">
        <v>0.65</v>
      </c>
      <c r="IR156" s="428">
        <v>0.53</v>
      </c>
      <c r="IS156" s="428">
        <v>0.62</v>
      </c>
      <c r="IT156" s="428">
        <v>0.46</v>
      </c>
      <c r="IU156" s="424" t="s">
        <v>173</v>
      </c>
      <c r="IV156" s="428">
        <v>0.7</v>
      </c>
      <c r="IW156" s="428">
        <v>0.51</v>
      </c>
      <c r="IX156" s="428">
        <v>0.47</v>
      </c>
      <c r="IY156" s="428">
        <v>0.54</v>
      </c>
      <c r="IZ156" s="464">
        <v>50</v>
      </c>
      <c r="JA156" s="464" t="s">
        <v>758</v>
      </c>
      <c r="JB156" s="464">
        <v>8</v>
      </c>
      <c r="JC156" s="464" t="s">
        <v>758</v>
      </c>
      <c r="JD156" s="476">
        <v>0.12</v>
      </c>
      <c r="JE156" s="476">
        <v>0.61</v>
      </c>
      <c r="JF156" s="476">
        <v>0.27</v>
      </c>
      <c r="JG156" s="476">
        <v>0</v>
      </c>
      <c r="JH156" s="476">
        <v>0.42</v>
      </c>
      <c r="JI156" s="476">
        <v>0.43</v>
      </c>
      <c r="JJ156" s="476">
        <v>0.42</v>
      </c>
      <c r="JK156" s="476">
        <v>0.51</v>
      </c>
      <c r="JL156" s="476">
        <v>0.44</v>
      </c>
      <c r="JM156" s="476">
        <v>0.53</v>
      </c>
      <c r="JN156" s="476">
        <v>0.42</v>
      </c>
      <c r="JO156" s="476">
        <v>0.52</v>
      </c>
      <c r="JP156" s="476">
        <v>0.6</v>
      </c>
      <c r="JQ156" s="476">
        <v>0.28000000000000003</v>
      </c>
      <c r="JR156" s="476">
        <v>0.67</v>
      </c>
      <c r="JS156" s="476">
        <v>0.66</v>
      </c>
      <c r="JT156" s="476">
        <v>0.45</v>
      </c>
      <c r="JU156" s="476">
        <v>0.48</v>
      </c>
      <c r="JV156" s="476">
        <v>0.5</v>
      </c>
      <c r="JW156" s="476">
        <v>0.6</v>
      </c>
      <c r="JX156" s="476">
        <v>0.47</v>
      </c>
      <c r="JY156" s="476">
        <v>0.56000000000000005</v>
      </c>
      <c r="JZ156" s="476">
        <v>0.54</v>
      </c>
      <c r="KA156" s="476">
        <v>0.64</v>
      </c>
      <c r="KB156" s="476">
        <v>0.48</v>
      </c>
      <c r="KC156" s="476">
        <v>0.63</v>
      </c>
      <c r="KD156" s="476">
        <v>0.3</v>
      </c>
      <c r="KE156" s="476">
        <v>0.53</v>
      </c>
      <c r="KF156" s="476">
        <v>0.45</v>
      </c>
      <c r="KG156" s="476">
        <v>0.52</v>
      </c>
      <c r="KH156" s="971">
        <v>53</v>
      </c>
      <c r="KI156" s="971" t="s">
        <v>758</v>
      </c>
      <c r="KJ156" s="971">
        <v>9</v>
      </c>
      <c r="KK156" s="971" t="s">
        <v>758</v>
      </c>
      <c r="KL156" s="949">
        <v>0.11</v>
      </c>
      <c r="KM156" s="949">
        <v>0.52</v>
      </c>
      <c r="KN156" s="949">
        <v>0.36</v>
      </c>
      <c r="KO156" s="949">
        <v>0.01</v>
      </c>
      <c r="KP156" s="949">
        <v>0.42</v>
      </c>
      <c r="KQ156" s="949">
        <v>0.33</v>
      </c>
      <c r="KR156" s="949">
        <v>0.55000000000000004</v>
      </c>
      <c r="KS156" s="949">
        <v>0.46</v>
      </c>
      <c r="KT156" s="949">
        <v>0.6</v>
      </c>
      <c r="KU156" s="949">
        <v>0.2</v>
      </c>
      <c r="KV156" s="949">
        <v>0.56999999999999995</v>
      </c>
      <c r="KW156" s="949">
        <v>0.28999999999999998</v>
      </c>
      <c r="KX156" s="949">
        <v>0.34</v>
      </c>
      <c r="KY156" s="949">
        <v>0.46</v>
      </c>
      <c r="KZ156" s="949">
        <v>0.38</v>
      </c>
      <c r="LA156" s="949">
        <v>0.33</v>
      </c>
      <c r="LB156" s="949">
        <v>0.39</v>
      </c>
      <c r="LC156" s="949">
        <v>0.38</v>
      </c>
      <c r="LD156" s="949">
        <v>0.56999999999999995</v>
      </c>
      <c r="LE156" s="949">
        <v>0.5</v>
      </c>
      <c r="LF156" s="949">
        <v>0.31</v>
      </c>
      <c r="LG156" s="949">
        <v>0.4</v>
      </c>
      <c r="LH156" s="949">
        <v>0.54</v>
      </c>
      <c r="LI156" s="949">
        <v>0.44</v>
      </c>
      <c r="LJ156" s="949">
        <v>0.45</v>
      </c>
      <c r="LK156" s="949">
        <v>0.56000000000000005</v>
      </c>
      <c r="LL156" s="949" t="s">
        <v>173</v>
      </c>
      <c r="LM156" s="949">
        <v>0.65</v>
      </c>
      <c r="LN156" s="949">
        <v>0.74</v>
      </c>
      <c r="LO156" s="949">
        <v>0.37</v>
      </c>
      <c r="LP156" s="922">
        <v>325754001905</v>
      </c>
      <c r="LQ156" s="803" t="s">
        <v>92</v>
      </c>
      <c r="LR156" s="424">
        <v>51</v>
      </c>
      <c r="LS156" s="971">
        <v>53</v>
      </c>
      <c r="LT156" s="946"/>
    </row>
    <row r="157" spans="1:332" ht="24.95" customHeight="1" x14ac:dyDescent="0.2">
      <c r="A157" s="803" t="s">
        <v>130</v>
      </c>
      <c r="B157" s="1" t="s">
        <v>123</v>
      </c>
      <c r="C157" s="2">
        <v>6</v>
      </c>
      <c r="D157" s="12"/>
      <c r="E157" s="12"/>
      <c r="F157" s="12"/>
      <c r="G157" s="12"/>
      <c r="H157" s="12"/>
      <c r="I157" s="12"/>
      <c r="J157" s="12"/>
      <c r="K157" s="12"/>
      <c r="L157" s="12"/>
      <c r="M157" s="12"/>
      <c r="N157" s="12"/>
      <c r="O157" s="12"/>
      <c r="P157" s="12"/>
      <c r="Q157" s="12"/>
      <c r="R157" s="12"/>
      <c r="S157" s="12"/>
      <c r="T157" s="12"/>
      <c r="U157" s="12"/>
      <c r="V157" s="12"/>
      <c r="W157" s="12"/>
      <c r="X157" s="12"/>
      <c r="Y157" s="12"/>
      <c r="Z157" s="12"/>
      <c r="AA157" s="12"/>
      <c r="AB157" s="12"/>
      <c r="AC157" s="12"/>
      <c r="AD157" s="12"/>
      <c r="AE157" s="12"/>
      <c r="AF157" s="12"/>
      <c r="AG157" s="12"/>
      <c r="AH157" s="12">
        <v>51</v>
      </c>
      <c r="AI157" s="12">
        <v>13</v>
      </c>
      <c r="AJ157" s="40">
        <v>0.33</v>
      </c>
      <c r="AK157" s="40">
        <v>0.33</v>
      </c>
      <c r="AL157" s="40">
        <v>0.33</v>
      </c>
      <c r="AM157" s="40">
        <v>0</v>
      </c>
      <c r="AN157" s="40">
        <v>0.25</v>
      </c>
      <c r="AO157" s="40">
        <v>0.57999999999999996</v>
      </c>
      <c r="AP157" s="40">
        <v>0.25</v>
      </c>
      <c r="AQ157" s="40">
        <v>0.42</v>
      </c>
      <c r="AR157" s="40">
        <v>0.4</v>
      </c>
      <c r="AS157" s="40">
        <v>0.47</v>
      </c>
      <c r="AT157" s="40">
        <v>0.62</v>
      </c>
      <c r="AU157" s="40">
        <v>0.82</v>
      </c>
      <c r="AV157" s="40">
        <v>0.77</v>
      </c>
      <c r="AW157" s="40">
        <v>0.67</v>
      </c>
      <c r="AX157" s="40">
        <v>0.5</v>
      </c>
      <c r="AY157" s="40">
        <v>0.42</v>
      </c>
      <c r="AZ157" s="40">
        <v>0.63</v>
      </c>
      <c r="BA157" s="40">
        <v>0.45</v>
      </c>
      <c r="BB157" s="40">
        <v>0.62</v>
      </c>
      <c r="BC157" s="40">
        <v>0.73</v>
      </c>
      <c r="BD157" s="40">
        <v>0.44</v>
      </c>
      <c r="BE157" s="40">
        <v>0.6</v>
      </c>
      <c r="BF157" s="40">
        <v>1</v>
      </c>
      <c r="BG157" s="40">
        <v>0.6</v>
      </c>
      <c r="BH157" s="40">
        <v>0.46</v>
      </c>
      <c r="BI157" s="40">
        <v>0.38</v>
      </c>
      <c r="BJ157" s="40">
        <v>0.31</v>
      </c>
      <c r="BK157" s="40">
        <v>0.43</v>
      </c>
      <c r="BL157" s="40">
        <v>0.67</v>
      </c>
      <c r="BM157" s="12">
        <v>45</v>
      </c>
      <c r="BN157" s="12">
        <v>11</v>
      </c>
      <c r="BO157" s="66">
        <v>0.25</v>
      </c>
      <c r="BP157" s="66">
        <v>0.75</v>
      </c>
      <c r="BQ157" s="66">
        <v>0</v>
      </c>
      <c r="BR157" s="66">
        <v>0</v>
      </c>
      <c r="BS157" s="66">
        <v>0.33</v>
      </c>
      <c r="BT157" s="66">
        <v>0.5</v>
      </c>
      <c r="BU157" s="66">
        <v>0.75</v>
      </c>
      <c r="BV157" s="66">
        <v>0</v>
      </c>
      <c r="BW157" s="66">
        <v>0.4</v>
      </c>
      <c r="BX157" s="66">
        <v>0.43</v>
      </c>
      <c r="BY157" s="66">
        <v>0.5</v>
      </c>
      <c r="BZ157" s="66">
        <v>0.6</v>
      </c>
      <c r="CA157" s="66">
        <v>0.8</v>
      </c>
      <c r="CB157" s="66">
        <v>0.28999999999999998</v>
      </c>
      <c r="CC157" s="66">
        <v>0.44</v>
      </c>
      <c r="CD157" s="66">
        <v>0.73</v>
      </c>
      <c r="CE157" s="66">
        <v>0.33</v>
      </c>
      <c r="CF157" s="66">
        <v>0.56999999999999995</v>
      </c>
      <c r="CG157" s="66">
        <v>0.86</v>
      </c>
      <c r="CH157" s="66">
        <v>0.4</v>
      </c>
      <c r="CI157" s="66">
        <v>0.82</v>
      </c>
      <c r="CJ157" s="66">
        <v>0.67</v>
      </c>
      <c r="CK157" s="66">
        <v>0.64</v>
      </c>
      <c r="CL157" s="66">
        <v>0.71</v>
      </c>
      <c r="CM157" s="66">
        <v>0.56999999999999995</v>
      </c>
      <c r="CN157" s="66">
        <v>0.73</v>
      </c>
      <c r="CO157" s="66">
        <v>0.5</v>
      </c>
      <c r="CP157" s="66">
        <v>0.33</v>
      </c>
      <c r="CQ157" s="66">
        <v>0.64</v>
      </c>
      <c r="CR157" s="66">
        <v>0.83</v>
      </c>
      <c r="CS157" s="12">
        <v>45</v>
      </c>
      <c r="CT157" s="12">
        <v>1</v>
      </c>
      <c r="CU157" s="63">
        <v>0</v>
      </c>
      <c r="CV157" s="63">
        <v>1</v>
      </c>
      <c r="CW157" s="63">
        <v>0</v>
      </c>
      <c r="CX157" s="63">
        <v>0</v>
      </c>
      <c r="CY157" s="63">
        <v>0.5</v>
      </c>
      <c r="CZ157" s="63">
        <v>0.5</v>
      </c>
      <c r="DA157" s="63">
        <v>1</v>
      </c>
      <c r="DB157" s="63">
        <v>0.75</v>
      </c>
      <c r="DC157" s="63">
        <v>0.8</v>
      </c>
      <c r="DD157" s="63">
        <v>0.33</v>
      </c>
      <c r="DE157" s="63">
        <v>0.67</v>
      </c>
      <c r="DF157" s="63">
        <v>0.71</v>
      </c>
      <c r="DG157" s="63">
        <v>0</v>
      </c>
      <c r="DH157" s="63">
        <v>0.67</v>
      </c>
      <c r="DI157" s="63">
        <v>0.67</v>
      </c>
      <c r="DJ157" s="63">
        <v>0.75</v>
      </c>
      <c r="DK157" s="63">
        <v>0.5</v>
      </c>
      <c r="DL157" s="63">
        <v>1</v>
      </c>
      <c r="DM157" s="63">
        <v>0.67</v>
      </c>
      <c r="DN157" s="63">
        <v>0.75</v>
      </c>
      <c r="DO157" s="63">
        <v>0.5</v>
      </c>
      <c r="DP157" s="63">
        <v>0.5</v>
      </c>
      <c r="DQ157" s="63">
        <v>0.44</v>
      </c>
      <c r="DR157" s="63">
        <v>0</v>
      </c>
      <c r="DS157" s="63">
        <v>0.25</v>
      </c>
      <c r="DT157" s="63">
        <v>0.75</v>
      </c>
      <c r="DU157" s="63">
        <v>0</v>
      </c>
      <c r="DV157" s="63">
        <v>1</v>
      </c>
      <c r="DW157" s="63">
        <v>0</v>
      </c>
      <c r="DX157" s="35">
        <v>36</v>
      </c>
      <c r="DY157" s="35">
        <v>7</v>
      </c>
      <c r="DZ157" s="40">
        <v>0.5</v>
      </c>
      <c r="EA157" s="40">
        <v>0.5</v>
      </c>
      <c r="EB157" s="40">
        <v>0</v>
      </c>
      <c r="EC157" s="40">
        <v>0</v>
      </c>
      <c r="ED157" s="40">
        <v>0.75</v>
      </c>
      <c r="EE157" s="40">
        <v>0.4</v>
      </c>
      <c r="EF157" s="40">
        <v>0.75</v>
      </c>
      <c r="EG157" s="40">
        <v>1</v>
      </c>
      <c r="EH157" s="40">
        <v>0.67</v>
      </c>
      <c r="EI157" s="40">
        <v>1</v>
      </c>
      <c r="EJ157" s="40">
        <v>0.5</v>
      </c>
      <c r="EK157" s="40">
        <v>0.5</v>
      </c>
      <c r="EL157" s="40">
        <v>0.75</v>
      </c>
      <c r="EM157" s="40">
        <v>1</v>
      </c>
      <c r="EN157" s="40">
        <v>0.67</v>
      </c>
      <c r="EO157" s="40">
        <v>0.4</v>
      </c>
      <c r="EP157" s="40">
        <v>1</v>
      </c>
      <c r="EQ157" s="40">
        <v>1</v>
      </c>
      <c r="ER157" s="40">
        <v>1</v>
      </c>
      <c r="ES157" s="40">
        <v>0.8</v>
      </c>
      <c r="ET157" s="40">
        <v>0.67</v>
      </c>
      <c r="EU157" s="40">
        <v>0.5</v>
      </c>
      <c r="EV157" s="40">
        <v>0</v>
      </c>
      <c r="EW157" s="40">
        <v>0.67</v>
      </c>
      <c r="EX157" s="35" t="s">
        <v>173</v>
      </c>
      <c r="EY157" s="40">
        <v>1</v>
      </c>
      <c r="EZ157" s="40">
        <v>0</v>
      </c>
      <c r="FA157" s="40">
        <v>1</v>
      </c>
      <c r="FB157" s="646"/>
      <c r="FC157" s="646"/>
      <c r="FD157" s="646"/>
      <c r="FE157" s="646"/>
      <c r="FF157" s="646"/>
      <c r="FG157" s="646"/>
      <c r="FH157" s="646"/>
      <c r="FI157" s="646"/>
      <c r="FJ157" s="646"/>
      <c r="FK157" s="646"/>
      <c r="FL157" s="646"/>
      <c r="FM157" s="646"/>
      <c r="FN157" s="646"/>
      <c r="FO157" s="646"/>
      <c r="FP157" s="646"/>
      <c r="FQ157" s="646"/>
      <c r="FR157" s="646"/>
      <c r="FS157" s="646"/>
      <c r="FT157" s="646"/>
      <c r="FU157" s="646"/>
      <c r="FV157" s="646"/>
      <c r="FW157" s="646"/>
      <c r="FX157" s="646"/>
      <c r="FY157" s="646"/>
      <c r="FZ157" s="646"/>
      <c r="GA157" s="646"/>
      <c r="GB157" s="646"/>
      <c r="GC157" s="646"/>
      <c r="GD157" s="646"/>
      <c r="GE157" s="646"/>
      <c r="GF157" s="646"/>
      <c r="GG157" s="646"/>
      <c r="GH157" s="646"/>
      <c r="GI157" s="646"/>
      <c r="GJ157" s="649"/>
      <c r="GK157" s="649"/>
      <c r="GL157" s="649"/>
      <c r="GM157" s="649"/>
      <c r="GN157" s="649"/>
      <c r="GO157" s="649"/>
      <c r="GP157" s="649"/>
      <c r="GQ157" s="649"/>
      <c r="GR157" s="649"/>
      <c r="GS157" s="649"/>
      <c r="GT157" s="649"/>
      <c r="GU157" s="649"/>
      <c r="GV157" s="649"/>
      <c r="GW157" s="649"/>
      <c r="GX157" s="649"/>
      <c r="GY157" s="649"/>
      <c r="GZ157" s="649"/>
      <c r="HA157" s="649"/>
      <c r="HB157" s="649"/>
      <c r="HC157" s="649"/>
      <c r="HD157" s="649"/>
      <c r="HE157" s="649"/>
      <c r="HF157" s="649"/>
      <c r="HG157" s="649"/>
      <c r="HH157" s="649"/>
      <c r="HI157" s="649"/>
      <c r="HJ157" s="649"/>
      <c r="HK157" s="649"/>
      <c r="HL157" s="649"/>
      <c r="HM157" s="649"/>
      <c r="HN157" s="649"/>
      <c r="HO157" s="649"/>
      <c r="HP157" s="649"/>
      <c r="HQ157" s="649"/>
      <c r="HR157" s="651"/>
      <c r="HS157" s="651"/>
      <c r="HT157" s="651"/>
      <c r="HU157" s="651"/>
      <c r="HV157" s="651"/>
      <c r="HW157" s="651"/>
      <c r="HX157" s="651"/>
      <c r="HY157" s="651"/>
      <c r="HZ157" s="651"/>
      <c r="IA157" s="651"/>
      <c r="IB157" s="651"/>
      <c r="IC157" s="651"/>
      <c r="ID157" s="651"/>
      <c r="IE157" s="651"/>
      <c r="IF157" s="651"/>
      <c r="IG157" s="651"/>
      <c r="IH157" s="651"/>
      <c r="II157" s="651"/>
      <c r="IJ157" s="651"/>
      <c r="IK157" s="651"/>
      <c r="IL157" s="651"/>
      <c r="IM157" s="651"/>
      <c r="IN157" s="651"/>
      <c r="IO157" s="651"/>
      <c r="IP157" s="651"/>
      <c r="IQ157" s="651"/>
      <c r="IR157" s="651"/>
      <c r="IS157" s="651"/>
      <c r="IT157" s="651"/>
      <c r="IU157" s="651"/>
      <c r="IV157" s="651"/>
      <c r="IW157" s="651"/>
      <c r="IX157" s="651"/>
      <c r="IY157" s="651"/>
      <c r="IZ157" s="650"/>
      <c r="JA157" s="650"/>
      <c r="JB157" s="650"/>
      <c r="JC157" s="650"/>
      <c r="JD157" s="650"/>
      <c r="JE157" s="650"/>
      <c r="JF157" s="650"/>
      <c r="JG157" s="650"/>
      <c r="JH157" s="650"/>
      <c r="JI157" s="650"/>
      <c r="JJ157" s="650"/>
      <c r="JK157" s="650"/>
      <c r="JL157" s="650"/>
      <c r="JM157" s="650"/>
      <c r="JN157" s="650"/>
      <c r="JO157" s="650"/>
      <c r="JP157" s="650"/>
      <c r="JQ157" s="650"/>
      <c r="JR157" s="650"/>
      <c r="JS157" s="650"/>
      <c r="JT157" s="650"/>
      <c r="JU157" s="650"/>
      <c r="JV157" s="650"/>
      <c r="JW157" s="650"/>
      <c r="JX157" s="650"/>
      <c r="JY157" s="650"/>
      <c r="JZ157" s="650"/>
      <c r="KA157" s="650"/>
      <c r="KB157" s="650"/>
      <c r="KC157" s="650"/>
      <c r="KD157" s="650"/>
      <c r="KE157" s="650"/>
      <c r="KF157" s="650"/>
      <c r="KG157" s="650"/>
      <c r="KH157" s="971"/>
      <c r="KI157" s="971"/>
      <c r="KJ157" s="971"/>
      <c r="KK157" s="971"/>
      <c r="KL157" s="949"/>
      <c r="KM157" s="949"/>
      <c r="KN157" s="949"/>
      <c r="KO157" s="949"/>
      <c r="KP157" s="949"/>
      <c r="KQ157" s="949"/>
      <c r="KR157" s="949"/>
      <c r="KS157" s="949"/>
      <c r="KT157" s="949"/>
      <c r="KU157" s="949"/>
      <c r="KV157" s="949"/>
      <c r="KW157" s="949"/>
      <c r="KX157" s="949"/>
      <c r="KY157" s="949"/>
      <c r="KZ157" s="949"/>
      <c r="LA157" s="949"/>
      <c r="LB157" s="949"/>
      <c r="LC157" s="949"/>
      <c r="LD157" s="949"/>
      <c r="LE157" s="949"/>
      <c r="LF157" s="949"/>
      <c r="LG157" s="949"/>
      <c r="LH157" s="949"/>
      <c r="LI157" s="949"/>
      <c r="LJ157" s="949"/>
      <c r="LK157" s="949"/>
      <c r="LL157" s="949"/>
      <c r="LM157" s="949"/>
      <c r="LN157" s="949"/>
      <c r="LO157" s="949"/>
      <c r="LP157" s="922"/>
      <c r="LQ157" s="803" t="s">
        <v>130</v>
      </c>
      <c r="LR157" s="651"/>
      <c r="LS157" s="971"/>
      <c r="LT157" s="946"/>
    </row>
    <row r="158" spans="1:332" ht="24.95" customHeight="1" x14ac:dyDescent="0.2">
      <c r="A158" s="803" t="s">
        <v>115</v>
      </c>
      <c r="B158" s="1" t="s">
        <v>123</v>
      </c>
      <c r="C158" s="2">
        <v>3</v>
      </c>
      <c r="D158" s="12">
        <v>55</v>
      </c>
      <c r="E158" s="12">
        <v>9</v>
      </c>
      <c r="F158" s="66">
        <v>0.06</v>
      </c>
      <c r="G158" s="66">
        <v>0.5</v>
      </c>
      <c r="H158" s="66">
        <v>0.44</v>
      </c>
      <c r="I158" s="66">
        <v>0</v>
      </c>
      <c r="J158" s="66">
        <v>0.31</v>
      </c>
      <c r="K158" s="66">
        <v>0.5</v>
      </c>
      <c r="L158" s="66">
        <v>0.78</v>
      </c>
      <c r="M158" s="66">
        <v>0.23</v>
      </c>
      <c r="N158" s="66">
        <v>0.24</v>
      </c>
      <c r="O158" s="66">
        <v>0.59</v>
      </c>
      <c r="P158" s="66">
        <v>0.34</v>
      </c>
      <c r="Q158" s="66">
        <v>0.41</v>
      </c>
      <c r="R158" s="66">
        <v>0.49</v>
      </c>
      <c r="S158" s="66">
        <v>0.7</v>
      </c>
      <c r="T158" s="66">
        <v>0.5</v>
      </c>
      <c r="U158" s="66">
        <v>0.56000000000000005</v>
      </c>
      <c r="V158" s="66">
        <v>0.05</v>
      </c>
      <c r="W158" s="66">
        <v>0.17</v>
      </c>
      <c r="X158" s="66">
        <v>0.53</v>
      </c>
      <c r="Y158" s="66">
        <v>0.36</v>
      </c>
      <c r="Z158" s="12" t="s">
        <v>173</v>
      </c>
      <c r="AA158" s="66">
        <v>0</v>
      </c>
      <c r="AB158" s="66">
        <v>0.45</v>
      </c>
      <c r="AC158" s="66">
        <v>0.28999999999999998</v>
      </c>
      <c r="AD158" s="66">
        <v>0.43</v>
      </c>
      <c r="AE158" s="66">
        <v>0.54</v>
      </c>
      <c r="AF158" s="66">
        <v>0.41</v>
      </c>
      <c r="AG158" s="66">
        <v>0.51</v>
      </c>
      <c r="AH158" s="12">
        <v>49</v>
      </c>
      <c r="AI158" s="12">
        <v>6</v>
      </c>
      <c r="AJ158" s="40">
        <v>7.0000000000000007E-2</v>
      </c>
      <c r="AK158" s="40">
        <v>0.87</v>
      </c>
      <c r="AL158" s="40">
        <v>7.0000000000000007E-2</v>
      </c>
      <c r="AM158" s="40">
        <v>0</v>
      </c>
      <c r="AN158" s="40">
        <v>0.28999999999999998</v>
      </c>
      <c r="AO158" s="40">
        <v>0.55000000000000004</v>
      </c>
      <c r="AP158" s="40">
        <v>0.69</v>
      </c>
      <c r="AQ158" s="40">
        <v>0.38</v>
      </c>
      <c r="AR158" s="40">
        <v>0.71</v>
      </c>
      <c r="AS158" s="40">
        <v>0.55000000000000004</v>
      </c>
      <c r="AT158" s="40">
        <v>0.62</v>
      </c>
      <c r="AU158" s="40">
        <v>0.61</v>
      </c>
      <c r="AV158" s="40">
        <v>0.69</v>
      </c>
      <c r="AW158" s="40">
        <v>1</v>
      </c>
      <c r="AX158" s="40">
        <v>0.69</v>
      </c>
      <c r="AY158" s="40">
        <v>0.36</v>
      </c>
      <c r="AZ158" s="40">
        <v>0.26</v>
      </c>
      <c r="BA158" s="40">
        <v>0.46</v>
      </c>
      <c r="BB158" s="40">
        <v>0.68</v>
      </c>
      <c r="BC158" s="40">
        <v>0.67</v>
      </c>
      <c r="BD158" s="40">
        <v>0.45</v>
      </c>
      <c r="BE158" s="40">
        <v>0.67</v>
      </c>
      <c r="BF158" s="40">
        <v>1</v>
      </c>
      <c r="BG158" s="40">
        <v>0.54</v>
      </c>
      <c r="BH158" s="40">
        <v>0.55000000000000004</v>
      </c>
      <c r="BI158" s="40">
        <v>0.35</v>
      </c>
      <c r="BJ158" s="40">
        <v>0.36</v>
      </c>
      <c r="BK158" s="40">
        <v>0.6</v>
      </c>
      <c r="BL158" s="40">
        <v>0.63</v>
      </c>
      <c r="BM158" s="12">
        <v>50</v>
      </c>
      <c r="BN158" s="12">
        <v>9</v>
      </c>
      <c r="BO158" s="66">
        <v>0.13</v>
      </c>
      <c r="BP158" s="66">
        <v>0.56000000000000005</v>
      </c>
      <c r="BQ158" s="66">
        <v>0.31</v>
      </c>
      <c r="BR158" s="66">
        <v>0</v>
      </c>
      <c r="BS158" s="66">
        <v>0.3</v>
      </c>
      <c r="BT158" s="66">
        <v>0.78</v>
      </c>
      <c r="BU158" s="66">
        <v>0.73</v>
      </c>
      <c r="BV158" s="66">
        <v>0.31</v>
      </c>
      <c r="BW158" s="66">
        <v>0.6</v>
      </c>
      <c r="BX158" s="66">
        <v>0.32</v>
      </c>
      <c r="BY158" s="66">
        <v>0.42</v>
      </c>
      <c r="BZ158" s="66">
        <v>0.49</v>
      </c>
      <c r="CA158" s="66">
        <v>0.39</v>
      </c>
      <c r="CB158" s="66">
        <v>0.48</v>
      </c>
      <c r="CC158" s="66">
        <v>0.31</v>
      </c>
      <c r="CD158" s="66">
        <v>0.53</v>
      </c>
      <c r="CE158" s="66">
        <v>0.3</v>
      </c>
      <c r="CF158" s="66">
        <v>0.53</v>
      </c>
      <c r="CG158" s="66">
        <v>0.61</v>
      </c>
      <c r="CH158" s="66">
        <v>0.38</v>
      </c>
      <c r="CI158" s="66">
        <v>0.49</v>
      </c>
      <c r="CJ158" s="66">
        <v>0.54</v>
      </c>
      <c r="CK158" s="66">
        <v>0.68</v>
      </c>
      <c r="CL158" s="66">
        <v>0.23</v>
      </c>
      <c r="CM158" s="66">
        <v>0.44</v>
      </c>
      <c r="CN158" s="66">
        <v>0.43</v>
      </c>
      <c r="CO158" s="66">
        <v>0.48</v>
      </c>
      <c r="CP158" s="66">
        <v>0.48</v>
      </c>
      <c r="CQ158" s="66">
        <v>0.6</v>
      </c>
      <c r="CR158" s="66">
        <v>0.65</v>
      </c>
      <c r="CS158" s="12">
        <v>52</v>
      </c>
      <c r="CT158" s="12">
        <v>7</v>
      </c>
      <c r="CU158" s="63">
        <v>0.05</v>
      </c>
      <c r="CV158" s="63">
        <v>0.6</v>
      </c>
      <c r="CW158" s="63">
        <v>0.35</v>
      </c>
      <c r="CX158" s="63">
        <v>0</v>
      </c>
      <c r="CY158" s="63">
        <v>0.45</v>
      </c>
      <c r="CZ158" s="63">
        <v>0.34</v>
      </c>
      <c r="DA158" s="63">
        <v>0.6</v>
      </c>
      <c r="DB158" s="63">
        <v>0.31</v>
      </c>
      <c r="DC158" s="63">
        <v>0.38</v>
      </c>
      <c r="DD158" s="63">
        <v>0.62</v>
      </c>
      <c r="DE158" s="63">
        <v>0.39</v>
      </c>
      <c r="DF158" s="63">
        <v>0.51</v>
      </c>
      <c r="DG158" s="63">
        <v>0.39</v>
      </c>
      <c r="DH158" s="63">
        <v>0.3</v>
      </c>
      <c r="DI158" s="63">
        <v>0.4</v>
      </c>
      <c r="DJ158" s="63">
        <v>0.43</v>
      </c>
      <c r="DK158" s="63">
        <v>0.3</v>
      </c>
      <c r="DL158" s="63">
        <v>0.33</v>
      </c>
      <c r="DM158" s="63">
        <v>0.47</v>
      </c>
      <c r="DN158" s="63">
        <v>0.38</v>
      </c>
      <c r="DO158" s="63">
        <v>0.43</v>
      </c>
      <c r="DP158" s="63">
        <v>0.4</v>
      </c>
      <c r="DQ158" s="63">
        <v>0.56000000000000005</v>
      </c>
      <c r="DR158" s="63">
        <v>0.2</v>
      </c>
      <c r="DS158" s="63">
        <v>0.44</v>
      </c>
      <c r="DT158" s="63">
        <v>0.5</v>
      </c>
      <c r="DU158" s="63">
        <v>0.62</v>
      </c>
      <c r="DV158" s="63">
        <v>0.6</v>
      </c>
      <c r="DW158" s="63">
        <v>0.26</v>
      </c>
      <c r="DX158" s="35">
        <v>51</v>
      </c>
      <c r="DY158" s="35">
        <v>9</v>
      </c>
      <c r="DZ158" s="40">
        <v>0.12</v>
      </c>
      <c r="EA158" s="40">
        <v>0.54</v>
      </c>
      <c r="EB158" s="40">
        <v>0.35</v>
      </c>
      <c r="EC158" s="40">
        <v>0</v>
      </c>
      <c r="ED158" s="40">
        <v>0.38</v>
      </c>
      <c r="EE158" s="40">
        <v>0.45</v>
      </c>
      <c r="EF158" s="40">
        <v>0.51</v>
      </c>
      <c r="EG158" s="40">
        <v>0.21</v>
      </c>
      <c r="EH158" s="40">
        <v>0.48</v>
      </c>
      <c r="EI158" s="40">
        <v>0.51</v>
      </c>
      <c r="EJ158" s="40">
        <v>0.53</v>
      </c>
      <c r="EK158" s="40">
        <v>0.33</v>
      </c>
      <c r="EL158" s="40">
        <v>0.43</v>
      </c>
      <c r="EM158" s="40">
        <v>0.56999999999999995</v>
      </c>
      <c r="EN158" s="40">
        <v>0.44</v>
      </c>
      <c r="EO158" s="40">
        <v>0.65</v>
      </c>
      <c r="EP158" s="40">
        <v>0.35</v>
      </c>
      <c r="EQ158" s="40">
        <v>0.18</v>
      </c>
      <c r="ER158" s="40">
        <v>0.52</v>
      </c>
      <c r="ES158" s="40">
        <v>0.43</v>
      </c>
      <c r="ET158" s="40">
        <v>0.26</v>
      </c>
      <c r="EU158" s="40">
        <v>0.39</v>
      </c>
      <c r="EV158" s="40">
        <v>0.36</v>
      </c>
      <c r="EW158" s="40">
        <v>0.37</v>
      </c>
      <c r="EX158" s="40">
        <v>0.5</v>
      </c>
      <c r="EY158" s="40">
        <v>0.62</v>
      </c>
      <c r="EZ158" s="40">
        <v>7.0000000000000007E-2</v>
      </c>
      <c r="FA158" s="40">
        <v>0.64</v>
      </c>
      <c r="FB158" s="647">
        <v>50</v>
      </c>
      <c r="FC158" s="647" t="s">
        <v>758</v>
      </c>
      <c r="FD158" s="647">
        <v>8</v>
      </c>
      <c r="FE158" s="647" t="s">
        <v>758</v>
      </c>
      <c r="FF158" s="648">
        <v>0.12</v>
      </c>
      <c r="FG158" s="648">
        <v>0.72</v>
      </c>
      <c r="FH158" s="648">
        <v>0.16</v>
      </c>
      <c r="FI158" s="648">
        <v>0</v>
      </c>
      <c r="FJ158" s="648">
        <v>0.46</v>
      </c>
      <c r="FK158" s="648">
        <v>0.66</v>
      </c>
      <c r="FL158" s="648">
        <v>0.63</v>
      </c>
      <c r="FM158" s="648">
        <v>0.45</v>
      </c>
      <c r="FN158" s="648">
        <v>0.19</v>
      </c>
      <c r="FO158" s="648">
        <v>0.35</v>
      </c>
      <c r="FP158" s="648">
        <v>0.41</v>
      </c>
      <c r="FQ158" s="648">
        <v>0.43</v>
      </c>
      <c r="FR158" s="648">
        <v>0.68</v>
      </c>
      <c r="FS158" s="648">
        <v>0.5</v>
      </c>
      <c r="FT158" s="648">
        <v>0.45</v>
      </c>
      <c r="FU158" s="648">
        <v>0.28999999999999998</v>
      </c>
      <c r="FV158" s="648">
        <v>0.42</v>
      </c>
      <c r="FW158" s="648">
        <v>0.68</v>
      </c>
      <c r="FX158" s="648">
        <v>0.41</v>
      </c>
      <c r="FY158" s="648">
        <v>0.28999999999999998</v>
      </c>
      <c r="FZ158" s="648">
        <v>0.32</v>
      </c>
      <c r="GA158" s="648">
        <v>0.41</v>
      </c>
      <c r="GB158" s="648">
        <v>0.45</v>
      </c>
      <c r="GC158" s="648">
        <v>0.45</v>
      </c>
      <c r="GD158" s="648">
        <v>0.67</v>
      </c>
      <c r="GE158" s="648">
        <v>0.61</v>
      </c>
      <c r="GF158" s="648">
        <v>0.48</v>
      </c>
      <c r="GG158" s="648">
        <v>0.48</v>
      </c>
      <c r="GH158" s="648">
        <v>0.46</v>
      </c>
      <c r="GI158" s="648">
        <v>0.2</v>
      </c>
      <c r="GJ158" s="74">
        <v>47</v>
      </c>
      <c r="GK158" s="74" t="s">
        <v>758</v>
      </c>
      <c r="GL158" s="74">
        <v>9</v>
      </c>
      <c r="GM158" s="74" t="s">
        <v>758</v>
      </c>
      <c r="GN158" s="96">
        <v>0.18</v>
      </c>
      <c r="GO158" s="96">
        <v>0.56999999999999995</v>
      </c>
      <c r="GP158" s="96">
        <v>0.25</v>
      </c>
      <c r="GQ158" s="96">
        <v>0</v>
      </c>
      <c r="GR158" s="96">
        <v>0.51</v>
      </c>
      <c r="GS158" s="96">
        <v>0.52</v>
      </c>
      <c r="GT158" s="96">
        <v>0.71</v>
      </c>
      <c r="GU158" s="96">
        <v>0.53</v>
      </c>
      <c r="GV158" s="96">
        <v>0.57999999999999996</v>
      </c>
      <c r="GW158" s="96">
        <v>0.45</v>
      </c>
      <c r="GX158" s="96">
        <v>0.54</v>
      </c>
      <c r="GY158" s="74" t="s">
        <v>173</v>
      </c>
      <c r="GZ158" s="96">
        <v>0.24</v>
      </c>
      <c r="HA158" s="96">
        <v>0.67</v>
      </c>
      <c r="HB158" s="96">
        <v>0.47</v>
      </c>
      <c r="HC158" s="96">
        <v>0.62</v>
      </c>
      <c r="HD158" s="96">
        <v>0.55000000000000004</v>
      </c>
      <c r="HE158" s="96">
        <v>0.57999999999999996</v>
      </c>
      <c r="HF158" s="96">
        <v>0.61</v>
      </c>
      <c r="HG158" s="96">
        <v>0.77</v>
      </c>
      <c r="HH158" s="96">
        <v>0.51</v>
      </c>
      <c r="HI158" s="96">
        <v>0.57999999999999996</v>
      </c>
      <c r="HJ158" s="96">
        <v>0.68</v>
      </c>
      <c r="HK158" s="96">
        <v>0.67</v>
      </c>
      <c r="HL158" s="96">
        <v>0.47</v>
      </c>
      <c r="HM158" s="96">
        <v>0.53</v>
      </c>
      <c r="HN158" s="96">
        <v>0.46</v>
      </c>
      <c r="HO158" s="96">
        <v>0.51</v>
      </c>
      <c r="HP158" s="74" t="s">
        <v>173</v>
      </c>
      <c r="HQ158" s="96">
        <v>0.56999999999999995</v>
      </c>
      <c r="HR158" s="652">
        <v>52</v>
      </c>
      <c r="HS158" s="652" t="s">
        <v>758</v>
      </c>
      <c r="HT158" s="652">
        <v>7</v>
      </c>
      <c r="HU158" s="652" t="s">
        <v>758</v>
      </c>
      <c r="HV158" s="653">
        <v>0.12</v>
      </c>
      <c r="HW158" s="653">
        <v>0.62</v>
      </c>
      <c r="HX158" s="653">
        <v>0.27</v>
      </c>
      <c r="HY158" s="653">
        <v>0</v>
      </c>
      <c r="HZ158" s="653">
        <v>0.35</v>
      </c>
      <c r="IA158" s="653">
        <v>0.5</v>
      </c>
      <c r="IB158" s="653">
        <v>0.2</v>
      </c>
      <c r="IC158" s="653">
        <v>0.47</v>
      </c>
      <c r="ID158" s="653">
        <v>0.59</v>
      </c>
      <c r="IE158" s="653">
        <v>0.34</v>
      </c>
      <c r="IF158" s="653">
        <v>0.46</v>
      </c>
      <c r="IG158" s="653">
        <v>0.47</v>
      </c>
      <c r="IH158" s="653">
        <v>0.61</v>
      </c>
      <c r="II158" s="653">
        <v>0.31</v>
      </c>
      <c r="IJ158" s="653">
        <v>0.27</v>
      </c>
      <c r="IK158" s="653">
        <v>0.56000000000000005</v>
      </c>
      <c r="IL158" s="653">
        <v>0.3</v>
      </c>
      <c r="IM158" s="653">
        <v>0.54</v>
      </c>
      <c r="IN158" s="653">
        <v>0.51</v>
      </c>
      <c r="IO158" s="653">
        <v>0.5</v>
      </c>
      <c r="IP158" s="653">
        <v>0.44</v>
      </c>
      <c r="IQ158" s="653">
        <v>0.69</v>
      </c>
      <c r="IR158" s="653">
        <v>0.63</v>
      </c>
      <c r="IS158" s="653">
        <v>0.56999999999999995</v>
      </c>
      <c r="IT158" s="653">
        <v>0.44</v>
      </c>
      <c r="IU158" s="652" t="s">
        <v>173</v>
      </c>
      <c r="IV158" s="653">
        <v>0.65</v>
      </c>
      <c r="IW158" s="653">
        <v>0.43</v>
      </c>
      <c r="IX158" s="653">
        <v>0.51</v>
      </c>
      <c r="IY158" s="653">
        <v>0.51</v>
      </c>
      <c r="IZ158" s="74">
        <v>51</v>
      </c>
      <c r="JA158" s="74" t="s">
        <v>758</v>
      </c>
      <c r="JB158" s="74">
        <v>9</v>
      </c>
      <c r="JC158" s="74" t="s">
        <v>758</v>
      </c>
      <c r="JD158" s="96">
        <v>0.1</v>
      </c>
      <c r="JE158" s="96">
        <v>0.55000000000000004</v>
      </c>
      <c r="JF158" s="96">
        <v>0.31</v>
      </c>
      <c r="JG158" s="96">
        <v>0.03</v>
      </c>
      <c r="JH158" s="96">
        <v>0.33</v>
      </c>
      <c r="JI158" s="96">
        <v>0.46</v>
      </c>
      <c r="JJ158" s="96">
        <v>0.48</v>
      </c>
      <c r="JK158" s="96">
        <v>0.56999999999999995</v>
      </c>
      <c r="JL158" s="96">
        <v>0.55000000000000004</v>
      </c>
      <c r="JM158" s="96">
        <v>0.55000000000000004</v>
      </c>
      <c r="JN158" s="96">
        <v>0.37</v>
      </c>
      <c r="JO158" s="96">
        <v>0.49</v>
      </c>
      <c r="JP158" s="96">
        <v>0.52</v>
      </c>
      <c r="JQ158" s="96">
        <v>0.28999999999999998</v>
      </c>
      <c r="JR158" s="96">
        <v>0.63</v>
      </c>
      <c r="JS158" s="96">
        <v>0.48</v>
      </c>
      <c r="JT158" s="96">
        <v>0.52</v>
      </c>
      <c r="JU158" s="96">
        <v>0.64</v>
      </c>
      <c r="JV158" s="96">
        <v>0.52</v>
      </c>
      <c r="JW158" s="96">
        <v>0.49</v>
      </c>
      <c r="JX158" s="96">
        <v>0.46</v>
      </c>
      <c r="JY158" s="96">
        <v>0.48</v>
      </c>
      <c r="JZ158" s="96">
        <v>0.42</v>
      </c>
      <c r="KA158" s="96">
        <v>0.67</v>
      </c>
      <c r="KB158" s="96">
        <v>0.34</v>
      </c>
      <c r="KC158" s="96">
        <v>0.61</v>
      </c>
      <c r="KD158" s="96">
        <v>0.36</v>
      </c>
      <c r="KE158" s="96">
        <v>0.56999999999999995</v>
      </c>
      <c r="KF158" s="96">
        <v>0.52</v>
      </c>
      <c r="KG158" s="96">
        <v>0.43</v>
      </c>
      <c r="KH158" s="971">
        <v>53</v>
      </c>
      <c r="KI158" s="971" t="s">
        <v>758</v>
      </c>
      <c r="KJ158" s="971">
        <v>9</v>
      </c>
      <c r="KK158" s="971" t="s">
        <v>758</v>
      </c>
      <c r="KL158" s="949">
        <v>0.1</v>
      </c>
      <c r="KM158" s="949">
        <v>0.52</v>
      </c>
      <c r="KN158" s="949">
        <v>0.33</v>
      </c>
      <c r="KO158" s="949">
        <v>0.05</v>
      </c>
      <c r="KP158" s="949">
        <v>0.49</v>
      </c>
      <c r="KQ158" s="949">
        <v>0.31</v>
      </c>
      <c r="KR158" s="949">
        <v>0.6</v>
      </c>
      <c r="KS158" s="949">
        <v>0.43</v>
      </c>
      <c r="KT158" s="949">
        <v>0.6</v>
      </c>
      <c r="KU158" s="949">
        <v>0.42</v>
      </c>
      <c r="KV158" s="949">
        <v>0.47</v>
      </c>
      <c r="KW158" s="949">
        <v>0.31</v>
      </c>
      <c r="KX158" s="949">
        <v>0.38</v>
      </c>
      <c r="KY158" s="949">
        <v>0.59</v>
      </c>
      <c r="KZ158" s="949">
        <v>0.38</v>
      </c>
      <c r="LA158" s="949">
        <v>0.08</v>
      </c>
      <c r="LB158" s="949">
        <v>0.35</v>
      </c>
      <c r="LC158" s="949">
        <v>0.24</v>
      </c>
      <c r="LD158" s="949">
        <v>0.5</v>
      </c>
      <c r="LE158" s="949">
        <v>0.59</v>
      </c>
      <c r="LF158" s="949">
        <v>0.18</v>
      </c>
      <c r="LG158" s="949">
        <v>0.27</v>
      </c>
      <c r="LH158" s="949">
        <v>0.59</v>
      </c>
      <c r="LI158" s="949">
        <v>0.6</v>
      </c>
      <c r="LJ158" s="949">
        <v>0.42</v>
      </c>
      <c r="LK158" s="949">
        <v>0.49</v>
      </c>
      <c r="LL158" s="949" t="s">
        <v>173</v>
      </c>
      <c r="LM158" s="949">
        <v>0.54</v>
      </c>
      <c r="LN158" s="949">
        <v>0.5</v>
      </c>
      <c r="LO158" s="949">
        <v>0.31</v>
      </c>
      <c r="LP158" s="922">
        <v>325754004033</v>
      </c>
      <c r="LQ158" s="803" t="s">
        <v>115</v>
      </c>
      <c r="LR158" s="652">
        <v>52</v>
      </c>
      <c r="LS158" s="971">
        <v>53</v>
      </c>
      <c r="LT158" s="946"/>
    </row>
    <row r="159" spans="1:332" ht="24.95" customHeight="1" x14ac:dyDescent="0.2">
      <c r="A159" s="803" t="s">
        <v>37</v>
      </c>
      <c r="B159" s="1" t="s">
        <v>123</v>
      </c>
      <c r="C159" s="2">
        <v>3</v>
      </c>
      <c r="D159" s="12">
        <v>52</v>
      </c>
      <c r="E159" s="12">
        <v>8</v>
      </c>
      <c r="F159" s="66">
        <v>7.0000000000000007E-2</v>
      </c>
      <c r="G159" s="66">
        <v>0.59</v>
      </c>
      <c r="H159" s="66">
        <v>0.34</v>
      </c>
      <c r="I159" s="66">
        <v>0</v>
      </c>
      <c r="J159" s="66">
        <v>0.36</v>
      </c>
      <c r="K159" s="66">
        <v>0.39</v>
      </c>
      <c r="L159" s="66">
        <v>0.8</v>
      </c>
      <c r="M159" s="66">
        <v>0.18</v>
      </c>
      <c r="N159" s="66">
        <v>0.36</v>
      </c>
      <c r="O159" s="66">
        <v>0.66</v>
      </c>
      <c r="P159" s="66">
        <v>0.37</v>
      </c>
      <c r="Q159" s="66">
        <v>0.41</v>
      </c>
      <c r="R159" s="66">
        <v>0.56999999999999995</v>
      </c>
      <c r="S159" s="66">
        <v>0.67</v>
      </c>
      <c r="T159" s="66">
        <v>0.61</v>
      </c>
      <c r="U159" s="66">
        <v>0.64</v>
      </c>
      <c r="V159" s="66">
        <v>0.11</v>
      </c>
      <c r="W159" s="66">
        <v>0.21</v>
      </c>
      <c r="X159" s="66">
        <v>0.52</v>
      </c>
      <c r="Y159" s="66">
        <v>0.59</v>
      </c>
      <c r="Z159" s="12" t="s">
        <v>173</v>
      </c>
      <c r="AA159" s="66">
        <v>0.1</v>
      </c>
      <c r="AB159" s="66">
        <v>0.51</v>
      </c>
      <c r="AC159" s="66">
        <v>0.33</v>
      </c>
      <c r="AD159" s="66">
        <v>0.48</v>
      </c>
      <c r="AE159" s="66">
        <v>0.44</v>
      </c>
      <c r="AF159" s="66">
        <v>0.48</v>
      </c>
      <c r="AG159" s="66">
        <v>0.56999999999999995</v>
      </c>
      <c r="AH159" s="12">
        <v>52</v>
      </c>
      <c r="AI159" s="12">
        <v>8</v>
      </c>
      <c r="AJ159" s="40">
        <v>0.08</v>
      </c>
      <c r="AK159" s="40">
        <v>0.5</v>
      </c>
      <c r="AL159" s="40">
        <v>0.42</v>
      </c>
      <c r="AM159" s="40">
        <v>0</v>
      </c>
      <c r="AN159" s="40">
        <v>0.14000000000000001</v>
      </c>
      <c r="AO159" s="40">
        <v>0.41</v>
      </c>
      <c r="AP159" s="40">
        <v>0.51</v>
      </c>
      <c r="AQ159" s="40">
        <v>0.44</v>
      </c>
      <c r="AR159" s="40">
        <v>0.57999999999999996</v>
      </c>
      <c r="AS159" s="40">
        <v>0.57999999999999996</v>
      </c>
      <c r="AT159" s="40">
        <v>0.51</v>
      </c>
      <c r="AU159" s="40">
        <v>0.61</v>
      </c>
      <c r="AV159" s="40">
        <v>0.7</v>
      </c>
      <c r="AW159" s="40">
        <v>0.38</v>
      </c>
      <c r="AX159" s="40">
        <v>0.54</v>
      </c>
      <c r="AY159" s="40">
        <v>0.33</v>
      </c>
      <c r="AZ159" s="40">
        <v>0.41</v>
      </c>
      <c r="BA159" s="40">
        <v>0.52</v>
      </c>
      <c r="BB159" s="40">
        <v>0.68</v>
      </c>
      <c r="BC159" s="40">
        <v>0.67</v>
      </c>
      <c r="BD159" s="40">
        <v>0.34</v>
      </c>
      <c r="BE159" s="40">
        <v>0.7</v>
      </c>
      <c r="BF159" s="40">
        <v>0.57999999999999996</v>
      </c>
      <c r="BG159" s="40">
        <v>0.53</v>
      </c>
      <c r="BH159" s="40">
        <v>0.4</v>
      </c>
      <c r="BI159" s="40">
        <v>0.35</v>
      </c>
      <c r="BJ159" s="40">
        <v>0.4</v>
      </c>
      <c r="BK159" s="40">
        <v>0.42</v>
      </c>
      <c r="BL159" s="40">
        <v>0.33</v>
      </c>
      <c r="BM159" s="12">
        <v>48</v>
      </c>
      <c r="BN159" s="12">
        <v>7</v>
      </c>
      <c r="BO159" s="66">
        <v>0.15</v>
      </c>
      <c r="BP159" s="66">
        <v>0.65</v>
      </c>
      <c r="BQ159" s="66">
        <v>0.21</v>
      </c>
      <c r="BR159" s="66">
        <v>0</v>
      </c>
      <c r="BS159" s="66">
        <v>0.51</v>
      </c>
      <c r="BT159" s="66">
        <v>0.52</v>
      </c>
      <c r="BU159" s="66">
        <v>0.74</v>
      </c>
      <c r="BV159" s="66">
        <v>0.23</v>
      </c>
      <c r="BW159" s="66">
        <v>0.74</v>
      </c>
      <c r="BX159" s="66">
        <v>0.47</v>
      </c>
      <c r="BY159" s="66">
        <v>0.47</v>
      </c>
      <c r="BZ159" s="66">
        <v>0.6</v>
      </c>
      <c r="CA159" s="66">
        <v>0.4</v>
      </c>
      <c r="CB159" s="66">
        <v>0.4</v>
      </c>
      <c r="CC159" s="66">
        <v>0.16</v>
      </c>
      <c r="CD159" s="66">
        <v>0.42</v>
      </c>
      <c r="CE159" s="66">
        <v>0.39</v>
      </c>
      <c r="CF159" s="66">
        <v>0.54</v>
      </c>
      <c r="CG159" s="66">
        <v>0.71</v>
      </c>
      <c r="CH159" s="66">
        <v>0.55000000000000004</v>
      </c>
      <c r="CI159" s="66">
        <v>0.59</v>
      </c>
      <c r="CJ159" s="66">
        <v>0.42</v>
      </c>
      <c r="CK159" s="66">
        <v>0.7</v>
      </c>
      <c r="CL159" s="66">
        <v>0.28999999999999998</v>
      </c>
      <c r="CM159" s="66">
        <v>0.52</v>
      </c>
      <c r="CN159" s="66">
        <v>0.5</v>
      </c>
      <c r="CO159" s="66">
        <v>0.53</v>
      </c>
      <c r="CP159" s="66">
        <v>0.51</v>
      </c>
      <c r="CQ159" s="66">
        <v>0.47</v>
      </c>
      <c r="CR159" s="66">
        <v>0.6</v>
      </c>
      <c r="CS159" s="12">
        <v>49</v>
      </c>
      <c r="CT159" s="12">
        <v>9</v>
      </c>
      <c r="CU159" s="63">
        <v>0.11</v>
      </c>
      <c r="CV159" s="63">
        <v>0.67</v>
      </c>
      <c r="CW159" s="63">
        <v>0.22</v>
      </c>
      <c r="CX159" s="63">
        <v>0</v>
      </c>
      <c r="CY159" s="63">
        <v>0.5</v>
      </c>
      <c r="CZ159" s="63">
        <v>0.36</v>
      </c>
      <c r="DA159" s="63">
        <v>0.57999999999999996</v>
      </c>
      <c r="DB159" s="63">
        <v>0.45</v>
      </c>
      <c r="DC159" s="63">
        <v>0.5</v>
      </c>
      <c r="DD159" s="63">
        <v>0.63</v>
      </c>
      <c r="DE159" s="63">
        <v>0.45</v>
      </c>
      <c r="DF159" s="63">
        <v>0.49</v>
      </c>
      <c r="DG159" s="63">
        <v>0.45</v>
      </c>
      <c r="DH159" s="63">
        <v>0.28999999999999998</v>
      </c>
      <c r="DI159" s="63">
        <v>0.42</v>
      </c>
      <c r="DJ159" s="63">
        <v>0.49</v>
      </c>
      <c r="DK159" s="63">
        <v>0.4</v>
      </c>
      <c r="DL159" s="63">
        <v>0.39</v>
      </c>
      <c r="DM159" s="63">
        <v>0.45</v>
      </c>
      <c r="DN159" s="63">
        <v>0.46</v>
      </c>
      <c r="DO159" s="63">
        <v>0.39</v>
      </c>
      <c r="DP159" s="63">
        <v>0.5</v>
      </c>
      <c r="DQ159" s="63">
        <v>0.63</v>
      </c>
      <c r="DR159" s="63">
        <v>0.23</v>
      </c>
      <c r="DS159" s="63">
        <v>0.42</v>
      </c>
      <c r="DT159" s="63">
        <v>0.65</v>
      </c>
      <c r="DU159" s="63">
        <v>0.39</v>
      </c>
      <c r="DV159" s="63">
        <v>0.63</v>
      </c>
      <c r="DW159" s="63">
        <v>0.3</v>
      </c>
      <c r="DX159" s="35">
        <v>48</v>
      </c>
      <c r="DY159" s="35">
        <v>7</v>
      </c>
      <c r="DZ159" s="40">
        <v>0.21</v>
      </c>
      <c r="EA159" s="40">
        <v>0.63</v>
      </c>
      <c r="EB159" s="40">
        <v>0.17</v>
      </c>
      <c r="EC159" s="40">
        <v>0</v>
      </c>
      <c r="ED159" s="40">
        <v>0.43</v>
      </c>
      <c r="EE159" s="40">
        <v>0.47</v>
      </c>
      <c r="EF159" s="40">
        <v>0.63</v>
      </c>
      <c r="EG159" s="40">
        <v>0.33</v>
      </c>
      <c r="EH159" s="40">
        <v>0.38</v>
      </c>
      <c r="EI159" s="40">
        <v>0.55000000000000004</v>
      </c>
      <c r="EJ159" s="40">
        <v>0.66</v>
      </c>
      <c r="EK159" s="40">
        <v>0.22</v>
      </c>
      <c r="EL159" s="40">
        <v>0.49</v>
      </c>
      <c r="EM159" s="40">
        <v>0.64</v>
      </c>
      <c r="EN159" s="40">
        <v>0.5</v>
      </c>
      <c r="EO159" s="40">
        <v>0.59</v>
      </c>
      <c r="EP159" s="40">
        <v>0.3</v>
      </c>
      <c r="EQ159" s="40">
        <v>0.26</v>
      </c>
      <c r="ER159" s="40">
        <v>0.65</v>
      </c>
      <c r="ES159" s="40">
        <v>0.51</v>
      </c>
      <c r="ET159" s="40">
        <v>0.32</v>
      </c>
      <c r="EU159" s="40">
        <v>0.75</v>
      </c>
      <c r="EV159" s="40">
        <v>0.64</v>
      </c>
      <c r="EW159" s="40">
        <v>0.38</v>
      </c>
      <c r="EX159" s="40">
        <v>0.79</v>
      </c>
      <c r="EY159" s="40">
        <v>0.64</v>
      </c>
      <c r="EZ159" s="40">
        <v>0.17</v>
      </c>
      <c r="FA159" s="40">
        <v>0.73</v>
      </c>
      <c r="FB159" s="246">
        <v>48</v>
      </c>
      <c r="FC159" s="246" t="s">
        <v>758</v>
      </c>
      <c r="FD159" s="246">
        <v>9</v>
      </c>
      <c r="FE159" s="246" t="s">
        <v>758</v>
      </c>
      <c r="FF159" s="263">
        <v>0.21</v>
      </c>
      <c r="FG159" s="263">
        <v>0.56999999999999995</v>
      </c>
      <c r="FH159" s="263">
        <v>0.21</v>
      </c>
      <c r="FI159" s="263">
        <v>0</v>
      </c>
      <c r="FJ159" s="263">
        <v>0.39</v>
      </c>
      <c r="FK159" s="263">
        <v>0.71</v>
      </c>
      <c r="FL159" s="263">
        <v>0.51</v>
      </c>
      <c r="FM159" s="263">
        <v>0.41</v>
      </c>
      <c r="FN159" s="263">
        <v>0.28000000000000003</v>
      </c>
      <c r="FO159" s="263">
        <v>0.42</v>
      </c>
      <c r="FP159" s="263">
        <v>0.44</v>
      </c>
      <c r="FQ159" s="263">
        <v>0.43</v>
      </c>
      <c r="FR159" s="263">
        <v>0.66</v>
      </c>
      <c r="FS159" s="263">
        <v>0.49</v>
      </c>
      <c r="FT159" s="263">
        <v>0.68</v>
      </c>
      <c r="FU159" s="263">
        <v>0.5</v>
      </c>
      <c r="FV159" s="263">
        <v>0.63</v>
      </c>
      <c r="FW159" s="263">
        <v>0.62</v>
      </c>
      <c r="FX159" s="263">
        <v>0.47</v>
      </c>
      <c r="FY159" s="263">
        <v>0.43</v>
      </c>
      <c r="FZ159" s="263">
        <v>0.45</v>
      </c>
      <c r="GA159" s="263">
        <v>0.56999999999999995</v>
      </c>
      <c r="GB159" s="263">
        <v>0.56000000000000005</v>
      </c>
      <c r="GC159" s="263">
        <v>0.49</v>
      </c>
      <c r="GD159" s="263">
        <v>0.57999999999999996</v>
      </c>
      <c r="GE159" s="263">
        <v>0.56000000000000005</v>
      </c>
      <c r="GF159" s="263">
        <v>0.52</v>
      </c>
      <c r="GG159" s="263">
        <v>0.45</v>
      </c>
      <c r="GH159" s="263">
        <v>0.61</v>
      </c>
      <c r="GI159" s="263">
        <v>0.31</v>
      </c>
      <c r="GJ159" s="309">
        <v>51</v>
      </c>
      <c r="GK159" s="309" t="s">
        <v>758</v>
      </c>
      <c r="GL159" s="309">
        <v>9</v>
      </c>
      <c r="GM159" s="309" t="s">
        <v>758</v>
      </c>
      <c r="GN159" s="327">
        <v>0.11</v>
      </c>
      <c r="GO159" s="327">
        <v>0.5</v>
      </c>
      <c r="GP159" s="327">
        <v>0.39</v>
      </c>
      <c r="GQ159" s="327">
        <v>0</v>
      </c>
      <c r="GR159" s="327">
        <v>0.56999999999999995</v>
      </c>
      <c r="GS159" s="327">
        <v>0.63</v>
      </c>
      <c r="GT159" s="327">
        <v>0.63</v>
      </c>
      <c r="GU159" s="327">
        <v>0.15</v>
      </c>
      <c r="GV159" s="327">
        <v>0.48</v>
      </c>
      <c r="GW159" s="327">
        <v>0.63</v>
      </c>
      <c r="GX159" s="327">
        <v>0.46</v>
      </c>
      <c r="GY159" s="309" t="s">
        <v>173</v>
      </c>
      <c r="GZ159" s="327">
        <v>0.35</v>
      </c>
      <c r="HA159" s="327">
        <v>0.63</v>
      </c>
      <c r="HB159" s="327">
        <v>0.5</v>
      </c>
      <c r="HC159" s="327">
        <v>0.49</v>
      </c>
      <c r="HD159" s="327">
        <v>0.51</v>
      </c>
      <c r="HE159" s="327">
        <v>0.41</v>
      </c>
      <c r="HF159" s="327">
        <v>0.49</v>
      </c>
      <c r="HG159" s="327">
        <v>0.71</v>
      </c>
      <c r="HH159" s="327">
        <v>0.38</v>
      </c>
      <c r="HI159" s="327">
        <v>0.56000000000000005</v>
      </c>
      <c r="HJ159" s="327">
        <v>0.6</v>
      </c>
      <c r="HK159" s="327">
        <v>0.54</v>
      </c>
      <c r="HL159" s="327">
        <v>0.45</v>
      </c>
      <c r="HM159" s="327">
        <v>0.46</v>
      </c>
      <c r="HN159" s="327">
        <v>0.48</v>
      </c>
      <c r="HO159" s="327">
        <v>0.34</v>
      </c>
      <c r="HP159" s="309" t="s">
        <v>173</v>
      </c>
      <c r="HQ159" s="327">
        <v>0.41</v>
      </c>
      <c r="HR159" s="424">
        <v>49</v>
      </c>
      <c r="HS159" s="424" t="s">
        <v>758</v>
      </c>
      <c r="HT159" s="424">
        <v>10</v>
      </c>
      <c r="HU159" s="424" t="s">
        <v>758</v>
      </c>
      <c r="HV159" s="428">
        <v>0.24</v>
      </c>
      <c r="HW159" s="428">
        <v>0.53</v>
      </c>
      <c r="HX159" s="428">
        <v>0.24</v>
      </c>
      <c r="HY159" s="428">
        <v>0</v>
      </c>
      <c r="HZ159" s="428">
        <v>0.51</v>
      </c>
      <c r="IA159" s="428">
        <v>0.55000000000000004</v>
      </c>
      <c r="IB159" s="428">
        <v>0.3</v>
      </c>
      <c r="IC159" s="428">
        <v>0.57999999999999996</v>
      </c>
      <c r="ID159" s="428">
        <v>0.63</v>
      </c>
      <c r="IE159" s="428">
        <v>0.43</v>
      </c>
      <c r="IF159" s="428">
        <v>0.44</v>
      </c>
      <c r="IG159" s="428">
        <v>0.65</v>
      </c>
      <c r="IH159" s="428">
        <v>0.61</v>
      </c>
      <c r="II159" s="428">
        <v>0.33</v>
      </c>
      <c r="IJ159" s="428">
        <v>0.35</v>
      </c>
      <c r="IK159" s="428">
        <v>0.62</v>
      </c>
      <c r="IL159" s="428">
        <v>0.43</v>
      </c>
      <c r="IM159" s="428">
        <v>0.67</v>
      </c>
      <c r="IN159" s="428">
        <v>0.42</v>
      </c>
      <c r="IO159" s="428">
        <v>0.59</v>
      </c>
      <c r="IP159" s="428">
        <v>0.43</v>
      </c>
      <c r="IQ159" s="428">
        <v>0.75</v>
      </c>
      <c r="IR159" s="428">
        <v>0.54</v>
      </c>
      <c r="IS159" s="428">
        <v>0.46</v>
      </c>
      <c r="IT159" s="428">
        <v>0.36</v>
      </c>
      <c r="IU159" s="424" t="s">
        <v>173</v>
      </c>
      <c r="IV159" s="428">
        <v>0.59</v>
      </c>
      <c r="IW159" s="428">
        <v>0.41</v>
      </c>
      <c r="IX159" s="428">
        <v>0.47</v>
      </c>
      <c r="IY159" s="428">
        <v>0.55000000000000004</v>
      </c>
      <c r="IZ159" s="464">
        <v>50</v>
      </c>
      <c r="JA159" s="464" t="s">
        <v>758</v>
      </c>
      <c r="JB159" s="464">
        <v>7</v>
      </c>
      <c r="JC159" s="464" t="s">
        <v>758</v>
      </c>
      <c r="JD159" s="476">
        <v>0.08</v>
      </c>
      <c r="JE159" s="476">
        <v>0.77</v>
      </c>
      <c r="JF159" s="476">
        <v>0.15</v>
      </c>
      <c r="JG159" s="476">
        <v>0</v>
      </c>
      <c r="JH159" s="476">
        <v>0.43</v>
      </c>
      <c r="JI159" s="476">
        <v>0.41</v>
      </c>
      <c r="JJ159" s="476">
        <v>0.43</v>
      </c>
      <c r="JK159" s="476">
        <v>0.54</v>
      </c>
      <c r="JL159" s="476">
        <v>0.56000000000000005</v>
      </c>
      <c r="JM159" s="476">
        <v>0.53</v>
      </c>
      <c r="JN159" s="476">
        <v>0.33</v>
      </c>
      <c r="JO159" s="476">
        <v>0.46</v>
      </c>
      <c r="JP159" s="476">
        <v>0.54</v>
      </c>
      <c r="JQ159" s="476">
        <v>0.28999999999999998</v>
      </c>
      <c r="JR159" s="476">
        <v>0.57999999999999996</v>
      </c>
      <c r="JS159" s="476">
        <v>0.59</v>
      </c>
      <c r="JT159" s="476">
        <v>0.51</v>
      </c>
      <c r="JU159" s="476">
        <v>0.56000000000000005</v>
      </c>
      <c r="JV159" s="476">
        <v>0.61</v>
      </c>
      <c r="JW159" s="476">
        <v>0.54</v>
      </c>
      <c r="JX159" s="476">
        <v>0.42</v>
      </c>
      <c r="JY159" s="476">
        <v>0.44</v>
      </c>
      <c r="JZ159" s="476">
        <v>0.41</v>
      </c>
      <c r="KA159" s="476">
        <v>0.63</v>
      </c>
      <c r="KB159" s="476">
        <v>0.5</v>
      </c>
      <c r="KC159" s="476">
        <v>0.75</v>
      </c>
      <c r="KD159" s="476">
        <v>0.52</v>
      </c>
      <c r="KE159" s="476">
        <v>0.56000000000000005</v>
      </c>
      <c r="KF159" s="476">
        <v>0.6</v>
      </c>
      <c r="KG159" s="476">
        <v>0.6</v>
      </c>
      <c r="KH159" s="971">
        <v>51</v>
      </c>
      <c r="KI159" s="971" t="s">
        <v>758</v>
      </c>
      <c r="KJ159" s="971">
        <v>8</v>
      </c>
      <c r="KK159" s="971" t="s">
        <v>758</v>
      </c>
      <c r="KL159" s="949">
        <v>7.0000000000000007E-2</v>
      </c>
      <c r="KM159" s="949">
        <v>0.7</v>
      </c>
      <c r="KN159" s="949">
        <v>0.23</v>
      </c>
      <c r="KO159" s="949">
        <v>0</v>
      </c>
      <c r="KP159" s="949">
        <v>0.5</v>
      </c>
      <c r="KQ159" s="949">
        <v>0.32</v>
      </c>
      <c r="KR159" s="949">
        <v>0.62</v>
      </c>
      <c r="KS159" s="949">
        <v>0.6</v>
      </c>
      <c r="KT159" s="949">
        <v>0.51</v>
      </c>
      <c r="KU159" s="949">
        <v>0.4</v>
      </c>
      <c r="KV159" s="949">
        <v>0.53</v>
      </c>
      <c r="KW159" s="949">
        <v>0.41</v>
      </c>
      <c r="KX159" s="949">
        <v>0.28999999999999998</v>
      </c>
      <c r="KY159" s="949">
        <v>0.52</v>
      </c>
      <c r="KZ159" s="949">
        <v>0.37</v>
      </c>
      <c r="LA159" s="949">
        <v>0.39</v>
      </c>
      <c r="LB159" s="949">
        <v>0.44</v>
      </c>
      <c r="LC159" s="949">
        <v>0.45</v>
      </c>
      <c r="LD159" s="949">
        <v>0.59</v>
      </c>
      <c r="LE159" s="949">
        <v>0.46</v>
      </c>
      <c r="LF159" s="949">
        <v>0.42</v>
      </c>
      <c r="LG159" s="949">
        <v>0.55000000000000004</v>
      </c>
      <c r="LH159" s="949">
        <v>0.6</v>
      </c>
      <c r="LI159" s="949">
        <v>0.55000000000000004</v>
      </c>
      <c r="LJ159" s="949">
        <v>0.41</v>
      </c>
      <c r="LK159" s="949">
        <v>0.56999999999999995</v>
      </c>
      <c r="LL159" s="949" t="s">
        <v>173</v>
      </c>
      <c r="LM159" s="949">
        <v>0.6</v>
      </c>
      <c r="LN159" s="949">
        <v>0.55000000000000004</v>
      </c>
      <c r="LO159" s="949">
        <v>0.49</v>
      </c>
      <c r="LP159" s="922">
        <v>325754004211</v>
      </c>
      <c r="LQ159" s="803" t="s">
        <v>37</v>
      </c>
      <c r="LR159" s="424">
        <v>49</v>
      </c>
      <c r="LS159" s="971">
        <v>51</v>
      </c>
      <c r="LT159" s="946"/>
    </row>
    <row r="160" spans="1:332" ht="24.95" customHeight="1" x14ac:dyDescent="0.2">
      <c r="A160" s="803" t="s">
        <v>107</v>
      </c>
      <c r="B160" s="1" t="s">
        <v>123</v>
      </c>
      <c r="C160" s="2">
        <v>5</v>
      </c>
      <c r="D160" s="12">
        <v>60</v>
      </c>
      <c r="E160" s="12">
        <v>5</v>
      </c>
      <c r="F160" s="66">
        <v>0</v>
      </c>
      <c r="G160" s="66">
        <v>0.2</v>
      </c>
      <c r="H160" s="66">
        <v>0.8</v>
      </c>
      <c r="I160" s="66">
        <v>0</v>
      </c>
      <c r="J160" s="66">
        <v>0.23</v>
      </c>
      <c r="K160" s="66">
        <v>0.18</v>
      </c>
      <c r="L160" s="66">
        <v>0.7</v>
      </c>
      <c r="M160" s="66">
        <v>0.05</v>
      </c>
      <c r="N160" s="66">
        <v>0.2</v>
      </c>
      <c r="O160" s="66">
        <v>0.68</v>
      </c>
      <c r="P160" s="66">
        <v>0.24</v>
      </c>
      <c r="Q160" s="66">
        <v>0.26</v>
      </c>
      <c r="R160" s="66">
        <v>0.51</v>
      </c>
      <c r="S160" s="66">
        <v>0.54</v>
      </c>
      <c r="T160" s="66">
        <v>0.35</v>
      </c>
      <c r="U160" s="66">
        <v>0.35</v>
      </c>
      <c r="V160" s="66">
        <v>0</v>
      </c>
      <c r="W160" s="66">
        <v>0</v>
      </c>
      <c r="X160" s="66">
        <v>0.35</v>
      </c>
      <c r="Y160" s="66">
        <v>0.39</v>
      </c>
      <c r="Z160" s="66">
        <v>1</v>
      </c>
      <c r="AA160" s="66">
        <v>0</v>
      </c>
      <c r="AB160" s="66">
        <v>0.28999999999999998</v>
      </c>
      <c r="AC160" s="66">
        <v>0.08</v>
      </c>
      <c r="AD160" s="66">
        <v>0.27</v>
      </c>
      <c r="AE160" s="66">
        <v>0.35</v>
      </c>
      <c r="AF160" s="66">
        <v>0.47</v>
      </c>
      <c r="AG160" s="66">
        <v>0.45</v>
      </c>
      <c r="AH160" s="12">
        <v>59</v>
      </c>
      <c r="AI160" s="12">
        <v>9</v>
      </c>
      <c r="AJ160" s="40">
        <v>0.12</v>
      </c>
      <c r="AK160" s="40">
        <v>0.12</v>
      </c>
      <c r="AL160" s="40">
        <v>0.76</v>
      </c>
      <c r="AM160" s="40">
        <v>0</v>
      </c>
      <c r="AN160" s="40">
        <v>0.05</v>
      </c>
      <c r="AO160" s="40">
        <v>0.41</v>
      </c>
      <c r="AP160" s="40">
        <v>0.24</v>
      </c>
      <c r="AQ160" s="40">
        <v>0.23</v>
      </c>
      <c r="AR160" s="40">
        <v>0.42</v>
      </c>
      <c r="AS160" s="40">
        <v>0.39</v>
      </c>
      <c r="AT160" s="40">
        <v>0.53</v>
      </c>
      <c r="AU160" s="40">
        <v>0.53</v>
      </c>
      <c r="AV160" s="40">
        <v>0.22</v>
      </c>
      <c r="AW160" s="40">
        <v>0.56999999999999995</v>
      </c>
      <c r="AX160" s="40">
        <v>0.17</v>
      </c>
      <c r="AY160" s="40">
        <v>0.22</v>
      </c>
      <c r="AZ160" s="40">
        <v>0.14000000000000001</v>
      </c>
      <c r="BA160" s="40">
        <v>0.28000000000000003</v>
      </c>
      <c r="BB160" s="40">
        <v>0.66</v>
      </c>
      <c r="BC160" s="40">
        <v>0.35</v>
      </c>
      <c r="BD160" s="40">
        <v>0.34</v>
      </c>
      <c r="BE160" s="40">
        <v>0.5</v>
      </c>
      <c r="BF160" s="40">
        <v>0.63</v>
      </c>
      <c r="BG160" s="40">
        <v>0.31</v>
      </c>
      <c r="BH160" s="40">
        <v>0.31</v>
      </c>
      <c r="BI160" s="40">
        <v>0.33</v>
      </c>
      <c r="BJ160" s="40">
        <v>0.43</v>
      </c>
      <c r="BK160" s="40">
        <v>0.25</v>
      </c>
      <c r="BL160" s="40">
        <v>0.44</v>
      </c>
      <c r="BM160" s="12">
        <v>63</v>
      </c>
      <c r="BN160" s="12">
        <v>11</v>
      </c>
      <c r="BO160" s="66">
        <v>0</v>
      </c>
      <c r="BP160" s="66">
        <v>0.26</v>
      </c>
      <c r="BQ160" s="66">
        <v>0.57999999999999996</v>
      </c>
      <c r="BR160" s="66">
        <v>0.16</v>
      </c>
      <c r="BS160" s="66">
        <v>0.16</v>
      </c>
      <c r="BT160" s="66">
        <v>0.27</v>
      </c>
      <c r="BU160" s="66">
        <v>0.27</v>
      </c>
      <c r="BV160" s="66">
        <v>0.18</v>
      </c>
      <c r="BW160" s="66">
        <v>0.5</v>
      </c>
      <c r="BX160" s="66">
        <v>0.16</v>
      </c>
      <c r="BY160" s="66">
        <v>0.17</v>
      </c>
      <c r="BZ160" s="66">
        <v>0.4</v>
      </c>
      <c r="CA160" s="66">
        <v>0.45</v>
      </c>
      <c r="CB160" s="66">
        <v>0.14000000000000001</v>
      </c>
      <c r="CC160" s="66">
        <v>0.13</v>
      </c>
      <c r="CD160" s="66">
        <v>0.22</v>
      </c>
      <c r="CE160" s="66">
        <v>0.15</v>
      </c>
      <c r="CF160" s="66">
        <v>0.53</v>
      </c>
      <c r="CG160" s="66">
        <v>0.41</v>
      </c>
      <c r="CH160" s="66">
        <v>0.27</v>
      </c>
      <c r="CI160" s="66">
        <v>0.35</v>
      </c>
      <c r="CJ160" s="66">
        <v>0.11</v>
      </c>
      <c r="CK160" s="66">
        <v>0.36</v>
      </c>
      <c r="CL160" s="66">
        <v>7.0000000000000007E-2</v>
      </c>
      <c r="CM160" s="66">
        <v>0.31</v>
      </c>
      <c r="CN160" s="66">
        <v>0.12</v>
      </c>
      <c r="CO160" s="66">
        <v>0.16</v>
      </c>
      <c r="CP160" s="66">
        <v>0.17</v>
      </c>
      <c r="CQ160" s="66">
        <v>0.31</v>
      </c>
      <c r="CR160" s="66">
        <v>0.23</v>
      </c>
      <c r="CS160" s="12">
        <v>59</v>
      </c>
      <c r="CT160" s="12">
        <v>8</v>
      </c>
      <c r="CU160" s="63">
        <v>0</v>
      </c>
      <c r="CV160" s="63">
        <v>0.33</v>
      </c>
      <c r="CW160" s="63">
        <v>0.54</v>
      </c>
      <c r="CX160" s="63">
        <v>0.13</v>
      </c>
      <c r="CY160" s="63">
        <v>0.42</v>
      </c>
      <c r="CZ160" s="63">
        <v>0.12</v>
      </c>
      <c r="DA160" s="63">
        <v>0.31</v>
      </c>
      <c r="DB160" s="63">
        <v>0.17</v>
      </c>
      <c r="DC160" s="63">
        <v>0.37</v>
      </c>
      <c r="DD160" s="63">
        <v>0.47</v>
      </c>
      <c r="DE160" s="63">
        <v>0.45</v>
      </c>
      <c r="DF160" s="63">
        <v>0.32</v>
      </c>
      <c r="DG160" s="63">
        <v>0.38</v>
      </c>
      <c r="DH160" s="63">
        <v>0.23</v>
      </c>
      <c r="DI160" s="63">
        <v>0.26</v>
      </c>
      <c r="DJ160" s="63">
        <v>0.22</v>
      </c>
      <c r="DK160" s="63">
        <v>0.25</v>
      </c>
      <c r="DL160" s="63">
        <v>0.13</v>
      </c>
      <c r="DM160" s="63">
        <v>0.27</v>
      </c>
      <c r="DN160" s="63">
        <v>0.38</v>
      </c>
      <c r="DO160" s="63">
        <v>0.48</v>
      </c>
      <c r="DP160" s="63">
        <v>0.2</v>
      </c>
      <c r="DQ160" s="63">
        <v>0.4</v>
      </c>
      <c r="DR160" s="63">
        <v>0.04</v>
      </c>
      <c r="DS160" s="63">
        <v>0.24</v>
      </c>
      <c r="DT160" s="63">
        <v>0.39</v>
      </c>
      <c r="DU160" s="63">
        <v>0.28999999999999998</v>
      </c>
      <c r="DV160" s="63">
        <v>0.56999999999999995</v>
      </c>
      <c r="DW160" s="63">
        <v>0.15</v>
      </c>
      <c r="DX160" s="35">
        <v>57</v>
      </c>
      <c r="DY160" s="35">
        <v>7</v>
      </c>
      <c r="DZ160" s="40">
        <v>0</v>
      </c>
      <c r="EA160" s="40">
        <v>0.34</v>
      </c>
      <c r="EB160" s="40">
        <v>0.63</v>
      </c>
      <c r="EC160" s="40">
        <v>0.03</v>
      </c>
      <c r="ED160" s="40">
        <v>0.39</v>
      </c>
      <c r="EE160" s="40">
        <v>0.36</v>
      </c>
      <c r="EF160" s="40">
        <v>0.33</v>
      </c>
      <c r="EG160" s="40">
        <v>0.17</v>
      </c>
      <c r="EH160" s="40">
        <v>0.28000000000000003</v>
      </c>
      <c r="EI160" s="40">
        <v>0.43</v>
      </c>
      <c r="EJ160" s="40">
        <v>0.42</v>
      </c>
      <c r="EK160" s="40">
        <v>0.21</v>
      </c>
      <c r="EL160" s="40">
        <v>0.31</v>
      </c>
      <c r="EM160" s="40">
        <v>0.74</v>
      </c>
      <c r="EN160" s="40">
        <v>0.26</v>
      </c>
      <c r="EO160" s="40">
        <v>0.45</v>
      </c>
      <c r="EP160" s="40">
        <v>0.22</v>
      </c>
      <c r="EQ160" s="40">
        <v>0.08</v>
      </c>
      <c r="ER160" s="40">
        <v>0.5</v>
      </c>
      <c r="ES160" s="40">
        <v>0.26</v>
      </c>
      <c r="ET160" s="40">
        <v>0.2</v>
      </c>
      <c r="EU160" s="40">
        <v>0.54</v>
      </c>
      <c r="EV160" s="40">
        <v>7.0000000000000007E-2</v>
      </c>
      <c r="EW160" s="40">
        <v>0.11</v>
      </c>
      <c r="EX160" s="40">
        <v>0.88</v>
      </c>
      <c r="EY160" s="40">
        <v>0.41</v>
      </c>
      <c r="EZ160" s="40">
        <v>0.13</v>
      </c>
      <c r="FA160" s="40">
        <v>0.34</v>
      </c>
      <c r="FB160" s="246">
        <v>59</v>
      </c>
      <c r="FC160" s="246" t="s">
        <v>759</v>
      </c>
      <c r="FD160" s="246">
        <v>8</v>
      </c>
      <c r="FE160" s="246" t="s">
        <v>758</v>
      </c>
      <c r="FF160" s="263">
        <v>0</v>
      </c>
      <c r="FG160" s="263">
        <v>0.27</v>
      </c>
      <c r="FH160" s="263">
        <v>0.65</v>
      </c>
      <c r="FI160" s="263">
        <v>0.08</v>
      </c>
      <c r="FJ160" s="263">
        <v>0.26</v>
      </c>
      <c r="FK160" s="263">
        <v>0.52</v>
      </c>
      <c r="FL160" s="263">
        <v>0.32</v>
      </c>
      <c r="FM160" s="263">
        <v>0.15</v>
      </c>
      <c r="FN160" s="263">
        <v>0.14000000000000001</v>
      </c>
      <c r="FO160" s="263">
        <v>0.11</v>
      </c>
      <c r="FP160" s="263">
        <v>0.21</v>
      </c>
      <c r="FQ160" s="263">
        <v>0.23</v>
      </c>
      <c r="FR160" s="263">
        <v>0.4</v>
      </c>
      <c r="FS160" s="263">
        <v>0.31</v>
      </c>
      <c r="FT160" s="263">
        <v>0.31</v>
      </c>
      <c r="FU160" s="263">
        <v>0.24</v>
      </c>
      <c r="FV160" s="263">
        <v>0.38</v>
      </c>
      <c r="FW160" s="263">
        <v>0.35</v>
      </c>
      <c r="FX160" s="263">
        <v>0.26</v>
      </c>
      <c r="FY160" s="263">
        <v>0.24</v>
      </c>
      <c r="FZ160" s="263">
        <v>0.26</v>
      </c>
      <c r="GA160" s="263">
        <v>0.38</v>
      </c>
      <c r="GB160" s="263">
        <v>0.37</v>
      </c>
      <c r="GC160" s="263">
        <v>0.36</v>
      </c>
      <c r="GD160" s="263">
        <v>0.37</v>
      </c>
      <c r="GE160" s="263">
        <v>0.35</v>
      </c>
      <c r="GF160" s="263">
        <v>0.35</v>
      </c>
      <c r="GG160" s="263">
        <v>0.21</v>
      </c>
      <c r="GH160" s="263">
        <v>0.32</v>
      </c>
      <c r="GI160" s="263">
        <v>0.13</v>
      </c>
      <c r="GJ160" s="309">
        <v>57</v>
      </c>
      <c r="GK160" s="309" t="s">
        <v>758</v>
      </c>
      <c r="GL160" s="309">
        <v>10</v>
      </c>
      <c r="GM160" s="309" t="s">
        <v>758</v>
      </c>
      <c r="GN160" s="327">
        <v>0.09</v>
      </c>
      <c r="GO160" s="327">
        <v>0.32</v>
      </c>
      <c r="GP160" s="327">
        <v>0.55000000000000004</v>
      </c>
      <c r="GQ160" s="327">
        <v>0.05</v>
      </c>
      <c r="GR160" s="327">
        <v>0.42</v>
      </c>
      <c r="GS160" s="327">
        <v>0.37</v>
      </c>
      <c r="GT160" s="327">
        <v>0.49</v>
      </c>
      <c r="GU160" s="327">
        <v>0.15</v>
      </c>
      <c r="GV160" s="327">
        <v>0.56999999999999995</v>
      </c>
      <c r="GW160" s="327">
        <v>0.26</v>
      </c>
      <c r="GX160" s="327">
        <v>0.46</v>
      </c>
      <c r="GY160" s="309" t="s">
        <v>173</v>
      </c>
      <c r="GZ160" s="327">
        <v>0.14000000000000001</v>
      </c>
      <c r="HA160" s="327">
        <v>0.75</v>
      </c>
      <c r="HB160" s="327">
        <v>0.35</v>
      </c>
      <c r="HC160" s="327">
        <v>0.41</v>
      </c>
      <c r="HD160" s="327">
        <v>0.39</v>
      </c>
      <c r="HE160" s="327">
        <v>0.33</v>
      </c>
      <c r="HF160" s="327">
        <v>0.32</v>
      </c>
      <c r="HG160" s="327">
        <v>0.56999999999999995</v>
      </c>
      <c r="HH160" s="327">
        <v>0.28000000000000003</v>
      </c>
      <c r="HI160" s="327">
        <v>0.27</v>
      </c>
      <c r="HJ160" s="327">
        <v>0.51</v>
      </c>
      <c r="HK160" s="327">
        <v>0.53</v>
      </c>
      <c r="HL160" s="327">
        <v>0.26</v>
      </c>
      <c r="HM160" s="327">
        <v>0.54</v>
      </c>
      <c r="HN160" s="327">
        <v>0.28999999999999998</v>
      </c>
      <c r="HO160" s="327">
        <v>0.4</v>
      </c>
      <c r="HP160" s="309" t="s">
        <v>173</v>
      </c>
      <c r="HQ160" s="327">
        <v>0.17</v>
      </c>
      <c r="HR160" s="424">
        <v>62</v>
      </c>
      <c r="HS160" s="424" t="s">
        <v>759</v>
      </c>
      <c r="HT160" s="424">
        <v>6</v>
      </c>
      <c r="HU160" s="424" t="s">
        <v>758</v>
      </c>
      <c r="HV160" s="428">
        <v>0</v>
      </c>
      <c r="HW160" s="428">
        <v>0.12</v>
      </c>
      <c r="HX160" s="428">
        <v>0.76</v>
      </c>
      <c r="HY160" s="428">
        <v>0.12</v>
      </c>
      <c r="HZ160" s="428">
        <v>0.26</v>
      </c>
      <c r="IA160" s="428">
        <v>0.28999999999999998</v>
      </c>
      <c r="IB160" s="428">
        <v>0.25</v>
      </c>
      <c r="IC160" s="428">
        <v>0.34</v>
      </c>
      <c r="ID160" s="428">
        <v>0.45</v>
      </c>
      <c r="IE160" s="428">
        <v>0.11</v>
      </c>
      <c r="IF160" s="428">
        <v>0.2</v>
      </c>
      <c r="IG160" s="428">
        <v>0.26</v>
      </c>
      <c r="IH160" s="428">
        <v>0.37</v>
      </c>
      <c r="II160" s="428">
        <v>0</v>
      </c>
      <c r="IJ160" s="428">
        <v>0.05</v>
      </c>
      <c r="IK160" s="428">
        <v>0.37</v>
      </c>
      <c r="IL160" s="428">
        <v>0.22</v>
      </c>
      <c r="IM160" s="428">
        <v>0.49</v>
      </c>
      <c r="IN160" s="428">
        <v>0.24</v>
      </c>
      <c r="IO160" s="428">
        <v>0.48</v>
      </c>
      <c r="IP160" s="428">
        <v>0.26</v>
      </c>
      <c r="IQ160" s="428">
        <v>0.57999999999999996</v>
      </c>
      <c r="IR160" s="428">
        <v>0.35</v>
      </c>
      <c r="IS160" s="428">
        <v>0.12</v>
      </c>
      <c r="IT160" s="428">
        <v>0.26</v>
      </c>
      <c r="IU160" s="424" t="s">
        <v>173</v>
      </c>
      <c r="IV160" s="428">
        <v>0.45</v>
      </c>
      <c r="IW160" s="428">
        <v>0.18</v>
      </c>
      <c r="IX160" s="428">
        <v>0.19</v>
      </c>
      <c r="IY160" s="428">
        <v>0.26</v>
      </c>
      <c r="IZ160" s="464">
        <v>62</v>
      </c>
      <c r="JA160" s="464" t="s">
        <v>759</v>
      </c>
      <c r="JB160" s="464">
        <v>8</v>
      </c>
      <c r="JC160" s="464" t="s">
        <v>758</v>
      </c>
      <c r="JD160" s="476">
        <v>0</v>
      </c>
      <c r="JE160" s="476">
        <v>0.21</v>
      </c>
      <c r="JF160" s="476">
        <v>0.57999999999999996</v>
      </c>
      <c r="JG160" s="476">
        <v>0.21</v>
      </c>
      <c r="JH160" s="476">
        <v>0.21</v>
      </c>
      <c r="JI160" s="476">
        <v>0.34</v>
      </c>
      <c r="JJ160" s="476">
        <v>0.2</v>
      </c>
      <c r="JK160" s="476">
        <v>0.3</v>
      </c>
      <c r="JL160" s="476">
        <v>0.43</v>
      </c>
      <c r="JM160" s="476">
        <v>0.28000000000000003</v>
      </c>
      <c r="JN160" s="476">
        <v>0.14000000000000001</v>
      </c>
      <c r="JO160" s="476">
        <v>0.27</v>
      </c>
      <c r="JP160" s="476">
        <v>0.41</v>
      </c>
      <c r="JQ160" s="476">
        <v>0.13</v>
      </c>
      <c r="JR160" s="476">
        <v>0.27</v>
      </c>
      <c r="JS160" s="476">
        <v>0.38</v>
      </c>
      <c r="JT160" s="476">
        <v>0.31</v>
      </c>
      <c r="JU160" s="476">
        <v>0.26</v>
      </c>
      <c r="JV160" s="476">
        <v>0.25</v>
      </c>
      <c r="JW160" s="476">
        <v>0.26</v>
      </c>
      <c r="JX160" s="476">
        <v>0.18</v>
      </c>
      <c r="JY160" s="476">
        <v>0.36</v>
      </c>
      <c r="JZ160" s="476">
        <v>0.25</v>
      </c>
      <c r="KA160" s="476">
        <v>0.35</v>
      </c>
      <c r="KB160" s="476">
        <v>0.15</v>
      </c>
      <c r="KC160" s="476">
        <v>0.4</v>
      </c>
      <c r="KD160" s="476">
        <v>0.21</v>
      </c>
      <c r="KE160" s="476">
        <v>0.28000000000000003</v>
      </c>
      <c r="KF160" s="476">
        <v>0.23</v>
      </c>
      <c r="KG160" s="476">
        <v>0.23</v>
      </c>
      <c r="KH160" s="971">
        <v>61</v>
      </c>
      <c r="KI160" s="971" t="s">
        <v>759</v>
      </c>
      <c r="KJ160" s="971">
        <v>8</v>
      </c>
      <c r="KK160" s="971" t="s">
        <v>758</v>
      </c>
      <c r="KL160" s="949">
        <v>0</v>
      </c>
      <c r="KM160" s="949">
        <v>0.16</v>
      </c>
      <c r="KN160" s="949">
        <v>0.76</v>
      </c>
      <c r="KO160" s="949">
        <v>0.08</v>
      </c>
      <c r="KP160" s="949">
        <v>0.36</v>
      </c>
      <c r="KQ160" s="949">
        <v>0.09</v>
      </c>
      <c r="KR160" s="949">
        <v>0.43</v>
      </c>
      <c r="KS160" s="949">
        <v>0.3</v>
      </c>
      <c r="KT160" s="949">
        <v>0.35</v>
      </c>
      <c r="KU160" s="949">
        <v>0.09</v>
      </c>
      <c r="KV160" s="949">
        <v>0.36</v>
      </c>
      <c r="KW160" s="949">
        <v>0.18</v>
      </c>
      <c r="KX160" s="949">
        <v>0.11</v>
      </c>
      <c r="KY160" s="949">
        <v>0.39</v>
      </c>
      <c r="KZ160" s="949">
        <v>0.25</v>
      </c>
      <c r="LA160" s="949">
        <v>0.31</v>
      </c>
      <c r="LB160" s="949">
        <v>0.27</v>
      </c>
      <c r="LC160" s="949">
        <v>0.23</v>
      </c>
      <c r="LD160" s="949">
        <v>0.34</v>
      </c>
      <c r="LE160" s="949">
        <v>0.35</v>
      </c>
      <c r="LF160" s="949">
        <v>0.16</v>
      </c>
      <c r="LG160" s="949">
        <v>0.24</v>
      </c>
      <c r="LH160" s="949">
        <v>0.27</v>
      </c>
      <c r="LI160" s="949">
        <v>0.35</v>
      </c>
      <c r="LJ160" s="949">
        <v>0.2</v>
      </c>
      <c r="LK160" s="949">
        <v>0.48</v>
      </c>
      <c r="LL160" s="949" t="s">
        <v>173</v>
      </c>
      <c r="LM160" s="949">
        <v>0.42</v>
      </c>
      <c r="LN160" s="949">
        <v>0.43</v>
      </c>
      <c r="LO160" s="949">
        <v>0.2</v>
      </c>
      <c r="LP160" s="922">
        <v>325754003517</v>
      </c>
      <c r="LQ160" s="803" t="s">
        <v>107</v>
      </c>
      <c r="LR160" s="424">
        <v>62</v>
      </c>
      <c r="LS160" s="971">
        <v>61</v>
      </c>
      <c r="LT160" s="946"/>
    </row>
    <row r="161" spans="1:332" ht="24.95" customHeight="1" x14ac:dyDescent="0.2">
      <c r="A161" s="803" t="s">
        <v>18</v>
      </c>
      <c r="B161" s="1" t="s">
        <v>123</v>
      </c>
      <c r="C161" s="2">
        <v>5</v>
      </c>
      <c r="D161" s="12">
        <v>59</v>
      </c>
      <c r="E161" s="12">
        <v>7</v>
      </c>
      <c r="F161" s="66">
        <v>0</v>
      </c>
      <c r="G161" s="66">
        <v>0.32</v>
      </c>
      <c r="H161" s="66">
        <v>0.65</v>
      </c>
      <c r="I161" s="66">
        <v>0.03</v>
      </c>
      <c r="J161" s="66">
        <v>0.22</v>
      </c>
      <c r="K161" s="66">
        <v>0.18</v>
      </c>
      <c r="L161" s="66">
        <v>0.56999999999999995</v>
      </c>
      <c r="M161" s="66">
        <v>0.08</v>
      </c>
      <c r="N161" s="66">
        <v>0.18</v>
      </c>
      <c r="O161" s="66">
        <v>0.5</v>
      </c>
      <c r="P161" s="66">
        <v>0.24</v>
      </c>
      <c r="Q161" s="66">
        <v>0.23</v>
      </c>
      <c r="R161" s="66">
        <v>0.43</v>
      </c>
      <c r="S161" s="66">
        <v>0.48</v>
      </c>
      <c r="T161" s="66">
        <v>0.42</v>
      </c>
      <c r="U161" s="66">
        <v>0.36</v>
      </c>
      <c r="V161" s="66">
        <v>0</v>
      </c>
      <c r="W161" s="66">
        <v>0.1</v>
      </c>
      <c r="X161" s="66">
        <v>0.34</v>
      </c>
      <c r="Y161" s="66">
        <v>0.39</v>
      </c>
      <c r="Z161" s="66">
        <v>1</v>
      </c>
      <c r="AA161" s="66">
        <v>0.03</v>
      </c>
      <c r="AB161" s="66">
        <v>0.41</v>
      </c>
      <c r="AC161" s="66">
        <v>0.13</v>
      </c>
      <c r="AD161" s="66">
        <v>0.3</v>
      </c>
      <c r="AE161" s="66">
        <v>0.28999999999999998</v>
      </c>
      <c r="AF161" s="66">
        <v>0.49</v>
      </c>
      <c r="AG161" s="66">
        <v>0.38</v>
      </c>
      <c r="AH161" s="12">
        <v>59</v>
      </c>
      <c r="AI161" s="12">
        <v>7</v>
      </c>
      <c r="AJ161" s="40">
        <v>0.02</v>
      </c>
      <c r="AK161" s="40">
        <v>0.28999999999999998</v>
      </c>
      <c r="AL161" s="40">
        <v>0.66</v>
      </c>
      <c r="AM161" s="40">
        <v>0.03</v>
      </c>
      <c r="AN161" s="40">
        <v>0.17</v>
      </c>
      <c r="AO161" s="40">
        <v>0.34</v>
      </c>
      <c r="AP161" s="40">
        <v>0.41</v>
      </c>
      <c r="AQ161" s="40">
        <v>0.19</v>
      </c>
      <c r="AR161" s="40">
        <v>0.45</v>
      </c>
      <c r="AS161" s="40">
        <v>0.39</v>
      </c>
      <c r="AT161" s="40">
        <v>0.4</v>
      </c>
      <c r="AU161" s="40">
        <v>0.28000000000000003</v>
      </c>
      <c r="AV161" s="40">
        <v>0.47</v>
      </c>
      <c r="AW161" s="40">
        <v>0.23</v>
      </c>
      <c r="AX161" s="40">
        <v>0.36</v>
      </c>
      <c r="AY161" s="40">
        <v>0.19</v>
      </c>
      <c r="AZ161" s="40">
        <v>0.14000000000000001</v>
      </c>
      <c r="BA161" s="40">
        <v>0.35</v>
      </c>
      <c r="BB161" s="40">
        <v>0.53</v>
      </c>
      <c r="BC161" s="40">
        <v>0.52</v>
      </c>
      <c r="BD161" s="40">
        <v>0.32</v>
      </c>
      <c r="BE161" s="40">
        <v>0.56999999999999995</v>
      </c>
      <c r="BF161" s="40">
        <v>0.6</v>
      </c>
      <c r="BG161" s="40">
        <v>0.36</v>
      </c>
      <c r="BH161" s="40">
        <v>0.34</v>
      </c>
      <c r="BI161" s="40">
        <v>0.32</v>
      </c>
      <c r="BJ161" s="40">
        <v>0.24</v>
      </c>
      <c r="BK161" s="40">
        <v>0.34</v>
      </c>
      <c r="BL161" s="40">
        <v>0.52</v>
      </c>
      <c r="BM161" s="12">
        <v>57</v>
      </c>
      <c r="BN161" s="12">
        <v>7</v>
      </c>
      <c r="BO161" s="66">
        <v>0.03</v>
      </c>
      <c r="BP161" s="66">
        <v>0.33</v>
      </c>
      <c r="BQ161" s="66">
        <v>0.61</v>
      </c>
      <c r="BR161" s="66">
        <v>0.03</v>
      </c>
      <c r="BS161" s="66">
        <v>0.18</v>
      </c>
      <c r="BT161" s="66">
        <v>0.56999999999999995</v>
      </c>
      <c r="BU161" s="66">
        <v>0.63</v>
      </c>
      <c r="BV161" s="66">
        <v>0.11</v>
      </c>
      <c r="BW161" s="66">
        <v>0.56999999999999995</v>
      </c>
      <c r="BX161" s="66">
        <v>0.22</v>
      </c>
      <c r="BY161" s="66">
        <v>0.31</v>
      </c>
      <c r="BZ161" s="66">
        <v>0.48</v>
      </c>
      <c r="CA161" s="66">
        <v>0.36</v>
      </c>
      <c r="CB161" s="66">
        <v>0.2</v>
      </c>
      <c r="CC161" s="66">
        <v>0.11</v>
      </c>
      <c r="CD161" s="66">
        <v>0.3</v>
      </c>
      <c r="CE161" s="66">
        <v>0.13</v>
      </c>
      <c r="CF161" s="66">
        <v>0.52</v>
      </c>
      <c r="CG161" s="66">
        <v>0.39</v>
      </c>
      <c r="CH161" s="66">
        <v>0.34</v>
      </c>
      <c r="CI161" s="66">
        <v>0.49</v>
      </c>
      <c r="CJ161" s="66">
        <v>0.23</v>
      </c>
      <c r="CK161" s="66">
        <v>0.49</v>
      </c>
      <c r="CL161" s="66">
        <v>0.19</v>
      </c>
      <c r="CM161" s="66">
        <v>0.28000000000000003</v>
      </c>
      <c r="CN161" s="66">
        <v>0.27</v>
      </c>
      <c r="CO161" s="66">
        <v>0.39</v>
      </c>
      <c r="CP161" s="66">
        <v>0.25</v>
      </c>
      <c r="CQ161" s="66">
        <v>0.43</v>
      </c>
      <c r="CR161" s="66">
        <v>0.34</v>
      </c>
      <c r="CS161" s="12">
        <v>55</v>
      </c>
      <c r="CT161" s="12">
        <v>7</v>
      </c>
      <c r="CU161" s="63">
        <v>0.02</v>
      </c>
      <c r="CV161" s="63">
        <v>0.45</v>
      </c>
      <c r="CW161" s="63">
        <v>0.5</v>
      </c>
      <c r="CX161" s="63">
        <v>0.04</v>
      </c>
      <c r="CY161" s="63">
        <v>0.39</v>
      </c>
      <c r="CZ161" s="63">
        <v>0.17</v>
      </c>
      <c r="DA161" s="63">
        <v>0.52</v>
      </c>
      <c r="DB161" s="63">
        <v>0.3</v>
      </c>
      <c r="DC161" s="63">
        <v>0.33</v>
      </c>
      <c r="DD161" s="63">
        <v>0.69</v>
      </c>
      <c r="DE161" s="63">
        <v>0.39</v>
      </c>
      <c r="DF161" s="63">
        <v>0.43</v>
      </c>
      <c r="DG161" s="63">
        <v>0.3</v>
      </c>
      <c r="DH161" s="63">
        <v>0.21</v>
      </c>
      <c r="DI161" s="63">
        <v>0.41</v>
      </c>
      <c r="DJ161" s="63">
        <v>0.32</v>
      </c>
      <c r="DK161" s="63">
        <v>0.23</v>
      </c>
      <c r="DL161" s="63">
        <v>0.16</v>
      </c>
      <c r="DM161" s="63">
        <v>0.45</v>
      </c>
      <c r="DN161" s="63">
        <v>0.38</v>
      </c>
      <c r="DO161" s="63">
        <v>0.26</v>
      </c>
      <c r="DP161" s="63">
        <v>0.39</v>
      </c>
      <c r="DQ161" s="63">
        <v>0.51</v>
      </c>
      <c r="DR161" s="63">
        <v>0.1</v>
      </c>
      <c r="DS161" s="63">
        <v>0.34</v>
      </c>
      <c r="DT161" s="63">
        <v>0.47</v>
      </c>
      <c r="DU161" s="63">
        <v>0.36</v>
      </c>
      <c r="DV161" s="63">
        <v>0.5</v>
      </c>
      <c r="DW161" s="63">
        <v>0.31</v>
      </c>
      <c r="DX161" s="35">
        <v>55</v>
      </c>
      <c r="DY161" s="35">
        <v>8</v>
      </c>
      <c r="DZ161" s="40">
        <v>0.09</v>
      </c>
      <c r="EA161" s="40">
        <v>0.43</v>
      </c>
      <c r="EB161" s="40">
        <v>0.47</v>
      </c>
      <c r="EC161" s="40">
        <v>0.01</v>
      </c>
      <c r="ED161" s="40">
        <v>0.43</v>
      </c>
      <c r="EE161" s="40">
        <v>0.41</v>
      </c>
      <c r="EF161" s="40">
        <v>0.46</v>
      </c>
      <c r="EG161" s="40">
        <v>0.41</v>
      </c>
      <c r="EH161" s="40">
        <v>0.36</v>
      </c>
      <c r="EI161" s="40">
        <v>0.43</v>
      </c>
      <c r="EJ161" s="40">
        <v>0.55000000000000004</v>
      </c>
      <c r="EK161" s="40">
        <v>0.24</v>
      </c>
      <c r="EL161" s="40">
        <v>0.35</v>
      </c>
      <c r="EM161" s="40">
        <v>0.61</v>
      </c>
      <c r="EN161" s="40">
        <v>0.27</v>
      </c>
      <c r="EO161" s="40">
        <v>0.53</v>
      </c>
      <c r="EP161" s="40">
        <v>0.22</v>
      </c>
      <c r="EQ161" s="40">
        <v>0.13</v>
      </c>
      <c r="ER161" s="40">
        <v>0.53</v>
      </c>
      <c r="ES161" s="40">
        <v>0.33</v>
      </c>
      <c r="ET161" s="40">
        <v>0.26</v>
      </c>
      <c r="EU161" s="40">
        <v>0.51</v>
      </c>
      <c r="EV161" s="40">
        <v>0.39</v>
      </c>
      <c r="EW161" s="40">
        <v>0.2</v>
      </c>
      <c r="EX161" s="40">
        <v>0.59</v>
      </c>
      <c r="EY161" s="40">
        <v>0.45</v>
      </c>
      <c r="EZ161" s="40">
        <v>0.17</v>
      </c>
      <c r="FA161" s="40">
        <v>0.44</v>
      </c>
      <c r="FB161" s="246">
        <v>56</v>
      </c>
      <c r="FC161" s="246" t="s">
        <v>758</v>
      </c>
      <c r="FD161" s="246">
        <v>9</v>
      </c>
      <c r="FE161" s="246" t="s">
        <v>758</v>
      </c>
      <c r="FF161" s="263">
        <v>0.02</v>
      </c>
      <c r="FG161" s="263">
        <v>0.52</v>
      </c>
      <c r="FH161" s="263">
        <v>0.41</v>
      </c>
      <c r="FI161" s="263">
        <v>0.06</v>
      </c>
      <c r="FJ161" s="263">
        <v>0.36</v>
      </c>
      <c r="FK161" s="263">
        <v>0.54</v>
      </c>
      <c r="FL161" s="263">
        <v>0.38</v>
      </c>
      <c r="FM161" s="263">
        <v>0.32</v>
      </c>
      <c r="FN161" s="263">
        <v>0.1</v>
      </c>
      <c r="FO161" s="263">
        <v>0.22</v>
      </c>
      <c r="FP161" s="263">
        <v>0.28000000000000003</v>
      </c>
      <c r="FQ161" s="263">
        <v>0.33</v>
      </c>
      <c r="FR161" s="263">
        <v>0.46</v>
      </c>
      <c r="FS161" s="263">
        <v>0.36</v>
      </c>
      <c r="FT161" s="263">
        <v>0.4</v>
      </c>
      <c r="FU161" s="263">
        <v>0.35</v>
      </c>
      <c r="FV161" s="263">
        <v>0.48</v>
      </c>
      <c r="FW161" s="263">
        <v>0.44</v>
      </c>
      <c r="FX161" s="263">
        <v>0.25</v>
      </c>
      <c r="FY161" s="263">
        <v>0.28999999999999998</v>
      </c>
      <c r="FZ161" s="263">
        <v>0.36</v>
      </c>
      <c r="GA161" s="263">
        <v>0.54</v>
      </c>
      <c r="GB161" s="263">
        <v>0.37</v>
      </c>
      <c r="GC161" s="263">
        <v>0.35</v>
      </c>
      <c r="GD161" s="263">
        <v>0.42</v>
      </c>
      <c r="GE161" s="263">
        <v>0.35</v>
      </c>
      <c r="GF161" s="263">
        <v>0.28999999999999998</v>
      </c>
      <c r="GG161" s="263">
        <v>0.3</v>
      </c>
      <c r="GH161" s="263">
        <v>0.43</v>
      </c>
      <c r="GI161" s="263">
        <v>0.28999999999999998</v>
      </c>
      <c r="GJ161" s="309">
        <v>54</v>
      </c>
      <c r="GK161" s="309" t="s">
        <v>758</v>
      </c>
      <c r="GL161" s="309">
        <v>9</v>
      </c>
      <c r="GM161" s="309" t="s">
        <v>758</v>
      </c>
      <c r="GN161" s="327">
        <v>0.05</v>
      </c>
      <c r="GO161" s="327">
        <v>0.51</v>
      </c>
      <c r="GP161" s="327">
        <v>0.4</v>
      </c>
      <c r="GQ161" s="327">
        <v>0.04</v>
      </c>
      <c r="GR161" s="327">
        <v>0.51</v>
      </c>
      <c r="GS161" s="327">
        <v>0.4</v>
      </c>
      <c r="GT161" s="327">
        <v>0.46</v>
      </c>
      <c r="GU161" s="327">
        <v>0.16</v>
      </c>
      <c r="GV161" s="327">
        <v>0.44</v>
      </c>
      <c r="GW161" s="327">
        <v>0.4</v>
      </c>
      <c r="GX161" s="327">
        <v>0.4</v>
      </c>
      <c r="GY161" s="309" t="s">
        <v>173</v>
      </c>
      <c r="GZ161" s="327">
        <v>0.21</v>
      </c>
      <c r="HA161" s="327">
        <v>0.76</v>
      </c>
      <c r="HB161" s="327">
        <v>0.46</v>
      </c>
      <c r="HC161" s="327">
        <v>0.53</v>
      </c>
      <c r="HD161" s="327">
        <v>0.49</v>
      </c>
      <c r="HE161" s="327">
        <v>0.38</v>
      </c>
      <c r="HF161" s="327">
        <v>0.43</v>
      </c>
      <c r="HG161" s="327">
        <v>0.6</v>
      </c>
      <c r="HH161" s="327">
        <v>0.38</v>
      </c>
      <c r="HI161" s="327">
        <v>0.44</v>
      </c>
      <c r="HJ161" s="327">
        <v>0.49</v>
      </c>
      <c r="HK161" s="327">
        <v>0.44</v>
      </c>
      <c r="HL161" s="327">
        <v>0.38</v>
      </c>
      <c r="HM161" s="327">
        <v>0.4</v>
      </c>
      <c r="HN161" s="327">
        <v>0.44</v>
      </c>
      <c r="HO161" s="327">
        <v>0.35</v>
      </c>
      <c r="HP161" s="309" t="s">
        <v>173</v>
      </c>
      <c r="HQ161" s="327">
        <v>0.3</v>
      </c>
      <c r="HR161" s="424">
        <v>56</v>
      </c>
      <c r="HS161" s="424" t="s">
        <v>758</v>
      </c>
      <c r="HT161" s="424">
        <v>8</v>
      </c>
      <c r="HU161" s="424" t="s">
        <v>758</v>
      </c>
      <c r="HV161" s="428">
        <v>0.02</v>
      </c>
      <c r="HW161" s="428">
        <v>0.43</v>
      </c>
      <c r="HX161" s="428">
        <v>0.52</v>
      </c>
      <c r="HY161" s="428">
        <v>0.02</v>
      </c>
      <c r="HZ161" s="428">
        <v>0.28999999999999998</v>
      </c>
      <c r="IA161" s="428">
        <v>0.46</v>
      </c>
      <c r="IB161" s="428">
        <v>0.32</v>
      </c>
      <c r="IC161" s="428">
        <v>0.42</v>
      </c>
      <c r="ID161" s="428">
        <v>0.61</v>
      </c>
      <c r="IE161" s="428">
        <v>0.17</v>
      </c>
      <c r="IF161" s="428">
        <v>0.35</v>
      </c>
      <c r="IG161" s="428">
        <v>0.46</v>
      </c>
      <c r="IH161" s="428">
        <v>0.36</v>
      </c>
      <c r="II161" s="428">
        <v>0.27</v>
      </c>
      <c r="IJ161" s="428">
        <v>0.19</v>
      </c>
      <c r="IK161" s="428">
        <v>0.52</v>
      </c>
      <c r="IL161" s="428">
        <v>0.25</v>
      </c>
      <c r="IM161" s="428">
        <v>0.46</v>
      </c>
      <c r="IN161" s="428">
        <v>0.28999999999999998</v>
      </c>
      <c r="IO161" s="428">
        <v>0.42</v>
      </c>
      <c r="IP161" s="428">
        <v>0.36</v>
      </c>
      <c r="IQ161" s="428">
        <v>0.56000000000000005</v>
      </c>
      <c r="IR161" s="428">
        <v>0.46</v>
      </c>
      <c r="IS161" s="428">
        <v>0.51</v>
      </c>
      <c r="IT161" s="428">
        <v>0.28000000000000003</v>
      </c>
      <c r="IU161" s="424" t="s">
        <v>173</v>
      </c>
      <c r="IV161" s="428">
        <v>0.53</v>
      </c>
      <c r="IW161" s="428">
        <v>0.34</v>
      </c>
      <c r="IX161" s="428">
        <v>0.5</v>
      </c>
      <c r="IY161" s="428">
        <v>0.35</v>
      </c>
      <c r="IZ161" s="464">
        <v>55</v>
      </c>
      <c r="JA161" s="464" t="s">
        <v>758</v>
      </c>
      <c r="JB161" s="464">
        <v>9</v>
      </c>
      <c r="JC161" s="464" t="s">
        <v>758</v>
      </c>
      <c r="JD161" s="476">
        <v>0.05</v>
      </c>
      <c r="JE161" s="476">
        <v>0.42</v>
      </c>
      <c r="JF161" s="476">
        <v>0.5</v>
      </c>
      <c r="JG161" s="476">
        <v>0.03</v>
      </c>
      <c r="JH161" s="476">
        <v>0.43</v>
      </c>
      <c r="JI161" s="476">
        <v>0.41</v>
      </c>
      <c r="JJ161" s="476">
        <v>0.36</v>
      </c>
      <c r="JK161" s="476">
        <v>0.42</v>
      </c>
      <c r="JL161" s="476">
        <v>0.4</v>
      </c>
      <c r="JM161" s="476">
        <v>0.43</v>
      </c>
      <c r="JN161" s="476">
        <v>0.31</v>
      </c>
      <c r="JO161" s="476">
        <v>0.42</v>
      </c>
      <c r="JP161" s="476">
        <v>0.44</v>
      </c>
      <c r="JQ161" s="476">
        <v>0.21</v>
      </c>
      <c r="JR161" s="476">
        <v>0.52</v>
      </c>
      <c r="JS161" s="476">
        <v>0.37</v>
      </c>
      <c r="JT161" s="476">
        <v>0.41</v>
      </c>
      <c r="JU161" s="476">
        <v>0.43</v>
      </c>
      <c r="JV161" s="476">
        <v>0.4</v>
      </c>
      <c r="JW161" s="476">
        <v>0.45</v>
      </c>
      <c r="JX161" s="476">
        <v>0.43</v>
      </c>
      <c r="JY161" s="476">
        <v>0.36</v>
      </c>
      <c r="JZ161" s="476">
        <v>0.39</v>
      </c>
      <c r="KA161" s="476">
        <v>0.5</v>
      </c>
      <c r="KB161" s="476">
        <v>0.41</v>
      </c>
      <c r="KC161" s="476">
        <v>0.64</v>
      </c>
      <c r="KD161" s="476">
        <v>0.26</v>
      </c>
      <c r="KE161" s="476">
        <v>0.51</v>
      </c>
      <c r="KF161" s="476">
        <v>0.39</v>
      </c>
      <c r="KG161" s="476">
        <v>0.45</v>
      </c>
      <c r="KH161" s="971">
        <v>56</v>
      </c>
      <c r="KI161" s="971" t="s">
        <v>758</v>
      </c>
      <c r="KJ161" s="971">
        <v>9</v>
      </c>
      <c r="KK161" s="971" t="s">
        <v>758</v>
      </c>
      <c r="KL161" s="949">
        <v>0.04</v>
      </c>
      <c r="KM161" s="949">
        <v>0.39</v>
      </c>
      <c r="KN161" s="949">
        <v>0.53</v>
      </c>
      <c r="KO161" s="949">
        <v>0.04</v>
      </c>
      <c r="KP161" s="949">
        <v>0.46</v>
      </c>
      <c r="KQ161" s="949">
        <v>0.28000000000000003</v>
      </c>
      <c r="KR161" s="949">
        <v>0.53</v>
      </c>
      <c r="KS161" s="949">
        <v>0.37</v>
      </c>
      <c r="KT161" s="949">
        <v>0.44</v>
      </c>
      <c r="KU161" s="949">
        <v>0.38</v>
      </c>
      <c r="KV161" s="949">
        <v>0.53</v>
      </c>
      <c r="KW161" s="949">
        <v>0.28000000000000003</v>
      </c>
      <c r="KX161" s="949">
        <v>0.27</v>
      </c>
      <c r="KY161" s="949">
        <v>0.44</v>
      </c>
      <c r="KZ161" s="949">
        <v>0.28999999999999998</v>
      </c>
      <c r="LA161" s="949">
        <v>0.24</v>
      </c>
      <c r="LB161" s="949">
        <v>0.36</v>
      </c>
      <c r="LC161" s="949">
        <v>0.27</v>
      </c>
      <c r="LD161" s="949">
        <v>0.47</v>
      </c>
      <c r="LE161" s="949">
        <v>0.4</v>
      </c>
      <c r="LF161" s="949">
        <v>0.21</v>
      </c>
      <c r="LG161" s="949">
        <v>0.33</v>
      </c>
      <c r="LH161" s="949">
        <v>0.47</v>
      </c>
      <c r="LI161" s="949">
        <v>0.43</v>
      </c>
      <c r="LJ161" s="949">
        <v>0.26</v>
      </c>
      <c r="LK161" s="949">
        <v>0.46</v>
      </c>
      <c r="LL161" s="949" t="s">
        <v>173</v>
      </c>
      <c r="LM161" s="949">
        <v>0.53</v>
      </c>
      <c r="LN161" s="949">
        <v>0.68</v>
      </c>
      <c r="LO161" s="949">
        <v>0.28000000000000003</v>
      </c>
      <c r="LP161" s="922">
        <v>325754002901</v>
      </c>
      <c r="LQ161" s="803" t="s">
        <v>18</v>
      </c>
      <c r="LR161" s="424">
        <v>56</v>
      </c>
      <c r="LS161" s="971">
        <v>56</v>
      </c>
      <c r="LT161" s="946"/>
    </row>
    <row r="162" spans="1:332" ht="24.95" customHeight="1" x14ac:dyDescent="0.2">
      <c r="A162" s="803" t="s">
        <v>68</v>
      </c>
      <c r="B162" s="1" t="s">
        <v>123</v>
      </c>
      <c r="C162" s="2">
        <v>3</v>
      </c>
      <c r="D162" s="12">
        <v>56</v>
      </c>
      <c r="E162" s="12">
        <v>7</v>
      </c>
      <c r="F162" s="66">
        <v>0.03</v>
      </c>
      <c r="G162" s="66">
        <v>0.47</v>
      </c>
      <c r="H162" s="66">
        <v>0.5</v>
      </c>
      <c r="I162" s="66">
        <v>0</v>
      </c>
      <c r="J162" s="66">
        <v>0.25</v>
      </c>
      <c r="K162" s="66">
        <v>0.38</v>
      </c>
      <c r="L162" s="66">
        <v>0.76</v>
      </c>
      <c r="M162" s="66">
        <v>0.21</v>
      </c>
      <c r="N162" s="66">
        <v>0.26</v>
      </c>
      <c r="O162" s="66">
        <v>0.74</v>
      </c>
      <c r="P162" s="66">
        <v>0.34</v>
      </c>
      <c r="Q162" s="66">
        <v>0.35</v>
      </c>
      <c r="R162" s="66">
        <v>0.49</v>
      </c>
      <c r="S162" s="66">
        <v>0.52</v>
      </c>
      <c r="T162" s="66">
        <v>0.38</v>
      </c>
      <c r="U162" s="66">
        <v>0.4</v>
      </c>
      <c r="V162" s="66">
        <v>7.0000000000000007E-2</v>
      </c>
      <c r="W162" s="66">
        <v>0.14000000000000001</v>
      </c>
      <c r="X162" s="66">
        <v>0.49</v>
      </c>
      <c r="Y162" s="66">
        <v>0.5</v>
      </c>
      <c r="Z162" s="12" t="s">
        <v>173</v>
      </c>
      <c r="AA162" s="66">
        <v>7.0000000000000007E-2</v>
      </c>
      <c r="AB162" s="66">
        <v>0.41</v>
      </c>
      <c r="AC162" s="66">
        <v>0.25</v>
      </c>
      <c r="AD162" s="66">
        <v>0.47</v>
      </c>
      <c r="AE162" s="66">
        <v>0.49</v>
      </c>
      <c r="AF162" s="66">
        <v>0.43</v>
      </c>
      <c r="AG162" s="66">
        <v>0.5</v>
      </c>
      <c r="AH162" s="12">
        <v>52</v>
      </c>
      <c r="AI162" s="12">
        <v>6</v>
      </c>
      <c r="AJ162" s="40">
        <v>0</v>
      </c>
      <c r="AK162" s="40">
        <v>0.71</v>
      </c>
      <c r="AL162" s="40">
        <v>0.28999999999999998</v>
      </c>
      <c r="AM162" s="40">
        <v>0</v>
      </c>
      <c r="AN162" s="40">
        <v>0.14000000000000001</v>
      </c>
      <c r="AO162" s="40">
        <v>0.49</v>
      </c>
      <c r="AP162" s="40">
        <v>0.64</v>
      </c>
      <c r="AQ162" s="40">
        <v>0.38</v>
      </c>
      <c r="AR162" s="40">
        <v>0.62</v>
      </c>
      <c r="AS162" s="40">
        <v>0.57999999999999996</v>
      </c>
      <c r="AT162" s="40">
        <v>0.48</v>
      </c>
      <c r="AU162" s="40">
        <v>0.46</v>
      </c>
      <c r="AV162" s="40">
        <v>0.57999999999999996</v>
      </c>
      <c r="AW162" s="40">
        <v>0.42</v>
      </c>
      <c r="AX162" s="40">
        <v>0.73</v>
      </c>
      <c r="AY162" s="40">
        <v>0.28999999999999998</v>
      </c>
      <c r="AZ162" s="40">
        <v>0.3</v>
      </c>
      <c r="BA162" s="40">
        <v>0.48</v>
      </c>
      <c r="BB162" s="40">
        <v>0.79</v>
      </c>
      <c r="BC162" s="40">
        <v>0.75</v>
      </c>
      <c r="BD162" s="40">
        <v>0.37</v>
      </c>
      <c r="BE162" s="40">
        <v>0.54</v>
      </c>
      <c r="BF162" s="40">
        <v>0.57999999999999996</v>
      </c>
      <c r="BG162" s="40">
        <v>0.37</v>
      </c>
      <c r="BH162" s="40">
        <v>0.41</v>
      </c>
      <c r="BI162" s="40">
        <v>0.31</v>
      </c>
      <c r="BJ162" s="40">
        <v>0.31</v>
      </c>
      <c r="BK162" s="40">
        <v>0.47</v>
      </c>
      <c r="BL162" s="40">
        <v>0.53</v>
      </c>
      <c r="BM162" s="12">
        <v>51</v>
      </c>
      <c r="BN162" s="12">
        <v>6</v>
      </c>
      <c r="BO162" s="66">
        <v>0.04</v>
      </c>
      <c r="BP162" s="66">
        <v>0.71</v>
      </c>
      <c r="BQ162" s="66">
        <v>0.25</v>
      </c>
      <c r="BR162" s="66">
        <v>0</v>
      </c>
      <c r="BS162" s="66">
        <v>0.26</v>
      </c>
      <c r="BT162" s="66">
        <v>0.41</v>
      </c>
      <c r="BU162" s="66">
        <v>0.56999999999999995</v>
      </c>
      <c r="BV162" s="66">
        <v>0.2</v>
      </c>
      <c r="BW162" s="66">
        <v>0.6</v>
      </c>
      <c r="BX162" s="66">
        <v>0.42</v>
      </c>
      <c r="BY162" s="66">
        <v>0.47</v>
      </c>
      <c r="BZ162" s="66">
        <v>0.47</v>
      </c>
      <c r="CA162" s="66">
        <v>0.56999999999999995</v>
      </c>
      <c r="CB162" s="66">
        <v>0.42</v>
      </c>
      <c r="CC162" s="66">
        <v>0.28999999999999998</v>
      </c>
      <c r="CD162" s="66">
        <v>0.45</v>
      </c>
      <c r="CE162" s="66">
        <v>0.25</v>
      </c>
      <c r="CF162" s="66">
        <v>0.56999999999999995</v>
      </c>
      <c r="CG162" s="66">
        <v>0.59</v>
      </c>
      <c r="CH162" s="66">
        <v>0.39</v>
      </c>
      <c r="CI162" s="66">
        <v>0.69</v>
      </c>
      <c r="CJ162" s="66">
        <v>0.4</v>
      </c>
      <c r="CK162" s="66">
        <v>0.73</v>
      </c>
      <c r="CL162" s="66">
        <v>0.32</v>
      </c>
      <c r="CM162" s="66">
        <v>0.45</v>
      </c>
      <c r="CN162" s="66">
        <v>0.39</v>
      </c>
      <c r="CO162" s="66">
        <v>0.37</v>
      </c>
      <c r="CP162" s="66">
        <v>0.23</v>
      </c>
      <c r="CQ162" s="66">
        <v>0.59</v>
      </c>
      <c r="CR162" s="66">
        <v>0.62</v>
      </c>
      <c r="CS162" s="12">
        <v>52</v>
      </c>
      <c r="CT162" s="12">
        <v>8</v>
      </c>
      <c r="CU162" s="63">
        <v>0.03</v>
      </c>
      <c r="CV162" s="63">
        <v>0.72</v>
      </c>
      <c r="CW162" s="63">
        <v>0.24</v>
      </c>
      <c r="CX162" s="63">
        <v>0</v>
      </c>
      <c r="CY162" s="63">
        <v>0.55000000000000004</v>
      </c>
      <c r="CZ162" s="63">
        <v>0.31</v>
      </c>
      <c r="DA162" s="63">
        <v>0.64</v>
      </c>
      <c r="DB162" s="63">
        <v>0.33</v>
      </c>
      <c r="DC162" s="63">
        <v>0.39</v>
      </c>
      <c r="DD162" s="63">
        <v>0.59</v>
      </c>
      <c r="DE162" s="63">
        <v>0.59</v>
      </c>
      <c r="DF162" s="63">
        <v>0.49</v>
      </c>
      <c r="DG162" s="63">
        <v>0.42</v>
      </c>
      <c r="DH162" s="63">
        <v>0.28999999999999998</v>
      </c>
      <c r="DI162" s="63">
        <v>0.43</v>
      </c>
      <c r="DJ162" s="63">
        <v>0.45</v>
      </c>
      <c r="DK162" s="63">
        <v>0.38</v>
      </c>
      <c r="DL162" s="63">
        <v>0.5</v>
      </c>
      <c r="DM162" s="63">
        <v>0.46</v>
      </c>
      <c r="DN162" s="63">
        <v>0.47</v>
      </c>
      <c r="DO162" s="63">
        <v>0.41</v>
      </c>
      <c r="DP162" s="63">
        <v>0.48</v>
      </c>
      <c r="DQ162" s="63">
        <v>0.55000000000000004</v>
      </c>
      <c r="DR162" s="63">
        <v>0.05</v>
      </c>
      <c r="DS162" s="63">
        <v>0.35</v>
      </c>
      <c r="DT162" s="63">
        <v>0.54</v>
      </c>
      <c r="DU162" s="63">
        <v>0.56000000000000005</v>
      </c>
      <c r="DV162" s="63">
        <v>0.51</v>
      </c>
      <c r="DW162" s="63">
        <v>0.33</v>
      </c>
      <c r="DX162" s="35">
        <v>46</v>
      </c>
      <c r="DY162" s="35">
        <v>9</v>
      </c>
      <c r="DZ162" s="40">
        <v>0.28000000000000003</v>
      </c>
      <c r="EA162" s="40">
        <v>0.55000000000000004</v>
      </c>
      <c r="EB162" s="40">
        <v>0.17</v>
      </c>
      <c r="EC162" s="40">
        <v>0</v>
      </c>
      <c r="ED162" s="40">
        <v>0.56999999999999995</v>
      </c>
      <c r="EE162" s="40">
        <v>0.44</v>
      </c>
      <c r="EF162" s="40">
        <v>0.47</v>
      </c>
      <c r="EG162" s="40">
        <v>0.56999999999999995</v>
      </c>
      <c r="EH162" s="40">
        <v>0.48</v>
      </c>
      <c r="EI162" s="40">
        <v>0.56999999999999995</v>
      </c>
      <c r="EJ162" s="40">
        <v>0.67</v>
      </c>
      <c r="EK162" s="40">
        <v>0.32</v>
      </c>
      <c r="EL162" s="40">
        <v>0.55000000000000004</v>
      </c>
      <c r="EM162" s="40">
        <v>0.57999999999999996</v>
      </c>
      <c r="EN162" s="40">
        <v>0.56000000000000005</v>
      </c>
      <c r="EO162" s="40">
        <v>0.6</v>
      </c>
      <c r="EP162" s="40">
        <v>0.46</v>
      </c>
      <c r="EQ162" s="40">
        <v>0.51</v>
      </c>
      <c r="ER162" s="40">
        <v>0.66</v>
      </c>
      <c r="ES162" s="40">
        <v>0.6</v>
      </c>
      <c r="ET162" s="40">
        <v>0.46</v>
      </c>
      <c r="EU162" s="40">
        <v>0.61</v>
      </c>
      <c r="EV162" s="40">
        <v>0.5</v>
      </c>
      <c r="EW162" s="40">
        <v>0.4</v>
      </c>
      <c r="EX162" s="40">
        <v>0.83</v>
      </c>
      <c r="EY162" s="40">
        <v>0.66</v>
      </c>
      <c r="EZ162" s="40">
        <v>0.33</v>
      </c>
      <c r="FA162" s="40">
        <v>0.65</v>
      </c>
      <c r="FB162" s="246">
        <v>52</v>
      </c>
      <c r="FC162" s="246" t="s">
        <v>758</v>
      </c>
      <c r="FD162" s="246">
        <v>7</v>
      </c>
      <c r="FE162" s="246" t="s">
        <v>758</v>
      </c>
      <c r="FF162" s="263">
        <v>0.05</v>
      </c>
      <c r="FG162" s="263">
        <v>0.59</v>
      </c>
      <c r="FH162" s="263">
        <v>0.35</v>
      </c>
      <c r="FI162" s="263">
        <v>0</v>
      </c>
      <c r="FJ162" s="263">
        <v>0.42</v>
      </c>
      <c r="FK162" s="263">
        <v>0.72</v>
      </c>
      <c r="FL162" s="263">
        <v>0.42</v>
      </c>
      <c r="FM162" s="263">
        <v>0.43</v>
      </c>
      <c r="FN162" s="263">
        <v>0.31</v>
      </c>
      <c r="FO162" s="263">
        <v>0.22</v>
      </c>
      <c r="FP162" s="263">
        <v>0.38</v>
      </c>
      <c r="FQ162" s="263">
        <v>0.35</v>
      </c>
      <c r="FR162" s="263">
        <v>0.61</v>
      </c>
      <c r="FS162" s="263">
        <v>0.52</v>
      </c>
      <c r="FT162" s="263">
        <v>0.47</v>
      </c>
      <c r="FU162" s="263">
        <v>0.34</v>
      </c>
      <c r="FV162" s="263">
        <v>0.56000000000000005</v>
      </c>
      <c r="FW162" s="263">
        <v>0.33</v>
      </c>
      <c r="FX162" s="263">
        <v>0.45</v>
      </c>
      <c r="FY162" s="263">
        <v>0.28000000000000003</v>
      </c>
      <c r="FZ162" s="263">
        <v>0.42</v>
      </c>
      <c r="GA162" s="263">
        <v>0.41</v>
      </c>
      <c r="GB162" s="263">
        <v>0.55000000000000004</v>
      </c>
      <c r="GC162" s="263">
        <v>0.34</v>
      </c>
      <c r="GD162" s="263">
        <v>0.61</v>
      </c>
      <c r="GE162" s="263">
        <v>0.5</v>
      </c>
      <c r="GF162" s="263">
        <v>0.46</v>
      </c>
      <c r="GG162" s="263">
        <v>0.4</v>
      </c>
      <c r="GH162" s="263">
        <v>0.55000000000000004</v>
      </c>
      <c r="GI162" s="263">
        <v>0.25</v>
      </c>
      <c r="GJ162" s="309">
        <v>52</v>
      </c>
      <c r="GK162" s="309" t="s">
        <v>758</v>
      </c>
      <c r="GL162" s="309">
        <v>8</v>
      </c>
      <c r="GM162" s="309" t="s">
        <v>758</v>
      </c>
      <c r="GN162" s="327">
        <v>0.05</v>
      </c>
      <c r="GO162" s="327">
        <v>0.6</v>
      </c>
      <c r="GP162" s="327">
        <v>0.35</v>
      </c>
      <c r="GQ162" s="327">
        <v>0</v>
      </c>
      <c r="GR162" s="327">
        <v>0.56999999999999995</v>
      </c>
      <c r="GS162" s="327">
        <v>0.44</v>
      </c>
      <c r="GT162" s="327">
        <v>0.56000000000000005</v>
      </c>
      <c r="GU162" s="327">
        <v>0.19</v>
      </c>
      <c r="GV162" s="327">
        <v>0.56999999999999995</v>
      </c>
      <c r="GW162" s="327">
        <v>0.56000000000000005</v>
      </c>
      <c r="GX162" s="327">
        <v>0.4</v>
      </c>
      <c r="GY162" s="309" t="s">
        <v>173</v>
      </c>
      <c r="GZ162" s="327">
        <v>0.26</v>
      </c>
      <c r="HA162" s="327">
        <v>0.74</v>
      </c>
      <c r="HB162" s="327">
        <v>0.43</v>
      </c>
      <c r="HC162" s="327">
        <v>0.55000000000000004</v>
      </c>
      <c r="HD162" s="327">
        <v>0.5</v>
      </c>
      <c r="HE162" s="327">
        <v>0.56999999999999995</v>
      </c>
      <c r="HF162" s="327">
        <v>0.39</v>
      </c>
      <c r="HG162" s="327">
        <v>0.66</v>
      </c>
      <c r="HH162" s="327">
        <v>0.38</v>
      </c>
      <c r="HI162" s="327">
        <v>0.51</v>
      </c>
      <c r="HJ162" s="327">
        <v>0.59</v>
      </c>
      <c r="HK162" s="327">
        <v>0.49</v>
      </c>
      <c r="HL162" s="327">
        <v>0.44</v>
      </c>
      <c r="HM162" s="327">
        <v>0.41</v>
      </c>
      <c r="HN162" s="327">
        <v>0.43</v>
      </c>
      <c r="HO162" s="327">
        <v>0.28999999999999998</v>
      </c>
      <c r="HP162" s="309" t="s">
        <v>173</v>
      </c>
      <c r="HQ162" s="327">
        <v>0.4</v>
      </c>
      <c r="HR162" s="424">
        <v>50</v>
      </c>
      <c r="HS162" s="424" t="s">
        <v>758</v>
      </c>
      <c r="HT162" s="424">
        <v>8</v>
      </c>
      <c r="HU162" s="424" t="s">
        <v>758</v>
      </c>
      <c r="HV162" s="428">
        <v>0.1</v>
      </c>
      <c r="HW162" s="428">
        <v>0.63</v>
      </c>
      <c r="HX162" s="428">
        <v>0.27</v>
      </c>
      <c r="HY162" s="428">
        <v>0</v>
      </c>
      <c r="HZ162" s="428">
        <v>0.4</v>
      </c>
      <c r="IA162" s="428">
        <v>0.56999999999999995</v>
      </c>
      <c r="IB162" s="428">
        <v>0.41</v>
      </c>
      <c r="IC162" s="428">
        <v>0.46</v>
      </c>
      <c r="ID162" s="428">
        <v>0.65</v>
      </c>
      <c r="IE162" s="428">
        <v>0.28000000000000003</v>
      </c>
      <c r="IF162" s="428">
        <v>0.37</v>
      </c>
      <c r="IG162" s="428">
        <v>0.66</v>
      </c>
      <c r="IH162" s="428">
        <v>0.48</v>
      </c>
      <c r="II162" s="428">
        <v>0.4</v>
      </c>
      <c r="IJ162" s="428">
        <v>0.28000000000000003</v>
      </c>
      <c r="IK162" s="428">
        <v>0.59</v>
      </c>
      <c r="IL162" s="428">
        <v>0.38</v>
      </c>
      <c r="IM162" s="428">
        <v>0.52</v>
      </c>
      <c r="IN162" s="428">
        <v>0.45</v>
      </c>
      <c r="IO162" s="428">
        <v>0.59</v>
      </c>
      <c r="IP162" s="428">
        <v>0.42</v>
      </c>
      <c r="IQ162" s="428">
        <v>0.71</v>
      </c>
      <c r="IR162" s="428">
        <v>0.62</v>
      </c>
      <c r="IS162" s="428">
        <v>0.66</v>
      </c>
      <c r="IT162" s="428">
        <v>0.45</v>
      </c>
      <c r="IU162" s="424" t="s">
        <v>173</v>
      </c>
      <c r="IV162" s="428">
        <v>0.59</v>
      </c>
      <c r="IW162" s="428">
        <v>0.5</v>
      </c>
      <c r="IX162" s="428">
        <v>0.48</v>
      </c>
      <c r="IY162" s="428">
        <v>0.59</v>
      </c>
      <c r="IZ162" s="464">
        <v>47</v>
      </c>
      <c r="JA162" s="464" t="s">
        <v>758</v>
      </c>
      <c r="JB162" s="464">
        <v>8</v>
      </c>
      <c r="JC162" s="464" t="s">
        <v>758</v>
      </c>
      <c r="JD162" s="476">
        <v>0.27</v>
      </c>
      <c r="JE162" s="476">
        <v>0.59</v>
      </c>
      <c r="JF162" s="476">
        <v>0.14000000000000001</v>
      </c>
      <c r="JG162" s="476">
        <v>0</v>
      </c>
      <c r="JH162" s="476">
        <v>0.56999999999999995</v>
      </c>
      <c r="JI162" s="476">
        <v>0.51</v>
      </c>
      <c r="JJ162" s="476">
        <v>0.42</v>
      </c>
      <c r="JK162" s="476">
        <v>0.48</v>
      </c>
      <c r="JL162" s="476">
        <v>0.47</v>
      </c>
      <c r="JM162" s="476">
        <v>0.57999999999999996</v>
      </c>
      <c r="JN162" s="476">
        <v>0.67</v>
      </c>
      <c r="JO162" s="476">
        <v>0.53</v>
      </c>
      <c r="JP162" s="476">
        <v>0.51</v>
      </c>
      <c r="JQ162" s="476">
        <v>0.36</v>
      </c>
      <c r="JR162" s="476">
        <v>0.75</v>
      </c>
      <c r="JS162" s="476">
        <v>0.6</v>
      </c>
      <c r="JT162" s="476">
        <v>0.31</v>
      </c>
      <c r="JU162" s="476">
        <v>0.6</v>
      </c>
      <c r="JV162" s="476">
        <v>0.57999999999999996</v>
      </c>
      <c r="JW162" s="476">
        <v>0.59</v>
      </c>
      <c r="JX162" s="476">
        <v>0.42</v>
      </c>
      <c r="JY162" s="476">
        <v>0.41</v>
      </c>
      <c r="JZ162" s="476">
        <v>0.4</v>
      </c>
      <c r="KA162" s="476">
        <v>0.8</v>
      </c>
      <c r="KB162" s="476">
        <v>0.67</v>
      </c>
      <c r="KC162" s="476">
        <v>0.71</v>
      </c>
      <c r="KD162" s="476">
        <v>0.56000000000000005</v>
      </c>
      <c r="KE162" s="476">
        <v>0.76</v>
      </c>
      <c r="KF162" s="476">
        <v>0.48</v>
      </c>
      <c r="KG162" s="476">
        <v>0.66</v>
      </c>
      <c r="KH162" s="971">
        <v>50</v>
      </c>
      <c r="KI162" s="971" t="s">
        <v>758</v>
      </c>
      <c r="KJ162" s="971">
        <v>10</v>
      </c>
      <c r="KK162" s="971" t="s">
        <v>758</v>
      </c>
      <c r="KL162" s="949">
        <v>0.27</v>
      </c>
      <c r="KM162" s="949">
        <v>0.41</v>
      </c>
      <c r="KN162" s="949">
        <v>0.32</v>
      </c>
      <c r="KO162" s="949">
        <v>0</v>
      </c>
      <c r="KP162" s="949">
        <v>0.61</v>
      </c>
      <c r="KQ162" s="949">
        <v>0.21</v>
      </c>
      <c r="KR162" s="949">
        <v>0.56000000000000005</v>
      </c>
      <c r="KS162" s="949">
        <v>0.49</v>
      </c>
      <c r="KT162" s="949">
        <v>0.61</v>
      </c>
      <c r="KU162" s="949">
        <v>0.38</v>
      </c>
      <c r="KV162" s="949">
        <v>0.67</v>
      </c>
      <c r="KW162" s="949">
        <v>0.41</v>
      </c>
      <c r="KX162" s="949">
        <v>0.35</v>
      </c>
      <c r="KY162" s="949">
        <v>0.5</v>
      </c>
      <c r="KZ162" s="949">
        <v>0.46</v>
      </c>
      <c r="LA162" s="949">
        <v>0.36</v>
      </c>
      <c r="LB162" s="949">
        <v>0.5</v>
      </c>
      <c r="LC162" s="949">
        <v>0.55000000000000004</v>
      </c>
      <c r="LD162" s="949">
        <v>0.6</v>
      </c>
      <c r="LE162" s="949">
        <v>0.43</v>
      </c>
      <c r="LF162" s="949">
        <v>0.4</v>
      </c>
      <c r="LG162" s="949">
        <v>0.28999999999999998</v>
      </c>
      <c r="LH162" s="949">
        <v>0.65</v>
      </c>
      <c r="LI162" s="949">
        <v>0.49</v>
      </c>
      <c r="LJ162" s="949">
        <v>0.41</v>
      </c>
      <c r="LK162" s="949">
        <v>0.56000000000000005</v>
      </c>
      <c r="LL162" s="949" t="s">
        <v>173</v>
      </c>
      <c r="LM162" s="949">
        <v>0.6</v>
      </c>
      <c r="LN162" s="949">
        <v>0.9</v>
      </c>
      <c r="LO162" s="949">
        <v>0.32</v>
      </c>
      <c r="LP162" s="922">
        <v>325754004661</v>
      </c>
      <c r="LQ162" s="803" t="s">
        <v>68</v>
      </c>
      <c r="LR162" s="424">
        <v>50</v>
      </c>
      <c r="LS162" s="971">
        <v>50</v>
      </c>
      <c r="LT162" s="946"/>
    </row>
    <row r="163" spans="1:332" ht="24.95" customHeight="1" x14ac:dyDescent="0.2">
      <c r="A163" s="803" t="s">
        <v>112</v>
      </c>
      <c r="B163" s="1" t="s">
        <v>123</v>
      </c>
      <c r="C163" s="2">
        <v>5</v>
      </c>
      <c r="D163" s="12">
        <v>54</v>
      </c>
      <c r="E163" s="12">
        <v>8</v>
      </c>
      <c r="F163" s="66">
        <v>0.09</v>
      </c>
      <c r="G163" s="66">
        <v>0.56000000000000005</v>
      </c>
      <c r="H163" s="66">
        <v>0.31</v>
      </c>
      <c r="I163" s="66">
        <v>0.03</v>
      </c>
      <c r="J163" s="66">
        <v>0.45</v>
      </c>
      <c r="K163" s="66">
        <v>0.35</v>
      </c>
      <c r="L163" s="66">
        <v>0.74</v>
      </c>
      <c r="M163" s="66">
        <v>0.17</v>
      </c>
      <c r="N163" s="66">
        <v>0.3</v>
      </c>
      <c r="O163" s="66">
        <v>0.7</v>
      </c>
      <c r="P163" s="66">
        <v>0.37</v>
      </c>
      <c r="Q163" s="66">
        <v>0.33</v>
      </c>
      <c r="R163" s="66">
        <v>0.59</v>
      </c>
      <c r="S163" s="66">
        <v>0.69</v>
      </c>
      <c r="T163" s="66">
        <v>0.43</v>
      </c>
      <c r="U163" s="66">
        <v>0.75</v>
      </c>
      <c r="V163" s="66">
        <v>0.16</v>
      </c>
      <c r="W163" s="66">
        <v>0.18</v>
      </c>
      <c r="X163" s="66">
        <v>0.49</v>
      </c>
      <c r="Y163" s="66">
        <v>0.47</v>
      </c>
      <c r="Z163" s="12" t="s">
        <v>173</v>
      </c>
      <c r="AA163" s="66">
        <v>0.1</v>
      </c>
      <c r="AB163" s="66">
        <v>0.48</v>
      </c>
      <c r="AC163" s="66">
        <v>0.26</v>
      </c>
      <c r="AD163" s="66">
        <v>0.41</v>
      </c>
      <c r="AE163" s="66">
        <v>0.33</v>
      </c>
      <c r="AF163" s="66">
        <v>0.44</v>
      </c>
      <c r="AG163" s="66">
        <v>0.65</v>
      </c>
      <c r="AH163" s="12">
        <v>56</v>
      </c>
      <c r="AI163" s="12">
        <v>8</v>
      </c>
      <c r="AJ163" s="40">
        <v>0.08</v>
      </c>
      <c r="AK163" s="40">
        <v>0.38</v>
      </c>
      <c r="AL163" s="40">
        <v>0.53</v>
      </c>
      <c r="AM163" s="40">
        <v>0.03</v>
      </c>
      <c r="AN163" s="40">
        <v>0.13</v>
      </c>
      <c r="AO163" s="40">
        <v>0.46</v>
      </c>
      <c r="AP163" s="40">
        <v>0.44</v>
      </c>
      <c r="AQ163" s="40">
        <v>0.24</v>
      </c>
      <c r="AR163" s="40">
        <v>0.65</v>
      </c>
      <c r="AS163" s="40">
        <v>0.48</v>
      </c>
      <c r="AT163" s="40">
        <v>0.44</v>
      </c>
      <c r="AU163" s="40">
        <v>0.44</v>
      </c>
      <c r="AV163" s="40">
        <v>0.46</v>
      </c>
      <c r="AW163" s="40">
        <v>0.53</v>
      </c>
      <c r="AX163" s="40">
        <v>0.53</v>
      </c>
      <c r="AY163" s="40">
        <v>0.27</v>
      </c>
      <c r="AZ163" s="40">
        <v>0.14000000000000001</v>
      </c>
      <c r="BA163" s="40">
        <v>0.35</v>
      </c>
      <c r="BB163" s="40">
        <v>0.57999999999999996</v>
      </c>
      <c r="BC163" s="40">
        <v>0.61</v>
      </c>
      <c r="BD163" s="40">
        <v>0.36</v>
      </c>
      <c r="BE163" s="40">
        <v>0.45</v>
      </c>
      <c r="BF163" s="40">
        <v>0.55000000000000004</v>
      </c>
      <c r="BG163" s="40">
        <v>0.46</v>
      </c>
      <c r="BH163" s="40">
        <v>0.42</v>
      </c>
      <c r="BI163" s="40">
        <v>0.37</v>
      </c>
      <c r="BJ163" s="40">
        <v>0.35</v>
      </c>
      <c r="BK163" s="40">
        <v>0.36</v>
      </c>
      <c r="BL163" s="40">
        <v>0.55000000000000004</v>
      </c>
      <c r="BM163" s="12">
        <v>54</v>
      </c>
      <c r="BN163" s="12">
        <v>9</v>
      </c>
      <c r="BO163" s="66">
        <v>0.04</v>
      </c>
      <c r="BP163" s="66">
        <v>0.56999999999999995</v>
      </c>
      <c r="BQ163" s="66">
        <v>0.35</v>
      </c>
      <c r="BR163" s="66">
        <v>0.04</v>
      </c>
      <c r="BS163" s="66">
        <v>0.36</v>
      </c>
      <c r="BT163" s="66">
        <v>0.41</v>
      </c>
      <c r="BU163" s="66">
        <v>0.55000000000000004</v>
      </c>
      <c r="BV163" s="66">
        <v>0.27</v>
      </c>
      <c r="BW163" s="66">
        <v>0.65</v>
      </c>
      <c r="BX163" s="66">
        <v>0.26</v>
      </c>
      <c r="BY163" s="66">
        <v>0.4</v>
      </c>
      <c r="BZ163" s="66">
        <v>0.5</v>
      </c>
      <c r="CA163" s="66">
        <v>0.36</v>
      </c>
      <c r="CB163" s="66">
        <v>0.33</v>
      </c>
      <c r="CC163" s="66">
        <v>0.08</v>
      </c>
      <c r="CD163" s="66">
        <v>0.37</v>
      </c>
      <c r="CE163" s="66">
        <v>0.21</v>
      </c>
      <c r="CF163" s="66">
        <v>0.57999999999999996</v>
      </c>
      <c r="CG163" s="66">
        <v>0.62</v>
      </c>
      <c r="CH163" s="66">
        <v>0.37</v>
      </c>
      <c r="CI163" s="66">
        <v>0.56000000000000005</v>
      </c>
      <c r="CJ163" s="66">
        <v>0.46</v>
      </c>
      <c r="CK163" s="66">
        <v>0.62</v>
      </c>
      <c r="CL163" s="66">
        <v>0.25</v>
      </c>
      <c r="CM163" s="66">
        <v>0.45</v>
      </c>
      <c r="CN163" s="66">
        <v>0.38</v>
      </c>
      <c r="CO163" s="66">
        <v>0.28999999999999998</v>
      </c>
      <c r="CP163" s="66">
        <v>0.32</v>
      </c>
      <c r="CQ163" s="66">
        <v>0.44</v>
      </c>
      <c r="CR163" s="66">
        <v>0.51</v>
      </c>
      <c r="CS163" s="12">
        <v>53</v>
      </c>
      <c r="CT163" s="12">
        <v>9</v>
      </c>
      <c r="CU163" s="63">
        <v>0.13</v>
      </c>
      <c r="CV163" s="63">
        <v>0.4</v>
      </c>
      <c r="CW163" s="63">
        <v>0.45</v>
      </c>
      <c r="CX163" s="63">
        <v>0.02</v>
      </c>
      <c r="CY163" s="63">
        <v>0.45</v>
      </c>
      <c r="CZ163" s="63">
        <v>0.23</v>
      </c>
      <c r="DA163" s="63">
        <v>0.47</v>
      </c>
      <c r="DB163" s="63">
        <v>0.28999999999999998</v>
      </c>
      <c r="DC163" s="63">
        <v>0.5</v>
      </c>
      <c r="DD163" s="63">
        <v>0.51</v>
      </c>
      <c r="DE163" s="63">
        <v>0.46</v>
      </c>
      <c r="DF163" s="63">
        <v>0.42</v>
      </c>
      <c r="DG163" s="63">
        <v>0.36</v>
      </c>
      <c r="DH163" s="63">
        <v>0.37</v>
      </c>
      <c r="DI163" s="63">
        <v>0.53</v>
      </c>
      <c r="DJ163" s="63">
        <v>0.4</v>
      </c>
      <c r="DK163" s="63">
        <v>0.22</v>
      </c>
      <c r="DL163" s="63">
        <v>0.39</v>
      </c>
      <c r="DM163" s="63">
        <v>0.49</v>
      </c>
      <c r="DN163" s="63">
        <v>0.41</v>
      </c>
      <c r="DO163" s="63">
        <v>0.38</v>
      </c>
      <c r="DP163" s="63">
        <v>0.42</v>
      </c>
      <c r="DQ163" s="63">
        <v>0.5</v>
      </c>
      <c r="DR163" s="63">
        <v>0.11</v>
      </c>
      <c r="DS163" s="63">
        <v>0.33</v>
      </c>
      <c r="DT163" s="63">
        <v>0.52</v>
      </c>
      <c r="DU163" s="63">
        <v>0.45</v>
      </c>
      <c r="DV163" s="63">
        <v>0.61</v>
      </c>
      <c r="DW163" s="63">
        <v>0.22</v>
      </c>
      <c r="DX163" s="35">
        <v>54</v>
      </c>
      <c r="DY163" s="35">
        <v>8</v>
      </c>
      <c r="DZ163" s="40">
        <v>0.08</v>
      </c>
      <c r="EA163" s="40">
        <v>0.46</v>
      </c>
      <c r="EB163" s="40">
        <v>0.46</v>
      </c>
      <c r="EC163" s="40">
        <v>0</v>
      </c>
      <c r="ED163" s="40">
        <v>0.49</v>
      </c>
      <c r="EE163" s="40">
        <v>0.42</v>
      </c>
      <c r="EF163" s="40">
        <v>0.46</v>
      </c>
      <c r="EG163" s="40">
        <v>0.11</v>
      </c>
      <c r="EH163" s="40">
        <v>0.22</v>
      </c>
      <c r="EI163" s="40">
        <v>0.48</v>
      </c>
      <c r="EJ163" s="40">
        <v>0.48</v>
      </c>
      <c r="EK163" s="40">
        <v>0.28000000000000003</v>
      </c>
      <c r="EL163" s="40">
        <v>0.4</v>
      </c>
      <c r="EM163" s="40">
        <v>0.49</v>
      </c>
      <c r="EN163" s="40">
        <v>0.32</v>
      </c>
      <c r="EO163" s="40">
        <v>0.49</v>
      </c>
      <c r="EP163" s="40">
        <v>0.33</v>
      </c>
      <c r="EQ163" s="40">
        <v>0.2</v>
      </c>
      <c r="ER163" s="40">
        <v>0.54</v>
      </c>
      <c r="ES163" s="40">
        <v>0.36</v>
      </c>
      <c r="ET163" s="40">
        <v>0.18</v>
      </c>
      <c r="EU163" s="40">
        <v>0.47</v>
      </c>
      <c r="EV163" s="40">
        <v>0.28999999999999998</v>
      </c>
      <c r="EW163" s="40">
        <v>0.32</v>
      </c>
      <c r="EX163" s="40">
        <v>0.7</v>
      </c>
      <c r="EY163" s="40">
        <v>0.47</v>
      </c>
      <c r="EZ163" s="40">
        <v>0</v>
      </c>
      <c r="FA163" s="40">
        <v>0.52</v>
      </c>
      <c r="FB163" s="246">
        <v>52</v>
      </c>
      <c r="FC163" s="246" t="s">
        <v>758</v>
      </c>
      <c r="FD163" s="246">
        <v>9</v>
      </c>
      <c r="FE163" s="246" t="s">
        <v>758</v>
      </c>
      <c r="FF163" s="263">
        <v>0.12</v>
      </c>
      <c r="FG163" s="263">
        <v>0.55000000000000004</v>
      </c>
      <c r="FH163" s="263">
        <v>0.33</v>
      </c>
      <c r="FI163" s="263">
        <v>0</v>
      </c>
      <c r="FJ163" s="263">
        <v>0.36</v>
      </c>
      <c r="FK163" s="263">
        <v>0.65</v>
      </c>
      <c r="FL163" s="263">
        <v>0.52</v>
      </c>
      <c r="FM163" s="263">
        <v>0.41</v>
      </c>
      <c r="FN163" s="263">
        <v>0.34</v>
      </c>
      <c r="FO163" s="263">
        <v>0.3</v>
      </c>
      <c r="FP163" s="263">
        <v>0.33</v>
      </c>
      <c r="FQ163" s="263">
        <v>0.36</v>
      </c>
      <c r="FR163" s="263">
        <v>0.51</v>
      </c>
      <c r="FS163" s="263">
        <v>0.53</v>
      </c>
      <c r="FT163" s="263">
        <v>0.52</v>
      </c>
      <c r="FU163" s="263">
        <v>0.41</v>
      </c>
      <c r="FV163" s="263">
        <v>0.49</v>
      </c>
      <c r="FW163" s="263">
        <v>0.56000000000000005</v>
      </c>
      <c r="FX163" s="263">
        <v>0.36</v>
      </c>
      <c r="FY163" s="263">
        <v>0.28999999999999998</v>
      </c>
      <c r="FZ163" s="263">
        <v>0.39</v>
      </c>
      <c r="GA163" s="263">
        <v>0.48</v>
      </c>
      <c r="GB163" s="263">
        <v>0.47</v>
      </c>
      <c r="GC163" s="263">
        <v>0.32</v>
      </c>
      <c r="GD163" s="263">
        <v>0.52</v>
      </c>
      <c r="GE163" s="263">
        <v>0.43</v>
      </c>
      <c r="GF163" s="263">
        <v>0.4</v>
      </c>
      <c r="GG163" s="263">
        <v>0.4</v>
      </c>
      <c r="GH163" s="263">
        <v>0.52</v>
      </c>
      <c r="GI163" s="263">
        <v>0.26</v>
      </c>
      <c r="GJ163" s="309">
        <v>57</v>
      </c>
      <c r="GK163" s="309" t="s">
        <v>758</v>
      </c>
      <c r="GL163" s="309">
        <v>9</v>
      </c>
      <c r="GM163" s="309" t="s">
        <v>758</v>
      </c>
      <c r="GN163" s="327">
        <v>0</v>
      </c>
      <c r="GO163" s="327">
        <v>0.4</v>
      </c>
      <c r="GP163" s="327">
        <v>0.51</v>
      </c>
      <c r="GQ163" s="327">
        <v>0.09</v>
      </c>
      <c r="GR163" s="327">
        <v>0.38</v>
      </c>
      <c r="GS163" s="327">
        <v>0.4</v>
      </c>
      <c r="GT163" s="327">
        <v>0.5</v>
      </c>
      <c r="GU163" s="327">
        <v>0.06</v>
      </c>
      <c r="GV163" s="327">
        <v>0.48</v>
      </c>
      <c r="GW163" s="327">
        <v>0.33</v>
      </c>
      <c r="GX163" s="327">
        <v>0.32</v>
      </c>
      <c r="GY163" s="309" t="s">
        <v>173</v>
      </c>
      <c r="GZ163" s="327">
        <v>0.13</v>
      </c>
      <c r="HA163" s="327">
        <v>0.67</v>
      </c>
      <c r="HB163" s="327">
        <v>0.34</v>
      </c>
      <c r="HC163" s="327">
        <v>0.36</v>
      </c>
      <c r="HD163" s="327">
        <v>0.47</v>
      </c>
      <c r="HE163" s="327">
        <v>0.28999999999999998</v>
      </c>
      <c r="HF163" s="327">
        <v>0.32</v>
      </c>
      <c r="HG163" s="327">
        <v>0.56000000000000005</v>
      </c>
      <c r="HH163" s="327">
        <v>0.21</v>
      </c>
      <c r="HI163" s="327">
        <v>0.44</v>
      </c>
      <c r="HJ163" s="327">
        <v>0.5</v>
      </c>
      <c r="HK163" s="327">
        <v>0.45</v>
      </c>
      <c r="HL163" s="327">
        <v>0.23</v>
      </c>
      <c r="HM163" s="327">
        <v>0.33</v>
      </c>
      <c r="HN163" s="327">
        <v>0.46</v>
      </c>
      <c r="HO163" s="327">
        <v>0.35</v>
      </c>
      <c r="HP163" s="309" t="s">
        <v>173</v>
      </c>
      <c r="HQ163" s="327">
        <v>0.33</v>
      </c>
      <c r="HR163" s="424">
        <v>55</v>
      </c>
      <c r="HS163" s="424" t="s">
        <v>758</v>
      </c>
      <c r="HT163" s="424">
        <v>8</v>
      </c>
      <c r="HU163" s="424" t="s">
        <v>758</v>
      </c>
      <c r="HV163" s="428">
        <v>0.02</v>
      </c>
      <c r="HW163" s="428">
        <v>0.53</v>
      </c>
      <c r="HX163" s="428">
        <v>0.42</v>
      </c>
      <c r="HY163" s="428">
        <v>0.02</v>
      </c>
      <c r="HZ163" s="428">
        <v>0.33</v>
      </c>
      <c r="IA163" s="428">
        <v>0.46</v>
      </c>
      <c r="IB163" s="428">
        <v>0.32</v>
      </c>
      <c r="IC163" s="428">
        <v>0.52</v>
      </c>
      <c r="ID163" s="428">
        <v>0.54</v>
      </c>
      <c r="IE163" s="428">
        <v>0.36</v>
      </c>
      <c r="IF163" s="428">
        <v>0.34</v>
      </c>
      <c r="IG163" s="428">
        <v>0.51</v>
      </c>
      <c r="IH163" s="428">
        <v>0.35</v>
      </c>
      <c r="II163" s="428">
        <v>0.13</v>
      </c>
      <c r="IJ163" s="428">
        <v>0.19</v>
      </c>
      <c r="IK163" s="428">
        <v>0.49</v>
      </c>
      <c r="IL163" s="428">
        <v>0.26</v>
      </c>
      <c r="IM163" s="428">
        <v>0.46</v>
      </c>
      <c r="IN163" s="428">
        <v>0.28000000000000003</v>
      </c>
      <c r="IO163" s="428">
        <v>0.41</v>
      </c>
      <c r="IP163" s="428">
        <v>0.31</v>
      </c>
      <c r="IQ163" s="428">
        <v>0.57999999999999996</v>
      </c>
      <c r="IR163" s="428">
        <v>0.49</v>
      </c>
      <c r="IS163" s="428">
        <v>0.43</v>
      </c>
      <c r="IT163" s="428">
        <v>0.42</v>
      </c>
      <c r="IU163" s="424" t="s">
        <v>173</v>
      </c>
      <c r="IV163" s="428">
        <v>0.56999999999999995</v>
      </c>
      <c r="IW163" s="428">
        <v>0.38</v>
      </c>
      <c r="IX163" s="428">
        <v>0.41</v>
      </c>
      <c r="IY163" s="428">
        <v>0.42</v>
      </c>
      <c r="IZ163" s="464">
        <v>53</v>
      </c>
      <c r="JA163" s="464" t="s">
        <v>758</v>
      </c>
      <c r="JB163" s="464">
        <v>9</v>
      </c>
      <c r="JC163" s="464" t="s">
        <v>758</v>
      </c>
      <c r="JD163" s="476">
        <v>7.0000000000000007E-2</v>
      </c>
      <c r="JE163" s="476">
        <v>0.5</v>
      </c>
      <c r="JF163" s="476">
        <v>0.43</v>
      </c>
      <c r="JG163" s="476">
        <v>0</v>
      </c>
      <c r="JH163" s="476">
        <v>0.41</v>
      </c>
      <c r="JI163" s="476">
        <v>0.5</v>
      </c>
      <c r="JJ163" s="476">
        <v>0.31</v>
      </c>
      <c r="JK163" s="476">
        <v>0.41</v>
      </c>
      <c r="JL163" s="476">
        <v>0.4</v>
      </c>
      <c r="JM163" s="476">
        <v>0.44</v>
      </c>
      <c r="JN163" s="476">
        <v>0.4</v>
      </c>
      <c r="JO163" s="476">
        <v>0.43</v>
      </c>
      <c r="JP163" s="476">
        <v>0.49</v>
      </c>
      <c r="JQ163" s="476">
        <v>0.26</v>
      </c>
      <c r="JR163" s="476">
        <v>0.68</v>
      </c>
      <c r="JS163" s="476">
        <v>0.49</v>
      </c>
      <c r="JT163" s="476">
        <v>0.33</v>
      </c>
      <c r="JU163" s="476">
        <v>0.43</v>
      </c>
      <c r="JV163" s="476">
        <v>0.43</v>
      </c>
      <c r="JW163" s="476">
        <v>0.48</v>
      </c>
      <c r="JX163" s="476">
        <v>0.42</v>
      </c>
      <c r="JY163" s="476">
        <v>0.53</v>
      </c>
      <c r="JZ163" s="476">
        <v>0.45</v>
      </c>
      <c r="KA163" s="476">
        <v>0.71</v>
      </c>
      <c r="KB163" s="476">
        <v>0.38</v>
      </c>
      <c r="KC163" s="476">
        <v>0.53</v>
      </c>
      <c r="KD163" s="476">
        <v>0.36</v>
      </c>
      <c r="KE163" s="476">
        <v>0.48</v>
      </c>
      <c r="KF163" s="476">
        <v>0.49</v>
      </c>
      <c r="KG163" s="476">
        <v>0.51</v>
      </c>
      <c r="KH163" s="971">
        <v>56</v>
      </c>
      <c r="KI163" s="971" t="s">
        <v>758</v>
      </c>
      <c r="KJ163" s="971">
        <v>8</v>
      </c>
      <c r="KK163" s="971" t="s">
        <v>758</v>
      </c>
      <c r="KL163" s="949">
        <v>0.03</v>
      </c>
      <c r="KM163" s="949">
        <v>0.45</v>
      </c>
      <c r="KN163" s="949">
        <v>0.5</v>
      </c>
      <c r="KO163" s="949">
        <v>0.02</v>
      </c>
      <c r="KP163" s="949">
        <v>0.41</v>
      </c>
      <c r="KQ163" s="949">
        <v>0.23</v>
      </c>
      <c r="KR163" s="949">
        <v>0.57999999999999996</v>
      </c>
      <c r="KS163" s="949">
        <v>0.36</v>
      </c>
      <c r="KT163" s="949">
        <v>0.5</v>
      </c>
      <c r="KU163" s="949">
        <v>0.3</v>
      </c>
      <c r="KV163" s="949">
        <v>0.51</v>
      </c>
      <c r="KW163" s="949">
        <v>0.3</v>
      </c>
      <c r="KX163" s="949">
        <v>0.24</v>
      </c>
      <c r="KY163" s="949">
        <v>0.49</v>
      </c>
      <c r="KZ163" s="949">
        <v>0.28000000000000003</v>
      </c>
      <c r="LA163" s="949">
        <v>0.24</v>
      </c>
      <c r="LB163" s="949">
        <v>0.33</v>
      </c>
      <c r="LC163" s="949">
        <v>0.33</v>
      </c>
      <c r="LD163" s="949">
        <v>0.52</v>
      </c>
      <c r="LE163" s="949">
        <v>0.43</v>
      </c>
      <c r="LF163" s="949">
        <v>0.27</v>
      </c>
      <c r="LG163" s="949">
        <v>0.27</v>
      </c>
      <c r="LH163" s="949">
        <v>0.5</v>
      </c>
      <c r="LI163" s="949">
        <v>0.39</v>
      </c>
      <c r="LJ163" s="949">
        <v>0.31</v>
      </c>
      <c r="LK163" s="949">
        <v>0.56999999999999995</v>
      </c>
      <c r="LL163" s="949" t="s">
        <v>173</v>
      </c>
      <c r="LM163" s="949">
        <v>0.54</v>
      </c>
      <c r="LN163" s="949">
        <v>0.57999999999999996</v>
      </c>
      <c r="LO163" s="949">
        <v>0.41</v>
      </c>
      <c r="LP163" s="922">
        <v>325754004441</v>
      </c>
      <c r="LQ163" s="803" t="s">
        <v>112</v>
      </c>
      <c r="LR163" s="424">
        <v>55</v>
      </c>
      <c r="LS163" s="971">
        <v>56</v>
      </c>
      <c r="LT163" s="946"/>
    </row>
    <row r="164" spans="1:332" ht="24.95" customHeight="1" x14ac:dyDescent="0.2">
      <c r="A164" s="805" t="s">
        <v>110</v>
      </c>
      <c r="B164" s="1" t="s">
        <v>121</v>
      </c>
      <c r="C164" s="2">
        <v>5</v>
      </c>
      <c r="D164" s="12">
        <v>55</v>
      </c>
      <c r="E164" s="12">
        <v>7</v>
      </c>
      <c r="F164" s="66">
        <v>0.02</v>
      </c>
      <c r="G164" s="66">
        <v>0.49</v>
      </c>
      <c r="H164" s="66">
        <v>0.48</v>
      </c>
      <c r="I164" s="66">
        <v>0.01</v>
      </c>
      <c r="J164" s="66">
        <v>0.43</v>
      </c>
      <c r="K164" s="66">
        <v>0.34</v>
      </c>
      <c r="L164" s="66">
        <v>0.69</v>
      </c>
      <c r="M164" s="66">
        <v>0.22</v>
      </c>
      <c r="N164" s="66">
        <v>0.27</v>
      </c>
      <c r="O164" s="66">
        <v>0.56000000000000005</v>
      </c>
      <c r="P164" s="66">
        <v>0.28999999999999998</v>
      </c>
      <c r="Q164" s="66">
        <v>0.28999999999999998</v>
      </c>
      <c r="R164" s="66">
        <v>0.5</v>
      </c>
      <c r="S164" s="66">
        <v>0.49</v>
      </c>
      <c r="T164" s="66">
        <v>0.37</v>
      </c>
      <c r="U164" s="66">
        <v>0.55000000000000004</v>
      </c>
      <c r="V164" s="66">
        <v>0.03</v>
      </c>
      <c r="W164" s="66">
        <v>0.09</v>
      </c>
      <c r="X164" s="66">
        <v>0.49</v>
      </c>
      <c r="Y164" s="66">
        <v>0.52</v>
      </c>
      <c r="Z164" s="66">
        <v>0.5</v>
      </c>
      <c r="AA164" s="66">
        <v>0.14000000000000001</v>
      </c>
      <c r="AB164" s="66">
        <v>0.36</v>
      </c>
      <c r="AC164" s="66">
        <v>0.21</v>
      </c>
      <c r="AD164" s="66">
        <v>0.46</v>
      </c>
      <c r="AE164" s="66">
        <v>0.37</v>
      </c>
      <c r="AF164" s="66">
        <v>0.59</v>
      </c>
      <c r="AG164" s="66">
        <v>0.42</v>
      </c>
      <c r="AH164" s="12">
        <v>57</v>
      </c>
      <c r="AI164" s="12">
        <v>7</v>
      </c>
      <c r="AJ164" s="40">
        <v>0.02</v>
      </c>
      <c r="AK164" s="40">
        <v>0.43</v>
      </c>
      <c r="AL164" s="40">
        <v>0.52</v>
      </c>
      <c r="AM164" s="40">
        <v>0.03</v>
      </c>
      <c r="AN164" s="40">
        <v>0.21</v>
      </c>
      <c r="AO164" s="40">
        <v>0.41</v>
      </c>
      <c r="AP164" s="40">
        <v>0.53</v>
      </c>
      <c r="AQ164" s="40">
        <v>0.28000000000000003</v>
      </c>
      <c r="AR164" s="40">
        <v>0.52</v>
      </c>
      <c r="AS164" s="40">
        <v>0.42</v>
      </c>
      <c r="AT164" s="40">
        <v>0.47</v>
      </c>
      <c r="AU164" s="40">
        <v>0.39</v>
      </c>
      <c r="AV164" s="40">
        <v>0.56999999999999995</v>
      </c>
      <c r="AW164" s="40">
        <v>0.4</v>
      </c>
      <c r="AX164" s="40">
        <v>0.44</v>
      </c>
      <c r="AY164" s="40">
        <v>0.21</v>
      </c>
      <c r="AZ164" s="40">
        <v>0.18</v>
      </c>
      <c r="BA164" s="40">
        <v>0.47</v>
      </c>
      <c r="BB164" s="40">
        <v>0.63</v>
      </c>
      <c r="BC164" s="40">
        <v>0.56999999999999995</v>
      </c>
      <c r="BD164" s="40">
        <v>0.32</v>
      </c>
      <c r="BE164" s="40">
        <v>0.44</v>
      </c>
      <c r="BF164" s="40">
        <v>0.42</v>
      </c>
      <c r="BG164" s="40">
        <v>0.42</v>
      </c>
      <c r="BH164" s="40">
        <v>0.36</v>
      </c>
      <c r="BI164" s="40">
        <v>0.31</v>
      </c>
      <c r="BJ164" s="40">
        <v>0.21</v>
      </c>
      <c r="BK164" s="40">
        <v>0.36</v>
      </c>
      <c r="BL164" s="40">
        <v>0.2</v>
      </c>
      <c r="BM164" s="12">
        <v>53</v>
      </c>
      <c r="BN164" s="12">
        <v>8</v>
      </c>
      <c r="BO164" s="66">
        <v>7.0000000000000007E-2</v>
      </c>
      <c r="BP164" s="66">
        <v>0.53</v>
      </c>
      <c r="BQ164" s="66">
        <v>0.39</v>
      </c>
      <c r="BR164" s="66">
        <v>0.02</v>
      </c>
      <c r="BS164" s="66">
        <v>0.21</v>
      </c>
      <c r="BT164" s="66">
        <v>0.51</v>
      </c>
      <c r="BU164" s="66">
        <v>0.62</v>
      </c>
      <c r="BV164" s="66">
        <v>0.13</v>
      </c>
      <c r="BW164" s="66">
        <v>0.65</v>
      </c>
      <c r="BX164" s="66">
        <v>0.3</v>
      </c>
      <c r="BY164" s="66">
        <v>0.41</v>
      </c>
      <c r="BZ164" s="66">
        <v>0.53</v>
      </c>
      <c r="CA164" s="66">
        <v>0.39</v>
      </c>
      <c r="CB164" s="66">
        <v>0.3</v>
      </c>
      <c r="CC164" s="66">
        <v>0.18</v>
      </c>
      <c r="CD164" s="66">
        <v>0.4</v>
      </c>
      <c r="CE164" s="66">
        <v>0.27</v>
      </c>
      <c r="CF164" s="66">
        <v>0.63</v>
      </c>
      <c r="CG164" s="66">
        <v>0.56999999999999995</v>
      </c>
      <c r="CH164" s="66">
        <v>0.38</v>
      </c>
      <c r="CI164" s="66">
        <v>0.5</v>
      </c>
      <c r="CJ164" s="66">
        <v>0.28000000000000003</v>
      </c>
      <c r="CK164" s="66">
        <v>0.69</v>
      </c>
      <c r="CL164" s="66">
        <v>0.2</v>
      </c>
      <c r="CM164" s="66">
        <v>0.33</v>
      </c>
      <c r="CN164" s="66">
        <v>0.35</v>
      </c>
      <c r="CO164" s="66">
        <v>0.37</v>
      </c>
      <c r="CP164" s="66">
        <v>0.34</v>
      </c>
      <c r="CQ164" s="66">
        <v>0.52</v>
      </c>
      <c r="CR164" s="66">
        <v>0.5</v>
      </c>
      <c r="CS164" s="12">
        <v>55</v>
      </c>
      <c r="CT164" s="12">
        <v>8</v>
      </c>
      <c r="CU164" s="63">
        <v>0.02</v>
      </c>
      <c r="CV164" s="63">
        <v>0.55000000000000004</v>
      </c>
      <c r="CW164" s="63">
        <v>0.39</v>
      </c>
      <c r="CX164" s="63">
        <v>0.04</v>
      </c>
      <c r="CY164" s="63">
        <v>0.42</v>
      </c>
      <c r="CZ164" s="63">
        <v>0.22</v>
      </c>
      <c r="DA164" s="63">
        <v>0.5</v>
      </c>
      <c r="DB164" s="63">
        <v>0.23</v>
      </c>
      <c r="DC164" s="63">
        <v>0.39</v>
      </c>
      <c r="DD164" s="63">
        <v>0.56000000000000005</v>
      </c>
      <c r="DE164" s="63">
        <v>0.39</v>
      </c>
      <c r="DF164" s="63">
        <v>0.46</v>
      </c>
      <c r="DG164" s="63">
        <v>0.39</v>
      </c>
      <c r="DH164" s="63">
        <v>0.33</v>
      </c>
      <c r="DI164" s="63">
        <v>0.39</v>
      </c>
      <c r="DJ164" s="63">
        <v>0.37</v>
      </c>
      <c r="DK164" s="63">
        <v>0.27</v>
      </c>
      <c r="DL164" s="63">
        <v>0.25</v>
      </c>
      <c r="DM164" s="63">
        <v>0.37</v>
      </c>
      <c r="DN164" s="63">
        <v>0.43</v>
      </c>
      <c r="DO164" s="63">
        <v>0.28000000000000003</v>
      </c>
      <c r="DP164" s="63">
        <v>0.44</v>
      </c>
      <c r="DQ164" s="63">
        <v>0.44</v>
      </c>
      <c r="DR164" s="63">
        <v>0.16</v>
      </c>
      <c r="DS164" s="63">
        <v>0.3</v>
      </c>
      <c r="DT164" s="63">
        <v>0.53</v>
      </c>
      <c r="DU164" s="63">
        <v>0.42</v>
      </c>
      <c r="DV164" s="63">
        <v>0.51</v>
      </c>
      <c r="DW164" s="63">
        <v>0.27</v>
      </c>
      <c r="DX164" s="35">
        <v>57</v>
      </c>
      <c r="DY164" s="35">
        <v>8</v>
      </c>
      <c r="DZ164" s="40">
        <v>0.02</v>
      </c>
      <c r="EA164" s="40">
        <v>0.38</v>
      </c>
      <c r="EB164" s="40">
        <v>0.56000000000000005</v>
      </c>
      <c r="EC164" s="40">
        <v>0.04</v>
      </c>
      <c r="ED164" s="40">
        <v>0.37</v>
      </c>
      <c r="EE164" s="40">
        <v>0.34</v>
      </c>
      <c r="EF164" s="40">
        <v>0.4</v>
      </c>
      <c r="EG164" s="40">
        <v>0.26</v>
      </c>
      <c r="EH164" s="40">
        <v>0.31</v>
      </c>
      <c r="EI164" s="40">
        <v>0.36</v>
      </c>
      <c r="EJ164" s="40">
        <v>0.45</v>
      </c>
      <c r="EK164" s="40">
        <v>0.1</v>
      </c>
      <c r="EL164" s="40">
        <v>0.27</v>
      </c>
      <c r="EM164" s="40">
        <v>0.53</v>
      </c>
      <c r="EN164" s="40">
        <v>0.28999999999999998</v>
      </c>
      <c r="EO164" s="40">
        <v>0.46</v>
      </c>
      <c r="EP164" s="40">
        <v>0.21</v>
      </c>
      <c r="EQ164" s="40">
        <v>0.1</v>
      </c>
      <c r="ER164" s="40">
        <v>0.54</v>
      </c>
      <c r="ES164" s="40">
        <v>0.35</v>
      </c>
      <c r="ET164" s="40">
        <v>0.19</v>
      </c>
      <c r="EU164" s="40">
        <v>0.49</v>
      </c>
      <c r="EV164" s="40">
        <v>0.19</v>
      </c>
      <c r="EW164" s="40">
        <v>0.19</v>
      </c>
      <c r="EX164" s="40">
        <v>0.49</v>
      </c>
      <c r="EY164" s="40">
        <v>0.43</v>
      </c>
      <c r="EZ164" s="40">
        <v>0.11</v>
      </c>
      <c r="FA164" s="40">
        <v>0.48</v>
      </c>
      <c r="FB164" s="246">
        <v>54</v>
      </c>
      <c r="FC164" s="246" t="s">
        <v>758</v>
      </c>
      <c r="FD164" s="246">
        <v>8</v>
      </c>
      <c r="FE164" s="246" t="s">
        <v>758</v>
      </c>
      <c r="FF164" s="263">
        <v>0.05</v>
      </c>
      <c r="FG164" s="263">
        <v>0.53</v>
      </c>
      <c r="FH164" s="263">
        <v>0.43</v>
      </c>
      <c r="FI164" s="263">
        <v>0</v>
      </c>
      <c r="FJ164" s="263">
        <v>0.37</v>
      </c>
      <c r="FK164" s="263">
        <v>0.66</v>
      </c>
      <c r="FL164" s="263">
        <v>0.38</v>
      </c>
      <c r="FM164" s="263">
        <v>0.36</v>
      </c>
      <c r="FN164" s="263">
        <v>0.2</v>
      </c>
      <c r="FO164" s="263">
        <v>0.23</v>
      </c>
      <c r="FP164" s="263">
        <v>0.28999999999999998</v>
      </c>
      <c r="FQ164" s="263">
        <v>0.32</v>
      </c>
      <c r="FR164" s="263">
        <v>0.57999999999999996</v>
      </c>
      <c r="FS164" s="263">
        <v>0.41</v>
      </c>
      <c r="FT164" s="263">
        <v>0.42</v>
      </c>
      <c r="FU164" s="263">
        <v>0.28999999999999998</v>
      </c>
      <c r="FV164" s="263">
        <v>0.52</v>
      </c>
      <c r="FW164" s="263">
        <v>0.49</v>
      </c>
      <c r="FX164" s="263">
        <v>0.31</v>
      </c>
      <c r="FY164" s="263">
        <v>0.24</v>
      </c>
      <c r="FZ164" s="263">
        <v>0.34</v>
      </c>
      <c r="GA164" s="263">
        <v>0.46</v>
      </c>
      <c r="GB164" s="263">
        <v>0.5</v>
      </c>
      <c r="GC164" s="263">
        <v>0.37</v>
      </c>
      <c r="GD164" s="263">
        <v>0.5</v>
      </c>
      <c r="GE164" s="263">
        <v>0.5</v>
      </c>
      <c r="GF164" s="263">
        <v>0.37</v>
      </c>
      <c r="GG164" s="263">
        <v>0.4</v>
      </c>
      <c r="GH164" s="263">
        <v>0.49</v>
      </c>
      <c r="GI164" s="263">
        <v>0.2</v>
      </c>
      <c r="GJ164" s="309">
        <v>57</v>
      </c>
      <c r="GK164" s="309" t="s">
        <v>758</v>
      </c>
      <c r="GL164" s="309">
        <v>8</v>
      </c>
      <c r="GM164" s="309" t="s">
        <v>758</v>
      </c>
      <c r="GN164" s="327">
        <v>0.02</v>
      </c>
      <c r="GO164" s="327">
        <v>0.39</v>
      </c>
      <c r="GP164" s="327">
        <v>0.53</v>
      </c>
      <c r="GQ164" s="327">
        <v>0.06</v>
      </c>
      <c r="GR164" s="327">
        <v>0.4</v>
      </c>
      <c r="GS164" s="327">
        <v>0.37</v>
      </c>
      <c r="GT164" s="327">
        <v>0.51</v>
      </c>
      <c r="GU164" s="327">
        <v>0.25</v>
      </c>
      <c r="GV164" s="327">
        <v>0.42</v>
      </c>
      <c r="GW164" s="327">
        <v>0.34</v>
      </c>
      <c r="GX164" s="327">
        <v>0.34</v>
      </c>
      <c r="GY164" s="309" t="s">
        <v>173</v>
      </c>
      <c r="GZ164" s="327">
        <v>0.19</v>
      </c>
      <c r="HA164" s="327">
        <v>0.49</v>
      </c>
      <c r="HB164" s="327">
        <v>0.32</v>
      </c>
      <c r="HC164" s="327">
        <v>0.46</v>
      </c>
      <c r="HD164" s="327">
        <v>0.41</v>
      </c>
      <c r="HE164" s="327">
        <v>0.3</v>
      </c>
      <c r="HF164" s="327">
        <v>0.38</v>
      </c>
      <c r="HG164" s="327">
        <v>0.56999999999999995</v>
      </c>
      <c r="HH164" s="327">
        <v>0.2</v>
      </c>
      <c r="HI164" s="327">
        <v>0.43</v>
      </c>
      <c r="HJ164" s="327">
        <v>0.54</v>
      </c>
      <c r="HK164" s="327">
        <v>0.39</v>
      </c>
      <c r="HL164" s="327">
        <v>0.32</v>
      </c>
      <c r="HM164" s="327">
        <v>0.4</v>
      </c>
      <c r="HN164" s="327">
        <v>0.35</v>
      </c>
      <c r="HO164" s="327">
        <v>0.24</v>
      </c>
      <c r="HP164" s="309" t="s">
        <v>173</v>
      </c>
      <c r="HQ164" s="327">
        <v>0.25</v>
      </c>
      <c r="HR164" s="424">
        <v>55</v>
      </c>
      <c r="HS164" s="424" t="s">
        <v>758</v>
      </c>
      <c r="HT164" s="424">
        <v>8</v>
      </c>
      <c r="HU164" s="424" t="s">
        <v>758</v>
      </c>
      <c r="HV164" s="428">
        <v>0.04</v>
      </c>
      <c r="HW164" s="428">
        <v>0.45</v>
      </c>
      <c r="HX164" s="428">
        <v>0.49</v>
      </c>
      <c r="HY164" s="428">
        <v>0.02</v>
      </c>
      <c r="HZ164" s="428">
        <v>0.35</v>
      </c>
      <c r="IA164" s="428">
        <v>0.43</v>
      </c>
      <c r="IB164" s="428">
        <v>0.25</v>
      </c>
      <c r="IC164" s="428">
        <v>0.4</v>
      </c>
      <c r="ID164" s="428">
        <v>0.61</v>
      </c>
      <c r="IE164" s="428">
        <v>0.24</v>
      </c>
      <c r="IF164" s="428">
        <v>0.33</v>
      </c>
      <c r="IG164" s="428">
        <v>0.47</v>
      </c>
      <c r="IH164" s="428">
        <v>0.45</v>
      </c>
      <c r="II164" s="428">
        <v>0.23</v>
      </c>
      <c r="IJ164" s="428">
        <v>0.18</v>
      </c>
      <c r="IK164" s="428">
        <v>0.48</v>
      </c>
      <c r="IL164" s="428">
        <v>0.23</v>
      </c>
      <c r="IM164" s="428">
        <v>0.6</v>
      </c>
      <c r="IN164" s="428">
        <v>0.43</v>
      </c>
      <c r="IO164" s="428">
        <v>0.46</v>
      </c>
      <c r="IP164" s="428">
        <v>0.28999999999999998</v>
      </c>
      <c r="IQ164" s="428">
        <v>0.63</v>
      </c>
      <c r="IR164" s="428">
        <v>0.4</v>
      </c>
      <c r="IS164" s="428">
        <v>0.48</v>
      </c>
      <c r="IT164" s="428">
        <v>0.38</v>
      </c>
      <c r="IU164" s="424" t="s">
        <v>173</v>
      </c>
      <c r="IV164" s="428">
        <v>0.65</v>
      </c>
      <c r="IW164" s="428">
        <v>0.31</v>
      </c>
      <c r="IX164" s="428">
        <v>0.48</v>
      </c>
      <c r="IY164" s="428">
        <v>0.43</v>
      </c>
      <c r="IZ164" s="464">
        <v>56</v>
      </c>
      <c r="JA164" s="464" t="s">
        <v>758</v>
      </c>
      <c r="JB164" s="464">
        <v>9</v>
      </c>
      <c r="JC164" s="464" t="s">
        <v>758</v>
      </c>
      <c r="JD164" s="476">
        <v>0.04</v>
      </c>
      <c r="JE164" s="476">
        <v>0.38</v>
      </c>
      <c r="JF164" s="476">
        <v>0.54</v>
      </c>
      <c r="JG164" s="476">
        <v>0.04</v>
      </c>
      <c r="JH164" s="476">
        <v>0.41</v>
      </c>
      <c r="JI164" s="476">
        <v>0.4</v>
      </c>
      <c r="JJ164" s="476">
        <v>0.32</v>
      </c>
      <c r="JK164" s="476">
        <v>0.42</v>
      </c>
      <c r="JL164" s="476">
        <v>0.41</v>
      </c>
      <c r="JM164" s="476">
        <v>0.36</v>
      </c>
      <c r="JN164" s="476">
        <v>0.26</v>
      </c>
      <c r="JO164" s="476">
        <v>0.36</v>
      </c>
      <c r="JP164" s="476">
        <v>0.49</v>
      </c>
      <c r="JQ164" s="476">
        <v>0.21</v>
      </c>
      <c r="JR164" s="476">
        <v>0.48</v>
      </c>
      <c r="JS164" s="476">
        <v>0.47</v>
      </c>
      <c r="JT164" s="476">
        <v>0.34</v>
      </c>
      <c r="JU164" s="476">
        <v>0.47</v>
      </c>
      <c r="JV164" s="476">
        <v>0.34</v>
      </c>
      <c r="JW164" s="476">
        <v>0.35</v>
      </c>
      <c r="JX164" s="476">
        <v>0.34</v>
      </c>
      <c r="JY164" s="476">
        <v>0.4</v>
      </c>
      <c r="JZ164" s="476">
        <v>0.42</v>
      </c>
      <c r="KA164" s="476">
        <v>0.57999999999999996</v>
      </c>
      <c r="KB164" s="476">
        <v>0.3</v>
      </c>
      <c r="KC164" s="476">
        <v>0.6</v>
      </c>
      <c r="KD164" s="476">
        <v>0.26</v>
      </c>
      <c r="KE164" s="476">
        <v>0.4</v>
      </c>
      <c r="KF164" s="476">
        <v>0.47</v>
      </c>
      <c r="KG164" s="476">
        <v>0.41</v>
      </c>
      <c r="KH164" s="971">
        <v>57</v>
      </c>
      <c r="KI164" s="971" t="s">
        <v>758</v>
      </c>
      <c r="KJ164" s="971">
        <v>9</v>
      </c>
      <c r="KK164" s="971" t="s">
        <v>758</v>
      </c>
      <c r="KL164" s="949">
        <v>0.03</v>
      </c>
      <c r="KM164" s="949">
        <v>0.45</v>
      </c>
      <c r="KN164" s="949">
        <v>0.45</v>
      </c>
      <c r="KO164" s="949">
        <v>7.0000000000000007E-2</v>
      </c>
      <c r="KP164" s="949">
        <v>0.43</v>
      </c>
      <c r="KQ164" s="949">
        <v>0.15</v>
      </c>
      <c r="KR164" s="949">
        <v>0.46</v>
      </c>
      <c r="KS164" s="949">
        <v>0.37</v>
      </c>
      <c r="KT164" s="949">
        <v>0.47</v>
      </c>
      <c r="KU164" s="949">
        <v>0.32</v>
      </c>
      <c r="KV164" s="949">
        <v>0.54</v>
      </c>
      <c r="KW164" s="949">
        <v>0.28000000000000003</v>
      </c>
      <c r="KX164" s="949">
        <v>0.28000000000000003</v>
      </c>
      <c r="KY164" s="949">
        <v>0.49</v>
      </c>
      <c r="KZ164" s="949">
        <v>0.3</v>
      </c>
      <c r="LA164" s="949">
        <v>0.32</v>
      </c>
      <c r="LB164" s="949">
        <v>0.26</v>
      </c>
      <c r="LC164" s="949">
        <v>0.31</v>
      </c>
      <c r="LD164" s="949">
        <v>0.45</v>
      </c>
      <c r="LE164" s="949">
        <v>0.38</v>
      </c>
      <c r="LF164" s="949">
        <v>0.22</v>
      </c>
      <c r="LG164" s="949">
        <v>0.41</v>
      </c>
      <c r="LH164" s="949">
        <v>0.47</v>
      </c>
      <c r="LI164" s="949">
        <v>0.42</v>
      </c>
      <c r="LJ164" s="949">
        <v>0.23</v>
      </c>
      <c r="LK164" s="949">
        <v>0.5</v>
      </c>
      <c r="LL164" s="949" t="s">
        <v>173</v>
      </c>
      <c r="LM164" s="949">
        <v>0.48</v>
      </c>
      <c r="LN164" s="949">
        <v>0.56999999999999995</v>
      </c>
      <c r="LO164" s="949">
        <v>0.35</v>
      </c>
      <c r="LP164" s="922">
        <v>325754005471</v>
      </c>
      <c r="LQ164" s="805" t="s">
        <v>110</v>
      </c>
      <c r="LR164" s="424">
        <v>55</v>
      </c>
      <c r="LS164" s="971">
        <v>57</v>
      </c>
      <c r="LT164" s="946"/>
    </row>
    <row r="165" spans="1:332" ht="24.95" customHeight="1" x14ac:dyDescent="0.2">
      <c r="A165" s="803" t="s">
        <v>116</v>
      </c>
      <c r="B165" s="1" t="s">
        <v>123</v>
      </c>
      <c r="C165" s="2">
        <v>5</v>
      </c>
      <c r="D165" s="12">
        <v>59</v>
      </c>
      <c r="E165" s="12">
        <v>6</v>
      </c>
      <c r="F165" s="66">
        <v>0</v>
      </c>
      <c r="G165" s="66">
        <v>0.21</v>
      </c>
      <c r="H165" s="66">
        <v>0.79</v>
      </c>
      <c r="I165" s="66">
        <v>0</v>
      </c>
      <c r="J165" s="66">
        <v>0.2</v>
      </c>
      <c r="K165" s="66">
        <v>0.28999999999999998</v>
      </c>
      <c r="L165" s="66">
        <v>0.61</v>
      </c>
      <c r="M165" s="66">
        <v>0.08</v>
      </c>
      <c r="N165" s="66">
        <v>0.22</v>
      </c>
      <c r="O165" s="66">
        <v>0.64</v>
      </c>
      <c r="P165" s="66">
        <v>0.38</v>
      </c>
      <c r="Q165" s="66">
        <v>0.49</v>
      </c>
      <c r="R165" s="66">
        <v>0.43</v>
      </c>
      <c r="S165" s="66">
        <v>0.51</v>
      </c>
      <c r="T165" s="66">
        <v>0.38</v>
      </c>
      <c r="U165" s="66">
        <v>0.33</v>
      </c>
      <c r="V165" s="66">
        <v>0</v>
      </c>
      <c r="W165" s="66">
        <v>0</v>
      </c>
      <c r="X165" s="66">
        <v>0.37</v>
      </c>
      <c r="Y165" s="66">
        <v>0.33</v>
      </c>
      <c r="Z165" s="66">
        <v>0</v>
      </c>
      <c r="AA165" s="66">
        <v>0.2</v>
      </c>
      <c r="AB165" s="66">
        <v>0.36</v>
      </c>
      <c r="AC165" s="66">
        <v>0.31</v>
      </c>
      <c r="AD165" s="66">
        <v>0.37</v>
      </c>
      <c r="AE165" s="66">
        <v>0.27</v>
      </c>
      <c r="AF165" s="66">
        <v>0.56000000000000005</v>
      </c>
      <c r="AG165" s="66">
        <v>0.43</v>
      </c>
      <c r="AH165" s="12">
        <v>60</v>
      </c>
      <c r="AI165" s="12">
        <v>5</v>
      </c>
      <c r="AJ165" s="40">
        <v>0</v>
      </c>
      <c r="AK165" s="40">
        <v>0.21</v>
      </c>
      <c r="AL165" s="40">
        <v>0.79</v>
      </c>
      <c r="AM165" s="40">
        <v>0</v>
      </c>
      <c r="AN165" s="40">
        <v>0.21</v>
      </c>
      <c r="AO165" s="40">
        <v>0.3</v>
      </c>
      <c r="AP165" s="40">
        <v>0.33</v>
      </c>
      <c r="AQ165" s="40">
        <v>0.12</v>
      </c>
      <c r="AR165" s="40">
        <v>0.32</v>
      </c>
      <c r="AS165" s="40">
        <v>0.38</v>
      </c>
      <c r="AT165" s="40">
        <v>0.26</v>
      </c>
      <c r="AU165" s="40">
        <v>0.32</v>
      </c>
      <c r="AV165" s="40">
        <v>0.42</v>
      </c>
      <c r="AW165" s="40">
        <v>0.33</v>
      </c>
      <c r="AX165" s="40">
        <v>0.38</v>
      </c>
      <c r="AY165" s="40">
        <v>0.12</v>
      </c>
      <c r="AZ165" s="40">
        <v>0.13</v>
      </c>
      <c r="BA165" s="40">
        <v>0.21</v>
      </c>
      <c r="BB165" s="40">
        <v>0.52</v>
      </c>
      <c r="BC165" s="40">
        <v>0.62</v>
      </c>
      <c r="BD165" s="40">
        <v>0.28000000000000003</v>
      </c>
      <c r="BE165" s="40">
        <v>0.45</v>
      </c>
      <c r="BF165" s="40">
        <v>0.28999999999999998</v>
      </c>
      <c r="BG165" s="40">
        <v>0.52</v>
      </c>
      <c r="BH165" s="40">
        <v>0.39</v>
      </c>
      <c r="BI165" s="40">
        <v>0.27</v>
      </c>
      <c r="BJ165" s="40">
        <v>0.11</v>
      </c>
      <c r="BK165" s="40">
        <v>0.31</v>
      </c>
      <c r="BL165" s="40">
        <v>0.25</v>
      </c>
      <c r="BM165" s="12">
        <v>59</v>
      </c>
      <c r="BN165" s="12">
        <v>10</v>
      </c>
      <c r="BO165" s="66">
        <v>0.03</v>
      </c>
      <c r="BP165" s="66">
        <v>0.34</v>
      </c>
      <c r="BQ165" s="66">
        <v>0.56999999999999995</v>
      </c>
      <c r="BR165" s="66">
        <v>0.06</v>
      </c>
      <c r="BS165" s="66">
        <v>0.21</v>
      </c>
      <c r="BT165" s="66">
        <v>0.5</v>
      </c>
      <c r="BU165" s="66">
        <v>0.53</v>
      </c>
      <c r="BV165" s="66">
        <v>0.13</v>
      </c>
      <c r="BW165" s="66">
        <v>0.49</v>
      </c>
      <c r="BX165" s="66">
        <v>0.22</v>
      </c>
      <c r="BY165" s="66">
        <v>0.31</v>
      </c>
      <c r="BZ165" s="66">
        <v>0.45</v>
      </c>
      <c r="CA165" s="66">
        <v>0.48</v>
      </c>
      <c r="CB165" s="66">
        <v>0.15</v>
      </c>
      <c r="CC165" s="66">
        <v>0.13</v>
      </c>
      <c r="CD165" s="66">
        <v>0.22</v>
      </c>
      <c r="CE165" s="66">
        <v>0.25</v>
      </c>
      <c r="CF165" s="66">
        <v>0.51</v>
      </c>
      <c r="CG165" s="66">
        <v>0.44</v>
      </c>
      <c r="CH165" s="66">
        <v>0.26</v>
      </c>
      <c r="CI165" s="66">
        <v>0.5</v>
      </c>
      <c r="CJ165" s="66">
        <v>0.23</v>
      </c>
      <c r="CK165" s="66">
        <v>0.5</v>
      </c>
      <c r="CL165" s="66">
        <v>0.14000000000000001</v>
      </c>
      <c r="CM165" s="66">
        <v>0.37</v>
      </c>
      <c r="CN165" s="66">
        <v>0.23</v>
      </c>
      <c r="CO165" s="66">
        <v>0.31</v>
      </c>
      <c r="CP165" s="66">
        <v>0.28000000000000003</v>
      </c>
      <c r="CQ165" s="66">
        <v>0.33</v>
      </c>
      <c r="CR165" s="66">
        <v>0.37</v>
      </c>
      <c r="CS165" s="12">
        <v>56</v>
      </c>
      <c r="CT165" s="12">
        <v>7</v>
      </c>
      <c r="CU165" s="63">
        <v>0</v>
      </c>
      <c r="CV165" s="63">
        <v>0.55000000000000004</v>
      </c>
      <c r="CW165" s="63">
        <v>0.45</v>
      </c>
      <c r="CX165" s="63">
        <v>0</v>
      </c>
      <c r="CY165" s="63">
        <v>0.46</v>
      </c>
      <c r="CZ165" s="63">
        <v>0.2</v>
      </c>
      <c r="DA165" s="63">
        <v>0.4</v>
      </c>
      <c r="DB165" s="63">
        <v>0.19</v>
      </c>
      <c r="DC165" s="63">
        <v>0.41</v>
      </c>
      <c r="DD165" s="63">
        <v>0.52</v>
      </c>
      <c r="DE165" s="63">
        <v>0.36</v>
      </c>
      <c r="DF165" s="63">
        <v>0.56000000000000005</v>
      </c>
      <c r="DG165" s="63">
        <v>0.28999999999999998</v>
      </c>
      <c r="DH165" s="63">
        <v>0.39</v>
      </c>
      <c r="DI165" s="63">
        <v>0.53</v>
      </c>
      <c r="DJ165" s="63">
        <v>0.25</v>
      </c>
      <c r="DK165" s="63">
        <v>0.12</v>
      </c>
      <c r="DL165" s="63">
        <v>0</v>
      </c>
      <c r="DM165" s="63">
        <v>0.5</v>
      </c>
      <c r="DN165" s="63">
        <v>0.46</v>
      </c>
      <c r="DO165" s="63">
        <v>0.35</v>
      </c>
      <c r="DP165" s="63">
        <v>0.38</v>
      </c>
      <c r="DQ165" s="63">
        <v>0.46</v>
      </c>
      <c r="DR165" s="63">
        <v>0.05</v>
      </c>
      <c r="DS165" s="63">
        <v>0.21</v>
      </c>
      <c r="DT165" s="63">
        <v>0.61</v>
      </c>
      <c r="DU165" s="63">
        <v>0.5</v>
      </c>
      <c r="DV165" s="63">
        <v>0.53</v>
      </c>
      <c r="DW165" s="63">
        <v>0.34</v>
      </c>
      <c r="DX165" s="35">
        <v>55</v>
      </c>
      <c r="DY165" s="35">
        <v>6</v>
      </c>
      <c r="DZ165" s="40">
        <v>0</v>
      </c>
      <c r="EA165" s="40">
        <v>0.56000000000000005</v>
      </c>
      <c r="EB165" s="40">
        <v>0.44</v>
      </c>
      <c r="EC165" s="40">
        <v>0</v>
      </c>
      <c r="ED165" s="40">
        <v>0.47</v>
      </c>
      <c r="EE165" s="40">
        <v>0.36</v>
      </c>
      <c r="EF165" s="40">
        <v>0.51</v>
      </c>
      <c r="EG165" s="40">
        <v>0.09</v>
      </c>
      <c r="EH165" s="40">
        <v>0.32</v>
      </c>
      <c r="EI165" s="40">
        <v>0.48</v>
      </c>
      <c r="EJ165" s="40">
        <v>0.47</v>
      </c>
      <c r="EK165" s="40">
        <v>0.2</v>
      </c>
      <c r="EL165" s="40">
        <v>0.37</v>
      </c>
      <c r="EM165" s="40">
        <v>0.51</v>
      </c>
      <c r="EN165" s="40">
        <v>0.33</v>
      </c>
      <c r="EO165" s="40">
        <v>0.47</v>
      </c>
      <c r="EP165" s="40">
        <v>0.22</v>
      </c>
      <c r="EQ165" s="40">
        <v>0.14000000000000001</v>
      </c>
      <c r="ER165" s="40">
        <v>0.59</v>
      </c>
      <c r="ES165" s="40">
        <v>0.37</v>
      </c>
      <c r="ET165" s="40">
        <v>0.2</v>
      </c>
      <c r="EU165" s="40">
        <v>0.56999999999999995</v>
      </c>
      <c r="EV165" s="40">
        <v>0.24</v>
      </c>
      <c r="EW165" s="40">
        <v>0.3</v>
      </c>
      <c r="EX165" s="40">
        <v>0.69</v>
      </c>
      <c r="EY165" s="40">
        <v>0.46</v>
      </c>
      <c r="EZ165" s="40">
        <v>0.11</v>
      </c>
      <c r="FA165" s="40">
        <v>0.51</v>
      </c>
      <c r="FB165" s="246">
        <v>55</v>
      </c>
      <c r="FC165" s="246" t="s">
        <v>758</v>
      </c>
      <c r="FD165" s="246">
        <v>9</v>
      </c>
      <c r="FE165" s="246" t="s">
        <v>758</v>
      </c>
      <c r="FF165" s="263">
        <v>0.05</v>
      </c>
      <c r="FG165" s="263">
        <v>0.47</v>
      </c>
      <c r="FH165" s="263">
        <v>0.49</v>
      </c>
      <c r="FI165" s="263">
        <v>0</v>
      </c>
      <c r="FJ165" s="263">
        <v>0.35</v>
      </c>
      <c r="FK165" s="263">
        <v>0.61</v>
      </c>
      <c r="FL165" s="263">
        <v>0.39</v>
      </c>
      <c r="FM165" s="263">
        <v>0.28999999999999998</v>
      </c>
      <c r="FN165" s="263">
        <v>0.22</v>
      </c>
      <c r="FO165" s="263">
        <v>0.14000000000000001</v>
      </c>
      <c r="FP165" s="263">
        <v>0.34</v>
      </c>
      <c r="FQ165" s="263">
        <v>0.39</v>
      </c>
      <c r="FR165" s="263">
        <v>0.49</v>
      </c>
      <c r="FS165" s="263">
        <v>0.42</v>
      </c>
      <c r="FT165" s="263">
        <v>0.42</v>
      </c>
      <c r="FU165" s="263">
        <v>0.21</v>
      </c>
      <c r="FV165" s="263">
        <v>0.42</v>
      </c>
      <c r="FW165" s="263">
        <v>0.52</v>
      </c>
      <c r="FX165" s="263">
        <v>0.32</v>
      </c>
      <c r="FY165" s="263">
        <v>0.27</v>
      </c>
      <c r="FZ165" s="263">
        <v>0.28999999999999998</v>
      </c>
      <c r="GA165" s="263">
        <v>0.51</v>
      </c>
      <c r="GB165" s="263">
        <v>0.42</v>
      </c>
      <c r="GC165" s="263">
        <v>0.4</v>
      </c>
      <c r="GD165" s="263">
        <v>0.53</v>
      </c>
      <c r="GE165" s="263">
        <v>0.4</v>
      </c>
      <c r="GF165" s="263">
        <v>0.44</v>
      </c>
      <c r="GG165" s="263">
        <v>0.36</v>
      </c>
      <c r="GH165" s="263">
        <v>0.53</v>
      </c>
      <c r="GI165" s="263">
        <v>0.22</v>
      </c>
      <c r="GJ165" s="309">
        <v>56</v>
      </c>
      <c r="GK165" s="309" t="s">
        <v>758</v>
      </c>
      <c r="GL165" s="309">
        <v>9</v>
      </c>
      <c r="GM165" s="309" t="s">
        <v>758</v>
      </c>
      <c r="GN165" s="327">
        <v>0.08</v>
      </c>
      <c r="GO165" s="327">
        <v>0.39</v>
      </c>
      <c r="GP165" s="327">
        <v>0.47</v>
      </c>
      <c r="GQ165" s="327">
        <v>0.05</v>
      </c>
      <c r="GR165" s="327">
        <v>0.45</v>
      </c>
      <c r="GS165" s="327">
        <v>0.46</v>
      </c>
      <c r="GT165" s="327">
        <v>0.52</v>
      </c>
      <c r="GU165" s="327">
        <v>0.14000000000000001</v>
      </c>
      <c r="GV165" s="327">
        <v>0.4</v>
      </c>
      <c r="GW165" s="327">
        <v>0.24</v>
      </c>
      <c r="GX165" s="327">
        <v>0.36</v>
      </c>
      <c r="GY165" s="309" t="s">
        <v>173</v>
      </c>
      <c r="GZ165" s="327">
        <v>0.28999999999999998</v>
      </c>
      <c r="HA165" s="327">
        <v>0.56000000000000005</v>
      </c>
      <c r="HB165" s="327">
        <v>0.4</v>
      </c>
      <c r="HC165" s="327">
        <v>0.45</v>
      </c>
      <c r="HD165" s="327">
        <v>0.39</v>
      </c>
      <c r="HE165" s="327">
        <v>0.36</v>
      </c>
      <c r="HF165" s="327">
        <v>0.35</v>
      </c>
      <c r="HG165" s="327">
        <v>0.6</v>
      </c>
      <c r="HH165" s="327">
        <v>0.28999999999999998</v>
      </c>
      <c r="HI165" s="327">
        <v>0.45</v>
      </c>
      <c r="HJ165" s="327">
        <v>0.47</v>
      </c>
      <c r="HK165" s="327">
        <v>0.31</v>
      </c>
      <c r="HL165" s="327">
        <v>0.36</v>
      </c>
      <c r="HM165" s="327">
        <v>0.43</v>
      </c>
      <c r="HN165" s="327">
        <v>0.49</v>
      </c>
      <c r="HO165" s="327">
        <v>0.35</v>
      </c>
      <c r="HP165" s="309" t="s">
        <v>173</v>
      </c>
      <c r="HQ165" s="327">
        <v>0.24</v>
      </c>
      <c r="HR165" s="424">
        <v>58</v>
      </c>
      <c r="HS165" s="424" t="s">
        <v>758</v>
      </c>
      <c r="HT165" s="424">
        <v>8</v>
      </c>
      <c r="HU165" s="424" t="s">
        <v>758</v>
      </c>
      <c r="HV165" s="428">
        <v>0.03</v>
      </c>
      <c r="HW165" s="428">
        <v>0.36</v>
      </c>
      <c r="HX165" s="428">
        <v>0.55000000000000004</v>
      </c>
      <c r="HY165" s="428">
        <v>0.05</v>
      </c>
      <c r="HZ165" s="428">
        <v>0.28000000000000003</v>
      </c>
      <c r="IA165" s="428">
        <v>0.43</v>
      </c>
      <c r="IB165" s="428">
        <v>0.23</v>
      </c>
      <c r="IC165" s="428">
        <v>0.33</v>
      </c>
      <c r="ID165" s="428">
        <v>0.6</v>
      </c>
      <c r="IE165" s="428">
        <v>0.26</v>
      </c>
      <c r="IF165" s="428">
        <v>0.3</v>
      </c>
      <c r="IG165" s="428">
        <v>0.43</v>
      </c>
      <c r="IH165" s="428">
        <v>0.37</v>
      </c>
      <c r="II165" s="428">
        <v>0.17</v>
      </c>
      <c r="IJ165" s="428">
        <v>0.18</v>
      </c>
      <c r="IK165" s="428">
        <v>0.49</v>
      </c>
      <c r="IL165" s="428">
        <v>0.26</v>
      </c>
      <c r="IM165" s="428">
        <v>0.42</v>
      </c>
      <c r="IN165" s="428">
        <v>0.34</v>
      </c>
      <c r="IO165" s="428">
        <v>0.5</v>
      </c>
      <c r="IP165" s="428">
        <v>0.22</v>
      </c>
      <c r="IQ165" s="428">
        <v>0.51</v>
      </c>
      <c r="IR165" s="428">
        <v>0.44</v>
      </c>
      <c r="IS165" s="428">
        <v>0.32</v>
      </c>
      <c r="IT165" s="428">
        <v>0.26</v>
      </c>
      <c r="IU165" s="424" t="s">
        <v>173</v>
      </c>
      <c r="IV165" s="428">
        <v>0.53</v>
      </c>
      <c r="IW165" s="428">
        <v>0.36</v>
      </c>
      <c r="IX165" s="428">
        <v>0.36</v>
      </c>
      <c r="IY165" s="428">
        <v>0.4</v>
      </c>
      <c r="IZ165" s="464">
        <v>58</v>
      </c>
      <c r="JA165" s="464" t="s">
        <v>758</v>
      </c>
      <c r="JB165" s="464">
        <v>8</v>
      </c>
      <c r="JC165" s="464" t="s">
        <v>758</v>
      </c>
      <c r="JD165" s="476">
        <v>0.03</v>
      </c>
      <c r="JE165" s="476">
        <v>0.34</v>
      </c>
      <c r="JF165" s="476">
        <v>0.62</v>
      </c>
      <c r="JG165" s="476">
        <v>0.01</v>
      </c>
      <c r="JH165" s="476">
        <v>0.27</v>
      </c>
      <c r="JI165" s="476">
        <v>0.4</v>
      </c>
      <c r="JJ165" s="476">
        <v>0.3</v>
      </c>
      <c r="JK165" s="476">
        <v>0.38</v>
      </c>
      <c r="JL165" s="476">
        <v>0.38</v>
      </c>
      <c r="JM165" s="476">
        <v>0.42</v>
      </c>
      <c r="JN165" s="476">
        <v>0.23</v>
      </c>
      <c r="JO165" s="476">
        <v>0.32</v>
      </c>
      <c r="JP165" s="476">
        <v>0.46</v>
      </c>
      <c r="JQ165" s="476">
        <v>0.16</v>
      </c>
      <c r="JR165" s="476">
        <v>0.41</v>
      </c>
      <c r="JS165" s="476">
        <v>0.39</v>
      </c>
      <c r="JT165" s="476">
        <v>0.27</v>
      </c>
      <c r="JU165" s="476">
        <v>0.43</v>
      </c>
      <c r="JV165" s="476">
        <v>0.34</v>
      </c>
      <c r="JW165" s="476">
        <v>0.36</v>
      </c>
      <c r="JX165" s="476">
        <v>0.33</v>
      </c>
      <c r="JY165" s="476">
        <v>0.37</v>
      </c>
      <c r="JZ165" s="476">
        <v>0.31</v>
      </c>
      <c r="KA165" s="476">
        <v>0.49</v>
      </c>
      <c r="KB165" s="476">
        <v>0.36</v>
      </c>
      <c r="KC165" s="476">
        <v>0.63</v>
      </c>
      <c r="KD165" s="476">
        <v>0.21</v>
      </c>
      <c r="KE165" s="476">
        <v>0.41</v>
      </c>
      <c r="KF165" s="476">
        <v>0.4</v>
      </c>
      <c r="KG165" s="476">
        <v>0.39</v>
      </c>
      <c r="KH165" s="971">
        <v>59</v>
      </c>
      <c r="KI165" s="971" t="s">
        <v>758</v>
      </c>
      <c r="KJ165" s="971">
        <v>9</v>
      </c>
      <c r="KK165" s="971" t="s">
        <v>758</v>
      </c>
      <c r="KL165" s="949">
        <v>0.03</v>
      </c>
      <c r="KM165" s="949">
        <v>0.34</v>
      </c>
      <c r="KN165" s="949">
        <v>0.55000000000000004</v>
      </c>
      <c r="KO165" s="949">
        <v>0.08</v>
      </c>
      <c r="KP165" s="949">
        <v>0.37</v>
      </c>
      <c r="KQ165" s="949">
        <v>0.14000000000000001</v>
      </c>
      <c r="KR165" s="949">
        <v>0.44</v>
      </c>
      <c r="KS165" s="949">
        <v>0.4</v>
      </c>
      <c r="KT165" s="949">
        <v>0.41</v>
      </c>
      <c r="KU165" s="949">
        <v>0.16</v>
      </c>
      <c r="KV165" s="949">
        <v>0.44</v>
      </c>
      <c r="KW165" s="949">
        <v>0.28000000000000003</v>
      </c>
      <c r="KX165" s="949">
        <v>0.25</v>
      </c>
      <c r="KY165" s="949">
        <v>0.44</v>
      </c>
      <c r="KZ165" s="949">
        <v>0.22</v>
      </c>
      <c r="LA165" s="949">
        <v>0.34</v>
      </c>
      <c r="LB165" s="949">
        <v>0.24</v>
      </c>
      <c r="LC165" s="949">
        <v>0.27</v>
      </c>
      <c r="LD165" s="949">
        <v>0.36</v>
      </c>
      <c r="LE165" s="949">
        <v>0.33</v>
      </c>
      <c r="LF165" s="949">
        <v>0.2</v>
      </c>
      <c r="LG165" s="949">
        <v>0.35</v>
      </c>
      <c r="LH165" s="949">
        <v>0.42</v>
      </c>
      <c r="LI165" s="949">
        <v>0.42</v>
      </c>
      <c r="LJ165" s="949">
        <v>0.26</v>
      </c>
      <c r="LK165" s="949">
        <v>0.39</v>
      </c>
      <c r="LL165" s="949" t="s">
        <v>173</v>
      </c>
      <c r="LM165" s="949">
        <v>0.43</v>
      </c>
      <c r="LN165" s="949">
        <v>0.5</v>
      </c>
      <c r="LO165" s="949">
        <v>0.42</v>
      </c>
      <c r="LP165" s="922">
        <v>325754003878</v>
      </c>
      <c r="LQ165" s="803" t="s">
        <v>116</v>
      </c>
      <c r="LR165" s="424">
        <v>58</v>
      </c>
      <c r="LS165" s="971">
        <v>59</v>
      </c>
      <c r="LT165" s="946"/>
    </row>
    <row r="166" spans="1:332" ht="24.95" customHeight="1" x14ac:dyDescent="0.2">
      <c r="A166" s="803" t="s">
        <v>98</v>
      </c>
      <c r="B166" s="1" t="s">
        <v>123</v>
      </c>
      <c r="C166" s="2">
        <v>5</v>
      </c>
      <c r="D166" s="12">
        <v>56</v>
      </c>
      <c r="E166" s="12">
        <v>5</v>
      </c>
      <c r="F166" s="66">
        <v>0</v>
      </c>
      <c r="G166" s="66">
        <v>0.56999999999999995</v>
      </c>
      <c r="H166" s="66">
        <v>0.43</v>
      </c>
      <c r="I166" s="66">
        <v>0</v>
      </c>
      <c r="J166" s="66">
        <v>0.36</v>
      </c>
      <c r="K166" s="66">
        <v>0.23</v>
      </c>
      <c r="L166" s="66">
        <v>0.68</v>
      </c>
      <c r="M166" s="66">
        <v>0.05</v>
      </c>
      <c r="N166" s="66">
        <v>0.18</v>
      </c>
      <c r="O166" s="66">
        <v>0.53</v>
      </c>
      <c r="P166" s="66">
        <v>0.28000000000000003</v>
      </c>
      <c r="Q166" s="66">
        <v>0.51</v>
      </c>
      <c r="R166" s="66">
        <v>0.6</v>
      </c>
      <c r="S166" s="66">
        <v>0.47</v>
      </c>
      <c r="T166" s="66">
        <v>0.32</v>
      </c>
      <c r="U166" s="66">
        <v>0.49</v>
      </c>
      <c r="V166" s="66">
        <v>0.09</v>
      </c>
      <c r="W166" s="66">
        <v>0.22</v>
      </c>
      <c r="X166" s="66">
        <v>0.49</v>
      </c>
      <c r="Y166" s="66">
        <v>0.46</v>
      </c>
      <c r="Z166" s="66">
        <v>1</v>
      </c>
      <c r="AA166" s="66">
        <v>0</v>
      </c>
      <c r="AB166" s="66">
        <v>0.42</v>
      </c>
      <c r="AC166" s="66">
        <v>0.09</v>
      </c>
      <c r="AD166" s="66">
        <v>0.4</v>
      </c>
      <c r="AE166" s="66">
        <v>0.31</v>
      </c>
      <c r="AF166" s="66">
        <v>0.59</v>
      </c>
      <c r="AG166" s="66">
        <v>0.51</v>
      </c>
      <c r="AH166" s="12">
        <v>55</v>
      </c>
      <c r="AI166" s="12">
        <v>7</v>
      </c>
      <c r="AJ166" s="40">
        <v>0.03</v>
      </c>
      <c r="AK166" s="40">
        <v>0.48</v>
      </c>
      <c r="AL166" s="40">
        <v>0.48</v>
      </c>
      <c r="AM166" s="40">
        <v>0</v>
      </c>
      <c r="AN166" s="40">
        <v>0.14000000000000001</v>
      </c>
      <c r="AO166" s="40">
        <v>0.38</v>
      </c>
      <c r="AP166" s="40">
        <v>0.63</v>
      </c>
      <c r="AQ166" s="40">
        <v>0.31</v>
      </c>
      <c r="AR166" s="40">
        <v>0.51</v>
      </c>
      <c r="AS166" s="40">
        <v>0.42</v>
      </c>
      <c r="AT166" s="40">
        <v>0.35</v>
      </c>
      <c r="AU166" s="40">
        <v>0.56000000000000005</v>
      </c>
      <c r="AV166" s="40">
        <v>0.57999999999999996</v>
      </c>
      <c r="AW166" s="40">
        <v>0.64</v>
      </c>
      <c r="AX166" s="40">
        <v>0.43</v>
      </c>
      <c r="AY166" s="40">
        <v>0.25</v>
      </c>
      <c r="AZ166" s="40">
        <v>0.21</v>
      </c>
      <c r="BA166" s="40">
        <v>0.33</v>
      </c>
      <c r="BB166" s="40">
        <v>0.51</v>
      </c>
      <c r="BC166" s="40">
        <v>0.54</v>
      </c>
      <c r="BD166" s="40">
        <v>0.36</v>
      </c>
      <c r="BE166" s="40">
        <v>0.79</v>
      </c>
      <c r="BF166" s="40">
        <v>0.64</v>
      </c>
      <c r="BG166" s="40">
        <v>0.52</v>
      </c>
      <c r="BH166" s="40">
        <v>0.43</v>
      </c>
      <c r="BI166" s="40">
        <v>0.31</v>
      </c>
      <c r="BJ166" s="40">
        <v>0.36</v>
      </c>
      <c r="BK166" s="40">
        <v>0.36</v>
      </c>
      <c r="BL166" s="40">
        <v>0.47</v>
      </c>
      <c r="BM166" s="12">
        <v>57</v>
      </c>
      <c r="BN166" s="12">
        <v>5</v>
      </c>
      <c r="BO166" s="66">
        <v>0</v>
      </c>
      <c r="BP166" s="66">
        <v>0.28000000000000003</v>
      </c>
      <c r="BQ166" s="66">
        <v>0.72</v>
      </c>
      <c r="BR166" s="66">
        <v>0</v>
      </c>
      <c r="BS166" s="66">
        <v>0.14000000000000001</v>
      </c>
      <c r="BT166" s="66">
        <v>0.78</v>
      </c>
      <c r="BU166" s="66">
        <v>0.56000000000000005</v>
      </c>
      <c r="BV166" s="66">
        <v>0.09</v>
      </c>
      <c r="BW166" s="66">
        <v>0.8</v>
      </c>
      <c r="BX166" s="66">
        <v>0.27</v>
      </c>
      <c r="BY166" s="66">
        <v>0.26</v>
      </c>
      <c r="BZ166" s="66">
        <v>0.41</v>
      </c>
      <c r="CA166" s="66">
        <v>0.38</v>
      </c>
      <c r="CB166" s="66">
        <v>0.19</v>
      </c>
      <c r="CC166" s="66">
        <v>0.08</v>
      </c>
      <c r="CD166" s="66">
        <v>0.14000000000000001</v>
      </c>
      <c r="CE166" s="66">
        <v>0.11</v>
      </c>
      <c r="CF166" s="66">
        <v>0.5</v>
      </c>
      <c r="CG166" s="66">
        <v>0.5</v>
      </c>
      <c r="CH166" s="66">
        <v>0.28999999999999998</v>
      </c>
      <c r="CI166" s="66">
        <v>0.49</v>
      </c>
      <c r="CJ166" s="66">
        <v>0.26</v>
      </c>
      <c r="CK166" s="66">
        <v>0.49</v>
      </c>
      <c r="CL166" s="66">
        <v>0.18</v>
      </c>
      <c r="CM166" s="66">
        <v>0.2</v>
      </c>
      <c r="CN166" s="66">
        <v>0.3</v>
      </c>
      <c r="CO166" s="66">
        <v>0.38</v>
      </c>
      <c r="CP166" s="66">
        <v>0.18</v>
      </c>
      <c r="CQ166" s="66">
        <v>0.48</v>
      </c>
      <c r="CR166" s="66">
        <v>0.47</v>
      </c>
      <c r="CS166" s="12">
        <v>53</v>
      </c>
      <c r="CT166" s="12">
        <v>8</v>
      </c>
      <c r="CU166" s="63">
        <v>0.05</v>
      </c>
      <c r="CV166" s="63">
        <v>0.5</v>
      </c>
      <c r="CW166" s="63">
        <v>0.4</v>
      </c>
      <c r="CX166" s="63">
        <v>0.05</v>
      </c>
      <c r="CY166" s="63">
        <v>0.44</v>
      </c>
      <c r="CZ166" s="63">
        <v>0.23</v>
      </c>
      <c r="DA166" s="63">
        <v>0.49</v>
      </c>
      <c r="DB166" s="63">
        <v>0.32</v>
      </c>
      <c r="DC166" s="63">
        <v>0.39</v>
      </c>
      <c r="DD166" s="63">
        <v>0.62</v>
      </c>
      <c r="DE166" s="63">
        <v>0.43</v>
      </c>
      <c r="DF166" s="63">
        <v>0.46</v>
      </c>
      <c r="DG166" s="63">
        <v>0.43</v>
      </c>
      <c r="DH166" s="63">
        <v>0.28999999999999998</v>
      </c>
      <c r="DI166" s="63">
        <v>0.38</v>
      </c>
      <c r="DJ166" s="63">
        <v>0.36</v>
      </c>
      <c r="DK166" s="63">
        <v>0.33</v>
      </c>
      <c r="DL166" s="63">
        <v>0.4</v>
      </c>
      <c r="DM166" s="63">
        <v>0.49</v>
      </c>
      <c r="DN166" s="63">
        <v>0.38</v>
      </c>
      <c r="DO166" s="63">
        <v>0.38</v>
      </c>
      <c r="DP166" s="63">
        <v>0.43</v>
      </c>
      <c r="DQ166" s="63">
        <v>0.5</v>
      </c>
      <c r="DR166" s="63">
        <v>0.15</v>
      </c>
      <c r="DS166" s="63">
        <v>0.33</v>
      </c>
      <c r="DT166" s="63">
        <v>0.61</v>
      </c>
      <c r="DU166" s="63">
        <v>0.56000000000000005</v>
      </c>
      <c r="DV166" s="63">
        <v>0.4</v>
      </c>
      <c r="DW166" s="63">
        <v>0.24</v>
      </c>
      <c r="DX166" s="35">
        <v>56</v>
      </c>
      <c r="DY166" s="35">
        <v>6</v>
      </c>
      <c r="DZ166" s="40">
        <v>0.05</v>
      </c>
      <c r="EA166" s="40">
        <v>0.28999999999999998</v>
      </c>
      <c r="EB166" s="40">
        <v>0.67</v>
      </c>
      <c r="EC166" s="40">
        <v>0</v>
      </c>
      <c r="ED166" s="40">
        <v>0.48</v>
      </c>
      <c r="EE166" s="40">
        <v>0.39</v>
      </c>
      <c r="EF166" s="40">
        <v>0.44</v>
      </c>
      <c r="EG166" s="40">
        <v>0.08</v>
      </c>
      <c r="EH166" s="40">
        <v>0.23</v>
      </c>
      <c r="EI166" s="40">
        <v>0.37</v>
      </c>
      <c r="EJ166" s="40">
        <v>0.59</v>
      </c>
      <c r="EK166" s="40">
        <v>0.15</v>
      </c>
      <c r="EL166" s="40">
        <v>0.34</v>
      </c>
      <c r="EM166" s="40">
        <v>0.47</v>
      </c>
      <c r="EN166" s="40">
        <v>0.27</v>
      </c>
      <c r="EO166" s="40">
        <v>0.48</v>
      </c>
      <c r="EP166" s="40">
        <v>0.33</v>
      </c>
      <c r="EQ166" s="40">
        <v>0.08</v>
      </c>
      <c r="ER166" s="40">
        <v>0.35</v>
      </c>
      <c r="ES166" s="40">
        <v>0.38</v>
      </c>
      <c r="ET166" s="40">
        <v>0.24</v>
      </c>
      <c r="EU166" s="40">
        <v>0.32</v>
      </c>
      <c r="EV166" s="40">
        <v>0.13</v>
      </c>
      <c r="EW166" s="40">
        <v>0.21</v>
      </c>
      <c r="EX166" s="40">
        <v>0.55000000000000004</v>
      </c>
      <c r="EY166" s="40">
        <v>0.45</v>
      </c>
      <c r="EZ166" s="40">
        <v>0</v>
      </c>
      <c r="FA166" s="40">
        <v>0.47</v>
      </c>
      <c r="FB166" s="246">
        <v>54</v>
      </c>
      <c r="FC166" s="246" t="s">
        <v>758</v>
      </c>
      <c r="FD166" s="246">
        <v>9</v>
      </c>
      <c r="FE166" s="246" t="s">
        <v>758</v>
      </c>
      <c r="FF166" s="263">
        <v>7.0000000000000007E-2</v>
      </c>
      <c r="FG166" s="263">
        <v>0.56999999999999995</v>
      </c>
      <c r="FH166" s="263">
        <v>0.36</v>
      </c>
      <c r="FI166" s="263">
        <v>0</v>
      </c>
      <c r="FJ166" s="263">
        <v>0.45</v>
      </c>
      <c r="FK166" s="263">
        <v>0.56000000000000005</v>
      </c>
      <c r="FL166" s="263">
        <v>0.42</v>
      </c>
      <c r="FM166" s="263">
        <v>0.42</v>
      </c>
      <c r="FN166" s="263">
        <v>0.2</v>
      </c>
      <c r="FO166" s="263">
        <v>0.05</v>
      </c>
      <c r="FP166" s="263">
        <v>0.3</v>
      </c>
      <c r="FQ166" s="263">
        <v>0.35</v>
      </c>
      <c r="FR166" s="263">
        <v>0.48</v>
      </c>
      <c r="FS166" s="263">
        <v>0.48</v>
      </c>
      <c r="FT166" s="263">
        <v>0.45</v>
      </c>
      <c r="FU166" s="263">
        <v>0.28999999999999998</v>
      </c>
      <c r="FV166" s="263">
        <v>0.52</v>
      </c>
      <c r="FW166" s="263">
        <v>0.6</v>
      </c>
      <c r="FX166" s="263">
        <v>0.44</v>
      </c>
      <c r="FY166" s="263">
        <v>0.4</v>
      </c>
      <c r="FZ166" s="263">
        <v>0.15</v>
      </c>
      <c r="GA166" s="263">
        <v>0.28999999999999998</v>
      </c>
      <c r="GB166" s="263">
        <v>0.5</v>
      </c>
      <c r="GC166" s="263">
        <v>0.26</v>
      </c>
      <c r="GD166" s="263">
        <v>0.67</v>
      </c>
      <c r="GE166" s="263">
        <v>0.5</v>
      </c>
      <c r="GF166" s="263">
        <v>0.36</v>
      </c>
      <c r="GG166" s="263">
        <v>0.26</v>
      </c>
      <c r="GH166" s="263">
        <v>0.41</v>
      </c>
      <c r="GI166" s="263">
        <v>0.26</v>
      </c>
      <c r="GJ166" s="309">
        <v>57</v>
      </c>
      <c r="GK166" s="309" t="s">
        <v>758</v>
      </c>
      <c r="GL166" s="309">
        <v>6</v>
      </c>
      <c r="GM166" s="309" t="s">
        <v>758</v>
      </c>
      <c r="GN166" s="327">
        <v>0</v>
      </c>
      <c r="GO166" s="327">
        <v>0.35</v>
      </c>
      <c r="GP166" s="327">
        <v>0.65</v>
      </c>
      <c r="GQ166" s="327">
        <v>0</v>
      </c>
      <c r="GR166" s="327">
        <v>0.33</v>
      </c>
      <c r="GS166" s="327">
        <v>0.44</v>
      </c>
      <c r="GT166" s="327">
        <v>0.59</v>
      </c>
      <c r="GU166" s="327">
        <v>0.09</v>
      </c>
      <c r="GV166" s="327">
        <v>0.41</v>
      </c>
      <c r="GW166" s="327">
        <v>0.21</v>
      </c>
      <c r="GX166" s="327">
        <v>0.35</v>
      </c>
      <c r="GY166" s="309" t="s">
        <v>173</v>
      </c>
      <c r="GZ166" s="327">
        <v>0.15</v>
      </c>
      <c r="HA166" s="327">
        <v>0.56999999999999995</v>
      </c>
      <c r="HB166" s="327">
        <v>0.35</v>
      </c>
      <c r="HC166" s="327">
        <v>0.49</v>
      </c>
      <c r="HD166" s="327">
        <v>0.41</v>
      </c>
      <c r="HE166" s="327">
        <v>0.23</v>
      </c>
      <c r="HF166" s="327">
        <v>0.37</v>
      </c>
      <c r="HG166" s="327">
        <v>0.65</v>
      </c>
      <c r="HH166" s="327">
        <v>0.24</v>
      </c>
      <c r="HI166" s="327">
        <v>0.44</v>
      </c>
      <c r="HJ166" s="327">
        <v>0.52</v>
      </c>
      <c r="HK166" s="327">
        <v>0.2</v>
      </c>
      <c r="HL166" s="327">
        <v>0.28000000000000003</v>
      </c>
      <c r="HM166" s="327">
        <v>0.43</v>
      </c>
      <c r="HN166" s="327">
        <v>0.4</v>
      </c>
      <c r="HO166" s="327">
        <v>0.31</v>
      </c>
      <c r="HP166" s="309" t="s">
        <v>173</v>
      </c>
      <c r="HQ166" s="327">
        <v>0.27</v>
      </c>
      <c r="HR166" s="424">
        <v>55</v>
      </c>
      <c r="HS166" s="424" t="s">
        <v>758</v>
      </c>
      <c r="HT166" s="424">
        <v>8</v>
      </c>
      <c r="HU166" s="424" t="s">
        <v>758</v>
      </c>
      <c r="HV166" s="428">
        <v>7.0000000000000007E-2</v>
      </c>
      <c r="HW166" s="428">
        <v>0.55000000000000004</v>
      </c>
      <c r="HX166" s="428">
        <v>0.33</v>
      </c>
      <c r="HY166" s="428">
        <v>0.05</v>
      </c>
      <c r="HZ166" s="428">
        <v>0.26</v>
      </c>
      <c r="IA166" s="428">
        <v>0.38</v>
      </c>
      <c r="IB166" s="428">
        <v>0.25</v>
      </c>
      <c r="IC166" s="428">
        <v>0.44</v>
      </c>
      <c r="ID166" s="428">
        <v>0.56999999999999995</v>
      </c>
      <c r="IE166" s="428">
        <v>0.28000000000000003</v>
      </c>
      <c r="IF166" s="428">
        <v>0.4</v>
      </c>
      <c r="IG166" s="428">
        <v>0.47</v>
      </c>
      <c r="IH166" s="428">
        <v>0.48</v>
      </c>
      <c r="II166" s="428">
        <v>0.19</v>
      </c>
      <c r="IJ166" s="428">
        <v>0.28000000000000003</v>
      </c>
      <c r="IK166" s="428">
        <v>0.5</v>
      </c>
      <c r="IL166" s="428">
        <v>0.33</v>
      </c>
      <c r="IM166" s="428">
        <v>0.53</v>
      </c>
      <c r="IN166" s="428">
        <v>0.41</v>
      </c>
      <c r="IO166" s="428">
        <v>0.44</v>
      </c>
      <c r="IP166" s="428">
        <v>0.33</v>
      </c>
      <c r="IQ166" s="428">
        <v>0.54</v>
      </c>
      <c r="IR166" s="428">
        <v>0.43</v>
      </c>
      <c r="IS166" s="428">
        <v>0.47</v>
      </c>
      <c r="IT166" s="428">
        <v>0.32</v>
      </c>
      <c r="IU166" s="424" t="s">
        <v>173</v>
      </c>
      <c r="IV166" s="428">
        <v>0.55000000000000004</v>
      </c>
      <c r="IW166" s="428">
        <v>0.35</v>
      </c>
      <c r="IX166" s="428">
        <v>0.34</v>
      </c>
      <c r="IY166" s="428">
        <v>0.4</v>
      </c>
      <c r="IZ166" s="464">
        <v>56</v>
      </c>
      <c r="JA166" s="464" t="s">
        <v>758</v>
      </c>
      <c r="JB166" s="464">
        <v>9</v>
      </c>
      <c r="JC166" s="464" t="s">
        <v>758</v>
      </c>
      <c r="JD166" s="476">
        <v>0.05</v>
      </c>
      <c r="JE166" s="476">
        <v>0.36</v>
      </c>
      <c r="JF166" s="476">
        <v>0.55000000000000004</v>
      </c>
      <c r="JG166" s="476">
        <v>0.05</v>
      </c>
      <c r="JH166" s="476">
        <v>0.48</v>
      </c>
      <c r="JI166" s="476">
        <v>0.33</v>
      </c>
      <c r="JJ166" s="476">
        <v>0.26</v>
      </c>
      <c r="JK166" s="476">
        <v>0.4</v>
      </c>
      <c r="JL166" s="476">
        <v>0.41</v>
      </c>
      <c r="JM166" s="476">
        <v>0.31</v>
      </c>
      <c r="JN166" s="476">
        <v>0.34</v>
      </c>
      <c r="JO166" s="476">
        <v>0.46</v>
      </c>
      <c r="JP166" s="476">
        <v>0.57999999999999996</v>
      </c>
      <c r="JQ166" s="476">
        <v>0.21</v>
      </c>
      <c r="JR166" s="476">
        <v>0.44</v>
      </c>
      <c r="JS166" s="476">
        <v>0.5</v>
      </c>
      <c r="JT166" s="476">
        <v>0.33</v>
      </c>
      <c r="JU166" s="476">
        <v>0.42</v>
      </c>
      <c r="JV166" s="476">
        <v>0.37</v>
      </c>
      <c r="JW166" s="476">
        <v>0.43</v>
      </c>
      <c r="JX166" s="476">
        <v>0.19</v>
      </c>
      <c r="JY166" s="476">
        <v>0.44</v>
      </c>
      <c r="JZ166" s="476">
        <v>0.33</v>
      </c>
      <c r="KA166" s="476">
        <v>0.56000000000000005</v>
      </c>
      <c r="KB166" s="476">
        <v>0.38</v>
      </c>
      <c r="KC166" s="476">
        <v>0.52</v>
      </c>
      <c r="KD166" s="476">
        <v>0.21</v>
      </c>
      <c r="KE166" s="476">
        <v>0.4</v>
      </c>
      <c r="KF166" s="476">
        <v>0.32</v>
      </c>
      <c r="KG166" s="476">
        <v>0.41</v>
      </c>
      <c r="KH166" s="971">
        <v>58</v>
      </c>
      <c r="KI166" s="971" t="s">
        <v>758</v>
      </c>
      <c r="KJ166" s="971">
        <v>8</v>
      </c>
      <c r="KK166" s="971" t="s">
        <v>758</v>
      </c>
      <c r="KL166" s="949">
        <v>0.05</v>
      </c>
      <c r="KM166" s="949">
        <v>0.28999999999999998</v>
      </c>
      <c r="KN166" s="949">
        <v>0.62</v>
      </c>
      <c r="KO166" s="949">
        <v>0.05</v>
      </c>
      <c r="KP166" s="949">
        <v>0.46</v>
      </c>
      <c r="KQ166" s="949">
        <v>0.06</v>
      </c>
      <c r="KR166" s="949">
        <v>0.5</v>
      </c>
      <c r="KS166" s="949">
        <v>0.3</v>
      </c>
      <c r="KT166" s="949">
        <v>0.37</v>
      </c>
      <c r="KU166" s="949">
        <v>0.08</v>
      </c>
      <c r="KV166" s="949">
        <v>0.5</v>
      </c>
      <c r="KW166" s="949">
        <v>0.22</v>
      </c>
      <c r="KX166" s="949">
        <v>0.3</v>
      </c>
      <c r="KY166" s="949">
        <v>0.57999999999999996</v>
      </c>
      <c r="KZ166" s="949">
        <v>0.19</v>
      </c>
      <c r="LA166" s="949">
        <v>0.42</v>
      </c>
      <c r="LB166" s="949">
        <v>0.25</v>
      </c>
      <c r="LC166" s="949">
        <v>0.31</v>
      </c>
      <c r="LD166" s="949">
        <v>0.48</v>
      </c>
      <c r="LE166" s="949">
        <v>0.43</v>
      </c>
      <c r="LF166" s="949">
        <v>0.2</v>
      </c>
      <c r="LG166" s="949">
        <v>0.5</v>
      </c>
      <c r="LH166" s="949">
        <v>0.52</v>
      </c>
      <c r="LI166" s="949">
        <v>0.46</v>
      </c>
      <c r="LJ166" s="949">
        <v>0.26</v>
      </c>
      <c r="LK166" s="949">
        <v>0.4</v>
      </c>
      <c r="LL166" s="949" t="s">
        <v>173</v>
      </c>
      <c r="LM166" s="949">
        <v>0.43</v>
      </c>
      <c r="LN166" s="949">
        <v>0.64</v>
      </c>
      <c r="LO166" s="949">
        <v>0.42</v>
      </c>
      <c r="LP166" s="922">
        <v>325754004262</v>
      </c>
      <c r="LQ166" s="803" t="s">
        <v>98</v>
      </c>
      <c r="LR166" s="424">
        <v>55</v>
      </c>
      <c r="LS166" s="971">
        <v>58</v>
      </c>
      <c r="LT166" s="946"/>
    </row>
    <row r="167" spans="1:332" ht="24.95" customHeight="1" x14ac:dyDescent="0.2">
      <c r="A167" s="803" t="s">
        <v>175</v>
      </c>
      <c r="B167" s="1" t="s">
        <v>123</v>
      </c>
      <c r="C167" s="2">
        <v>4</v>
      </c>
      <c r="D167" s="12">
        <v>43</v>
      </c>
      <c r="E167" s="12">
        <v>7</v>
      </c>
      <c r="F167" s="66">
        <v>0.5</v>
      </c>
      <c r="G167" s="66">
        <v>0.5</v>
      </c>
      <c r="H167" s="66">
        <v>0</v>
      </c>
      <c r="I167" s="66">
        <v>0</v>
      </c>
      <c r="J167" s="66">
        <v>1</v>
      </c>
      <c r="K167" s="66">
        <v>1</v>
      </c>
      <c r="L167" s="66">
        <v>1</v>
      </c>
      <c r="M167" s="66">
        <v>0.5</v>
      </c>
      <c r="N167" s="66">
        <v>0.5</v>
      </c>
      <c r="O167" s="66">
        <v>0.67</v>
      </c>
      <c r="P167" s="66">
        <v>0.5</v>
      </c>
      <c r="Q167" s="66">
        <v>0.25</v>
      </c>
      <c r="R167" s="66">
        <v>0.5</v>
      </c>
      <c r="S167" s="66">
        <v>0.25</v>
      </c>
      <c r="T167" s="66">
        <v>0.5</v>
      </c>
      <c r="U167" s="66">
        <v>1</v>
      </c>
      <c r="V167" s="66">
        <v>0</v>
      </c>
      <c r="W167" s="66">
        <v>0.5</v>
      </c>
      <c r="X167" s="66">
        <v>1</v>
      </c>
      <c r="Y167" s="66">
        <v>1</v>
      </c>
      <c r="Z167" s="12" t="s">
        <v>173</v>
      </c>
      <c r="AA167" s="66">
        <v>0.5</v>
      </c>
      <c r="AB167" s="66">
        <v>0.83</v>
      </c>
      <c r="AC167" s="66">
        <v>0.75</v>
      </c>
      <c r="AD167" s="66">
        <v>1</v>
      </c>
      <c r="AE167" s="66">
        <v>1</v>
      </c>
      <c r="AF167" s="66">
        <v>0.25</v>
      </c>
      <c r="AG167" s="66">
        <v>0.67</v>
      </c>
      <c r="AH167" s="12">
        <v>42</v>
      </c>
      <c r="AI167" s="12">
        <v>7</v>
      </c>
      <c r="AJ167" s="40">
        <v>0.4</v>
      </c>
      <c r="AK167" s="40">
        <v>0.6</v>
      </c>
      <c r="AL167" s="40">
        <v>0</v>
      </c>
      <c r="AM167" s="40">
        <v>0</v>
      </c>
      <c r="AN167" s="40">
        <v>0.44</v>
      </c>
      <c r="AO167" s="40">
        <v>0.69</v>
      </c>
      <c r="AP167" s="40">
        <v>0.86</v>
      </c>
      <c r="AQ167" s="40">
        <v>0.4</v>
      </c>
      <c r="AR167" s="40">
        <v>0.63</v>
      </c>
      <c r="AS167" s="40">
        <v>0.62</v>
      </c>
      <c r="AT167" s="40">
        <v>0.7</v>
      </c>
      <c r="AU167" s="40">
        <v>0.77</v>
      </c>
      <c r="AV167" s="40">
        <v>0.61</v>
      </c>
      <c r="AW167" s="40">
        <v>0.63</v>
      </c>
      <c r="AX167" s="40">
        <v>0.63</v>
      </c>
      <c r="AY167" s="40">
        <v>0.52</v>
      </c>
      <c r="AZ167" s="40">
        <v>0.73</v>
      </c>
      <c r="BA167" s="40">
        <v>0.57999999999999996</v>
      </c>
      <c r="BB167" s="40">
        <v>0.69</v>
      </c>
      <c r="BC167" s="40">
        <v>0.71</v>
      </c>
      <c r="BD167" s="40">
        <v>0.72</v>
      </c>
      <c r="BE167" s="40">
        <v>1</v>
      </c>
      <c r="BF167" s="40">
        <v>0.67</v>
      </c>
      <c r="BG167" s="40">
        <v>0.79</v>
      </c>
      <c r="BH167" s="40">
        <v>0.71</v>
      </c>
      <c r="BI167" s="40">
        <v>0.5</v>
      </c>
      <c r="BJ167" s="40">
        <v>0.6</v>
      </c>
      <c r="BK167" s="40">
        <v>0.75</v>
      </c>
      <c r="BL167" s="40">
        <v>0.25</v>
      </c>
      <c r="BM167" s="12">
        <v>43</v>
      </c>
      <c r="BN167" s="12">
        <v>5</v>
      </c>
      <c r="BO167" s="66">
        <v>0.38</v>
      </c>
      <c r="BP167" s="66">
        <v>0.63</v>
      </c>
      <c r="BQ167" s="66">
        <v>0</v>
      </c>
      <c r="BR167" s="66">
        <v>0</v>
      </c>
      <c r="BS167" s="66">
        <v>0.38</v>
      </c>
      <c r="BT167" s="66">
        <v>1</v>
      </c>
      <c r="BU167" s="66">
        <v>0.6</v>
      </c>
      <c r="BV167" s="66">
        <v>0.5</v>
      </c>
      <c r="BW167" s="66">
        <v>0.77</v>
      </c>
      <c r="BX167" s="66">
        <v>0.53</v>
      </c>
      <c r="BY167" s="66">
        <v>0.92</v>
      </c>
      <c r="BZ167" s="66">
        <v>0.67</v>
      </c>
      <c r="CA167" s="66">
        <v>0.54</v>
      </c>
      <c r="CB167" s="66">
        <v>0.7</v>
      </c>
      <c r="CC167" s="66">
        <v>0.18</v>
      </c>
      <c r="CD167" s="66">
        <v>0.57999999999999996</v>
      </c>
      <c r="CE167" s="66">
        <v>0.55000000000000004</v>
      </c>
      <c r="CF167" s="66">
        <v>0.71</v>
      </c>
      <c r="CG167" s="66">
        <v>0.71</v>
      </c>
      <c r="CH167" s="66">
        <v>0.59</v>
      </c>
      <c r="CI167" s="66">
        <v>0.81</v>
      </c>
      <c r="CJ167" s="66">
        <v>0.33</v>
      </c>
      <c r="CK167" s="66">
        <v>0.69</v>
      </c>
      <c r="CL167" s="66">
        <v>0.55000000000000004</v>
      </c>
      <c r="CM167" s="66">
        <v>0.56999999999999995</v>
      </c>
      <c r="CN167" s="66">
        <v>0.64</v>
      </c>
      <c r="CO167" s="66">
        <v>0.8</v>
      </c>
      <c r="CP167" s="66">
        <v>0.57999999999999996</v>
      </c>
      <c r="CQ167" s="66">
        <v>0.61</v>
      </c>
      <c r="CR167" s="66">
        <v>0.76</v>
      </c>
      <c r="CS167" s="12">
        <v>43</v>
      </c>
      <c r="CT167" s="12">
        <v>5</v>
      </c>
      <c r="CU167" s="63">
        <v>0.25</v>
      </c>
      <c r="CV167" s="63">
        <v>0.75</v>
      </c>
      <c r="CW167" s="63">
        <v>0</v>
      </c>
      <c r="CX167" s="63">
        <v>0</v>
      </c>
      <c r="CY167" s="63">
        <v>0.53</v>
      </c>
      <c r="CZ167" s="63">
        <v>0.47</v>
      </c>
      <c r="DA167" s="63">
        <v>0.67</v>
      </c>
      <c r="DB167" s="63">
        <v>0.83</v>
      </c>
      <c r="DC167" s="63">
        <v>0.44</v>
      </c>
      <c r="DD167" s="63">
        <v>0.75</v>
      </c>
      <c r="DE167" s="63">
        <v>0.6</v>
      </c>
      <c r="DF167" s="63">
        <v>0.54</v>
      </c>
      <c r="DG167" s="63">
        <v>0.4</v>
      </c>
      <c r="DH167" s="63">
        <v>0.63</v>
      </c>
      <c r="DI167" s="63">
        <v>0.63</v>
      </c>
      <c r="DJ167" s="63">
        <v>0.9</v>
      </c>
      <c r="DK167" s="63">
        <v>0.5</v>
      </c>
      <c r="DL167" s="63">
        <v>1</v>
      </c>
      <c r="DM167" s="63">
        <v>0.6</v>
      </c>
      <c r="DN167" s="63">
        <v>0.67</v>
      </c>
      <c r="DO167" s="63">
        <v>0.75</v>
      </c>
      <c r="DP167" s="63">
        <v>0.71</v>
      </c>
      <c r="DQ167" s="63">
        <v>0.65</v>
      </c>
      <c r="DR167" s="63">
        <v>0.33</v>
      </c>
      <c r="DS167" s="63">
        <v>0.5</v>
      </c>
      <c r="DT167" s="63">
        <v>0.56999999999999995</v>
      </c>
      <c r="DU167" s="63">
        <v>0</v>
      </c>
      <c r="DV167" s="63">
        <v>0.44</v>
      </c>
      <c r="DW167" s="63">
        <v>0.33</v>
      </c>
      <c r="DX167" s="35">
        <v>40</v>
      </c>
      <c r="DY167" s="35">
        <v>5</v>
      </c>
      <c r="DZ167" s="40">
        <v>0.5</v>
      </c>
      <c r="EA167" s="40">
        <v>0.5</v>
      </c>
      <c r="EB167" s="40">
        <v>0</v>
      </c>
      <c r="EC167" s="40">
        <v>0</v>
      </c>
      <c r="ED167" s="40">
        <v>0.62</v>
      </c>
      <c r="EE167" s="40">
        <v>0.5</v>
      </c>
      <c r="EF167" s="40">
        <v>0.67</v>
      </c>
      <c r="EG167" s="40">
        <v>0.5</v>
      </c>
      <c r="EH167" s="40">
        <v>0.5</v>
      </c>
      <c r="EI167" s="40">
        <v>0.9</v>
      </c>
      <c r="EJ167" s="40">
        <v>0.5</v>
      </c>
      <c r="EK167" s="40">
        <v>0.2</v>
      </c>
      <c r="EL167" s="40">
        <v>0.82</v>
      </c>
      <c r="EM167" s="40">
        <v>0.83</v>
      </c>
      <c r="EN167" s="40">
        <v>0.75</v>
      </c>
      <c r="EO167" s="40">
        <v>0.88</v>
      </c>
      <c r="EP167" s="40">
        <v>0.36</v>
      </c>
      <c r="EQ167" s="40">
        <v>0.5</v>
      </c>
      <c r="ER167" s="40">
        <v>0.73</v>
      </c>
      <c r="ES167" s="40">
        <v>0.73</v>
      </c>
      <c r="ET167" s="40">
        <v>0.5</v>
      </c>
      <c r="EU167" s="40">
        <v>0.4</v>
      </c>
      <c r="EV167" s="40">
        <v>1</v>
      </c>
      <c r="EW167" s="40">
        <v>0.63</v>
      </c>
      <c r="EX167" s="40">
        <v>1</v>
      </c>
      <c r="EY167" s="40">
        <v>0.81</v>
      </c>
      <c r="EZ167" s="40">
        <v>0</v>
      </c>
      <c r="FA167" s="40">
        <v>1</v>
      </c>
      <c r="FB167" s="246">
        <v>45</v>
      </c>
      <c r="FC167" s="246" t="s">
        <v>758</v>
      </c>
      <c r="FD167" s="246">
        <v>7</v>
      </c>
      <c r="FE167" s="246" t="s">
        <v>758</v>
      </c>
      <c r="FF167" s="263">
        <v>0.36</v>
      </c>
      <c r="FG167" s="263">
        <v>0.55000000000000004</v>
      </c>
      <c r="FH167" s="263">
        <v>0.09</v>
      </c>
      <c r="FI167" s="263">
        <v>0</v>
      </c>
      <c r="FJ167" s="263">
        <v>0.59</v>
      </c>
      <c r="FK167" s="263">
        <v>0.75</v>
      </c>
      <c r="FL167" s="263">
        <v>0.45</v>
      </c>
      <c r="FM167" s="263">
        <v>0.44</v>
      </c>
      <c r="FN167" s="263">
        <v>0.55000000000000004</v>
      </c>
      <c r="FO167" s="263">
        <v>0.28999999999999998</v>
      </c>
      <c r="FP167" s="263">
        <v>0.56999999999999995</v>
      </c>
      <c r="FQ167" s="263">
        <v>0.48</v>
      </c>
      <c r="FR167" s="263">
        <v>0.63</v>
      </c>
      <c r="FS167" s="263">
        <v>0.44</v>
      </c>
      <c r="FT167" s="263">
        <v>0.83</v>
      </c>
      <c r="FU167" s="263">
        <v>0.6</v>
      </c>
      <c r="FV167" s="263">
        <v>0.73</v>
      </c>
      <c r="FW167" s="263">
        <v>0.67</v>
      </c>
      <c r="FX167" s="263">
        <v>0.67</v>
      </c>
      <c r="FY167" s="263">
        <v>0.44</v>
      </c>
      <c r="FZ167" s="263">
        <v>0.47</v>
      </c>
      <c r="GA167" s="263">
        <v>0.44</v>
      </c>
      <c r="GB167" s="263">
        <v>0.5</v>
      </c>
      <c r="GC167" s="263">
        <v>0.5</v>
      </c>
      <c r="GD167" s="263">
        <v>0.76</v>
      </c>
      <c r="GE167" s="263">
        <v>0.64</v>
      </c>
      <c r="GF167" s="263">
        <v>0.5</v>
      </c>
      <c r="GG167" s="263">
        <v>0.67</v>
      </c>
      <c r="GH167" s="263">
        <v>0.63</v>
      </c>
      <c r="GI167" s="263">
        <v>0.41</v>
      </c>
      <c r="GJ167" s="309">
        <v>48</v>
      </c>
      <c r="GK167" s="309" t="s">
        <v>758</v>
      </c>
      <c r="GL167" s="309">
        <v>7</v>
      </c>
      <c r="GM167" s="309" t="s">
        <v>758</v>
      </c>
      <c r="GN167" s="327">
        <v>0.09</v>
      </c>
      <c r="GO167" s="327">
        <v>0.82</v>
      </c>
      <c r="GP167" s="327">
        <v>0.09</v>
      </c>
      <c r="GQ167" s="327">
        <v>0</v>
      </c>
      <c r="GR167" s="327">
        <v>0.54</v>
      </c>
      <c r="GS167" s="327">
        <v>0.65</v>
      </c>
      <c r="GT167" s="327">
        <v>0.73</v>
      </c>
      <c r="GU167" s="327">
        <v>0</v>
      </c>
      <c r="GV167" s="327">
        <v>0.75</v>
      </c>
      <c r="GW167" s="327">
        <v>0.42</v>
      </c>
      <c r="GX167" s="327">
        <v>0.47</v>
      </c>
      <c r="GY167" s="309" t="s">
        <v>173</v>
      </c>
      <c r="GZ167" s="327">
        <v>0.2</v>
      </c>
      <c r="HA167" s="327">
        <v>0.5</v>
      </c>
      <c r="HB167" s="327">
        <v>0.56000000000000005</v>
      </c>
      <c r="HC167" s="327">
        <v>0.53</v>
      </c>
      <c r="HD167" s="327">
        <v>0.59</v>
      </c>
      <c r="HE167" s="327">
        <v>0.38</v>
      </c>
      <c r="HF167" s="327">
        <v>0.55000000000000004</v>
      </c>
      <c r="HG167" s="327">
        <v>0.57999999999999996</v>
      </c>
      <c r="HH167" s="327">
        <v>0.45</v>
      </c>
      <c r="HI167" s="327">
        <v>0.71</v>
      </c>
      <c r="HJ167" s="327">
        <v>0.5</v>
      </c>
      <c r="HK167" s="327">
        <v>0.65</v>
      </c>
      <c r="HL167" s="327">
        <v>0.52</v>
      </c>
      <c r="HM167" s="327">
        <v>0.56000000000000005</v>
      </c>
      <c r="HN167" s="327">
        <v>0.47</v>
      </c>
      <c r="HO167" s="327">
        <v>0.53</v>
      </c>
      <c r="HP167" s="309" t="s">
        <v>173</v>
      </c>
      <c r="HQ167" s="327">
        <v>0.45</v>
      </c>
      <c r="HR167" s="424">
        <v>43</v>
      </c>
      <c r="HS167" s="424" t="s">
        <v>760</v>
      </c>
      <c r="HT167" s="424">
        <v>7</v>
      </c>
      <c r="HU167" s="424" t="s">
        <v>758</v>
      </c>
      <c r="HV167" s="428">
        <v>0.3</v>
      </c>
      <c r="HW167" s="428">
        <v>0.6</v>
      </c>
      <c r="HX167" s="428">
        <v>0.1</v>
      </c>
      <c r="HY167" s="428">
        <v>0</v>
      </c>
      <c r="HZ167" s="428">
        <v>0.5</v>
      </c>
      <c r="IA167" s="428">
        <v>0.7</v>
      </c>
      <c r="IB167" s="428">
        <v>0.5</v>
      </c>
      <c r="IC167" s="428">
        <v>0.65</v>
      </c>
      <c r="ID167" s="428">
        <v>0.73</v>
      </c>
      <c r="IE167" s="428">
        <v>0.7</v>
      </c>
      <c r="IF167" s="428">
        <v>0.55000000000000004</v>
      </c>
      <c r="IG167" s="428">
        <v>0.65</v>
      </c>
      <c r="IH167" s="428">
        <v>0.83</v>
      </c>
      <c r="II167" s="428">
        <v>0.6</v>
      </c>
      <c r="IJ167" s="428">
        <v>0.36</v>
      </c>
      <c r="IK167" s="428">
        <v>0.52</v>
      </c>
      <c r="IL167" s="428">
        <v>0.27</v>
      </c>
      <c r="IM167" s="428">
        <v>0.78</v>
      </c>
      <c r="IN167" s="428">
        <v>0.62</v>
      </c>
      <c r="IO167" s="428">
        <v>0.68</v>
      </c>
      <c r="IP167" s="428">
        <v>0.46</v>
      </c>
      <c r="IQ167" s="428">
        <v>0.82</v>
      </c>
      <c r="IR167" s="428">
        <v>0.57999999999999996</v>
      </c>
      <c r="IS167" s="428">
        <v>0.71</v>
      </c>
      <c r="IT167" s="428">
        <v>0.57999999999999996</v>
      </c>
      <c r="IU167" s="424" t="s">
        <v>173</v>
      </c>
      <c r="IV167" s="428">
        <v>0.64</v>
      </c>
      <c r="IW167" s="428">
        <v>0.5</v>
      </c>
      <c r="IX167" s="428">
        <v>0.63</v>
      </c>
      <c r="IY167" s="428">
        <v>0.48</v>
      </c>
      <c r="IZ167" s="464">
        <v>45</v>
      </c>
      <c r="JA167" s="464" t="s">
        <v>758</v>
      </c>
      <c r="JB167" s="464">
        <v>8</v>
      </c>
      <c r="JC167" s="464" t="s">
        <v>758</v>
      </c>
      <c r="JD167" s="476">
        <v>0.25</v>
      </c>
      <c r="JE167" s="476">
        <v>0.69</v>
      </c>
      <c r="JF167" s="476">
        <v>0.06</v>
      </c>
      <c r="JG167" s="476">
        <v>0</v>
      </c>
      <c r="JH167" s="476">
        <v>0.61</v>
      </c>
      <c r="JI167" s="476">
        <v>0.56999999999999995</v>
      </c>
      <c r="JJ167" s="476">
        <v>0.54</v>
      </c>
      <c r="JK167" s="476">
        <v>0.62</v>
      </c>
      <c r="JL167" s="476">
        <v>0.54</v>
      </c>
      <c r="JM167" s="476">
        <v>0.56999999999999995</v>
      </c>
      <c r="JN167" s="476">
        <v>0.53</v>
      </c>
      <c r="JO167" s="476">
        <v>0.43</v>
      </c>
      <c r="JP167" s="476">
        <v>0.65</v>
      </c>
      <c r="JQ167" s="476">
        <v>0.47</v>
      </c>
      <c r="JR167" s="476">
        <v>0.69</v>
      </c>
      <c r="JS167" s="476">
        <v>0.71</v>
      </c>
      <c r="JT167" s="476">
        <v>0.72</v>
      </c>
      <c r="JU167" s="476">
        <v>0.74</v>
      </c>
      <c r="JV167" s="476">
        <v>0.52</v>
      </c>
      <c r="JW167" s="476">
        <v>0.6</v>
      </c>
      <c r="JX167" s="476">
        <v>0.72</v>
      </c>
      <c r="JY167" s="476">
        <v>0.46</v>
      </c>
      <c r="JZ167" s="476">
        <v>0.51</v>
      </c>
      <c r="KA167" s="476">
        <v>0.8</v>
      </c>
      <c r="KB167" s="476">
        <v>0.64</v>
      </c>
      <c r="KC167" s="476">
        <v>0.56000000000000005</v>
      </c>
      <c r="KD167" s="476">
        <v>0.45</v>
      </c>
      <c r="KE167" s="476">
        <v>0.55000000000000004</v>
      </c>
      <c r="KF167" s="476">
        <v>0.49</v>
      </c>
      <c r="KG167" s="476">
        <v>0.61</v>
      </c>
      <c r="KH167" s="971">
        <v>51</v>
      </c>
      <c r="KI167" s="971" t="s">
        <v>758</v>
      </c>
      <c r="KJ167" s="971">
        <v>9</v>
      </c>
      <c r="KK167" s="971" t="s">
        <v>758</v>
      </c>
      <c r="KL167" s="949">
        <v>0.17</v>
      </c>
      <c r="KM167" s="949">
        <v>0.44</v>
      </c>
      <c r="KN167" s="949">
        <v>0.39</v>
      </c>
      <c r="KO167" s="949">
        <v>0</v>
      </c>
      <c r="KP167" s="949">
        <v>0.56000000000000005</v>
      </c>
      <c r="KQ167" s="949">
        <v>0.23</v>
      </c>
      <c r="KR167" s="949">
        <v>0.6</v>
      </c>
      <c r="KS167" s="949">
        <v>0.47</v>
      </c>
      <c r="KT167" s="949">
        <v>0.6</v>
      </c>
      <c r="KU167" s="949">
        <v>0.44</v>
      </c>
      <c r="KV167" s="949">
        <v>0.63</v>
      </c>
      <c r="KW167" s="949">
        <v>0.37</v>
      </c>
      <c r="KX167" s="949">
        <v>0.4</v>
      </c>
      <c r="KY167" s="949">
        <v>0.5</v>
      </c>
      <c r="KZ167" s="949">
        <v>0.32</v>
      </c>
      <c r="LA167" s="949">
        <v>0.63</v>
      </c>
      <c r="LB167" s="949">
        <v>0.48</v>
      </c>
      <c r="LC167" s="949">
        <v>0.41</v>
      </c>
      <c r="LD167" s="949">
        <v>0.63</v>
      </c>
      <c r="LE167" s="949">
        <v>0.51</v>
      </c>
      <c r="LF167" s="949">
        <v>0.3</v>
      </c>
      <c r="LG167" s="949">
        <v>0.43</v>
      </c>
      <c r="LH167" s="949">
        <v>0.51</v>
      </c>
      <c r="LI167" s="949">
        <v>0.55000000000000004</v>
      </c>
      <c r="LJ167" s="949">
        <v>0.41</v>
      </c>
      <c r="LK167" s="949">
        <v>0.51</v>
      </c>
      <c r="LL167" s="949" t="s">
        <v>173</v>
      </c>
      <c r="LM167" s="949">
        <v>0.57999999999999996</v>
      </c>
      <c r="LN167" s="949">
        <v>0.56999999999999995</v>
      </c>
      <c r="LO167" s="949">
        <v>0.4</v>
      </c>
      <c r="LP167" s="922">
        <v>325754005048</v>
      </c>
      <c r="LQ167" s="803" t="s">
        <v>175</v>
      </c>
      <c r="LR167" s="424">
        <v>43</v>
      </c>
      <c r="LS167" s="971">
        <v>51</v>
      </c>
      <c r="LT167" s="946"/>
    </row>
    <row r="168" spans="1:332" ht="24.95" customHeight="1" x14ac:dyDescent="0.2">
      <c r="A168" s="126" t="s">
        <v>44</v>
      </c>
      <c r="B168" s="1" t="s">
        <v>123</v>
      </c>
      <c r="C168" s="2">
        <v>6</v>
      </c>
      <c r="D168" s="12">
        <v>56</v>
      </c>
      <c r="E168" s="12">
        <v>6</v>
      </c>
      <c r="F168" s="66">
        <v>0.01</v>
      </c>
      <c r="G168" s="66">
        <v>0.51</v>
      </c>
      <c r="H168" s="66">
        <v>0.46</v>
      </c>
      <c r="I168" s="66">
        <v>0.01</v>
      </c>
      <c r="J168" s="66">
        <v>0.5</v>
      </c>
      <c r="K168" s="66">
        <v>0.21</v>
      </c>
      <c r="L168" s="66">
        <v>0.83</v>
      </c>
      <c r="M168" s="66">
        <v>0.13</v>
      </c>
      <c r="N168" s="66">
        <v>0.26</v>
      </c>
      <c r="O168" s="66">
        <v>0.53</v>
      </c>
      <c r="P168" s="66">
        <v>0.37</v>
      </c>
      <c r="Q168" s="66">
        <v>0.27</v>
      </c>
      <c r="R168" s="66">
        <v>0.48</v>
      </c>
      <c r="S168" s="66">
        <v>0.62</v>
      </c>
      <c r="T168" s="66">
        <v>0.46</v>
      </c>
      <c r="U168" s="66">
        <v>0.48</v>
      </c>
      <c r="V168" s="66">
        <v>7.0000000000000007E-2</v>
      </c>
      <c r="W168" s="66">
        <v>0.05</v>
      </c>
      <c r="X168" s="66">
        <v>0.43</v>
      </c>
      <c r="Y168" s="66">
        <v>0.42</v>
      </c>
      <c r="Z168" s="66">
        <v>0</v>
      </c>
      <c r="AA168" s="66">
        <v>0.05</v>
      </c>
      <c r="AB168" s="66">
        <v>0.33</v>
      </c>
      <c r="AC168" s="66">
        <v>0.13</v>
      </c>
      <c r="AD168" s="66">
        <v>0.42</v>
      </c>
      <c r="AE168" s="66">
        <v>0.43</v>
      </c>
      <c r="AF168" s="66">
        <v>0.56999999999999995</v>
      </c>
      <c r="AG168" s="66">
        <v>0.38</v>
      </c>
      <c r="AH168" s="12">
        <v>53</v>
      </c>
      <c r="AI168" s="12">
        <v>8</v>
      </c>
      <c r="AJ168" s="40">
        <v>0.06</v>
      </c>
      <c r="AK168" s="40">
        <v>0.55000000000000004</v>
      </c>
      <c r="AL168" s="40">
        <v>0.38</v>
      </c>
      <c r="AM168" s="40">
        <v>0.01</v>
      </c>
      <c r="AN168" s="40">
        <v>0.23</v>
      </c>
      <c r="AO168" s="40">
        <v>0.41</v>
      </c>
      <c r="AP168" s="40">
        <v>0.62</v>
      </c>
      <c r="AQ168" s="40">
        <v>0.39</v>
      </c>
      <c r="AR168" s="40">
        <v>0.5</v>
      </c>
      <c r="AS168" s="40">
        <v>0.49</v>
      </c>
      <c r="AT168" s="40">
        <v>0.44</v>
      </c>
      <c r="AU168" s="40">
        <v>0.41</v>
      </c>
      <c r="AV168" s="40">
        <v>0.63</v>
      </c>
      <c r="AW168" s="40">
        <v>0.49</v>
      </c>
      <c r="AX168" s="40">
        <v>0.53</v>
      </c>
      <c r="AY168" s="40">
        <v>0.3</v>
      </c>
      <c r="AZ168" s="40">
        <v>0.24</v>
      </c>
      <c r="BA168" s="40">
        <v>0.39</v>
      </c>
      <c r="BB168" s="40">
        <v>0.69</v>
      </c>
      <c r="BC168" s="40">
        <v>0.65</v>
      </c>
      <c r="BD168" s="40">
        <v>0.45</v>
      </c>
      <c r="BE168" s="40">
        <v>0.65</v>
      </c>
      <c r="BF168" s="40">
        <v>0.62</v>
      </c>
      <c r="BG168" s="40">
        <v>0.48</v>
      </c>
      <c r="BH168" s="40">
        <v>0.42</v>
      </c>
      <c r="BI168" s="40">
        <v>0.38</v>
      </c>
      <c r="BJ168" s="40">
        <v>0.35</v>
      </c>
      <c r="BK168" s="40">
        <v>0.44</v>
      </c>
      <c r="BL168" s="40">
        <v>0.49</v>
      </c>
      <c r="BM168" s="12">
        <v>54</v>
      </c>
      <c r="BN168" s="12">
        <v>8</v>
      </c>
      <c r="BO168" s="66">
        <v>0.04</v>
      </c>
      <c r="BP168" s="66">
        <v>0.51</v>
      </c>
      <c r="BQ168" s="66">
        <v>0.45</v>
      </c>
      <c r="BR168" s="66">
        <v>0</v>
      </c>
      <c r="BS168" s="66">
        <v>0.33</v>
      </c>
      <c r="BT168" s="66">
        <v>0.47</v>
      </c>
      <c r="BU168" s="66">
        <v>0.56000000000000005</v>
      </c>
      <c r="BV168" s="66">
        <v>0.26</v>
      </c>
      <c r="BW168" s="66">
        <v>0.61</v>
      </c>
      <c r="BX168" s="66">
        <v>0.28000000000000003</v>
      </c>
      <c r="BY168" s="66">
        <v>0.42</v>
      </c>
      <c r="BZ168" s="66">
        <v>0.53</v>
      </c>
      <c r="CA168" s="66">
        <v>0.43</v>
      </c>
      <c r="CB168" s="66">
        <v>0.31</v>
      </c>
      <c r="CC168" s="66">
        <v>0.17</v>
      </c>
      <c r="CD168" s="66">
        <v>0.33</v>
      </c>
      <c r="CE168" s="66">
        <v>0.25</v>
      </c>
      <c r="CF168" s="66">
        <v>0.6</v>
      </c>
      <c r="CG168" s="66">
        <v>0.61</v>
      </c>
      <c r="CH168" s="66">
        <v>0.35</v>
      </c>
      <c r="CI168" s="66">
        <v>0.51</v>
      </c>
      <c r="CJ168" s="66">
        <v>0.26</v>
      </c>
      <c r="CK168" s="66">
        <v>0.67</v>
      </c>
      <c r="CL168" s="66">
        <v>0.18</v>
      </c>
      <c r="CM168" s="66">
        <v>0.37</v>
      </c>
      <c r="CN168" s="66">
        <v>0.35</v>
      </c>
      <c r="CO168" s="66">
        <v>0.39</v>
      </c>
      <c r="CP168" s="66">
        <v>0.31</v>
      </c>
      <c r="CQ168" s="66">
        <v>0.5</v>
      </c>
      <c r="CR168" s="66">
        <v>0.61</v>
      </c>
      <c r="CS168" s="12">
        <v>53</v>
      </c>
      <c r="CT168" s="12">
        <v>9</v>
      </c>
      <c r="CU168" s="63">
        <v>0.08</v>
      </c>
      <c r="CV168" s="63">
        <v>0.62</v>
      </c>
      <c r="CW168" s="63">
        <v>0.26</v>
      </c>
      <c r="CX168" s="63">
        <v>0.04</v>
      </c>
      <c r="CY168" s="63">
        <v>0.42</v>
      </c>
      <c r="CZ168" s="63">
        <v>0.23</v>
      </c>
      <c r="DA168" s="63">
        <v>0.55000000000000004</v>
      </c>
      <c r="DB168" s="63">
        <v>0.33</v>
      </c>
      <c r="DC168" s="63">
        <v>0.43</v>
      </c>
      <c r="DD168" s="63">
        <v>0.61</v>
      </c>
      <c r="DE168" s="63">
        <v>0.44</v>
      </c>
      <c r="DF168" s="63">
        <v>0.48</v>
      </c>
      <c r="DG168" s="63">
        <v>0.47</v>
      </c>
      <c r="DH168" s="63">
        <v>0.35</v>
      </c>
      <c r="DI168" s="63">
        <v>0.44</v>
      </c>
      <c r="DJ168" s="63">
        <v>0.48</v>
      </c>
      <c r="DK168" s="63">
        <v>0.32</v>
      </c>
      <c r="DL168" s="63">
        <v>0.39</v>
      </c>
      <c r="DM168" s="63">
        <v>0.41</v>
      </c>
      <c r="DN168" s="63">
        <v>0.4</v>
      </c>
      <c r="DO168" s="63">
        <v>0.34</v>
      </c>
      <c r="DP168" s="63">
        <v>0.4</v>
      </c>
      <c r="DQ168" s="63">
        <v>0.53</v>
      </c>
      <c r="DR168" s="63">
        <v>0.11</v>
      </c>
      <c r="DS168" s="63">
        <v>0.36</v>
      </c>
      <c r="DT168" s="63">
        <v>0.62</v>
      </c>
      <c r="DU168" s="63">
        <v>0.45</v>
      </c>
      <c r="DV168" s="63">
        <v>0.54</v>
      </c>
      <c r="DW168" s="63">
        <v>0.33</v>
      </c>
      <c r="DX168" s="35">
        <v>52</v>
      </c>
      <c r="DY168" s="35">
        <v>7</v>
      </c>
      <c r="DZ168" s="40">
        <v>7.0000000000000007E-2</v>
      </c>
      <c r="EA168" s="40">
        <v>0.59</v>
      </c>
      <c r="EB168" s="40">
        <v>0.34</v>
      </c>
      <c r="EC168" s="40">
        <v>0</v>
      </c>
      <c r="ED168" s="40">
        <v>0.45</v>
      </c>
      <c r="EE168" s="40">
        <v>0.47</v>
      </c>
      <c r="EF168" s="40">
        <v>0.43</v>
      </c>
      <c r="EG168" s="40">
        <v>0.22</v>
      </c>
      <c r="EH168" s="40">
        <v>0.37</v>
      </c>
      <c r="EI168" s="40">
        <v>0.46</v>
      </c>
      <c r="EJ168" s="40">
        <v>0.54</v>
      </c>
      <c r="EK168" s="40">
        <v>0.2</v>
      </c>
      <c r="EL168" s="40">
        <v>0.41</v>
      </c>
      <c r="EM168" s="40">
        <v>0.63</v>
      </c>
      <c r="EN168" s="40">
        <v>0.39</v>
      </c>
      <c r="EO168" s="40">
        <v>0.52</v>
      </c>
      <c r="EP168" s="40">
        <v>0.32</v>
      </c>
      <c r="EQ168" s="40">
        <v>0.2</v>
      </c>
      <c r="ER168" s="40">
        <v>0.53</v>
      </c>
      <c r="ES168" s="40">
        <v>0.32</v>
      </c>
      <c r="ET168" s="40">
        <v>0.3</v>
      </c>
      <c r="EU168" s="40">
        <v>0.54</v>
      </c>
      <c r="EV168" s="40">
        <v>0.42</v>
      </c>
      <c r="EW168" s="40">
        <v>0.28999999999999998</v>
      </c>
      <c r="EX168" s="40">
        <v>0.75</v>
      </c>
      <c r="EY168" s="40">
        <v>0.54</v>
      </c>
      <c r="EZ168" s="40">
        <v>0.22</v>
      </c>
      <c r="FA168" s="40">
        <v>0.54</v>
      </c>
      <c r="FB168" s="246">
        <v>52</v>
      </c>
      <c r="FC168" s="246" t="s">
        <v>758</v>
      </c>
      <c r="FD168" s="246">
        <v>7</v>
      </c>
      <c r="FE168" s="246" t="s">
        <v>758</v>
      </c>
      <c r="FF168" s="263">
        <v>7.0000000000000007E-2</v>
      </c>
      <c r="FG168" s="263">
        <v>0.55000000000000004</v>
      </c>
      <c r="FH168" s="263">
        <v>0.38</v>
      </c>
      <c r="FI168" s="263">
        <v>0</v>
      </c>
      <c r="FJ168" s="263">
        <v>0.36</v>
      </c>
      <c r="FK168" s="263">
        <v>0.64</v>
      </c>
      <c r="FL168" s="263">
        <v>0.43</v>
      </c>
      <c r="FM168" s="263">
        <v>0.38</v>
      </c>
      <c r="FN168" s="263">
        <v>0.25</v>
      </c>
      <c r="FO168" s="263">
        <v>0.32</v>
      </c>
      <c r="FP168" s="263">
        <v>0.35</v>
      </c>
      <c r="FQ168" s="263">
        <v>0.37</v>
      </c>
      <c r="FR168" s="263">
        <v>0.66</v>
      </c>
      <c r="FS168" s="263">
        <v>0.42</v>
      </c>
      <c r="FT168" s="263">
        <v>0.48</v>
      </c>
      <c r="FU168" s="263">
        <v>0.35</v>
      </c>
      <c r="FV168" s="263">
        <v>0.52</v>
      </c>
      <c r="FW168" s="263">
        <v>0.47</v>
      </c>
      <c r="FX168" s="263">
        <v>0.34</v>
      </c>
      <c r="FY168" s="263">
        <v>0.24</v>
      </c>
      <c r="FZ168" s="263">
        <v>0.45</v>
      </c>
      <c r="GA168" s="263">
        <v>0.48</v>
      </c>
      <c r="GB168" s="263">
        <v>0.48</v>
      </c>
      <c r="GC168" s="263">
        <v>0.35</v>
      </c>
      <c r="GD168" s="263">
        <v>0.56999999999999995</v>
      </c>
      <c r="GE168" s="263">
        <v>0.52</v>
      </c>
      <c r="GF168" s="263">
        <v>0.5</v>
      </c>
      <c r="GG168" s="263">
        <v>0.46</v>
      </c>
      <c r="GH168" s="263">
        <v>0.6</v>
      </c>
      <c r="GI168" s="263">
        <v>0.22</v>
      </c>
      <c r="GJ168" s="309">
        <v>53</v>
      </c>
      <c r="GK168" s="309" t="s">
        <v>758</v>
      </c>
      <c r="GL168" s="309">
        <v>8</v>
      </c>
      <c r="GM168" s="309" t="s">
        <v>758</v>
      </c>
      <c r="GN168" s="327">
        <v>0.08</v>
      </c>
      <c r="GO168" s="327">
        <v>0.55000000000000004</v>
      </c>
      <c r="GP168" s="327">
        <v>0.36</v>
      </c>
      <c r="GQ168" s="327">
        <v>0.01</v>
      </c>
      <c r="GR168" s="327">
        <v>0.42</v>
      </c>
      <c r="GS168" s="327">
        <v>0.46</v>
      </c>
      <c r="GT168" s="327">
        <v>0.6</v>
      </c>
      <c r="GU168" s="327">
        <v>0.16</v>
      </c>
      <c r="GV168" s="327">
        <v>0.53</v>
      </c>
      <c r="GW168" s="327">
        <v>0.39</v>
      </c>
      <c r="GX168" s="327">
        <v>0.45</v>
      </c>
      <c r="GY168" s="309" t="s">
        <v>173</v>
      </c>
      <c r="GZ168" s="327">
        <v>0.25</v>
      </c>
      <c r="HA168" s="327">
        <v>0.7</v>
      </c>
      <c r="HB168" s="327">
        <v>0.44</v>
      </c>
      <c r="HC168" s="327">
        <v>0.49</v>
      </c>
      <c r="HD168" s="327">
        <v>0.51</v>
      </c>
      <c r="HE168" s="327">
        <v>0.46</v>
      </c>
      <c r="HF168" s="327">
        <v>0.44</v>
      </c>
      <c r="HG168" s="327">
        <v>0.62</v>
      </c>
      <c r="HH168" s="327">
        <v>0.34</v>
      </c>
      <c r="HI168" s="327">
        <v>0.44</v>
      </c>
      <c r="HJ168" s="327">
        <v>0.55000000000000004</v>
      </c>
      <c r="HK168" s="327">
        <v>0.44</v>
      </c>
      <c r="HL168" s="327">
        <v>0.43</v>
      </c>
      <c r="HM168" s="327">
        <v>0.49</v>
      </c>
      <c r="HN168" s="327">
        <v>0.43</v>
      </c>
      <c r="HO168" s="327">
        <v>0.4</v>
      </c>
      <c r="HP168" s="309" t="s">
        <v>173</v>
      </c>
      <c r="HQ168" s="327">
        <v>0.33</v>
      </c>
      <c r="HR168" s="424">
        <v>53</v>
      </c>
      <c r="HS168" s="424" t="s">
        <v>758</v>
      </c>
      <c r="HT168" s="424">
        <v>9</v>
      </c>
      <c r="HU168" s="424" t="s">
        <v>758</v>
      </c>
      <c r="HV168" s="428">
        <v>0.1</v>
      </c>
      <c r="HW168" s="428">
        <v>0.44</v>
      </c>
      <c r="HX168" s="428">
        <v>0.44</v>
      </c>
      <c r="HY168" s="428">
        <v>0.02</v>
      </c>
      <c r="HZ168" s="428">
        <v>0.33</v>
      </c>
      <c r="IA168" s="428">
        <v>0.51</v>
      </c>
      <c r="IB168" s="428">
        <v>0.4</v>
      </c>
      <c r="IC168" s="428">
        <v>0.48</v>
      </c>
      <c r="ID168" s="428">
        <v>0.62</v>
      </c>
      <c r="IE168" s="428">
        <v>0.31</v>
      </c>
      <c r="IF168" s="428">
        <v>0.4</v>
      </c>
      <c r="IG168" s="428">
        <v>0.51</v>
      </c>
      <c r="IH168" s="428">
        <v>0.43</v>
      </c>
      <c r="II168" s="428">
        <v>0.33</v>
      </c>
      <c r="IJ168" s="428">
        <v>0.2</v>
      </c>
      <c r="IK168" s="428">
        <v>0.59</v>
      </c>
      <c r="IL168" s="428">
        <v>0.33</v>
      </c>
      <c r="IM168" s="428">
        <v>0.59</v>
      </c>
      <c r="IN168" s="428">
        <v>0.41</v>
      </c>
      <c r="IO168" s="428">
        <v>0.45</v>
      </c>
      <c r="IP168" s="428">
        <v>0.33</v>
      </c>
      <c r="IQ168" s="428">
        <v>0.64</v>
      </c>
      <c r="IR168" s="428">
        <v>0.46</v>
      </c>
      <c r="IS168" s="428">
        <v>0.5</v>
      </c>
      <c r="IT168" s="428">
        <v>0.43</v>
      </c>
      <c r="IU168" s="424" t="s">
        <v>173</v>
      </c>
      <c r="IV168" s="428">
        <v>0.55000000000000004</v>
      </c>
      <c r="IW168" s="428">
        <v>0.37</v>
      </c>
      <c r="IX168" s="428">
        <v>0.53</v>
      </c>
      <c r="IY168" s="428">
        <v>0.49</v>
      </c>
      <c r="IZ168" s="464">
        <v>54</v>
      </c>
      <c r="JA168" s="464" t="s">
        <v>758</v>
      </c>
      <c r="JB168" s="464">
        <v>10</v>
      </c>
      <c r="JC168" s="464" t="s">
        <v>758</v>
      </c>
      <c r="JD168" s="476">
        <v>7.0000000000000007E-2</v>
      </c>
      <c r="JE168" s="476">
        <v>0.47</v>
      </c>
      <c r="JF168" s="476">
        <v>0.44</v>
      </c>
      <c r="JG168" s="476">
        <v>0.02</v>
      </c>
      <c r="JH168" s="476">
        <v>0.39</v>
      </c>
      <c r="JI168" s="476">
        <v>0.38</v>
      </c>
      <c r="JJ168" s="476">
        <v>0.42</v>
      </c>
      <c r="JK168" s="476">
        <v>0.41</v>
      </c>
      <c r="JL168" s="476">
        <v>0.41</v>
      </c>
      <c r="JM168" s="476">
        <v>0.46</v>
      </c>
      <c r="JN168" s="476">
        <v>0.35</v>
      </c>
      <c r="JO168" s="476">
        <v>0.36</v>
      </c>
      <c r="JP168" s="476">
        <v>0.53</v>
      </c>
      <c r="JQ168" s="476">
        <v>0.21</v>
      </c>
      <c r="JR168" s="476">
        <v>0.46</v>
      </c>
      <c r="JS168" s="476">
        <v>0.48</v>
      </c>
      <c r="JT168" s="476">
        <v>0.43</v>
      </c>
      <c r="JU168" s="476">
        <v>0.52</v>
      </c>
      <c r="JV168" s="476">
        <v>0.42</v>
      </c>
      <c r="JW168" s="476">
        <v>0.44</v>
      </c>
      <c r="JX168" s="476">
        <v>0.4</v>
      </c>
      <c r="JY168" s="476">
        <v>0.42</v>
      </c>
      <c r="JZ168" s="476">
        <v>0.39</v>
      </c>
      <c r="KA168" s="476">
        <v>0.63</v>
      </c>
      <c r="KB168" s="476">
        <v>0.37</v>
      </c>
      <c r="KC168" s="476">
        <v>0.68</v>
      </c>
      <c r="KD168" s="476">
        <v>0.26</v>
      </c>
      <c r="KE168" s="476">
        <v>0.49</v>
      </c>
      <c r="KF168" s="476">
        <v>0.32</v>
      </c>
      <c r="KG168" s="476">
        <v>0.47</v>
      </c>
      <c r="KH168" s="971">
        <v>54</v>
      </c>
      <c r="KI168" s="971" t="s">
        <v>758</v>
      </c>
      <c r="KJ168" s="971">
        <v>9</v>
      </c>
      <c r="KK168" s="971" t="s">
        <v>758</v>
      </c>
      <c r="KL168" s="949">
        <v>0.08</v>
      </c>
      <c r="KM168" s="949">
        <v>0.51</v>
      </c>
      <c r="KN168" s="949">
        <v>0.38</v>
      </c>
      <c r="KO168" s="949">
        <v>0.03</v>
      </c>
      <c r="KP168" s="949">
        <v>0.49</v>
      </c>
      <c r="KQ168" s="949">
        <v>0.21</v>
      </c>
      <c r="KR168" s="949">
        <v>0.6</v>
      </c>
      <c r="KS168" s="949">
        <v>0.48</v>
      </c>
      <c r="KT168" s="949">
        <v>0.52</v>
      </c>
      <c r="KU168" s="949">
        <v>0.37</v>
      </c>
      <c r="KV168" s="949">
        <v>0.53</v>
      </c>
      <c r="KW168" s="949">
        <v>0.36</v>
      </c>
      <c r="KX168" s="949">
        <v>0.27</v>
      </c>
      <c r="KY168" s="949">
        <v>0.48</v>
      </c>
      <c r="KZ168" s="949">
        <v>0.35</v>
      </c>
      <c r="LA168" s="949">
        <v>0.28999999999999998</v>
      </c>
      <c r="LB168" s="949">
        <v>0.39</v>
      </c>
      <c r="LC168" s="949">
        <v>0.37</v>
      </c>
      <c r="LD168" s="949">
        <v>0.53</v>
      </c>
      <c r="LE168" s="949">
        <v>0.44</v>
      </c>
      <c r="LF168" s="949">
        <v>0.28999999999999998</v>
      </c>
      <c r="LG168" s="949">
        <v>0.38</v>
      </c>
      <c r="LH168" s="949">
        <v>0.5</v>
      </c>
      <c r="LI168" s="949">
        <v>0.47</v>
      </c>
      <c r="LJ168" s="949">
        <v>0.41</v>
      </c>
      <c r="LK168" s="949">
        <v>0.5</v>
      </c>
      <c r="LL168" s="949" t="s">
        <v>173</v>
      </c>
      <c r="LM168" s="949">
        <v>0.55000000000000004</v>
      </c>
      <c r="LN168" s="949">
        <v>0.52</v>
      </c>
      <c r="LO168" s="949">
        <v>0.36</v>
      </c>
      <c r="LP168" s="922">
        <v>325754001841</v>
      </c>
      <c r="LQ168" s="126" t="s">
        <v>44</v>
      </c>
      <c r="LR168" s="424">
        <v>53</v>
      </c>
      <c r="LS168" s="971">
        <v>54</v>
      </c>
      <c r="LT168" s="946"/>
    </row>
    <row r="169" spans="1:332" s="896" customFormat="1" ht="24.95" customHeight="1" x14ac:dyDescent="0.2">
      <c r="A169" s="934" t="s">
        <v>961</v>
      </c>
      <c r="B169" s="1" t="s">
        <v>123</v>
      </c>
      <c r="C169" s="935">
        <v>5</v>
      </c>
      <c r="D169" s="936"/>
      <c r="E169" s="936"/>
      <c r="F169" s="937"/>
      <c r="G169" s="937"/>
      <c r="H169" s="937"/>
      <c r="I169" s="937"/>
      <c r="J169" s="937"/>
      <c r="K169" s="937"/>
      <c r="L169" s="937"/>
      <c r="M169" s="937"/>
      <c r="N169" s="937"/>
      <c r="O169" s="937"/>
      <c r="P169" s="937"/>
      <c r="Q169" s="937"/>
      <c r="R169" s="937"/>
      <c r="S169" s="937"/>
      <c r="T169" s="937"/>
      <c r="U169" s="937"/>
      <c r="V169" s="937"/>
      <c r="W169" s="937"/>
      <c r="X169" s="937"/>
      <c r="Y169" s="937"/>
      <c r="Z169" s="937"/>
      <c r="AA169" s="937"/>
      <c r="AB169" s="937"/>
      <c r="AC169" s="937"/>
      <c r="AD169" s="937"/>
      <c r="AE169" s="937"/>
      <c r="AF169" s="937"/>
      <c r="AG169" s="937"/>
      <c r="AH169" s="936"/>
      <c r="AI169" s="936"/>
      <c r="AJ169" s="938"/>
      <c r="AK169" s="938"/>
      <c r="AL169" s="938"/>
      <c r="AM169" s="938"/>
      <c r="AN169" s="938"/>
      <c r="AO169" s="938"/>
      <c r="AP169" s="938"/>
      <c r="AQ169" s="938"/>
      <c r="AR169" s="938"/>
      <c r="AS169" s="938"/>
      <c r="AT169" s="938"/>
      <c r="AU169" s="938"/>
      <c r="AV169" s="938"/>
      <c r="AW169" s="938"/>
      <c r="AX169" s="938"/>
      <c r="AY169" s="938"/>
      <c r="AZ169" s="938"/>
      <c r="BA169" s="938"/>
      <c r="BB169" s="938"/>
      <c r="BC169" s="938"/>
      <c r="BD169" s="938"/>
      <c r="BE169" s="938"/>
      <c r="BF169" s="938"/>
      <c r="BG169" s="938"/>
      <c r="BH169" s="938"/>
      <c r="BI169" s="938"/>
      <c r="BJ169" s="938"/>
      <c r="BK169" s="938"/>
      <c r="BL169" s="938"/>
      <c r="BM169" s="936"/>
      <c r="BN169" s="936"/>
      <c r="BO169" s="937"/>
      <c r="BP169" s="937"/>
      <c r="BQ169" s="937"/>
      <c r="BR169" s="937"/>
      <c r="BS169" s="937"/>
      <c r="BT169" s="937"/>
      <c r="BU169" s="937"/>
      <c r="BV169" s="937"/>
      <c r="BW169" s="937"/>
      <c r="BX169" s="937"/>
      <c r="BY169" s="937"/>
      <c r="BZ169" s="937"/>
      <c r="CA169" s="937"/>
      <c r="CB169" s="937"/>
      <c r="CC169" s="937"/>
      <c r="CD169" s="937"/>
      <c r="CE169" s="937"/>
      <c r="CF169" s="937"/>
      <c r="CG169" s="937"/>
      <c r="CH169" s="937"/>
      <c r="CI169" s="937"/>
      <c r="CJ169" s="937"/>
      <c r="CK169" s="937"/>
      <c r="CL169" s="937"/>
      <c r="CM169" s="937"/>
      <c r="CN169" s="937"/>
      <c r="CO169" s="937"/>
      <c r="CP169" s="937"/>
      <c r="CQ169" s="937"/>
      <c r="CR169" s="937"/>
      <c r="CS169" s="936"/>
      <c r="CT169" s="936"/>
      <c r="CU169" s="939"/>
      <c r="CV169" s="939"/>
      <c r="CW169" s="939"/>
      <c r="CX169" s="939"/>
      <c r="CY169" s="939"/>
      <c r="CZ169" s="939"/>
      <c r="DA169" s="939"/>
      <c r="DB169" s="939"/>
      <c r="DC169" s="939"/>
      <c r="DD169" s="939"/>
      <c r="DE169" s="939"/>
      <c r="DF169" s="939"/>
      <c r="DG169" s="939"/>
      <c r="DH169" s="939"/>
      <c r="DI169" s="939"/>
      <c r="DJ169" s="939"/>
      <c r="DK169" s="939"/>
      <c r="DL169" s="939"/>
      <c r="DM169" s="939"/>
      <c r="DN169" s="939"/>
      <c r="DO169" s="939"/>
      <c r="DP169" s="939"/>
      <c r="DQ169" s="939"/>
      <c r="DR169" s="939"/>
      <c r="DS169" s="939"/>
      <c r="DT169" s="939"/>
      <c r="DU169" s="939"/>
      <c r="DV169" s="939"/>
      <c r="DW169" s="939"/>
      <c r="DX169" s="940"/>
      <c r="DY169" s="940"/>
      <c r="DZ169" s="938"/>
      <c r="EA169" s="938"/>
      <c r="EB169" s="938"/>
      <c r="EC169" s="938"/>
      <c r="ED169" s="938"/>
      <c r="EE169" s="938"/>
      <c r="EF169" s="938"/>
      <c r="EG169" s="938"/>
      <c r="EH169" s="938"/>
      <c r="EI169" s="938"/>
      <c r="EJ169" s="938"/>
      <c r="EK169" s="938"/>
      <c r="EL169" s="938"/>
      <c r="EM169" s="938"/>
      <c r="EN169" s="938"/>
      <c r="EO169" s="938"/>
      <c r="EP169" s="938"/>
      <c r="EQ169" s="938"/>
      <c r="ER169" s="938"/>
      <c r="ES169" s="938"/>
      <c r="ET169" s="938"/>
      <c r="EU169" s="938"/>
      <c r="EV169" s="938"/>
      <c r="EW169" s="938"/>
      <c r="EX169" s="938"/>
      <c r="EY169" s="938"/>
      <c r="EZ169" s="938"/>
      <c r="FA169" s="938"/>
      <c r="FB169" s="941"/>
      <c r="FC169" s="941"/>
      <c r="FD169" s="941"/>
      <c r="FE169" s="941"/>
      <c r="FF169" s="942"/>
      <c r="FG169" s="942"/>
      <c r="FH169" s="942"/>
      <c r="FI169" s="942"/>
      <c r="FJ169" s="942"/>
      <c r="FK169" s="942"/>
      <c r="FL169" s="942"/>
      <c r="FM169" s="942"/>
      <c r="FN169" s="942"/>
      <c r="FO169" s="942"/>
      <c r="FP169" s="942"/>
      <c r="FQ169" s="942"/>
      <c r="FR169" s="942"/>
      <c r="FS169" s="942"/>
      <c r="FT169" s="942"/>
      <c r="FU169" s="942"/>
      <c r="FV169" s="942"/>
      <c r="FW169" s="942"/>
      <c r="FX169" s="942"/>
      <c r="FY169" s="942"/>
      <c r="FZ169" s="942"/>
      <c r="GA169" s="942"/>
      <c r="GB169" s="942"/>
      <c r="GC169" s="942"/>
      <c r="GD169" s="942"/>
      <c r="GE169" s="942"/>
      <c r="GF169" s="942"/>
      <c r="GG169" s="942"/>
      <c r="GH169" s="942"/>
      <c r="GI169" s="942"/>
      <c r="GJ169" s="935"/>
      <c r="GK169" s="935"/>
      <c r="GL169" s="935"/>
      <c r="GM169" s="935"/>
      <c r="GN169" s="939"/>
      <c r="GO169" s="939"/>
      <c r="GP169" s="939"/>
      <c r="GQ169" s="939"/>
      <c r="GR169" s="939"/>
      <c r="GS169" s="939"/>
      <c r="GT169" s="939"/>
      <c r="GU169" s="939"/>
      <c r="GV169" s="939"/>
      <c r="GW169" s="939"/>
      <c r="GX169" s="939"/>
      <c r="GY169" s="935"/>
      <c r="GZ169" s="939"/>
      <c r="HA169" s="939"/>
      <c r="HB169" s="939"/>
      <c r="HC169" s="939"/>
      <c r="HD169" s="939"/>
      <c r="HE169" s="939"/>
      <c r="HF169" s="939"/>
      <c r="HG169" s="939"/>
      <c r="HH169" s="939"/>
      <c r="HI169" s="939"/>
      <c r="HJ169" s="939"/>
      <c r="HK169" s="939"/>
      <c r="HL169" s="939"/>
      <c r="HM169" s="939"/>
      <c r="HN169" s="939"/>
      <c r="HO169" s="939"/>
      <c r="HP169" s="935"/>
      <c r="HQ169" s="939"/>
      <c r="HR169" s="943"/>
      <c r="HS169" s="943"/>
      <c r="HT169" s="943"/>
      <c r="HU169" s="943"/>
      <c r="HV169" s="944"/>
      <c r="HW169" s="944"/>
      <c r="HX169" s="944"/>
      <c r="HY169" s="944"/>
      <c r="HZ169" s="944"/>
      <c r="IA169" s="944"/>
      <c r="IB169" s="944"/>
      <c r="IC169" s="944"/>
      <c r="ID169" s="944"/>
      <c r="IE169" s="944"/>
      <c r="IF169" s="944"/>
      <c r="IG169" s="944"/>
      <c r="IH169" s="944"/>
      <c r="II169" s="944"/>
      <c r="IJ169" s="944"/>
      <c r="IK169" s="944"/>
      <c r="IL169" s="944"/>
      <c r="IM169" s="944"/>
      <c r="IN169" s="944"/>
      <c r="IO169" s="944"/>
      <c r="IP169" s="944"/>
      <c r="IQ169" s="944"/>
      <c r="IR169" s="944"/>
      <c r="IS169" s="944"/>
      <c r="IT169" s="944"/>
      <c r="IU169" s="943"/>
      <c r="IV169" s="944"/>
      <c r="IW169" s="944"/>
      <c r="IX169" s="944"/>
      <c r="IY169" s="944"/>
      <c r="IZ169" s="935"/>
      <c r="JA169" s="935"/>
      <c r="JB169" s="935"/>
      <c r="JC169" s="935"/>
      <c r="JD169" s="939"/>
      <c r="JE169" s="939"/>
      <c r="JF169" s="939"/>
      <c r="JG169" s="939"/>
      <c r="JH169" s="939"/>
      <c r="JI169" s="939"/>
      <c r="JJ169" s="939"/>
      <c r="JK169" s="939"/>
      <c r="JL169" s="939"/>
      <c r="JM169" s="939"/>
      <c r="JN169" s="939"/>
      <c r="JO169" s="939"/>
      <c r="JP169" s="939"/>
      <c r="JQ169" s="939"/>
      <c r="JR169" s="939"/>
      <c r="JS169" s="939"/>
      <c r="JT169" s="939"/>
      <c r="JU169" s="939"/>
      <c r="JV169" s="939"/>
      <c r="JW169" s="939"/>
      <c r="JX169" s="939"/>
      <c r="JY169" s="939"/>
      <c r="JZ169" s="939"/>
      <c r="KA169" s="939"/>
      <c r="KB169" s="939"/>
      <c r="KC169" s="939"/>
      <c r="KD169" s="939"/>
      <c r="KE169" s="939"/>
      <c r="KF169" s="939"/>
      <c r="KG169" s="939"/>
      <c r="KH169" s="971">
        <v>55</v>
      </c>
      <c r="KI169" s="971" t="s">
        <v>758</v>
      </c>
      <c r="KJ169" s="971">
        <v>8</v>
      </c>
      <c r="KK169" s="971" t="s">
        <v>758</v>
      </c>
      <c r="KL169" s="949">
        <v>0</v>
      </c>
      <c r="KM169" s="949">
        <v>0.5</v>
      </c>
      <c r="KN169" s="949">
        <v>0.5</v>
      </c>
      <c r="KO169" s="949">
        <v>0</v>
      </c>
      <c r="KP169" s="949">
        <v>0.38</v>
      </c>
      <c r="KQ169" s="949">
        <v>0.18</v>
      </c>
      <c r="KR169" s="949">
        <v>0.61</v>
      </c>
      <c r="KS169" s="949">
        <v>0.33</v>
      </c>
      <c r="KT169" s="949">
        <v>0.63</v>
      </c>
      <c r="KU169" s="949">
        <v>0.5</v>
      </c>
      <c r="KV169" s="949">
        <v>0.54</v>
      </c>
      <c r="KW169" s="949">
        <v>0.3</v>
      </c>
      <c r="KX169" s="949">
        <v>0.28999999999999998</v>
      </c>
      <c r="KY169" s="949">
        <v>0.46</v>
      </c>
      <c r="KZ169" s="949">
        <v>0.41</v>
      </c>
      <c r="LA169" s="949">
        <v>0.4</v>
      </c>
      <c r="LB169" s="949">
        <v>0.43</v>
      </c>
      <c r="LC169" s="949">
        <v>0.11</v>
      </c>
      <c r="LD169" s="949">
        <v>0.54</v>
      </c>
      <c r="LE169" s="949">
        <v>0.6</v>
      </c>
      <c r="LF169" s="949">
        <v>0.13</v>
      </c>
      <c r="LG169" s="949">
        <v>0</v>
      </c>
      <c r="LH169" s="949">
        <v>0.56999999999999995</v>
      </c>
      <c r="LI169" s="949">
        <v>0.44</v>
      </c>
      <c r="LJ169" s="949">
        <v>0.38</v>
      </c>
      <c r="LK169" s="949">
        <v>0.38</v>
      </c>
      <c r="LL169" s="949" t="s">
        <v>173</v>
      </c>
      <c r="LM169" s="949">
        <v>0.53</v>
      </c>
      <c r="LN169" s="949">
        <v>0</v>
      </c>
      <c r="LO169" s="949">
        <v>0.5</v>
      </c>
      <c r="LP169" s="922">
        <v>325754800107</v>
      </c>
      <c r="LQ169" s="934" t="s">
        <v>961</v>
      </c>
      <c r="LR169" s="943"/>
      <c r="LS169" s="971">
        <v>55</v>
      </c>
      <c r="LT169" s="946"/>
    </row>
    <row r="170" spans="1:332" ht="24.95" customHeight="1" x14ac:dyDescent="0.2">
      <c r="A170" s="126" t="s">
        <v>113</v>
      </c>
      <c r="B170" s="1" t="s">
        <v>123</v>
      </c>
      <c r="C170" s="2">
        <v>4</v>
      </c>
      <c r="D170" s="12">
        <v>58</v>
      </c>
      <c r="E170" s="12">
        <v>5</v>
      </c>
      <c r="F170" s="66">
        <v>0</v>
      </c>
      <c r="G170" s="66">
        <v>0.33</v>
      </c>
      <c r="H170" s="66">
        <v>0.67</v>
      </c>
      <c r="I170" s="66">
        <v>0</v>
      </c>
      <c r="J170" s="66">
        <v>0.08</v>
      </c>
      <c r="K170" s="66">
        <v>0.08</v>
      </c>
      <c r="L170" s="66">
        <v>0.79</v>
      </c>
      <c r="M170" s="66">
        <v>0.33</v>
      </c>
      <c r="N170" s="66">
        <v>0.18</v>
      </c>
      <c r="O170" s="66">
        <v>0.51</v>
      </c>
      <c r="P170" s="66">
        <v>0.25</v>
      </c>
      <c r="Q170" s="66">
        <v>0.38</v>
      </c>
      <c r="R170" s="66">
        <v>0.4</v>
      </c>
      <c r="S170" s="66">
        <v>0.54</v>
      </c>
      <c r="T170" s="66">
        <v>0.33</v>
      </c>
      <c r="U170" s="66">
        <v>0.25</v>
      </c>
      <c r="V170" s="66">
        <v>0</v>
      </c>
      <c r="W170" s="66">
        <v>0.08</v>
      </c>
      <c r="X170" s="66">
        <v>0.48</v>
      </c>
      <c r="Y170" s="66">
        <v>0.42</v>
      </c>
      <c r="Z170" s="12" t="s">
        <v>173</v>
      </c>
      <c r="AA170" s="66">
        <v>0</v>
      </c>
      <c r="AB170" s="66">
        <v>0.5</v>
      </c>
      <c r="AC170" s="66">
        <v>0.08</v>
      </c>
      <c r="AD170" s="66">
        <v>0.35</v>
      </c>
      <c r="AE170" s="66">
        <v>0.5</v>
      </c>
      <c r="AF170" s="66">
        <v>0.46</v>
      </c>
      <c r="AG170" s="66">
        <v>0.5</v>
      </c>
      <c r="AH170" s="12">
        <v>58</v>
      </c>
      <c r="AI170" s="12">
        <v>7</v>
      </c>
      <c r="AJ170" s="40">
        <v>0</v>
      </c>
      <c r="AK170" s="40">
        <v>0.38</v>
      </c>
      <c r="AL170" s="40">
        <v>0.63</v>
      </c>
      <c r="AM170" s="40">
        <v>0</v>
      </c>
      <c r="AN170" s="40">
        <v>0.11</v>
      </c>
      <c r="AO170" s="40">
        <v>0.39</v>
      </c>
      <c r="AP170" s="40">
        <v>0.52</v>
      </c>
      <c r="AQ170" s="40">
        <v>0.28999999999999998</v>
      </c>
      <c r="AR170" s="40">
        <v>0.25</v>
      </c>
      <c r="AS170" s="40">
        <v>0.45</v>
      </c>
      <c r="AT170" s="40">
        <v>0.44</v>
      </c>
      <c r="AU170" s="40">
        <v>0.37</v>
      </c>
      <c r="AV170" s="40">
        <v>0.59</v>
      </c>
      <c r="AW170" s="40">
        <v>0.17</v>
      </c>
      <c r="AX170" s="40">
        <v>0.56000000000000005</v>
      </c>
      <c r="AY170" s="40">
        <v>0.23</v>
      </c>
      <c r="AZ170" s="40">
        <v>0.1</v>
      </c>
      <c r="BA170" s="40">
        <v>0.47</v>
      </c>
      <c r="BB170" s="40">
        <v>0.46</v>
      </c>
      <c r="BC170" s="40">
        <v>0.66</v>
      </c>
      <c r="BD170" s="40">
        <v>0.31</v>
      </c>
      <c r="BE170" s="40">
        <v>0.55000000000000004</v>
      </c>
      <c r="BF170" s="40">
        <v>0.25</v>
      </c>
      <c r="BG170" s="40">
        <v>0.32</v>
      </c>
      <c r="BH170" s="40">
        <v>0.34</v>
      </c>
      <c r="BI170" s="40">
        <v>0.28999999999999998</v>
      </c>
      <c r="BJ170" s="40">
        <v>0.28000000000000003</v>
      </c>
      <c r="BK170" s="40">
        <v>0.38</v>
      </c>
      <c r="BL170" s="40">
        <v>0.5</v>
      </c>
      <c r="BM170" s="12">
        <v>54</v>
      </c>
      <c r="BN170" s="12">
        <v>6</v>
      </c>
      <c r="BO170" s="66">
        <v>0</v>
      </c>
      <c r="BP170" s="66">
        <v>0.6</v>
      </c>
      <c r="BQ170" s="66">
        <v>0.4</v>
      </c>
      <c r="BR170" s="66">
        <v>0</v>
      </c>
      <c r="BS170" s="66">
        <v>0.05</v>
      </c>
      <c r="BT170" s="66">
        <v>0.63</v>
      </c>
      <c r="BU170" s="66">
        <v>0.69</v>
      </c>
      <c r="BV170" s="66">
        <v>0.22</v>
      </c>
      <c r="BW170" s="66">
        <v>0.68</v>
      </c>
      <c r="BX170" s="66">
        <v>0.21</v>
      </c>
      <c r="BY170" s="66">
        <v>0.38</v>
      </c>
      <c r="BZ170" s="66">
        <v>0.53</v>
      </c>
      <c r="CA170" s="66">
        <v>0.42</v>
      </c>
      <c r="CB170" s="66">
        <v>0.27</v>
      </c>
      <c r="CC170" s="66">
        <v>0.17</v>
      </c>
      <c r="CD170" s="66">
        <v>0.26</v>
      </c>
      <c r="CE170" s="66">
        <v>0.1</v>
      </c>
      <c r="CF170" s="66">
        <v>0.64</v>
      </c>
      <c r="CG170" s="66">
        <v>0.42</v>
      </c>
      <c r="CH170" s="66">
        <v>0.45</v>
      </c>
      <c r="CI170" s="66">
        <v>0.62</v>
      </c>
      <c r="CJ170" s="66">
        <v>0.31</v>
      </c>
      <c r="CK170" s="66">
        <v>0.7</v>
      </c>
      <c r="CL170" s="66">
        <v>0.33</v>
      </c>
      <c r="CM170" s="66">
        <v>0.33</v>
      </c>
      <c r="CN170" s="66">
        <v>0.52</v>
      </c>
      <c r="CO170" s="66">
        <v>0.45</v>
      </c>
      <c r="CP170" s="66">
        <v>0.38</v>
      </c>
      <c r="CQ170" s="66">
        <v>0.51</v>
      </c>
      <c r="CR170" s="66">
        <v>0.53</v>
      </c>
      <c r="CS170" s="12">
        <v>55</v>
      </c>
      <c r="CT170" s="12">
        <v>8</v>
      </c>
      <c r="CU170" s="63">
        <v>0.06</v>
      </c>
      <c r="CV170" s="63">
        <v>0.5</v>
      </c>
      <c r="CW170" s="63">
        <v>0.44</v>
      </c>
      <c r="CX170" s="63">
        <v>0</v>
      </c>
      <c r="CY170" s="63">
        <v>0.39</v>
      </c>
      <c r="CZ170" s="63">
        <v>0.28999999999999998</v>
      </c>
      <c r="DA170" s="63">
        <v>0.55000000000000004</v>
      </c>
      <c r="DB170" s="63">
        <v>0.13</v>
      </c>
      <c r="DC170" s="63">
        <v>0.38</v>
      </c>
      <c r="DD170" s="63">
        <v>0.46</v>
      </c>
      <c r="DE170" s="63">
        <v>0.35</v>
      </c>
      <c r="DF170" s="63">
        <v>0.42</v>
      </c>
      <c r="DG170" s="63">
        <v>0.32</v>
      </c>
      <c r="DH170" s="63">
        <v>0.25</v>
      </c>
      <c r="DI170" s="63">
        <v>0.28000000000000003</v>
      </c>
      <c r="DJ170" s="63">
        <v>0.36</v>
      </c>
      <c r="DK170" s="63">
        <v>0.32</v>
      </c>
      <c r="DL170" s="63">
        <v>0.38</v>
      </c>
      <c r="DM170" s="63">
        <v>0.43</v>
      </c>
      <c r="DN170" s="63">
        <v>0.42</v>
      </c>
      <c r="DO170" s="63">
        <v>0.37</v>
      </c>
      <c r="DP170" s="63">
        <v>0.34</v>
      </c>
      <c r="DQ170" s="63">
        <v>0.53</v>
      </c>
      <c r="DR170" s="63">
        <v>0.21</v>
      </c>
      <c r="DS170" s="63">
        <v>0.31</v>
      </c>
      <c r="DT170" s="63">
        <v>0.28999999999999998</v>
      </c>
      <c r="DU170" s="63">
        <v>0.44</v>
      </c>
      <c r="DV170" s="63">
        <v>0.55000000000000004</v>
      </c>
      <c r="DW170" s="63">
        <v>0.4</v>
      </c>
      <c r="DX170" s="35">
        <v>49</v>
      </c>
      <c r="DY170" s="35">
        <v>11</v>
      </c>
      <c r="DZ170" s="40">
        <v>0.25</v>
      </c>
      <c r="EA170" s="40">
        <v>0.44</v>
      </c>
      <c r="EB170" s="40">
        <v>0.31</v>
      </c>
      <c r="EC170" s="40">
        <v>0</v>
      </c>
      <c r="ED170" s="40">
        <v>0.57999999999999996</v>
      </c>
      <c r="EE170" s="40">
        <v>0.39</v>
      </c>
      <c r="EF170" s="40">
        <v>0.44</v>
      </c>
      <c r="EG170" s="40">
        <v>0.25</v>
      </c>
      <c r="EH170" s="40">
        <v>0.48</v>
      </c>
      <c r="EI170" s="40">
        <v>0.57999999999999996</v>
      </c>
      <c r="EJ170" s="40">
        <v>0.64</v>
      </c>
      <c r="EK170" s="40">
        <v>0.37</v>
      </c>
      <c r="EL170" s="40">
        <v>0.42</v>
      </c>
      <c r="EM170" s="40">
        <v>0.46</v>
      </c>
      <c r="EN170" s="40">
        <v>0.37</v>
      </c>
      <c r="EO170" s="40">
        <v>0.54</v>
      </c>
      <c r="EP170" s="40">
        <v>0.44</v>
      </c>
      <c r="EQ170" s="40">
        <v>0.47</v>
      </c>
      <c r="ER170" s="40">
        <v>0.56999999999999995</v>
      </c>
      <c r="ES170" s="40">
        <v>0.38</v>
      </c>
      <c r="ET170" s="40">
        <v>0.33</v>
      </c>
      <c r="EU170" s="40">
        <v>0.61</v>
      </c>
      <c r="EV170" s="40">
        <v>0.4</v>
      </c>
      <c r="EW170" s="40">
        <v>0.21</v>
      </c>
      <c r="EX170" s="40">
        <v>0.75</v>
      </c>
      <c r="EY170" s="40">
        <v>0.63</v>
      </c>
      <c r="EZ170" s="40">
        <v>0.3</v>
      </c>
      <c r="FA170" s="40">
        <v>0.65</v>
      </c>
      <c r="FB170" s="246">
        <v>53</v>
      </c>
      <c r="FC170" s="246" t="s">
        <v>758</v>
      </c>
      <c r="FD170" s="246">
        <v>7</v>
      </c>
      <c r="FE170" s="246" t="s">
        <v>758</v>
      </c>
      <c r="FF170" s="263">
        <v>0.06</v>
      </c>
      <c r="FG170" s="263">
        <v>0.63</v>
      </c>
      <c r="FH170" s="263">
        <v>0.31</v>
      </c>
      <c r="FI170" s="263">
        <v>0</v>
      </c>
      <c r="FJ170" s="263">
        <v>0.41</v>
      </c>
      <c r="FK170" s="263">
        <v>0.44</v>
      </c>
      <c r="FL170" s="263">
        <v>0.39</v>
      </c>
      <c r="FM170" s="263">
        <v>0.5</v>
      </c>
      <c r="FN170" s="263">
        <v>0.2</v>
      </c>
      <c r="FO170" s="263">
        <v>0.34</v>
      </c>
      <c r="FP170" s="263">
        <v>0.39</v>
      </c>
      <c r="FQ170" s="263">
        <v>0.4</v>
      </c>
      <c r="FR170" s="263">
        <v>0.49</v>
      </c>
      <c r="FS170" s="263">
        <v>0.67</v>
      </c>
      <c r="FT170" s="263">
        <v>0.44</v>
      </c>
      <c r="FU170" s="263">
        <v>0.15</v>
      </c>
      <c r="FV170" s="263">
        <v>0.38</v>
      </c>
      <c r="FW170" s="263">
        <v>0.51</v>
      </c>
      <c r="FX170" s="263">
        <v>0.4</v>
      </c>
      <c r="FY170" s="263">
        <v>0.36</v>
      </c>
      <c r="FZ170" s="263">
        <v>0.39</v>
      </c>
      <c r="GA170" s="263">
        <v>0.52</v>
      </c>
      <c r="GB170" s="263">
        <v>0.61</v>
      </c>
      <c r="GC170" s="263">
        <v>0.33</v>
      </c>
      <c r="GD170" s="263">
        <v>0.47</v>
      </c>
      <c r="GE170" s="263">
        <v>0.28999999999999998</v>
      </c>
      <c r="GF170" s="263">
        <v>0.56000000000000005</v>
      </c>
      <c r="GG170" s="263">
        <v>0.37</v>
      </c>
      <c r="GH170" s="263">
        <v>0.68</v>
      </c>
      <c r="GI170" s="263">
        <v>0.13</v>
      </c>
      <c r="GJ170" s="309">
        <v>54</v>
      </c>
      <c r="GK170" s="309" t="s">
        <v>758</v>
      </c>
      <c r="GL170" s="309">
        <v>9</v>
      </c>
      <c r="GM170" s="309" t="s">
        <v>758</v>
      </c>
      <c r="GN170" s="327">
        <v>0.11</v>
      </c>
      <c r="GO170" s="327">
        <v>0.37</v>
      </c>
      <c r="GP170" s="327">
        <v>0.53</v>
      </c>
      <c r="GQ170" s="327">
        <v>0</v>
      </c>
      <c r="GR170" s="327">
        <v>0.53</v>
      </c>
      <c r="GS170" s="327">
        <v>0.42</v>
      </c>
      <c r="GT170" s="327">
        <v>0.61</v>
      </c>
      <c r="GU170" s="327">
        <v>0.1</v>
      </c>
      <c r="GV170" s="327">
        <v>0.55000000000000004</v>
      </c>
      <c r="GW170" s="327">
        <v>0.28000000000000003</v>
      </c>
      <c r="GX170" s="327">
        <v>0.49</v>
      </c>
      <c r="GY170" s="309" t="s">
        <v>173</v>
      </c>
      <c r="GZ170" s="327">
        <v>0.24</v>
      </c>
      <c r="HA170" s="327">
        <v>0.6</v>
      </c>
      <c r="HB170" s="327">
        <v>0.32</v>
      </c>
      <c r="HC170" s="327">
        <v>0.62</v>
      </c>
      <c r="HD170" s="327">
        <v>0.5</v>
      </c>
      <c r="HE170" s="327">
        <v>0.5</v>
      </c>
      <c r="HF170" s="327">
        <v>0.38</v>
      </c>
      <c r="HG170" s="327">
        <v>0.69</v>
      </c>
      <c r="HH170" s="327">
        <v>0.22</v>
      </c>
      <c r="HI170" s="327">
        <v>0.65</v>
      </c>
      <c r="HJ170" s="327">
        <v>0.56999999999999995</v>
      </c>
      <c r="HK170" s="327">
        <v>0.32</v>
      </c>
      <c r="HL170" s="327">
        <v>0.27</v>
      </c>
      <c r="HM170" s="327">
        <v>0.32</v>
      </c>
      <c r="HN170" s="327">
        <v>0.42</v>
      </c>
      <c r="HO170" s="327">
        <v>0.27</v>
      </c>
      <c r="HP170" s="309" t="s">
        <v>173</v>
      </c>
      <c r="HQ170" s="327">
        <v>0.31</v>
      </c>
      <c r="HR170" s="424">
        <v>53</v>
      </c>
      <c r="HS170" s="424" t="s">
        <v>758</v>
      </c>
      <c r="HT170" s="424">
        <v>9</v>
      </c>
      <c r="HU170" s="424" t="s">
        <v>758</v>
      </c>
      <c r="HV170" s="428">
        <v>0.09</v>
      </c>
      <c r="HW170" s="428">
        <v>0.48</v>
      </c>
      <c r="HX170" s="428">
        <v>0.39</v>
      </c>
      <c r="HY170" s="428">
        <v>0.04</v>
      </c>
      <c r="HZ170" s="428">
        <v>0.32</v>
      </c>
      <c r="IA170" s="428">
        <v>0.49</v>
      </c>
      <c r="IB170" s="428">
        <v>0.42</v>
      </c>
      <c r="IC170" s="428">
        <v>0.56999999999999995</v>
      </c>
      <c r="ID170" s="428">
        <v>0.62</v>
      </c>
      <c r="IE170" s="428">
        <v>0.27</v>
      </c>
      <c r="IF170" s="428">
        <v>0.27</v>
      </c>
      <c r="IG170" s="428">
        <v>0.39</v>
      </c>
      <c r="IH170" s="428">
        <v>0.53</v>
      </c>
      <c r="II170" s="428">
        <v>0.25</v>
      </c>
      <c r="IJ170" s="428">
        <v>0.22</v>
      </c>
      <c r="IK170" s="428">
        <v>0.52</v>
      </c>
      <c r="IL170" s="428">
        <v>0.26</v>
      </c>
      <c r="IM170" s="428">
        <v>0.47</v>
      </c>
      <c r="IN170" s="428">
        <v>0.5</v>
      </c>
      <c r="IO170" s="428">
        <v>0.4</v>
      </c>
      <c r="IP170" s="428">
        <v>0.48</v>
      </c>
      <c r="IQ170" s="428">
        <v>0.52</v>
      </c>
      <c r="IR170" s="428">
        <v>0.61</v>
      </c>
      <c r="IS170" s="428">
        <v>0.51</v>
      </c>
      <c r="IT170" s="428">
        <v>0.45</v>
      </c>
      <c r="IU170" s="424" t="s">
        <v>173</v>
      </c>
      <c r="IV170" s="428">
        <v>0.56000000000000005</v>
      </c>
      <c r="IW170" s="428">
        <v>0.32</v>
      </c>
      <c r="IX170" s="428">
        <v>0.48</v>
      </c>
      <c r="IY170" s="428">
        <v>0.45</v>
      </c>
      <c r="IZ170" s="464">
        <v>57</v>
      </c>
      <c r="JA170" s="464" t="s">
        <v>758</v>
      </c>
      <c r="JB170" s="464">
        <v>9</v>
      </c>
      <c r="JC170" s="464" t="s">
        <v>758</v>
      </c>
      <c r="JD170" s="476">
        <v>0</v>
      </c>
      <c r="JE170" s="476">
        <v>0.5</v>
      </c>
      <c r="JF170" s="476">
        <v>0.46</v>
      </c>
      <c r="JG170" s="476">
        <v>0.04</v>
      </c>
      <c r="JH170" s="476">
        <v>0.42</v>
      </c>
      <c r="JI170" s="476">
        <v>0.35</v>
      </c>
      <c r="JJ170" s="476">
        <v>0.37</v>
      </c>
      <c r="JK170" s="476">
        <v>0.32</v>
      </c>
      <c r="JL170" s="476">
        <v>0.44</v>
      </c>
      <c r="JM170" s="476">
        <v>0.4</v>
      </c>
      <c r="JN170" s="476">
        <v>0.31</v>
      </c>
      <c r="JO170" s="476">
        <v>0.49</v>
      </c>
      <c r="JP170" s="476">
        <v>0.5</v>
      </c>
      <c r="JQ170" s="476">
        <v>0.11</v>
      </c>
      <c r="JR170" s="476">
        <v>0.57999999999999996</v>
      </c>
      <c r="JS170" s="476">
        <v>0.5</v>
      </c>
      <c r="JT170" s="476">
        <v>0.31</v>
      </c>
      <c r="JU170" s="476">
        <v>0.28999999999999998</v>
      </c>
      <c r="JV170" s="476">
        <v>0.44</v>
      </c>
      <c r="JW170" s="476">
        <v>0.31</v>
      </c>
      <c r="JX170" s="476">
        <v>0.44</v>
      </c>
      <c r="JY170" s="476">
        <v>0.32</v>
      </c>
      <c r="JZ170" s="476">
        <v>0.39</v>
      </c>
      <c r="KA170" s="476">
        <v>0.43</v>
      </c>
      <c r="KB170" s="476">
        <v>0.31</v>
      </c>
      <c r="KC170" s="476">
        <v>0.55000000000000004</v>
      </c>
      <c r="KD170" s="476">
        <v>0.2</v>
      </c>
      <c r="KE170" s="476">
        <v>0.24</v>
      </c>
      <c r="KF170" s="476">
        <v>0.3</v>
      </c>
      <c r="KG170" s="476">
        <v>0.41</v>
      </c>
      <c r="KH170" s="971">
        <v>61</v>
      </c>
      <c r="KI170" s="971" t="s">
        <v>759</v>
      </c>
      <c r="KJ170" s="971">
        <v>6</v>
      </c>
      <c r="KK170" s="971" t="s">
        <v>758</v>
      </c>
      <c r="KL170" s="949">
        <v>0</v>
      </c>
      <c r="KM170" s="949">
        <v>0.2</v>
      </c>
      <c r="KN170" s="949">
        <v>0.8</v>
      </c>
      <c r="KO170" s="949">
        <v>0</v>
      </c>
      <c r="KP170" s="949">
        <v>0.41</v>
      </c>
      <c r="KQ170" s="949">
        <v>0.09</v>
      </c>
      <c r="KR170" s="949">
        <v>0.37</v>
      </c>
      <c r="KS170" s="949">
        <v>0.17</v>
      </c>
      <c r="KT170" s="949">
        <v>0.53</v>
      </c>
      <c r="KU170" s="949">
        <v>0.38</v>
      </c>
      <c r="KV170" s="949">
        <v>0.49</v>
      </c>
      <c r="KW170" s="949">
        <v>0.19</v>
      </c>
      <c r="KX170" s="949">
        <v>0.11</v>
      </c>
      <c r="KY170" s="949">
        <v>0.48</v>
      </c>
      <c r="KZ170" s="949">
        <v>0.2</v>
      </c>
      <c r="LA170" s="949">
        <v>0.25</v>
      </c>
      <c r="LB170" s="949">
        <v>0.32</v>
      </c>
      <c r="LC170" s="949">
        <v>0.15</v>
      </c>
      <c r="LD170" s="949">
        <v>0.42</v>
      </c>
      <c r="LE170" s="949">
        <v>0.26</v>
      </c>
      <c r="LF170" s="949">
        <v>0.14000000000000001</v>
      </c>
      <c r="LG170" s="949">
        <v>0.27</v>
      </c>
      <c r="LH170" s="949">
        <v>0.37</v>
      </c>
      <c r="LI170" s="949">
        <v>0.35</v>
      </c>
      <c r="LJ170" s="949">
        <v>0.36</v>
      </c>
      <c r="LK170" s="949">
        <v>0.38</v>
      </c>
      <c r="LL170" s="949" t="s">
        <v>173</v>
      </c>
      <c r="LM170" s="949">
        <v>0.39</v>
      </c>
      <c r="LN170" s="949">
        <v>0.56000000000000005</v>
      </c>
      <c r="LO170" s="949">
        <v>0.3</v>
      </c>
      <c r="LP170" s="922">
        <v>325754003771</v>
      </c>
      <c r="LQ170" s="126" t="s">
        <v>113</v>
      </c>
      <c r="LR170" s="424">
        <v>53</v>
      </c>
      <c r="LS170" s="971">
        <v>61</v>
      </c>
      <c r="LT170" s="946"/>
    </row>
    <row r="171" spans="1:332" ht="24.95" customHeight="1" x14ac:dyDescent="0.2">
      <c r="A171" s="126" t="s">
        <v>59</v>
      </c>
      <c r="B171" s="1" t="s">
        <v>123</v>
      </c>
      <c r="C171" s="2">
        <v>5</v>
      </c>
      <c r="D171" s="12">
        <v>59</v>
      </c>
      <c r="E171" s="12">
        <v>8</v>
      </c>
      <c r="F171" s="66">
        <v>0</v>
      </c>
      <c r="G171" s="66">
        <v>0.37</v>
      </c>
      <c r="H171" s="66">
        <v>0.57999999999999996</v>
      </c>
      <c r="I171" s="66">
        <v>0.05</v>
      </c>
      <c r="J171" s="66">
        <v>0.1</v>
      </c>
      <c r="K171" s="66">
        <v>0.27</v>
      </c>
      <c r="L171" s="66">
        <v>0.59</v>
      </c>
      <c r="M171" s="66">
        <v>0.2</v>
      </c>
      <c r="N171" s="66">
        <v>0.23</v>
      </c>
      <c r="O171" s="66">
        <v>0.66</v>
      </c>
      <c r="P171" s="66">
        <v>0.27</v>
      </c>
      <c r="Q171" s="66">
        <v>0.38</v>
      </c>
      <c r="R171" s="66">
        <v>0.5</v>
      </c>
      <c r="S171" s="66">
        <v>0.46</v>
      </c>
      <c r="T171" s="66">
        <v>0.33</v>
      </c>
      <c r="U171" s="66">
        <v>0.38</v>
      </c>
      <c r="V171" s="66">
        <v>0</v>
      </c>
      <c r="W171" s="66">
        <v>0.03</v>
      </c>
      <c r="X171" s="66">
        <v>0.49</v>
      </c>
      <c r="Y171" s="66">
        <v>0.51</v>
      </c>
      <c r="Z171" s="66">
        <v>0</v>
      </c>
      <c r="AA171" s="66">
        <v>7.0000000000000007E-2</v>
      </c>
      <c r="AB171" s="66">
        <v>0.42</v>
      </c>
      <c r="AC171" s="66">
        <v>0.36</v>
      </c>
      <c r="AD171" s="66">
        <v>0.43</v>
      </c>
      <c r="AE171" s="66">
        <v>0.44</v>
      </c>
      <c r="AF171" s="66">
        <v>0.33</v>
      </c>
      <c r="AG171" s="66">
        <v>0.28000000000000003</v>
      </c>
      <c r="AH171" s="12">
        <v>55</v>
      </c>
      <c r="AI171" s="12">
        <v>8</v>
      </c>
      <c r="AJ171" s="40">
        <v>0.08</v>
      </c>
      <c r="AK171" s="40">
        <v>0.21</v>
      </c>
      <c r="AL171" s="40">
        <v>0.71</v>
      </c>
      <c r="AM171" s="40">
        <v>0</v>
      </c>
      <c r="AN171" s="40">
        <v>0.24</v>
      </c>
      <c r="AO171" s="40">
        <v>0.49</v>
      </c>
      <c r="AP171" s="40">
        <v>0.55000000000000004</v>
      </c>
      <c r="AQ171" s="40">
        <v>0.32</v>
      </c>
      <c r="AR171" s="40">
        <v>0.39</v>
      </c>
      <c r="AS171" s="40">
        <v>0.44</v>
      </c>
      <c r="AT171" s="40">
        <v>0.39</v>
      </c>
      <c r="AU171" s="40">
        <v>0.38</v>
      </c>
      <c r="AV171" s="40">
        <v>0.61</v>
      </c>
      <c r="AW171" s="40">
        <v>0</v>
      </c>
      <c r="AX171" s="40">
        <v>0.55000000000000004</v>
      </c>
      <c r="AY171" s="40">
        <v>0.25</v>
      </c>
      <c r="AZ171" s="40">
        <v>0.19</v>
      </c>
      <c r="BA171" s="40">
        <v>0.45</v>
      </c>
      <c r="BB171" s="40">
        <v>0.64</v>
      </c>
      <c r="BC171" s="40">
        <v>0.69</v>
      </c>
      <c r="BD171" s="40">
        <v>0.46</v>
      </c>
      <c r="BE171" s="40">
        <v>0.5</v>
      </c>
      <c r="BF171" s="40">
        <v>0.53</v>
      </c>
      <c r="BG171" s="40">
        <v>0.37</v>
      </c>
      <c r="BH171" s="40">
        <v>0.33</v>
      </c>
      <c r="BI171" s="40">
        <v>0.36</v>
      </c>
      <c r="BJ171" s="40">
        <v>0.38</v>
      </c>
      <c r="BK171" s="40">
        <v>0.31</v>
      </c>
      <c r="BL171" s="40">
        <v>0.55000000000000004</v>
      </c>
      <c r="BM171" s="12">
        <v>54</v>
      </c>
      <c r="BN171" s="12">
        <v>6</v>
      </c>
      <c r="BO171" s="66">
        <v>0</v>
      </c>
      <c r="BP171" s="66">
        <v>0.71</v>
      </c>
      <c r="BQ171" s="66">
        <v>0.28999999999999998</v>
      </c>
      <c r="BR171" s="66">
        <v>0</v>
      </c>
      <c r="BS171" s="66">
        <v>0.35</v>
      </c>
      <c r="BT171" s="66">
        <v>0.63</v>
      </c>
      <c r="BU171" s="66">
        <v>0.83</v>
      </c>
      <c r="BV171" s="66">
        <v>0.23</v>
      </c>
      <c r="BW171" s="66">
        <v>0.75</v>
      </c>
      <c r="BX171" s="66">
        <v>0.24</v>
      </c>
      <c r="BY171" s="66">
        <v>0.45</v>
      </c>
      <c r="BZ171" s="66">
        <v>0.47</v>
      </c>
      <c r="CA171" s="66">
        <v>0.61</v>
      </c>
      <c r="CB171" s="66">
        <v>0.27</v>
      </c>
      <c r="CC171" s="66">
        <v>0.21</v>
      </c>
      <c r="CD171" s="66">
        <v>0.43</v>
      </c>
      <c r="CE171" s="66">
        <v>0.34</v>
      </c>
      <c r="CF171" s="66">
        <v>0.53</v>
      </c>
      <c r="CG171" s="66">
        <v>0.48</v>
      </c>
      <c r="CH171" s="66">
        <v>0.28999999999999998</v>
      </c>
      <c r="CI171" s="66">
        <v>0.48</v>
      </c>
      <c r="CJ171" s="66">
        <v>0.31</v>
      </c>
      <c r="CK171" s="66">
        <v>0.63</v>
      </c>
      <c r="CL171" s="66">
        <v>0.19</v>
      </c>
      <c r="CM171" s="66">
        <v>0.39</v>
      </c>
      <c r="CN171" s="66">
        <v>0.33</v>
      </c>
      <c r="CO171" s="66">
        <v>0.41</v>
      </c>
      <c r="CP171" s="66">
        <v>0.28000000000000003</v>
      </c>
      <c r="CQ171" s="66">
        <v>0.51</v>
      </c>
      <c r="CR171" s="66">
        <v>0.52</v>
      </c>
      <c r="CS171" s="12">
        <v>55</v>
      </c>
      <c r="CT171" s="12">
        <v>9</v>
      </c>
      <c r="CU171" s="63">
        <v>0.05</v>
      </c>
      <c r="CV171" s="63">
        <v>0.52</v>
      </c>
      <c r="CW171" s="63">
        <v>0.38</v>
      </c>
      <c r="CX171" s="63">
        <v>0.05</v>
      </c>
      <c r="CY171" s="63">
        <v>0.42</v>
      </c>
      <c r="CZ171" s="63">
        <v>0.17</v>
      </c>
      <c r="DA171" s="63">
        <v>0.33</v>
      </c>
      <c r="DB171" s="63">
        <v>0.2</v>
      </c>
      <c r="DC171" s="63">
        <v>0.28999999999999998</v>
      </c>
      <c r="DD171" s="63">
        <v>0.68</v>
      </c>
      <c r="DE171" s="63">
        <v>0.24</v>
      </c>
      <c r="DF171" s="63">
        <v>0.48</v>
      </c>
      <c r="DG171" s="63">
        <v>0.37</v>
      </c>
      <c r="DH171" s="63">
        <v>0.28999999999999998</v>
      </c>
      <c r="DI171" s="63">
        <v>0.32</v>
      </c>
      <c r="DJ171" s="63">
        <v>0.36</v>
      </c>
      <c r="DK171" s="63">
        <v>0.19</v>
      </c>
      <c r="DL171" s="63">
        <v>0.22</v>
      </c>
      <c r="DM171" s="63">
        <v>0.45</v>
      </c>
      <c r="DN171" s="63">
        <v>0.46</v>
      </c>
      <c r="DO171" s="63">
        <v>0.48</v>
      </c>
      <c r="DP171" s="63">
        <v>0.32</v>
      </c>
      <c r="DQ171" s="63">
        <v>0.56999999999999995</v>
      </c>
      <c r="DR171" s="63">
        <v>0.2</v>
      </c>
      <c r="DS171" s="63">
        <v>0.35</v>
      </c>
      <c r="DT171" s="63">
        <v>0.68</v>
      </c>
      <c r="DU171" s="63">
        <v>0.42</v>
      </c>
      <c r="DV171" s="63">
        <v>0.4</v>
      </c>
      <c r="DW171" s="63">
        <v>0.27</v>
      </c>
      <c r="DX171" s="35">
        <v>55</v>
      </c>
      <c r="DY171" s="35">
        <v>9</v>
      </c>
      <c r="DZ171" s="40">
        <v>0.05</v>
      </c>
      <c r="EA171" s="40">
        <v>0.42</v>
      </c>
      <c r="EB171" s="40">
        <v>0.53</v>
      </c>
      <c r="EC171" s="40">
        <v>0</v>
      </c>
      <c r="ED171" s="40">
        <v>0.54</v>
      </c>
      <c r="EE171" s="40">
        <v>0.51</v>
      </c>
      <c r="EF171" s="40">
        <v>0.35</v>
      </c>
      <c r="EG171" s="40">
        <v>0.22</v>
      </c>
      <c r="EH171" s="40">
        <v>0.21</v>
      </c>
      <c r="EI171" s="40">
        <v>0.46</v>
      </c>
      <c r="EJ171" s="40">
        <v>0.37</v>
      </c>
      <c r="EK171" s="40">
        <v>0.12</v>
      </c>
      <c r="EL171" s="40">
        <v>0.13</v>
      </c>
      <c r="EM171" s="40">
        <v>0.73</v>
      </c>
      <c r="EN171" s="40">
        <v>0.38</v>
      </c>
      <c r="EO171" s="40">
        <v>0.64</v>
      </c>
      <c r="EP171" s="40">
        <v>0.28999999999999998</v>
      </c>
      <c r="EQ171" s="40">
        <v>0.12</v>
      </c>
      <c r="ER171" s="40">
        <v>0.6</v>
      </c>
      <c r="ES171" s="40">
        <v>0.33</v>
      </c>
      <c r="ET171" s="40">
        <v>0.24</v>
      </c>
      <c r="EU171" s="40">
        <v>0.33</v>
      </c>
      <c r="EV171" s="40">
        <v>0.17</v>
      </c>
      <c r="EW171" s="40">
        <v>0.26</v>
      </c>
      <c r="EX171" s="40">
        <v>0.44</v>
      </c>
      <c r="EY171" s="40">
        <v>0.48</v>
      </c>
      <c r="EZ171" s="40">
        <v>0.06</v>
      </c>
      <c r="FA171" s="40">
        <v>0.55000000000000004</v>
      </c>
      <c r="FB171" s="246">
        <v>51</v>
      </c>
      <c r="FC171" s="246" t="s">
        <v>758</v>
      </c>
      <c r="FD171" s="246">
        <v>7</v>
      </c>
      <c r="FE171" s="246" t="s">
        <v>758</v>
      </c>
      <c r="FF171" s="263">
        <v>0.08</v>
      </c>
      <c r="FG171" s="263">
        <v>0.62</v>
      </c>
      <c r="FH171" s="263">
        <v>0.31</v>
      </c>
      <c r="FI171" s="263">
        <v>0</v>
      </c>
      <c r="FJ171" s="263">
        <v>0.5</v>
      </c>
      <c r="FK171" s="263">
        <v>0.64</v>
      </c>
      <c r="FL171" s="263">
        <v>0.43</v>
      </c>
      <c r="FM171" s="263">
        <v>0.37</v>
      </c>
      <c r="FN171" s="263">
        <v>0.12</v>
      </c>
      <c r="FO171" s="263">
        <v>0.37</v>
      </c>
      <c r="FP171" s="263">
        <v>0.44</v>
      </c>
      <c r="FQ171" s="263">
        <v>0.36</v>
      </c>
      <c r="FR171" s="263">
        <v>0.62</v>
      </c>
      <c r="FS171" s="263">
        <v>0.47</v>
      </c>
      <c r="FT171" s="263">
        <v>0.48</v>
      </c>
      <c r="FU171" s="263">
        <v>0.47</v>
      </c>
      <c r="FV171" s="263">
        <v>0.62</v>
      </c>
      <c r="FW171" s="263">
        <v>0.46</v>
      </c>
      <c r="FX171" s="263">
        <v>0.46</v>
      </c>
      <c r="FY171" s="263">
        <v>0.33</v>
      </c>
      <c r="FZ171" s="263">
        <v>0.28999999999999998</v>
      </c>
      <c r="GA171" s="263">
        <v>0.44</v>
      </c>
      <c r="GB171" s="263">
        <v>0.54</v>
      </c>
      <c r="GC171" s="263">
        <v>0.39</v>
      </c>
      <c r="GD171" s="263">
        <v>0.5</v>
      </c>
      <c r="GE171" s="263">
        <v>0.53</v>
      </c>
      <c r="GF171" s="263">
        <v>0.49</v>
      </c>
      <c r="GG171" s="263">
        <v>0.36</v>
      </c>
      <c r="GH171" s="263">
        <v>0.65</v>
      </c>
      <c r="GI171" s="263">
        <v>0.32</v>
      </c>
      <c r="GJ171" s="309">
        <v>56</v>
      </c>
      <c r="GK171" s="309" t="s">
        <v>758</v>
      </c>
      <c r="GL171" s="309">
        <v>8</v>
      </c>
      <c r="GM171" s="309" t="s">
        <v>758</v>
      </c>
      <c r="GN171" s="327">
        <v>0</v>
      </c>
      <c r="GO171" s="327">
        <v>0.52</v>
      </c>
      <c r="GP171" s="327">
        <v>0.48</v>
      </c>
      <c r="GQ171" s="327">
        <v>0</v>
      </c>
      <c r="GR171" s="327">
        <v>0.38</v>
      </c>
      <c r="GS171" s="327">
        <v>0.37</v>
      </c>
      <c r="GT171" s="327">
        <v>0.52</v>
      </c>
      <c r="GU171" s="327">
        <v>0.23</v>
      </c>
      <c r="GV171" s="327">
        <v>0.49</v>
      </c>
      <c r="GW171" s="327">
        <v>0.33</v>
      </c>
      <c r="GX171" s="327">
        <v>0.42</v>
      </c>
      <c r="GY171" s="309" t="s">
        <v>173</v>
      </c>
      <c r="GZ171" s="327">
        <v>0.18</v>
      </c>
      <c r="HA171" s="327">
        <v>0.67</v>
      </c>
      <c r="HB171" s="327">
        <v>0.42</v>
      </c>
      <c r="HC171" s="327">
        <v>0.44</v>
      </c>
      <c r="HD171" s="327">
        <v>0.48</v>
      </c>
      <c r="HE171" s="327">
        <v>0.39</v>
      </c>
      <c r="HF171" s="327">
        <v>0.32</v>
      </c>
      <c r="HG171" s="327">
        <v>0.51</v>
      </c>
      <c r="HH171" s="327">
        <v>0.27</v>
      </c>
      <c r="HI171" s="327">
        <v>0.4</v>
      </c>
      <c r="HJ171" s="327">
        <v>0.56000000000000005</v>
      </c>
      <c r="HK171" s="327">
        <v>0.51</v>
      </c>
      <c r="HL171" s="327">
        <v>0.31</v>
      </c>
      <c r="HM171" s="327">
        <v>0.56000000000000005</v>
      </c>
      <c r="HN171" s="327">
        <v>0.4</v>
      </c>
      <c r="HO171" s="327">
        <v>0.31</v>
      </c>
      <c r="HP171" s="309" t="s">
        <v>173</v>
      </c>
      <c r="HQ171" s="327">
        <v>0.25</v>
      </c>
      <c r="HR171" s="424">
        <v>54</v>
      </c>
      <c r="HS171" s="424" t="s">
        <v>758</v>
      </c>
      <c r="HT171" s="424">
        <v>12</v>
      </c>
      <c r="HU171" s="424" t="s">
        <v>758</v>
      </c>
      <c r="HV171" s="428">
        <v>0.14000000000000001</v>
      </c>
      <c r="HW171" s="428">
        <v>0.43</v>
      </c>
      <c r="HX171" s="428">
        <v>0.33</v>
      </c>
      <c r="HY171" s="428">
        <v>0.1</v>
      </c>
      <c r="HZ171" s="428">
        <v>0.35</v>
      </c>
      <c r="IA171" s="428">
        <v>0.54</v>
      </c>
      <c r="IB171" s="428">
        <v>0.06</v>
      </c>
      <c r="IC171" s="428">
        <v>0.6</v>
      </c>
      <c r="ID171" s="428">
        <v>0.42</v>
      </c>
      <c r="IE171" s="428">
        <v>0.24</v>
      </c>
      <c r="IF171" s="428">
        <v>0.32</v>
      </c>
      <c r="IG171" s="428">
        <v>0.59</v>
      </c>
      <c r="IH171" s="428">
        <v>0.51</v>
      </c>
      <c r="II171" s="428">
        <v>0.27</v>
      </c>
      <c r="IJ171" s="428">
        <v>0.26</v>
      </c>
      <c r="IK171" s="428">
        <v>0.33</v>
      </c>
      <c r="IL171" s="428">
        <v>0.27</v>
      </c>
      <c r="IM171" s="428">
        <v>0.6</v>
      </c>
      <c r="IN171" s="428">
        <v>0.4</v>
      </c>
      <c r="IO171" s="428">
        <v>0.45</v>
      </c>
      <c r="IP171" s="428">
        <v>0.45</v>
      </c>
      <c r="IQ171" s="428">
        <v>0.63</v>
      </c>
      <c r="IR171" s="428">
        <v>0.42</v>
      </c>
      <c r="IS171" s="428">
        <v>0.5</v>
      </c>
      <c r="IT171" s="428">
        <v>0.37</v>
      </c>
      <c r="IU171" s="424" t="s">
        <v>173</v>
      </c>
      <c r="IV171" s="428">
        <v>0.57999999999999996</v>
      </c>
      <c r="IW171" s="428">
        <v>0.49</v>
      </c>
      <c r="IX171" s="428">
        <v>0.43</v>
      </c>
      <c r="IY171" s="428">
        <v>0.41</v>
      </c>
      <c r="IZ171" s="464">
        <v>53</v>
      </c>
      <c r="JA171" s="464" t="s">
        <v>758</v>
      </c>
      <c r="JB171" s="464">
        <v>11</v>
      </c>
      <c r="JC171" s="464" t="s">
        <v>758</v>
      </c>
      <c r="JD171" s="476">
        <v>0.18</v>
      </c>
      <c r="JE171" s="476">
        <v>0.39</v>
      </c>
      <c r="JF171" s="476">
        <v>0.36</v>
      </c>
      <c r="JG171" s="476">
        <v>7.0000000000000007E-2</v>
      </c>
      <c r="JH171" s="476">
        <v>0.39</v>
      </c>
      <c r="JI171" s="476">
        <v>0.39</v>
      </c>
      <c r="JJ171" s="476">
        <v>0.36</v>
      </c>
      <c r="JK171" s="476">
        <v>0.44</v>
      </c>
      <c r="JL171" s="476">
        <v>0.41</v>
      </c>
      <c r="JM171" s="476">
        <v>0.4</v>
      </c>
      <c r="JN171" s="476">
        <v>0.4</v>
      </c>
      <c r="JO171" s="476">
        <v>0.43</v>
      </c>
      <c r="JP171" s="476">
        <v>0.54</v>
      </c>
      <c r="JQ171" s="476">
        <v>0.3</v>
      </c>
      <c r="JR171" s="476">
        <v>0.6</v>
      </c>
      <c r="JS171" s="476">
        <v>0.52</v>
      </c>
      <c r="JT171" s="476">
        <v>0.35</v>
      </c>
      <c r="JU171" s="476">
        <v>0.5</v>
      </c>
      <c r="JV171" s="476">
        <v>0.47</v>
      </c>
      <c r="JW171" s="476">
        <v>0.39</v>
      </c>
      <c r="JX171" s="476">
        <v>0.44</v>
      </c>
      <c r="JY171" s="476">
        <v>0.45</v>
      </c>
      <c r="JZ171" s="476">
        <v>0.45</v>
      </c>
      <c r="KA171" s="476">
        <v>0.67</v>
      </c>
      <c r="KB171" s="476">
        <v>0.51</v>
      </c>
      <c r="KC171" s="476">
        <v>0.69</v>
      </c>
      <c r="KD171" s="476">
        <v>0.24</v>
      </c>
      <c r="KE171" s="476">
        <v>0.5</v>
      </c>
      <c r="KF171" s="476">
        <v>0.37</v>
      </c>
      <c r="KG171" s="476">
        <v>0.42</v>
      </c>
      <c r="KH171" s="971">
        <v>55</v>
      </c>
      <c r="KI171" s="971" t="s">
        <v>758</v>
      </c>
      <c r="KJ171" s="971">
        <v>9</v>
      </c>
      <c r="KK171" s="971" t="s">
        <v>758</v>
      </c>
      <c r="KL171" s="949">
        <v>0.05</v>
      </c>
      <c r="KM171" s="949">
        <v>0.42</v>
      </c>
      <c r="KN171" s="949">
        <v>0.53</v>
      </c>
      <c r="KO171" s="949">
        <v>0</v>
      </c>
      <c r="KP171" s="949">
        <v>0.32</v>
      </c>
      <c r="KQ171" s="949">
        <v>0.3</v>
      </c>
      <c r="KR171" s="949">
        <v>0.56999999999999995</v>
      </c>
      <c r="KS171" s="949">
        <v>0.24</v>
      </c>
      <c r="KT171" s="949">
        <v>0.74</v>
      </c>
      <c r="KU171" s="949">
        <v>0.32</v>
      </c>
      <c r="KV171" s="949">
        <v>0.54</v>
      </c>
      <c r="KW171" s="949">
        <v>0.28000000000000003</v>
      </c>
      <c r="KX171" s="949">
        <v>0.32</v>
      </c>
      <c r="KY171" s="949">
        <v>0.43</v>
      </c>
      <c r="KZ171" s="949">
        <v>0.26</v>
      </c>
      <c r="LA171" s="949">
        <v>0.38</v>
      </c>
      <c r="LB171" s="949">
        <v>0.38</v>
      </c>
      <c r="LC171" s="949">
        <v>0.27</v>
      </c>
      <c r="LD171" s="949">
        <v>0.46</v>
      </c>
      <c r="LE171" s="949">
        <v>0.51</v>
      </c>
      <c r="LF171" s="949">
        <v>0.15</v>
      </c>
      <c r="LG171" s="949">
        <v>0.33</v>
      </c>
      <c r="LH171" s="949">
        <v>0.49</v>
      </c>
      <c r="LI171" s="949">
        <v>0.47</v>
      </c>
      <c r="LJ171" s="949">
        <v>0.3</v>
      </c>
      <c r="LK171" s="949">
        <v>0.49</v>
      </c>
      <c r="LL171" s="949" t="s">
        <v>173</v>
      </c>
      <c r="LM171" s="949">
        <v>0.51</v>
      </c>
      <c r="LN171" s="949">
        <v>1</v>
      </c>
      <c r="LO171" s="949">
        <v>0.15</v>
      </c>
      <c r="LP171" s="922">
        <v>325754001123</v>
      </c>
      <c r="LQ171" s="126" t="s">
        <v>59</v>
      </c>
      <c r="LR171" s="424">
        <v>54</v>
      </c>
      <c r="LS171" s="971">
        <v>55</v>
      </c>
      <c r="LT171" s="946"/>
    </row>
    <row r="172" spans="1:332" ht="24.95" customHeight="1" x14ac:dyDescent="0.2">
      <c r="A172" s="126" t="s">
        <v>45</v>
      </c>
      <c r="B172" s="1" t="s">
        <v>123</v>
      </c>
      <c r="C172" s="2">
        <v>2</v>
      </c>
      <c r="D172" s="12">
        <v>53</v>
      </c>
      <c r="E172" s="12">
        <v>7</v>
      </c>
      <c r="F172" s="66">
        <v>0.05</v>
      </c>
      <c r="G172" s="66">
        <v>0.59</v>
      </c>
      <c r="H172" s="66">
        <v>0.36</v>
      </c>
      <c r="I172" s="66">
        <v>0</v>
      </c>
      <c r="J172" s="66">
        <v>0.51</v>
      </c>
      <c r="K172" s="66">
        <v>0.23</v>
      </c>
      <c r="L172" s="66">
        <v>0.8</v>
      </c>
      <c r="M172" s="66">
        <v>0.31</v>
      </c>
      <c r="N172" s="66">
        <v>0.28000000000000003</v>
      </c>
      <c r="O172" s="66">
        <v>0.78</v>
      </c>
      <c r="P172" s="66">
        <v>0.3</v>
      </c>
      <c r="Q172" s="66">
        <v>0.42</v>
      </c>
      <c r="R172" s="66">
        <v>0.49</v>
      </c>
      <c r="S172" s="66">
        <v>0.62</v>
      </c>
      <c r="T172" s="66">
        <v>0.32</v>
      </c>
      <c r="U172" s="66">
        <v>0.73</v>
      </c>
      <c r="V172" s="66">
        <v>0.14000000000000001</v>
      </c>
      <c r="W172" s="66">
        <v>0.23</v>
      </c>
      <c r="X172" s="66">
        <v>0.56000000000000005</v>
      </c>
      <c r="Y172" s="66">
        <v>0.45</v>
      </c>
      <c r="Z172" s="12" t="s">
        <v>173</v>
      </c>
      <c r="AA172" s="66">
        <v>0.05</v>
      </c>
      <c r="AB172" s="66">
        <v>0.53</v>
      </c>
      <c r="AC172" s="66">
        <v>0.3</v>
      </c>
      <c r="AD172" s="66">
        <v>0.54</v>
      </c>
      <c r="AE172" s="66">
        <v>0.35</v>
      </c>
      <c r="AF172" s="66">
        <v>0.34</v>
      </c>
      <c r="AG172" s="66">
        <v>0.42</v>
      </c>
      <c r="AH172" s="12">
        <v>54</v>
      </c>
      <c r="AI172" s="12">
        <v>7</v>
      </c>
      <c r="AJ172" s="40">
        <v>0</v>
      </c>
      <c r="AK172" s="40">
        <v>0.6</v>
      </c>
      <c r="AL172" s="40">
        <v>0.4</v>
      </c>
      <c r="AM172" s="40">
        <v>0</v>
      </c>
      <c r="AN172" s="40">
        <v>0.31</v>
      </c>
      <c r="AO172" s="40">
        <v>0.39</v>
      </c>
      <c r="AP172" s="40">
        <v>0.63</v>
      </c>
      <c r="AQ172" s="40">
        <v>0.35</v>
      </c>
      <c r="AR172" s="40">
        <v>0.55000000000000004</v>
      </c>
      <c r="AS172" s="40">
        <v>0.49</v>
      </c>
      <c r="AT172" s="40">
        <v>0.54</v>
      </c>
      <c r="AU172" s="40">
        <v>0.39</v>
      </c>
      <c r="AV172" s="40">
        <v>0.62</v>
      </c>
      <c r="AW172" s="40">
        <v>0.36</v>
      </c>
      <c r="AX172" s="40">
        <v>0.62</v>
      </c>
      <c r="AY172" s="40">
        <v>0.23</v>
      </c>
      <c r="AZ172" s="40">
        <v>0.35</v>
      </c>
      <c r="BA172" s="40">
        <v>0.45</v>
      </c>
      <c r="BB172" s="40">
        <v>0.6</v>
      </c>
      <c r="BC172" s="40">
        <v>0.69</v>
      </c>
      <c r="BD172" s="40">
        <v>0.43</v>
      </c>
      <c r="BE172" s="40">
        <v>0.71</v>
      </c>
      <c r="BF172" s="40">
        <v>0.64</v>
      </c>
      <c r="BG172" s="40">
        <v>0.41</v>
      </c>
      <c r="BH172" s="40">
        <v>0.41</v>
      </c>
      <c r="BI172" s="40">
        <v>0.38</v>
      </c>
      <c r="BJ172" s="40">
        <v>0.39</v>
      </c>
      <c r="BK172" s="40">
        <v>0.44</v>
      </c>
      <c r="BL172" s="40">
        <v>0.38</v>
      </c>
      <c r="BM172" s="12">
        <v>51</v>
      </c>
      <c r="BN172" s="12">
        <v>8</v>
      </c>
      <c r="BO172" s="66">
        <v>0.08</v>
      </c>
      <c r="BP172" s="66">
        <v>0.61</v>
      </c>
      <c r="BQ172" s="66">
        <v>0.31</v>
      </c>
      <c r="BR172" s="66">
        <v>0</v>
      </c>
      <c r="BS172" s="66">
        <v>0.32</v>
      </c>
      <c r="BT172" s="66">
        <v>0.54</v>
      </c>
      <c r="BU172" s="66">
        <v>0.6</v>
      </c>
      <c r="BV172" s="66">
        <v>0.25</v>
      </c>
      <c r="BW172" s="66">
        <v>0.67</v>
      </c>
      <c r="BX172" s="66">
        <v>0.43</v>
      </c>
      <c r="BY172" s="66">
        <v>0.41</v>
      </c>
      <c r="BZ172" s="66">
        <v>0.52</v>
      </c>
      <c r="CA172" s="66">
        <v>0.54</v>
      </c>
      <c r="CB172" s="66">
        <v>0.31</v>
      </c>
      <c r="CC172" s="66">
        <v>0.15</v>
      </c>
      <c r="CD172" s="66">
        <v>0.47</v>
      </c>
      <c r="CE172" s="66">
        <v>0.32</v>
      </c>
      <c r="CF172" s="66">
        <v>0.53</v>
      </c>
      <c r="CG172" s="66">
        <v>0.68</v>
      </c>
      <c r="CH172" s="66">
        <v>0.5</v>
      </c>
      <c r="CI172" s="66">
        <v>0.5</v>
      </c>
      <c r="CJ172" s="66">
        <v>0.32</v>
      </c>
      <c r="CK172" s="66">
        <v>0.77</v>
      </c>
      <c r="CL172" s="66">
        <v>0.28000000000000003</v>
      </c>
      <c r="CM172" s="66">
        <v>0.38</v>
      </c>
      <c r="CN172" s="66">
        <v>0.5</v>
      </c>
      <c r="CO172" s="66">
        <v>0.44</v>
      </c>
      <c r="CP172" s="66">
        <v>0.31</v>
      </c>
      <c r="CQ172" s="66">
        <v>0.48</v>
      </c>
      <c r="CR172" s="66">
        <v>0.49</v>
      </c>
      <c r="CS172" s="12">
        <v>49</v>
      </c>
      <c r="CT172" s="12">
        <v>9</v>
      </c>
      <c r="CU172" s="63">
        <v>0.22</v>
      </c>
      <c r="CV172" s="63">
        <v>0.61</v>
      </c>
      <c r="CW172" s="63">
        <v>0.17</v>
      </c>
      <c r="CX172" s="63">
        <v>0</v>
      </c>
      <c r="CY172" s="63">
        <v>0.46</v>
      </c>
      <c r="CZ172" s="63">
        <v>0.32</v>
      </c>
      <c r="DA172" s="63">
        <v>0.49</v>
      </c>
      <c r="DB172" s="63">
        <v>0.43</v>
      </c>
      <c r="DC172" s="63">
        <v>0.31</v>
      </c>
      <c r="DD172" s="63">
        <v>0.5</v>
      </c>
      <c r="DE172" s="63">
        <v>0.35</v>
      </c>
      <c r="DF172" s="63">
        <v>0.56000000000000005</v>
      </c>
      <c r="DG172" s="63">
        <v>0.54</v>
      </c>
      <c r="DH172" s="63">
        <v>0.36</v>
      </c>
      <c r="DI172" s="63">
        <v>0.68</v>
      </c>
      <c r="DJ172" s="63">
        <v>0.5</v>
      </c>
      <c r="DK172" s="63">
        <v>0.45</v>
      </c>
      <c r="DL172" s="63">
        <v>0.25</v>
      </c>
      <c r="DM172" s="63">
        <v>0.59</v>
      </c>
      <c r="DN172" s="63">
        <v>0.49</v>
      </c>
      <c r="DO172" s="63">
        <v>0.42</v>
      </c>
      <c r="DP172" s="63">
        <v>0.43</v>
      </c>
      <c r="DQ172" s="63">
        <v>0.54</v>
      </c>
      <c r="DR172" s="63">
        <v>0.2</v>
      </c>
      <c r="DS172" s="63">
        <v>0.42</v>
      </c>
      <c r="DT172" s="63">
        <v>0.62</v>
      </c>
      <c r="DU172" s="63">
        <v>0.63</v>
      </c>
      <c r="DV172" s="63">
        <v>0.51</v>
      </c>
      <c r="DW172" s="63">
        <v>0.48</v>
      </c>
      <c r="DX172" s="35">
        <v>48</v>
      </c>
      <c r="DY172" s="35">
        <v>7</v>
      </c>
      <c r="DZ172" s="40">
        <v>0.16</v>
      </c>
      <c r="EA172" s="40">
        <v>0.72</v>
      </c>
      <c r="EB172" s="40">
        <v>0.12</v>
      </c>
      <c r="EC172" s="40">
        <v>0</v>
      </c>
      <c r="ED172" s="40">
        <v>0.43</v>
      </c>
      <c r="EE172" s="40">
        <v>0.44</v>
      </c>
      <c r="EF172" s="40">
        <v>0.59</v>
      </c>
      <c r="EG172" s="40">
        <v>0.38</v>
      </c>
      <c r="EH172" s="40">
        <v>0.49</v>
      </c>
      <c r="EI172" s="40">
        <v>0.56000000000000005</v>
      </c>
      <c r="EJ172" s="40">
        <v>0.57999999999999996</v>
      </c>
      <c r="EK172" s="40">
        <v>0.14000000000000001</v>
      </c>
      <c r="EL172" s="40">
        <v>0.43</v>
      </c>
      <c r="EM172" s="40">
        <v>0.68</v>
      </c>
      <c r="EN172" s="40">
        <v>0.45</v>
      </c>
      <c r="EO172" s="40">
        <v>0.61</v>
      </c>
      <c r="EP172" s="40">
        <v>0.44</v>
      </c>
      <c r="EQ172" s="40">
        <v>0.48</v>
      </c>
      <c r="ER172" s="40">
        <v>0.61</v>
      </c>
      <c r="ES172" s="40">
        <v>0.46</v>
      </c>
      <c r="ET172" s="40">
        <v>0.4</v>
      </c>
      <c r="EU172" s="40">
        <v>0.62</v>
      </c>
      <c r="EV172" s="40">
        <v>0.62</v>
      </c>
      <c r="EW172" s="40">
        <v>0.28999999999999998</v>
      </c>
      <c r="EX172" s="40">
        <v>0.73</v>
      </c>
      <c r="EY172" s="40">
        <v>0.65</v>
      </c>
      <c r="EZ172" s="40">
        <v>0.08</v>
      </c>
      <c r="FA172" s="40">
        <v>0.65</v>
      </c>
      <c r="FB172" s="246">
        <v>48</v>
      </c>
      <c r="FC172" s="246" t="s">
        <v>758</v>
      </c>
      <c r="FD172" s="246">
        <v>9</v>
      </c>
      <c r="FE172" s="246" t="s">
        <v>758</v>
      </c>
      <c r="FF172" s="263">
        <v>0.17</v>
      </c>
      <c r="FG172" s="263">
        <v>0.63</v>
      </c>
      <c r="FH172" s="263">
        <v>0.2</v>
      </c>
      <c r="FI172" s="263">
        <v>0</v>
      </c>
      <c r="FJ172" s="263">
        <v>0.5</v>
      </c>
      <c r="FK172" s="263">
        <v>0.57999999999999996</v>
      </c>
      <c r="FL172" s="263">
        <v>0.48</v>
      </c>
      <c r="FM172" s="263">
        <v>0.43</v>
      </c>
      <c r="FN172" s="263">
        <v>0.39</v>
      </c>
      <c r="FO172" s="263">
        <v>0.35</v>
      </c>
      <c r="FP172" s="263">
        <v>0.41</v>
      </c>
      <c r="FQ172" s="263">
        <v>0.48</v>
      </c>
      <c r="FR172" s="263">
        <v>0.6</v>
      </c>
      <c r="FS172" s="263">
        <v>0.65</v>
      </c>
      <c r="FT172" s="263">
        <v>0.57999999999999996</v>
      </c>
      <c r="FU172" s="263">
        <v>0.66</v>
      </c>
      <c r="FV172" s="263">
        <v>0.45</v>
      </c>
      <c r="FW172" s="263">
        <v>0.57999999999999996</v>
      </c>
      <c r="FX172" s="263">
        <v>0.51</v>
      </c>
      <c r="FY172" s="263">
        <v>0.39</v>
      </c>
      <c r="FZ172" s="263">
        <v>0.45</v>
      </c>
      <c r="GA172" s="263">
        <v>0.47</v>
      </c>
      <c r="GB172" s="263">
        <v>0.49</v>
      </c>
      <c r="GC172" s="263">
        <v>0.44</v>
      </c>
      <c r="GD172" s="263">
        <v>0.56000000000000005</v>
      </c>
      <c r="GE172" s="263">
        <v>0.59</v>
      </c>
      <c r="GF172" s="263">
        <v>0.54</v>
      </c>
      <c r="GG172" s="263">
        <v>0.5</v>
      </c>
      <c r="GH172" s="263">
        <v>0.61</v>
      </c>
      <c r="GI172" s="263">
        <v>0.24</v>
      </c>
      <c r="GJ172" s="309">
        <v>52</v>
      </c>
      <c r="GK172" s="309" t="s">
        <v>758</v>
      </c>
      <c r="GL172" s="309">
        <v>10</v>
      </c>
      <c r="GM172" s="309" t="s">
        <v>758</v>
      </c>
      <c r="GN172" s="327">
        <v>0.08</v>
      </c>
      <c r="GO172" s="327">
        <v>0.56999999999999995</v>
      </c>
      <c r="GP172" s="327">
        <v>0.32</v>
      </c>
      <c r="GQ172" s="327">
        <v>0.03</v>
      </c>
      <c r="GR172" s="327">
        <v>0.53</v>
      </c>
      <c r="GS172" s="327">
        <v>0.48</v>
      </c>
      <c r="GT172" s="327">
        <v>0.59</v>
      </c>
      <c r="GU172" s="327">
        <v>0.11</v>
      </c>
      <c r="GV172" s="327">
        <v>0.55000000000000004</v>
      </c>
      <c r="GW172" s="327">
        <v>0.49</v>
      </c>
      <c r="GX172" s="327">
        <v>0.4</v>
      </c>
      <c r="GY172" s="309" t="s">
        <v>173</v>
      </c>
      <c r="GZ172" s="327">
        <v>0.12</v>
      </c>
      <c r="HA172" s="327">
        <v>0.56999999999999995</v>
      </c>
      <c r="HB172" s="327">
        <v>0.46</v>
      </c>
      <c r="HC172" s="327">
        <v>0.48</v>
      </c>
      <c r="HD172" s="327">
        <v>0.55000000000000004</v>
      </c>
      <c r="HE172" s="327">
        <v>0.43</v>
      </c>
      <c r="HF172" s="327">
        <v>0.49</v>
      </c>
      <c r="HG172" s="327">
        <v>0.57999999999999996</v>
      </c>
      <c r="HH172" s="327">
        <v>0.25</v>
      </c>
      <c r="HI172" s="327">
        <v>0.4</v>
      </c>
      <c r="HJ172" s="327">
        <v>0.53</v>
      </c>
      <c r="HK172" s="327">
        <v>0.56999999999999995</v>
      </c>
      <c r="HL172" s="327">
        <v>0.38</v>
      </c>
      <c r="HM172" s="327">
        <v>0.49</v>
      </c>
      <c r="HN172" s="327">
        <v>0.42</v>
      </c>
      <c r="HO172" s="327">
        <v>0.46</v>
      </c>
      <c r="HP172" s="309" t="s">
        <v>173</v>
      </c>
      <c r="HQ172" s="327">
        <v>0.42</v>
      </c>
      <c r="HR172" s="424">
        <v>54</v>
      </c>
      <c r="HS172" s="424" t="s">
        <v>758</v>
      </c>
      <c r="HT172" s="424">
        <v>9</v>
      </c>
      <c r="HU172" s="424" t="s">
        <v>758</v>
      </c>
      <c r="HV172" s="428">
        <v>0.05</v>
      </c>
      <c r="HW172" s="428">
        <v>0.43</v>
      </c>
      <c r="HX172" s="428">
        <v>0.5</v>
      </c>
      <c r="HY172" s="428">
        <v>0.02</v>
      </c>
      <c r="HZ172" s="428">
        <v>0.28999999999999998</v>
      </c>
      <c r="IA172" s="428">
        <v>0.41</v>
      </c>
      <c r="IB172" s="428">
        <v>0.36</v>
      </c>
      <c r="IC172" s="428">
        <v>0.51</v>
      </c>
      <c r="ID172" s="428">
        <v>0.53</v>
      </c>
      <c r="IE172" s="428">
        <v>0.21</v>
      </c>
      <c r="IF172" s="428">
        <v>0.37</v>
      </c>
      <c r="IG172" s="428">
        <v>0.49</v>
      </c>
      <c r="IH172" s="428">
        <v>0.51</v>
      </c>
      <c r="II172" s="428">
        <v>0.3</v>
      </c>
      <c r="IJ172" s="428">
        <v>0.26</v>
      </c>
      <c r="IK172" s="428">
        <v>0.52</v>
      </c>
      <c r="IL172" s="428">
        <v>0.28999999999999998</v>
      </c>
      <c r="IM172" s="428">
        <v>0.53</v>
      </c>
      <c r="IN172" s="428">
        <v>0.45</v>
      </c>
      <c r="IO172" s="428">
        <v>0.55000000000000004</v>
      </c>
      <c r="IP172" s="428">
        <v>0.34</v>
      </c>
      <c r="IQ172" s="428">
        <v>0.57999999999999996</v>
      </c>
      <c r="IR172" s="428">
        <v>0.45</v>
      </c>
      <c r="IS172" s="428">
        <v>0.38</v>
      </c>
      <c r="IT172" s="428">
        <v>0.38</v>
      </c>
      <c r="IU172" s="424" t="s">
        <v>173</v>
      </c>
      <c r="IV172" s="428">
        <v>0.63</v>
      </c>
      <c r="IW172" s="428">
        <v>0.28000000000000003</v>
      </c>
      <c r="IX172" s="428">
        <v>0.39</v>
      </c>
      <c r="IY172" s="428">
        <v>0.4</v>
      </c>
      <c r="IZ172" s="464">
        <v>51</v>
      </c>
      <c r="JA172" s="464" t="s">
        <v>758</v>
      </c>
      <c r="JB172" s="464">
        <v>10</v>
      </c>
      <c r="JC172" s="464" t="s">
        <v>758</v>
      </c>
      <c r="JD172" s="476">
        <v>0.18</v>
      </c>
      <c r="JE172" s="476">
        <v>0.47</v>
      </c>
      <c r="JF172" s="476">
        <v>0.33</v>
      </c>
      <c r="JG172" s="476">
        <v>0.02</v>
      </c>
      <c r="JH172" s="476">
        <v>0.5</v>
      </c>
      <c r="JI172" s="476">
        <v>0.41</v>
      </c>
      <c r="JJ172" s="476">
        <v>0.42</v>
      </c>
      <c r="JK172" s="476">
        <v>0.5</v>
      </c>
      <c r="JL172" s="476">
        <v>0.54</v>
      </c>
      <c r="JM172" s="476">
        <v>0.46</v>
      </c>
      <c r="JN172" s="476">
        <v>0.49</v>
      </c>
      <c r="JO172" s="476">
        <v>0.5</v>
      </c>
      <c r="JP172" s="476">
        <v>0.57999999999999996</v>
      </c>
      <c r="JQ172" s="476">
        <v>0.24</v>
      </c>
      <c r="JR172" s="476">
        <v>0.52</v>
      </c>
      <c r="JS172" s="476">
        <v>0.55000000000000004</v>
      </c>
      <c r="JT172" s="476">
        <v>0.46</v>
      </c>
      <c r="JU172" s="476">
        <v>0.49</v>
      </c>
      <c r="JV172" s="476">
        <v>0.46</v>
      </c>
      <c r="JW172" s="476">
        <v>0.51</v>
      </c>
      <c r="JX172" s="476">
        <v>0.44</v>
      </c>
      <c r="JY172" s="476">
        <v>0.48</v>
      </c>
      <c r="JZ172" s="476">
        <v>0.54</v>
      </c>
      <c r="KA172" s="476">
        <v>0.78</v>
      </c>
      <c r="KB172" s="476">
        <v>0.52</v>
      </c>
      <c r="KC172" s="476">
        <v>0.7</v>
      </c>
      <c r="KD172" s="476">
        <v>0.34</v>
      </c>
      <c r="KE172" s="476">
        <v>0.5</v>
      </c>
      <c r="KF172" s="476">
        <v>0.46</v>
      </c>
      <c r="KG172" s="476">
        <v>0.57999999999999996</v>
      </c>
      <c r="KH172" s="971">
        <v>55</v>
      </c>
      <c r="KI172" s="971" t="s">
        <v>758</v>
      </c>
      <c r="KJ172" s="971">
        <v>10</v>
      </c>
      <c r="KK172" s="971" t="s">
        <v>758</v>
      </c>
      <c r="KL172" s="949">
        <v>0.1</v>
      </c>
      <c r="KM172" s="949">
        <v>0.36</v>
      </c>
      <c r="KN172" s="949">
        <v>0.52</v>
      </c>
      <c r="KO172" s="949">
        <v>0.02</v>
      </c>
      <c r="KP172" s="949">
        <v>0.52</v>
      </c>
      <c r="KQ172" s="949">
        <v>0.2</v>
      </c>
      <c r="KR172" s="949">
        <v>0.55000000000000004</v>
      </c>
      <c r="KS172" s="949">
        <v>0.43</v>
      </c>
      <c r="KT172" s="949">
        <v>0.42</v>
      </c>
      <c r="KU172" s="949">
        <v>0.39</v>
      </c>
      <c r="KV172" s="949">
        <v>0.55000000000000004</v>
      </c>
      <c r="KW172" s="949">
        <v>0.37</v>
      </c>
      <c r="KX172" s="949">
        <v>0.25</v>
      </c>
      <c r="KY172" s="949">
        <v>0.44</v>
      </c>
      <c r="KZ172" s="949">
        <v>0.33</v>
      </c>
      <c r="LA172" s="949">
        <v>0.33</v>
      </c>
      <c r="LB172" s="949">
        <v>0.31</v>
      </c>
      <c r="LC172" s="949">
        <v>0.32</v>
      </c>
      <c r="LD172" s="949">
        <v>0.47</v>
      </c>
      <c r="LE172" s="949">
        <v>0.41</v>
      </c>
      <c r="LF172" s="949">
        <v>0.28999999999999998</v>
      </c>
      <c r="LG172" s="949">
        <v>0.35</v>
      </c>
      <c r="LH172" s="949">
        <v>0.43</v>
      </c>
      <c r="LI172" s="949">
        <v>0.46</v>
      </c>
      <c r="LJ172" s="949">
        <v>0.34</v>
      </c>
      <c r="LK172" s="949">
        <v>0.49</v>
      </c>
      <c r="LL172" s="949" t="s">
        <v>173</v>
      </c>
      <c r="LM172" s="949">
        <v>0.55000000000000004</v>
      </c>
      <c r="LN172" s="949">
        <v>0.56999999999999995</v>
      </c>
      <c r="LO172" s="949">
        <v>0.49</v>
      </c>
      <c r="LP172" s="922">
        <v>325754003886</v>
      </c>
      <c r="LQ172" s="126" t="s">
        <v>45</v>
      </c>
      <c r="LR172" s="424">
        <v>54</v>
      </c>
      <c r="LS172" s="971">
        <v>55</v>
      </c>
      <c r="LT172" s="946"/>
    </row>
    <row r="173" spans="1:332" ht="24.95" customHeight="1" x14ac:dyDescent="0.2">
      <c r="A173" s="126" t="s">
        <v>950</v>
      </c>
      <c r="B173" s="1" t="s">
        <v>123</v>
      </c>
      <c r="C173" s="2">
        <v>1</v>
      </c>
      <c r="D173" s="12"/>
      <c r="E173" s="12"/>
      <c r="F173" s="12"/>
      <c r="G173" s="12"/>
      <c r="H173" s="12"/>
      <c r="I173" s="12"/>
      <c r="J173" s="12"/>
      <c r="K173" s="12"/>
      <c r="L173" s="12"/>
      <c r="M173" s="12"/>
      <c r="N173" s="12"/>
      <c r="O173" s="12"/>
      <c r="P173" s="12"/>
      <c r="Q173" s="12"/>
      <c r="R173" s="12"/>
      <c r="S173" s="12"/>
      <c r="T173" s="12"/>
      <c r="U173" s="12"/>
      <c r="V173" s="12"/>
      <c r="W173" s="12"/>
      <c r="X173" s="12"/>
      <c r="Y173" s="12"/>
      <c r="Z173" s="12"/>
      <c r="AA173" s="12"/>
      <c r="AB173" s="12"/>
      <c r="AC173" s="12"/>
      <c r="AD173" s="12"/>
      <c r="AE173" s="12"/>
      <c r="AF173" s="12"/>
      <c r="AG173" s="12"/>
      <c r="AH173" s="12"/>
      <c r="AI173" s="12"/>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12"/>
      <c r="BN173" s="12"/>
      <c r="BO173" s="12"/>
      <c r="BP173" s="12"/>
      <c r="BQ173" s="12"/>
      <c r="BR173" s="12"/>
      <c r="BS173" s="12"/>
      <c r="BT173" s="12"/>
      <c r="BU173" s="12"/>
      <c r="BV173" s="12"/>
      <c r="BW173" s="12"/>
      <c r="BX173" s="12"/>
      <c r="BY173" s="12"/>
      <c r="BZ173" s="12"/>
      <c r="CA173" s="12"/>
      <c r="CB173" s="12"/>
      <c r="CC173" s="12"/>
      <c r="CD173" s="12"/>
      <c r="CE173" s="12"/>
      <c r="CF173" s="12"/>
      <c r="CG173" s="12"/>
      <c r="CH173" s="12"/>
      <c r="CI173" s="12"/>
      <c r="CJ173" s="12"/>
      <c r="CK173" s="12"/>
      <c r="CL173" s="12"/>
      <c r="CM173" s="12"/>
      <c r="CN173" s="12"/>
      <c r="CO173" s="12"/>
      <c r="CP173" s="12"/>
      <c r="CQ173" s="12"/>
      <c r="CR173" s="12"/>
      <c r="CS173" s="12"/>
      <c r="CT173" s="12"/>
      <c r="CU173" s="2"/>
      <c r="CV173" s="2"/>
      <c r="CW173" s="2"/>
      <c r="CX173" s="2"/>
      <c r="CY173" s="2"/>
      <c r="CZ173" s="2"/>
      <c r="DA173" s="2"/>
      <c r="DB173" s="2"/>
      <c r="DC173" s="2"/>
      <c r="DD173" s="2"/>
      <c r="DE173" s="2"/>
      <c r="DF173" s="2"/>
      <c r="DG173" s="2"/>
      <c r="DH173" s="2"/>
      <c r="DI173" s="2"/>
      <c r="DJ173" s="2"/>
      <c r="DK173" s="2"/>
      <c r="DL173" s="2"/>
      <c r="DM173" s="2"/>
      <c r="DN173" s="2"/>
      <c r="DO173" s="2"/>
      <c r="DP173" s="2"/>
      <c r="DQ173" s="2"/>
      <c r="DR173" s="2"/>
      <c r="DS173" s="2"/>
      <c r="DT173" s="2"/>
      <c r="DU173" s="2"/>
      <c r="DV173" s="2"/>
      <c r="DW173" s="2"/>
      <c r="DX173" s="35"/>
      <c r="DY173" s="35"/>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35"/>
      <c r="EW173" s="40"/>
      <c r="EX173" s="40"/>
      <c r="EY173" s="40"/>
      <c r="EZ173" s="35"/>
      <c r="FA173" s="40"/>
      <c r="FB173" s="246"/>
      <c r="FC173" s="246"/>
      <c r="FD173" s="246"/>
      <c r="FE173" s="246"/>
      <c r="FF173" s="263"/>
      <c r="FG173" s="263"/>
      <c r="FH173" s="263"/>
      <c r="FI173" s="263"/>
      <c r="FJ173" s="263"/>
      <c r="FK173" s="263"/>
      <c r="FL173" s="263"/>
      <c r="FM173" s="263"/>
      <c r="FN173" s="263"/>
      <c r="FO173" s="263"/>
      <c r="FP173" s="263"/>
      <c r="FQ173" s="263"/>
      <c r="FR173" s="263"/>
      <c r="FS173" s="263"/>
      <c r="FT173" s="263"/>
      <c r="FU173" s="263"/>
      <c r="FV173" s="263"/>
      <c r="FW173" s="263"/>
      <c r="FX173" s="263"/>
      <c r="FY173" s="263"/>
      <c r="FZ173" s="263"/>
      <c r="GA173" s="246"/>
      <c r="GB173" s="263"/>
      <c r="GC173" s="263"/>
      <c r="GD173" s="263"/>
      <c r="GE173" s="263"/>
      <c r="GF173" s="263"/>
      <c r="GG173" s="263"/>
      <c r="GH173" s="263"/>
      <c r="GI173" s="263"/>
      <c r="GJ173" s="309"/>
      <c r="GK173" s="309"/>
      <c r="GL173" s="309"/>
      <c r="GM173" s="309"/>
      <c r="GN173" s="327"/>
      <c r="GO173" s="327"/>
      <c r="GP173" s="327"/>
      <c r="GQ173" s="327"/>
      <c r="GR173" s="327"/>
      <c r="GS173" s="327"/>
      <c r="GT173" s="327"/>
      <c r="GU173" s="327"/>
      <c r="GV173" s="327"/>
      <c r="GW173" s="327"/>
      <c r="GX173" s="327"/>
      <c r="GY173" s="309"/>
      <c r="GZ173" s="327"/>
      <c r="HA173" s="309"/>
      <c r="HB173" s="327"/>
      <c r="HC173" s="327"/>
      <c r="HD173" s="327"/>
      <c r="HE173" s="327"/>
      <c r="HF173" s="327"/>
      <c r="HG173" s="327"/>
      <c r="HH173" s="327"/>
      <c r="HI173" s="327"/>
      <c r="HJ173" s="327"/>
      <c r="HK173" s="327"/>
      <c r="HL173" s="327"/>
      <c r="HM173" s="327"/>
      <c r="HN173" s="327"/>
      <c r="HO173" s="327"/>
      <c r="HP173" s="309"/>
      <c r="HQ173" s="327"/>
      <c r="HR173" s="424"/>
      <c r="HS173" s="424"/>
      <c r="HT173" s="424"/>
      <c r="HU173" s="424"/>
      <c r="HV173" s="428"/>
      <c r="HW173" s="428"/>
      <c r="HX173" s="428"/>
      <c r="HY173" s="428"/>
      <c r="HZ173" s="428"/>
      <c r="IA173" s="428"/>
      <c r="IB173" s="428"/>
      <c r="IC173" s="428"/>
      <c r="ID173" s="428"/>
      <c r="IE173" s="428"/>
      <c r="IF173" s="428"/>
      <c r="IG173" s="428"/>
      <c r="IH173" s="428"/>
      <c r="II173" s="424"/>
      <c r="IJ173" s="428"/>
      <c r="IK173" s="428"/>
      <c r="IL173" s="428"/>
      <c r="IM173" s="428"/>
      <c r="IN173" s="428"/>
      <c r="IO173" s="428"/>
      <c r="IP173" s="428"/>
      <c r="IQ173" s="428"/>
      <c r="IR173" s="428"/>
      <c r="IS173" s="428"/>
      <c r="IT173" s="428"/>
      <c r="IU173" s="424"/>
      <c r="IV173" s="428"/>
      <c r="IW173" s="428"/>
      <c r="IX173" s="428"/>
      <c r="IY173" s="428"/>
      <c r="IZ173" s="464">
        <v>52</v>
      </c>
      <c r="JA173" s="464" t="s">
        <v>758</v>
      </c>
      <c r="JB173" s="464">
        <v>7</v>
      </c>
      <c r="JC173" s="464" t="s">
        <v>758</v>
      </c>
      <c r="JD173" s="476">
        <v>0.05</v>
      </c>
      <c r="JE173" s="476">
        <v>0.62</v>
      </c>
      <c r="JF173" s="476">
        <v>0.33</v>
      </c>
      <c r="JG173" s="476">
        <v>0</v>
      </c>
      <c r="JH173" s="476">
        <v>0.56999999999999995</v>
      </c>
      <c r="JI173" s="476">
        <v>0.44</v>
      </c>
      <c r="JJ173" s="476">
        <v>0.45</v>
      </c>
      <c r="JK173" s="476">
        <v>0.43</v>
      </c>
      <c r="JL173" s="476">
        <v>0.36</v>
      </c>
      <c r="JM173" s="476">
        <v>0.56000000000000005</v>
      </c>
      <c r="JN173" s="476">
        <v>0.35</v>
      </c>
      <c r="JO173" s="476">
        <v>0.49</v>
      </c>
      <c r="JP173" s="476">
        <v>0.44</v>
      </c>
      <c r="JQ173" s="476">
        <v>0.62</v>
      </c>
      <c r="JR173" s="476">
        <v>0.42</v>
      </c>
      <c r="JS173" s="476">
        <v>0.55000000000000004</v>
      </c>
      <c r="JT173" s="476">
        <v>0.38</v>
      </c>
      <c r="JU173" s="476">
        <v>0.26</v>
      </c>
      <c r="JV173" s="476">
        <v>0.45</v>
      </c>
      <c r="JW173" s="476">
        <v>0.62</v>
      </c>
      <c r="JX173" s="476">
        <v>0.38</v>
      </c>
      <c r="JY173" s="476">
        <v>0.28999999999999998</v>
      </c>
      <c r="JZ173" s="476">
        <v>0.42</v>
      </c>
      <c r="KA173" s="476">
        <v>0.48</v>
      </c>
      <c r="KB173" s="476">
        <v>0.42</v>
      </c>
      <c r="KC173" s="476">
        <v>0.4</v>
      </c>
      <c r="KD173" s="476">
        <v>0.51</v>
      </c>
      <c r="KE173" s="476">
        <v>0.55000000000000004</v>
      </c>
      <c r="KF173" s="476">
        <v>0.56000000000000005</v>
      </c>
      <c r="KG173" s="476">
        <v>0.38</v>
      </c>
      <c r="KH173" s="971">
        <v>51</v>
      </c>
      <c r="KI173" s="971" t="s">
        <v>758</v>
      </c>
      <c r="KJ173" s="971">
        <v>10</v>
      </c>
      <c r="KK173" s="971" t="s">
        <v>758</v>
      </c>
      <c r="KL173" s="949">
        <v>0.16</v>
      </c>
      <c r="KM173" s="949">
        <v>0.56000000000000005</v>
      </c>
      <c r="KN173" s="949">
        <v>0.25</v>
      </c>
      <c r="KO173" s="949">
        <v>0.03</v>
      </c>
      <c r="KP173" s="949">
        <v>0.48</v>
      </c>
      <c r="KQ173" s="949">
        <v>0.31</v>
      </c>
      <c r="KR173" s="949">
        <v>0.61</v>
      </c>
      <c r="KS173" s="949">
        <v>0.53</v>
      </c>
      <c r="KT173" s="949">
        <v>0.51</v>
      </c>
      <c r="KU173" s="949">
        <v>0.45</v>
      </c>
      <c r="KV173" s="949">
        <v>0.7</v>
      </c>
      <c r="KW173" s="949">
        <v>0.39</v>
      </c>
      <c r="KX173" s="949">
        <v>0.46</v>
      </c>
      <c r="KY173" s="949">
        <v>0.54</v>
      </c>
      <c r="KZ173" s="949">
        <v>0.39</v>
      </c>
      <c r="LA173" s="949">
        <v>0.44</v>
      </c>
      <c r="LB173" s="949">
        <v>0.43</v>
      </c>
      <c r="LC173" s="949">
        <v>0.34</v>
      </c>
      <c r="LD173" s="949">
        <v>0.57999999999999996</v>
      </c>
      <c r="LE173" s="949">
        <v>0.49</v>
      </c>
      <c r="LF173" s="949">
        <v>0.28999999999999998</v>
      </c>
      <c r="LG173" s="949">
        <v>0.57999999999999996</v>
      </c>
      <c r="LH173" s="949">
        <v>0.57999999999999996</v>
      </c>
      <c r="LI173" s="949">
        <v>0.52</v>
      </c>
      <c r="LJ173" s="949">
        <v>0.33</v>
      </c>
      <c r="LK173" s="949">
        <v>0.61</v>
      </c>
      <c r="LL173" s="949" t="s">
        <v>173</v>
      </c>
      <c r="LM173" s="949">
        <v>0.59</v>
      </c>
      <c r="LN173" s="949">
        <v>0.72</v>
      </c>
      <c r="LO173" s="949">
        <v>0.48</v>
      </c>
      <c r="LP173" s="922">
        <v>325754800115</v>
      </c>
      <c r="LQ173" s="126" t="s">
        <v>950</v>
      </c>
      <c r="LR173" s="971">
        <v>51</v>
      </c>
      <c r="LS173" s="971">
        <v>51</v>
      </c>
      <c r="LT173" s="946"/>
    </row>
    <row r="174" spans="1:332" x14ac:dyDescent="0.2">
      <c r="A174" s="508"/>
      <c r="KH174" s="970"/>
      <c r="KI174" s="976"/>
      <c r="KJ174" s="976"/>
      <c r="KK174" s="976"/>
      <c r="KL174" s="976"/>
      <c r="KM174" s="976"/>
      <c r="KN174" s="976"/>
      <c r="KO174" s="976"/>
      <c r="KP174" s="976"/>
      <c r="KQ174" s="976"/>
      <c r="KR174" s="976"/>
      <c r="KS174" s="976"/>
      <c r="KT174" s="976"/>
      <c r="KU174" s="976"/>
      <c r="KV174" s="976"/>
      <c r="KW174" s="976"/>
      <c r="KX174" s="976"/>
      <c r="KY174" s="976"/>
      <c r="KZ174" s="976"/>
      <c r="LA174" s="976"/>
      <c r="LB174" s="976"/>
      <c r="LC174" s="976"/>
      <c r="LD174" s="976"/>
      <c r="LE174" s="976"/>
      <c r="LF174" s="976"/>
      <c r="LG174" s="976"/>
      <c r="LH174" s="976"/>
      <c r="LI174" s="976"/>
      <c r="LJ174" s="976"/>
      <c r="LK174" s="976"/>
      <c r="LL174" s="976"/>
      <c r="LM174" s="976"/>
      <c r="LN174" s="976"/>
      <c r="LO174" s="976"/>
    </row>
    <row r="175" spans="1:332" x14ac:dyDescent="0.2">
      <c r="KH175" s="977"/>
      <c r="KI175" s="977"/>
      <c r="KJ175" s="977"/>
      <c r="KK175" s="977"/>
      <c r="KL175" s="977"/>
      <c r="KM175" s="977"/>
      <c r="KN175" s="977"/>
      <c r="KO175" s="977"/>
      <c r="KP175" s="977"/>
      <c r="KQ175" s="977"/>
      <c r="KR175" s="977"/>
      <c r="KS175" s="977"/>
      <c r="KT175" s="977"/>
      <c r="KU175" s="977"/>
      <c r="KV175" s="977"/>
      <c r="KW175" s="977"/>
      <c r="KX175" s="977"/>
      <c r="KY175" s="977"/>
      <c r="KZ175" s="977"/>
      <c r="LA175" s="977"/>
      <c r="LB175" s="977"/>
      <c r="LC175" s="977"/>
      <c r="LD175" s="977"/>
      <c r="LE175" s="977"/>
      <c r="LF175" s="977"/>
      <c r="LG175" s="977"/>
      <c r="LH175" s="977"/>
      <c r="LI175" s="977"/>
      <c r="LJ175" s="977"/>
      <c r="LK175" s="977"/>
      <c r="LL175" s="977"/>
      <c r="LM175" s="977"/>
      <c r="LN175" s="977"/>
      <c r="LO175" s="977"/>
    </row>
    <row r="176" spans="1:332" x14ac:dyDescent="0.2">
      <c r="AJ176" s="32"/>
      <c r="KH176" s="15"/>
      <c r="KI176" s="15"/>
      <c r="KJ176" s="15"/>
      <c r="KK176" s="977"/>
      <c r="KL176" s="949"/>
      <c r="KM176" s="949"/>
      <c r="KN176" s="949"/>
      <c r="KO176" s="949"/>
      <c r="KP176" s="949"/>
      <c r="KQ176" s="949"/>
      <c r="KR176" s="949"/>
      <c r="KS176" s="949"/>
      <c r="KT176" s="949"/>
      <c r="KU176" s="949"/>
      <c r="KV176" s="949"/>
      <c r="KW176" s="949"/>
      <c r="KX176" s="949"/>
      <c r="KY176" s="949"/>
      <c r="KZ176" s="949"/>
      <c r="LA176" s="949"/>
      <c r="LB176" s="949"/>
      <c r="LC176" s="949"/>
      <c r="LD176" s="949"/>
      <c r="LE176" s="949"/>
      <c r="LF176" s="949"/>
      <c r="LG176" s="949"/>
      <c r="LH176" s="949"/>
      <c r="LI176" s="949"/>
      <c r="LJ176" s="949"/>
      <c r="LK176" s="949"/>
      <c r="LL176" s="949"/>
      <c r="LM176" s="949"/>
      <c r="LN176" s="949"/>
      <c r="LO176" s="949"/>
    </row>
    <row r="177" spans="5:327" ht="12.75" customHeight="1" x14ac:dyDescent="0.2">
      <c r="E177" s="1255" t="s">
        <v>155</v>
      </c>
      <c r="F177" s="1048"/>
      <c r="G177" s="1048"/>
      <c r="H177" s="1048"/>
      <c r="I177" s="1048"/>
      <c r="J177" s="1048"/>
      <c r="K177" s="1048"/>
      <c r="L177" s="1048"/>
      <c r="M177" s="1048"/>
      <c r="N177" s="1048"/>
      <c r="O177" s="1048"/>
      <c r="P177" s="73"/>
      <c r="Z177" s="28" t="s">
        <v>155</v>
      </c>
      <c r="AA177" s="29"/>
      <c r="AB177" s="29"/>
      <c r="AC177" s="29"/>
      <c r="AD177" s="29"/>
      <c r="AE177" s="29"/>
      <c r="AF177" s="73"/>
      <c r="AG177" s="73"/>
      <c r="AH177" s="73"/>
      <c r="AI177" s="73"/>
      <c r="AJ177" s="32"/>
      <c r="AK177" s="73"/>
      <c r="AL177" s="73"/>
      <c r="AM177" s="73"/>
      <c r="AN177" s="73"/>
      <c r="AO177" s="73"/>
      <c r="AP177" s="73"/>
      <c r="AQ177" s="73"/>
      <c r="AR177" s="73"/>
      <c r="AS177" s="73"/>
      <c r="AT177" s="73"/>
      <c r="AU177" s="73"/>
      <c r="AV177" s="73"/>
      <c r="AW177" s="73"/>
      <c r="AX177" s="73"/>
      <c r="AY177" s="73"/>
      <c r="AZ177" s="73"/>
      <c r="BA177" s="73"/>
      <c r="BB177" s="73"/>
      <c r="BC177" s="73"/>
      <c r="BD177" s="73"/>
      <c r="BE177" s="73"/>
      <c r="BF177" s="73"/>
      <c r="BG177" s="73"/>
      <c r="BH177" s="73"/>
      <c r="BI177" s="73"/>
      <c r="BJ177" s="73"/>
      <c r="BK177" s="73"/>
      <c r="BL177" s="73"/>
      <c r="BM177" s="73"/>
      <c r="BN177" s="73"/>
      <c r="BO177" s="73"/>
      <c r="BP177" s="73"/>
      <c r="BQ177" s="73"/>
      <c r="BR177" s="73"/>
      <c r="BS177" s="73"/>
      <c r="BT177" s="73"/>
      <c r="BU177" s="73"/>
      <c r="BV177" s="73"/>
      <c r="BW177" s="73"/>
      <c r="BX177" s="73"/>
      <c r="BY177" s="73"/>
      <c r="BZ177" s="73"/>
      <c r="CA177" s="73"/>
      <c r="CB177" s="73"/>
      <c r="CC177" s="73"/>
      <c r="CD177" s="73"/>
      <c r="CE177" s="73"/>
      <c r="CF177" s="73"/>
      <c r="CG177" s="73"/>
      <c r="CH177" s="73"/>
      <c r="CI177" s="73"/>
      <c r="CJ177" s="73"/>
      <c r="CK177" s="73"/>
      <c r="CL177" s="73"/>
      <c r="CM177" s="73"/>
      <c r="CN177" s="73"/>
      <c r="CO177" s="73"/>
      <c r="CP177" s="73"/>
      <c r="CQ177" s="73"/>
      <c r="CR177" s="73"/>
      <c r="CS177" s="73"/>
      <c r="CT177" s="73"/>
      <c r="CU177" s="73"/>
      <c r="CV177" s="73"/>
      <c r="CW177" s="73"/>
      <c r="CX177" s="73"/>
      <c r="CY177" s="73"/>
      <c r="CZ177" s="73"/>
      <c r="DA177" s="73"/>
      <c r="DB177" s="73"/>
      <c r="DC177" s="73"/>
      <c r="DD177" s="73"/>
      <c r="DE177" s="73"/>
      <c r="DF177" s="73"/>
      <c r="DG177" s="73"/>
      <c r="DH177" s="73"/>
      <c r="DI177" s="73"/>
      <c r="DJ177" s="73"/>
      <c r="DK177" s="73"/>
      <c r="DL177" s="73"/>
      <c r="DM177" s="73"/>
      <c r="DN177" s="73"/>
      <c r="DO177" s="73"/>
      <c r="DP177" s="73"/>
      <c r="DQ177" s="73"/>
      <c r="DR177" s="73"/>
      <c r="DS177" s="73"/>
      <c r="DT177" s="73"/>
      <c r="DU177" s="73"/>
      <c r="DV177" s="73"/>
      <c r="DW177" s="73"/>
      <c r="DX177" s="73"/>
      <c r="DY177" s="73"/>
      <c r="KH177" s="977"/>
      <c r="KI177" s="977"/>
      <c r="KJ177" s="977"/>
      <c r="KK177" s="977"/>
      <c r="KL177" s="977"/>
      <c r="KM177" s="977"/>
      <c r="KN177" s="977"/>
      <c r="KO177" s="977"/>
      <c r="KP177" s="977"/>
      <c r="KQ177" s="977"/>
      <c r="KR177" s="977"/>
      <c r="KS177" s="977"/>
      <c r="KT177" s="977"/>
      <c r="KU177" s="977"/>
      <c r="KV177" s="977"/>
      <c r="KW177" s="977"/>
      <c r="KX177" s="977"/>
      <c r="KY177" s="977"/>
      <c r="KZ177" s="977"/>
      <c r="LA177" s="977"/>
      <c r="LB177" s="977"/>
      <c r="LC177" s="977"/>
      <c r="LD177" s="977"/>
      <c r="LE177" s="977"/>
      <c r="LF177" s="977"/>
      <c r="LG177" s="977"/>
      <c r="LH177" s="977"/>
      <c r="LI177" s="977"/>
      <c r="LJ177" s="977"/>
      <c r="LK177" s="977"/>
      <c r="LL177" s="977"/>
      <c r="LM177" s="977"/>
      <c r="LN177" s="977"/>
      <c r="LO177" s="977"/>
    </row>
    <row r="178" spans="5:327" x14ac:dyDescent="0.2">
      <c r="E178" s="1228"/>
      <c r="F178" s="1053">
        <v>2016</v>
      </c>
      <c r="G178" s="1054"/>
      <c r="H178" s="1053">
        <v>2017</v>
      </c>
      <c r="I178" s="1054"/>
      <c r="J178" s="1053">
        <v>2018</v>
      </c>
      <c r="K178" s="1054"/>
      <c r="L178" s="1053">
        <v>2019</v>
      </c>
      <c r="M178" s="1054"/>
      <c r="N178" s="1053">
        <v>2020</v>
      </c>
      <c r="O178" s="1054"/>
      <c r="P178" s="1053">
        <v>2021</v>
      </c>
      <c r="Q178" s="1054"/>
      <c r="R178" s="1053">
        <v>2022</v>
      </c>
      <c r="S178" s="1054"/>
      <c r="T178" s="1053">
        <v>2023</v>
      </c>
      <c r="U178" s="1054"/>
      <c r="V178" s="1053">
        <v>2024</v>
      </c>
      <c r="W178" s="1054"/>
      <c r="Z178" s="28"/>
      <c r="AA178" s="28">
        <v>2016</v>
      </c>
      <c r="AB178" s="29">
        <v>2017</v>
      </c>
      <c r="AC178" s="28">
        <v>2018</v>
      </c>
      <c r="AD178" s="28">
        <v>2019</v>
      </c>
      <c r="AE178" s="28">
        <v>2020</v>
      </c>
      <c r="AF178" s="28">
        <v>2021</v>
      </c>
      <c r="AG178" s="28">
        <v>2022</v>
      </c>
      <c r="AH178" s="28">
        <v>2023</v>
      </c>
      <c r="AI178" s="28">
        <v>2024</v>
      </c>
      <c r="AJ178" s="32"/>
      <c r="AK178" s="72"/>
      <c r="AL178" s="72"/>
      <c r="AM178" s="72"/>
      <c r="AN178" s="72"/>
      <c r="AO178" s="72"/>
      <c r="AP178" s="72"/>
      <c r="AQ178" s="72"/>
      <c r="AR178" s="72"/>
      <c r="AS178" s="72"/>
      <c r="AT178" s="72"/>
      <c r="AU178" s="72"/>
      <c r="AV178" s="72"/>
      <c r="AW178" s="72"/>
      <c r="AX178" s="72"/>
      <c r="AY178" s="72"/>
      <c r="AZ178" s="72"/>
      <c r="BA178" s="72"/>
      <c r="BB178" s="72"/>
      <c r="BC178" s="72"/>
      <c r="BD178" s="72"/>
      <c r="BE178" s="72"/>
      <c r="BF178" s="72"/>
      <c r="BG178" s="72"/>
      <c r="BH178" s="72"/>
      <c r="BI178" s="72"/>
      <c r="BJ178" s="72"/>
      <c r="BK178" s="72"/>
      <c r="BL178" s="72"/>
      <c r="BO178" s="72"/>
      <c r="BP178" s="72"/>
      <c r="BQ178" s="72"/>
      <c r="BR178" s="72"/>
      <c r="BS178" s="72"/>
      <c r="BT178" s="72"/>
      <c r="BU178" s="72"/>
      <c r="BV178" s="72"/>
      <c r="BW178" s="72"/>
      <c r="BX178" s="72"/>
      <c r="BY178" s="72"/>
      <c r="BZ178" s="72"/>
      <c r="CA178" s="72"/>
      <c r="CB178" s="72"/>
      <c r="CC178" s="72"/>
      <c r="CD178" s="72"/>
      <c r="CE178" s="72"/>
      <c r="CF178" s="72"/>
      <c r="CG178" s="72"/>
      <c r="CH178" s="72"/>
      <c r="CI178" s="72"/>
      <c r="CJ178" s="72"/>
      <c r="CK178" s="72"/>
      <c r="CL178" s="72"/>
      <c r="CM178" s="72"/>
      <c r="CN178" s="72"/>
      <c r="CO178" s="72"/>
      <c r="CP178" s="72"/>
      <c r="CQ178" s="72"/>
      <c r="CR178" s="72"/>
      <c r="CU178" s="72"/>
      <c r="CV178" s="72"/>
      <c r="CW178" s="72"/>
      <c r="CX178" s="72"/>
      <c r="CY178" s="72"/>
      <c r="CZ178" s="72"/>
      <c r="DA178" s="72"/>
      <c r="DB178" s="72"/>
      <c r="DC178" s="72"/>
      <c r="DD178" s="72"/>
      <c r="DE178" s="72"/>
      <c r="DF178" s="72"/>
      <c r="DG178" s="72"/>
      <c r="DH178" s="72"/>
      <c r="DI178" s="72"/>
      <c r="DJ178" s="72"/>
      <c r="DK178" s="72"/>
      <c r="DL178" s="72"/>
      <c r="DM178" s="72"/>
      <c r="DN178" s="72"/>
      <c r="DO178" s="72"/>
      <c r="DP178" s="72"/>
      <c r="DQ178" s="72"/>
      <c r="DR178" s="72"/>
      <c r="DS178" s="72"/>
      <c r="DT178" s="72"/>
      <c r="DU178" s="72"/>
      <c r="DV178" s="72"/>
      <c r="DW178" s="72"/>
    </row>
    <row r="179" spans="5:327" x14ac:dyDescent="0.2">
      <c r="E179" s="1197"/>
      <c r="F179" s="7" t="s">
        <v>120</v>
      </c>
      <c r="G179" s="7" t="s">
        <v>147</v>
      </c>
      <c r="H179" s="7" t="s">
        <v>120</v>
      </c>
      <c r="I179" s="7" t="s">
        <v>147</v>
      </c>
      <c r="J179" s="7" t="s">
        <v>120</v>
      </c>
      <c r="K179" s="7" t="s">
        <v>147</v>
      </c>
      <c r="L179" s="7" t="s">
        <v>120</v>
      </c>
      <c r="M179" s="7" t="s">
        <v>147</v>
      </c>
      <c r="N179" s="7" t="s">
        <v>120</v>
      </c>
      <c r="O179" s="34" t="s">
        <v>147</v>
      </c>
      <c r="P179" s="7" t="s">
        <v>120</v>
      </c>
      <c r="Q179" s="34" t="s">
        <v>147</v>
      </c>
      <c r="R179" s="7" t="s">
        <v>120</v>
      </c>
      <c r="S179" s="34" t="s">
        <v>147</v>
      </c>
      <c r="T179" s="7" t="s">
        <v>120</v>
      </c>
      <c r="U179" s="34" t="s">
        <v>147</v>
      </c>
      <c r="V179" s="7" t="s">
        <v>120</v>
      </c>
      <c r="W179" s="34" t="s">
        <v>147</v>
      </c>
      <c r="Z179" s="27" t="s">
        <v>140</v>
      </c>
      <c r="AA179" s="27">
        <v>53.176470588235297</v>
      </c>
      <c r="AB179" s="27">
        <v>52.625</v>
      </c>
      <c r="AC179" s="27">
        <v>50.764705882352942</v>
      </c>
      <c r="AD179" s="27">
        <v>49.470588235294116</v>
      </c>
      <c r="AE179" s="27">
        <v>49.588235294117645</v>
      </c>
      <c r="AF179" s="27">
        <v>49.705882352941174</v>
      </c>
      <c r="AG179" s="27">
        <v>50.388888888888886</v>
      </c>
      <c r="AH179" s="27">
        <v>51.411764705882355</v>
      </c>
      <c r="AI179" s="27">
        <v>51.222222222222221</v>
      </c>
      <c r="AJ179" s="32"/>
      <c r="AK179" s="72"/>
      <c r="AL179" s="72"/>
      <c r="AM179" s="72"/>
      <c r="AN179" s="72"/>
      <c r="AO179" s="72"/>
      <c r="AP179" s="72"/>
      <c r="AQ179" s="72"/>
      <c r="AR179" s="72"/>
      <c r="AS179" s="72"/>
      <c r="AT179" s="72"/>
      <c r="AU179" s="72"/>
      <c r="AV179" s="72"/>
      <c r="AW179" s="72"/>
      <c r="AX179" s="72"/>
      <c r="AY179" s="72"/>
      <c r="AZ179" s="72"/>
      <c r="BA179" s="72"/>
      <c r="BB179" s="72"/>
      <c r="BC179" s="72"/>
      <c r="BD179" s="72"/>
      <c r="BE179" s="72"/>
      <c r="BF179" s="72"/>
      <c r="BG179" s="72"/>
      <c r="BH179" s="72"/>
      <c r="BI179" s="72"/>
      <c r="BJ179" s="72"/>
      <c r="BK179" s="72"/>
      <c r="BL179" s="72"/>
      <c r="BO179" s="72"/>
      <c r="BP179" s="72"/>
      <c r="BQ179" s="72"/>
      <c r="BR179" s="72"/>
      <c r="BS179" s="72"/>
      <c r="BT179" s="72"/>
      <c r="BU179" s="72"/>
      <c r="BV179" s="72"/>
      <c r="BW179" s="72"/>
      <c r="BX179" s="72"/>
      <c r="BY179" s="72"/>
      <c r="BZ179" s="72"/>
      <c r="CA179" s="72"/>
      <c r="CB179" s="72"/>
      <c r="CC179" s="72"/>
      <c r="CD179" s="72"/>
      <c r="CE179" s="72"/>
      <c r="CF179" s="72"/>
      <c r="CG179" s="72"/>
      <c r="CH179" s="72"/>
      <c r="CI179" s="72"/>
      <c r="CJ179" s="72"/>
      <c r="CK179" s="72"/>
      <c r="CL179" s="72"/>
      <c r="CM179" s="72"/>
      <c r="CN179" s="72"/>
      <c r="CO179" s="72"/>
      <c r="CP179" s="72"/>
      <c r="CQ179" s="72"/>
      <c r="CR179" s="72"/>
      <c r="CU179" s="72"/>
      <c r="CV179" s="72"/>
      <c r="CW179" s="72"/>
      <c r="CX179" s="72"/>
      <c r="CY179" s="72"/>
      <c r="CZ179" s="72"/>
      <c r="DA179" s="72"/>
      <c r="DB179" s="72"/>
      <c r="DC179" s="72"/>
      <c r="DD179" s="72"/>
      <c r="DE179" s="72"/>
      <c r="DF179" s="72"/>
      <c r="DG179" s="72"/>
      <c r="DH179" s="72"/>
      <c r="DI179" s="72"/>
      <c r="DJ179" s="72"/>
      <c r="DK179" s="72"/>
      <c r="DL179" s="72"/>
      <c r="DM179" s="72"/>
      <c r="DN179" s="72"/>
      <c r="DO179" s="72"/>
      <c r="DP179" s="72"/>
      <c r="DQ179" s="72"/>
      <c r="DR179" s="72"/>
      <c r="DS179" s="72"/>
      <c r="DT179" s="72"/>
      <c r="DU179" s="72"/>
      <c r="DV179" s="72"/>
      <c r="DW179" s="72"/>
    </row>
    <row r="180" spans="5:327" x14ac:dyDescent="0.2">
      <c r="E180" s="5" t="s">
        <v>0</v>
      </c>
      <c r="F180" s="23">
        <v>54</v>
      </c>
      <c r="G180" s="23">
        <v>8</v>
      </c>
      <c r="H180" s="23">
        <v>53</v>
      </c>
      <c r="I180" s="23">
        <v>8</v>
      </c>
      <c r="J180" s="23">
        <v>51</v>
      </c>
      <c r="K180" s="23">
        <v>9</v>
      </c>
      <c r="L180" s="23">
        <v>50</v>
      </c>
      <c r="M180" s="23">
        <v>9</v>
      </c>
      <c r="N180" s="10">
        <v>50</v>
      </c>
      <c r="O180" s="75">
        <v>9</v>
      </c>
      <c r="P180" s="10">
        <v>50</v>
      </c>
      <c r="Q180" s="75">
        <v>9</v>
      </c>
      <c r="R180" s="10">
        <v>50</v>
      </c>
      <c r="S180" s="75">
        <v>9</v>
      </c>
      <c r="T180" s="10">
        <v>50</v>
      </c>
      <c r="U180" s="75">
        <v>9</v>
      </c>
      <c r="V180" s="23">
        <v>52</v>
      </c>
      <c r="W180" s="70">
        <v>9</v>
      </c>
      <c r="Z180" s="27" t="s">
        <v>141</v>
      </c>
      <c r="AA180" s="27">
        <v>54.6</v>
      </c>
      <c r="AB180" s="27">
        <v>52.89473684210526</v>
      </c>
      <c r="AC180" s="27">
        <v>51.684210526315788</v>
      </c>
      <c r="AD180" s="27">
        <v>51.25</v>
      </c>
      <c r="AE180" s="27">
        <v>49.75</v>
      </c>
      <c r="AF180" s="27">
        <v>50.18181818181818</v>
      </c>
      <c r="AG180" s="27">
        <v>51.52</v>
      </c>
      <c r="AH180" s="27">
        <v>51.384615384615387</v>
      </c>
      <c r="AI180" s="27">
        <v>52.375</v>
      </c>
      <c r="AJ180" s="32"/>
      <c r="AK180" s="47"/>
      <c r="AL180" s="47"/>
      <c r="AM180" s="47"/>
      <c r="AN180" s="47"/>
      <c r="AO180" s="47"/>
      <c r="AP180" s="47"/>
      <c r="AQ180" s="47"/>
      <c r="AR180" s="47"/>
      <c r="AS180" s="47"/>
      <c r="AT180" s="47"/>
      <c r="AU180" s="47"/>
      <c r="AV180" s="47"/>
      <c r="AW180" s="47"/>
      <c r="AX180" s="47"/>
      <c r="AY180" s="47"/>
      <c r="AZ180" s="47"/>
      <c r="BA180" s="47"/>
      <c r="BB180" s="47"/>
      <c r="BC180" s="47"/>
      <c r="BD180" s="47"/>
      <c r="BE180" s="47"/>
      <c r="BF180" s="47"/>
      <c r="BG180" s="47"/>
      <c r="BH180" s="47"/>
      <c r="BI180" s="47"/>
      <c r="BJ180" s="47"/>
      <c r="BK180" s="47"/>
      <c r="BL180" s="47"/>
      <c r="BO180" s="47"/>
      <c r="BP180" s="47"/>
      <c r="BQ180" s="47"/>
      <c r="BR180" s="47"/>
      <c r="BS180" s="47"/>
      <c r="BT180" s="47"/>
      <c r="BU180" s="47"/>
      <c r="BV180" s="47"/>
      <c r="BW180" s="47"/>
      <c r="BX180" s="47"/>
      <c r="BY180" s="47"/>
      <c r="BZ180" s="47"/>
      <c r="CA180" s="47"/>
      <c r="CB180" s="47"/>
      <c r="CC180" s="47"/>
      <c r="CD180" s="47"/>
      <c r="CE180" s="47"/>
      <c r="CF180" s="47"/>
      <c r="CG180" s="47"/>
      <c r="CH180" s="47"/>
      <c r="CI180" s="47"/>
      <c r="CJ180" s="47"/>
      <c r="CK180" s="47"/>
      <c r="CL180" s="47"/>
      <c r="CM180" s="47"/>
      <c r="CN180" s="47"/>
      <c r="CO180" s="47"/>
      <c r="CP180" s="47"/>
      <c r="CQ180" s="47"/>
      <c r="CR180" s="47"/>
      <c r="CU180" s="47"/>
      <c r="CV180" s="47"/>
      <c r="CW180" s="47"/>
      <c r="CX180" s="47"/>
      <c r="CY180" s="47"/>
      <c r="CZ180" s="47"/>
      <c r="DA180" s="47"/>
      <c r="DB180" s="47"/>
      <c r="DC180" s="47"/>
      <c r="DD180" s="47"/>
      <c r="DE180" s="47"/>
      <c r="DF180" s="47"/>
      <c r="DG180" s="47"/>
      <c r="DH180" s="47"/>
      <c r="DI180" s="47"/>
      <c r="DJ180" s="47"/>
      <c r="DK180" s="47"/>
      <c r="DL180" s="47"/>
      <c r="DM180" s="47"/>
      <c r="DN180" s="47"/>
      <c r="DO180" s="47"/>
      <c r="DP180" s="47"/>
      <c r="DQ180" s="47"/>
      <c r="DR180" s="47"/>
      <c r="DS180" s="47"/>
      <c r="DT180" s="47"/>
      <c r="DU180" s="47"/>
      <c r="DV180" s="47"/>
      <c r="DW180" s="47"/>
    </row>
    <row r="181" spans="5:327" x14ac:dyDescent="0.2">
      <c r="E181" s="27" t="s">
        <v>140</v>
      </c>
      <c r="F181" s="27">
        <f>AVERAGEIF($C$36:$C$173,"=1",D36:D173)</f>
        <v>53.176470588235297</v>
      </c>
      <c r="G181" s="27">
        <f>AVERAGEIF($C$36:$C$173,"=1",E36:E173)</f>
        <v>6.7647058823529411</v>
      </c>
      <c r="H181" s="27">
        <f>AVERAGEIF($C$36:$C$173,"=1",AH36:AH173)</f>
        <v>52.625</v>
      </c>
      <c r="I181" s="27">
        <f>AVERAGEIF($C$36:$C$173,"=1",AI36:AI173)</f>
        <v>7.375</v>
      </c>
      <c r="J181" s="27">
        <f>AVERAGEIF($C$36:$C$173,"=1",BM36:BM173)</f>
        <v>50.764705882352942</v>
      </c>
      <c r="K181" s="27">
        <f>AVERAGEIF($C$36:$C$173,"=1",BN36:BN173)</f>
        <v>7.6470588235294121</v>
      </c>
      <c r="L181" s="27">
        <f>AVERAGEIF($C$36:$C$173,"=1",CS36:CS173)</f>
        <v>49.470588235294116</v>
      </c>
      <c r="M181" s="27">
        <f>AVERAGEIF($C$36:$C$173,"=1",CT36:CT173)</f>
        <v>8</v>
      </c>
      <c r="N181" s="27">
        <f>AVERAGEIF($C$36:$C$173,"=1",$DX$36:$DX$173)</f>
        <v>49.588235294117645</v>
      </c>
      <c r="O181" s="27">
        <f>AVERAGEIF($C$36:$C$173,"=1",$DY$36:$DY$173)</f>
        <v>8.2941176470588243</v>
      </c>
      <c r="P181" s="27">
        <f>AVERAGEIF($C$36:$C$173,"=1",$FB$36:$FB$173)</f>
        <v>49.705882352941174</v>
      </c>
      <c r="Q181" s="27">
        <f>AVERAGEIF($C$36:$C$173,"=1",$FD$36:$FD$173)</f>
        <v>7.7647058823529411</v>
      </c>
      <c r="R181" s="27">
        <f>AVERAGEIF($C$36:$C$173,"=1",$GJ$36:$GJ$173)</f>
        <v>50.388888888888886</v>
      </c>
      <c r="S181" s="27">
        <f>AVERAGEIF($C$36:$C$173,"=1",$GL$36:$GL$173)</f>
        <v>8.6666666666666661</v>
      </c>
      <c r="T181" s="27">
        <f>AVERAGEIF($C$36:$C$173,"=1",$HR$36:$HR$173)</f>
        <v>51.411764705882355</v>
      </c>
      <c r="U181" s="27">
        <f>AVERAGEIF($C$36:$C$173,"=1",$HT$36:$HT$173)</f>
        <v>8.1764705882352935</v>
      </c>
      <c r="V181" s="27">
        <v>51.222222222222221</v>
      </c>
      <c r="W181" s="27">
        <v>8.5</v>
      </c>
      <c r="Z181" s="27" t="s">
        <v>142</v>
      </c>
      <c r="AA181" s="27">
        <v>55.0625</v>
      </c>
      <c r="AB181" s="27">
        <v>53.235294117647058</v>
      </c>
      <c r="AC181" s="27">
        <v>52.117647058823529</v>
      </c>
      <c r="AD181" s="27">
        <v>50.705882352941174</v>
      </c>
      <c r="AE181" s="27">
        <v>50.94736842105263</v>
      </c>
      <c r="AF181" s="27">
        <v>51</v>
      </c>
      <c r="AG181" s="27">
        <v>51.5</v>
      </c>
      <c r="AH181" s="27">
        <v>52.272727272727273</v>
      </c>
      <c r="AI181" s="27">
        <v>52.727272727272727</v>
      </c>
      <c r="AJ181" s="32"/>
      <c r="AK181" s="32"/>
      <c r="AL181" s="32"/>
      <c r="AM181" s="32"/>
      <c r="AN181" s="32"/>
      <c r="AO181" s="32"/>
      <c r="AP181" s="32"/>
      <c r="AQ181" s="32"/>
      <c r="AR181" s="32"/>
      <c r="AS181" s="32"/>
      <c r="AT181" s="32"/>
      <c r="AU181" s="32"/>
      <c r="AV181" s="32"/>
      <c r="AW181" s="32"/>
      <c r="AX181" s="32"/>
      <c r="AY181" s="32"/>
      <c r="AZ181" s="32"/>
      <c r="BA181" s="32"/>
      <c r="BB181" s="32"/>
      <c r="BC181" s="32"/>
      <c r="BD181" s="32"/>
      <c r="BE181" s="32"/>
      <c r="BF181" s="32"/>
      <c r="BG181" s="32"/>
      <c r="BH181" s="32"/>
      <c r="BI181" s="32"/>
      <c r="BJ181" s="32"/>
      <c r="BK181" s="32"/>
      <c r="BL181" s="32"/>
      <c r="BO181" s="32"/>
      <c r="BP181" s="32"/>
      <c r="BQ181" s="32"/>
      <c r="BR181" s="32"/>
      <c r="BS181" s="32"/>
      <c r="BT181" s="32"/>
      <c r="BU181" s="32"/>
      <c r="BV181" s="32"/>
      <c r="BW181" s="32"/>
      <c r="BX181" s="32"/>
      <c r="BY181" s="32"/>
      <c r="BZ181" s="32"/>
      <c r="CA181" s="32"/>
      <c r="CB181" s="32"/>
      <c r="CC181" s="32"/>
      <c r="CD181" s="32"/>
      <c r="CE181" s="32"/>
      <c r="CF181" s="32"/>
      <c r="CG181" s="32"/>
      <c r="CH181" s="32"/>
      <c r="CI181" s="32"/>
      <c r="CJ181" s="32"/>
      <c r="CK181" s="32"/>
      <c r="CL181" s="32"/>
      <c r="CM181" s="32"/>
      <c r="CN181" s="32"/>
      <c r="CO181" s="32"/>
      <c r="CP181" s="32"/>
      <c r="CQ181" s="32"/>
      <c r="CR181" s="32"/>
      <c r="CU181" s="32"/>
      <c r="CV181" s="32"/>
      <c r="CW181" s="32"/>
      <c r="CX181" s="32"/>
      <c r="CY181" s="32"/>
      <c r="CZ181" s="32"/>
      <c r="DA181" s="32"/>
      <c r="DB181" s="32"/>
      <c r="DC181" s="32"/>
      <c r="DD181" s="32"/>
      <c r="DE181" s="32"/>
      <c r="DF181" s="32"/>
      <c r="DG181" s="32"/>
      <c r="DH181" s="32"/>
      <c r="DI181" s="32"/>
      <c r="DJ181" s="32"/>
      <c r="DK181" s="32"/>
      <c r="DL181" s="32"/>
      <c r="DM181" s="32"/>
      <c r="DN181" s="32"/>
      <c r="DO181" s="32"/>
      <c r="DP181" s="32"/>
      <c r="DQ181" s="32"/>
      <c r="DR181" s="32"/>
      <c r="DS181" s="32"/>
      <c r="DT181" s="32"/>
      <c r="DU181" s="32"/>
      <c r="DV181" s="32"/>
      <c r="DW181" s="32"/>
    </row>
    <row r="182" spans="5:327" x14ac:dyDescent="0.2">
      <c r="E182" s="27" t="s">
        <v>141</v>
      </c>
      <c r="F182" s="27">
        <f>AVERAGEIF($C$36:$C$173,"=2",D36:D173)</f>
        <v>54.6</v>
      </c>
      <c r="G182" s="27">
        <f>AVERAGEIF($C$36:$C$173,"=2",E36:E173)</f>
        <v>6.95</v>
      </c>
      <c r="H182" s="27">
        <f>AVERAGEIF($C$36:$C$173,"=2",AH36:AH173)</f>
        <v>52.89473684210526</v>
      </c>
      <c r="I182" s="27">
        <f>AVERAGEIF($C$36:$C$173,"=2",AI36:AI173)</f>
        <v>7.2631578947368425</v>
      </c>
      <c r="J182" s="27">
        <f>AVERAGEIF($C$36:$C$173,"=2",BM36:BM173)</f>
        <v>51.684210526315788</v>
      </c>
      <c r="K182" s="27">
        <f>AVERAGEIF($C$36:$C$173,"=2",BN36:BN173)</f>
        <v>8.1578947368421044</v>
      </c>
      <c r="L182" s="27">
        <f>AVERAGEIF($C$36:$C$173,"=2",CS36:CS173)</f>
        <v>51.25</v>
      </c>
      <c r="M182" s="27">
        <f>AVERAGEIF($C$36:$C$173,"=2",CT36:CT173)</f>
        <v>8.0500000000000007</v>
      </c>
      <c r="N182" s="27">
        <f>AVERAGEIF($C$36:$C$173,"=2",$DX$36:$DX$173)</f>
        <v>49.75</v>
      </c>
      <c r="O182" s="27">
        <f>AVERAGEIF($C$36:$C$173,"=2",$DY$36:$DY$173)</f>
        <v>7.208333333333333</v>
      </c>
      <c r="P182" s="27">
        <f>AVERAGEIF($C$36:$C$173,"=2",$FB$36:$FB$173)</f>
        <v>50.18181818181818</v>
      </c>
      <c r="Q182" s="27">
        <f>AVERAGEIF($C$36:$C$173,"=2",$FD$36:$FD$173)</f>
        <v>7.6818181818181817</v>
      </c>
      <c r="R182" s="27">
        <f>AVERAGEIF($C$36:$C$173,"=2",$GJ$36:$GJ$173)</f>
        <v>51.52</v>
      </c>
      <c r="S182" s="27">
        <f>AVERAGEIF($C$36:$C$173,"=2",$GL$36:$GL$173)</f>
        <v>7.88</v>
      </c>
      <c r="T182" s="27">
        <f>AVERAGEIF($C$36:$C$173,"=2",$HR$36:$HR$173)</f>
        <v>51.384615384615387</v>
      </c>
      <c r="U182" s="27">
        <f>AVERAGEIF($C$36:$C$173,"=2",$HT$36:$HT$173)</f>
        <v>7.8461538461538458</v>
      </c>
      <c r="V182" s="27">
        <v>52.375</v>
      </c>
      <c r="W182" s="27">
        <v>8.7916666666666661</v>
      </c>
      <c r="Z182" s="27" t="s">
        <v>143</v>
      </c>
      <c r="AA182" s="27">
        <v>51.142857142857146</v>
      </c>
      <c r="AB182" s="27">
        <v>51.2</v>
      </c>
      <c r="AC182" s="27">
        <v>49.266666666666666</v>
      </c>
      <c r="AD182" s="27">
        <v>47.714285714285715</v>
      </c>
      <c r="AE182" s="27">
        <v>47</v>
      </c>
      <c r="AF182" s="27">
        <v>47.571428571428569</v>
      </c>
      <c r="AG182" s="27">
        <v>48.5</v>
      </c>
      <c r="AH182" s="27">
        <v>48</v>
      </c>
      <c r="AI182" s="27">
        <v>49.615384615384613</v>
      </c>
      <c r="AJ182" s="32"/>
      <c r="AK182" s="32"/>
      <c r="AL182" s="32"/>
      <c r="AM182" s="32"/>
      <c r="AN182" s="32"/>
      <c r="AO182" s="32"/>
      <c r="AP182" s="32"/>
      <c r="AQ182" s="32"/>
      <c r="AR182" s="32"/>
      <c r="AS182" s="32"/>
      <c r="AT182" s="32"/>
      <c r="AU182" s="32"/>
      <c r="AV182" s="32"/>
      <c r="AW182" s="32"/>
      <c r="AX182" s="32"/>
      <c r="AY182" s="32"/>
      <c r="AZ182" s="32"/>
      <c r="BA182" s="32"/>
      <c r="BB182" s="32"/>
      <c r="BC182" s="32"/>
      <c r="BD182" s="32"/>
      <c r="BE182" s="32"/>
      <c r="BF182" s="32"/>
      <c r="BG182" s="32"/>
      <c r="BH182" s="32"/>
      <c r="BI182" s="32"/>
      <c r="BJ182" s="32"/>
      <c r="BK182" s="32"/>
      <c r="BL182" s="32"/>
      <c r="BO182" s="32"/>
      <c r="BP182" s="32"/>
      <c r="BQ182" s="32"/>
      <c r="BR182" s="32"/>
      <c r="BS182" s="32"/>
      <c r="BT182" s="32"/>
      <c r="BU182" s="32"/>
      <c r="BV182" s="32"/>
      <c r="BW182" s="32"/>
      <c r="BX182" s="32"/>
      <c r="BY182" s="32"/>
      <c r="BZ182" s="32"/>
      <c r="CA182" s="32"/>
      <c r="CB182" s="32"/>
      <c r="CC182" s="32"/>
      <c r="CD182" s="32"/>
      <c r="CE182" s="32"/>
      <c r="CF182" s="32"/>
      <c r="CG182" s="32"/>
      <c r="CH182" s="32"/>
      <c r="CI182" s="32"/>
      <c r="CJ182" s="32"/>
      <c r="CK182" s="32"/>
      <c r="CL182" s="32"/>
      <c r="CM182" s="32"/>
      <c r="CN182" s="32"/>
      <c r="CO182" s="32"/>
      <c r="CP182" s="32"/>
      <c r="CQ182" s="32"/>
      <c r="CR182" s="32"/>
      <c r="CU182" s="32"/>
      <c r="CV182" s="32"/>
      <c r="CW182" s="32"/>
      <c r="CX182" s="32"/>
      <c r="CY182" s="32"/>
      <c r="CZ182" s="32"/>
      <c r="DA182" s="32"/>
      <c r="DB182" s="32"/>
      <c r="DC182" s="32"/>
      <c r="DD182" s="32"/>
      <c r="DE182" s="32"/>
      <c r="DF182" s="32"/>
      <c r="DG182" s="32"/>
      <c r="DH182" s="32"/>
      <c r="DI182" s="32"/>
      <c r="DJ182" s="32"/>
      <c r="DK182" s="32"/>
      <c r="DL182" s="32"/>
      <c r="DM182" s="32"/>
      <c r="DN182" s="32"/>
      <c r="DO182" s="32"/>
      <c r="DP182" s="32"/>
      <c r="DQ182" s="32"/>
      <c r="DR182" s="32"/>
      <c r="DS182" s="32"/>
      <c r="DT182" s="32"/>
      <c r="DU182" s="32"/>
      <c r="DV182" s="32"/>
      <c r="DW182" s="32"/>
    </row>
    <row r="183" spans="5:327" x14ac:dyDescent="0.2">
      <c r="E183" s="27" t="s">
        <v>142</v>
      </c>
      <c r="F183" s="27">
        <f>AVERAGEIF($C$36:$C$173,"=3",D36:D173)</f>
        <v>54.833333333333336</v>
      </c>
      <c r="G183" s="27">
        <f>AVERAGEIF($C$36:$C$173,"=3",E36:E173)</f>
        <v>7.117647058823529</v>
      </c>
      <c r="H183" s="27">
        <f>AVERAGEIF($C$36:$C$173,"=3",AH36:AH173)</f>
        <v>53.157894736842103</v>
      </c>
      <c r="I183" s="27">
        <f>AVERAGEIF($C$36:$C$173,"=3",AI36:AI173)</f>
        <v>7.7222222222222223</v>
      </c>
      <c r="J183" s="27">
        <f>AVERAGEIF($C$36:$C$173,"=3",BM36:BM173)</f>
        <v>52</v>
      </c>
      <c r="K183" s="27">
        <f>AVERAGEIF($C$36:$C$173,"=3",BN36:BN173)</f>
        <v>8.1111111111111107</v>
      </c>
      <c r="L183" s="27">
        <f>AVERAGEIF($C$36:$C$173,"=3",CS36:CS173)</f>
        <v>50.578947368421055</v>
      </c>
      <c r="M183" s="27">
        <f>AVERAGEIF($C$36:$C$173,"=3",CT36:CT173)</f>
        <v>8</v>
      </c>
      <c r="N183" s="27">
        <f>AVERAGEIF($C$36:$C$173,"=3",$DX$36:$DX$173)</f>
        <v>50.95</v>
      </c>
      <c r="O183" s="27">
        <f>AVERAGEIF($C$36:$C$173,"=3",$DY$36:$DY$173)</f>
        <v>8.5500000000000007</v>
      </c>
      <c r="P183" s="27">
        <f>AVERAGEIF($C$36:$C$173,"=3",$FB$36:$FB$173)</f>
        <v>51</v>
      </c>
      <c r="Q183" s="27">
        <f>AVERAGEIF($C$36:$C$173,"=3",$FD$36:$FD$173)</f>
        <v>7.85</v>
      </c>
      <c r="R183" s="27">
        <f>AVERAGEIF($C$36:$C$173,"=3",$GJ$36:$GJ$173)</f>
        <v>51.5</v>
      </c>
      <c r="S183" s="27">
        <f>AVERAGEIF($C$36:$C$173,"=3",$GL$36:$GL$173)</f>
        <v>8.6818181818181817</v>
      </c>
      <c r="T183" s="27">
        <f>AVERAGEIF($C$36:$C$173,"=3",$HR$36:$HR$173)</f>
        <v>52.272727272727273</v>
      </c>
      <c r="U183" s="27">
        <f>AVERAGEIF($C$36:$C$173,"=3",$HT$36:$HT$173)</f>
        <v>8.5</v>
      </c>
      <c r="V183" s="27">
        <v>52.727272727272727</v>
      </c>
      <c r="W183" s="27">
        <v>8.454545454545455</v>
      </c>
      <c r="Z183" s="27" t="s">
        <v>144</v>
      </c>
      <c r="AA183" s="27">
        <v>56.235294117647058</v>
      </c>
      <c r="AB183" s="27">
        <v>55</v>
      </c>
      <c r="AC183" s="27">
        <v>53.611111111111114</v>
      </c>
      <c r="AD183" s="27">
        <v>52.157894736842103</v>
      </c>
      <c r="AE183" s="27">
        <v>52.777777777777779</v>
      </c>
      <c r="AF183" s="27">
        <v>52.277777777777779</v>
      </c>
      <c r="AG183" s="27">
        <v>53.705882352941174</v>
      </c>
      <c r="AH183" s="27">
        <v>54.588235294117645</v>
      </c>
      <c r="AI183" s="27">
        <v>52.833333333333336</v>
      </c>
      <c r="AJ183" s="32"/>
      <c r="AK183" s="32"/>
      <c r="AL183" s="32"/>
      <c r="AM183" s="32"/>
      <c r="AN183" s="32"/>
      <c r="AO183" s="32"/>
      <c r="AP183" s="32"/>
      <c r="AQ183" s="32"/>
      <c r="AR183" s="32"/>
      <c r="AS183" s="32"/>
      <c r="AT183" s="32"/>
      <c r="AU183" s="32"/>
      <c r="AV183" s="32"/>
      <c r="AW183" s="32"/>
      <c r="AX183" s="32"/>
      <c r="AY183" s="32"/>
      <c r="AZ183" s="32"/>
      <c r="BA183" s="32"/>
      <c r="BB183" s="32"/>
      <c r="BC183" s="32"/>
      <c r="BD183" s="32"/>
      <c r="BE183" s="32"/>
      <c r="BF183" s="32"/>
      <c r="BG183" s="32"/>
      <c r="BH183" s="32"/>
      <c r="BI183" s="32"/>
      <c r="BJ183" s="32"/>
      <c r="BK183" s="32"/>
      <c r="BL183" s="32"/>
      <c r="BO183" s="32"/>
      <c r="BP183" s="32"/>
      <c r="BQ183" s="32"/>
      <c r="BR183" s="32"/>
      <c r="BS183" s="32"/>
      <c r="BT183" s="32"/>
      <c r="BU183" s="32"/>
      <c r="BV183" s="32"/>
      <c r="BW183" s="32"/>
      <c r="BX183" s="32"/>
      <c r="BY183" s="32"/>
      <c r="BZ183" s="32"/>
      <c r="CA183" s="32"/>
      <c r="CB183" s="32"/>
      <c r="CC183" s="32"/>
      <c r="CD183" s="32"/>
      <c r="CE183" s="32"/>
      <c r="CF183" s="32"/>
      <c r="CG183" s="32"/>
      <c r="CH183" s="32"/>
      <c r="CI183" s="32"/>
      <c r="CJ183" s="32"/>
      <c r="CK183" s="32"/>
      <c r="CL183" s="32"/>
      <c r="CM183" s="32"/>
      <c r="CN183" s="32"/>
      <c r="CO183" s="32"/>
      <c r="CP183" s="32"/>
      <c r="CQ183" s="32"/>
      <c r="CR183" s="32"/>
      <c r="CU183" s="32"/>
      <c r="CV183" s="32"/>
      <c r="CW183" s="32"/>
      <c r="CX183" s="32"/>
      <c r="CY183" s="32"/>
      <c r="CZ183" s="32"/>
      <c r="DA183" s="32"/>
      <c r="DB183" s="32"/>
      <c r="DC183" s="32"/>
      <c r="DD183" s="32"/>
      <c r="DE183" s="32"/>
      <c r="DF183" s="32"/>
      <c r="DG183" s="32"/>
      <c r="DH183" s="32"/>
      <c r="DI183" s="32"/>
      <c r="DJ183" s="32"/>
      <c r="DK183" s="32"/>
      <c r="DL183" s="32"/>
      <c r="DM183" s="32"/>
      <c r="DN183" s="32"/>
      <c r="DO183" s="32"/>
      <c r="DP183" s="32"/>
      <c r="DQ183" s="32"/>
      <c r="DR183" s="32"/>
      <c r="DS183" s="32"/>
      <c r="DT183" s="32"/>
      <c r="DU183" s="32"/>
      <c r="DV183" s="32"/>
      <c r="DW183" s="32"/>
    </row>
    <row r="184" spans="5:327" x14ac:dyDescent="0.2">
      <c r="E184" s="27" t="s">
        <v>143</v>
      </c>
      <c r="F184" s="27">
        <f>AVERAGEIF($C$36:$C$173,"=4",D36:D173)</f>
        <v>51.142857142857146</v>
      </c>
      <c r="G184" s="27">
        <f>AVERAGEIF($C$36:$C$173,"=4",E36:E173)</f>
        <v>6.9285714285714288</v>
      </c>
      <c r="H184" s="27">
        <f>AVERAGEIF($C$36:$C$173,"=4",AH36:AH173)</f>
        <v>51.2</v>
      </c>
      <c r="I184" s="27">
        <f>AVERAGEIF($C$36:$C$173,"=4",AI36:AI173)</f>
        <v>7</v>
      </c>
      <c r="J184" s="27">
        <f>AVERAGEIF($C$36:$C$173,"=4",BM36:BM173)</f>
        <v>49.266666666666666</v>
      </c>
      <c r="K184" s="27">
        <f>AVERAGEIF($C$36:$C$173,"=4",BN36:BN173)</f>
        <v>7.4</v>
      </c>
      <c r="L184" s="27">
        <f>AVERAGEIF($C$36:$C$173,"=4",CS36:CS173)</f>
        <v>47.714285714285715</v>
      </c>
      <c r="M184" s="27">
        <f>AVERAGEIF($C$36:$C$173,"=4",CT36:CT173)</f>
        <v>7.7142857142857144</v>
      </c>
      <c r="N184" s="27">
        <f>AVERAGEIF($C$36:$C$173,"=4",$DX$36:$DX$173)</f>
        <v>47</v>
      </c>
      <c r="O184" s="27">
        <f>AVERAGEIF($C$36:$C$173,"=4",$DY$36:$DY$173)</f>
        <v>8.2307692307692299</v>
      </c>
      <c r="P184" s="27">
        <f>AVERAGEIF($C$36:$C$173,"=4",$FB$36:$FB$173)</f>
        <v>47.571428571428569</v>
      </c>
      <c r="Q184" s="27">
        <f>AVERAGEIF($C$36:$C$173,"=4",$FD$36:$FD$173)</f>
        <v>7.0714285714285712</v>
      </c>
      <c r="R184" s="27">
        <f>AVERAGEIF($C$36:$C$173,"=4",$GJ$36:$GJ$173)</f>
        <v>48.5</v>
      </c>
      <c r="S184" s="27">
        <f>AVERAGEIF($C$36:$C$173,"=4",$GL$36:$GL$173)</f>
        <v>8.5</v>
      </c>
      <c r="T184" s="27">
        <f>AVERAGEIF($C$36:$C$173,"=4",$HR$36:$HR$173)</f>
        <v>48</v>
      </c>
      <c r="U184" s="27">
        <f>AVERAGEIF($C$36:$C$173,"=4",$HT$36:$HT$173)</f>
        <v>8.3333333333333339</v>
      </c>
      <c r="V184" s="27">
        <v>49.615384615384613</v>
      </c>
      <c r="W184" s="27">
        <v>8.6923076923076916</v>
      </c>
      <c r="Z184" s="27" t="s">
        <v>145</v>
      </c>
      <c r="AA184" s="27">
        <v>55.06666666666667</v>
      </c>
      <c r="AB184" s="27">
        <v>52.06666666666667</v>
      </c>
      <c r="AC184" s="27">
        <v>51</v>
      </c>
      <c r="AD184" s="27">
        <v>50.333333333333336</v>
      </c>
      <c r="AE184" s="27">
        <v>49.235294117647058</v>
      </c>
      <c r="AF184" s="27">
        <v>49.235294117647058</v>
      </c>
      <c r="AG184" s="27">
        <v>49.736842105263158</v>
      </c>
      <c r="AH184" s="27">
        <v>50.9</v>
      </c>
      <c r="AI184" s="27">
        <v>51.055555555555557</v>
      </c>
      <c r="AJ184" s="32"/>
      <c r="AK184" s="32"/>
      <c r="AL184" s="32"/>
      <c r="AM184" s="32"/>
      <c r="AN184" s="32"/>
      <c r="AO184" s="32"/>
      <c r="AP184" s="32"/>
      <c r="AQ184" s="32"/>
      <c r="AR184" s="32"/>
      <c r="AS184" s="32"/>
      <c r="AT184" s="32"/>
      <c r="AU184" s="32"/>
      <c r="AV184" s="32"/>
      <c r="AW184" s="32"/>
      <c r="AX184" s="32"/>
      <c r="AY184" s="32"/>
      <c r="AZ184" s="32"/>
      <c r="BA184" s="32"/>
      <c r="BB184" s="32"/>
      <c r="BC184" s="32"/>
      <c r="BD184" s="32"/>
      <c r="BE184" s="32"/>
      <c r="BF184" s="32"/>
      <c r="BG184" s="32"/>
      <c r="BH184" s="32"/>
      <c r="BI184" s="32"/>
      <c r="BJ184" s="32"/>
      <c r="BK184" s="32"/>
      <c r="BL184" s="32"/>
      <c r="BO184" s="32"/>
      <c r="BP184" s="32"/>
      <c r="BQ184" s="32"/>
      <c r="BR184" s="32"/>
      <c r="BS184" s="32"/>
      <c r="BT184" s="32"/>
      <c r="BU184" s="32"/>
      <c r="BV184" s="32"/>
      <c r="BW184" s="32"/>
      <c r="BX184" s="32"/>
      <c r="BY184" s="32"/>
      <c r="BZ184" s="32"/>
      <c r="CA184" s="32"/>
      <c r="CB184" s="32"/>
      <c r="CC184" s="32"/>
      <c r="CD184" s="32"/>
      <c r="CE184" s="32"/>
      <c r="CF184" s="32"/>
      <c r="CG184" s="32"/>
      <c r="CH184" s="32"/>
      <c r="CI184" s="32"/>
      <c r="CJ184" s="32"/>
      <c r="CK184" s="32"/>
      <c r="CL184" s="32"/>
      <c r="CM184" s="32"/>
      <c r="CN184" s="32"/>
      <c r="CO184" s="32"/>
      <c r="CP184" s="32"/>
      <c r="CQ184" s="32"/>
      <c r="CR184" s="32"/>
      <c r="CU184" s="32"/>
      <c r="CV184" s="32"/>
      <c r="CW184" s="32"/>
      <c r="CX184" s="32"/>
      <c r="CY184" s="32"/>
      <c r="CZ184" s="32"/>
      <c r="DA184" s="32"/>
      <c r="DB184" s="32"/>
      <c r="DC184" s="32"/>
      <c r="DD184" s="32"/>
      <c r="DE184" s="32"/>
      <c r="DF184" s="32"/>
      <c r="DG184" s="32"/>
      <c r="DH184" s="32"/>
      <c r="DI184" s="32"/>
      <c r="DJ184" s="32"/>
      <c r="DK184" s="32"/>
      <c r="DL184" s="32"/>
      <c r="DM184" s="32"/>
      <c r="DN184" s="32"/>
      <c r="DO184" s="32"/>
      <c r="DP184" s="32"/>
      <c r="DQ184" s="32"/>
      <c r="DR184" s="32"/>
      <c r="DS184" s="32"/>
      <c r="DT184" s="32"/>
      <c r="DU184" s="32"/>
      <c r="DV184" s="32"/>
      <c r="DW184" s="32"/>
    </row>
    <row r="185" spans="5:327" x14ac:dyDescent="0.2">
      <c r="E185" s="27" t="s">
        <v>144</v>
      </c>
      <c r="F185" s="27">
        <f>AVERAGEIF($C$36:$C$173,"=5",D36:D173)</f>
        <v>56.235294117647058</v>
      </c>
      <c r="G185" s="27">
        <f>AVERAGEIF($C$36:$C$173,"=5",E36:E173)</f>
        <v>6.6470588235294121</v>
      </c>
      <c r="H185" s="27">
        <f>AVERAGEIF($C$36:$C$173,"=5",AH36:AH173)</f>
        <v>55</v>
      </c>
      <c r="I185" s="27">
        <f>AVERAGEIF($C$36:$C$173,"=5",AI36:AI173)</f>
        <v>7.7058823529411766</v>
      </c>
      <c r="J185" s="27">
        <f>AVERAGEIF($C$36:$C$173,"=5",BM36:BM173)</f>
        <v>53.611111111111114</v>
      </c>
      <c r="K185" s="27">
        <f>AVERAGEIF($C$36:$C$173,"=5",BN36:BN173)</f>
        <v>7.8888888888888893</v>
      </c>
      <c r="L185" s="27">
        <f>AVERAGEIF($C$36:$C$173,"=5",CS36:CS173)</f>
        <v>52.157894736842103</v>
      </c>
      <c r="M185" s="27">
        <f>AVERAGEIF($C$36:$C$173,"=5",CT36:CT173)</f>
        <v>8.2631578947368425</v>
      </c>
      <c r="N185" s="27">
        <f>AVERAGEIF($C$36:$C$173,"=5",$DX$36:$DX$173)</f>
        <v>52.777777777777779</v>
      </c>
      <c r="O185" s="27">
        <f>AVERAGEIF($C$36:$C$173,"=5",$DY$36:$DY$173)</f>
        <v>7.7222222222222223</v>
      </c>
      <c r="P185" s="27">
        <f>AVERAGEIF($C$36:$C$173,"=5",$FB$36:$FB$173)</f>
        <v>52.277777777777779</v>
      </c>
      <c r="Q185" s="27">
        <f>AVERAGEIF($C$36:$C$173,"=5",$FD$36:$FD$173)</f>
        <v>8</v>
      </c>
      <c r="R185" s="27">
        <f>AVERAGEIF($C$36:$C$173,"=5",$GJ$36:$GJ$173)</f>
        <v>53.705882352941174</v>
      </c>
      <c r="S185" s="27">
        <f>AVERAGEIF($C$36:$C$173,"=5",$GL$36:$GL$173)</f>
        <v>8.117647058823529</v>
      </c>
      <c r="T185" s="27">
        <f>AVERAGEIF($C$36:$C$173,"=5",$HR$36:$HR$173)</f>
        <v>54.588235294117645</v>
      </c>
      <c r="U185" s="27">
        <f>AVERAGEIF($C$36:$C$173,"=5",$HT$36:$HT$173)</f>
        <v>8.235294117647058</v>
      </c>
      <c r="V185" s="27">
        <v>52.833333333333336</v>
      </c>
      <c r="W185" s="27">
        <v>8.7222222222222214</v>
      </c>
      <c r="X185" s="32"/>
      <c r="Y185" s="32"/>
      <c r="Z185" s="32"/>
      <c r="AA185" s="32"/>
      <c r="AB185" s="32"/>
      <c r="AC185" s="32"/>
      <c r="AD185" s="32"/>
      <c r="AE185" s="32"/>
      <c r="AF185" s="32"/>
      <c r="AG185" s="32"/>
      <c r="AJ185" s="32"/>
      <c r="AK185" s="32"/>
      <c r="AL185" s="32"/>
      <c r="AM185" s="32"/>
      <c r="AN185" s="32"/>
      <c r="AO185" s="32"/>
      <c r="AP185" s="32"/>
      <c r="AQ185" s="32"/>
      <c r="AR185" s="32"/>
      <c r="AS185" s="32"/>
      <c r="AT185" s="32"/>
      <c r="AU185" s="32"/>
      <c r="AV185" s="32"/>
      <c r="AW185" s="32"/>
      <c r="AX185" s="32"/>
      <c r="AY185" s="32"/>
      <c r="AZ185" s="32"/>
      <c r="BA185" s="32"/>
      <c r="BB185" s="32"/>
      <c r="BC185" s="32"/>
      <c r="BD185" s="32"/>
      <c r="BE185" s="32"/>
      <c r="BF185" s="32"/>
      <c r="BG185" s="32"/>
      <c r="BH185" s="32"/>
      <c r="BI185" s="32"/>
      <c r="BJ185" s="32"/>
      <c r="BK185" s="32"/>
      <c r="BL185" s="32"/>
      <c r="BO185" s="32"/>
      <c r="BP185" s="32"/>
      <c r="BQ185" s="32"/>
      <c r="BR185" s="32"/>
      <c r="BS185" s="32"/>
      <c r="BT185" s="32"/>
      <c r="BU185" s="32"/>
      <c r="BV185" s="32"/>
      <c r="BW185" s="32"/>
      <c r="BX185" s="32"/>
      <c r="BY185" s="32"/>
      <c r="BZ185" s="32"/>
      <c r="CA185" s="32"/>
      <c r="CB185" s="32"/>
      <c r="CC185" s="32"/>
      <c r="CD185" s="32"/>
      <c r="CE185" s="32"/>
      <c r="CF185" s="32"/>
      <c r="CG185" s="32"/>
      <c r="CH185" s="32"/>
      <c r="CI185" s="32"/>
      <c r="CJ185" s="32"/>
      <c r="CK185" s="32"/>
      <c r="CL185" s="32"/>
      <c r="CM185" s="32"/>
      <c r="CN185" s="32"/>
      <c r="CO185" s="32"/>
      <c r="CP185" s="32"/>
      <c r="CQ185" s="32"/>
      <c r="CR185" s="32"/>
      <c r="CU185" s="32"/>
      <c r="CV185" s="32"/>
      <c r="CW185" s="32"/>
      <c r="CX185" s="32"/>
      <c r="CY185" s="32"/>
      <c r="CZ185" s="32"/>
      <c r="DA185" s="32"/>
      <c r="DB185" s="32"/>
      <c r="DC185" s="32"/>
      <c r="DD185" s="32"/>
      <c r="DE185" s="32"/>
      <c r="DF185" s="32"/>
      <c r="DG185" s="32"/>
      <c r="DH185" s="32"/>
      <c r="DI185" s="32"/>
      <c r="DJ185" s="32"/>
      <c r="DK185" s="32"/>
      <c r="DL185" s="32"/>
      <c r="DM185" s="32"/>
      <c r="DN185" s="32"/>
      <c r="DO185" s="32"/>
      <c r="DP185" s="32"/>
      <c r="DQ185" s="32"/>
      <c r="DR185" s="32"/>
      <c r="DS185" s="32"/>
      <c r="DT185" s="32"/>
      <c r="DU185" s="32"/>
      <c r="DV185" s="32"/>
      <c r="DW185" s="32"/>
    </row>
    <row r="186" spans="5:327" x14ac:dyDescent="0.2">
      <c r="E186" s="27" t="s">
        <v>145</v>
      </c>
      <c r="F186" s="27">
        <f>AVERAGEIF($C$36:$C$173,"=6",D36:D173)</f>
        <v>55.06666666666667</v>
      </c>
      <c r="G186" s="27">
        <f>AVERAGEIF($C$36:$C$173,"=6",E36:E173)</f>
        <v>5.8</v>
      </c>
      <c r="H186" s="27">
        <f>AVERAGEIF($C$36:$C$173,"=6",AH36:AH173)</f>
        <v>52.06666666666667</v>
      </c>
      <c r="I186" s="27">
        <f>AVERAGEIF($C$36:$C$173,"=6",AI36:AI173)</f>
        <v>7.9333333333333336</v>
      </c>
      <c r="J186" s="27">
        <f>AVERAGEIF($C$36:$C$173,"=6",BM36:BM173)</f>
        <v>51</v>
      </c>
      <c r="K186" s="27">
        <f>AVERAGEIF($C$36:$C$173,"=6",BN36:BN173)</f>
        <v>8.4285714285714288</v>
      </c>
      <c r="L186" s="27">
        <f>AVERAGEIF($C$36:$C$173,"=6",CS36:CS173)</f>
        <v>50.333333333333336</v>
      </c>
      <c r="M186" s="27">
        <f>AVERAGEIF($C$36:$C$173,"=6",CT36:CT173)</f>
        <v>8.1333333333333329</v>
      </c>
      <c r="N186" s="27">
        <f>AVERAGEIF($C$36:$C$173,"=6",$DX$36:$DX$173)</f>
        <v>49.235294117647058</v>
      </c>
      <c r="O186" s="27">
        <f>AVERAGEIF($C$36:$C$173,"=6",$DY$36:$DY$173)</f>
        <v>7.8235294117647056</v>
      </c>
      <c r="P186" s="27">
        <f>AVERAGEIF($C$36:$C$173,"=6",$FB$36:$FB$173)</f>
        <v>49.235294117647058</v>
      </c>
      <c r="Q186" s="27">
        <f>AVERAGEIF($C$36:$C$173,"=6",$FD$36:$FD$173)</f>
        <v>6.882352941176471</v>
      </c>
      <c r="R186" s="27">
        <f>AVERAGEIF($C$36:$C$173,"=6",$GJ$36:$GJ$173)</f>
        <v>49.736842105263158</v>
      </c>
      <c r="S186" s="27">
        <f>AVERAGEIF($C$36:$C$173,"=6",$GL$36:$GL$173)</f>
        <v>8.5789473684210531</v>
      </c>
      <c r="T186" s="27">
        <f>AVERAGEIF($C$36:$C$173,"=6",$HR$36:$HR$173)</f>
        <v>50.9</v>
      </c>
      <c r="U186" s="27">
        <f>AVERAGEIF($C$36:$C$173,"=6",$HT$36:$HT$173)</f>
        <v>8.3000000000000007</v>
      </c>
      <c r="V186" s="27">
        <v>51.055555555555557</v>
      </c>
      <c r="W186" s="27">
        <v>9.1666666666666661</v>
      </c>
      <c r="X186" s="32"/>
      <c r="Y186" s="32"/>
      <c r="Z186" s="32"/>
      <c r="AA186" s="32"/>
      <c r="AB186" s="32"/>
      <c r="AC186" s="32"/>
      <c r="AD186" s="32"/>
      <c r="AE186" s="32"/>
      <c r="AF186" s="32"/>
      <c r="AG186" s="32"/>
      <c r="AJ186" s="32"/>
      <c r="AK186" s="32"/>
      <c r="AL186" s="32"/>
      <c r="AM186" s="32"/>
      <c r="AN186" s="32"/>
      <c r="AO186" s="32"/>
      <c r="AP186" s="32"/>
      <c r="AQ186" s="32"/>
      <c r="AR186" s="32"/>
      <c r="AS186" s="32"/>
      <c r="AT186" s="32"/>
      <c r="AU186" s="32"/>
      <c r="AV186" s="32"/>
      <c r="AW186" s="32"/>
      <c r="AX186" s="32"/>
      <c r="AY186" s="32"/>
      <c r="AZ186" s="32"/>
      <c r="BA186" s="32"/>
      <c r="BB186" s="32"/>
      <c r="BC186" s="32"/>
      <c r="BD186" s="32"/>
      <c r="BE186" s="32"/>
      <c r="BF186" s="32"/>
      <c r="BG186" s="32"/>
      <c r="BH186" s="32"/>
      <c r="BI186" s="32"/>
      <c r="BJ186" s="32"/>
      <c r="BK186" s="32"/>
      <c r="BL186" s="32"/>
      <c r="BO186" s="32"/>
      <c r="BP186" s="32"/>
      <c r="BQ186" s="32"/>
      <c r="BR186" s="32"/>
      <c r="BS186" s="32"/>
      <c r="BT186" s="32"/>
      <c r="BU186" s="32"/>
      <c r="BV186" s="32"/>
      <c r="BW186" s="32"/>
      <c r="BX186" s="32"/>
      <c r="BY186" s="32"/>
      <c r="BZ186" s="32"/>
      <c r="CA186" s="32"/>
      <c r="CB186" s="32"/>
      <c r="CC186" s="32"/>
      <c r="CD186" s="32"/>
      <c r="CE186" s="32"/>
      <c r="CF186" s="32"/>
      <c r="CG186" s="32"/>
      <c r="CH186" s="32"/>
      <c r="CI186" s="32"/>
      <c r="CJ186" s="32"/>
      <c r="CK186" s="32"/>
      <c r="CL186" s="32"/>
      <c r="CM186" s="32"/>
      <c r="CN186" s="32"/>
      <c r="CO186" s="32"/>
      <c r="CP186" s="32"/>
      <c r="CQ186" s="32"/>
      <c r="CR186" s="32"/>
      <c r="CU186" s="32"/>
      <c r="CV186" s="32"/>
      <c r="CW186" s="32"/>
      <c r="CX186" s="32"/>
      <c r="CY186" s="32"/>
      <c r="CZ186" s="32"/>
      <c r="DA186" s="32"/>
      <c r="DB186" s="32"/>
      <c r="DC186" s="32"/>
      <c r="DD186" s="32"/>
      <c r="DE186" s="32"/>
      <c r="DF186" s="32"/>
      <c r="DG186" s="32"/>
      <c r="DH186" s="32"/>
      <c r="DI186" s="32"/>
      <c r="DJ186" s="32"/>
      <c r="DK186" s="32"/>
      <c r="DL186" s="32"/>
      <c r="DM186" s="32"/>
      <c r="DN186" s="32"/>
      <c r="DO186" s="32"/>
      <c r="DP186" s="32"/>
      <c r="DQ186" s="32"/>
      <c r="DR186" s="32"/>
      <c r="DS186" s="32"/>
      <c r="DT186" s="32"/>
      <c r="DU186" s="32"/>
      <c r="DV186" s="32"/>
      <c r="DW186" s="32"/>
    </row>
    <row r="187" spans="5:327" x14ac:dyDescent="0.2">
      <c r="AI187" t="s">
        <v>152</v>
      </c>
    </row>
    <row r="189" spans="5:327" x14ac:dyDescent="0.2">
      <c r="E189" s="28"/>
      <c r="F189" s="1064">
        <v>2016</v>
      </c>
      <c r="G189" s="1065"/>
      <c r="H189" s="1065"/>
      <c r="I189" s="1191"/>
      <c r="J189" s="1064">
        <v>2017</v>
      </c>
      <c r="K189" s="1065"/>
      <c r="L189" s="1065"/>
      <c r="M189" s="1191"/>
      <c r="N189" s="1046">
        <v>2018</v>
      </c>
      <c r="O189" s="1050"/>
      <c r="P189" s="1050"/>
      <c r="Q189" s="1047"/>
      <c r="R189" s="1046">
        <v>2019</v>
      </c>
      <c r="S189" s="1050"/>
      <c r="T189" s="1050"/>
      <c r="U189" s="1047"/>
      <c r="V189" s="1064">
        <v>2020</v>
      </c>
      <c r="W189" s="1065"/>
      <c r="X189" s="1065"/>
      <c r="Y189" s="1065"/>
      <c r="Z189" s="1064">
        <v>2021</v>
      </c>
      <c r="AA189" s="1065"/>
      <c r="AB189" s="1065"/>
      <c r="AC189" s="1065"/>
      <c r="AD189" s="1064">
        <v>2022</v>
      </c>
      <c r="AE189" s="1065"/>
      <c r="AF189" s="1065"/>
      <c r="AG189" s="1065"/>
      <c r="AH189" s="1064">
        <v>2023</v>
      </c>
      <c r="AI189" s="1065"/>
      <c r="AJ189" s="1065"/>
      <c r="AK189" s="1065"/>
      <c r="AL189" s="1064">
        <v>2024</v>
      </c>
      <c r="AM189" s="1065"/>
      <c r="AN189" s="1065"/>
      <c r="AO189" s="1065"/>
      <c r="AP189" s="73"/>
      <c r="AQ189" s="73"/>
      <c r="AR189" s="73"/>
      <c r="AS189" s="73"/>
      <c r="AT189" s="73"/>
      <c r="AU189" s="73"/>
      <c r="AV189" s="73"/>
      <c r="AW189" s="73"/>
      <c r="AX189" s="73"/>
      <c r="AY189" s="73"/>
      <c r="AZ189" s="73"/>
      <c r="BA189" s="73"/>
      <c r="BB189" s="73"/>
      <c r="BC189" s="73"/>
      <c r="BD189" s="73"/>
      <c r="BE189" s="73"/>
      <c r="BF189" s="73"/>
      <c r="BG189" s="73"/>
      <c r="BH189" s="73"/>
      <c r="BI189" s="73"/>
      <c r="BJ189" s="73"/>
      <c r="BK189" s="73"/>
      <c r="BL189" s="73"/>
      <c r="BM189" s="73"/>
      <c r="BN189" s="73"/>
      <c r="BO189" s="72"/>
      <c r="BP189" s="72"/>
      <c r="BQ189" s="72"/>
      <c r="BR189" s="72"/>
      <c r="BS189" s="72"/>
      <c r="BT189" s="72"/>
      <c r="BU189" s="72"/>
      <c r="BV189" s="72"/>
      <c r="BW189" s="72"/>
      <c r="BX189" s="72"/>
      <c r="BY189" s="72"/>
      <c r="BZ189" s="72"/>
      <c r="CA189" s="72"/>
      <c r="CB189" s="72"/>
      <c r="CC189" s="72"/>
      <c r="CD189" s="72"/>
      <c r="CE189" s="72"/>
      <c r="CF189" s="72"/>
      <c r="CG189" s="72"/>
      <c r="CH189" s="72"/>
      <c r="CI189" s="72"/>
      <c r="CJ189" s="72"/>
      <c r="CK189" s="72"/>
      <c r="CL189" s="72"/>
      <c r="CM189" s="72"/>
      <c r="CN189" s="72"/>
      <c r="CO189" s="72"/>
      <c r="CP189" s="72"/>
      <c r="CQ189" s="72"/>
      <c r="CR189" s="72"/>
      <c r="CS189" s="1056">
        <v>2017</v>
      </c>
      <c r="CT189" s="1056"/>
      <c r="CU189" s="1056"/>
      <c r="CV189" s="1056"/>
      <c r="CW189" s="1056"/>
      <c r="CX189" s="1056"/>
      <c r="CY189" s="1056"/>
      <c r="CZ189" s="1056"/>
      <c r="DA189" s="1056"/>
      <c r="DB189" s="1056"/>
      <c r="DC189" s="1056"/>
      <c r="DD189" s="1056"/>
      <c r="DE189" s="1056"/>
      <c r="DF189" s="1056"/>
      <c r="DG189" s="1056"/>
      <c r="DH189" s="1056"/>
      <c r="DI189" s="1056"/>
      <c r="DJ189" s="1056"/>
      <c r="DK189" s="1056"/>
      <c r="DL189" s="1056"/>
      <c r="DM189" s="1056"/>
      <c r="DN189" s="1056"/>
      <c r="DO189" s="1056"/>
      <c r="DP189" s="1056"/>
      <c r="DQ189" s="1056"/>
      <c r="DR189" s="1056"/>
      <c r="DS189" s="1056"/>
      <c r="DT189" s="1056"/>
      <c r="DU189" s="1056"/>
      <c r="DV189" s="1056"/>
      <c r="DW189" s="1056"/>
      <c r="DX189" s="1056"/>
      <c r="DY189" s="1056"/>
    </row>
    <row r="190" spans="5:327" x14ac:dyDescent="0.2">
      <c r="E190" s="28"/>
      <c r="F190" s="1046" t="s">
        <v>148</v>
      </c>
      <c r="G190" s="1047"/>
      <c r="H190" s="1046" t="s">
        <v>149</v>
      </c>
      <c r="I190" s="1047"/>
      <c r="J190" s="1046" t="s">
        <v>148</v>
      </c>
      <c r="K190" s="1047"/>
      <c r="L190" s="1046" t="s">
        <v>149</v>
      </c>
      <c r="M190" s="1047"/>
      <c r="N190" s="1046" t="s">
        <v>148</v>
      </c>
      <c r="O190" s="1047"/>
      <c r="P190" s="1046" t="s">
        <v>149</v>
      </c>
      <c r="Q190" s="1047"/>
      <c r="R190" s="1046" t="s">
        <v>148</v>
      </c>
      <c r="S190" s="1047"/>
      <c r="T190" s="1046" t="s">
        <v>149</v>
      </c>
      <c r="U190" s="1047"/>
      <c r="V190" s="1046" t="s">
        <v>148</v>
      </c>
      <c r="W190" s="1047"/>
      <c r="X190" s="1046" t="s">
        <v>149</v>
      </c>
      <c r="Y190" s="1050"/>
      <c r="Z190" s="1046" t="s">
        <v>148</v>
      </c>
      <c r="AA190" s="1047"/>
      <c r="AB190" s="1046" t="s">
        <v>149</v>
      </c>
      <c r="AC190" s="1050"/>
      <c r="AD190" s="1046" t="s">
        <v>148</v>
      </c>
      <c r="AE190" s="1047"/>
      <c r="AF190" s="1046" t="s">
        <v>149</v>
      </c>
      <c r="AG190" s="1050"/>
      <c r="AH190" s="1046" t="s">
        <v>148</v>
      </c>
      <c r="AI190" s="1047"/>
      <c r="AJ190" s="1046" t="s">
        <v>149</v>
      </c>
      <c r="AK190" s="1050"/>
      <c r="AL190" s="1046" t="s">
        <v>148</v>
      </c>
      <c r="AM190" s="1047"/>
      <c r="AN190" s="1046" t="s">
        <v>149</v>
      </c>
      <c r="AO190" s="1050"/>
      <c r="AP190" s="72"/>
      <c r="AQ190" s="72"/>
      <c r="AR190" s="72"/>
      <c r="AS190" s="72"/>
      <c r="AT190" s="72"/>
      <c r="AU190" s="72"/>
      <c r="AV190" s="72"/>
      <c r="AW190" s="72"/>
      <c r="AX190" s="72"/>
      <c r="AY190" s="72"/>
      <c r="AZ190" s="72"/>
      <c r="BA190" s="72"/>
      <c r="BB190" s="72"/>
      <c r="BC190" s="72"/>
      <c r="BD190" s="72"/>
      <c r="BE190" s="72"/>
      <c r="BF190" s="72"/>
      <c r="BG190" s="72"/>
      <c r="BH190" s="72"/>
      <c r="BI190" s="72"/>
      <c r="BJ190" s="72"/>
      <c r="BK190" s="72"/>
      <c r="BL190" s="72"/>
      <c r="BO190" s="72"/>
      <c r="BP190" s="72"/>
      <c r="BQ190" s="72"/>
      <c r="BR190" s="72"/>
      <c r="BS190" s="72"/>
      <c r="BT190" s="72"/>
      <c r="BU190" s="72"/>
      <c r="BV190" s="72"/>
      <c r="BW190" s="72"/>
      <c r="BX190" s="72"/>
      <c r="BY190" s="72"/>
      <c r="BZ190" s="72"/>
      <c r="CA190" s="72"/>
      <c r="CB190" s="72"/>
      <c r="CC190" s="72"/>
      <c r="CD190" s="72"/>
      <c r="CE190" s="72"/>
      <c r="CF190" s="72"/>
      <c r="CG190" s="72"/>
      <c r="CH190" s="72"/>
      <c r="CI190" s="72"/>
      <c r="CJ190" s="72"/>
      <c r="CK190" s="72"/>
      <c r="CL190" s="72"/>
      <c r="CM190" s="72"/>
      <c r="CN190" s="72"/>
      <c r="CO190" s="72"/>
      <c r="CP190" s="72"/>
      <c r="CQ190" s="72"/>
      <c r="CR190" s="72"/>
      <c r="CU190" s="72"/>
      <c r="CV190" s="72"/>
      <c r="CW190" s="72"/>
      <c r="CX190" s="72"/>
      <c r="CY190" s="72"/>
      <c r="CZ190" s="72"/>
      <c r="DA190" s="72"/>
      <c r="DB190" s="72"/>
      <c r="DC190" s="72"/>
      <c r="DD190" s="72"/>
      <c r="DE190" s="72"/>
      <c r="DF190" s="72"/>
      <c r="DG190" s="72"/>
      <c r="DH190" s="72"/>
      <c r="DI190" s="72"/>
      <c r="DJ190" s="72"/>
      <c r="DK190" s="72"/>
      <c r="DL190" s="72"/>
      <c r="DM190" s="72"/>
      <c r="DN190" s="72"/>
      <c r="DO190" s="72"/>
      <c r="DP190" s="72"/>
      <c r="DQ190" s="72"/>
      <c r="DR190" s="72"/>
      <c r="DS190" s="72"/>
      <c r="DT190" s="72"/>
      <c r="DU190" s="72"/>
      <c r="DV190" s="72"/>
      <c r="DW190" s="72"/>
    </row>
    <row r="191" spans="5:327" x14ac:dyDescent="0.2">
      <c r="E191" s="28"/>
      <c r="F191" s="7" t="s">
        <v>120</v>
      </c>
      <c r="G191" s="7" t="s">
        <v>147</v>
      </c>
      <c r="H191" s="7" t="s">
        <v>120</v>
      </c>
      <c r="I191" s="7" t="s">
        <v>147</v>
      </c>
      <c r="J191" s="7" t="s">
        <v>120</v>
      </c>
      <c r="K191" s="7" t="s">
        <v>147</v>
      </c>
      <c r="L191" s="7" t="s">
        <v>120</v>
      </c>
      <c r="M191" s="7" t="s">
        <v>147</v>
      </c>
      <c r="N191" s="7" t="s">
        <v>120</v>
      </c>
      <c r="O191" s="7" t="s">
        <v>147</v>
      </c>
      <c r="P191" s="7" t="s">
        <v>120</v>
      </c>
      <c r="Q191" s="7" t="s">
        <v>147</v>
      </c>
      <c r="R191" s="7" t="s">
        <v>120</v>
      </c>
      <c r="S191" s="7" t="s">
        <v>147</v>
      </c>
      <c r="T191" s="7" t="s">
        <v>120</v>
      </c>
      <c r="U191" s="7" t="s">
        <v>147</v>
      </c>
      <c r="V191" s="7" t="s">
        <v>120</v>
      </c>
      <c r="W191" s="7" t="s">
        <v>147</v>
      </c>
      <c r="X191" s="7" t="s">
        <v>120</v>
      </c>
      <c r="Y191" s="34" t="s">
        <v>147</v>
      </c>
      <c r="Z191" s="7" t="s">
        <v>120</v>
      </c>
      <c r="AA191" s="7" t="s">
        <v>147</v>
      </c>
      <c r="AB191" s="7" t="s">
        <v>120</v>
      </c>
      <c r="AC191" s="34" t="s">
        <v>147</v>
      </c>
      <c r="AD191" s="7" t="s">
        <v>120</v>
      </c>
      <c r="AE191" s="7" t="s">
        <v>147</v>
      </c>
      <c r="AF191" s="7" t="s">
        <v>120</v>
      </c>
      <c r="AG191" s="34" t="s">
        <v>147</v>
      </c>
      <c r="AH191" s="7" t="s">
        <v>120</v>
      </c>
      <c r="AI191" s="7" t="s">
        <v>147</v>
      </c>
      <c r="AJ191" s="7" t="s">
        <v>120</v>
      </c>
      <c r="AK191" s="34" t="s">
        <v>147</v>
      </c>
      <c r="AL191" s="7" t="s">
        <v>120</v>
      </c>
      <c r="AM191" s="7" t="s">
        <v>147</v>
      </c>
      <c r="AN191" s="7" t="s">
        <v>120</v>
      </c>
      <c r="AO191" s="34" t="s">
        <v>147</v>
      </c>
      <c r="AP191" s="72"/>
      <c r="AQ191" s="72"/>
      <c r="AR191" s="72"/>
      <c r="AS191" s="72"/>
      <c r="AT191" s="72"/>
      <c r="AU191" s="72"/>
      <c r="AV191" s="72"/>
      <c r="AW191" s="72"/>
      <c r="AX191" s="72"/>
      <c r="AY191" s="72"/>
      <c r="AZ191" s="72"/>
      <c r="BA191" s="72"/>
      <c r="BB191" s="72"/>
      <c r="BC191" s="72"/>
      <c r="BD191" s="72"/>
      <c r="BE191" s="72"/>
      <c r="BF191" s="72"/>
      <c r="BG191" s="72"/>
      <c r="BH191" s="72"/>
      <c r="BI191" s="72"/>
      <c r="BJ191" s="72"/>
      <c r="BK191" s="72"/>
      <c r="BL191" s="72"/>
      <c r="BO191" s="72"/>
      <c r="BP191" s="72"/>
      <c r="BQ191" s="72"/>
      <c r="BR191" s="72"/>
      <c r="BS191" s="72"/>
      <c r="BT191" s="72"/>
      <c r="BU191" s="72"/>
      <c r="BV191" s="72"/>
      <c r="BW191" s="72"/>
      <c r="BX191" s="72"/>
      <c r="BY191" s="72"/>
      <c r="BZ191" s="72"/>
      <c r="CA191" s="72"/>
      <c r="CB191" s="72"/>
      <c r="CC191" s="72"/>
      <c r="CD191" s="72"/>
      <c r="CE191" s="72"/>
      <c r="CF191" s="72"/>
      <c r="CG191" s="72"/>
      <c r="CH191" s="72"/>
      <c r="CI191" s="72"/>
      <c r="CJ191" s="72"/>
      <c r="CK191" s="72"/>
      <c r="CL191" s="72"/>
      <c r="CM191" s="72"/>
      <c r="CN191" s="72"/>
      <c r="CO191" s="72"/>
      <c r="CP191" s="72"/>
      <c r="CQ191" s="72"/>
      <c r="CR191" s="72"/>
      <c r="CU191" s="72"/>
      <c r="CV191" s="72"/>
      <c r="CW191" s="72"/>
      <c r="CX191" s="72"/>
      <c r="CY191" s="72"/>
      <c r="CZ191" s="72"/>
      <c r="DA191" s="72"/>
      <c r="DB191" s="72"/>
      <c r="DC191" s="72"/>
      <c r="DD191" s="72"/>
      <c r="DE191" s="72"/>
      <c r="DF191" s="72"/>
      <c r="DG191" s="72"/>
      <c r="DH191" s="72"/>
      <c r="DI191" s="72"/>
      <c r="DJ191" s="72"/>
      <c r="DK191" s="72"/>
      <c r="DL191" s="72"/>
      <c r="DM191" s="72"/>
      <c r="DN191" s="72"/>
      <c r="DO191" s="72"/>
      <c r="DP191" s="72"/>
      <c r="DQ191" s="72"/>
      <c r="DR191" s="72"/>
      <c r="DS191" s="72"/>
      <c r="DT191" s="72"/>
      <c r="DU191" s="72"/>
      <c r="DV191" s="72"/>
      <c r="DW191" s="72"/>
    </row>
    <row r="192" spans="5:327" x14ac:dyDescent="0.2">
      <c r="E192" s="5" t="s">
        <v>0</v>
      </c>
      <c r="F192" s="10">
        <v>53</v>
      </c>
      <c r="G192" s="10">
        <v>7</v>
      </c>
      <c r="H192" s="10">
        <v>55</v>
      </c>
      <c r="I192" s="10">
        <v>8</v>
      </c>
      <c r="J192" s="10">
        <v>51</v>
      </c>
      <c r="K192" s="10">
        <v>7</v>
      </c>
      <c r="L192" s="10">
        <v>54</v>
      </c>
      <c r="M192" s="10">
        <v>8</v>
      </c>
      <c r="N192" s="30">
        <v>50</v>
      </c>
      <c r="O192" s="30">
        <v>8</v>
      </c>
      <c r="P192" s="30">
        <v>53</v>
      </c>
      <c r="Q192" s="30">
        <v>9</v>
      </c>
      <c r="R192" s="30">
        <v>49</v>
      </c>
      <c r="S192" s="30">
        <v>9</v>
      </c>
      <c r="T192" s="30">
        <v>52</v>
      </c>
      <c r="U192" s="30">
        <v>9</v>
      </c>
      <c r="V192" s="10">
        <v>49</v>
      </c>
      <c r="W192" s="10">
        <v>9</v>
      </c>
      <c r="X192" s="10">
        <v>51</v>
      </c>
      <c r="Y192" s="75">
        <v>9</v>
      </c>
      <c r="Z192" s="10">
        <v>49</v>
      </c>
      <c r="AA192" s="10">
        <v>9</v>
      </c>
      <c r="AB192" s="10">
        <v>51</v>
      </c>
      <c r="AC192" s="75">
        <v>9</v>
      </c>
      <c r="AD192" s="10">
        <v>49</v>
      </c>
      <c r="AE192" s="10">
        <v>9</v>
      </c>
      <c r="AF192" s="10">
        <v>51</v>
      </c>
      <c r="AG192" s="75">
        <v>9</v>
      </c>
      <c r="AH192" s="10">
        <v>49</v>
      </c>
      <c r="AI192" s="10">
        <v>9</v>
      </c>
      <c r="AJ192" s="10">
        <v>51</v>
      </c>
      <c r="AK192" s="75">
        <v>9</v>
      </c>
      <c r="AL192" s="10">
        <v>50</v>
      </c>
      <c r="AM192" s="10">
        <v>9</v>
      </c>
      <c r="AN192" s="10">
        <v>54</v>
      </c>
      <c r="AO192" s="75">
        <v>9</v>
      </c>
      <c r="AP192" s="74"/>
      <c r="AQ192" s="74"/>
      <c r="AR192" s="74"/>
      <c r="AS192" s="74"/>
      <c r="AT192" s="74"/>
      <c r="AU192" s="74"/>
      <c r="AV192" s="74"/>
      <c r="AW192" s="74"/>
      <c r="AX192" s="74"/>
      <c r="AY192" s="74"/>
      <c r="AZ192" s="74"/>
      <c r="BA192" s="74"/>
      <c r="BB192" s="74"/>
      <c r="BC192" s="74"/>
      <c r="BD192" s="74"/>
      <c r="BE192" s="74"/>
      <c r="BF192" s="74"/>
      <c r="BG192" s="74"/>
      <c r="BH192" s="74"/>
      <c r="BI192" s="74"/>
      <c r="BJ192" s="74"/>
      <c r="BK192" s="74"/>
      <c r="BL192" s="74"/>
      <c r="BO192" s="74"/>
      <c r="BP192" s="74"/>
      <c r="BQ192" s="74"/>
      <c r="BR192" s="74"/>
      <c r="BS192" s="74"/>
      <c r="BT192" s="74"/>
      <c r="BU192" s="74"/>
      <c r="BV192" s="74"/>
      <c r="BW192" s="74"/>
      <c r="BX192" s="74"/>
      <c r="BY192" s="74"/>
      <c r="BZ192" s="74"/>
      <c r="CA192" s="74"/>
      <c r="CB192" s="74"/>
      <c r="CC192" s="74"/>
      <c r="CD192" s="74"/>
      <c r="CE192" s="74"/>
      <c r="CF192" s="74"/>
      <c r="CG192" s="74"/>
      <c r="CH192" s="74"/>
      <c r="CI192" s="74"/>
      <c r="CJ192" s="74"/>
      <c r="CK192" s="74"/>
      <c r="CL192" s="74"/>
      <c r="CM192" s="74"/>
      <c r="CN192" s="74"/>
      <c r="CO192" s="74"/>
      <c r="CP192" s="74"/>
      <c r="CQ192" s="74"/>
      <c r="CR192" s="74"/>
      <c r="CU192" s="74"/>
      <c r="CV192" s="74"/>
      <c r="CW192" s="74"/>
      <c r="CX192" s="74"/>
      <c r="CY192" s="74"/>
      <c r="CZ192" s="74"/>
      <c r="DA192" s="74"/>
      <c r="DB192" s="74"/>
      <c r="DC192" s="74"/>
      <c r="DD192" s="74"/>
      <c r="DE192" s="74"/>
      <c r="DF192" s="74"/>
      <c r="DG192" s="74"/>
      <c r="DH192" s="74"/>
      <c r="DI192" s="74"/>
      <c r="DJ192" s="74"/>
      <c r="DK192" s="74"/>
      <c r="DL192" s="74"/>
      <c r="DM192" s="74"/>
      <c r="DN192" s="74"/>
      <c r="DO192" s="74"/>
      <c r="DP192" s="74"/>
      <c r="DQ192" s="74"/>
      <c r="DR192" s="74"/>
      <c r="DS192" s="74"/>
      <c r="DT192" s="74"/>
      <c r="DU192" s="74"/>
      <c r="DV192" s="74"/>
      <c r="DW192" s="74"/>
    </row>
    <row r="193" spans="5:137" x14ac:dyDescent="0.2">
      <c r="E193" s="27" t="s">
        <v>140</v>
      </c>
      <c r="F193" s="27">
        <f>AVERAGEIFS(D36:D173,$C$36:$C$173,"=1", $B$36:$B$173,"OFICIAL")</f>
        <v>54</v>
      </c>
      <c r="G193" s="27">
        <f>AVERAGEIFS(E36:E173,$C$36:$C$173,"=1", $B$36:$B$173,"OFICIAL")</f>
        <v>7.25</v>
      </c>
      <c r="H193" s="27">
        <f>AVERAGEIFS(D36:D173,$C$36:$C$173,"=1", $B$36:$B$173,"NO OFICIAL")</f>
        <v>52.92307692307692</v>
      </c>
      <c r="I193" s="27">
        <f>AVERAGEIFS(E36:E173,$C$36:$C$173,"=1", $B$36:$B$173,"NO OFICIAL")</f>
        <v>6.615384615384615</v>
      </c>
      <c r="J193" s="27">
        <f>AVERAGEIFS($AH$36:$AH$173,$C$36:$C$173,"=1", $B$36:$B$173,"OFICIAL")</f>
        <v>53</v>
      </c>
      <c r="K193" s="27">
        <f>AVERAGEIFS($AI$36:$AI$173,$C$36:$C$173,"=1", $B$36:$B$173,"OFICIAL")</f>
        <v>7.25</v>
      </c>
      <c r="L193" s="27">
        <f>AVERAGEIFS($AH$36:$AH$173,$C$36:$C$173,"=1", $B$36:$B$173,"NO OFICIAL")</f>
        <v>52.5</v>
      </c>
      <c r="M193" s="27">
        <f>AVERAGEIFS($AI$36:$AI$173,$C$36:$C$173,"=1", $B$36:$B$173,"NO OFICIAL")</f>
        <v>7.416666666666667</v>
      </c>
      <c r="N193" s="27">
        <f>AVERAGEIFS($BM$36:$BM$173,$C$36:$C$173,"=1", $B$36:$B$173,"OFICIAL")</f>
        <v>50.5</v>
      </c>
      <c r="O193" s="27">
        <f>AVERAGEIFS($BN$36:$BN$173,$C$36:$C$173,"=1", $B$36:$B$173,"OFICIAL")</f>
        <v>8</v>
      </c>
      <c r="P193" s="27">
        <f>AVERAGEIFS($BM$36:$BM$173,$C$36:$C$173,"=1", $B$36:$B$173,"NO OFICIAL")</f>
        <v>50.846153846153847</v>
      </c>
      <c r="Q193" s="27">
        <f>AVERAGEIFS($BN$36:$BN$173,$C$36:$C$173,"=1", $B$36:$B$173,"NO OFICIAL")</f>
        <v>7.5384615384615383</v>
      </c>
      <c r="R193" s="27">
        <f>AVERAGEIFS($CS$36:$CS$173,$C$36:$C$173,"=1", $B$36:$B$173,"OFICIAL")</f>
        <v>49.5</v>
      </c>
      <c r="S193" s="27">
        <f>AVERAGEIFS($CT$36:$CT$173,$C$36:$C$173,"=1", $B$36:$B$173,"OFICIAL")</f>
        <v>8.75</v>
      </c>
      <c r="T193" s="27">
        <f>AVERAGEIFS($CS$36:$CS$173,$C$36:$C$173,"=1", $B$36:$B$173,"NO OFICIAL")</f>
        <v>49.46153846153846</v>
      </c>
      <c r="U193" s="27">
        <f>AVERAGEIFS($CT$36:$CT$173,$C$36:$C$173,"=1", $B$36:$B$173,"NO OFICIAL")</f>
        <v>7.7692307692307692</v>
      </c>
      <c r="V193" s="27">
        <f>AVERAGEIFS($DX$36:$DX$173,$C$36:$C$173,"=1", $B$36:$B$173,"OFICIAL")</f>
        <v>49</v>
      </c>
      <c r="W193" s="27">
        <f>AVERAGEIFS($DY$36:$DY$173,$C$36:$C$173,"=1", $B$36:$B$173,"OFICIAL")</f>
        <v>8.25</v>
      </c>
      <c r="X193" s="27">
        <f>AVERAGEIFS($DX$36:$DX$173,$C$36:$C$173,"=1", $B$36:$B$173,"NO OFICIAL")</f>
        <v>49.769230769230766</v>
      </c>
      <c r="Y193" s="27">
        <f>AVERAGEIFS($DY$36:$DY$173,$C$36:$C$173,"=1", $B$36:$B$173,"NO OFICIAL")</f>
        <v>8.3076923076923084</v>
      </c>
      <c r="Z193" s="27">
        <f>AVERAGEIFS($FB$36:$FB$173,$C$36:$C$173,"=1", $B$36:$B$173,"OFICIAL")</f>
        <v>48.75</v>
      </c>
      <c r="AA193" s="27">
        <f>AVERAGEIFS($FD$36:$FD$173,$C$36:$C$173,"=1", $B$36:$B$173,"OFICIAL")</f>
        <v>8</v>
      </c>
      <c r="AB193" s="27">
        <f>AVERAGEIFS($FB$36:$FB$173,$C$36:$C$173,"=1", $B$36:$B$173,"NO OFICIAL")</f>
        <v>50</v>
      </c>
      <c r="AC193" s="27">
        <f>AVERAGEIFS($FD$36:$FD$173,$C$36:$C$173,"=1", $B$36:$B$173,"NO OFICIAL")</f>
        <v>7.6923076923076925</v>
      </c>
      <c r="AD193" s="27">
        <f>AVERAGEIFS($GJ$36:$GJ$173,$C$36:$C$173,"=1", $B$36:$B$173,"OFICIAL")</f>
        <v>49.2</v>
      </c>
      <c r="AE193" s="27">
        <f>AVERAGEIFS($GL$36:$GL$173,$C$36:$C$173,"=1", $B$36:$B$173,"OFICIAL")</f>
        <v>8.6</v>
      </c>
      <c r="AF193" s="27">
        <f>AVERAGEIFS($GJ$36:$GJ$173,$C$36:$C$173,"=1", $B$36:$B$173,"NO OFICIAL")</f>
        <v>50.846153846153847</v>
      </c>
      <c r="AG193" s="27">
        <f>AVERAGEIFS($GL$36:$GL$173,$C$36:$C$173,"=1", $B$36:$B$173,"NO OFICIAL")</f>
        <v>8.6923076923076916</v>
      </c>
      <c r="AH193" s="27">
        <f>AVERAGEIFS($HR$36:$HR$173,$C$36:$C$173,"=1", $B$36:$B$173,"OFICIAL")</f>
        <v>50</v>
      </c>
      <c r="AI193" s="27">
        <f>AVERAGEIFS($HT$36:$HT$173,$C$36:$C$173,"=1", $B$36:$B$173,"OFICIAL")</f>
        <v>8</v>
      </c>
      <c r="AJ193" s="27">
        <f>AVERAGEIFS($HR$36:$HR$173,$C$36:$C$173,"=1", $B$36:$B$173,"NO OFICIAL")</f>
        <v>52</v>
      </c>
      <c r="AK193" s="27">
        <f>AVERAGEIFS($HT$36:$HT$173,$C$36:$C$173,"=1", $B$36:$B$173,"NO OFICIAL")</f>
        <v>8.25</v>
      </c>
      <c r="AL193" s="27">
        <v>50.4</v>
      </c>
      <c r="AM193" s="27">
        <v>8.6</v>
      </c>
      <c r="AN193" s="27">
        <v>51.53846153846154</v>
      </c>
      <c r="AO193" s="27">
        <v>8.4615384615384617</v>
      </c>
      <c r="AP193" s="32"/>
      <c r="AQ193" s="32"/>
      <c r="AR193" s="32"/>
      <c r="AS193" s="32"/>
      <c r="AT193" s="32"/>
      <c r="AU193" s="32"/>
      <c r="AV193" s="32"/>
      <c r="AW193" s="32"/>
      <c r="AX193" s="32"/>
      <c r="AY193" s="32"/>
      <c r="AZ193" s="32"/>
      <c r="BA193" s="32"/>
      <c r="BB193" s="32"/>
      <c r="BC193" s="32"/>
      <c r="BD193" s="32"/>
      <c r="BE193" s="32"/>
      <c r="BF193" s="32"/>
      <c r="BG193" s="32"/>
      <c r="BH193" s="32"/>
      <c r="BI193" s="32"/>
      <c r="BJ193" s="32"/>
      <c r="BK193" s="32"/>
      <c r="BL193" s="32"/>
      <c r="BO193" s="32"/>
      <c r="BP193" s="32"/>
      <c r="BQ193" s="32"/>
      <c r="BR193" s="32"/>
      <c r="BS193" s="32"/>
      <c r="BT193" s="32"/>
      <c r="BU193" s="32"/>
      <c r="BV193" s="32"/>
      <c r="BW193" s="32"/>
      <c r="BX193" s="32"/>
      <c r="BY193" s="32"/>
      <c r="BZ193" s="32"/>
      <c r="CA193" s="32"/>
      <c r="CB193" s="32"/>
      <c r="CC193" s="32"/>
      <c r="CD193" s="32"/>
      <c r="CE193" s="32"/>
      <c r="CF193" s="32"/>
      <c r="CG193" s="32"/>
      <c r="CH193" s="32"/>
      <c r="CI193" s="32"/>
      <c r="CJ193" s="32"/>
      <c r="CK193" s="32"/>
      <c r="CL193" s="32"/>
      <c r="CM193" s="32"/>
      <c r="CN193" s="32"/>
      <c r="CO193" s="32"/>
      <c r="CP193" s="32"/>
      <c r="CQ193" s="32"/>
      <c r="CR193" s="32"/>
      <c r="CU193" s="32"/>
      <c r="CV193" s="32"/>
      <c r="CW193" s="32"/>
      <c r="CX193" s="32"/>
      <c r="CY193" s="32"/>
      <c r="CZ193" s="32"/>
      <c r="DA193" s="32"/>
      <c r="DB193" s="32"/>
      <c r="DC193" s="32"/>
      <c r="DD193" s="32"/>
      <c r="DE193" s="32"/>
      <c r="DF193" s="32"/>
      <c r="DG193" s="32"/>
      <c r="DH193" s="32"/>
      <c r="DI193" s="32"/>
      <c r="DJ193" s="32"/>
      <c r="DK193" s="32"/>
      <c r="DL193" s="32"/>
      <c r="DM193" s="32"/>
      <c r="DN193" s="32"/>
      <c r="DO193" s="32"/>
      <c r="DP193" s="32"/>
      <c r="DQ193" s="32"/>
      <c r="DR193" s="32"/>
      <c r="DS193" s="32"/>
      <c r="DT193" s="32"/>
      <c r="DU193" s="32"/>
      <c r="DV193" s="32"/>
      <c r="DW193" s="32"/>
    </row>
    <row r="194" spans="5:137" x14ac:dyDescent="0.2">
      <c r="E194" s="27" t="s">
        <v>141</v>
      </c>
      <c r="F194" s="27">
        <f>AVERAGEIFS(D36:D173,$C$36:$C$173,"=2", $B$36:$B$173,"OFICIAL")</f>
        <v>54</v>
      </c>
      <c r="G194" s="27">
        <f>AVERAGEIFS(E36:E173,$C$36:$C$173,"=2", $B$36:$B$173,"OFICIAL")</f>
        <v>7.5</v>
      </c>
      <c r="H194" s="27">
        <f>AVERAGEIFS(D36:D173,$C$36:$C$173,"=2", $B$36:$B$173,"NO OFICIAL")</f>
        <v>54.666666666666664</v>
      </c>
      <c r="I194" s="27">
        <f>AVERAGEIFS(E36:E173,$C$36:$C$173,"=2", $B$36:$B$173,"NO OFICIAL")</f>
        <v>6.8888888888888893</v>
      </c>
      <c r="J194" s="27">
        <f>AVERAGEIFS($AH$36:$AH$173,$C$36:$C$173,"=2", $B$36:$B$173,"OFICIAL")</f>
        <v>53.5</v>
      </c>
      <c r="K194" s="27">
        <f>AVERAGEIFS($AI$36:$AI$173,$C$36:$C$173,"=2", $B$36:$B$173,"OFICIAL")</f>
        <v>8</v>
      </c>
      <c r="L194" s="27">
        <f>AVERAGEIFS($AH$36:$AH$173,$C$36:$C$173,"=2", $B$36:$B$173,"NO OFICIAL")</f>
        <v>52.823529411764703</v>
      </c>
      <c r="M194" s="27">
        <f>AVERAGEIFS($AI$36:$AI$173,$C$36:$C$173,"=2", $B$36:$B$173,"NO OFICIAL")</f>
        <v>7.1764705882352944</v>
      </c>
      <c r="N194" s="27">
        <f>AVERAGEIFS($BM$36:$BM$173,$C$36:$C$173,"=2", $B$36:$B$173,"OFICIAL")</f>
        <v>51</v>
      </c>
      <c r="O194" s="27">
        <f>AVERAGEIFS($BN$36:$BN$173,$C$36:$C$173,"=2", $B$36:$B$173,"OFICIAL")</f>
        <v>9</v>
      </c>
      <c r="P194" s="27">
        <f>AVERAGEIFS($BM$36:$BM$173,$C$36:$C$173,"=2", $B$36:$B$173,"NO OFICIAL")</f>
        <v>51.764705882352942</v>
      </c>
      <c r="Q194" s="27">
        <f>AVERAGEIFS($BN$36:$BN$173,$C$36:$C$173,"=2", $B$36:$B$173,"NO OFICIAL")</f>
        <v>8.0588235294117645</v>
      </c>
      <c r="R194" s="27">
        <f>AVERAGEIFS($CS$36:$CS$173,$C$36:$C$173,"=2", $B$36:$B$173,"OFICIAL")</f>
        <v>49</v>
      </c>
      <c r="S194" s="27">
        <f>AVERAGEIFS($CT$36:$CT$173,$C$36:$C$173,"=2", $B$36:$B$173,"OFICIAL")</f>
        <v>9</v>
      </c>
      <c r="T194" s="27">
        <f>AVERAGEIFS($CS$36:$CS$173,$C$36:$C$173,"=2", $B$36:$B$173,"NO OFICIAL")</f>
        <v>51.5</v>
      </c>
      <c r="U194" s="27">
        <f>AVERAGEIFS($CT$36:$CT$173,$C$36:$C$173,"=2", $B$36:$B$173,"NO OFICIAL")</f>
        <v>7.9444444444444446</v>
      </c>
      <c r="V194" s="27">
        <f>AVERAGEIFS($DX$36:$DX$173,$C$36:$C$173,"=2", $B$36:$B$173,"OFICIAL")</f>
        <v>49</v>
      </c>
      <c r="W194" s="27">
        <f>AVERAGEIFS($DY$36:$DY$173,$C$36:$C$173,"=2", $B$36:$B$173,"OFICIAL")</f>
        <v>8.5</v>
      </c>
      <c r="X194" s="27">
        <f>AVERAGEIFS($DX$36:$DX$173,$C$36:$C$173,"=2", $B$36:$B$173,"NO OFICIAL")</f>
        <v>49.81818181818182</v>
      </c>
      <c r="Y194" s="27">
        <f>AVERAGEIFS($DY$36:$DY$173,$C$36:$C$173,"=2", $B$36:$B$173,"NO OFICIAL")</f>
        <v>7.0909090909090908</v>
      </c>
      <c r="Z194" s="27">
        <f>AVERAGEIFS($FB$36:$FB$173,$C$36:$C$173,"=2", $B$36:$B$173,"OFICIAL")</f>
        <v>49</v>
      </c>
      <c r="AA194" s="27">
        <f>AVERAGEIFS($FD$36:$FD$173,$C$36:$C$173,"=2", $B$36:$B$173,"OFICIAL")</f>
        <v>7.5</v>
      </c>
      <c r="AB194" s="27">
        <f>AVERAGEIFS($FB$36:$FB$173,$C$36:$C$173,"=2", $B$36:$B$173,"NO OFICIAL")</f>
        <v>50.3</v>
      </c>
      <c r="AC194" s="27">
        <f>AVERAGEIFS($FD$36:$FD$173,$C$36:$C$173,"=2", $B$36:$B$173,"NO OFICIAL")</f>
        <v>7.7</v>
      </c>
      <c r="AD194" s="27">
        <f>AVERAGEIFS($GJ$36:$GJ$173,$C$36:$C$173,"=2", $B$36:$B$173,"OFICIAL")</f>
        <v>49.75</v>
      </c>
      <c r="AE194" s="27">
        <f>AVERAGEIFS($GL$36:$GL$173,$C$36:$C$173,"=2", $B$36:$B$173,"OFICIAL")</f>
        <v>8</v>
      </c>
      <c r="AF194" s="27">
        <f>AVERAGEIFS($GJ$36:$GJ$173,$C$36:$C$173,"=2", $B$36:$B$173,"NO OFICIAL")</f>
        <v>51.857142857142854</v>
      </c>
      <c r="AG194" s="27">
        <f>AVERAGEIFS($GL$36:$GL$173,$C$36:$C$173,"=2", $B$36:$B$173,"NO OFICIAL")</f>
        <v>7.8571428571428568</v>
      </c>
      <c r="AH194" s="27">
        <f>AVERAGEIFS($HR$36:$HR$173,$C$36:$C$173,"=2", $B$36:$B$173,"OFICIAL")</f>
        <v>49.75</v>
      </c>
      <c r="AI194" s="27">
        <f>AVERAGEIFS($HT$36:$HT$173,$C$36:$C$173,"=2", $B$36:$B$173,"OFICIAL")</f>
        <v>8.5</v>
      </c>
      <c r="AJ194" s="27">
        <f>AVERAGEIFS($HR$36:$HR$173,$C$36:$C$173,"=2", $B$36:$B$173,"NO OFICIAL")</f>
        <v>51.68181818181818</v>
      </c>
      <c r="AK194" s="27">
        <f>AVERAGEIFS($HT$36:$HT$173,$C$36:$C$173,"=2", $B$36:$B$173,"NO OFICIAL")</f>
        <v>7.7272727272727275</v>
      </c>
      <c r="AL194" s="27">
        <v>51</v>
      </c>
      <c r="AM194" s="27">
        <v>9</v>
      </c>
      <c r="AN194" s="27">
        <v>52.65</v>
      </c>
      <c r="AO194" s="27">
        <v>8.75</v>
      </c>
      <c r="AP194" s="32"/>
      <c r="AQ194" s="32"/>
      <c r="AR194" s="32"/>
      <c r="AS194" s="32"/>
      <c r="AT194" s="32"/>
      <c r="AU194" s="32"/>
      <c r="AV194" s="32"/>
      <c r="AW194" s="32"/>
      <c r="AX194" s="32"/>
      <c r="AY194" s="32"/>
      <c r="AZ194" s="32"/>
      <c r="BA194" s="32"/>
      <c r="BB194" s="32"/>
      <c r="BC194" s="32"/>
      <c r="BD194" s="32"/>
      <c r="BE194" s="32"/>
      <c r="BF194" s="32"/>
      <c r="BG194" s="32"/>
      <c r="BH194" s="32"/>
      <c r="BI194" s="32"/>
      <c r="BJ194" s="32"/>
      <c r="BK194" s="32"/>
      <c r="BL194" s="32"/>
      <c r="BO194" s="32"/>
      <c r="BP194" s="32"/>
      <c r="BQ194" s="32"/>
      <c r="BR194" s="32"/>
      <c r="BS194" s="32"/>
      <c r="BT194" s="32"/>
      <c r="BU194" s="32"/>
      <c r="BV194" s="32"/>
      <c r="BW194" s="32"/>
      <c r="BX194" s="32"/>
      <c r="BY194" s="32"/>
      <c r="BZ194" s="32"/>
      <c r="CA194" s="32"/>
      <c r="CB194" s="32"/>
      <c r="CC194" s="32"/>
      <c r="CD194" s="32"/>
      <c r="CE194" s="32"/>
      <c r="CF194" s="32"/>
      <c r="CG194" s="32"/>
      <c r="CH194" s="32"/>
      <c r="CI194" s="32"/>
      <c r="CJ194" s="32"/>
      <c r="CK194" s="32"/>
      <c r="CL194" s="32"/>
      <c r="CM194" s="32"/>
      <c r="CN194" s="32"/>
      <c r="CO194" s="32"/>
      <c r="CP194" s="32"/>
      <c r="CQ194" s="32"/>
      <c r="CR194" s="32"/>
      <c r="CU194" s="32"/>
      <c r="CV194" s="32"/>
      <c r="CW194" s="32"/>
      <c r="CX194" s="32"/>
      <c r="CY194" s="32"/>
      <c r="CZ194" s="32"/>
      <c r="DA194" s="32"/>
      <c r="DB194" s="32"/>
      <c r="DC194" s="32"/>
      <c r="DD194" s="32"/>
      <c r="DE194" s="32"/>
      <c r="DF194" s="32"/>
      <c r="DG194" s="32"/>
      <c r="DH194" s="32"/>
      <c r="DI194" s="32"/>
      <c r="DJ194" s="32"/>
      <c r="DK194" s="32"/>
      <c r="DL194" s="32"/>
      <c r="DM194" s="32"/>
      <c r="DN194" s="32"/>
      <c r="DO194" s="32"/>
      <c r="DP194" s="32"/>
      <c r="DQ194" s="32"/>
      <c r="DR194" s="32"/>
      <c r="DS194" s="32"/>
      <c r="DT194" s="32"/>
      <c r="DU194" s="32"/>
      <c r="DV194" s="32"/>
      <c r="DW194" s="32"/>
    </row>
    <row r="195" spans="5:137" x14ac:dyDescent="0.2">
      <c r="E195" s="27" t="s">
        <v>142</v>
      </c>
      <c r="F195" s="27">
        <f>AVERAGEIFS(D36:D173,$C$36:$C$173,"=3", $B$36:$B$173,"OFICIAL")</f>
        <v>53.2</v>
      </c>
      <c r="G195" s="27">
        <f>AVERAGEIFS(E36:E173,$C$36:$C$173,"=3", $B$36:$B$173,"OFICIAL")</f>
        <v>7.25</v>
      </c>
      <c r="H195" s="27">
        <f>AVERAGEIFS(D36:D173,$C$36:$C$173,"=3", $B$36:$B$173,"NO OFICIAL")</f>
        <v>55.46153846153846</v>
      </c>
      <c r="I195" s="27">
        <f>AVERAGEIFS(E36:E173,$C$36:$C$173,"=3", $B$36:$B$173,"NO OFICIAL")</f>
        <v>7.0769230769230766</v>
      </c>
      <c r="J195" s="27">
        <f>AVERAGEIFS($AH$36:$AH$173,$C$36:$C$173,"=3", $B$36:$B$173,"OFICIAL")</f>
        <v>51.8</v>
      </c>
      <c r="K195" s="27">
        <f>AVERAGEIFS($AI$36:$AI$173,$C$36:$C$173,"=3", $B$36:$B$173,"OFICIAL")</f>
        <v>8</v>
      </c>
      <c r="L195" s="27">
        <f>AVERAGEIFS($AH$36:$AH$173,$C$36:$C$173,"=3", $B$36:$B$173,"NO OFICIAL")</f>
        <v>53.642857142857146</v>
      </c>
      <c r="M195" s="27">
        <f>AVERAGEIFS($AI$36:$AI$173,$C$36:$C$173,"=3", $B$36:$B$173,"NO OFICIAL")</f>
        <v>7.6428571428571432</v>
      </c>
      <c r="N195" s="27">
        <f>AVERAGEIFS($BM$36:$BM$173,$C$36:$C$173,"=3", $B$36:$B$173,"OFICIAL")</f>
        <v>50.8</v>
      </c>
      <c r="O195" s="27">
        <f>AVERAGEIFS($BN$36:$BN$173,$C$36:$C$173,"=3", $B$36:$B$173,"OFICIAL")</f>
        <v>8.25</v>
      </c>
      <c r="P195" s="27">
        <f>AVERAGEIFS($BM$36:$BM$173,$C$36:$C$173,"=3", $B$36:$B$173,"NO OFICIAL")</f>
        <v>52.428571428571431</v>
      </c>
      <c r="Q195" s="27">
        <f>AVERAGEIFS($BN$36:$BN$173,$C$36:$C$173,"=3", $B$36:$B$173,"NO OFICIAL")</f>
        <v>8.0714285714285712</v>
      </c>
      <c r="R195" s="27">
        <f>AVERAGEIFS($CS$36:$CS$173,$C$36:$C$173,"=3", $B$36:$B$173,"OFICIAL")</f>
        <v>49</v>
      </c>
      <c r="S195" s="27">
        <f>AVERAGEIFS($CT$36:$CT$173,$C$36:$C$173,"=3", $B$36:$B$173,"OFICIAL")</f>
        <v>8.25</v>
      </c>
      <c r="T195" s="27">
        <f>AVERAGEIFS($CS$36:$CS$173,$C$36:$C$173,"=3", $B$36:$B$173,"NO OFICIAL")</f>
        <v>51.142857142857146</v>
      </c>
      <c r="U195" s="27">
        <f>AVERAGEIFS($CT$36:$CT$173,$C$36:$C$173,"=3", $B$36:$B$173,"NO OFICIAL")</f>
        <v>7.9285714285714288</v>
      </c>
      <c r="V195" s="27">
        <f>AVERAGEIFS($DX$36:$DX$173,$C$36:$C$173,"=3", $B$36:$B$173,"OFICIAL")</f>
        <v>49.6</v>
      </c>
      <c r="W195" s="27">
        <f>AVERAGEIFS($DY$36:$DY$173,$C$36:$C$173,"=3", $B$36:$B$173,"OFICIAL")</f>
        <v>8.8000000000000007</v>
      </c>
      <c r="X195" s="27">
        <f>AVERAGEIFS($DX$36:$DX$173,$C$36:$C$173,"=3", $B$36:$B$173,"NO OFICIAL")</f>
        <v>51.4</v>
      </c>
      <c r="Y195" s="27">
        <f>AVERAGEIFS($DY$36:$DY$173,$C$36:$C$173,"=3", $B$36:$B$173,"NO OFICIAL")</f>
        <v>8.4666666666666668</v>
      </c>
      <c r="Z195" s="27">
        <f>AVERAGEIFS($FB$36:$FB$173,$C$36:$C$173,"=3", $B$36:$B$173,"OFICIAL")</f>
        <v>49</v>
      </c>
      <c r="AA195" s="27">
        <f>AVERAGEIFS($FD$36:$FD$173,$C$36:$C$173,"=3", $B$36:$B$173,"OFICIAL")</f>
        <v>8</v>
      </c>
      <c r="AB195" s="27">
        <f>AVERAGEIFS($FB$36:$FB$173,$C$36:$C$173,"=3", $B$36:$B$173,"NO OFICIAL")</f>
        <v>51.666666666666664</v>
      </c>
      <c r="AC195" s="27">
        <f>AVERAGEIFS($FD$36:$FD$173,$C$36:$C$173,"=3", $B$36:$B$173,"NO OFICIAL")</f>
        <v>7.8</v>
      </c>
      <c r="AD195" s="27">
        <f>AVERAGEIFS($GJ$36:$GJ$173,$C$36:$C$173,"=3", $B$36:$B$173,"OFICIAL")</f>
        <v>49.833333333333336</v>
      </c>
      <c r="AE195" s="27">
        <f>AVERAGEIFS($GL$36:$GL$173,$C$36:$C$173,"=3", $B$36:$B$173,"OFICIAL")</f>
        <v>8.8333333333333339</v>
      </c>
      <c r="AF195" s="27">
        <f>AVERAGEIFS($GJ$36:$GJ$173,$C$36:$C$173,"=3", $B$36:$B$173,"NO OFICIAL")</f>
        <v>52.125</v>
      </c>
      <c r="AG195" s="27">
        <f>AVERAGEIFS($GL$36:$GL$173,$C$36:$C$173,"=3", $B$36:$B$173,"NO OFICIAL")</f>
        <v>8.625</v>
      </c>
      <c r="AH195" s="27">
        <f>AVERAGEIFS($HR$36:$HR$173,$C$36:$C$173,"=3", $B$36:$B$173,"OFICIAL")</f>
        <v>50.5</v>
      </c>
      <c r="AI195" s="27">
        <f>AVERAGEIFS($HT$36:$HT$173,$C$36:$C$173,"=3", $B$36:$B$173,"OFICIAL")</f>
        <v>8.5</v>
      </c>
      <c r="AJ195" s="27">
        <f>AVERAGEIFS($HR$36:$HR$173,$C$36:$C$173,"=3", $B$36:$B$173,"NO OFICIAL")</f>
        <v>52.9375</v>
      </c>
      <c r="AK195" s="27">
        <f>AVERAGEIFS($HT$36:$HT$173,$C$36:$C$173,"=3", $B$36:$B$173,"NO OFICIAL")</f>
        <v>8.5</v>
      </c>
      <c r="AL195" s="27">
        <v>51</v>
      </c>
      <c r="AM195" s="27">
        <v>8.8333333333333339</v>
      </c>
      <c r="AN195" s="27">
        <v>53.375</v>
      </c>
      <c r="AO195" s="27">
        <v>8.3125</v>
      </c>
      <c r="AP195" s="32"/>
      <c r="AQ195" s="32"/>
      <c r="AR195" s="32"/>
      <c r="AS195" s="32"/>
      <c r="AT195" s="32"/>
      <c r="AU195" s="32"/>
      <c r="AV195" s="32"/>
      <c r="AW195" s="32"/>
      <c r="AX195" s="32"/>
      <c r="AY195" s="32"/>
      <c r="AZ195" s="32"/>
      <c r="BA195" s="32"/>
      <c r="BB195" s="32"/>
      <c r="BC195" s="32"/>
      <c r="BD195" s="32"/>
      <c r="BE195" s="32"/>
      <c r="BF195" s="32"/>
      <c r="BG195" s="32"/>
      <c r="BH195" s="32"/>
      <c r="BI195" s="32"/>
      <c r="BJ195" s="32"/>
      <c r="BK195" s="32"/>
      <c r="BL195" s="32"/>
      <c r="BO195" s="32"/>
      <c r="BP195" s="32"/>
      <c r="BQ195" s="32"/>
      <c r="BR195" s="32"/>
      <c r="BS195" s="32"/>
      <c r="BT195" s="32"/>
      <c r="BU195" s="32"/>
      <c r="BV195" s="32"/>
      <c r="BW195" s="32"/>
      <c r="BX195" s="32"/>
      <c r="BY195" s="32"/>
      <c r="BZ195" s="32"/>
      <c r="CA195" s="32"/>
      <c r="CB195" s="32"/>
      <c r="CC195" s="32"/>
      <c r="CD195" s="32"/>
      <c r="CE195" s="32"/>
      <c r="CF195" s="32"/>
      <c r="CG195" s="32"/>
      <c r="CH195" s="32"/>
      <c r="CI195" s="32"/>
      <c r="CJ195" s="32"/>
      <c r="CK195" s="32"/>
      <c r="CL195" s="32"/>
      <c r="CM195" s="32"/>
      <c r="CN195" s="32"/>
      <c r="CO195" s="32"/>
      <c r="CP195" s="32"/>
      <c r="CQ195" s="32"/>
      <c r="CR195" s="32"/>
      <c r="CU195" s="32"/>
      <c r="CV195" s="32"/>
      <c r="CW195" s="32"/>
      <c r="CX195" s="32"/>
      <c r="CY195" s="32"/>
      <c r="CZ195" s="32"/>
      <c r="DA195" s="32"/>
      <c r="DB195" s="32"/>
      <c r="DC195" s="32"/>
      <c r="DD195" s="32"/>
      <c r="DE195" s="32"/>
      <c r="DF195" s="32"/>
      <c r="DG195" s="32"/>
      <c r="DH195" s="32"/>
      <c r="DI195" s="32"/>
      <c r="DJ195" s="32"/>
      <c r="DK195" s="32"/>
      <c r="DL195" s="32"/>
      <c r="DM195" s="32"/>
      <c r="DN195" s="32"/>
      <c r="DO195" s="32"/>
      <c r="DP195" s="32"/>
      <c r="DQ195" s="32"/>
      <c r="DR195" s="32"/>
      <c r="DS195" s="32"/>
      <c r="DT195" s="32"/>
      <c r="DU195" s="32"/>
      <c r="DV195" s="32"/>
      <c r="DW195" s="32"/>
    </row>
    <row r="196" spans="5:137" x14ac:dyDescent="0.2">
      <c r="E196" s="27" t="s">
        <v>143</v>
      </c>
      <c r="F196" s="27">
        <f>AVERAGEIFS(D36:D173,$C$36:$C$173,"=4", $B$36:$B$173,"OFICIAL")</f>
        <v>50.5</v>
      </c>
      <c r="G196" s="27">
        <f>AVERAGEIFS(E36:E173,$C$36:$C$173,"=4", $B$36:$B$173,"OFICIAL")</f>
        <v>7.166666666666667</v>
      </c>
      <c r="H196" s="27">
        <f>AVERAGEIFS(D36:D173,$C$36:$C$173,"=4", $B$36:$B$173,"NO OFICIAL")</f>
        <v>51.625</v>
      </c>
      <c r="I196" s="27">
        <f>AVERAGEIFS(E36:E173,$C$36:$C$173,"=4", $B$36:$B$173,"NO OFICIAL")</f>
        <v>6.75</v>
      </c>
      <c r="J196" s="27">
        <f>AVERAGEIFS($AH$36:$AH$173,$C$36:$C$173,"=4", $B$36:$B$173,"OFICIAL")</f>
        <v>49.833333333333336</v>
      </c>
      <c r="K196" s="27">
        <f>AVERAGEIFS($AI$36:$AI$173,$C$36:$C$173,"=4", $B$36:$B$173,"OFICIAL")</f>
        <v>7.833333333333333</v>
      </c>
      <c r="L196" s="27">
        <f>AVERAGEIFS($AH$36:$AH$173,$C$36:$C$173,"=4", $B$36:$B$173,"NO OFICIAL")</f>
        <v>52.111111111111114</v>
      </c>
      <c r="M196" s="27">
        <f>AVERAGEIFS($AI$36:$AI$173,$C$36:$C$173,"=4", $B$36:$B$173,"NO OFICIAL")</f>
        <v>6.4444444444444446</v>
      </c>
      <c r="N196" s="27">
        <f>AVERAGEIFS($BM$36:$BM$173,$C$36:$C$173,"=4", $B$36:$B$173,"OFICIAL")</f>
        <v>46.5</v>
      </c>
      <c r="O196" s="27">
        <f>AVERAGEIFS($BN$36:$BN$173,$C$36:$C$173,"=4", $B$36:$B$173,"OFICIAL")</f>
        <v>8</v>
      </c>
      <c r="P196" s="27">
        <f>AVERAGEIFS($BM$36:$BM$173,$C$36:$C$173,"=4", $B$36:$B$173,"NO OFICIAL")</f>
        <v>51.111111111111114</v>
      </c>
      <c r="Q196" s="27">
        <f>AVERAGEIFS($BN$36:$BN$173,$C$36:$C$173,"=4", $B$36:$B$173,"NO OFICIAL")</f>
        <v>7</v>
      </c>
      <c r="R196" s="27">
        <f>AVERAGEIFS($CS$36:$CS$173,$C$36:$C$173,"=4", $B$36:$B$173,"OFICIAL")</f>
        <v>45.5</v>
      </c>
      <c r="S196" s="27">
        <f>AVERAGEIFS($CT$36:$CT$173,$C$36:$C$173,"=4", $B$36:$B$173,"OFICIAL")</f>
        <v>8.3333333333333339</v>
      </c>
      <c r="T196" s="27">
        <f>AVERAGEIFS($CS$36:$CS$173,$C$36:$C$173,"=4", $B$36:$B$173,"NO OFICIAL")</f>
        <v>49.375</v>
      </c>
      <c r="U196" s="27">
        <f>AVERAGEIFS($CT$36:$CT$173,$C$36:$C$173,"=4", $B$36:$B$173,"NO OFICIAL")</f>
        <v>7.25</v>
      </c>
      <c r="V196" s="27">
        <f>AVERAGEIFS($DX$36:$DX$173,$C$36:$C$173,"=4", $B$36:$B$173,"OFICIAL")</f>
        <v>45.166666666666664</v>
      </c>
      <c r="W196" s="27">
        <f>AVERAGEIFS($DY$36:$DY$173,$C$36:$C$173,"=4", $B$36:$B$173,"OFICIAL")</f>
        <v>8.1666666666666661</v>
      </c>
      <c r="X196" s="27">
        <f>AVERAGEIFS($DX$36:$DX$173,$C$36:$C$173,"=4", $B$36:$B$173,"NO OFICIAL")</f>
        <v>48.571428571428569</v>
      </c>
      <c r="Y196" s="27">
        <f>AVERAGEIFS($DY$36:$DY$173,$C$36:$C$173,"=4", $B$36:$B$173,"NO OFICIAL")</f>
        <v>8.2857142857142865</v>
      </c>
      <c r="Z196" s="27">
        <f>AVERAGEIFS($FB$36:$FB$173,$C$36:$C$173,"=4", $B$36:$B$173,"OFICIAL")</f>
        <v>46</v>
      </c>
      <c r="AA196" s="27">
        <f>AVERAGEIFS($FD$36:$FD$173,$C$36:$C$173,"=4", $B$36:$B$173,"OFICIAL")</f>
        <v>7.333333333333333</v>
      </c>
      <c r="AB196" s="27">
        <f>AVERAGEIFS($FB$36:$FB$173,$C$36:$C$173,"=4", $B$36:$B$173,"NO OFICIAL")</f>
        <v>48.75</v>
      </c>
      <c r="AC196" s="27">
        <f>AVERAGEIFS($FD$36:$FD$173,$C$36:$C$173,"=4", $B$36:$B$173,"NO OFICIAL")</f>
        <v>6.875</v>
      </c>
      <c r="AD196" s="27">
        <f>AVERAGEIFS($GJ$36:$GJ$173,$C$36:$C$173,"=4", $B$36:$B$173,"OFICIAL")</f>
        <v>46.166666666666664</v>
      </c>
      <c r="AE196" s="27">
        <f>AVERAGEIFS($GL$36:$GL$173,$C$36:$C$173,"=4", $B$36:$B$173,"OFICIAL")</f>
        <v>8.6666666666666661</v>
      </c>
      <c r="AF196" s="27">
        <f>AVERAGEIFS($GJ$36:$GJ$173,$C$36:$C$173,"=4", $B$36:$B$173,"NO OFICIAL")</f>
        <v>50.25</v>
      </c>
      <c r="AG196" s="27">
        <f>AVERAGEIFS($GL$36:$GL$173,$C$36:$C$173,"=4", $B$36:$B$173,"NO OFICIAL")</f>
        <v>8.375</v>
      </c>
      <c r="AH196" s="27">
        <f>AVERAGEIFS($HR$36:$HR$173,$C$36:$C$173,"=4", $B$36:$B$173,"OFICIAL")</f>
        <v>46.666666666666664</v>
      </c>
      <c r="AI196" s="27">
        <f>AVERAGEIFS($HT$36:$HT$173,$C$36:$C$173,"=4", $B$36:$B$173,"OFICIAL")</f>
        <v>9.1666666666666661</v>
      </c>
      <c r="AJ196" s="27">
        <f>AVERAGEIFS($HR$36:$HR$173,$C$36:$C$173,"=4", $B$36:$B$173,"NO OFICIAL")</f>
        <v>48.888888888888886</v>
      </c>
      <c r="AK196" s="27">
        <f>AVERAGEIFS($HT$36:$HT$173,$C$36:$C$173,"=4", $B$36:$B$173,"NO OFICIAL")</f>
        <v>7.7777777777777777</v>
      </c>
      <c r="AL196" s="27">
        <v>47</v>
      </c>
      <c r="AM196" s="27">
        <v>8.3333333333333339</v>
      </c>
      <c r="AN196" s="27">
        <v>51.857142857142854</v>
      </c>
      <c r="AO196" s="27">
        <v>9</v>
      </c>
      <c r="AP196" s="32"/>
      <c r="AQ196" s="32"/>
      <c r="AR196" s="32"/>
      <c r="AS196" s="32"/>
      <c r="AT196" s="32"/>
      <c r="AU196" s="32"/>
      <c r="AV196" s="32"/>
      <c r="AW196" s="32"/>
      <c r="AX196" s="32"/>
      <c r="AY196" s="32"/>
      <c r="AZ196" s="32"/>
      <c r="BA196" s="32"/>
      <c r="BB196" s="32"/>
      <c r="BC196" s="32"/>
      <c r="BD196" s="32"/>
      <c r="BE196" s="32"/>
      <c r="BF196" s="32"/>
      <c r="BG196" s="32"/>
      <c r="BH196" s="32"/>
      <c r="BI196" s="32"/>
      <c r="BJ196" s="32"/>
      <c r="BK196" s="32"/>
      <c r="BL196" s="32"/>
      <c r="BO196" s="32"/>
      <c r="BP196" s="32"/>
      <c r="BQ196" s="32"/>
      <c r="BR196" s="32"/>
      <c r="BS196" s="32"/>
      <c r="BT196" s="32"/>
      <c r="BU196" s="32"/>
      <c r="BV196" s="32"/>
      <c r="BW196" s="32"/>
      <c r="BX196" s="32"/>
      <c r="BY196" s="32"/>
      <c r="BZ196" s="32"/>
      <c r="CA196" s="32"/>
      <c r="CB196" s="32"/>
      <c r="CC196" s="32"/>
      <c r="CD196" s="32"/>
      <c r="CE196" s="32"/>
      <c r="CF196" s="32"/>
      <c r="CG196" s="32"/>
      <c r="CH196" s="32"/>
      <c r="CI196" s="32"/>
      <c r="CJ196" s="32"/>
      <c r="CK196" s="32"/>
      <c r="CL196" s="32"/>
      <c r="CM196" s="32"/>
      <c r="CN196" s="32"/>
      <c r="CO196" s="32"/>
      <c r="CP196" s="32"/>
      <c r="CQ196" s="32"/>
      <c r="CR196" s="32"/>
      <c r="CU196" s="32"/>
      <c r="CV196" s="32"/>
      <c r="CW196" s="32"/>
      <c r="CX196" s="32"/>
      <c r="CY196" s="32"/>
      <c r="CZ196" s="32"/>
      <c r="DA196" s="32"/>
      <c r="DB196" s="32"/>
      <c r="DC196" s="32"/>
      <c r="DD196" s="32"/>
      <c r="DE196" s="32"/>
      <c r="DF196" s="32"/>
      <c r="DG196" s="32"/>
      <c r="DH196" s="32"/>
      <c r="DI196" s="32"/>
      <c r="DJ196" s="32"/>
      <c r="DK196" s="32"/>
      <c r="DL196" s="32"/>
      <c r="DM196" s="32"/>
      <c r="DN196" s="32"/>
      <c r="DO196" s="32"/>
      <c r="DP196" s="32"/>
      <c r="DQ196" s="32"/>
      <c r="DR196" s="32"/>
      <c r="DS196" s="32"/>
      <c r="DT196" s="32"/>
      <c r="DU196" s="32"/>
      <c r="DV196" s="32"/>
      <c r="DW196" s="32"/>
    </row>
    <row r="197" spans="5:137" x14ac:dyDescent="0.2">
      <c r="E197" s="27" t="s">
        <v>144</v>
      </c>
      <c r="F197" s="27">
        <f>AVERAGEIFS(D36:D173,$C$36:$C$173,"=5", $B$36:$B$173,"OFICIAL")</f>
        <v>54.333333333333336</v>
      </c>
      <c r="G197" s="27">
        <f>AVERAGEIFS(E36:E173,$C$36:$C$173,"=5", $B$36:$B$173,"OFICIAL")</f>
        <v>7</v>
      </c>
      <c r="H197" s="27">
        <f>AVERAGEIFS(D36:D173,$C$36:$C$173,"=5", $B$36:$B$173,"NO OFICIAL")</f>
        <v>56.642857142857146</v>
      </c>
      <c r="I197" s="27">
        <f>AVERAGEIFS(E36:E173,$C$36:$C$173,"=5", $B$36:$B$173,"NO OFICIAL")</f>
        <v>6.5714285714285712</v>
      </c>
      <c r="J197" s="27">
        <f>AVERAGEIFS($AH$36:$AH$173,$C$36:$C$173,"=5", $B$36:$B$173,"OFICIAL")</f>
        <v>53.333333333333336</v>
      </c>
      <c r="K197" s="27">
        <f>AVERAGEIFS($AI$36:$AI$173,$C$36:$C$173,"=5", $B$36:$B$173,"OFICIAL")</f>
        <v>7.666666666666667</v>
      </c>
      <c r="L197" s="27">
        <f>AVERAGEIFS($AH$36:$AH$173,$C$36:$C$173,"=5", $B$36:$B$173,"NO OFICIAL")</f>
        <v>55.357142857142854</v>
      </c>
      <c r="M197" s="27">
        <f>AVERAGEIFS($AI$36:$AI$173,$C$36:$C$173,"=5", $B$36:$B$173,"NO OFICIAL")</f>
        <v>7.7142857142857144</v>
      </c>
      <c r="N197" s="27">
        <f>AVERAGEIFS($BM$36:$BM$173,$C$36:$C$173,"=5", $B$36:$B$173,"OFICIAL")</f>
        <v>50.666666666666664</v>
      </c>
      <c r="O197" s="27">
        <f>AVERAGEIFS($BN$36:$BN$173,$C$36:$C$173,"=5", $B$36:$B$173,"OFICIAL")</f>
        <v>8.3333333333333339</v>
      </c>
      <c r="P197" s="27">
        <f>AVERAGEIFS($BM$36:$BM$173,$C$36:$C$173,"=5", $B$36:$B$173,"NO OFICIAL")</f>
        <v>54.2</v>
      </c>
      <c r="Q197" s="27">
        <f>AVERAGEIFS($BN$36:$BN$173,$C$36:$C$173,"=5", $B$36:$B$173,"NO OFICIAL")</f>
        <v>7.8</v>
      </c>
      <c r="R197" s="27">
        <f>AVERAGEIFS($CS$36:$CS$173,$C$36:$C$173,"=5", $B$36:$B$173,"OFICIAL")</f>
        <v>51.333333333333336</v>
      </c>
      <c r="S197" s="27">
        <f>AVERAGEIFS($CT$36:$CT$173,$C$36:$C$173,"=5", $B$36:$B$173,"OFICIAL")</f>
        <v>8.3333333333333339</v>
      </c>
      <c r="T197" s="27">
        <f>AVERAGEIFS($CS$36:$CS$173,$C$36:$C$173,"=5", $B$36:$B$173,"NO OFICIAL")</f>
        <v>52.3125</v>
      </c>
      <c r="U197" s="27">
        <f>AVERAGEIFS($CT$36:$CT$173,$C$36:$C$173,"=5", $B$36:$B$173,"NO OFICIAL")</f>
        <v>8.25</v>
      </c>
      <c r="V197" s="27">
        <f>AVERAGEIFS($DX$36:$DX$173,$C$36:$C$173,"=5", $B$36:$B$173,"OFICIAL")</f>
        <v>51.666666666666664</v>
      </c>
      <c r="W197" s="27">
        <f>AVERAGEIFS($DY$36:$DY$173,$C$36:$C$173,"=5", $B$36:$B$173,"OFICIAL")</f>
        <v>8</v>
      </c>
      <c r="X197" s="27">
        <f>AVERAGEIFS($DX$36:$DX$173,$C$36:$C$173,"=5", $B$36:$B$173,"NO OFICIAL")</f>
        <v>53</v>
      </c>
      <c r="Y197" s="27">
        <f>AVERAGEIFS($DY$36:$DY$173,$C$36:$C$173,"=5", $B$36:$B$173,"NO OFICIAL")</f>
        <v>7.666666666666667</v>
      </c>
      <c r="Z197" s="27">
        <f>AVERAGEIFS($FB$36:$FB$173,$C$36:$C$173,"=5", $B$36:$B$173,"OFICIAL")</f>
        <v>50.333333333333336</v>
      </c>
      <c r="AA197" s="27">
        <f>AVERAGEIFS($FD$36:$FD$173,$C$36:$C$173,"=5", $B$36:$B$173,"OFICIAL")</f>
        <v>8</v>
      </c>
      <c r="AB197" s="27">
        <f>AVERAGEIFS($FB$36:$FB$173,$C$36:$C$173,"=5", $B$36:$B$173,"NO OFICIAL")</f>
        <v>52.666666666666664</v>
      </c>
      <c r="AC197" s="27">
        <f>AVERAGEIFS($FD$36:$FD$173,$C$36:$C$173,"=5", $B$36:$B$173,"NO OFICIAL")</f>
        <v>8</v>
      </c>
      <c r="AD197" s="27">
        <f>AVERAGEIFS($GJ$36:$GJ$173,$C$36:$C$173,"=5", $B$36:$B$173,"OFICIAL")</f>
        <v>52.666666666666664</v>
      </c>
      <c r="AE197" s="27">
        <f>AVERAGEIFS($GL$36:$GL$173,$C$36:$C$173,"=5", $B$36:$B$173,"OFICIAL")</f>
        <v>8.3333333333333339</v>
      </c>
      <c r="AF197" s="27">
        <f>AVERAGEIFS($GJ$36:$GJ$173,$C$36:$C$173,"=5", $B$36:$B$173,"NO OFICIAL")</f>
        <v>53.928571428571431</v>
      </c>
      <c r="AG197" s="27">
        <f>AVERAGEIFS($GL$36:$GL$173,$C$36:$C$173,"=5", $B$36:$B$173,"NO OFICIAL")</f>
        <v>8.0714285714285712</v>
      </c>
      <c r="AH197" s="27">
        <f>AVERAGEIFS($HR$36:$HR$173,$C$36:$C$173,"=5", $B$36:$B$173,"OFICIAL")</f>
        <v>52</v>
      </c>
      <c r="AI197" s="27">
        <f>AVERAGEIFS($HT$36:$HT$173,$C$36:$C$173,"=5", $B$36:$B$173,"OFICIAL")</f>
        <v>8.3333333333333339</v>
      </c>
      <c r="AJ197" s="27">
        <f>AVERAGEIFS($HR$36:$HR$173,$C$36:$C$173,"=5", $B$36:$B$173,"NO OFICIAL")</f>
        <v>55.142857142857146</v>
      </c>
      <c r="AK197" s="27">
        <f>AVERAGEIFS($HT$36:$HT$173,$C$36:$C$173,"=5", $B$36:$B$173,"NO OFICIAL")</f>
        <v>8.2142857142857135</v>
      </c>
      <c r="AL197" s="27">
        <v>52.666666666666664</v>
      </c>
      <c r="AM197" s="27">
        <v>9</v>
      </c>
      <c r="AN197" s="27">
        <v>52.866666666666667</v>
      </c>
      <c r="AO197" s="27">
        <v>8.6666666666666661</v>
      </c>
      <c r="AP197" s="32"/>
      <c r="AQ197" s="32"/>
      <c r="AR197" s="32"/>
      <c r="AS197" s="32"/>
      <c r="AT197" s="32"/>
      <c r="AU197" s="32"/>
      <c r="AV197" s="32"/>
      <c r="AW197" s="32"/>
      <c r="AX197" s="32"/>
      <c r="AY197" s="32"/>
      <c r="AZ197" s="32"/>
      <c r="BA197" s="32"/>
      <c r="BB197" s="32"/>
      <c r="BC197" s="32"/>
      <c r="BD197" s="32"/>
      <c r="BE197" s="32"/>
      <c r="BF197" s="32"/>
      <c r="BG197" s="32"/>
      <c r="BH197" s="32"/>
      <c r="BI197" s="32"/>
      <c r="BJ197" s="32"/>
      <c r="BK197" s="32"/>
      <c r="BL197" s="32"/>
      <c r="BO197" s="32"/>
      <c r="BP197" s="32"/>
      <c r="BQ197" s="32"/>
      <c r="BR197" s="32"/>
      <c r="BS197" s="32"/>
      <c r="BT197" s="32"/>
      <c r="BU197" s="32"/>
      <c r="BV197" s="32"/>
      <c r="BW197" s="32"/>
      <c r="BX197" s="32"/>
      <c r="BY197" s="32"/>
      <c r="BZ197" s="32"/>
      <c r="CA197" s="32"/>
      <c r="CB197" s="32"/>
      <c r="CC197" s="32"/>
      <c r="CD197" s="32"/>
      <c r="CE197" s="32"/>
      <c r="CF197" s="32"/>
      <c r="CG197" s="32"/>
      <c r="CH197" s="32"/>
      <c r="CI197" s="32"/>
      <c r="CJ197" s="32"/>
      <c r="CK197" s="32"/>
      <c r="CL197" s="32"/>
      <c r="CM197" s="32"/>
      <c r="CN197" s="32"/>
      <c r="CO197" s="32"/>
      <c r="CP197" s="32"/>
      <c r="CQ197" s="32"/>
      <c r="CR197" s="32"/>
      <c r="CU197" s="32"/>
      <c r="CV197" s="32"/>
      <c r="CW197" s="32"/>
      <c r="CX197" s="32"/>
      <c r="CY197" s="32"/>
      <c r="CZ197" s="32"/>
      <c r="DA197" s="32"/>
      <c r="DB197" s="32"/>
      <c r="DC197" s="32"/>
      <c r="DD197" s="32"/>
      <c r="DE197" s="32"/>
      <c r="DF197" s="32"/>
      <c r="DG197" s="32"/>
      <c r="DH197" s="32"/>
      <c r="DI197" s="32"/>
      <c r="DJ197" s="32"/>
      <c r="DK197" s="32"/>
      <c r="DL197" s="32"/>
      <c r="DM197" s="32"/>
      <c r="DN197" s="32"/>
      <c r="DO197" s="32"/>
      <c r="DP197" s="32"/>
      <c r="DQ197" s="32"/>
      <c r="DR197" s="32"/>
      <c r="DS197" s="32"/>
      <c r="DT197" s="32"/>
      <c r="DU197" s="32"/>
      <c r="DV197" s="32"/>
      <c r="DW197" s="32"/>
    </row>
    <row r="198" spans="5:137" x14ac:dyDescent="0.2">
      <c r="E198" s="27" t="s">
        <v>145</v>
      </c>
      <c r="F198" s="27">
        <f>AVERAGEIFS(D36:D173,$C$36:$C$173,"=6", $B$36:$B$173,"OFICIAL")</f>
        <v>53</v>
      </c>
      <c r="G198" s="27">
        <f>AVERAGEIFS(E36:E173,$C$36:$C$173,"=6", $B$36:$B$173,"OFICIAL")</f>
        <v>7.25</v>
      </c>
      <c r="H198" s="27">
        <f>AVERAGEIFS(D36:D173,$C$36:$C$173,"=6", $B$36:$B$173,"NO OFICIAL")</f>
        <v>55.81818181818182</v>
      </c>
      <c r="I198" s="27">
        <f>AVERAGEIFS(E36:E173,$C$36:$C$173,"=6", $B$36:$B$173,"NO OFICIAL")</f>
        <v>5.2727272727272725</v>
      </c>
      <c r="J198" s="27">
        <f>AVERAGEIFS($AH$36:$AH$173,$C$36:$C$173,"=6", $B$36:$B$173,"OFICIAL")</f>
        <v>52</v>
      </c>
      <c r="K198" s="27">
        <f>AVERAGEIFS($AI$36:$AI$173,$C$36:$C$173,"=6", $B$36:$B$173,"OFICIAL")</f>
        <v>7.75</v>
      </c>
      <c r="L198" s="27">
        <f>AVERAGEIFS($AH$36:$AH$173,$C$36:$C$173,"=6", $B$36:$B$173,"NO OFICIAL")</f>
        <v>52.090909090909093</v>
      </c>
      <c r="M198" s="27">
        <f>AVERAGEIFS($AI$36:$AI$173,$C$36:$C$173,"=6", $B$36:$B$173,"NO OFICIAL")</f>
        <v>8</v>
      </c>
      <c r="N198" s="27">
        <f>AVERAGEIFS($BM$36:$BM$173,$C$36:$C$173,"=6", $B$36:$B$173,"OFICIAL")</f>
        <v>50.25</v>
      </c>
      <c r="O198" s="27">
        <f>AVERAGEIFS($BN$36:$BN$173,$C$36:$C$173,"=6", $B$36:$B$173,"OFICIAL")</f>
        <v>8</v>
      </c>
      <c r="P198" s="27">
        <f>AVERAGEIFS($BM$36:$BM$173,$C$36:$C$173,"=6", $B$36:$B$173,"NO OFICIAL")</f>
        <v>51.3</v>
      </c>
      <c r="Q198" s="27">
        <f>AVERAGEIFS($BN$36:$BN$173,$C$36:$C$173,"=6", $B$36:$B$173,"NO OFICIAL")</f>
        <v>8.6</v>
      </c>
      <c r="R198" s="27">
        <f>AVERAGEIFS($CS$36:$CS$173,$C$36:$C$173,"=6", $B$36:$B$173,"OFICIAL")</f>
        <v>48.25</v>
      </c>
      <c r="S198" s="27">
        <f>AVERAGEIFS($CT$36:$CT$173,$C$36:$C$173,"=6", $B$36:$B$173,"OFICIAL")</f>
        <v>8</v>
      </c>
      <c r="T198" s="27">
        <f>AVERAGEIFS($CS$36:$CS$173,$C$36:$C$173,"=6", $B$36:$B$173,"NO OFICIAL")</f>
        <v>51.090909090909093</v>
      </c>
      <c r="U198" s="27">
        <f>AVERAGEIFS($CT$36:$CT$173,$C$36:$C$173,"=6", $B$36:$B$173,"NO OFICIAL")</f>
        <v>8.1818181818181817</v>
      </c>
      <c r="V198" s="27">
        <f>AVERAGEIFS($DX$36:$DX$173,$C$36:$C$173,"=6", $B$36:$B$173,"OFICIAL")</f>
        <v>48.5</v>
      </c>
      <c r="W198" s="27">
        <f>AVERAGEIFS($DY$36:$DY$173,$C$36:$C$173,"=6", $B$36:$B$173,"OFICIAL")</f>
        <v>8.5</v>
      </c>
      <c r="X198" s="27">
        <f>AVERAGEIFS($DX$36:$DX$173,$C$36:$C$173,"=6", $B$36:$B$173,"NO OFICIAL")</f>
        <v>49.46153846153846</v>
      </c>
      <c r="Y198" s="27">
        <f>AVERAGEIFS($DY$36:$DY$173,$C$36:$C$173,"=6", $B$36:$B$173,"NO OFICIAL")</f>
        <v>7.615384615384615</v>
      </c>
      <c r="Z198" s="27">
        <f>AVERAGEIFS($FB$36:$FB$173,$C$36:$C$173,"=6", $B$36:$B$173,"OFICIAL")</f>
        <v>47.75</v>
      </c>
      <c r="AA198" s="27">
        <f>AVERAGEIFS($FD$36:$FD$173,$C$36:$C$173,"=6", $B$36:$B$173,"OFICIAL")</f>
        <v>7.5</v>
      </c>
      <c r="AB198" s="27">
        <f>AVERAGEIFS($FB$36:$FB$173,$C$36:$C$173,"=6", $B$36:$B$173,"NO OFICIAL")</f>
        <v>49.692307692307693</v>
      </c>
      <c r="AC198" s="27">
        <f>AVERAGEIFS($FD$36:$FD$173,$C$36:$C$173,"=6", $B$36:$B$173,"NO OFICIAL")</f>
        <v>6.6923076923076925</v>
      </c>
      <c r="AD198" s="27">
        <f>AVERAGEIFS($GJ$36:$GJ$173,$C$36:$C$173,"=6", $B$36:$B$173,"OFICIAL")</f>
        <v>48.5</v>
      </c>
      <c r="AE198" s="27">
        <f>AVERAGEIFS($GL$36:$GL$173,$C$36:$C$173,"=6", $B$36:$B$173,"OFICIAL")</f>
        <v>8.5</v>
      </c>
      <c r="AF198" s="27">
        <f>AVERAGEIFS($GJ$36:$GJ$173,$C$36:$C$173,"=6", $B$36:$B$173,"NO OFICIAL")</f>
        <v>50.06666666666667</v>
      </c>
      <c r="AG198" s="27">
        <f>AVERAGEIFS($GL$36:$GL$173,$C$36:$C$173,"=6", $B$36:$B$173,"NO OFICIAL")</f>
        <v>8.6</v>
      </c>
      <c r="AH198" s="27">
        <f>AVERAGEIFS($HR$36:$HR$173,$C$36:$C$173,"=6", $B$36:$B$173,"OFICIAL")</f>
        <v>49</v>
      </c>
      <c r="AI198" s="27">
        <f>AVERAGEIFS($HT$36:$HT$173,$C$36:$C$173,"=6", $B$36:$B$173,"OFICIAL")</f>
        <v>8.5</v>
      </c>
      <c r="AJ198" s="27">
        <f>AVERAGEIFS($HR$36:$HR$173,$C$36:$C$173,"=6", $B$36:$B$173,"NO OFICIAL")</f>
        <v>51.375</v>
      </c>
      <c r="AK198" s="27">
        <f>AVERAGEIFS($HT$36:$HT$173,$C$36:$C$173,"=6", $B$36:$B$173,"NO OFICIAL")</f>
        <v>8.25</v>
      </c>
      <c r="AL198" s="27">
        <v>49.5</v>
      </c>
      <c r="AM198" s="27">
        <v>8.75</v>
      </c>
      <c r="AN198" s="27">
        <v>51.5</v>
      </c>
      <c r="AO198" s="27">
        <v>9.2857142857142865</v>
      </c>
      <c r="AP198" s="32"/>
      <c r="AQ198" s="32"/>
      <c r="AR198" s="32"/>
      <c r="AS198" s="32"/>
      <c r="AT198" s="32"/>
      <c r="AU198" s="32"/>
      <c r="AV198" s="32"/>
      <c r="AW198" s="32"/>
      <c r="AX198" s="32"/>
      <c r="AY198" s="32"/>
      <c r="AZ198" s="32"/>
      <c r="BA198" s="32"/>
      <c r="BB198" s="32"/>
      <c r="BC198" s="32"/>
      <c r="BD198" s="32"/>
      <c r="BE198" s="32"/>
      <c r="BF198" s="32"/>
      <c r="BG198" s="32"/>
      <c r="BH198" s="32"/>
      <c r="BI198" s="32"/>
      <c r="BJ198" s="32"/>
      <c r="BK198" s="32"/>
      <c r="BL198" s="32"/>
      <c r="BO198" s="32"/>
      <c r="BP198" s="32"/>
      <c r="BQ198" s="32"/>
      <c r="BR198" s="32"/>
      <c r="BS198" s="32"/>
      <c r="BT198" s="32"/>
      <c r="BU198" s="32"/>
      <c r="BV198" s="32"/>
      <c r="BW198" s="32"/>
      <c r="BX198" s="32"/>
      <c r="BY198" s="32"/>
      <c r="BZ198" s="32"/>
      <c r="CA198" s="32"/>
      <c r="CB198" s="32"/>
      <c r="CC198" s="32"/>
      <c r="CD198" s="32"/>
      <c r="CE198" s="32"/>
      <c r="CF198" s="32"/>
      <c r="CG198" s="32"/>
      <c r="CH198" s="32"/>
      <c r="CI198" s="32"/>
      <c r="CJ198" s="32"/>
      <c r="CK198" s="32"/>
      <c r="CL198" s="32"/>
      <c r="CM198" s="32"/>
      <c r="CN198" s="32"/>
      <c r="CO198" s="32"/>
      <c r="CP198" s="32"/>
      <c r="CQ198" s="32"/>
      <c r="CR198" s="32"/>
      <c r="CU198" s="32"/>
      <c r="CV198" s="32"/>
      <c r="CW198" s="32"/>
      <c r="CX198" s="32"/>
      <c r="CY198" s="32"/>
      <c r="CZ198" s="32"/>
      <c r="DA198" s="32"/>
      <c r="DB198" s="32"/>
      <c r="DC198" s="32"/>
      <c r="DD198" s="32"/>
      <c r="DE198" s="32"/>
      <c r="DF198" s="32"/>
      <c r="DG198" s="32"/>
      <c r="DH198" s="32"/>
      <c r="DI198" s="32"/>
      <c r="DJ198" s="32"/>
      <c r="DK198" s="32"/>
      <c r="DL198" s="32"/>
      <c r="DM198" s="32"/>
      <c r="DN198" s="32"/>
      <c r="DO198" s="32"/>
      <c r="DP198" s="32"/>
      <c r="DQ198" s="32"/>
      <c r="DR198" s="32"/>
      <c r="DS198" s="32"/>
      <c r="DT198" s="32"/>
      <c r="DU198" s="32"/>
      <c r="DV198" s="32"/>
      <c r="DW198" s="32"/>
    </row>
    <row r="199" spans="5:137" x14ac:dyDescent="0.2">
      <c r="E199" s="32"/>
      <c r="F199" s="32"/>
      <c r="G199" s="32"/>
      <c r="H199" s="32"/>
      <c r="I199" s="32"/>
      <c r="J199" s="32"/>
      <c r="K199" s="32"/>
      <c r="L199" s="32"/>
      <c r="M199" s="32"/>
      <c r="N199" s="32"/>
      <c r="O199" s="32"/>
      <c r="P199" s="32"/>
      <c r="Q199" s="32"/>
      <c r="R199" s="32"/>
      <c r="S199" s="32"/>
      <c r="T199" s="32"/>
      <c r="U199" s="32"/>
      <c r="V199" s="32"/>
      <c r="W199" s="32"/>
      <c r="X199" s="32"/>
      <c r="Y199" s="32"/>
      <c r="Z199" s="32"/>
      <c r="AA199" s="32"/>
      <c r="AB199" s="32"/>
      <c r="AC199" s="32"/>
      <c r="AD199" s="32"/>
      <c r="AE199" s="32"/>
      <c r="AF199" s="32"/>
      <c r="AG199" s="32"/>
      <c r="AH199" s="32"/>
      <c r="AI199" s="32"/>
      <c r="AJ199" s="32"/>
      <c r="AK199" s="32"/>
      <c r="AL199" s="32"/>
      <c r="AM199" s="32"/>
      <c r="AN199" s="32"/>
      <c r="AO199" s="32"/>
      <c r="AP199" s="32"/>
      <c r="AQ199" s="32"/>
      <c r="AR199" s="32"/>
      <c r="AS199" s="32"/>
      <c r="AT199" s="32"/>
      <c r="AU199" s="32"/>
      <c r="AV199" s="32"/>
      <c r="AW199" s="32"/>
      <c r="AX199" s="32"/>
      <c r="AY199" s="32"/>
      <c r="AZ199" s="32"/>
      <c r="BA199" s="32"/>
      <c r="BB199" s="32"/>
      <c r="BC199" s="32"/>
      <c r="BD199" s="32"/>
      <c r="BE199" s="32"/>
      <c r="BF199" s="32"/>
      <c r="BG199" s="32"/>
      <c r="BH199" s="32"/>
      <c r="BI199" s="32"/>
      <c r="BJ199" s="32"/>
      <c r="BK199" s="32"/>
      <c r="BL199" s="32"/>
      <c r="BM199" s="32"/>
      <c r="BN199" s="32"/>
      <c r="BO199" s="32"/>
      <c r="BP199" s="32"/>
      <c r="BQ199" s="32"/>
      <c r="BR199" s="32"/>
      <c r="BS199" s="32"/>
      <c r="BT199" s="32"/>
      <c r="BU199" s="32"/>
      <c r="BV199" s="32"/>
      <c r="BW199" s="32"/>
      <c r="BX199" s="32"/>
      <c r="BY199" s="32"/>
      <c r="BZ199" s="32"/>
      <c r="CA199" s="32"/>
      <c r="CB199" s="32"/>
      <c r="CC199" s="32"/>
      <c r="CD199" s="32"/>
      <c r="CE199" s="32"/>
      <c r="CF199" s="32"/>
      <c r="CG199" s="32"/>
      <c r="CH199" s="32"/>
      <c r="CI199" s="32"/>
      <c r="CJ199" s="32"/>
      <c r="CK199" s="32"/>
      <c r="CL199" s="32"/>
      <c r="CM199" s="32"/>
      <c r="CN199" s="32"/>
      <c r="CO199" s="32"/>
      <c r="CP199" s="32"/>
      <c r="CQ199" s="32"/>
      <c r="CR199" s="32"/>
      <c r="CS199" s="32"/>
      <c r="CT199" s="32"/>
      <c r="CU199" s="32"/>
      <c r="CV199" s="32"/>
      <c r="CW199" s="32"/>
      <c r="CX199" s="32"/>
      <c r="CY199" s="32"/>
      <c r="CZ199" s="32"/>
      <c r="DA199" s="32"/>
      <c r="DB199" s="32"/>
      <c r="DC199" s="32"/>
      <c r="DD199" s="32"/>
      <c r="DE199" s="32"/>
      <c r="DF199" s="32"/>
      <c r="DG199" s="32"/>
      <c r="DH199" s="32"/>
      <c r="DI199" s="32"/>
      <c r="DJ199" s="32"/>
      <c r="DK199" s="32"/>
      <c r="DL199" s="32"/>
      <c r="DM199" s="32"/>
      <c r="DN199" s="32"/>
      <c r="DO199" s="32"/>
      <c r="DP199" s="32"/>
      <c r="DQ199" s="32"/>
      <c r="DR199" s="32"/>
      <c r="DS199" s="32"/>
      <c r="DT199" s="32"/>
      <c r="DU199" s="32"/>
      <c r="DV199" s="32"/>
      <c r="DW199" s="32"/>
      <c r="DX199" s="32"/>
      <c r="DY199" s="32"/>
      <c r="DZ199" s="32"/>
      <c r="EA199" s="32"/>
      <c r="EB199" s="32"/>
      <c r="EC199" s="32"/>
      <c r="ED199" s="32"/>
      <c r="EE199" s="32"/>
      <c r="EF199" s="32"/>
      <c r="EG199" s="32"/>
    </row>
    <row r="200" spans="5:137" x14ac:dyDescent="0.2">
      <c r="AN200" s="73"/>
      <c r="AO200" s="73"/>
      <c r="AP200" s="73"/>
      <c r="AQ200" s="73"/>
      <c r="AR200" s="73"/>
      <c r="AS200" s="73"/>
      <c r="AT200" s="73"/>
      <c r="AU200" s="73"/>
      <c r="AV200" s="73"/>
      <c r="AW200" s="73"/>
      <c r="AX200" s="73"/>
      <c r="AY200" s="73"/>
      <c r="AZ200" s="73"/>
      <c r="BA200" s="73"/>
      <c r="BB200" s="73"/>
      <c r="BC200" s="73"/>
      <c r="BD200" s="73"/>
      <c r="BE200" s="73"/>
      <c r="BF200" s="73"/>
      <c r="BG200" s="73"/>
      <c r="BH200" s="73"/>
      <c r="BI200" s="73"/>
      <c r="BJ200" s="73"/>
      <c r="BK200" s="73"/>
      <c r="BL200" s="73"/>
      <c r="BM200" s="73"/>
      <c r="BN200" s="73"/>
      <c r="BO200" s="73"/>
      <c r="BP200" s="73"/>
      <c r="BQ200" s="73"/>
      <c r="BR200" s="73"/>
      <c r="BS200" s="73"/>
      <c r="BT200" s="73"/>
      <c r="BU200" s="73"/>
      <c r="BV200" s="73"/>
      <c r="BW200" s="73"/>
      <c r="BX200" s="73"/>
      <c r="BY200" s="73"/>
      <c r="BZ200" s="73"/>
      <c r="CA200" s="73"/>
      <c r="CB200" s="73"/>
      <c r="CC200" s="73"/>
      <c r="CD200" s="73"/>
      <c r="CE200" s="73"/>
      <c r="CF200" s="73"/>
      <c r="CG200" s="73"/>
      <c r="CH200" s="73"/>
      <c r="CI200" s="73"/>
      <c r="CJ200" s="73"/>
      <c r="CK200" s="73"/>
      <c r="CL200" s="73"/>
      <c r="CM200" s="73"/>
      <c r="CN200" s="73"/>
      <c r="CO200" s="73"/>
      <c r="CP200" s="73"/>
      <c r="CQ200" s="73"/>
      <c r="CR200" s="73"/>
      <c r="CS200" s="73"/>
    </row>
    <row r="201" spans="5:137" x14ac:dyDescent="0.2">
      <c r="AN201" s="72"/>
      <c r="AO201" s="72"/>
      <c r="AP201" s="72"/>
      <c r="AQ201" s="72"/>
      <c r="AR201" s="72"/>
      <c r="AS201" s="72"/>
      <c r="AT201" s="72"/>
      <c r="AU201" s="72"/>
      <c r="AV201" s="72"/>
      <c r="AW201" s="72"/>
      <c r="AX201" s="72"/>
      <c r="AY201" s="72"/>
      <c r="AZ201" s="72"/>
      <c r="BA201" s="72"/>
      <c r="BB201" s="72"/>
      <c r="BC201" s="72"/>
      <c r="BD201" s="72"/>
      <c r="BE201" s="72"/>
      <c r="BF201" s="72"/>
      <c r="BG201" s="72"/>
      <c r="BH201" s="72"/>
      <c r="BI201" s="72"/>
      <c r="BJ201" s="72"/>
      <c r="BK201" s="72"/>
      <c r="BL201" s="72"/>
      <c r="BO201" s="72"/>
      <c r="BP201" s="72"/>
      <c r="BQ201" s="72"/>
      <c r="BR201" s="72"/>
      <c r="BS201" s="72"/>
      <c r="BT201" s="72"/>
      <c r="BU201" s="72"/>
      <c r="BV201" s="72"/>
      <c r="BW201" s="72"/>
      <c r="BX201" s="72"/>
      <c r="BY201" s="72"/>
      <c r="BZ201" s="72"/>
      <c r="CA201" s="72"/>
      <c r="CB201" s="72"/>
      <c r="CC201" s="72"/>
      <c r="CD201" s="72"/>
      <c r="CE201" s="72"/>
      <c r="CF201" s="72"/>
      <c r="CG201" s="72"/>
      <c r="CH201" s="72"/>
      <c r="CI201" s="72"/>
      <c r="CJ201" s="72"/>
      <c r="CK201" s="72"/>
      <c r="CL201" s="72"/>
      <c r="CM201" s="72"/>
      <c r="CN201" s="72"/>
      <c r="CO201" s="72"/>
      <c r="CP201" s="72"/>
      <c r="CQ201" s="72"/>
      <c r="CR201" s="72"/>
    </row>
    <row r="202" spans="5:137" ht="12.75" customHeight="1" x14ac:dyDescent="0.2">
      <c r="E202" s="1054" t="s">
        <v>149</v>
      </c>
      <c r="F202" s="1054"/>
      <c r="G202" s="1054"/>
      <c r="H202" s="1054"/>
      <c r="I202" s="1054"/>
      <c r="J202" s="1054"/>
      <c r="U202" s="1054" t="s">
        <v>148</v>
      </c>
      <c r="V202" s="1054"/>
      <c r="W202" s="1054"/>
      <c r="X202" s="1054"/>
      <c r="Y202" s="1054"/>
      <c r="Z202" s="1054"/>
      <c r="AN202" s="32"/>
      <c r="AO202" s="32"/>
      <c r="AP202" s="32"/>
      <c r="AQ202" s="32"/>
      <c r="AR202" s="32"/>
      <c r="AS202" s="32"/>
      <c r="AT202" s="32"/>
      <c r="AU202" s="32"/>
      <c r="AV202" s="32"/>
      <c r="AW202" s="32"/>
      <c r="AX202" s="32"/>
      <c r="AY202" s="32"/>
      <c r="AZ202" s="32"/>
      <c r="BA202" s="32"/>
      <c r="BB202" s="32"/>
      <c r="BC202" s="32"/>
      <c r="BD202" s="32"/>
      <c r="BE202" s="32"/>
      <c r="BF202" s="32"/>
      <c r="BG202" s="32"/>
      <c r="BH202" s="32"/>
      <c r="BI202" s="32"/>
      <c r="BJ202" s="32"/>
      <c r="BK202" s="32"/>
      <c r="BL202" s="32"/>
      <c r="BO202" s="32"/>
      <c r="BP202" s="32"/>
      <c r="BQ202" s="32"/>
      <c r="BR202" s="32"/>
      <c r="BS202" s="32"/>
      <c r="BT202" s="32"/>
      <c r="BU202" s="32"/>
      <c r="BV202" s="32"/>
      <c r="BW202" s="32"/>
      <c r="BX202" s="32"/>
      <c r="BY202" s="32"/>
      <c r="BZ202" s="32"/>
      <c r="CA202" s="32"/>
      <c r="CB202" s="32"/>
      <c r="CC202" s="32"/>
      <c r="CD202" s="32"/>
      <c r="CE202" s="32"/>
      <c r="CF202" s="32"/>
      <c r="CG202" s="32"/>
      <c r="CH202" s="32"/>
      <c r="CI202" s="32"/>
      <c r="CJ202" s="32"/>
      <c r="CK202" s="32"/>
      <c r="CL202" s="32"/>
      <c r="CM202" s="32"/>
      <c r="CN202" s="32"/>
      <c r="CO202" s="32"/>
      <c r="CP202" s="32"/>
      <c r="CQ202" s="32"/>
      <c r="CR202" s="32"/>
    </row>
    <row r="203" spans="5:137" x14ac:dyDescent="0.2">
      <c r="E203" s="28"/>
      <c r="F203" s="28">
        <v>2016</v>
      </c>
      <c r="G203" s="29">
        <v>2017</v>
      </c>
      <c r="H203" s="28">
        <v>2018</v>
      </c>
      <c r="I203" s="28">
        <v>2019</v>
      </c>
      <c r="J203" s="28">
        <v>2020</v>
      </c>
      <c r="K203" s="29">
        <v>2021</v>
      </c>
      <c r="L203" s="29">
        <v>2022</v>
      </c>
      <c r="M203" s="29">
        <v>2023</v>
      </c>
      <c r="N203" s="29">
        <v>2024</v>
      </c>
      <c r="U203" s="28"/>
      <c r="V203" s="28">
        <v>2016</v>
      </c>
      <c r="W203" s="29">
        <v>2017</v>
      </c>
      <c r="X203" s="28">
        <v>2018</v>
      </c>
      <c r="Y203" s="28">
        <v>2019</v>
      </c>
      <c r="Z203" s="29">
        <v>2020</v>
      </c>
      <c r="AA203" s="29">
        <v>2021</v>
      </c>
      <c r="AB203" s="29">
        <v>2022</v>
      </c>
      <c r="AC203" s="29">
        <v>2023</v>
      </c>
      <c r="AD203" s="29">
        <v>2024</v>
      </c>
      <c r="AJ203" s="26"/>
      <c r="AK203" s="26"/>
      <c r="AL203" s="26"/>
      <c r="AN203" s="32"/>
      <c r="AO203" s="32"/>
      <c r="AP203" s="32"/>
      <c r="AQ203" s="32"/>
      <c r="AR203" s="32"/>
      <c r="AS203" s="32"/>
      <c r="AT203" s="32"/>
      <c r="AU203" s="32"/>
      <c r="AV203" s="32"/>
      <c r="AW203" s="32"/>
      <c r="AX203" s="32"/>
      <c r="AY203" s="32"/>
      <c r="AZ203" s="32"/>
      <c r="BA203" s="32"/>
      <c r="BB203" s="32"/>
      <c r="BC203" s="32"/>
      <c r="BD203" s="32"/>
      <c r="BE203" s="32"/>
      <c r="BF203" s="32"/>
      <c r="BG203" s="32"/>
      <c r="BH203" s="32"/>
      <c r="BI203" s="32"/>
      <c r="BJ203" s="32"/>
      <c r="BK203" s="32"/>
      <c r="BL203" s="32"/>
      <c r="BO203" s="32"/>
      <c r="BP203" s="32"/>
      <c r="BQ203" s="32"/>
      <c r="BR203" s="32"/>
      <c r="BS203" s="32"/>
      <c r="BT203" s="32"/>
      <c r="BU203" s="32"/>
      <c r="BV203" s="32"/>
      <c r="BW203" s="32"/>
      <c r="BX203" s="32"/>
      <c r="BY203" s="32"/>
      <c r="BZ203" s="32"/>
      <c r="CA203" s="32"/>
      <c r="CB203" s="32"/>
      <c r="CC203" s="32"/>
      <c r="CD203" s="32"/>
      <c r="CE203" s="32"/>
      <c r="CF203" s="32"/>
      <c r="CG203" s="32"/>
      <c r="CH203" s="32"/>
      <c r="CI203" s="32"/>
      <c r="CJ203" s="32"/>
      <c r="CK203" s="32"/>
      <c r="CL203" s="32"/>
      <c r="CM203" s="32"/>
      <c r="CN203" s="32"/>
      <c r="CO203" s="32"/>
      <c r="CP203" s="32"/>
      <c r="CQ203" s="32"/>
      <c r="CR203" s="32"/>
    </row>
    <row r="204" spans="5:137" x14ac:dyDescent="0.2">
      <c r="E204" s="27" t="s">
        <v>140</v>
      </c>
      <c r="F204" s="27">
        <v>52.92307692307692</v>
      </c>
      <c r="G204" s="27">
        <v>52.5</v>
      </c>
      <c r="H204" s="27">
        <v>50.846153846153847</v>
      </c>
      <c r="I204" s="27">
        <v>49.46153846153846</v>
      </c>
      <c r="J204" s="27">
        <v>49.769230769230766</v>
      </c>
      <c r="K204" s="27">
        <v>50</v>
      </c>
      <c r="L204" s="27">
        <v>50.846153846153847</v>
      </c>
      <c r="M204" s="27">
        <v>52</v>
      </c>
      <c r="N204" s="27">
        <v>51.53846153846154</v>
      </c>
      <c r="U204" s="27" t="s">
        <v>140</v>
      </c>
      <c r="V204" s="27">
        <v>54</v>
      </c>
      <c r="W204" s="27">
        <v>53</v>
      </c>
      <c r="X204" s="27">
        <v>50.5</v>
      </c>
      <c r="Y204" s="27">
        <v>49.5</v>
      </c>
      <c r="Z204" s="71">
        <v>49</v>
      </c>
      <c r="AA204" s="27">
        <v>48.75</v>
      </c>
      <c r="AB204" s="27">
        <v>49.2</v>
      </c>
      <c r="AC204" s="27">
        <v>50</v>
      </c>
      <c r="AD204" s="27">
        <v>50.4</v>
      </c>
      <c r="AJ204" s="26"/>
      <c r="AK204" s="26"/>
      <c r="AL204" s="26"/>
      <c r="AN204" s="32"/>
      <c r="AO204" s="32"/>
      <c r="AP204" s="32"/>
      <c r="AQ204" s="32"/>
      <c r="AR204" s="32"/>
      <c r="AS204" s="32"/>
      <c r="AT204" s="32"/>
      <c r="AU204" s="32"/>
      <c r="AV204" s="32"/>
      <c r="AW204" s="32"/>
      <c r="AX204" s="32"/>
      <c r="AY204" s="32"/>
      <c r="AZ204" s="32"/>
      <c r="BA204" s="32"/>
      <c r="BB204" s="32"/>
      <c r="BC204" s="32"/>
      <c r="BD204" s="32"/>
      <c r="BE204" s="32"/>
      <c r="BF204" s="32"/>
      <c r="BG204" s="32"/>
      <c r="BH204" s="32"/>
      <c r="BI204" s="32"/>
      <c r="BJ204" s="32"/>
      <c r="BK204" s="32"/>
      <c r="BL204" s="32"/>
      <c r="BO204" s="32"/>
      <c r="BP204" s="32"/>
      <c r="BQ204" s="32"/>
      <c r="BR204" s="32"/>
      <c r="BS204" s="32"/>
      <c r="BT204" s="32"/>
      <c r="BU204" s="32"/>
      <c r="BV204" s="32"/>
      <c r="BW204" s="32"/>
      <c r="BX204" s="32"/>
      <c r="BY204" s="32"/>
      <c r="BZ204" s="32"/>
      <c r="CA204" s="32"/>
      <c r="CB204" s="32"/>
      <c r="CC204" s="32"/>
      <c r="CD204" s="32"/>
      <c r="CE204" s="32"/>
      <c r="CF204" s="32"/>
      <c r="CG204" s="32"/>
      <c r="CH204" s="32"/>
      <c r="CI204" s="32"/>
      <c r="CJ204" s="32"/>
      <c r="CK204" s="32"/>
      <c r="CL204" s="32"/>
      <c r="CM204" s="32"/>
      <c r="CN204" s="32"/>
      <c r="CO204" s="32"/>
      <c r="CP204" s="32"/>
      <c r="CQ204" s="32"/>
      <c r="CR204" s="32"/>
    </row>
    <row r="205" spans="5:137" x14ac:dyDescent="0.2">
      <c r="E205" s="27" t="s">
        <v>141</v>
      </c>
      <c r="F205" s="27">
        <v>54.666666666666664</v>
      </c>
      <c r="G205" s="27">
        <v>52.823529411764703</v>
      </c>
      <c r="H205" s="27">
        <v>51.764705882352942</v>
      </c>
      <c r="I205" s="27">
        <v>51.5</v>
      </c>
      <c r="J205" s="27">
        <v>49.81818181818182</v>
      </c>
      <c r="K205" s="27">
        <v>50.3</v>
      </c>
      <c r="L205" s="27">
        <v>51.857142857142854</v>
      </c>
      <c r="M205" s="27">
        <v>51.68181818181818</v>
      </c>
      <c r="N205" s="27">
        <v>52.65</v>
      </c>
      <c r="U205" s="27" t="s">
        <v>141</v>
      </c>
      <c r="V205" s="27">
        <v>54</v>
      </c>
      <c r="W205" s="27">
        <v>53.5</v>
      </c>
      <c r="X205" s="27">
        <v>51</v>
      </c>
      <c r="Y205" s="27">
        <v>49</v>
      </c>
      <c r="Z205" s="71">
        <v>49</v>
      </c>
      <c r="AA205" s="27">
        <v>49</v>
      </c>
      <c r="AB205" s="27">
        <v>49.75</v>
      </c>
      <c r="AC205" s="27">
        <v>49.75</v>
      </c>
      <c r="AD205" s="27">
        <v>51</v>
      </c>
      <c r="AJ205" s="26"/>
      <c r="AK205" s="26"/>
      <c r="AL205" s="26"/>
      <c r="AN205" s="32"/>
      <c r="AO205" s="32"/>
      <c r="AP205" s="32"/>
      <c r="AQ205" s="32"/>
      <c r="AR205" s="32"/>
      <c r="AS205" s="32"/>
      <c r="AT205" s="32"/>
      <c r="AU205" s="32"/>
      <c r="AV205" s="32"/>
      <c r="AW205" s="32"/>
      <c r="AX205" s="32"/>
      <c r="AY205" s="32"/>
      <c r="AZ205" s="32"/>
      <c r="BA205" s="32"/>
      <c r="BB205" s="32"/>
      <c r="BC205" s="32"/>
      <c r="BD205" s="32"/>
      <c r="BE205" s="32"/>
      <c r="BF205" s="32"/>
      <c r="BG205" s="32"/>
      <c r="BH205" s="32"/>
      <c r="BI205" s="32"/>
      <c r="BJ205" s="32"/>
      <c r="BK205" s="32"/>
      <c r="BL205" s="32"/>
      <c r="BO205" s="32"/>
      <c r="BP205" s="32"/>
      <c r="BQ205" s="32"/>
      <c r="BR205" s="32"/>
      <c r="BS205" s="32"/>
      <c r="BT205" s="32"/>
      <c r="BU205" s="32"/>
      <c r="BV205" s="32"/>
      <c r="BW205" s="32"/>
      <c r="BX205" s="32"/>
      <c r="BY205" s="32"/>
      <c r="BZ205" s="32"/>
      <c r="CA205" s="32"/>
      <c r="CB205" s="32"/>
      <c r="CC205" s="32"/>
      <c r="CD205" s="32"/>
      <c r="CE205" s="32"/>
      <c r="CF205" s="32"/>
      <c r="CG205" s="32"/>
      <c r="CH205" s="32"/>
      <c r="CI205" s="32"/>
      <c r="CJ205" s="32"/>
      <c r="CK205" s="32"/>
      <c r="CL205" s="32"/>
      <c r="CM205" s="32"/>
      <c r="CN205" s="32"/>
      <c r="CO205" s="32"/>
      <c r="CP205" s="32"/>
      <c r="CQ205" s="32"/>
      <c r="CR205" s="32"/>
    </row>
    <row r="206" spans="5:137" x14ac:dyDescent="0.2">
      <c r="E206" s="27" t="s">
        <v>142</v>
      </c>
      <c r="F206" s="27">
        <v>55.46153846153846</v>
      </c>
      <c r="G206" s="27">
        <v>53.642857142857146</v>
      </c>
      <c r="H206" s="27">
        <v>52.428571428571431</v>
      </c>
      <c r="I206" s="27">
        <v>51.142857142857146</v>
      </c>
      <c r="J206" s="27">
        <v>51.4</v>
      </c>
      <c r="K206" s="27">
        <v>51.666666666666664</v>
      </c>
      <c r="L206" s="27">
        <v>52.125</v>
      </c>
      <c r="M206" s="27">
        <v>52.9375</v>
      </c>
      <c r="N206" s="27">
        <v>53.375</v>
      </c>
      <c r="U206" s="27" t="s">
        <v>142</v>
      </c>
      <c r="V206" s="27">
        <v>53.333333333333336</v>
      </c>
      <c r="W206" s="27">
        <v>51.333333333333336</v>
      </c>
      <c r="X206" s="27">
        <v>50.666666666666664</v>
      </c>
      <c r="Y206" s="27">
        <v>48.666666666666664</v>
      </c>
      <c r="Z206" s="71">
        <v>49.25</v>
      </c>
      <c r="AA206" s="27">
        <v>49</v>
      </c>
      <c r="AB206" s="27">
        <v>49.833333333333336</v>
      </c>
      <c r="AC206" s="27">
        <v>50.5</v>
      </c>
      <c r="AD206" s="27">
        <v>51</v>
      </c>
      <c r="AJ206" s="26"/>
      <c r="AK206" s="26"/>
      <c r="AL206" s="26"/>
      <c r="AN206" s="32"/>
      <c r="AO206" s="32"/>
      <c r="AP206" s="32"/>
      <c r="AQ206" s="32"/>
      <c r="AR206" s="32"/>
      <c r="AS206" s="32"/>
      <c r="AT206" s="32"/>
      <c r="AU206" s="32"/>
      <c r="AV206" s="32"/>
      <c r="AW206" s="32"/>
      <c r="AX206" s="32"/>
      <c r="AY206" s="32"/>
      <c r="AZ206" s="32"/>
      <c r="BA206" s="32"/>
      <c r="BB206" s="32"/>
      <c r="BC206" s="32"/>
      <c r="BD206" s="32"/>
      <c r="BE206" s="32"/>
      <c r="BF206" s="32"/>
      <c r="BG206" s="32"/>
      <c r="BH206" s="32"/>
      <c r="BI206" s="32"/>
      <c r="BJ206" s="32"/>
      <c r="BK206" s="32"/>
      <c r="BL206" s="32"/>
      <c r="BO206" s="32"/>
      <c r="BP206" s="32"/>
      <c r="BQ206" s="32"/>
      <c r="BR206" s="32"/>
      <c r="BS206" s="32"/>
      <c r="BT206" s="32"/>
      <c r="BU206" s="32"/>
      <c r="BV206" s="32"/>
      <c r="BW206" s="32"/>
      <c r="BX206" s="32"/>
      <c r="BY206" s="32"/>
      <c r="BZ206" s="32"/>
      <c r="CA206" s="32"/>
      <c r="CB206" s="32"/>
      <c r="CC206" s="32"/>
      <c r="CD206" s="32"/>
      <c r="CE206" s="32"/>
      <c r="CF206" s="32"/>
      <c r="CG206" s="32"/>
      <c r="CH206" s="32"/>
      <c r="CI206" s="32"/>
      <c r="CJ206" s="32"/>
      <c r="CK206" s="32"/>
      <c r="CL206" s="32"/>
      <c r="CM206" s="32"/>
      <c r="CN206" s="32"/>
      <c r="CO206" s="32"/>
      <c r="CP206" s="32"/>
      <c r="CQ206" s="32"/>
      <c r="CR206" s="32"/>
    </row>
    <row r="207" spans="5:137" x14ac:dyDescent="0.2">
      <c r="E207" s="27" t="s">
        <v>143</v>
      </c>
      <c r="F207" s="27">
        <v>51.625</v>
      </c>
      <c r="G207" s="27">
        <v>52.111111111111114</v>
      </c>
      <c r="H207" s="27">
        <v>51.111111111111114</v>
      </c>
      <c r="I207" s="27">
        <v>49.375</v>
      </c>
      <c r="J207" s="27">
        <v>48.571428571428569</v>
      </c>
      <c r="K207" s="27">
        <v>48.75</v>
      </c>
      <c r="L207" s="27">
        <v>50.25</v>
      </c>
      <c r="M207" s="27">
        <v>48.888888888888886</v>
      </c>
      <c r="N207" s="27">
        <v>51.857142857142854</v>
      </c>
      <c r="U207" s="27" t="s">
        <v>143</v>
      </c>
      <c r="V207" s="27">
        <v>50.5</v>
      </c>
      <c r="W207" s="27">
        <v>49.833333333333336</v>
      </c>
      <c r="X207" s="27">
        <v>46.5</v>
      </c>
      <c r="Y207" s="27">
        <v>45.5</v>
      </c>
      <c r="Z207" s="71">
        <v>45.166666666666664</v>
      </c>
      <c r="AA207" s="27">
        <v>46</v>
      </c>
      <c r="AB207" s="27">
        <v>46.166666666666664</v>
      </c>
      <c r="AC207" s="27">
        <v>46.666666666666664</v>
      </c>
      <c r="AD207" s="27">
        <v>47</v>
      </c>
      <c r="AN207" s="32"/>
      <c r="AO207" s="32"/>
      <c r="AP207" s="32"/>
      <c r="AQ207" s="32"/>
      <c r="AR207" s="32"/>
      <c r="AS207" s="32"/>
      <c r="AT207" s="32"/>
      <c r="AU207" s="32"/>
      <c r="AV207" s="32"/>
      <c r="AW207" s="32"/>
      <c r="AX207" s="32"/>
      <c r="AY207" s="32"/>
      <c r="AZ207" s="32"/>
      <c r="BA207" s="32"/>
      <c r="BB207" s="32"/>
      <c r="BC207" s="32"/>
      <c r="BD207" s="32"/>
      <c r="BE207" s="32"/>
      <c r="BF207" s="32"/>
      <c r="BG207" s="32"/>
      <c r="BH207" s="32"/>
      <c r="BI207" s="32"/>
      <c r="BJ207" s="32"/>
      <c r="BK207" s="32"/>
      <c r="BL207" s="32"/>
      <c r="BO207" s="32"/>
      <c r="BP207" s="32"/>
      <c r="BQ207" s="32"/>
      <c r="BR207" s="32"/>
      <c r="BS207" s="32"/>
      <c r="BT207" s="32"/>
      <c r="BU207" s="32"/>
      <c r="BV207" s="32"/>
      <c r="BW207" s="32"/>
      <c r="BX207" s="32"/>
      <c r="BY207" s="32"/>
      <c r="BZ207" s="32"/>
      <c r="CA207" s="32"/>
      <c r="CB207" s="32"/>
      <c r="CC207" s="32"/>
      <c r="CD207" s="32"/>
      <c r="CE207" s="32"/>
      <c r="CF207" s="32"/>
      <c r="CG207" s="32"/>
      <c r="CH207" s="32"/>
      <c r="CI207" s="32"/>
      <c r="CJ207" s="32"/>
      <c r="CK207" s="32"/>
      <c r="CL207" s="32"/>
      <c r="CM207" s="32"/>
      <c r="CN207" s="32"/>
      <c r="CO207" s="32"/>
      <c r="CP207" s="32"/>
      <c r="CQ207" s="32"/>
      <c r="CR207" s="32"/>
    </row>
    <row r="208" spans="5:137" x14ac:dyDescent="0.2">
      <c r="E208" s="27" t="s">
        <v>144</v>
      </c>
      <c r="F208" s="27">
        <v>56.533333333333331</v>
      </c>
      <c r="G208" s="27">
        <v>55.466666666666669</v>
      </c>
      <c r="H208" s="27">
        <v>54.125</v>
      </c>
      <c r="I208" s="27">
        <v>52.470588235294116</v>
      </c>
      <c r="J208" s="27">
        <v>53.25</v>
      </c>
      <c r="K208" s="27">
        <v>52.75</v>
      </c>
      <c r="L208" s="27">
        <v>54.133333333333333</v>
      </c>
      <c r="M208" s="27">
        <v>55.133333333333333</v>
      </c>
      <c r="N208" s="27">
        <v>52.866666666666667</v>
      </c>
      <c r="U208" s="27" t="s">
        <v>144</v>
      </c>
      <c r="V208" s="27">
        <v>54</v>
      </c>
      <c r="W208" s="27">
        <v>51.5</v>
      </c>
      <c r="X208" s="27">
        <v>49.5</v>
      </c>
      <c r="Y208" s="27">
        <v>49.5</v>
      </c>
      <c r="Z208" s="71">
        <v>49</v>
      </c>
      <c r="AA208" s="27">
        <v>48.5</v>
      </c>
      <c r="AB208" s="27">
        <v>50.5</v>
      </c>
      <c r="AC208" s="27">
        <v>50.5</v>
      </c>
      <c r="AD208" s="27">
        <v>52.666666666666664</v>
      </c>
    </row>
    <row r="209" spans="5:30" x14ac:dyDescent="0.2">
      <c r="E209" s="27" t="s">
        <v>145</v>
      </c>
      <c r="F209" s="27">
        <v>55.5</v>
      </c>
      <c r="G209" s="27">
        <v>52.083333333333336</v>
      </c>
      <c r="H209" s="27">
        <v>51.18181818181818</v>
      </c>
      <c r="I209" s="27">
        <v>50.833333333333336</v>
      </c>
      <c r="J209" s="27">
        <v>49.428571428571431</v>
      </c>
      <c r="K209" s="27">
        <v>49.571428571428569</v>
      </c>
      <c r="L209" s="27">
        <v>49.875</v>
      </c>
      <c r="M209" s="27">
        <v>51.235294117647058</v>
      </c>
      <c r="N209" s="27">
        <v>51.5</v>
      </c>
      <c r="U209" s="27" t="s">
        <v>145</v>
      </c>
      <c r="V209" s="27">
        <v>53.333333333333336</v>
      </c>
      <c r="W209" s="27">
        <v>52</v>
      </c>
      <c r="X209" s="27">
        <v>50.333333333333336</v>
      </c>
      <c r="Y209" s="27">
        <v>48.333333333333336</v>
      </c>
      <c r="Z209" s="71">
        <v>48.333333333333336</v>
      </c>
      <c r="AA209" s="27">
        <v>47.666666666666664</v>
      </c>
      <c r="AB209" s="27">
        <v>49</v>
      </c>
      <c r="AC209" s="27">
        <v>49</v>
      </c>
      <c r="AD209" s="27">
        <v>49.5</v>
      </c>
    </row>
    <row r="238" spans="5:41" x14ac:dyDescent="0.2">
      <c r="E238" s="1053" t="s">
        <v>948</v>
      </c>
      <c r="F238" s="1054"/>
      <c r="G238" s="1054"/>
      <c r="H238" s="1054"/>
      <c r="I238" s="1054"/>
      <c r="J238" s="1054"/>
      <c r="K238" s="1054"/>
      <c r="L238" s="1054"/>
      <c r="M238" s="1054"/>
      <c r="N238" s="1054"/>
      <c r="O238" s="1054"/>
      <c r="P238" s="1054"/>
      <c r="Q238" s="1054"/>
      <c r="R238" s="1054"/>
      <c r="S238" s="1054"/>
      <c r="T238" s="1054"/>
      <c r="U238" s="1054"/>
      <c r="V238" s="1054"/>
      <c r="W238" s="1054"/>
      <c r="X238" s="1054"/>
      <c r="Y238" s="1054"/>
    </row>
    <row r="239" spans="5:41" x14ac:dyDescent="0.2">
      <c r="E239" s="28"/>
      <c r="F239" s="1053">
        <v>2016</v>
      </c>
      <c r="G239" s="1054"/>
      <c r="H239" s="1054"/>
      <c r="I239" s="1190"/>
      <c r="J239" s="1053">
        <v>2017</v>
      </c>
      <c r="K239" s="1054"/>
      <c r="L239" s="1054"/>
      <c r="M239" s="1190"/>
      <c r="N239" s="1053">
        <v>2018</v>
      </c>
      <c r="O239" s="1054"/>
      <c r="P239" s="1054"/>
      <c r="Q239" s="1190"/>
      <c r="R239" s="1053">
        <v>2019</v>
      </c>
      <c r="S239" s="1054"/>
      <c r="T239" s="1054"/>
      <c r="U239" s="1190"/>
      <c r="V239" s="1053">
        <v>2020</v>
      </c>
      <c r="W239" s="1054"/>
      <c r="X239" s="1054"/>
      <c r="Y239" s="1054"/>
      <c r="Z239" s="1053">
        <v>2021</v>
      </c>
      <c r="AA239" s="1054"/>
      <c r="AB239" s="1054"/>
      <c r="AC239" s="1054"/>
      <c r="AD239" s="1053">
        <v>2022</v>
      </c>
      <c r="AE239" s="1054"/>
      <c r="AF239" s="1054"/>
      <c r="AG239" s="1054"/>
      <c r="AH239" s="1053">
        <v>2023</v>
      </c>
      <c r="AI239" s="1054"/>
      <c r="AJ239" s="1054"/>
      <c r="AK239" s="1054"/>
      <c r="AL239" s="1053">
        <v>2024</v>
      </c>
      <c r="AM239" s="1054"/>
      <c r="AN239" s="1054"/>
      <c r="AO239" s="1054"/>
    </row>
    <row r="240" spans="5:41" x14ac:dyDescent="0.2">
      <c r="F240" s="67" t="s">
        <v>10</v>
      </c>
      <c r="G240" t="s">
        <v>0</v>
      </c>
      <c r="H240" t="s">
        <v>208</v>
      </c>
      <c r="I240" t="s">
        <v>209</v>
      </c>
      <c r="J240" s="67" t="s">
        <v>10</v>
      </c>
      <c r="K240" s="67" t="s">
        <v>0</v>
      </c>
      <c r="L240" t="s">
        <v>208</v>
      </c>
      <c r="M240" t="s">
        <v>209</v>
      </c>
      <c r="N240" s="67" t="s">
        <v>10</v>
      </c>
      <c r="O240" s="67" t="s">
        <v>0</v>
      </c>
      <c r="P240" t="s">
        <v>208</v>
      </c>
      <c r="Q240" t="s">
        <v>209</v>
      </c>
      <c r="R240" s="67" t="s">
        <v>10</v>
      </c>
      <c r="S240" s="67" t="s">
        <v>0</v>
      </c>
      <c r="T240" t="s">
        <v>208</v>
      </c>
      <c r="U240" t="s">
        <v>209</v>
      </c>
      <c r="V240" s="67" t="s">
        <v>10</v>
      </c>
      <c r="W240" s="67" t="s">
        <v>0</v>
      </c>
      <c r="X240" t="s">
        <v>208</v>
      </c>
      <c r="Y240" t="s">
        <v>209</v>
      </c>
      <c r="Z240" s="67" t="s">
        <v>10</v>
      </c>
      <c r="AA240" s="67" t="s">
        <v>0</v>
      </c>
      <c r="AB240" t="s">
        <v>208</v>
      </c>
      <c r="AC240" t="s">
        <v>209</v>
      </c>
      <c r="AD240" s="67" t="s">
        <v>10</v>
      </c>
      <c r="AE240" s="67" t="s">
        <v>0</v>
      </c>
      <c r="AF240" t="s">
        <v>208</v>
      </c>
      <c r="AG240" t="s">
        <v>209</v>
      </c>
      <c r="AH240" s="67" t="s">
        <v>10</v>
      </c>
      <c r="AI240" s="67" t="s">
        <v>0</v>
      </c>
      <c r="AJ240" t="s">
        <v>208</v>
      </c>
      <c r="AK240" t="s">
        <v>209</v>
      </c>
      <c r="AL240" s="67" t="s">
        <v>10</v>
      </c>
      <c r="AM240" s="67" t="s">
        <v>0</v>
      </c>
      <c r="AN240" t="s">
        <v>208</v>
      </c>
      <c r="AO240" t="s">
        <v>209</v>
      </c>
    </row>
    <row r="241" spans="5:41" x14ac:dyDescent="0.2">
      <c r="E241" s="26">
        <v>1</v>
      </c>
      <c r="F241" s="64">
        <f>$F10</f>
        <v>0.09</v>
      </c>
      <c r="G241" s="64">
        <f>$F11</f>
        <v>0.05</v>
      </c>
      <c r="H241" s="64">
        <f>$F12</f>
        <v>0.06</v>
      </c>
      <c r="I241" s="64">
        <f>$F14</f>
        <v>0.03</v>
      </c>
      <c r="J241" s="55">
        <f>$AJ10</f>
        <v>0.12</v>
      </c>
      <c r="K241" s="55">
        <f>$AJ11</f>
        <v>0.08</v>
      </c>
      <c r="L241" s="55">
        <f>$AJ12</f>
        <v>0.09</v>
      </c>
      <c r="M241" s="55">
        <f>$AJ14</f>
        <v>0.06</v>
      </c>
      <c r="N241" s="64">
        <f>$BO10</f>
        <v>0.17</v>
      </c>
      <c r="O241" s="64">
        <f>$BO11</f>
        <v>0.11</v>
      </c>
      <c r="P241" s="64">
        <f>$BO12</f>
        <v>0.14000000000000001</v>
      </c>
      <c r="Q241" s="64">
        <f>$BO14</f>
        <v>0.08</v>
      </c>
      <c r="R241" s="64">
        <f>$CU10</f>
        <v>0.21</v>
      </c>
      <c r="S241" s="64">
        <f>$CU11</f>
        <v>0.14000000000000001</v>
      </c>
      <c r="T241" s="64">
        <f>$CU12</f>
        <v>0.18</v>
      </c>
      <c r="U241" s="64">
        <f>$CU14</f>
        <v>0.1</v>
      </c>
      <c r="V241" s="58">
        <f>$DZ10</f>
        <v>0.23</v>
      </c>
      <c r="W241" s="58">
        <f>$DZ11</f>
        <v>0.16</v>
      </c>
      <c r="X241" s="58">
        <f>$DZ12</f>
        <v>0.19</v>
      </c>
      <c r="Y241" s="58">
        <f>$DZ14</f>
        <v>0.14000000000000001</v>
      </c>
      <c r="Z241" s="58">
        <f>$FF10</f>
        <v>0.22</v>
      </c>
      <c r="AA241" s="58">
        <f>$FF11</f>
        <v>0.14000000000000001</v>
      </c>
      <c r="AB241" s="58">
        <f>$FF12</f>
        <v>0.17</v>
      </c>
      <c r="AC241" s="58">
        <f>$FF14</f>
        <v>0.1</v>
      </c>
      <c r="AD241" s="287">
        <v>0.21</v>
      </c>
      <c r="AE241" s="288">
        <v>0.14000000000000001</v>
      </c>
      <c r="AF241" s="291">
        <v>0.17</v>
      </c>
      <c r="AG241" s="291">
        <v>0.12</v>
      </c>
      <c r="AH241" s="425">
        <v>0.19</v>
      </c>
      <c r="AI241" s="426">
        <v>0.13</v>
      </c>
      <c r="AJ241" s="427">
        <v>0.16</v>
      </c>
      <c r="AK241" s="427">
        <v>0.09</v>
      </c>
      <c r="AL241" s="425">
        <v>0.18</v>
      </c>
      <c r="AM241" s="426">
        <v>0.12</v>
      </c>
      <c r="AN241" s="427">
        <v>0.15</v>
      </c>
      <c r="AO241" s="475">
        <v>0.09</v>
      </c>
    </row>
    <row r="242" spans="5:41" x14ac:dyDescent="0.2">
      <c r="E242" s="26">
        <v>2</v>
      </c>
      <c r="F242" s="64">
        <f>$G10</f>
        <v>0.5</v>
      </c>
      <c r="G242" s="64">
        <f>$G11</f>
        <v>0.54</v>
      </c>
      <c r="H242" s="64">
        <f>$G12</f>
        <v>0.59</v>
      </c>
      <c r="I242" s="64">
        <f>$G14</f>
        <v>0.5</v>
      </c>
      <c r="J242" s="55">
        <f>$AK10</f>
        <v>0.49</v>
      </c>
      <c r="K242" s="55">
        <f>$AK11</f>
        <v>0.53</v>
      </c>
      <c r="L242" s="55">
        <f>$AK12</f>
        <v>0.56999999999999995</v>
      </c>
      <c r="M242" s="55">
        <f>$AK14</f>
        <v>0.49</v>
      </c>
      <c r="N242" s="64">
        <f>$BP10</f>
        <v>0.5</v>
      </c>
      <c r="O242" s="64">
        <f>$BP11</f>
        <v>0.56999999999999995</v>
      </c>
      <c r="P242" s="64">
        <f>$BP12</f>
        <v>0.6</v>
      </c>
      <c r="Q242" s="64">
        <f>$BP14</f>
        <v>0.53</v>
      </c>
      <c r="R242" s="64">
        <f>$CV10</f>
        <v>0.5</v>
      </c>
      <c r="S242" s="64">
        <f>$CV11</f>
        <v>0.6</v>
      </c>
      <c r="T242" s="64">
        <f>$CV12</f>
        <v>0.61</v>
      </c>
      <c r="U242" s="64">
        <f>$CV14</f>
        <v>0.56999999999999995</v>
      </c>
      <c r="V242" s="58">
        <f>$EA10</f>
        <v>0.5</v>
      </c>
      <c r="W242" s="58">
        <f>$EA11</f>
        <v>0.56000000000000005</v>
      </c>
      <c r="X242" s="58">
        <f>$EA12</f>
        <v>0.59</v>
      </c>
      <c r="Y242" s="58">
        <f>$EA14</f>
        <v>0.53</v>
      </c>
      <c r="Z242" s="58">
        <f>$FG10</f>
        <v>0.53</v>
      </c>
      <c r="AA242" s="58">
        <f>$FG11</f>
        <v>0.6</v>
      </c>
      <c r="AB242" s="58">
        <f>$FG12</f>
        <v>0.64</v>
      </c>
      <c r="AC242" s="58">
        <f>$FG14</f>
        <v>0.56999999999999995</v>
      </c>
      <c r="AD242" s="287">
        <v>0.5</v>
      </c>
      <c r="AE242" s="288">
        <v>0.55000000000000004</v>
      </c>
      <c r="AF242" s="291">
        <v>0.59</v>
      </c>
      <c r="AG242" s="291">
        <v>0.5</v>
      </c>
      <c r="AH242" s="425">
        <v>0.49</v>
      </c>
      <c r="AI242" s="426">
        <v>0.54</v>
      </c>
      <c r="AJ242" s="427">
        <v>0.57999999999999996</v>
      </c>
      <c r="AK242" s="427">
        <v>0.49</v>
      </c>
      <c r="AL242" s="425">
        <v>0.47</v>
      </c>
      <c r="AM242" s="426">
        <v>0.52</v>
      </c>
      <c r="AN242" s="427">
        <v>0.55000000000000004</v>
      </c>
      <c r="AO242" s="475">
        <v>0.47</v>
      </c>
    </row>
    <row r="243" spans="5:41" x14ac:dyDescent="0.2">
      <c r="E243" s="26">
        <v>3</v>
      </c>
      <c r="F243" s="64">
        <f>$H10</f>
        <v>0.38</v>
      </c>
      <c r="G243" s="64">
        <f>$H11</f>
        <v>0.4</v>
      </c>
      <c r="H243" s="64">
        <f>$H12</f>
        <v>0.35</v>
      </c>
      <c r="I243" s="64">
        <f>$H14</f>
        <v>0.46</v>
      </c>
      <c r="J243" s="55">
        <f>$AL10</f>
        <v>0.36</v>
      </c>
      <c r="K243" s="55">
        <f>$AL11</f>
        <v>0.38</v>
      </c>
      <c r="L243" s="55">
        <f>$AL12</f>
        <v>0.33</v>
      </c>
      <c r="M243" s="55">
        <f>$AL14</f>
        <v>0.44</v>
      </c>
      <c r="N243" s="64">
        <f>$BQ10</f>
        <v>0.31</v>
      </c>
      <c r="O243" s="64">
        <f>$BQ11</f>
        <v>0.31</v>
      </c>
      <c r="P243" s="64">
        <f>$BQ12</f>
        <v>0.25</v>
      </c>
      <c r="Q243" s="64">
        <f>$BQ14</f>
        <v>0.38</v>
      </c>
      <c r="R243" s="64">
        <f>$CW10</f>
        <v>0.27</v>
      </c>
      <c r="S243" s="64">
        <f>$CW11</f>
        <v>0.25</v>
      </c>
      <c r="T243" s="64">
        <f>$CW12</f>
        <v>0.2</v>
      </c>
      <c r="U243" s="64">
        <f>$CW14</f>
        <v>0.31</v>
      </c>
      <c r="V243" s="58">
        <f>$EB10</f>
        <v>0.25</v>
      </c>
      <c r="W243" s="58">
        <f>$EB11</f>
        <v>0.27</v>
      </c>
      <c r="X243" s="58">
        <f>$EB12</f>
        <v>0.22</v>
      </c>
      <c r="Y243" s="58">
        <f>$EB14</f>
        <v>0.32</v>
      </c>
      <c r="Z243" s="58">
        <f>$FH10</f>
        <v>0.23</v>
      </c>
      <c r="AA243" s="58">
        <f>$FH11</f>
        <v>0.25</v>
      </c>
      <c r="AB243" s="58">
        <f>$FH12</f>
        <v>0.18</v>
      </c>
      <c r="AC243" s="58">
        <f>$FH14</f>
        <v>0.32</v>
      </c>
      <c r="AD243" s="287">
        <v>0.27</v>
      </c>
      <c r="AE243" s="288">
        <v>0.28999999999999998</v>
      </c>
      <c r="AF243" s="291">
        <v>0.23</v>
      </c>
      <c r="AG243" s="291">
        <v>0.36</v>
      </c>
      <c r="AH243" s="425">
        <v>0.28999999999999998</v>
      </c>
      <c r="AI243" s="426">
        <v>0.32</v>
      </c>
      <c r="AJ243" s="427">
        <v>0.25</v>
      </c>
      <c r="AK243" s="427">
        <v>0.4</v>
      </c>
      <c r="AL243" s="425">
        <v>0.31</v>
      </c>
      <c r="AM243" s="426">
        <v>0.34</v>
      </c>
      <c r="AN243" s="427">
        <v>0.28000000000000003</v>
      </c>
      <c r="AO243" s="475">
        <v>0.41</v>
      </c>
    </row>
    <row r="244" spans="5:41" x14ac:dyDescent="0.2">
      <c r="E244" s="26">
        <v>4</v>
      </c>
      <c r="F244" s="64">
        <f>$I10</f>
        <v>0.03</v>
      </c>
      <c r="G244" s="64">
        <f>$I11</f>
        <v>0.01</v>
      </c>
      <c r="H244" s="64">
        <f>$I12</f>
        <v>0.01</v>
      </c>
      <c r="I244" s="64">
        <f>$I14</f>
        <v>0.01</v>
      </c>
      <c r="J244" s="55">
        <f>$AM10</f>
        <v>0.03</v>
      </c>
      <c r="K244" s="55">
        <f>$AM11</f>
        <v>0.01</v>
      </c>
      <c r="L244" s="55">
        <f>$AM12</f>
        <v>0.01</v>
      </c>
      <c r="M244" s="55">
        <f>$AM14</f>
        <v>0.02</v>
      </c>
      <c r="N244" s="64">
        <f>$BR10</f>
        <v>0.03</v>
      </c>
      <c r="O244" s="64">
        <f>$BR11</f>
        <v>0.01</v>
      </c>
      <c r="P244" s="64">
        <f>$BR12</f>
        <v>0.01</v>
      </c>
      <c r="Q244" s="64">
        <f>$BR14</f>
        <v>0.02</v>
      </c>
      <c r="R244" s="64">
        <f>$CX10</f>
        <v>0.03</v>
      </c>
      <c r="S244" s="64">
        <f>$CX11</f>
        <v>0.01</v>
      </c>
      <c r="T244" s="64">
        <f>$CX12</f>
        <v>0.01</v>
      </c>
      <c r="U244" s="64">
        <f>$CX14</f>
        <v>0.02</v>
      </c>
      <c r="V244" s="58">
        <f>$EC10</f>
        <v>0.02</v>
      </c>
      <c r="W244" s="58">
        <f>$EC11</f>
        <v>0.01</v>
      </c>
      <c r="X244" s="58">
        <f>$EC12</f>
        <v>0.01</v>
      </c>
      <c r="Y244" s="58">
        <f>$EC14</f>
        <v>0.01</v>
      </c>
      <c r="Z244" s="58">
        <f>$FI10</f>
        <v>0.02</v>
      </c>
      <c r="AA244" s="58">
        <f>$FI11</f>
        <v>0.01</v>
      </c>
      <c r="AB244" s="58">
        <f>$FI12</f>
        <v>0</v>
      </c>
      <c r="AC244" s="58">
        <f>$FI14</f>
        <v>0.01</v>
      </c>
      <c r="AD244" s="287">
        <v>0.03</v>
      </c>
      <c r="AE244" s="288">
        <v>0.01</v>
      </c>
      <c r="AF244" s="291">
        <v>0.01</v>
      </c>
      <c r="AG244" s="291">
        <v>0.02</v>
      </c>
      <c r="AH244" s="425">
        <v>0.03</v>
      </c>
      <c r="AI244" s="426">
        <v>0.02</v>
      </c>
      <c r="AJ244" s="427">
        <v>0.01</v>
      </c>
      <c r="AK244" s="427">
        <v>0.02</v>
      </c>
      <c r="AL244" s="425">
        <v>0.04</v>
      </c>
      <c r="AM244" s="426">
        <v>0.02</v>
      </c>
      <c r="AN244" s="427">
        <v>0.01</v>
      </c>
      <c r="AO244" s="475">
        <v>0.02</v>
      </c>
    </row>
  </sheetData>
  <sheetProtection algorithmName="SHA-512" hashValue="aP0Ext8CX2eWiLeVn+v+EHAdck1LzyPjpIh+RU3HN4n6QOiGWmWhB1pxyMN9njDkHqVr5e/pfKinFCI9OG0MfA==" saltValue="eVGyaQHloLhCtYV0bRA0ew==" spinCount="100000" sheet="1" objects="1" scenarios="1"/>
  <autoFilter ref="A8:LT174" xr:uid="{A95D4292-BDAD-4C32-9895-585BE82F63C0}"/>
  <sortState ref="A38:CT173">
    <sortCondition ref="A38:A173"/>
  </sortState>
  <mergeCells count="100">
    <mergeCell ref="KH6:LO6"/>
    <mergeCell ref="KP7:LO7"/>
    <mergeCell ref="IZ6:KG6"/>
    <mergeCell ref="JH7:KG7"/>
    <mergeCell ref="HR6:IY6"/>
    <mergeCell ref="HR7:HR8"/>
    <mergeCell ref="HT7:HT8"/>
    <mergeCell ref="HV7:HY7"/>
    <mergeCell ref="HZ7:IY7"/>
    <mergeCell ref="KI7:KI8"/>
    <mergeCell ref="KK7:KK8"/>
    <mergeCell ref="KL7:KO7"/>
    <mergeCell ref="E178:E179"/>
    <mergeCell ref="L178:M178"/>
    <mergeCell ref="AJ7:AM7"/>
    <mergeCell ref="L190:M190"/>
    <mergeCell ref="N190:O190"/>
    <mergeCell ref="P190:Q190"/>
    <mergeCell ref="E177:O177"/>
    <mergeCell ref="AH7:AH8"/>
    <mergeCell ref="R190:S190"/>
    <mergeCell ref="X190:Y190"/>
    <mergeCell ref="V190:W190"/>
    <mergeCell ref="T190:U190"/>
    <mergeCell ref="E7:E8"/>
    <mergeCell ref="F178:G178"/>
    <mergeCell ref="H178:I178"/>
    <mergeCell ref="J189:M189"/>
    <mergeCell ref="N189:Q189"/>
    <mergeCell ref="R189:U189"/>
    <mergeCell ref="N178:O178"/>
    <mergeCell ref="V189:Y189"/>
    <mergeCell ref="P178:Q178"/>
    <mergeCell ref="R178:S178"/>
    <mergeCell ref="T178:U178"/>
    <mergeCell ref="R239:U239"/>
    <mergeCell ref="V239:Y239"/>
    <mergeCell ref="Z190:AA190"/>
    <mergeCell ref="Z239:AC239"/>
    <mergeCell ref="A1:AI1"/>
    <mergeCell ref="A2:AI2"/>
    <mergeCell ref="A3:AI3"/>
    <mergeCell ref="D6:AG6"/>
    <mergeCell ref="AH6:BL6"/>
    <mergeCell ref="C6:C8"/>
    <mergeCell ref="B6:B8"/>
    <mergeCell ref="A6:A8"/>
    <mergeCell ref="F7:I7"/>
    <mergeCell ref="J7:AG7"/>
    <mergeCell ref="J178:K178"/>
    <mergeCell ref="F189:I189"/>
    <mergeCell ref="D7:D8"/>
    <mergeCell ref="AN7:BL7"/>
    <mergeCell ref="BM6:CR6"/>
    <mergeCell ref="CS7:CS8"/>
    <mergeCell ref="CS6:DW6"/>
    <mergeCell ref="BO7:BR7"/>
    <mergeCell ref="AI7:AI8"/>
    <mergeCell ref="BS7:CR7"/>
    <mergeCell ref="CU7:CX7"/>
    <mergeCell ref="CT7:CT8"/>
    <mergeCell ref="AL239:AO239"/>
    <mergeCell ref="AL189:AO189"/>
    <mergeCell ref="FB6:GI6"/>
    <mergeCell ref="U202:Z202"/>
    <mergeCell ref="E202:J202"/>
    <mergeCell ref="Z189:AC189"/>
    <mergeCell ref="AB190:AC190"/>
    <mergeCell ref="DX6:FA6"/>
    <mergeCell ref="DY7:DY8"/>
    <mergeCell ref="F190:G190"/>
    <mergeCell ref="H190:I190"/>
    <mergeCell ref="J190:K190"/>
    <mergeCell ref="E238:Y238"/>
    <mergeCell ref="F239:I239"/>
    <mergeCell ref="J239:M239"/>
    <mergeCell ref="N239:Q239"/>
    <mergeCell ref="AD239:AG239"/>
    <mergeCell ref="AD189:AG189"/>
    <mergeCell ref="AD190:AE190"/>
    <mergeCell ref="AF190:AG190"/>
    <mergeCell ref="AH189:AK189"/>
    <mergeCell ref="AH190:AI190"/>
    <mergeCell ref="AJ190:AK190"/>
    <mergeCell ref="AH239:AK239"/>
    <mergeCell ref="AL190:AM190"/>
    <mergeCell ref="AN190:AO190"/>
    <mergeCell ref="V178:W178"/>
    <mergeCell ref="GJ6:HQ6"/>
    <mergeCell ref="GJ7:GJ8"/>
    <mergeCell ref="GL7:GL8"/>
    <mergeCell ref="GN7:GQ7"/>
    <mergeCell ref="GR7:HQ7"/>
    <mergeCell ref="FB7:FB8"/>
    <mergeCell ref="FD7:FD8"/>
    <mergeCell ref="FJ7:GI7"/>
    <mergeCell ref="FF7:FI7"/>
    <mergeCell ref="CY7:DW7"/>
    <mergeCell ref="DX7:DX8"/>
    <mergeCell ref="CS189:DY189"/>
  </mergeCells>
  <phoneticPr fontId="25" type="noConversion"/>
  <conditionalFormatting sqref="A131">
    <cfRule type="duplicateValues" dxfId="42" priority="9"/>
    <cfRule type="duplicateValues" dxfId="41" priority="10"/>
  </conditionalFormatting>
  <conditionalFormatting sqref="A164">
    <cfRule type="duplicateValues" dxfId="40" priority="11"/>
    <cfRule type="duplicateValues" dxfId="39" priority="12"/>
  </conditionalFormatting>
  <conditionalFormatting sqref="LQ131">
    <cfRule type="duplicateValues" dxfId="38" priority="5"/>
    <cfRule type="duplicateValues" dxfId="37" priority="6"/>
  </conditionalFormatting>
  <conditionalFormatting sqref="LQ164">
    <cfRule type="duplicateValues" dxfId="36" priority="7"/>
    <cfRule type="duplicateValues" dxfId="35" priority="8"/>
  </conditionalFormatting>
  <pageMargins left="0.75" right="0.75" top="1" bottom="1" header="0.5" footer="0.5"/>
  <pageSetup orientation="portrait" horizontalDpi="300" verticalDpi="300" r:id="rId1"/>
  <headerFooter alignWithMargins="0"/>
  <drawing r:id="rId2"/>
  <legacy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10"/>
  <dimension ref="A1:CG299"/>
  <sheetViews>
    <sheetView zoomScale="80" zoomScaleNormal="80" workbookViewId="0">
      <pane xSplit="1" topLeftCell="BH1" activePane="topRight" state="frozen"/>
      <selection activeCell="K23" sqref="K23"/>
      <selection pane="topRight" activeCell="CC11" sqref="CC11"/>
    </sheetView>
  </sheetViews>
  <sheetFormatPr baseColWidth="10" defaultColWidth="9.140625" defaultRowHeight="12.75" x14ac:dyDescent="0.2"/>
  <cols>
    <col min="1" max="1" width="71.42578125" bestFit="1" customWidth="1"/>
    <col min="2" max="2" width="14.7109375" customWidth="1"/>
    <col min="3" max="3" width="11.42578125" customWidth="1"/>
    <col min="4" max="4" width="12.28515625" customWidth="1"/>
    <col min="5" max="10" width="11.7109375" customWidth="1"/>
    <col min="11" max="11" width="11" customWidth="1"/>
    <col min="12" max="17" width="11.5703125" customWidth="1"/>
    <col min="18" max="18" width="10.7109375" customWidth="1"/>
    <col min="19" max="24" width="12.140625" customWidth="1"/>
    <col min="25" max="25" width="11.140625" customWidth="1"/>
    <col min="26" max="31" width="12" customWidth="1"/>
    <col min="32" max="32" width="12.5703125" customWidth="1"/>
    <col min="33" max="34" width="12" customWidth="1"/>
    <col min="35" max="36" width="11.5703125" customWidth="1"/>
    <col min="37" max="37" width="12" customWidth="1"/>
    <col min="38" max="38" width="11.42578125" customWidth="1"/>
    <col min="39" max="40" width="12.42578125" customWidth="1"/>
    <col min="41" max="42" width="13.85546875" customWidth="1"/>
    <col min="43" max="43" width="13.140625" customWidth="1"/>
    <col min="66" max="83" width="9.140625" customWidth="1"/>
    <col min="84" max="84" width="21.7109375" style="922" customWidth="1"/>
    <col min="85" max="85" width="39.140625" customWidth="1"/>
  </cols>
  <sheetData>
    <row r="1" spans="1:83" x14ac:dyDescent="0.2">
      <c r="A1" s="1057"/>
      <c r="B1" s="1057"/>
      <c r="C1" s="1057"/>
      <c r="D1" s="1057"/>
      <c r="E1" s="1057"/>
      <c r="F1" s="1057"/>
      <c r="G1" s="1057"/>
      <c r="H1" s="1057"/>
      <c r="I1" s="1057"/>
      <c r="J1" s="1057"/>
      <c r="K1" s="1057"/>
      <c r="L1" s="1057"/>
    </row>
    <row r="3" spans="1:83" x14ac:dyDescent="0.2">
      <c r="A3" s="1057"/>
      <c r="B3" s="1057"/>
      <c r="C3" s="1057"/>
      <c r="D3" s="1057"/>
      <c r="E3" s="1057"/>
      <c r="F3" s="1057"/>
      <c r="G3" s="1057"/>
      <c r="H3" s="1057"/>
      <c r="I3" s="1057"/>
      <c r="J3" s="1057"/>
      <c r="K3" s="1057"/>
      <c r="L3" s="1057"/>
    </row>
    <row r="4" spans="1:83" x14ac:dyDescent="0.2">
      <c r="A4" s="1057"/>
      <c r="B4" s="1057"/>
      <c r="C4" s="1057"/>
      <c r="D4" s="1057"/>
      <c r="E4" s="1057"/>
      <c r="F4" s="1057"/>
      <c r="G4" s="1057"/>
      <c r="H4" s="1057"/>
      <c r="I4" s="1057"/>
      <c r="J4" s="1057"/>
      <c r="K4" s="1057"/>
      <c r="L4" s="1057"/>
    </row>
    <row r="6" spans="1:83" x14ac:dyDescent="0.2">
      <c r="A6">
        <v>1</v>
      </c>
      <c r="B6">
        <v>2</v>
      </c>
      <c r="C6">
        <v>3</v>
      </c>
      <c r="D6">
        <v>4</v>
      </c>
      <c r="E6">
        <v>5</v>
      </c>
      <c r="F6">
        <v>6</v>
      </c>
      <c r="G6">
        <v>7</v>
      </c>
      <c r="H6">
        <v>8</v>
      </c>
      <c r="I6">
        <v>9</v>
      </c>
      <c r="J6">
        <v>10</v>
      </c>
      <c r="K6">
        <v>11</v>
      </c>
      <c r="L6">
        <v>12</v>
      </c>
      <c r="M6">
        <v>13</v>
      </c>
      <c r="N6">
        <v>14</v>
      </c>
      <c r="O6">
        <v>15</v>
      </c>
      <c r="P6">
        <v>16</v>
      </c>
      <c r="Q6">
        <v>17</v>
      </c>
      <c r="R6">
        <v>18</v>
      </c>
      <c r="S6">
        <v>19</v>
      </c>
      <c r="T6">
        <v>20</v>
      </c>
      <c r="U6">
        <v>21</v>
      </c>
      <c r="V6">
        <v>22</v>
      </c>
      <c r="W6">
        <v>23</v>
      </c>
      <c r="X6">
        <v>24</v>
      </c>
      <c r="Y6">
        <v>25</v>
      </c>
      <c r="Z6">
        <v>26</v>
      </c>
      <c r="AA6">
        <v>27</v>
      </c>
      <c r="AB6">
        <v>28</v>
      </c>
      <c r="AC6">
        <v>29</v>
      </c>
      <c r="AD6">
        <v>30</v>
      </c>
      <c r="AE6">
        <v>31</v>
      </c>
      <c r="AF6">
        <v>32</v>
      </c>
      <c r="AG6">
        <v>33</v>
      </c>
      <c r="AH6">
        <v>34</v>
      </c>
      <c r="AI6">
        <v>35</v>
      </c>
      <c r="AJ6">
        <v>36</v>
      </c>
      <c r="AK6">
        <v>37</v>
      </c>
      <c r="AL6">
        <v>38</v>
      </c>
      <c r="AM6">
        <v>39</v>
      </c>
      <c r="AN6">
        <v>40</v>
      </c>
      <c r="AO6">
        <v>41</v>
      </c>
      <c r="AP6">
        <v>42</v>
      </c>
      <c r="AQ6">
        <v>43</v>
      </c>
      <c r="AR6">
        <v>44</v>
      </c>
      <c r="AS6">
        <v>45</v>
      </c>
      <c r="AT6">
        <v>46</v>
      </c>
      <c r="AU6">
        <v>47</v>
      </c>
      <c r="AV6">
        <v>48</v>
      </c>
      <c r="AW6">
        <v>49</v>
      </c>
      <c r="AX6">
        <v>50</v>
      </c>
      <c r="AY6">
        <v>51</v>
      </c>
      <c r="AZ6">
        <v>52</v>
      </c>
      <c r="BA6">
        <v>53</v>
      </c>
      <c r="BB6">
        <v>54</v>
      </c>
      <c r="BC6">
        <v>55</v>
      </c>
      <c r="BD6">
        <v>56</v>
      </c>
      <c r="BE6">
        <v>57</v>
      </c>
      <c r="BF6">
        <v>58</v>
      </c>
      <c r="BG6">
        <v>59</v>
      </c>
      <c r="BH6">
        <v>60</v>
      </c>
      <c r="BI6">
        <v>61</v>
      </c>
      <c r="BJ6">
        <v>62</v>
      </c>
      <c r="BK6">
        <v>63</v>
      </c>
      <c r="BL6">
        <v>64</v>
      </c>
      <c r="BM6">
        <v>65</v>
      </c>
      <c r="BN6">
        <v>66</v>
      </c>
      <c r="BO6">
        <v>67</v>
      </c>
      <c r="BP6">
        <v>68</v>
      </c>
      <c r="BQ6">
        <v>69</v>
      </c>
      <c r="BR6">
        <v>70</v>
      </c>
      <c r="BS6">
        <v>71</v>
      </c>
      <c r="BT6">
        <v>72</v>
      </c>
      <c r="BU6">
        <v>73</v>
      </c>
      <c r="BV6">
        <v>74</v>
      </c>
      <c r="BW6" s="960">
        <v>75</v>
      </c>
      <c r="BX6" s="960">
        <v>76</v>
      </c>
      <c r="BY6" s="960">
        <v>77</v>
      </c>
      <c r="BZ6" s="960">
        <v>78</v>
      </c>
      <c r="CA6" s="960">
        <v>79</v>
      </c>
      <c r="CB6" s="960">
        <v>80</v>
      </c>
      <c r="CC6" s="960">
        <v>81</v>
      </c>
      <c r="CD6" s="960">
        <v>82</v>
      </c>
      <c r="CE6" s="960">
        <v>83</v>
      </c>
    </row>
    <row r="7" spans="1:83" x14ac:dyDescent="0.2">
      <c r="A7" s="1054" t="s">
        <v>5</v>
      </c>
      <c r="B7" s="1054" t="s">
        <v>138</v>
      </c>
      <c r="C7" s="1054" t="s">
        <v>139</v>
      </c>
      <c r="D7" s="1053">
        <v>2016</v>
      </c>
      <c r="E7" s="1054"/>
      <c r="F7" s="1054"/>
      <c r="G7" s="1054"/>
      <c r="H7" s="1054"/>
      <c r="I7" s="1054"/>
      <c r="J7" s="1054"/>
      <c r="K7" s="1254">
        <v>2017</v>
      </c>
      <c r="L7" s="1188"/>
      <c r="M7" s="1188"/>
      <c r="N7" s="1188"/>
      <c r="O7" s="1188"/>
      <c r="P7" s="1188"/>
      <c r="Q7" s="1188"/>
      <c r="R7" s="1053">
        <v>2018</v>
      </c>
      <c r="S7" s="1054"/>
      <c r="T7" s="1054"/>
      <c r="U7" s="1054"/>
      <c r="V7" s="1054"/>
      <c r="W7" s="1054"/>
      <c r="X7" s="1054"/>
      <c r="Y7" s="1053">
        <v>2019</v>
      </c>
      <c r="Z7" s="1054"/>
      <c r="AA7" s="1054"/>
      <c r="AB7" s="1054"/>
      <c r="AC7" s="1054"/>
      <c r="AD7" s="1054"/>
      <c r="AE7" s="1054"/>
      <c r="AF7" s="1053">
        <v>2020</v>
      </c>
      <c r="AG7" s="1054"/>
      <c r="AH7" s="1054"/>
      <c r="AI7" s="1054"/>
      <c r="AJ7" s="1054"/>
      <c r="AK7" s="1054"/>
      <c r="AL7" s="1054"/>
      <c r="AM7" s="1053">
        <v>2021</v>
      </c>
      <c r="AN7" s="1054"/>
      <c r="AO7" s="1054"/>
      <c r="AP7" s="1054"/>
      <c r="AQ7" s="1054"/>
      <c r="AR7" s="1054"/>
      <c r="AS7" s="1054"/>
      <c r="AT7" s="1054"/>
      <c r="AU7" s="1054"/>
      <c r="AV7" s="1053">
        <v>2022</v>
      </c>
      <c r="AW7" s="1054"/>
      <c r="AX7" s="1054"/>
      <c r="AY7" s="1054"/>
      <c r="AZ7" s="1054"/>
      <c r="BA7" s="1054"/>
      <c r="BB7" s="1054"/>
      <c r="BC7" s="1054"/>
      <c r="BD7" s="1054"/>
      <c r="BE7" s="1053">
        <v>2023</v>
      </c>
      <c r="BF7" s="1054"/>
      <c r="BG7" s="1054"/>
      <c r="BH7" s="1054"/>
      <c r="BI7" s="1054"/>
      <c r="BJ7" s="1054"/>
      <c r="BK7" s="1054"/>
      <c r="BL7" s="1054"/>
      <c r="BM7" s="1054"/>
      <c r="BN7" s="1053">
        <v>2024</v>
      </c>
      <c r="BO7" s="1054"/>
      <c r="BP7" s="1054"/>
      <c r="BQ7" s="1054"/>
      <c r="BR7" s="1054"/>
      <c r="BS7" s="1054"/>
      <c r="BT7" s="1054"/>
      <c r="BU7" s="1054"/>
      <c r="BV7" s="1054"/>
      <c r="BW7" s="1263">
        <v>2025</v>
      </c>
      <c r="BX7" s="1264"/>
      <c r="BY7" s="1264"/>
      <c r="BZ7" s="1264"/>
      <c r="CA7" s="1264"/>
      <c r="CB7" s="1264"/>
      <c r="CC7" s="1264"/>
      <c r="CD7" s="1264"/>
      <c r="CE7" s="1264"/>
    </row>
    <row r="8" spans="1:83" x14ac:dyDescent="0.2">
      <c r="A8" s="1054"/>
      <c r="B8" s="1054"/>
      <c r="C8" s="1054"/>
      <c r="D8" s="1188" t="s">
        <v>120</v>
      </c>
      <c r="E8" s="1190" t="s">
        <v>119</v>
      </c>
      <c r="F8" s="1192" t="s">
        <v>168</v>
      </c>
      <c r="G8" s="1210"/>
      <c r="H8" s="1210"/>
      <c r="I8" s="1210"/>
      <c r="J8" s="1210"/>
      <c r="K8" s="1188" t="s">
        <v>120</v>
      </c>
      <c r="L8" s="1190" t="s">
        <v>119</v>
      </c>
      <c r="M8" s="1209" t="s">
        <v>168</v>
      </c>
      <c r="N8" s="1210"/>
      <c r="O8" s="1210"/>
      <c r="P8" s="1210"/>
      <c r="Q8" s="1210"/>
      <c r="R8" s="1188" t="s">
        <v>120</v>
      </c>
      <c r="S8" s="1190" t="s">
        <v>119</v>
      </c>
      <c r="T8" s="1192" t="s">
        <v>168</v>
      </c>
      <c r="U8" s="1057"/>
      <c r="V8" s="1057"/>
      <c r="W8" s="1057"/>
      <c r="X8" s="1057"/>
      <c r="Y8" s="1188" t="s">
        <v>120</v>
      </c>
      <c r="Z8" s="1190" t="s">
        <v>119</v>
      </c>
      <c r="AA8" s="1192" t="s">
        <v>168</v>
      </c>
      <c r="AB8" s="1057"/>
      <c r="AC8" s="1057"/>
      <c r="AD8" s="1057"/>
      <c r="AE8" s="1057"/>
      <c r="AF8" s="1248" t="s">
        <v>120</v>
      </c>
      <c r="AG8" s="1248" t="s">
        <v>119</v>
      </c>
      <c r="AH8" s="51" t="s">
        <v>168</v>
      </c>
      <c r="AI8" s="52"/>
      <c r="AJ8" s="52"/>
      <c r="AK8" s="52"/>
      <c r="AL8" s="52"/>
      <c r="AM8" s="1248" t="s">
        <v>120</v>
      </c>
      <c r="AN8" s="242"/>
      <c r="AO8" s="1248" t="s">
        <v>119</v>
      </c>
      <c r="AP8" s="241"/>
      <c r="AQ8" s="51" t="s">
        <v>168</v>
      </c>
      <c r="AR8" s="52"/>
      <c r="AS8" s="52"/>
      <c r="AT8" s="52"/>
      <c r="AU8" s="52"/>
      <c r="AV8" s="1248" t="s">
        <v>120</v>
      </c>
      <c r="AW8" s="242"/>
      <c r="AX8" s="1248" t="s">
        <v>119</v>
      </c>
      <c r="AY8" s="241"/>
      <c r="AZ8" s="51" t="s">
        <v>168</v>
      </c>
      <c r="BA8" s="52"/>
      <c r="BB8" s="52"/>
      <c r="BC8" s="52"/>
      <c r="BD8" s="52"/>
      <c r="BE8" s="1248" t="s">
        <v>120</v>
      </c>
      <c r="BF8" s="242"/>
      <c r="BG8" s="1248" t="s">
        <v>119</v>
      </c>
      <c r="BH8" s="241"/>
      <c r="BI8" s="51" t="s">
        <v>168</v>
      </c>
      <c r="BJ8" s="52"/>
      <c r="BK8" s="52"/>
      <c r="BL8" s="52"/>
      <c r="BM8" s="52"/>
      <c r="BN8" s="1248" t="s">
        <v>120</v>
      </c>
      <c r="BO8" s="1265" t="s">
        <v>946</v>
      </c>
      <c r="BP8" s="1248" t="s">
        <v>119</v>
      </c>
      <c r="BQ8" s="1266" t="s">
        <v>945</v>
      </c>
      <c r="BR8" s="1267" t="s">
        <v>168</v>
      </c>
      <c r="BS8" s="1268"/>
      <c r="BT8" s="1268"/>
      <c r="BU8" s="1268"/>
      <c r="BV8" s="1268"/>
      <c r="BW8" s="1248" t="s">
        <v>120</v>
      </c>
      <c r="BX8" s="1265" t="s">
        <v>946</v>
      </c>
      <c r="BY8" s="1248" t="s">
        <v>119</v>
      </c>
      <c r="BZ8" s="1266" t="s">
        <v>945</v>
      </c>
      <c r="CA8" s="1267" t="s">
        <v>168</v>
      </c>
      <c r="CB8" s="1268"/>
      <c r="CC8" s="1268"/>
      <c r="CD8" s="1268"/>
      <c r="CE8" s="1268"/>
    </row>
    <row r="9" spans="1:83" ht="24.95" customHeight="1" x14ac:dyDescent="0.2">
      <c r="A9" s="1065"/>
      <c r="B9" s="1065"/>
      <c r="C9" s="1065"/>
      <c r="D9" s="1189"/>
      <c r="E9" s="1191"/>
      <c r="F9" s="7" t="s">
        <v>200</v>
      </c>
      <c r="G9" s="7" t="s">
        <v>201</v>
      </c>
      <c r="H9" s="7" t="s">
        <v>202</v>
      </c>
      <c r="I9" s="7" t="s">
        <v>203</v>
      </c>
      <c r="J9" s="7" t="s">
        <v>204</v>
      </c>
      <c r="K9" s="1189"/>
      <c r="L9" s="1191"/>
      <c r="M9" s="16" t="s">
        <v>200</v>
      </c>
      <c r="N9" s="16" t="s">
        <v>201</v>
      </c>
      <c r="O9" s="16" t="s">
        <v>202</v>
      </c>
      <c r="P9" s="16" t="s">
        <v>203</v>
      </c>
      <c r="Q9" s="16" t="s">
        <v>204</v>
      </c>
      <c r="R9" s="1189"/>
      <c r="S9" s="1191"/>
      <c r="T9" s="7" t="s">
        <v>200</v>
      </c>
      <c r="U9" s="7" t="s">
        <v>201</v>
      </c>
      <c r="V9" s="7" t="s">
        <v>202</v>
      </c>
      <c r="W9" s="7" t="s">
        <v>203</v>
      </c>
      <c r="X9" s="7" t="s">
        <v>204</v>
      </c>
      <c r="Y9" s="1189"/>
      <c r="Z9" s="1191"/>
      <c r="AA9" s="7" t="s">
        <v>200</v>
      </c>
      <c r="AB9" s="7" t="s">
        <v>201</v>
      </c>
      <c r="AC9" s="7" t="s">
        <v>202</v>
      </c>
      <c r="AD9" s="7" t="s">
        <v>203</v>
      </c>
      <c r="AE9" s="7" t="s">
        <v>204</v>
      </c>
      <c r="AF9" s="1249"/>
      <c r="AG9" s="1249"/>
      <c r="AH9" s="54" t="s">
        <v>200</v>
      </c>
      <c r="AI9" s="54" t="s">
        <v>201</v>
      </c>
      <c r="AJ9" s="54" t="s">
        <v>202</v>
      </c>
      <c r="AK9" s="54" t="s">
        <v>203</v>
      </c>
      <c r="AL9" s="54" t="s">
        <v>204</v>
      </c>
      <c r="AM9" s="1249"/>
      <c r="AN9" s="264"/>
      <c r="AO9" s="1249"/>
      <c r="AP9" s="242"/>
      <c r="AQ9" s="54" t="s">
        <v>200</v>
      </c>
      <c r="AR9" s="54" t="s">
        <v>201</v>
      </c>
      <c r="AS9" s="54" t="s">
        <v>202</v>
      </c>
      <c r="AT9" s="54" t="s">
        <v>203</v>
      </c>
      <c r="AU9" s="54" t="s">
        <v>204</v>
      </c>
      <c r="AV9" s="1249"/>
      <c r="AW9" s="264"/>
      <c r="AX9" s="1249"/>
      <c r="AY9" s="242"/>
      <c r="AZ9" s="54" t="s">
        <v>200</v>
      </c>
      <c r="BA9" s="54" t="s">
        <v>201</v>
      </c>
      <c r="BB9" s="54" t="s">
        <v>202</v>
      </c>
      <c r="BC9" s="54" t="s">
        <v>203</v>
      </c>
      <c r="BD9" s="54" t="s">
        <v>204</v>
      </c>
      <c r="BE9" s="1249"/>
      <c r="BF9" s="264"/>
      <c r="BG9" s="1249"/>
      <c r="BH9" s="242"/>
      <c r="BI9" s="54" t="s">
        <v>200</v>
      </c>
      <c r="BJ9" s="54" t="s">
        <v>201</v>
      </c>
      <c r="BK9" s="54" t="s">
        <v>202</v>
      </c>
      <c r="BL9" s="54" t="s">
        <v>203</v>
      </c>
      <c r="BM9" s="54" t="s">
        <v>204</v>
      </c>
      <c r="BN9" s="1249"/>
      <c r="BO9" s="1265" t="s">
        <v>11</v>
      </c>
      <c r="BP9" s="1249"/>
      <c r="BQ9" s="1266" t="s">
        <v>11</v>
      </c>
      <c r="BR9" s="54" t="s">
        <v>200</v>
      </c>
      <c r="BS9" s="54" t="s">
        <v>201</v>
      </c>
      <c r="BT9" s="54" t="s">
        <v>202</v>
      </c>
      <c r="BU9" s="54" t="s">
        <v>203</v>
      </c>
      <c r="BV9" s="54" t="s">
        <v>204</v>
      </c>
      <c r="BW9" s="1249"/>
      <c r="BX9" s="1265" t="s">
        <v>11</v>
      </c>
      <c r="BY9" s="1249"/>
      <c r="BZ9" s="1266" t="s">
        <v>11</v>
      </c>
      <c r="CA9" s="54" t="s">
        <v>200</v>
      </c>
      <c r="CB9" s="54" t="s">
        <v>201</v>
      </c>
      <c r="CC9" s="54" t="s">
        <v>202</v>
      </c>
      <c r="CD9" s="54" t="s">
        <v>203</v>
      </c>
      <c r="CE9" s="54" t="s">
        <v>204</v>
      </c>
    </row>
    <row r="10" spans="1:83" ht="24.95" customHeight="1" x14ac:dyDescent="0.2">
      <c r="A10" s="3" t="s">
        <v>10</v>
      </c>
      <c r="B10" s="3"/>
      <c r="C10" s="3"/>
      <c r="D10" s="17">
        <v>53</v>
      </c>
      <c r="E10" s="17">
        <v>12</v>
      </c>
      <c r="F10" s="64">
        <v>0.36</v>
      </c>
      <c r="G10" s="64">
        <v>0.33</v>
      </c>
      <c r="H10" s="64">
        <v>0.19</v>
      </c>
      <c r="I10" s="64">
        <v>0.1</v>
      </c>
      <c r="J10" s="64">
        <v>0.02</v>
      </c>
      <c r="K10" s="17">
        <v>51</v>
      </c>
      <c r="L10" s="17">
        <v>11</v>
      </c>
      <c r="M10" s="58">
        <v>0.44</v>
      </c>
      <c r="N10" s="58">
        <v>0.3</v>
      </c>
      <c r="O10" s="58">
        <v>0.16</v>
      </c>
      <c r="P10" s="58">
        <v>0.08</v>
      </c>
      <c r="Q10" s="58">
        <v>0.02</v>
      </c>
      <c r="R10" s="17">
        <v>52</v>
      </c>
      <c r="S10" s="17">
        <v>11</v>
      </c>
      <c r="T10" s="37">
        <v>0.37</v>
      </c>
      <c r="U10" s="37">
        <v>0.34</v>
      </c>
      <c r="V10" s="37">
        <v>0.19</v>
      </c>
      <c r="W10" s="37">
        <v>0.08</v>
      </c>
      <c r="X10" s="37">
        <v>0.02</v>
      </c>
      <c r="Y10" s="17">
        <v>50</v>
      </c>
      <c r="Z10" s="17">
        <v>12</v>
      </c>
      <c r="AA10" s="37">
        <v>0.44</v>
      </c>
      <c r="AB10" s="37">
        <v>0.3</v>
      </c>
      <c r="AC10" s="37">
        <v>0.17</v>
      </c>
      <c r="AD10" s="37">
        <v>7.0000000000000007E-2</v>
      </c>
      <c r="AE10" s="37">
        <v>0.02</v>
      </c>
      <c r="AF10" s="18">
        <v>48</v>
      </c>
      <c r="AG10" s="18">
        <v>11</v>
      </c>
      <c r="AH10" s="58">
        <v>0.56999999999999995</v>
      </c>
      <c r="AI10" s="58">
        <v>0.27</v>
      </c>
      <c r="AJ10" s="58">
        <v>0.09</v>
      </c>
      <c r="AK10" s="58">
        <v>0.06</v>
      </c>
      <c r="AL10" s="58">
        <v>0.01</v>
      </c>
      <c r="AM10" s="245">
        <v>50</v>
      </c>
      <c r="AN10" s="245" t="s">
        <v>758</v>
      </c>
      <c r="AO10" s="245">
        <v>13</v>
      </c>
      <c r="AP10" s="245" t="s">
        <v>759</v>
      </c>
      <c r="AQ10" s="260">
        <v>0.47</v>
      </c>
      <c r="AR10" s="260">
        <v>0.28000000000000003</v>
      </c>
      <c r="AS10" s="260">
        <v>0.15</v>
      </c>
      <c r="AT10" s="260">
        <v>0.08</v>
      </c>
      <c r="AU10" s="260">
        <v>0.02</v>
      </c>
      <c r="AV10" s="313">
        <v>51</v>
      </c>
      <c r="AW10" s="313" t="s">
        <v>758</v>
      </c>
      <c r="AX10" s="313">
        <v>13</v>
      </c>
      <c r="AY10" s="313" t="s">
        <v>759</v>
      </c>
      <c r="AZ10" s="287">
        <v>0.44</v>
      </c>
      <c r="BA10" s="287">
        <v>0.28000000000000003</v>
      </c>
      <c r="BB10" s="287">
        <v>0.17</v>
      </c>
      <c r="BC10" s="287">
        <v>0.09</v>
      </c>
      <c r="BD10" s="287">
        <v>0.02</v>
      </c>
      <c r="BE10" s="421">
        <v>52</v>
      </c>
      <c r="BF10" s="421" t="s">
        <v>758</v>
      </c>
      <c r="BG10" s="421">
        <v>12</v>
      </c>
      <c r="BH10" s="421" t="s">
        <v>758</v>
      </c>
      <c r="BI10" s="425">
        <v>0.42</v>
      </c>
      <c r="BJ10" s="425">
        <v>0.31</v>
      </c>
      <c r="BK10" s="425">
        <v>0.16</v>
      </c>
      <c r="BL10" s="425">
        <v>0.09</v>
      </c>
      <c r="BM10" s="425">
        <v>0.03</v>
      </c>
      <c r="BN10" s="421">
        <v>52</v>
      </c>
      <c r="BO10" s="421" t="s">
        <v>758</v>
      </c>
      <c r="BP10" s="421">
        <v>13</v>
      </c>
      <c r="BQ10" s="421" t="s">
        <v>759</v>
      </c>
      <c r="BR10" s="425">
        <v>0.39</v>
      </c>
      <c r="BS10" s="425">
        <v>0.3</v>
      </c>
      <c r="BT10" s="425">
        <v>0.17</v>
      </c>
      <c r="BU10" s="425">
        <v>0.1</v>
      </c>
      <c r="BV10" s="425">
        <v>0.03</v>
      </c>
      <c r="BW10" s="962">
        <v>53</v>
      </c>
      <c r="BX10" s="962" t="s">
        <v>758</v>
      </c>
      <c r="BY10" s="962">
        <v>13</v>
      </c>
      <c r="BZ10" s="962" t="s">
        <v>759</v>
      </c>
      <c r="CA10" s="963">
        <v>0.37</v>
      </c>
      <c r="CB10" s="963">
        <v>0.28999999999999998</v>
      </c>
      <c r="CC10" s="963">
        <v>0.19</v>
      </c>
      <c r="CD10" s="963">
        <v>0.11</v>
      </c>
      <c r="CE10" s="963">
        <v>0.03</v>
      </c>
    </row>
    <row r="11" spans="1:83" ht="24.95" customHeight="1" x14ac:dyDescent="0.2">
      <c r="A11" s="4" t="s">
        <v>0</v>
      </c>
      <c r="B11" s="4"/>
      <c r="C11" s="4"/>
      <c r="D11" s="19">
        <v>54</v>
      </c>
      <c r="E11" s="19">
        <v>10</v>
      </c>
      <c r="F11" s="62">
        <v>0.28999999999999998</v>
      </c>
      <c r="G11" s="62">
        <v>0.4</v>
      </c>
      <c r="H11" s="62">
        <v>0.24</v>
      </c>
      <c r="I11" s="62">
        <v>0.08</v>
      </c>
      <c r="J11" s="62">
        <v>0</v>
      </c>
      <c r="K11" s="19">
        <v>51</v>
      </c>
      <c r="L11" s="19">
        <v>10</v>
      </c>
      <c r="M11" s="59">
        <v>0.38</v>
      </c>
      <c r="N11" s="59">
        <v>0.36</v>
      </c>
      <c r="O11" s="59">
        <v>0.2</v>
      </c>
      <c r="P11" s="59">
        <v>0.05</v>
      </c>
      <c r="Q11" s="59">
        <v>0</v>
      </c>
      <c r="R11" s="19">
        <v>52</v>
      </c>
      <c r="S11" s="19">
        <v>9</v>
      </c>
      <c r="T11" s="38">
        <v>0.31</v>
      </c>
      <c r="U11" s="38">
        <v>0.42</v>
      </c>
      <c r="V11" s="38">
        <v>0.21</v>
      </c>
      <c r="W11" s="38">
        <v>0.06</v>
      </c>
      <c r="X11" s="38">
        <v>0.01</v>
      </c>
      <c r="Y11" s="19">
        <v>51</v>
      </c>
      <c r="Z11" s="19">
        <v>10</v>
      </c>
      <c r="AA11" s="38">
        <v>0.35</v>
      </c>
      <c r="AB11" s="38">
        <v>0.39</v>
      </c>
      <c r="AC11" s="38">
        <v>0.2</v>
      </c>
      <c r="AD11" s="38">
        <v>0.06</v>
      </c>
      <c r="AE11" s="38">
        <v>0</v>
      </c>
      <c r="AF11" s="20">
        <v>48</v>
      </c>
      <c r="AG11" s="20">
        <v>9</v>
      </c>
      <c r="AH11" s="59">
        <v>0.51</v>
      </c>
      <c r="AI11" s="59">
        <v>0.34</v>
      </c>
      <c r="AJ11" s="59">
        <v>0.1</v>
      </c>
      <c r="AK11" s="59">
        <v>0.04</v>
      </c>
      <c r="AL11" s="59">
        <v>0</v>
      </c>
      <c r="AM11" s="243">
        <v>52</v>
      </c>
      <c r="AN11" s="243" t="s">
        <v>11</v>
      </c>
      <c r="AO11" s="243">
        <v>11</v>
      </c>
      <c r="AP11" s="243" t="s">
        <v>11</v>
      </c>
      <c r="AQ11" s="261">
        <v>0.35</v>
      </c>
      <c r="AR11" s="261">
        <v>0.37</v>
      </c>
      <c r="AS11" s="261">
        <v>0.2</v>
      </c>
      <c r="AT11" s="261">
        <v>7.0000000000000007E-2</v>
      </c>
      <c r="AU11" s="261">
        <v>0.01</v>
      </c>
      <c r="AV11" s="314">
        <v>53</v>
      </c>
      <c r="AW11" s="314" t="s">
        <v>11</v>
      </c>
      <c r="AX11" s="314">
        <v>11</v>
      </c>
      <c r="AY11" s="314" t="s">
        <v>11</v>
      </c>
      <c r="AZ11" s="288">
        <v>0.3</v>
      </c>
      <c r="BA11" s="288">
        <v>0.36</v>
      </c>
      <c r="BB11" s="288">
        <v>0.24</v>
      </c>
      <c r="BC11" s="288">
        <v>0.09</v>
      </c>
      <c r="BD11" s="288">
        <v>0.01</v>
      </c>
      <c r="BE11" s="422">
        <v>53</v>
      </c>
      <c r="BF11" s="422" t="s">
        <v>11</v>
      </c>
      <c r="BG11" s="422">
        <v>11</v>
      </c>
      <c r="BH11" s="422" t="s">
        <v>11</v>
      </c>
      <c r="BI11" s="426">
        <v>0.31</v>
      </c>
      <c r="BJ11" s="426">
        <v>0.37</v>
      </c>
      <c r="BK11" s="426">
        <v>0.22</v>
      </c>
      <c r="BL11" s="426">
        <v>0.09</v>
      </c>
      <c r="BM11" s="426">
        <v>0.01</v>
      </c>
      <c r="BN11" s="422">
        <v>54</v>
      </c>
      <c r="BO11" s="422" t="s">
        <v>11</v>
      </c>
      <c r="BP11" s="422">
        <v>11</v>
      </c>
      <c r="BQ11" s="422" t="s">
        <v>11</v>
      </c>
      <c r="BR11" s="426">
        <v>0.28999999999999998</v>
      </c>
      <c r="BS11" s="426">
        <v>0.36</v>
      </c>
      <c r="BT11" s="426">
        <v>0.23</v>
      </c>
      <c r="BU11" s="426">
        <v>0.1</v>
      </c>
      <c r="BV11" s="426">
        <v>0.02</v>
      </c>
      <c r="BW11" s="964">
        <v>55</v>
      </c>
      <c r="BX11" s="964" t="s">
        <v>11</v>
      </c>
      <c r="BY11" s="964">
        <v>11</v>
      </c>
      <c r="BZ11" s="964" t="s">
        <v>11</v>
      </c>
      <c r="CA11" s="965">
        <v>0.27</v>
      </c>
      <c r="CB11" s="965">
        <v>0.34</v>
      </c>
      <c r="CC11" s="965">
        <v>0.26</v>
      </c>
      <c r="CD11" s="965">
        <v>0.11</v>
      </c>
      <c r="CE11" s="965">
        <v>0.02</v>
      </c>
    </row>
    <row r="12" spans="1:83" ht="24.95" customHeight="1" x14ac:dyDescent="0.2">
      <c r="A12" s="6" t="s">
        <v>12</v>
      </c>
      <c r="B12" s="6"/>
      <c r="C12" s="6"/>
      <c r="D12" s="21">
        <v>52</v>
      </c>
      <c r="E12" s="21">
        <v>9</v>
      </c>
      <c r="F12" s="65">
        <v>0.35</v>
      </c>
      <c r="G12" s="65">
        <v>0.41</v>
      </c>
      <c r="H12" s="65">
        <v>0.2</v>
      </c>
      <c r="I12" s="65">
        <v>0.04</v>
      </c>
      <c r="J12" s="65">
        <v>0</v>
      </c>
      <c r="K12" s="21">
        <v>49</v>
      </c>
      <c r="L12" s="21">
        <v>9</v>
      </c>
      <c r="M12" s="60">
        <v>0.45</v>
      </c>
      <c r="N12" s="60">
        <v>0.36</v>
      </c>
      <c r="O12" s="60">
        <v>0.16</v>
      </c>
      <c r="P12" s="60">
        <v>0.03</v>
      </c>
      <c r="Q12" s="60">
        <v>0</v>
      </c>
      <c r="R12" s="21">
        <v>50</v>
      </c>
      <c r="S12" s="21">
        <v>9</v>
      </c>
      <c r="T12" s="39">
        <v>0.37</v>
      </c>
      <c r="U12" s="39">
        <v>0.43</v>
      </c>
      <c r="V12" s="39">
        <v>0.16</v>
      </c>
      <c r="W12" s="39">
        <v>0.03</v>
      </c>
      <c r="X12" s="39">
        <v>0</v>
      </c>
      <c r="Y12" s="21">
        <v>49</v>
      </c>
      <c r="Z12" s="21">
        <v>10</v>
      </c>
      <c r="AA12" s="39">
        <v>0.43</v>
      </c>
      <c r="AB12" s="39">
        <v>0.38</v>
      </c>
      <c r="AC12" s="39">
        <v>0.15</v>
      </c>
      <c r="AD12" s="39">
        <v>0.03</v>
      </c>
      <c r="AE12" s="39">
        <v>0</v>
      </c>
      <c r="AF12" s="22">
        <v>46</v>
      </c>
      <c r="AG12" s="22">
        <v>9</v>
      </c>
      <c r="AH12" s="60">
        <v>0.59</v>
      </c>
      <c r="AI12" s="60">
        <v>0.32</v>
      </c>
      <c r="AJ12" s="60">
        <v>7.0000000000000007E-2</v>
      </c>
      <c r="AK12" s="60">
        <v>0.02</v>
      </c>
      <c r="AL12" s="60">
        <v>0</v>
      </c>
      <c r="AM12" s="244">
        <v>49</v>
      </c>
      <c r="AN12" s="244" t="s">
        <v>758</v>
      </c>
      <c r="AO12" s="244">
        <v>10</v>
      </c>
      <c r="AP12" s="244" t="s">
        <v>758</v>
      </c>
      <c r="AQ12" s="262">
        <v>0.44</v>
      </c>
      <c r="AR12" s="262">
        <v>0.37</v>
      </c>
      <c r="AS12" s="262">
        <v>0.15</v>
      </c>
      <c r="AT12" s="262">
        <v>0.04</v>
      </c>
      <c r="AU12" s="262">
        <v>0</v>
      </c>
      <c r="AV12" s="315">
        <v>51</v>
      </c>
      <c r="AW12" s="315" t="s">
        <v>758</v>
      </c>
      <c r="AX12" s="315">
        <v>10</v>
      </c>
      <c r="AY12" s="315" t="s">
        <v>758</v>
      </c>
      <c r="AZ12" s="291">
        <v>0.39</v>
      </c>
      <c r="BA12" s="291">
        <v>0.36</v>
      </c>
      <c r="BB12" s="291">
        <v>0.19</v>
      </c>
      <c r="BC12" s="291">
        <v>0.05</v>
      </c>
      <c r="BD12" s="291">
        <v>0</v>
      </c>
      <c r="BE12" s="423">
        <v>51</v>
      </c>
      <c r="BF12" s="423" t="s">
        <v>758</v>
      </c>
      <c r="BG12" s="423">
        <v>10</v>
      </c>
      <c r="BH12" s="423" t="s">
        <v>758</v>
      </c>
      <c r="BI12" s="427">
        <v>0.39</v>
      </c>
      <c r="BJ12" s="427">
        <v>0.39</v>
      </c>
      <c r="BK12" s="427">
        <v>0.17</v>
      </c>
      <c r="BL12" s="427">
        <v>0.05</v>
      </c>
      <c r="BM12" s="427">
        <v>0</v>
      </c>
      <c r="BN12" s="423">
        <v>52</v>
      </c>
      <c r="BO12" s="423" t="s">
        <v>758</v>
      </c>
      <c r="BP12" s="423">
        <v>10</v>
      </c>
      <c r="BQ12" s="423" t="s">
        <v>758</v>
      </c>
      <c r="BR12" s="427">
        <v>0.36</v>
      </c>
      <c r="BS12" s="427">
        <v>0.38</v>
      </c>
      <c r="BT12" s="427">
        <v>0.18</v>
      </c>
      <c r="BU12" s="427">
        <v>7.0000000000000007E-2</v>
      </c>
      <c r="BV12" s="427">
        <v>0.01</v>
      </c>
      <c r="BW12" s="966">
        <v>52</v>
      </c>
      <c r="BX12" s="966" t="s">
        <v>758</v>
      </c>
      <c r="BY12" s="966">
        <v>10</v>
      </c>
      <c r="BZ12" s="966" t="s">
        <v>758</v>
      </c>
      <c r="CA12" s="967">
        <v>0.34</v>
      </c>
      <c r="CB12" s="967">
        <v>0.37</v>
      </c>
      <c r="CC12" s="967">
        <v>0.21</v>
      </c>
      <c r="CD12" s="967">
        <v>7.0000000000000007E-2</v>
      </c>
      <c r="CE12" s="967">
        <v>0.01</v>
      </c>
    </row>
    <row r="13" spans="1:83" ht="24.95" customHeight="1" x14ac:dyDescent="0.2">
      <c r="A13" s="6" t="s">
        <v>13</v>
      </c>
      <c r="B13" s="6"/>
      <c r="C13" s="6"/>
      <c r="D13" s="21">
        <v>48</v>
      </c>
      <c r="E13" s="21">
        <v>7</v>
      </c>
      <c r="F13" s="65">
        <v>0.51</v>
      </c>
      <c r="G13" s="65">
        <v>0.41</v>
      </c>
      <c r="H13" s="65">
        <v>7.0000000000000007E-2</v>
      </c>
      <c r="I13" s="65">
        <v>0</v>
      </c>
      <c r="J13" s="65">
        <v>0</v>
      </c>
      <c r="K13" s="21">
        <v>44</v>
      </c>
      <c r="L13" s="21">
        <v>7</v>
      </c>
      <c r="M13" s="60">
        <v>0.81</v>
      </c>
      <c r="N13" s="60">
        <v>0.17</v>
      </c>
      <c r="O13" s="60">
        <v>0.02</v>
      </c>
      <c r="P13" s="60">
        <v>0</v>
      </c>
      <c r="Q13" s="60">
        <v>0</v>
      </c>
      <c r="R13" s="21">
        <v>45</v>
      </c>
      <c r="S13" s="21">
        <v>12</v>
      </c>
      <c r="T13" s="39">
        <v>0.59</v>
      </c>
      <c r="U13" s="39">
        <v>0.28999999999999998</v>
      </c>
      <c r="V13" s="39">
        <v>0.12</v>
      </c>
      <c r="W13" s="39">
        <v>0</v>
      </c>
      <c r="X13" s="39">
        <v>0</v>
      </c>
      <c r="Y13" s="21">
        <v>45</v>
      </c>
      <c r="Z13" s="21">
        <v>10</v>
      </c>
      <c r="AA13" s="39">
        <v>0.55000000000000004</v>
      </c>
      <c r="AB13" s="39">
        <v>0.37</v>
      </c>
      <c r="AC13" s="39">
        <v>0.08</v>
      </c>
      <c r="AD13" s="39">
        <v>0</v>
      </c>
      <c r="AE13" s="39">
        <v>0</v>
      </c>
      <c r="AF13" s="22">
        <v>42</v>
      </c>
      <c r="AG13" s="22">
        <v>6</v>
      </c>
      <c r="AH13" s="60">
        <v>0.82</v>
      </c>
      <c r="AI13" s="60">
        <v>0.18</v>
      </c>
      <c r="AJ13" s="60">
        <v>0</v>
      </c>
      <c r="AK13" s="60">
        <v>0</v>
      </c>
      <c r="AL13" s="60">
        <v>0</v>
      </c>
      <c r="AM13" s="244">
        <v>44</v>
      </c>
      <c r="AN13" s="244" t="s">
        <v>760</v>
      </c>
      <c r="AO13" s="244">
        <v>9</v>
      </c>
      <c r="AP13" s="244" t="s">
        <v>760</v>
      </c>
      <c r="AQ13" s="262">
        <v>0.61</v>
      </c>
      <c r="AR13" s="262">
        <v>0.32</v>
      </c>
      <c r="AS13" s="262">
        <v>7.0000000000000007E-2</v>
      </c>
      <c r="AT13" s="262">
        <v>0</v>
      </c>
      <c r="AU13" s="262">
        <v>0</v>
      </c>
      <c r="AV13" s="315">
        <v>49</v>
      </c>
      <c r="AW13" s="315" t="s">
        <v>760</v>
      </c>
      <c r="AX13" s="315">
        <v>10</v>
      </c>
      <c r="AY13" s="315" t="s">
        <v>758</v>
      </c>
      <c r="AZ13" s="291">
        <v>0.45</v>
      </c>
      <c r="BA13" s="291">
        <v>0.38</v>
      </c>
      <c r="BB13" s="291">
        <v>0.13</v>
      </c>
      <c r="BC13" s="291">
        <v>0.03</v>
      </c>
      <c r="BD13" s="291">
        <v>0.03</v>
      </c>
      <c r="BE13" s="423">
        <v>47</v>
      </c>
      <c r="BF13" s="423" t="s">
        <v>760</v>
      </c>
      <c r="BG13" s="423">
        <v>8</v>
      </c>
      <c r="BH13" s="423" t="s">
        <v>760</v>
      </c>
      <c r="BI13" s="427">
        <v>0.52</v>
      </c>
      <c r="BJ13" s="427">
        <v>0.38</v>
      </c>
      <c r="BK13" s="427">
        <v>0.1</v>
      </c>
      <c r="BL13" s="427">
        <v>0</v>
      </c>
      <c r="BM13" s="427">
        <v>0</v>
      </c>
      <c r="BN13" s="423">
        <v>48</v>
      </c>
      <c r="BO13" s="423" t="s">
        <v>760</v>
      </c>
      <c r="BP13" s="423">
        <v>7</v>
      </c>
      <c r="BQ13" s="423" t="s">
        <v>760</v>
      </c>
      <c r="BR13" s="427">
        <v>0.47</v>
      </c>
      <c r="BS13" s="427">
        <v>0.43</v>
      </c>
      <c r="BT13" s="427">
        <v>0.11</v>
      </c>
      <c r="BU13" s="427">
        <v>0</v>
      </c>
      <c r="BV13" s="427">
        <v>0</v>
      </c>
      <c r="BW13" s="966">
        <v>49</v>
      </c>
      <c r="BX13" s="966" t="s">
        <v>760</v>
      </c>
      <c r="BY13" s="966">
        <v>11</v>
      </c>
      <c r="BZ13" s="966" t="s">
        <v>758</v>
      </c>
      <c r="CA13" s="967">
        <v>0.42</v>
      </c>
      <c r="CB13" s="967">
        <v>0.38</v>
      </c>
      <c r="CC13" s="967">
        <v>0.1</v>
      </c>
      <c r="CD13" s="967">
        <v>0.1</v>
      </c>
      <c r="CE13" s="967">
        <v>0</v>
      </c>
    </row>
    <row r="14" spans="1:83" ht="24.95" customHeight="1" x14ac:dyDescent="0.2">
      <c r="A14" s="6" t="s">
        <v>14</v>
      </c>
      <c r="B14" s="6"/>
      <c r="C14" s="6"/>
      <c r="D14" s="21">
        <v>56</v>
      </c>
      <c r="E14" s="21">
        <v>10</v>
      </c>
      <c r="F14" s="65">
        <v>0.22</v>
      </c>
      <c r="G14" s="65">
        <v>0.38</v>
      </c>
      <c r="H14" s="65">
        <v>0.28000000000000003</v>
      </c>
      <c r="I14" s="65">
        <v>0.11</v>
      </c>
      <c r="J14" s="65">
        <v>0</v>
      </c>
      <c r="K14" s="21">
        <v>53</v>
      </c>
      <c r="L14" s="21">
        <v>10</v>
      </c>
      <c r="M14" s="60">
        <v>0.3</v>
      </c>
      <c r="N14" s="60">
        <v>0.36</v>
      </c>
      <c r="O14" s="60">
        <v>0.25</v>
      </c>
      <c r="P14" s="60">
        <v>7.0000000000000007E-2</v>
      </c>
      <c r="Q14" s="60">
        <v>0.01</v>
      </c>
      <c r="R14" s="21">
        <v>55</v>
      </c>
      <c r="S14" s="21">
        <v>10</v>
      </c>
      <c r="T14" s="39">
        <v>0.23</v>
      </c>
      <c r="U14" s="39">
        <v>0.4</v>
      </c>
      <c r="V14" s="39">
        <v>0.28000000000000003</v>
      </c>
      <c r="W14" s="39">
        <v>0.08</v>
      </c>
      <c r="X14" s="39">
        <v>0.01</v>
      </c>
      <c r="Y14" s="21">
        <v>54</v>
      </c>
      <c r="Z14" s="21">
        <v>10</v>
      </c>
      <c r="AA14" s="39">
        <v>0.26</v>
      </c>
      <c r="AB14" s="39">
        <v>0.4</v>
      </c>
      <c r="AC14" s="39">
        <v>0.25</v>
      </c>
      <c r="AD14" s="39">
        <v>0.08</v>
      </c>
      <c r="AE14" s="39">
        <v>0.01</v>
      </c>
      <c r="AF14" s="22">
        <v>50</v>
      </c>
      <c r="AG14" s="22">
        <v>10</v>
      </c>
      <c r="AH14" s="60">
        <v>0.43</v>
      </c>
      <c r="AI14" s="60">
        <v>0.37</v>
      </c>
      <c r="AJ14" s="60">
        <v>0.14000000000000001</v>
      </c>
      <c r="AK14" s="60">
        <v>0.06</v>
      </c>
      <c r="AL14" s="60">
        <v>0</v>
      </c>
      <c r="AM14" s="244">
        <v>55</v>
      </c>
      <c r="AN14" s="244" t="s">
        <v>758</v>
      </c>
      <c r="AO14" s="244">
        <v>11</v>
      </c>
      <c r="AP14" s="244" t="s">
        <v>758</v>
      </c>
      <c r="AQ14" s="262">
        <v>0.24</v>
      </c>
      <c r="AR14" s="262">
        <v>0.37</v>
      </c>
      <c r="AS14" s="262">
        <v>0.27</v>
      </c>
      <c r="AT14" s="262">
        <v>0.11</v>
      </c>
      <c r="AU14" s="262">
        <v>0.01</v>
      </c>
      <c r="AV14" s="315">
        <v>56</v>
      </c>
      <c r="AW14" s="315" t="s">
        <v>758</v>
      </c>
      <c r="AX14" s="315">
        <v>11</v>
      </c>
      <c r="AY14" s="315" t="s">
        <v>758</v>
      </c>
      <c r="AZ14" s="291">
        <v>0.21</v>
      </c>
      <c r="BA14" s="291">
        <v>0.35</v>
      </c>
      <c r="BB14" s="291">
        <v>0.28999999999999998</v>
      </c>
      <c r="BC14" s="291">
        <v>0.13</v>
      </c>
      <c r="BD14" s="291">
        <v>0.01</v>
      </c>
      <c r="BE14" s="423">
        <v>56</v>
      </c>
      <c r="BF14" s="423" t="s">
        <v>758</v>
      </c>
      <c r="BG14" s="423">
        <v>11</v>
      </c>
      <c r="BH14" s="423" t="s">
        <v>758</v>
      </c>
      <c r="BI14" s="427">
        <v>0.22</v>
      </c>
      <c r="BJ14" s="427">
        <v>0.35</v>
      </c>
      <c r="BK14" s="427">
        <v>0.27</v>
      </c>
      <c r="BL14" s="427">
        <v>0.15</v>
      </c>
      <c r="BM14" s="427">
        <v>0.02</v>
      </c>
      <c r="BN14" s="423">
        <v>57</v>
      </c>
      <c r="BO14" s="423" t="s">
        <v>758</v>
      </c>
      <c r="BP14" s="423">
        <v>11</v>
      </c>
      <c r="BQ14" s="423" t="s">
        <v>758</v>
      </c>
      <c r="BR14" s="427">
        <v>0.2</v>
      </c>
      <c r="BS14" s="427">
        <v>0.34</v>
      </c>
      <c r="BT14" s="427">
        <v>0.28000000000000003</v>
      </c>
      <c r="BU14" s="427">
        <v>0.15</v>
      </c>
      <c r="BV14" s="427">
        <v>0.03</v>
      </c>
      <c r="BW14" s="966">
        <v>57</v>
      </c>
      <c r="BX14" s="966" t="s">
        <v>758</v>
      </c>
      <c r="BY14" s="966">
        <v>11</v>
      </c>
      <c r="BZ14" s="966" t="s">
        <v>758</v>
      </c>
      <c r="CA14" s="967">
        <v>0.2</v>
      </c>
      <c r="CB14" s="967">
        <v>0.3</v>
      </c>
      <c r="CC14" s="967">
        <v>0.31</v>
      </c>
      <c r="CD14" s="967">
        <v>0.16</v>
      </c>
      <c r="CE14" s="967">
        <v>0.03</v>
      </c>
    </row>
    <row r="15" spans="1:83" ht="24.95" customHeight="1" x14ac:dyDescent="0.2">
      <c r="A15" s="6" t="s">
        <v>15</v>
      </c>
      <c r="B15" s="6"/>
      <c r="C15" s="6"/>
      <c r="D15" s="21">
        <v>51</v>
      </c>
      <c r="E15" s="21">
        <v>9</v>
      </c>
      <c r="F15" s="65">
        <v>0.38</v>
      </c>
      <c r="G15" s="65">
        <v>0.4</v>
      </c>
      <c r="H15" s="65">
        <v>0.18</v>
      </c>
      <c r="I15" s="65">
        <v>0.04</v>
      </c>
      <c r="J15" s="65">
        <v>0</v>
      </c>
      <c r="K15" s="21">
        <v>49</v>
      </c>
      <c r="L15" s="21">
        <v>9</v>
      </c>
      <c r="M15" s="60">
        <v>0.47</v>
      </c>
      <c r="N15" s="60">
        <v>0.35</v>
      </c>
      <c r="O15" s="60">
        <v>0.15</v>
      </c>
      <c r="P15" s="60">
        <v>0.03</v>
      </c>
      <c r="Q15" s="60">
        <v>0</v>
      </c>
      <c r="R15" s="21">
        <v>50</v>
      </c>
      <c r="S15" s="21">
        <v>9</v>
      </c>
      <c r="T15" s="39">
        <v>0.38</v>
      </c>
      <c r="U15" s="39">
        <v>0.43</v>
      </c>
      <c r="V15" s="39">
        <v>0.15</v>
      </c>
      <c r="W15" s="39">
        <v>0.04</v>
      </c>
      <c r="X15" s="39">
        <v>0</v>
      </c>
      <c r="Y15" s="21">
        <v>49</v>
      </c>
      <c r="Z15" s="21">
        <v>10</v>
      </c>
      <c r="AA15" s="39">
        <v>0.44</v>
      </c>
      <c r="AB15" s="39">
        <v>0.38</v>
      </c>
      <c r="AC15" s="39">
        <v>0.14000000000000001</v>
      </c>
      <c r="AD15" s="39">
        <v>0.03</v>
      </c>
      <c r="AE15" s="39">
        <v>0</v>
      </c>
      <c r="AF15" s="22">
        <v>46</v>
      </c>
      <c r="AG15" s="22">
        <v>8</v>
      </c>
      <c r="AH15" s="60">
        <v>0.63</v>
      </c>
      <c r="AI15" s="60">
        <v>0.3</v>
      </c>
      <c r="AJ15" s="60">
        <v>0.06</v>
      </c>
      <c r="AK15" s="60">
        <v>0.02</v>
      </c>
      <c r="AL15" s="60">
        <v>0</v>
      </c>
      <c r="AM15" s="244">
        <v>48</v>
      </c>
      <c r="AN15" s="244" t="s">
        <v>760</v>
      </c>
      <c r="AO15" s="244">
        <v>10</v>
      </c>
      <c r="AP15" s="244" t="s">
        <v>758</v>
      </c>
      <c r="AQ15" s="262">
        <v>0.47</v>
      </c>
      <c r="AR15" s="262">
        <v>0.36</v>
      </c>
      <c r="AS15" s="262">
        <v>0.13</v>
      </c>
      <c r="AT15" s="262">
        <v>0.04</v>
      </c>
      <c r="AU15" s="262">
        <v>0</v>
      </c>
      <c r="AV15" s="315">
        <v>50</v>
      </c>
      <c r="AW15" s="315" t="s">
        <v>758</v>
      </c>
      <c r="AX15" s="315">
        <v>10</v>
      </c>
      <c r="AY15" s="315" t="s">
        <v>758</v>
      </c>
      <c r="AZ15" s="291">
        <v>0.41</v>
      </c>
      <c r="BA15" s="291">
        <v>0.36</v>
      </c>
      <c r="BB15" s="291">
        <v>0.18</v>
      </c>
      <c r="BC15" s="291">
        <v>0.04</v>
      </c>
      <c r="BD15" s="291">
        <v>0</v>
      </c>
      <c r="BE15" s="423">
        <v>50</v>
      </c>
      <c r="BF15" s="423" t="s">
        <v>758</v>
      </c>
      <c r="BG15" s="423">
        <v>9</v>
      </c>
      <c r="BH15" s="423" t="s">
        <v>760</v>
      </c>
      <c r="BI15" s="427">
        <v>0.41</v>
      </c>
      <c r="BJ15" s="427">
        <v>0.39</v>
      </c>
      <c r="BK15" s="427">
        <v>0.16</v>
      </c>
      <c r="BL15" s="427">
        <v>0.04</v>
      </c>
      <c r="BM15" s="427">
        <v>0</v>
      </c>
      <c r="BN15" s="423">
        <v>50</v>
      </c>
      <c r="BO15" s="423" t="s">
        <v>760</v>
      </c>
      <c r="BP15" s="423">
        <v>10</v>
      </c>
      <c r="BQ15" s="423" t="s">
        <v>758</v>
      </c>
      <c r="BR15" s="427">
        <v>0.43</v>
      </c>
      <c r="BS15" s="427">
        <v>0.37</v>
      </c>
      <c r="BT15" s="427">
        <v>0.15</v>
      </c>
      <c r="BU15" s="427">
        <v>0.04</v>
      </c>
      <c r="BV15" s="427">
        <v>0</v>
      </c>
    </row>
    <row r="16" spans="1:83" ht="24.95" customHeight="1" x14ac:dyDescent="0.2">
      <c r="A16" s="6" t="s">
        <v>16</v>
      </c>
      <c r="B16" s="6"/>
      <c r="C16" s="6"/>
      <c r="D16" s="21">
        <v>55</v>
      </c>
      <c r="E16" s="21">
        <v>10</v>
      </c>
      <c r="F16" s="65">
        <v>0.24</v>
      </c>
      <c r="G16" s="65">
        <v>0.39</v>
      </c>
      <c r="H16" s="65">
        <v>0.27</v>
      </c>
      <c r="I16" s="65">
        <v>0.09</v>
      </c>
      <c r="J16" s="65">
        <v>0</v>
      </c>
      <c r="K16" s="21">
        <v>53</v>
      </c>
      <c r="L16" s="21">
        <v>10</v>
      </c>
      <c r="M16" s="60">
        <v>0.32</v>
      </c>
      <c r="N16" s="60">
        <v>0.37</v>
      </c>
      <c r="O16" s="60">
        <v>0.24</v>
      </c>
      <c r="P16" s="60">
        <v>0.06</v>
      </c>
      <c r="Q16" s="60">
        <v>0.01</v>
      </c>
      <c r="R16" s="21">
        <v>54</v>
      </c>
      <c r="S16" s="21">
        <v>10</v>
      </c>
      <c r="T16" s="39">
        <v>0.26</v>
      </c>
      <c r="U16" s="39">
        <v>0.41</v>
      </c>
      <c r="V16" s="39">
        <v>0.25</v>
      </c>
      <c r="W16" s="39">
        <v>7.0000000000000007E-2</v>
      </c>
      <c r="X16" s="39">
        <v>0.01</v>
      </c>
      <c r="Y16" s="21">
        <v>53</v>
      </c>
      <c r="Z16" s="21">
        <v>10</v>
      </c>
      <c r="AA16" s="39">
        <v>0.3</v>
      </c>
      <c r="AB16" s="39">
        <v>0.4</v>
      </c>
      <c r="AC16" s="39">
        <v>0.23</v>
      </c>
      <c r="AD16" s="39">
        <v>7.0000000000000007E-2</v>
      </c>
      <c r="AE16" s="39">
        <v>0.01</v>
      </c>
      <c r="AF16" s="22">
        <v>49</v>
      </c>
      <c r="AG16" s="22">
        <v>10</v>
      </c>
      <c r="AH16" s="60">
        <v>0.47</v>
      </c>
      <c r="AI16" s="60">
        <v>0.36</v>
      </c>
      <c r="AJ16" s="60">
        <v>0.12</v>
      </c>
      <c r="AK16" s="60">
        <v>0.05</v>
      </c>
      <c r="AL16" s="60">
        <v>0</v>
      </c>
      <c r="AM16" s="244">
        <v>53</v>
      </c>
      <c r="AN16" s="244" t="s">
        <v>758</v>
      </c>
      <c r="AO16" s="244">
        <v>11</v>
      </c>
      <c r="AP16" s="244" t="s">
        <v>758</v>
      </c>
      <c r="AQ16" s="262">
        <v>0.31</v>
      </c>
      <c r="AR16" s="262">
        <v>0.37</v>
      </c>
      <c r="AS16" s="262">
        <v>0.23</v>
      </c>
      <c r="AT16" s="262">
        <v>0.08</v>
      </c>
      <c r="AU16" s="262">
        <v>0.01</v>
      </c>
      <c r="AV16" s="315">
        <v>54</v>
      </c>
      <c r="AW16" s="315" t="s">
        <v>758</v>
      </c>
      <c r="AX16" s="315">
        <v>11</v>
      </c>
      <c r="AY16" s="315" t="s">
        <v>758</v>
      </c>
      <c r="AZ16" s="291">
        <v>0.26</v>
      </c>
      <c r="BA16" s="291">
        <v>0.35</v>
      </c>
      <c r="BB16" s="291">
        <v>0.27</v>
      </c>
      <c r="BC16" s="291">
        <v>0.11</v>
      </c>
      <c r="BD16" s="291">
        <v>0.01</v>
      </c>
      <c r="BE16" s="423">
        <v>55</v>
      </c>
      <c r="BF16" s="423" t="s">
        <v>758</v>
      </c>
      <c r="BG16" s="423">
        <v>11</v>
      </c>
      <c r="BH16" s="423" t="s">
        <v>758</v>
      </c>
      <c r="BI16" s="427">
        <v>0.26</v>
      </c>
      <c r="BJ16" s="427">
        <v>0.36</v>
      </c>
      <c r="BK16" s="427">
        <v>0.25</v>
      </c>
      <c r="BL16" s="427">
        <v>0.12</v>
      </c>
      <c r="BM16" s="427">
        <v>0.01</v>
      </c>
      <c r="BN16" s="423">
        <v>54</v>
      </c>
      <c r="BO16" s="423" t="s">
        <v>758</v>
      </c>
      <c r="BP16" s="423">
        <v>11</v>
      </c>
      <c r="BQ16" s="423" t="s">
        <v>758</v>
      </c>
      <c r="BR16" s="427">
        <v>0.27</v>
      </c>
      <c r="BS16" s="427">
        <v>0.36</v>
      </c>
      <c r="BT16" s="427">
        <v>0.24</v>
      </c>
      <c r="BU16" s="427">
        <v>0.11</v>
      </c>
      <c r="BV16" s="427">
        <v>0.02</v>
      </c>
    </row>
    <row r="17" spans="1:83" ht="24.95" customHeight="1" x14ac:dyDescent="0.2">
      <c r="A17" s="292" t="s">
        <v>17</v>
      </c>
      <c r="B17" s="292"/>
      <c r="C17" s="292"/>
      <c r="D17" s="316"/>
      <c r="E17" s="316"/>
      <c r="F17" s="325"/>
      <c r="G17" s="325"/>
      <c r="H17" s="325"/>
      <c r="I17" s="325"/>
      <c r="J17" s="325"/>
      <c r="K17" s="316"/>
      <c r="L17" s="316"/>
      <c r="M17" s="324"/>
      <c r="N17" s="324"/>
      <c r="O17" s="324"/>
      <c r="P17" s="324"/>
      <c r="Q17" s="324"/>
      <c r="R17" s="316"/>
      <c r="S17" s="316"/>
      <c r="T17" s="291"/>
      <c r="U17" s="291"/>
      <c r="V17" s="291"/>
      <c r="W17" s="291"/>
      <c r="X17" s="291"/>
      <c r="Y17" s="316"/>
      <c r="Z17" s="316"/>
      <c r="AA17" s="291"/>
      <c r="AB17" s="291"/>
      <c r="AC17" s="291"/>
      <c r="AD17" s="291"/>
      <c r="AE17" s="291"/>
      <c r="AF17" s="323"/>
      <c r="AG17" s="323"/>
      <c r="AH17" s="324"/>
      <c r="AI17" s="324"/>
      <c r="AJ17" s="324"/>
      <c r="AK17" s="324"/>
      <c r="AL17" s="324"/>
      <c r="AM17" s="318"/>
      <c r="AN17" s="336"/>
      <c r="AO17" s="318"/>
      <c r="AP17" s="336"/>
      <c r="AQ17" s="326"/>
      <c r="AR17" s="326"/>
      <c r="AS17" s="326"/>
      <c r="AT17" s="326"/>
      <c r="AU17" s="326"/>
      <c r="AV17" s="316">
        <v>66</v>
      </c>
      <c r="AW17" s="315" t="s">
        <v>759</v>
      </c>
      <c r="AX17" s="315">
        <v>7</v>
      </c>
      <c r="AY17" s="315" t="s">
        <v>760</v>
      </c>
      <c r="AZ17" s="291">
        <v>0</v>
      </c>
      <c r="BA17" s="291">
        <v>0</v>
      </c>
      <c r="BB17" s="291">
        <v>0.67</v>
      </c>
      <c r="BC17" s="291">
        <v>0.33</v>
      </c>
      <c r="BD17" s="291">
        <v>0</v>
      </c>
      <c r="BN17" s="423">
        <v>70</v>
      </c>
      <c r="BO17" s="423" t="s">
        <v>759</v>
      </c>
      <c r="BP17" s="423">
        <v>10</v>
      </c>
      <c r="BQ17" s="423" t="s">
        <v>758</v>
      </c>
      <c r="BR17" s="427">
        <v>0.03</v>
      </c>
      <c r="BS17" s="427">
        <v>0.08</v>
      </c>
      <c r="BT17" s="427">
        <v>0.28000000000000003</v>
      </c>
      <c r="BU17" s="427">
        <v>0.42</v>
      </c>
      <c r="BV17" s="427">
        <v>0.19</v>
      </c>
    </row>
    <row r="18" spans="1:83" ht="24.95" customHeight="1" x14ac:dyDescent="0.2">
      <c r="A18" s="6" t="s">
        <v>140</v>
      </c>
      <c r="B18" s="6"/>
      <c r="C18" s="6"/>
      <c r="D18" s="129">
        <f t="shared" ref="D18:AM18" si="0">AVERAGEIF($C$36:$C$173,"=1",D$36:D$173)</f>
        <v>52.647058823529413</v>
      </c>
      <c r="E18" s="129">
        <f t="shared" si="0"/>
        <v>8.235294117647058</v>
      </c>
      <c r="F18" s="39">
        <f t="shared" si="0"/>
        <v>0.29882352941176465</v>
      </c>
      <c r="G18" s="39">
        <f t="shared" si="0"/>
        <v>0.4611764705882353</v>
      </c>
      <c r="H18" s="39">
        <f t="shared" si="0"/>
        <v>0.18470588235294122</v>
      </c>
      <c r="I18" s="39">
        <f t="shared" si="0"/>
        <v>5.4705882352941181E-2</v>
      </c>
      <c r="J18" s="39">
        <f t="shared" si="0"/>
        <v>0</v>
      </c>
      <c r="K18" s="129">
        <f t="shared" si="0"/>
        <v>50.4375</v>
      </c>
      <c r="L18" s="129">
        <f t="shared" si="0"/>
        <v>8.6875</v>
      </c>
      <c r="M18" s="39">
        <f t="shared" si="0"/>
        <v>0.41125</v>
      </c>
      <c r="N18" s="39">
        <f t="shared" si="0"/>
        <v>0.38874999999999998</v>
      </c>
      <c r="O18" s="39">
        <f t="shared" si="0"/>
        <v>0.15812500000000004</v>
      </c>
      <c r="P18" s="39">
        <f t="shared" si="0"/>
        <v>4.2499999999999996E-2</v>
      </c>
      <c r="Q18" s="39">
        <f t="shared" si="0"/>
        <v>6.2500000000000001E-4</v>
      </c>
      <c r="R18" s="129">
        <f t="shared" si="0"/>
        <v>52.117647058823529</v>
      </c>
      <c r="S18" s="129">
        <f t="shared" si="0"/>
        <v>8.1764705882352935</v>
      </c>
      <c r="T18" s="39">
        <f t="shared" si="0"/>
        <v>0.30294117647058827</v>
      </c>
      <c r="U18" s="39">
        <f t="shared" si="0"/>
        <v>0.42352941176470588</v>
      </c>
      <c r="V18" s="39">
        <f t="shared" si="0"/>
        <v>0.24117647058823521</v>
      </c>
      <c r="W18" s="39">
        <f t="shared" si="0"/>
        <v>3.2352941176470591E-2</v>
      </c>
      <c r="X18" s="39">
        <f t="shared" si="0"/>
        <v>1.1764705882352942E-3</v>
      </c>
      <c r="Y18" s="129">
        <f t="shared" si="0"/>
        <v>50.058823529411768</v>
      </c>
      <c r="Z18" s="129">
        <f t="shared" si="0"/>
        <v>8.9411764705882355</v>
      </c>
      <c r="AA18" s="39">
        <f t="shared" si="0"/>
        <v>0.37470588235294122</v>
      </c>
      <c r="AB18" s="39">
        <f t="shared" si="0"/>
        <v>0.42352941176470582</v>
      </c>
      <c r="AC18" s="39">
        <f t="shared" si="0"/>
        <v>0.16705882352941182</v>
      </c>
      <c r="AD18" s="39">
        <f t="shared" si="0"/>
        <v>3.529411764705883E-2</v>
      </c>
      <c r="AE18" s="39">
        <f t="shared" si="0"/>
        <v>1.764705882352941E-3</v>
      </c>
      <c r="AF18" s="129">
        <f t="shared" si="0"/>
        <v>48.058823529411768</v>
      </c>
      <c r="AG18" s="129">
        <f t="shared" si="0"/>
        <v>8.882352941176471</v>
      </c>
      <c r="AH18" s="39">
        <f t="shared" si="0"/>
        <v>0.52176470588235302</v>
      </c>
      <c r="AI18" s="39">
        <f t="shared" si="0"/>
        <v>0.33882352941176475</v>
      </c>
      <c r="AJ18" s="39">
        <f t="shared" si="0"/>
        <v>0.10764705882352942</v>
      </c>
      <c r="AK18" s="39">
        <f t="shared" si="0"/>
        <v>2.9411764705882349E-2</v>
      </c>
      <c r="AL18" s="39">
        <f t="shared" si="0"/>
        <v>2.9411764705882353E-3</v>
      </c>
      <c r="AM18" s="129">
        <f t="shared" si="0"/>
        <v>52</v>
      </c>
      <c r="AO18" s="129">
        <f>AVERAGEIF($C$36:$C$173,"=1",AO$36:AO$173)</f>
        <v>9.4705882352941178</v>
      </c>
      <c r="AQ18" s="39">
        <f t="shared" ref="AQ18:AV18" si="1">AVERAGEIF($C$36:$C$173,"=1",AQ$36:AQ$173)</f>
        <v>0.30294117647058816</v>
      </c>
      <c r="AR18" s="39">
        <f t="shared" si="1"/>
        <v>0.40941176470588231</v>
      </c>
      <c r="AS18" s="39">
        <f t="shared" si="1"/>
        <v>0.23176470588235296</v>
      </c>
      <c r="AT18" s="39">
        <f t="shared" si="1"/>
        <v>5.2352941176470595E-2</v>
      </c>
      <c r="AU18" s="39">
        <f t="shared" si="1"/>
        <v>4.7058823529411769E-3</v>
      </c>
      <c r="AV18" s="129">
        <f t="shared" si="1"/>
        <v>52</v>
      </c>
      <c r="AX18" s="129">
        <f>AVERAGEIF($C$36:$C$173,"=1",AX$36:AX$173)</f>
        <v>10.055555555555555</v>
      </c>
      <c r="AZ18" s="342">
        <f t="shared" ref="AZ18:BE18" si="2">AVERAGEIF($C$36:$C$173,"=1",AZ$36:AZ$173)</f>
        <v>0.3288888888888889</v>
      </c>
      <c r="BA18" s="342">
        <f t="shared" si="2"/>
        <v>0.37388888888888883</v>
      </c>
      <c r="BB18" s="342">
        <f t="shared" si="2"/>
        <v>0.21944444444444444</v>
      </c>
      <c r="BC18" s="342">
        <f t="shared" si="2"/>
        <v>7.0555555555555552E-2</v>
      </c>
      <c r="BD18" s="342">
        <f t="shared" si="2"/>
        <v>8.333333333333335E-3</v>
      </c>
      <c r="BE18" s="129">
        <f t="shared" si="2"/>
        <v>53.058823529411768</v>
      </c>
      <c r="BG18" s="129">
        <f>AVERAGEIF($C$36:$C$173,"=1",BG$36:BG$173)</f>
        <v>9.4705882352941178</v>
      </c>
      <c r="BI18" s="342">
        <f t="shared" ref="BI18:BN18" si="3">AVERAGEIF($C$36:$C$173,"=1",BI$36:BI$173)</f>
        <v>0.29529411764705887</v>
      </c>
      <c r="BJ18" s="342">
        <f t="shared" si="3"/>
        <v>0.40352941176470591</v>
      </c>
      <c r="BK18" s="342">
        <f t="shared" si="3"/>
        <v>0.21647058823529414</v>
      </c>
      <c r="BL18" s="342">
        <f t="shared" si="3"/>
        <v>7.7058823529411763E-2</v>
      </c>
      <c r="BM18" s="342">
        <f t="shared" si="3"/>
        <v>7.6470588235294122E-3</v>
      </c>
      <c r="BN18" s="129">
        <f t="shared" si="3"/>
        <v>54</v>
      </c>
      <c r="BP18" s="129">
        <f>AVERAGEIF($C$36:$C$173,"=1",BP$36:BP$173)</f>
        <v>9.2222222222222214</v>
      </c>
      <c r="BR18" s="342">
        <f>AVERAGEIF($C$36:$C$173,"=1",BR$36:BR$173)</f>
        <v>0.25722222222222224</v>
      </c>
      <c r="BS18" s="342">
        <f>AVERAGEIF($C$36:$C$173,"=1",BS$36:BS$173)</f>
        <v>0.41166666666666663</v>
      </c>
      <c r="BT18" s="342">
        <f>AVERAGEIF($C$36:$C$173,"=1",BT$36:BT$173)</f>
        <v>0.23777777777777775</v>
      </c>
      <c r="BU18" s="342">
        <f>AVERAGEIF($C$36:$C$173,"=1",BU$36:BU$173)</f>
        <v>8.4444444444444461E-2</v>
      </c>
      <c r="BV18" s="342">
        <f>AVERAGEIF($C$36:$C$173,"=1",BV$36:BV$173)</f>
        <v>8.8888888888888889E-3</v>
      </c>
      <c r="BW18" s="129">
        <f t="shared" ref="BW18" si="4">AVERAGEIF($C$36:$C$173,"=1",BW$36:BW$173)</f>
        <v>54</v>
      </c>
      <c r="BX18" s="931"/>
      <c r="BY18" s="129">
        <f>AVERAGEIF($C$36:$C$173,"=1",BY$36:BY$173)</f>
        <v>9.7222222222222214</v>
      </c>
      <c r="BZ18" s="931"/>
      <c r="CA18" s="342">
        <f t="shared" ref="CA18:CE18" si="5">AVERAGEIF($C$36:$C$173,"=1",CA$36:CA$173)</f>
        <v>0.28777777777777774</v>
      </c>
      <c r="CB18" s="342">
        <f t="shared" si="5"/>
        <v>0.36833333333333329</v>
      </c>
      <c r="CC18" s="342">
        <f t="shared" si="5"/>
        <v>0.23333333333333334</v>
      </c>
      <c r="CD18" s="342">
        <f t="shared" si="5"/>
        <v>9.8888888888888901E-2</v>
      </c>
      <c r="CE18" s="342">
        <f t="shared" si="5"/>
        <v>1.111111111111111E-2</v>
      </c>
    </row>
    <row r="19" spans="1:83" ht="24.95" customHeight="1" x14ac:dyDescent="0.2">
      <c r="A19" s="6" t="s">
        <v>141</v>
      </c>
      <c r="B19" s="6"/>
      <c r="C19" s="6"/>
      <c r="D19" s="129">
        <f t="shared" ref="D19:AM19" si="6">AVERAGEIF($C$36:$C$173,"=2",D$36:D$173)</f>
        <v>54.7</v>
      </c>
      <c r="E19" s="129">
        <f t="shared" si="6"/>
        <v>9.25</v>
      </c>
      <c r="F19" s="39">
        <f t="shared" si="6"/>
        <v>0.26199999999999996</v>
      </c>
      <c r="G19" s="39">
        <f t="shared" si="6"/>
        <v>0.36</v>
      </c>
      <c r="H19" s="39">
        <f t="shared" si="6"/>
        <v>0.27350000000000002</v>
      </c>
      <c r="I19" s="39">
        <f t="shared" si="6"/>
        <v>9.8000000000000004E-2</v>
      </c>
      <c r="J19" s="39">
        <f t="shared" si="6"/>
        <v>6.5000000000000006E-3</v>
      </c>
      <c r="K19" s="129">
        <f t="shared" si="6"/>
        <v>52.315789473684212</v>
      </c>
      <c r="L19" s="129">
        <f t="shared" si="6"/>
        <v>8.6842105263157894</v>
      </c>
      <c r="M19" s="39">
        <f t="shared" si="6"/>
        <v>0.35105263157894734</v>
      </c>
      <c r="N19" s="39">
        <f t="shared" si="6"/>
        <v>0.31894736842105259</v>
      </c>
      <c r="O19" s="39">
        <f t="shared" si="6"/>
        <v>0.2636842105263158</v>
      </c>
      <c r="P19" s="39">
        <f t="shared" si="6"/>
        <v>6.0000000000000005E-2</v>
      </c>
      <c r="Q19" s="39">
        <f t="shared" si="6"/>
        <v>5.7894736842105266E-3</v>
      </c>
      <c r="R19" s="129">
        <f t="shared" si="6"/>
        <v>54</v>
      </c>
      <c r="S19" s="129">
        <f t="shared" si="6"/>
        <v>8.6315789473684212</v>
      </c>
      <c r="T19" s="39">
        <f t="shared" si="6"/>
        <v>0.24578947368421053</v>
      </c>
      <c r="U19" s="39">
        <f t="shared" si="6"/>
        <v>0.41736842105263161</v>
      </c>
      <c r="V19" s="39">
        <f t="shared" si="6"/>
        <v>0.25105263157894742</v>
      </c>
      <c r="W19" s="39">
        <f t="shared" si="6"/>
        <v>7.4736842105263171E-2</v>
      </c>
      <c r="X19" s="39">
        <f t="shared" si="6"/>
        <v>8.9473684210526309E-3</v>
      </c>
      <c r="Y19" s="129">
        <f t="shared" si="6"/>
        <v>53.45</v>
      </c>
      <c r="Z19" s="129">
        <f t="shared" si="6"/>
        <v>9.6999999999999993</v>
      </c>
      <c r="AA19" s="39">
        <f t="shared" si="6"/>
        <v>0.27450000000000008</v>
      </c>
      <c r="AB19" s="39">
        <f t="shared" si="6"/>
        <v>0.38849999999999996</v>
      </c>
      <c r="AC19" s="39">
        <f t="shared" si="6"/>
        <v>0.24100000000000002</v>
      </c>
      <c r="AD19" s="39">
        <f t="shared" si="6"/>
        <v>8.5000000000000006E-2</v>
      </c>
      <c r="AE19" s="39">
        <f t="shared" si="6"/>
        <v>1.0999999999999999E-2</v>
      </c>
      <c r="AF19" s="129">
        <f t="shared" si="6"/>
        <v>48.583333333333336</v>
      </c>
      <c r="AG19" s="129">
        <f t="shared" si="6"/>
        <v>7.916666666666667</v>
      </c>
      <c r="AH19" s="39">
        <f t="shared" si="6"/>
        <v>0.50583333333333336</v>
      </c>
      <c r="AI19" s="39">
        <f t="shared" si="6"/>
        <v>0.31958333333333339</v>
      </c>
      <c r="AJ19" s="39">
        <f t="shared" si="6"/>
        <v>0.10124999999999999</v>
      </c>
      <c r="AK19" s="39">
        <f t="shared" si="6"/>
        <v>6.458333333333334E-2</v>
      </c>
      <c r="AL19" s="39">
        <f t="shared" si="6"/>
        <v>9.166666666666665E-3</v>
      </c>
      <c r="AM19" s="129">
        <f t="shared" si="6"/>
        <v>53.227272727272727</v>
      </c>
      <c r="AO19" s="129">
        <f>AVERAGEIF($C$36:$C$173,"=2",AO$36:AO$173)</f>
        <v>9.0909090909090917</v>
      </c>
      <c r="AQ19" s="39">
        <f t="shared" ref="AQ19:AV19" si="7">AVERAGEIF($C$36:$C$173,"=2",AQ$36:AQ$173)</f>
        <v>0.28499999999999998</v>
      </c>
      <c r="AR19" s="39">
        <f t="shared" si="7"/>
        <v>0.3736363636363636</v>
      </c>
      <c r="AS19" s="39">
        <f t="shared" si="7"/>
        <v>0.23727272727272722</v>
      </c>
      <c r="AT19" s="39">
        <f t="shared" si="7"/>
        <v>8.9090909090909096E-2</v>
      </c>
      <c r="AU19" s="39">
        <f t="shared" si="7"/>
        <v>1.3636363636363636E-2</v>
      </c>
      <c r="AV19" s="129">
        <f t="shared" si="7"/>
        <v>54.96</v>
      </c>
      <c r="AX19" s="129">
        <f>AVERAGEIF($C$36:$C$173,"=2",AX$36:AX$173)</f>
        <v>9.52</v>
      </c>
      <c r="AZ19" s="342">
        <f t="shared" ref="AZ19:BE19" si="8">AVERAGEIF($C$36:$C$173,"=2",AZ$36:AZ$173)</f>
        <v>0.25840000000000002</v>
      </c>
      <c r="BA19" s="342">
        <f t="shared" si="8"/>
        <v>0.28999999999999992</v>
      </c>
      <c r="BB19" s="342">
        <f t="shared" si="8"/>
        <v>0.3044</v>
      </c>
      <c r="BC19" s="342">
        <f t="shared" si="8"/>
        <v>0.13639999999999997</v>
      </c>
      <c r="BD19" s="342">
        <f t="shared" si="8"/>
        <v>1.2800000000000002E-2</v>
      </c>
      <c r="BE19" s="129">
        <f t="shared" si="8"/>
        <v>54.42307692307692</v>
      </c>
      <c r="BG19" s="129">
        <f>AVERAGEIF($C$36:$C$173,"=2",BG$36:BG$173)</f>
        <v>9.2692307692307701</v>
      </c>
      <c r="BI19" s="342">
        <f t="shared" ref="BI19:BN19" si="9">AVERAGEIF($C$36:$C$173,"=2",BI$36:BI$173)</f>
        <v>0.30499999999999994</v>
      </c>
      <c r="BJ19" s="342">
        <f t="shared" si="9"/>
        <v>0.32384615384615384</v>
      </c>
      <c r="BK19" s="342">
        <f t="shared" si="9"/>
        <v>0.21269230769230768</v>
      </c>
      <c r="BL19" s="342">
        <f t="shared" si="9"/>
        <v>0.14615384615384611</v>
      </c>
      <c r="BM19" s="342">
        <f t="shared" si="9"/>
        <v>1.1538461538461537E-2</v>
      </c>
      <c r="BN19" s="129">
        <f t="shared" si="9"/>
        <v>56.041666666666664</v>
      </c>
      <c r="BP19" s="129">
        <f>AVERAGEIF($C$36:$C$173,"=2",BP$36:BP$173)</f>
        <v>9.875</v>
      </c>
      <c r="BR19" s="342">
        <f>AVERAGEIF($C$36:$C$173,"=2",BR$36:BR$173)</f>
        <v>0.25083333333333335</v>
      </c>
      <c r="BS19" s="342">
        <f>AVERAGEIF($C$36:$C$173,"=2",BS$36:BS$173)</f>
        <v>0.32083333333333336</v>
      </c>
      <c r="BT19" s="342">
        <f>AVERAGEIF($C$36:$C$173,"=2",BT$36:BT$173)</f>
        <v>0.25583333333333336</v>
      </c>
      <c r="BU19" s="342">
        <f>AVERAGEIF($C$36:$C$173,"=2",BU$36:BU$173)</f>
        <v>0.14499999999999999</v>
      </c>
      <c r="BV19" s="342">
        <f>AVERAGEIF($C$36:$C$173,"=2",BV$36:BV$173)</f>
        <v>2.7083333333333334E-2</v>
      </c>
      <c r="BW19" s="129">
        <f t="shared" ref="BW19" si="10">AVERAGEIF($C$36:$C$173,"=2",BW$36:BW$173)</f>
        <v>55.666666666666664</v>
      </c>
      <c r="BX19" s="931"/>
      <c r="BY19" s="129">
        <f>AVERAGEIF($C$36:$C$173,"=2",BY$36:BY$173)</f>
        <v>9.3333333333333339</v>
      </c>
      <c r="BZ19" s="931"/>
      <c r="CA19" s="342">
        <f t="shared" ref="CA19:CE19" si="11">AVERAGEIF($C$36:$C$173,"=2",CA$36:CA$173)</f>
        <v>0.252962962962963</v>
      </c>
      <c r="CB19" s="342">
        <f t="shared" si="11"/>
        <v>0.31740740740740736</v>
      </c>
      <c r="CC19" s="342">
        <f t="shared" si="11"/>
        <v>0.28814814814814815</v>
      </c>
      <c r="CD19" s="342">
        <f t="shared" si="11"/>
        <v>0.11666666666666668</v>
      </c>
      <c r="CE19" s="342">
        <f t="shared" si="11"/>
        <v>2.6296296296296304E-2</v>
      </c>
    </row>
    <row r="20" spans="1:83" ht="24.95" customHeight="1" x14ac:dyDescent="0.2">
      <c r="A20" s="6" t="s">
        <v>142</v>
      </c>
      <c r="B20" s="6"/>
      <c r="C20" s="6"/>
      <c r="D20" s="129">
        <f t="shared" ref="D20:AM20" si="12">AVERAGEIF($C$36:$C$173,"=3",D$36:D$173)</f>
        <v>54.222222222222221</v>
      </c>
      <c r="E20" s="129">
        <f t="shared" si="12"/>
        <v>8.9444444444444446</v>
      </c>
      <c r="F20" s="39">
        <f t="shared" si="12"/>
        <v>0.25222222222222229</v>
      </c>
      <c r="G20" s="39">
        <f t="shared" si="12"/>
        <v>0.4005555555555555</v>
      </c>
      <c r="H20" s="39">
        <f t="shared" si="12"/>
        <v>0.27055555555555555</v>
      </c>
      <c r="I20" s="39">
        <f t="shared" si="12"/>
        <v>7.6666666666666661E-2</v>
      </c>
      <c r="J20" s="39">
        <f t="shared" si="12"/>
        <v>2.7777777777777779E-3</v>
      </c>
      <c r="K20" s="129">
        <f t="shared" si="12"/>
        <v>51.157894736842103</v>
      </c>
      <c r="L20" s="129">
        <f t="shared" si="12"/>
        <v>9.0526315789473681</v>
      </c>
      <c r="M20" s="39">
        <f t="shared" si="12"/>
        <v>0.3568421052631579</v>
      </c>
      <c r="N20" s="39">
        <f t="shared" si="12"/>
        <v>0.3936842105263158</v>
      </c>
      <c r="O20" s="39">
        <f t="shared" si="12"/>
        <v>0.19789473684210526</v>
      </c>
      <c r="P20" s="39">
        <f t="shared" si="12"/>
        <v>4.9473684210526329E-2</v>
      </c>
      <c r="Q20" s="39">
        <f t="shared" si="12"/>
        <v>3.6842105263157898E-3</v>
      </c>
      <c r="R20" s="129">
        <f t="shared" si="12"/>
        <v>52.842105263157897</v>
      </c>
      <c r="S20" s="129">
        <f t="shared" si="12"/>
        <v>8.7368421052631575</v>
      </c>
      <c r="T20" s="39">
        <f t="shared" si="12"/>
        <v>0.28526315789473689</v>
      </c>
      <c r="U20" s="39">
        <f t="shared" si="12"/>
        <v>0.41421052631578942</v>
      </c>
      <c r="V20" s="39">
        <f t="shared" si="12"/>
        <v>0.24684210526315792</v>
      </c>
      <c r="W20" s="39">
        <f t="shared" si="12"/>
        <v>4.7894736842105282E-2</v>
      </c>
      <c r="X20" s="39">
        <f t="shared" si="12"/>
        <v>4.7368421052631574E-3</v>
      </c>
      <c r="Y20" s="129">
        <f t="shared" si="12"/>
        <v>51.578947368421055</v>
      </c>
      <c r="Z20" s="129">
        <f t="shared" si="12"/>
        <v>9.473684210526315</v>
      </c>
      <c r="AA20" s="39">
        <f t="shared" si="12"/>
        <v>0.33473684210526317</v>
      </c>
      <c r="AB20" s="39">
        <f t="shared" si="12"/>
        <v>0.3978947368421053</v>
      </c>
      <c r="AC20" s="39">
        <f t="shared" si="12"/>
        <v>0.21000000000000002</v>
      </c>
      <c r="AD20" s="39">
        <f t="shared" si="12"/>
        <v>5.6842105263157895E-2</v>
      </c>
      <c r="AE20" s="39">
        <f t="shared" si="12"/>
        <v>1.5789473684210526E-3</v>
      </c>
      <c r="AF20" s="129">
        <f t="shared" si="12"/>
        <v>49.05</v>
      </c>
      <c r="AG20" s="129">
        <f t="shared" si="12"/>
        <v>8.5</v>
      </c>
      <c r="AH20" s="39">
        <f t="shared" si="12"/>
        <v>0.48</v>
      </c>
      <c r="AI20" s="39">
        <f t="shared" si="12"/>
        <v>0.35749999999999998</v>
      </c>
      <c r="AJ20" s="39">
        <f t="shared" si="12"/>
        <v>0.11499999999999999</v>
      </c>
      <c r="AK20" s="39">
        <f t="shared" si="12"/>
        <v>4.5999999999999999E-2</v>
      </c>
      <c r="AL20" s="39">
        <f t="shared" si="12"/>
        <v>1.5E-3</v>
      </c>
      <c r="AM20" s="129">
        <f t="shared" si="12"/>
        <v>52.25</v>
      </c>
      <c r="AO20" s="129">
        <f>AVERAGEIF($C$36:$C$173,"=3",AO$36:AO$173)</f>
        <v>10.1</v>
      </c>
      <c r="AQ20" s="39">
        <f t="shared" ref="AQ20:AV20" si="13">AVERAGEIF($C$36:$C$173,"=3",AQ$36:AQ$173)</f>
        <v>0.34799999999999998</v>
      </c>
      <c r="AR20" s="39">
        <f t="shared" si="13"/>
        <v>0.34050000000000002</v>
      </c>
      <c r="AS20" s="39">
        <f t="shared" si="13"/>
        <v>0.21599999999999997</v>
      </c>
      <c r="AT20" s="39">
        <f t="shared" si="13"/>
        <v>8.7000000000000008E-2</v>
      </c>
      <c r="AU20" s="39">
        <f t="shared" si="13"/>
        <v>9.0000000000000011E-3</v>
      </c>
      <c r="AV20" s="129">
        <f t="shared" si="13"/>
        <v>54.363636363636367</v>
      </c>
      <c r="AX20" s="129">
        <f>AVERAGEIF($C$36:$C$173,"=3",AX$36:AX$173)</f>
        <v>10.090909090909092</v>
      </c>
      <c r="AZ20" s="342">
        <f t="shared" ref="AZ20:BE20" si="14">AVERAGEIF($C$36:$C$173,"=3",AZ$36:AZ$173)</f>
        <v>0.27590909090909094</v>
      </c>
      <c r="BA20" s="342">
        <f t="shared" si="14"/>
        <v>0.33909090909090911</v>
      </c>
      <c r="BB20" s="342">
        <f t="shared" si="14"/>
        <v>0.25090909090909091</v>
      </c>
      <c r="BC20" s="342">
        <f t="shared" si="14"/>
        <v>0.12590909090909086</v>
      </c>
      <c r="BD20" s="342">
        <f t="shared" si="14"/>
        <v>1.0454545454545456E-2</v>
      </c>
      <c r="BE20" s="129">
        <f t="shared" si="14"/>
        <v>54.409090909090907</v>
      </c>
      <c r="BG20" s="129">
        <f>AVERAGEIF($C$36:$C$173,"=3",BG$36:BG$173)</f>
        <v>9.8636363636363633</v>
      </c>
      <c r="BI20" s="342">
        <f t="shared" ref="BI20:BN20" si="15">AVERAGEIF($C$36:$C$173,"=3",BI$36:BI$173)</f>
        <v>0.26500000000000001</v>
      </c>
      <c r="BJ20" s="342">
        <f t="shared" si="15"/>
        <v>0.36409090909090908</v>
      </c>
      <c r="BK20" s="342">
        <f t="shared" si="15"/>
        <v>0.25727272727272732</v>
      </c>
      <c r="BL20" s="342">
        <f t="shared" si="15"/>
        <v>9.6818181818181831E-2</v>
      </c>
      <c r="BM20" s="342">
        <f t="shared" si="15"/>
        <v>1.6818181818181822E-2</v>
      </c>
      <c r="BN20" s="129">
        <f t="shared" si="15"/>
        <v>55.227272727272727</v>
      </c>
      <c r="BP20" s="129">
        <f>AVERAGEIF($C$36:$C$173,"=3",BP$36:BP$173)</f>
        <v>10.045454545454545</v>
      </c>
      <c r="BR20" s="342">
        <f>AVERAGEIF($C$36:$C$173,"=3",BR$36:BR$173)</f>
        <v>0.2372727272727273</v>
      </c>
      <c r="BS20" s="342">
        <f>AVERAGEIF($C$36:$C$173,"=3",BS$36:BS$173)</f>
        <v>0.36227272727272725</v>
      </c>
      <c r="BT20" s="342">
        <f>AVERAGEIF($C$36:$C$173,"=3",BT$36:BT$173)</f>
        <v>0.26090909090909098</v>
      </c>
      <c r="BU20" s="342">
        <f>AVERAGEIF($C$36:$C$173,"=3",BU$36:BU$173)</f>
        <v>0.11909090909090909</v>
      </c>
      <c r="BV20" s="342">
        <f>AVERAGEIF($C$36:$C$173,"=3",BV$36:BV$173)</f>
        <v>2.0000000000000004E-2</v>
      </c>
      <c r="BW20" s="129">
        <f t="shared" ref="BW20" si="16">AVERAGEIF($C$36:$C$173,"=3",BW$36:BW$173)</f>
        <v>56</v>
      </c>
      <c r="BX20" s="931"/>
      <c r="BY20" s="129">
        <f>AVERAGEIF($C$36:$C$173,"=3",BY$36:BY$173)</f>
        <v>10.227272727272727</v>
      </c>
      <c r="BZ20" s="931"/>
      <c r="CA20" s="342">
        <f t="shared" ref="CA20:CE20" si="17">AVERAGEIF($C$36:$C$173,"=3",CA$36:CA$173)</f>
        <v>0.23681818181818184</v>
      </c>
      <c r="CB20" s="342">
        <f t="shared" si="17"/>
        <v>0.31181818181818177</v>
      </c>
      <c r="CC20" s="342">
        <f t="shared" si="17"/>
        <v>0.29545454545454553</v>
      </c>
      <c r="CD20" s="342">
        <f t="shared" si="17"/>
        <v>0.13272727272727269</v>
      </c>
      <c r="CE20" s="342">
        <f t="shared" si="17"/>
        <v>2.2727272727272728E-2</v>
      </c>
    </row>
    <row r="21" spans="1:83" ht="24.95" customHeight="1" x14ac:dyDescent="0.2">
      <c r="A21" s="6" t="s">
        <v>143</v>
      </c>
      <c r="B21" s="6"/>
      <c r="C21" s="6"/>
      <c r="D21" s="129">
        <f t="shared" ref="D21:AM21" si="18">AVERAGEIF($C$36:$C$173,"=4",D$36:D$173)</f>
        <v>50.785714285714285</v>
      </c>
      <c r="E21" s="129">
        <f t="shared" si="18"/>
        <v>8.4285714285714288</v>
      </c>
      <c r="F21" s="39">
        <f t="shared" si="18"/>
        <v>0.41285714285714292</v>
      </c>
      <c r="G21" s="39">
        <f t="shared" si="18"/>
        <v>0.36928571428571433</v>
      </c>
      <c r="H21" s="39">
        <f t="shared" si="18"/>
        <v>0.15928571428571428</v>
      </c>
      <c r="I21" s="39">
        <f t="shared" si="18"/>
        <v>5.8571428571428573E-2</v>
      </c>
      <c r="J21" s="39">
        <f t="shared" si="18"/>
        <v>7.1428571428571429E-4</v>
      </c>
      <c r="K21" s="129">
        <f t="shared" si="18"/>
        <v>49.466666666666669</v>
      </c>
      <c r="L21" s="129">
        <f t="shared" si="18"/>
        <v>7.4666666666666668</v>
      </c>
      <c r="M21" s="39">
        <f t="shared" si="18"/>
        <v>0.46666666666666667</v>
      </c>
      <c r="N21" s="39">
        <f t="shared" si="18"/>
        <v>0.32333333333333331</v>
      </c>
      <c r="O21" s="39">
        <f t="shared" si="18"/>
        <v>0.19533333333333333</v>
      </c>
      <c r="P21" s="39">
        <f t="shared" si="18"/>
        <v>1.6E-2</v>
      </c>
      <c r="Q21" s="39">
        <f t="shared" si="18"/>
        <v>6.6666666666666664E-4</v>
      </c>
      <c r="R21" s="129">
        <f t="shared" si="18"/>
        <v>52.133333333333333</v>
      </c>
      <c r="S21" s="129">
        <f t="shared" si="18"/>
        <v>8.2666666666666675</v>
      </c>
      <c r="T21" s="39">
        <f t="shared" si="18"/>
        <v>0.35133333333333339</v>
      </c>
      <c r="U21" s="39">
        <f t="shared" si="18"/>
        <v>0.37066666666666664</v>
      </c>
      <c r="V21" s="39">
        <f t="shared" si="18"/>
        <v>0.19400000000000001</v>
      </c>
      <c r="W21" s="39">
        <f t="shared" si="18"/>
        <v>7.8666666666666676E-2</v>
      </c>
      <c r="X21" s="39">
        <f t="shared" si="18"/>
        <v>4.6666666666666671E-3</v>
      </c>
      <c r="Y21" s="129">
        <f t="shared" si="18"/>
        <v>48.785714285714285</v>
      </c>
      <c r="Z21" s="129">
        <f t="shared" si="18"/>
        <v>8.7142857142857135</v>
      </c>
      <c r="AA21" s="39">
        <f t="shared" si="18"/>
        <v>0.45857142857142863</v>
      </c>
      <c r="AB21" s="39">
        <f t="shared" si="18"/>
        <v>0.36857142857142861</v>
      </c>
      <c r="AC21" s="39">
        <f t="shared" si="18"/>
        <v>0.15071428571428572</v>
      </c>
      <c r="AD21" s="39">
        <f t="shared" si="18"/>
        <v>2.2142857142857141E-2</v>
      </c>
      <c r="AE21" s="39">
        <f t="shared" si="18"/>
        <v>1.4285714285714286E-3</v>
      </c>
      <c r="AF21" s="129">
        <f t="shared" si="18"/>
        <v>45.846153846153847</v>
      </c>
      <c r="AG21" s="129">
        <f t="shared" si="18"/>
        <v>8.0769230769230766</v>
      </c>
      <c r="AH21" s="39">
        <f t="shared" si="18"/>
        <v>0.57923076923076922</v>
      </c>
      <c r="AI21" s="39">
        <f t="shared" si="18"/>
        <v>0.32692307692307693</v>
      </c>
      <c r="AJ21" s="39">
        <f t="shared" si="18"/>
        <v>8.3846153846153848E-2</v>
      </c>
      <c r="AK21" s="39">
        <f t="shared" si="18"/>
        <v>1.0769230769230771E-2</v>
      </c>
      <c r="AL21" s="39">
        <f t="shared" si="18"/>
        <v>0</v>
      </c>
      <c r="AM21" s="129">
        <f t="shared" si="18"/>
        <v>48.857142857142854</v>
      </c>
      <c r="AO21" s="129">
        <f>AVERAGEIF($C$36:$C$173,"=4",AO$36:AO$173)</f>
        <v>8.7142857142857135</v>
      </c>
      <c r="AQ21" s="39">
        <f t="shared" ref="AQ21:AV21" si="19">AVERAGEIF($C$36:$C$173,"=4",AQ$36:AQ$173)</f>
        <v>0.42928571428571433</v>
      </c>
      <c r="AR21" s="39">
        <f t="shared" si="19"/>
        <v>0.3978571428571428</v>
      </c>
      <c r="AS21" s="39">
        <f t="shared" si="19"/>
        <v>0.1357142857142857</v>
      </c>
      <c r="AT21" s="39">
        <f t="shared" si="19"/>
        <v>3.2857142857142856E-2</v>
      </c>
      <c r="AU21" s="39">
        <f t="shared" si="19"/>
        <v>4.2857142857142859E-3</v>
      </c>
      <c r="AV21" s="129">
        <f t="shared" si="19"/>
        <v>49.785714285714285</v>
      </c>
      <c r="AX21" s="129">
        <f>AVERAGEIF($C$36:$C$173,"=4",AX$36:AX$173)</f>
        <v>9.3571428571428577</v>
      </c>
      <c r="AZ21" s="342">
        <f t="shared" ref="AZ21:BE21" si="20">AVERAGEIF($C$36:$C$173,"=4",AZ$36:AZ$173)</f>
        <v>0.40571428571428575</v>
      </c>
      <c r="BA21" s="342">
        <f t="shared" si="20"/>
        <v>0.37499999999999994</v>
      </c>
      <c r="BB21" s="342">
        <f t="shared" si="20"/>
        <v>0.17</v>
      </c>
      <c r="BC21" s="342">
        <f t="shared" si="20"/>
        <v>4.9285714285714287E-2</v>
      </c>
      <c r="BD21" s="342">
        <f t="shared" si="20"/>
        <v>0</v>
      </c>
      <c r="BE21" s="129">
        <f t="shared" si="20"/>
        <v>49.266666666666666</v>
      </c>
      <c r="BG21" s="129">
        <f>AVERAGEIF($C$36:$C$173,"=4",BG$36:BG$173)</f>
        <v>8.9333333333333336</v>
      </c>
      <c r="BI21" s="342">
        <f t="shared" ref="BI21:BN21" si="21">AVERAGEIF($C$36:$C$173,"=4",BI$36:BI$173)</f>
        <v>0.4433333333333333</v>
      </c>
      <c r="BJ21" s="342">
        <f t="shared" si="21"/>
        <v>0.34933333333333327</v>
      </c>
      <c r="BK21" s="342">
        <f t="shared" si="21"/>
        <v>0.16466666666666666</v>
      </c>
      <c r="BL21" s="342">
        <f t="shared" si="21"/>
        <v>3.8666666666666669E-2</v>
      </c>
      <c r="BM21" s="342">
        <f t="shared" si="21"/>
        <v>2E-3</v>
      </c>
      <c r="BN21" s="129">
        <f t="shared" si="21"/>
        <v>50.692307692307693</v>
      </c>
      <c r="BP21" s="129">
        <f>AVERAGEIF($C$36:$C$173,"=4",BP$36:BP$173)</f>
        <v>9.3076923076923084</v>
      </c>
      <c r="BR21" s="342">
        <f>AVERAGEIF($C$36:$C$173,"=4",BR$36:BR$173)</f>
        <v>0.40538461538461534</v>
      </c>
      <c r="BS21" s="342">
        <f>AVERAGEIF($C$36:$C$173,"=4",BS$36:BS$173)</f>
        <v>0.34230769230769226</v>
      </c>
      <c r="BT21" s="342">
        <f>AVERAGEIF($C$36:$C$173,"=4",BT$36:BT$173)</f>
        <v>0.17076923076923078</v>
      </c>
      <c r="BU21" s="342">
        <f>AVERAGEIF($C$36:$C$173,"=4",BU$36:BU$173)</f>
        <v>7.3846153846153839E-2</v>
      </c>
      <c r="BV21" s="342">
        <f>AVERAGEIF($C$36:$C$173,"=4",BV$36:BV$173)</f>
        <v>5.3846153846153853E-3</v>
      </c>
      <c r="BW21" s="129">
        <f t="shared" ref="BW21" si="22">AVERAGEIF($C$36:$C$173,"=4",BW$36:BW$173)</f>
        <v>52.866666666666667</v>
      </c>
      <c r="BX21" s="931"/>
      <c r="BY21" s="129">
        <f>AVERAGEIF($C$36:$C$173,"=4",BY$36:BY$173)</f>
        <v>9.0666666666666664</v>
      </c>
      <c r="BZ21" s="931"/>
      <c r="CA21" s="342">
        <f t="shared" ref="CA21:CE21" si="23">AVERAGEIF($C$36:$C$173,"=4",CA$36:CA$173)</f>
        <v>0.32333333333333331</v>
      </c>
      <c r="CB21" s="342">
        <f t="shared" si="23"/>
        <v>0.378</v>
      </c>
      <c r="CC21" s="342">
        <f t="shared" si="23"/>
        <v>0.20399999999999999</v>
      </c>
      <c r="CD21" s="342">
        <f t="shared" si="23"/>
        <v>8.6666666666666684E-2</v>
      </c>
      <c r="CE21" s="342">
        <f t="shared" si="23"/>
        <v>7.3333333333333341E-3</v>
      </c>
    </row>
    <row r="22" spans="1:83" ht="24.95" customHeight="1" x14ac:dyDescent="0.2">
      <c r="A22" s="6" t="s">
        <v>144</v>
      </c>
      <c r="B22" s="6"/>
      <c r="C22" s="6"/>
      <c r="D22" s="129">
        <f t="shared" ref="D22:AM22" si="24">AVERAGEIF($C$36:$C$173,"=5",D$36:D$173)</f>
        <v>57</v>
      </c>
      <c r="E22" s="129">
        <f t="shared" si="24"/>
        <v>9.1764705882352935</v>
      </c>
      <c r="F22" s="39">
        <f t="shared" si="24"/>
        <v>0.19411764705882351</v>
      </c>
      <c r="G22" s="39">
        <f t="shared" si="24"/>
        <v>0.36411764705882355</v>
      </c>
      <c r="H22" s="39">
        <f t="shared" si="24"/>
        <v>0.27352941176470591</v>
      </c>
      <c r="I22" s="39">
        <f t="shared" si="24"/>
        <v>0.15882352941176472</v>
      </c>
      <c r="J22" s="39">
        <f t="shared" si="24"/>
        <v>1.0588235294117647E-2</v>
      </c>
      <c r="K22" s="129">
        <f t="shared" si="24"/>
        <v>55.411764705882355</v>
      </c>
      <c r="L22" s="129">
        <f t="shared" si="24"/>
        <v>8.764705882352942</v>
      </c>
      <c r="M22" s="39">
        <f t="shared" si="24"/>
        <v>0.22352941176470589</v>
      </c>
      <c r="N22" s="39">
        <f t="shared" si="24"/>
        <v>0.34411764705882358</v>
      </c>
      <c r="O22" s="39">
        <f t="shared" si="24"/>
        <v>0.33235294117647057</v>
      </c>
      <c r="P22" s="39">
        <f t="shared" si="24"/>
        <v>8.529411764705884E-2</v>
      </c>
      <c r="Q22" s="39">
        <f t="shared" si="24"/>
        <v>1.5882352941176472E-2</v>
      </c>
      <c r="R22" s="129">
        <f t="shared" si="24"/>
        <v>55.833333333333336</v>
      </c>
      <c r="S22" s="129">
        <f t="shared" si="24"/>
        <v>8.7222222222222214</v>
      </c>
      <c r="T22" s="39">
        <f t="shared" si="24"/>
        <v>0.19166666666666665</v>
      </c>
      <c r="U22" s="39">
        <f t="shared" si="24"/>
        <v>0.38500000000000001</v>
      </c>
      <c r="V22" s="39">
        <f t="shared" si="24"/>
        <v>0.27500000000000008</v>
      </c>
      <c r="W22" s="39">
        <f t="shared" si="24"/>
        <v>0.13</v>
      </c>
      <c r="X22" s="39">
        <f t="shared" si="24"/>
        <v>1.666666666666667E-2</v>
      </c>
      <c r="Y22" s="129">
        <f t="shared" si="24"/>
        <v>55.10526315789474</v>
      </c>
      <c r="Z22" s="129">
        <f t="shared" si="24"/>
        <v>9.1052631578947363</v>
      </c>
      <c r="AA22" s="39">
        <f t="shared" si="24"/>
        <v>0.24526315789473685</v>
      </c>
      <c r="AB22" s="39">
        <f t="shared" si="24"/>
        <v>0.34789473684210526</v>
      </c>
      <c r="AC22" s="39">
        <f t="shared" si="24"/>
        <v>0.29842105263157898</v>
      </c>
      <c r="AD22" s="39">
        <f t="shared" si="24"/>
        <v>0.10894736842105264</v>
      </c>
      <c r="AE22" s="39">
        <f t="shared" si="24"/>
        <v>1.0526315789473684E-3</v>
      </c>
      <c r="AF22" s="129">
        <f t="shared" si="24"/>
        <v>51.166666666666664</v>
      </c>
      <c r="AG22" s="129">
        <f t="shared" si="24"/>
        <v>9.0555555555555554</v>
      </c>
      <c r="AH22" s="39">
        <f t="shared" si="24"/>
        <v>0.34555555555555556</v>
      </c>
      <c r="AI22" s="39">
        <f t="shared" si="24"/>
        <v>0.41000000000000003</v>
      </c>
      <c r="AJ22" s="39">
        <f t="shared" si="24"/>
        <v>0.18277777777777779</v>
      </c>
      <c r="AK22" s="39">
        <f t="shared" si="24"/>
        <v>6.2222222222222227E-2</v>
      </c>
      <c r="AL22" s="39">
        <f t="shared" si="24"/>
        <v>5.5555555555555556E-4</v>
      </c>
      <c r="AM22" s="129">
        <f t="shared" si="24"/>
        <v>56.111111111111114</v>
      </c>
      <c r="AO22" s="129">
        <f>AVERAGEIF($C$36:$C$173,"=5",AO$36:AO$173)</f>
        <v>9.6111111111111107</v>
      </c>
      <c r="AQ22" s="39">
        <f t="shared" ref="AQ22:AV22" si="25">AVERAGEIF($C$36:$C$173,"=5",AQ$36:AQ$173)</f>
        <v>0.20277777777777775</v>
      </c>
      <c r="AR22" s="39">
        <f t="shared" si="25"/>
        <v>0.37888888888888883</v>
      </c>
      <c r="AS22" s="39">
        <f t="shared" si="25"/>
        <v>0.27277777777777779</v>
      </c>
      <c r="AT22" s="39">
        <f t="shared" si="25"/>
        <v>0.14000000000000001</v>
      </c>
      <c r="AU22" s="39">
        <f t="shared" si="25"/>
        <v>5.5555555555555558E-3</v>
      </c>
      <c r="AV22" s="129">
        <f t="shared" si="25"/>
        <v>57.117647058823529</v>
      </c>
      <c r="AX22" s="129">
        <f>AVERAGEIF($C$36:$C$173,"=5",AX$36:AX$173)</f>
        <v>9.4117647058823533</v>
      </c>
      <c r="AZ22" s="342">
        <f t="shared" ref="AZ22:BE22" si="26">AVERAGEIF($C$36:$C$173,"=5",AZ$36:AZ$173)</f>
        <v>0.15235294117647055</v>
      </c>
      <c r="BA22" s="342">
        <f t="shared" si="26"/>
        <v>0.36176470588235299</v>
      </c>
      <c r="BB22" s="342">
        <f t="shared" si="26"/>
        <v>0.32470588235294118</v>
      </c>
      <c r="BC22" s="342">
        <f t="shared" si="26"/>
        <v>0.14235294117647057</v>
      </c>
      <c r="BD22" s="342">
        <f t="shared" si="26"/>
        <v>1.7058823529411765E-2</v>
      </c>
      <c r="BE22" s="129">
        <f t="shared" si="26"/>
        <v>57.470588235294116</v>
      </c>
      <c r="BG22" s="129">
        <f>AVERAGEIF($C$36:$C$173,"=5",BG$36:BG$173)</f>
        <v>9.7058823529411757</v>
      </c>
      <c r="BI22" s="342">
        <f t="shared" ref="BI22:BN22" si="27">AVERAGEIF($C$36:$C$173,"=5",BI$36:BI$173)</f>
        <v>0.19000000000000006</v>
      </c>
      <c r="BJ22" s="342">
        <f t="shared" si="27"/>
        <v>0.30176470588235293</v>
      </c>
      <c r="BK22" s="342">
        <f t="shared" si="27"/>
        <v>0.3294117647058824</v>
      </c>
      <c r="BL22" s="342">
        <f t="shared" si="27"/>
        <v>0.15647058823529411</v>
      </c>
      <c r="BM22" s="342">
        <f t="shared" si="27"/>
        <v>2.2941176470588236E-2</v>
      </c>
      <c r="BN22" s="129">
        <f t="shared" si="27"/>
        <v>56.222222222222221</v>
      </c>
      <c r="BP22" s="129">
        <f>AVERAGEIF($C$36:$C$173,"=5",BP$36:BP$173)</f>
        <v>9.7777777777777786</v>
      </c>
      <c r="BR22" s="342">
        <f>AVERAGEIF($C$36:$C$173,"=5",BR$36:BR$173)</f>
        <v>0.21166666666666661</v>
      </c>
      <c r="BS22" s="342">
        <f>AVERAGEIF($C$36:$C$173,"=5",BS$36:BS$173)</f>
        <v>0.34277777777777785</v>
      </c>
      <c r="BT22" s="342">
        <f>AVERAGEIF($C$36:$C$173,"=5",BT$36:BT$173)</f>
        <v>0.28444444444444444</v>
      </c>
      <c r="BU22" s="342">
        <f>AVERAGEIF($C$36:$C$173,"=5",BU$36:BU$173)</f>
        <v>0.13666666666666666</v>
      </c>
      <c r="BV22" s="342">
        <f>AVERAGEIF($C$36:$C$173,"=5",BV$36:BV$173)</f>
        <v>2.6666666666666665E-2</v>
      </c>
      <c r="BW22" s="129">
        <f t="shared" ref="BW22" si="28">AVERAGEIF($C$36:$C$173,"=5",BW$36:BW$173)</f>
        <v>58.222222222222221</v>
      </c>
      <c r="BX22" s="931"/>
      <c r="BY22" s="129">
        <f>AVERAGEIF($C$36:$C$173,"=5",BY$36:BY$173)</f>
        <v>9.7777777777777786</v>
      </c>
      <c r="BZ22" s="931"/>
      <c r="CA22" s="342">
        <f t="shared" ref="CA22:CE22" si="29">AVERAGEIF($C$36:$C$173,"=5",CA$36:CA$173)</f>
        <v>0.17166666666666666</v>
      </c>
      <c r="CB22" s="342">
        <f t="shared" si="29"/>
        <v>0.29555555555555557</v>
      </c>
      <c r="CC22" s="342">
        <f t="shared" si="29"/>
        <v>0.32499999999999996</v>
      </c>
      <c r="CD22" s="342">
        <f t="shared" si="29"/>
        <v>0.19</v>
      </c>
      <c r="CE22" s="342">
        <f t="shared" si="29"/>
        <v>1.8888888888888889E-2</v>
      </c>
    </row>
    <row r="23" spans="1:83" ht="24.95" customHeight="1" x14ac:dyDescent="0.2">
      <c r="A23" s="6" t="s">
        <v>145</v>
      </c>
      <c r="B23" s="6"/>
      <c r="C23" s="6"/>
      <c r="D23" s="129">
        <f t="shared" ref="D23:AM23" si="30">AVERAGEIF($C$36:$C$173,"=6",D$36:D$173)</f>
        <v>54.2</v>
      </c>
      <c r="E23" s="129">
        <f t="shared" si="30"/>
        <v>8.3333333333333339</v>
      </c>
      <c r="F23" s="39">
        <f t="shared" si="30"/>
        <v>0.30066666666666664</v>
      </c>
      <c r="G23" s="39">
        <f t="shared" si="30"/>
        <v>0.34599999999999997</v>
      </c>
      <c r="H23" s="39">
        <f t="shared" si="30"/>
        <v>0.28066666666666668</v>
      </c>
      <c r="I23" s="39">
        <f t="shared" si="30"/>
        <v>6.6666666666666666E-2</v>
      </c>
      <c r="J23" s="39">
        <f t="shared" si="30"/>
        <v>4.0000000000000001E-3</v>
      </c>
      <c r="K23" s="129">
        <f t="shared" si="30"/>
        <v>50.93333333333333</v>
      </c>
      <c r="L23" s="129">
        <f t="shared" si="30"/>
        <v>9.3333333333333339</v>
      </c>
      <c r="M23" s="39">
        <f t="shared" si="30"/>
        <v>0.43199999999999988</v>
      </c>
      <c r="N23" s="39">
        <f t="shared" si="30"/>
        <v>0.34466666666666668</v>
      </c>
      <c r="O23" s="39">
        <f t="shared" si="30"/>
        <v>0.1566666666666667</v>
      </c>
      <c r="P23" s="39">
        <f t="shared" si="30"/>
        <v>6.0666666666666674E-2</v>
      </c>
      <c r="Q23" s="39">
        <f t="shared" si="30"/>
        <v>7.3333333333333332E-3</v>
      </c>
      <c r="R23" s="129">
        <f t="shared" si="30"/>
        <v>52.357142857142854</v>
      </c>
      <c r="S23" s="129">
        <f t="shared" si="30"/>
        <v>8.5714285714285712</v>
      </c>
      <c r="T23" s="39">
        <f t="shared" si="30"/>
        <v>0.29928571428571432</v>
      </c>
      <c r="U23" s="39">
        <f t="shared" si="30"/>
        <v>0.45714285714285713</v>
      </c>
      <c r="V23" s="39">
        <f t="shared" si="30"/>
        <v>0.17571428571428571</v>
      </c>
      <c r="W23" s="39">
        <f t="shared" si="30"/>
        <v>6.2857142857142848E-2</v>
      </c>
      <c r="X23" s="39">
        <f t="shared" si="30"/>
        <v>5.0000000000000001E-3</v>
      </c>
      <c r="Y23" s="129">
        <f t="shared" si="30"/>
        <v>51.733333333333334</v>
      </c>
      <c r="Z23" s="129">
        <f t="shared" si="30"/>
        <v>9.1999999999999993</v>
      </c>
      <c r="AA23" s="39">
        <f t="shared" si="30"/>
        <v>0.35933333333333334</v>
      </c>
      <c r="AB23" s="39">
        <f t="shared" si="30"/>
        <v>0.36866666666666664</v>
      </c>
      <c r="AC23" s="39">
        <f t="shared" si="30"/>
        <v>0.19466666666666665</v>
      </c>
      <c r="AD23" s="39">
        <f t="shared" si="30"/>
        <v>7.2000000000000022E-2</v>
      </c>
      <c r="AE23" s="39">
        <f t="shared" si="30"/>
        <v>8.0000000000000002E-3</v>
      </c>
      <c r="AF23" s="129">
        <f t="shared" si="30"/>
        <v>47.588235294117645</v>
      </c>
      <c r="AG23" s="129">
        <f t="shared" si="30"/>
        <v>9.0588235294117645</v>
      </c>
      <c r="AH23" s="39">
        <f t="shared" si="30"/>
        <v>0.53941176470588237</v>
      </c>
      <c r="AI23" s="39">
        <f t="shared" si="30"/>
        <v>0.30705882352941172</v>
      </c>
      <c r="AJ23" s="39">
        <f t="shared" si="30"/>
        <v>0.1123529411764706</v>
      </c>
      <c r="AK23" s="39">
        <f t="shared" si="30"/>
        <v>3.9411764705882354E-2</v>
      </c>
      <c r="AL23" s="39">
        <f t="shared" si="30"/>
        <v>2.9411764705882353E-3</v>
      </c>
      <c r="AM23" s="129">
        <f t="shared" si="30"/>
        <v>53.117647058823529</v>
      </c>
      <c r="AO23" s="129">
        <f>AVERAGEIF($C$36:$C$173,"=6",AO$36:AO$173)</f>
        <v>9.4117647058823533</v>
      </c>
      <c r="AQ23" s="39">
        <f t="shared" ref="AQ23:AV23" si="31">AVERAGEIF($C$36:$C$173,"=6",AQ$36:AQ$173)</f>
        <v>0.25588235294117645</v>
      </c>
      <c r="AR23" s="39">
        <f t="shared" si="31"/>
        <v>0.40705882352941175</v>
      </c>
      <c r="AS23" s="39">
        <f t="shared" si="31"/>
        <v>0.24529411764705883</v>
      </c>
      <c r="AT23" s="39">
        <f t="shared" si="31"/>
        <v>7.823529411764707E-2</v>
      </c>
      <c r="AU23" s="39">
        <f t="shared" si="31"/>
        <v>1.5294117647058824E-2</v>
      </c>
      <c r="AV23" s="129">
        <f t="shared" si="31"/>
        <v>53.842105263157897</v>
      </c>
      <c r="AX23" s="129">
        <f>AVERAGEIF($C$36:$C$173,"=6",AX$36:AX$173)</f>
        <v>9.8947368421052637</v>
      </c>
      <c r="AZ23" s="342">
        <f t="shared" ref="AZ23:BE23" si="32">AVERAGEIF($C$36:$C$173,"=6",AZ$36:AZ$173)</f>
        <v>0.28526315789473689</v>
      </c>
      <c r="BA23" s="342">
        <f t="shared" si="32"/>
        <v>0.37210526315789477</v>
      </c>
      <c r="BB23" s="342">
        <f t="shared" si="32"/>
        <v>0.23684210526315788</v>
      </c>
      <c r="BC23" s="342">
        <f t="shared" si="32"/>
        <v>9.736842105263159E-2</v>
      </c>
      <c r="BD23" s="342">
        <f t="shared" si="32"/>
        <v>8.4210526315789454E-3</v>
      </c>
      <c r="BE23" s="129">
        <f t="shared" si="32"/>
        <v>53.8</v>
      </c>
      <c r="BG23" s="129">
        <f>AVERAGEIF($C$36:$C$173,"=6",BG$36:BG$173)</f>
        <v>9.25</v>
      </c>
      <c r="BI23" s="342">
        <f t="shared" ref="BI23:BN23" si="33">AVERAGEIF($C$36:$C$173,"=6",BI$36:BI$173)</f>
        <v>0.27999999999999997</v>
      </c>
      <c r="BJ23" s="342">
        <f t="shared" si="33"/>
        <v>0.38849999999999996</v>
      </c>
      <c r="BK23" s="342">
        <f t="shared" si="33"/>
        <v>0.21300000000000002</v>
      </c>
      <c r="BL23" s="342">
        <f t="shared" si="33"/>
        <v>0.11150000000000002</v>
      </c>
      <c r="BM23" s="342">
        <f t="shared" si="33"/>
        <v>6.5000000000000006E-3</v>
      </c>
      <c r="BN23" s="129">
        <f t="shared" si="33"/>
        <v>54.833333333333336</v>
      </c>
      <c r="BP23" s="129">
        <f>AVERAGEIF($C$36:$C$173,"=6",BP$36:BP$173)</f>
        <v>10.166666666666666</v>
      </c>
      <c r="BR23" s="342">
        <f>AVERAGEIF($C$36:$C$173,"=6",BR$36:BR$173)</f>
        <v>0.27333333333333321</v>
      </c>
      <c r="BS23" s="342">
        <f>AVERAGEIF($C$36:$C$173,"=6",BS$36:BS$173)</f>
        <v>0.33722222222222226</v>
      </c>
      <c r="BT23" s="342">
        <f>AVERAGEIF($C$36:$C$173,"=6",BT$36:BT$173)</f>
        <v>0.26222222222222219</v>
      </c>
      <c r="BU23" s="342">
        <f>AVERAGEIF($C$36:$C$173,"=6",BU$36:BU$173)</f>
        <v>0.10944444444444448</v>
      </c>
      <c r="BV23" s="342">
        <f>AVERAGEIF($C$36:$C$173,"=6",BV$36:BV$173)</f>
        <v>2.2222222222222223E-2</v>
      </c>
      <c r="BW23" s="129">
        <f t="shared" ref="BW23" si="34">AVERAGEIF($C$36:$C$173,"=6",BW$36:BW$173)</f>
        <v>55.05263157894737</v>
      </c>
      <c r="BX23" s="931"/>
      <c r="BY23" s="129">
        <f>AVERAGEIF($C$36:$C$173,"=6",BY$36:BY$173)</f>
        <v>10</v>
      </c>
      <c r="BZ23" s="931"/>
      <c r="CA23" s="342">
        <f t="shared" ref="CA23:CE23" si="35">AVERAGEIF($C$36:$C$173,"=6",CA$36:CA$173)</f>
        <v>0.24842105263157899</v>
      </c>
      <c r="CB23" s="342">
        <f t="shared" si="35"/>
        <v>0.34789473684210531</v>
      </c>
      <c r="CC23" s="342">
        <f t="shared" si="35"/>
        <v>0.25789473684210529</v>
      </c>
      <c r="CD23" s="342">
        <f t="shared" si="35"/>
        <v>0.12789473684210528</v>
      </c>
      <c r="CE23" s="342">
        <f t="shared" si="35"/>
        <v>1.947368421052632E-2</v>
      </c>
    </row>
    <row r="24" spans="1:83" ht="24.95" customHeight="1" x14ac:dyDescent="0.2">
      <c r="A24" s="6" t="s">
        <v>776</v>
      </c>
      <c r="B24" s="299"/>
      <c r="C24" s="299"/>
      <c r="D24" s="129">
        <f t="shared" ref="D24:AM24" si="36">AVERAGEIFS(D$36:D$173,$C$36:$C$173,"=1", $B$36:$B$173,"OFICIAL")</f>
        <v>52.25</v>
      </c>
      <c r="E24" s="129">
        <f t="shared" si="36"/>
        <v>8.5</v>
      </c>
      <c r="F24" s="39">
        <f t="shared" si="36"/>
        <v>0.31</v>
      </c>
      <c r="G24" s="39">
        <f t="shared" si="36"/>
        <v>0.41250000000000003</v>
      </c>
      <c r="H24" s="39">
        <f t="shared" si="36"/>
        <v>0.23750000000000002</v>
      </c>
      <c r="I24" s="39">
        <f t="shared" si="36"/>
        <v>3.7500000000000006E-2</v>
      </c>
      <c r="J24" s="39">
        <f t="shared" si="36"/>
        <v>0</v>
      </c>
      <c r="K24" s="129">
        <f t="shared" si="36"/>
        <v>49.5</v>
      </c>
      <c r="L24" s="129">
        <f t="shared" si="36"/>
        <v>8.25</v>
      </c>
      <c r="M24" s="39">
        <f t="shared" si="36"/>
        <v>0.43750000000000006</v>
      </c>
      <c r="N24" s="39">
        <f t="shared" si="36"/>
        <v>0.38</v>
      </c>
      <c r="O24" s="39">
        <f t="shared" si="36"/>
        <v>0.1575</v>
      </c>
      <c r="P24" s="39">
        <f t="shared" si="36"/>
        <v>2.5000000000000001E-2</v>
      </c>
      <c r="Q24" s="39">
        <f t="shared" si="36"/>
        <v>2.5000000000000001E-3</v>
      </c>
      <c r="R24" s="129">
        <f t="shared" si="36"/>
        <v>51.5</v>
      </c>
      <c r="S24" s="129">
        <f t="shared" si="36"/>
        <v>9</v>
      </c>
      <c r="T24" s="39">
        <f t="shared" si="36"/>
        <v>0.33499999999999996</v>
      </c>
      <c r="U24" s="39">
        <f t="shared" si="36"/>
        <v>0.41249999999999998</v>
      </c>
      <c r="V24" s="39">
        <f t="shared" si="36"/>
        <v>0.2</v>
      </c>
      <c r="W24" s="39">
        <f t="shared" si="36"/>
        <v>0.05</v>
      </c>
      <c r="X24" s="39">
        <f t="shared" si="36"/>
        <v>5.0000000000000001E-3</v>
      </c>
      <c r="Y24" s="129">
        <f t="shared" si="36"/>
        <v>50.25</v>
      </c>
      <c r="Z24" s="129">
        <f t="shared" si="36"/>
        <v>9.75</v>
      </c>
      <c r="AA24" s="39">
        <f t="shared" si="36"/>
        <v>0.38</v>
      </c>
      <c r="AB24" s="39">
        <f t="shared" si="36"/>
        <v>0.41</v>
      </c>
      <c r="AC24" s="39">
        <f t="shared" si="36"/>
        <v>0.16499999999999998</v>
      </c>
      <c r="AD24" s="39">
        <f t="shared" si="36"/>
        <v>0.04</v>
      </c>
      <c r="AE24" s="39">
        <f t="shared" si="36"/>
        <v>7.4999999999999997E-3</v>
      </c>
      <c r="AF24" s="129">
        <f t="shared" si="36"/>
        <v>46.5</v>
      </c>
      <c r="AG24" s="129">
        <f t="shared" si="36"/>
        <v>8.75</v>
      </c>
      <c r="AH24" s="39">
        <f t="shared" si="36"/>
        <v>0.60250000000000004</v>
      </c>
      <c r="AI24" s="39">
        <f t="shared" si="36"/>
        <v>0.29749999999999999</v>
      </c>
      <c r="AJ24" s="39">
        <f t="shared" si="36"/>
        <v>6.7500000000000004E-2</v>
      </c>
      <c r="AK24" s="39">
        <f t="shared" si="36"/>
        <v>0.03</v>
      </c>
      <c r="AL24" s="39">
        <f t="shared" si="36"/>
        <v>2.5000000000000001E-3</v>
      </c>
      <c r="AM24" s="129">
        <f t="shared" si="36"/>
        <v>49.5</v>
      </c>
      <c r="AO24" s="129">
        <f>AVERAGEIFS(AO$36:AO$173,$C$36:$C$173,"=1", $B$36:$B$173,"OFICIAL")</f>
        <v>9.75</v>
      </c>
      <c r="AQ24" s="39">
        <f t="shared" ref="AQ24:AV24" si="37">AVERAGEIFS(AQ$36:AQ$173,$C$36:$C$173,"=1", $B$36:$B$173,"OFICIAL")</f>
        <v>0.40500000000000003</v>
      </c>
      <c r="AR24" s="39">
        <f t="shared" si="37"/>
        <v>0.39749999999999996</v>
      </c>
      <c r="AS24" s="39">
        <f t="shared" si="37"/>
        <v>0.1575</v>
      </c>
      <c r="AT24" s="39">
        <f t="shared" si="37"/>
        <v>4.2500000000000003E-2</v>
      </c>
      <c r="AU24" s="39">
        <f t="shared" si="37"/>
        <v>0</v>
      </c>
      <c r="AV24" s="129">
        <f t="shared" si="37"/>
        <v>49.6</v>
      </c>
      <c r="AX24" s="129">
        <f>AVERAGEIFS(AX$36:AX$173,$C$36:$C$173,"=1", $B$36:$B$173,"OFICIAL")</f>
        <v>9.6</v>
      </c>
      <c r="AZ24" s="342">
        <f t="shared" ref="AZ24:BE24" si="38">AVERAGEIFS(AZ$36:AZ$173,$C$36:$C$173,"=1", $B$36:$B$173,"OFICIAL")</f>
        <v>0.42199999999999999</v>
      </c>
      <c r="BA24" s="342">
        <f t="shared" si="38"/>
        <v>0.38999999999999996</v>
      </c>
      <c r="BB24" s="342">
        <f t="shared" si="38"/>
        <v>0.152</v>
      </c>
      <c r="BC24" s="342">
        <f t="shared" si="38"/>
        <v>3.5999999999999997E-2</v>
      </c>
      <c r="BD24" s="342">
        <f t="shared" si="38"/>
        <v>2E-3</v>
      </c>
      <c r="BE24" s="129">
        <f t="shared" si="38"/>
        <v>49.8</v>
      </c>
      <c r="BG24" s="129">
        <f>AVERAGEIFS(BG$36:BG$173,$C$36:$C$173,"=1", $B$36:$B$173,"OFICIAL")</f>
        <v>9.4</v>
      </c>
      <c r="BI24" s="342">
        <f t="shared" ref="BI24:BN24" si="39">AVERAGEIFS(BI$36:BI$173,$C$36:$C$173,"=1", $B$36:$B$173,"OFICIAL")</f>
        <v>0.39800000000000002</v>
      </c>
      <c r="BJ24" s="342">
        <f t="shared" si="39"/>
        <v>0.41399999999999998</v>
      </c>
      <c r="BK24" s="342">
        <f t="shared" si="39"/>
        <v>0.156</v>
      </c>
      <c r="BL24" s="342">
        <f t="shared" si="39"/>
        <v>2.8000000000000004E-2</v>
      </c>
      <c r="BM24" s="342">
        <f t="shared" si="39"/>
        <v>6.0000000000000001E-3</v>
      </c>
      <c r="BN24" s="490">
        <f t="shared" si="39"/>
        <v>50.6</v>
      </c>
      <c r="BP24" s="300">
        <f>AVERAGEIFS(BP$36:BP$173,$C$36:$C$173,"=1", $B$36:$B$173,"OFICIAL")</f>
        <v>9.4</v>
      </c>
      <c r="BR24" s="343">
        <f>AVERAGEIFS(BR$36:BR$173,$C$36:$C$173,"=1", $B$36:$B$173,"OFICIAL")</f>
        <v>0.39400000000000002</v>
      </c>
      <c r="BS24" s="343">
        <f>AVERAGEIFS(BS$36:BS$173,$C$36:$C$173,"=1", $B$36:$B$173,"OFICIAL")</f>
        <v>0.39600000000000002</v>
      </c>
      <c r="BT24" s="343">
        <f>AVERAGEIFS(BT$36:BT$173,$C$36:$C$173,"=1", $B$36:$B$173,"OFICIAL")</f>
        <v>0.154</v>
      </c>
      <c r="BU24" s="343">
        <f>AVERAGEIFS(BU$36:BU$173,$C$36:$C$173,"=1", $B$36:$B$173,"OFICIAL")</f>
        <v>5.2000000000000005E-2</v>
      </c>
      <c r="BV24" s="343">
        <f>AVERAGEIFS(BV$36:BV$173,$C$36:$C$173,"=1", $B$36:$B$173,"OFICIAL")</f>
        <v>2E-3</v>
      </c>
      <c r="BW24" s="129">
        <f t="shared" ref="BW24" si="40">AVERAGEIFS(BW$36:BW$173,$C$36:$C$173,"=1", $B$36:$B$173,"OFICIAL")</f>
        <v>51.4</v>
      </c>
      <c r="BX24" s="931"/>
      <c r="BY24" s="129">
        <f>AVERAGEIFS(BY$36:BY$173,$C$36:$C$173,"=1", $B$36:$B$173,"OFICIAL")</f>
        <v>9.6</v>
      </c>
      <c r="BZ24" s="931"/>
      <c r="CA24" s="342">
        <f t="shared" ref="CA24:CE24" si="41">AVERAGEIFS(CA$36:CA$173,$C$36:$C$173,"=1", $B$36:$B$173,"OFICIAL")</f>
        <v>0.34599999999999997</v>
      </c>
      <c r="CB24" s="342">
        <f t="shared" si="41"/>
        <v>0.41399999999999998</v>
      </c>
      <c r="CC24" s="342">
        <f t="shared" si="41"/>
        <v>0.182</v>
      </c>
      <c r="CD24" s="342">
        <f t="shared" si="41"/>
        <v>5.6000000000000008E-2</v>
      </c>
      <c r="CE24" s="342">
        <f t="shared" si="41"/>
        <v>0</v>
      </c>
    </row>
    <row r="25" spans="1:83" ht="24.95" customHeight="1" x14ac:dyDescent="0.2">
      <c r="A25" s="6" t="s">
        <v>777</v>
      </c>
      <c r="B25" s="299"/>
      <c r="C25" s="299"/>
      <c r="D25" s="129">
        <f t="shared" ref="D25:AM25" si="42">AVERAGEIFS(D$36:D$173,$C$36:$C$173,"=2", $B$36:$B$173,"OFICIAL")</f>
        <v>52</v>
      </c>
      <c r="E25" s="129">
        <f t="shared" si="42"/>
        <v>8.5</v>
      </c>
      <c r="F25" s="39">
        <f t="shared" si="42"/>
        <v>0.33</v>
      </c>
      <c r="G25" s="39">
        <f t="shared" si="42"/>
        <v>0.41000000000000003</v>
      </c>
      <c r="H25" s="39">
        <f t="shared" si="42"/>
        <v>0.22500000000000001</v>
      </c>
      <c r="I25" s="39">
        <f t="shared" si="42"/>
        <v>0.04</v>
      </c>
      <c r="J25" s="39">
        <f t="shared" si="42"/>
        <v>0</v>
      </c>
      <c r="K25" s="129">
        <f t="shared" si="42"/>
        <v>50.5</v>
      </c>
      <c r="L25" s="129">
        <f t="shared" si="42"/>
        <v>9</v>
      </c>
      <c r="M25" s="39">
        <f t="shared" si="42"/>
        <v>0.39500000000000002</v>
      </c>
      <c r="N25" s="39">
        <f t="shared" si="42"/>
        <v>0.39</v>
      </c>
      <c r="O25" s="39">
        <f t="shared" si="42"/>
        <v>0.18</v>
      </c>
      <c r="P25" s="39">
        <f t="shared" si="42"/>
        <v>0.03</v>
      </c>
      <c r="Q25" s="39">
        <f t="shared" si="42"/>
        <v>0</v>
      </c>
      <c r="R25" s="129">
        <f t="shared" si="42"/>
        <v>51.5</v>
      </c>
      <c r="S25" s="129">
        <f t="shared" si="42"/>
        <v>9</v>
      </c>
      <c r="T25" s="39">
        <f t="shared" si="42"/>
        <v>0.34499999999999997</v>
      </c>
      <c r="U25" s="39">
        <f t="shared" si="42"/>
        <v>0.40500000000000003</v>
      </c>
      <c r="V25" s="39">
        <f t="shared" si="42"/>
        <v>0.2</v>
      </c>
      <c r="W25" s="39">
        <f t="shared" si="42"/>
        <v>4.4999999999999998E-2</v>
      </c>
      <c r="X25" s="39">
        <f t="shared" si="42"/>
        <v>0</v>
      </c>
      <c r="Y25" s="129">
        <f t="shared" si="42"/>
        <v>51</v>
      </c>
      <c r="Z25" s="129">
        <f t="shared" si="42"/>
        <v>9.5</v>
      </c>
      <c r="AA25" s="39">
        <f t="shared" si="42"/>
        <v>0.375</v>
      </c>
      <c r="AB25" s="39">
        <f t="shared" si="42"/>
        <v>0.39</v>
      </c>
      <c r="AC25" s="39">
        <f t="shared" si="42"/>
        <v>0.19</v>
      </c>
      <c r="AD25" s="39">
        <f t="shared" si="42"/>
        <v>4.4999999999999998E-2</v>
      </c>
      <c r="AE25" s="39">
        <f t="shared" si="42"/>
        <v>0</v>
      </c>
      <c r="AF25" s="129">
        <f t="shared" si="42"/>
        <v>47</v>
      </c>
      <c r="AG25" s="129">
        <f t="shared" si="42"/>
        <v>8.5</v>
      </c>
      <c r="AH25" s="39">
        <f t="shared" si="42"/>
        <v>0.57499999999999996</v>
      </c>
      <c r="AI25" s="39">
        <f t="shared" si="42"/>
        <v>0.32</v>
      </c>
      <c r="AJ25" s="39">
        <f t="shared" si="42"/>
        <v>0.08</v>
      </c>
      <c r="AK25" s="39">
        <f t="shared" si="42"/>
        <v>2.5000000000000001E-2</v>
      </c>
      <c r="AL25" s="39">
        <f t="shared" si="42"/>
        <v>0</v>
      </c>
      <c r="AM25" s="129">
        <f t="shared" si="42"/>
        <v>50</v>
      </c>
      <c r="AO25" s="129">
        <f>AVERAGEIFS(AO$36:AO$173,$C$36:$C$173,"=2", $B$36:$B$173,"OFICIAL")</f>
        <v>10</v>
      </c>
      <c r="AQ25" s="39">
        <f t="shared" ref="AQ25:AV25" si="43">AVERAGEIFS(AQ$36:AQ$173,$C$36:$C$173,"=2", $B$36:$B$173,"OFICIAL")</f>
        <v>0.40500000000000003</v>
      </c>
      <c r="AR25" s="39">
        <f t="shared" si="43"/>
        <v>0.38</v>
      </c>
      <c r="AS25" s="39">
        <f t="shared" si="43"/>
        <v>0.16500000000000001</v>
      </c>
      <c r="AT25" s="39">
        <f t="shared" si="43"/>
        <v>4.4999999999999998E-2</v>
      </c>
      <c r="AU25" s="39">
        <f t="shared" si="43"/>
        <v>0</v>
      </c>
      <c r="AV25" s="129">
        <f t="shared" si="43"/>
        <v>50.5</v>
      </c>
      <c r="AX25" s="129">
        <f>AVERAGEIFS(AX$36:AX$173,$C$36:$C$173,"=2", $B$36:$B$173,"OFICIAL")</f>
        <v>9.5</v>
      </c>
      <c r="AZ25" s="342">
        <f t="shared" ref="AZ25:BE25" si="44">AVERAGEIFS(AZ$36:AZ$173,$C$36:$C$173,"=2", $B$36:$B$173,"OFICIAL")</f>
        <v>0.39500000000000002</v>
      </c>
      <c r="BA25" s="342">
        <f t="shared" si="44"/>
        <v>0.35000000000000003</v>
      </c>
      <c r="BB25" s="342">
        <f t="shared" si="44"/>
        <v>0.20499999999999999</v>
      </c>
      <c r="BC25" s="342">
        <f t="shared" si="44"/>
        <v>5.2500000000000005E-2</v>
      </c>
      <c r="BD25" s="342">
        <f t="shared" si="44"/>
        <v>2.5000000000000001E-3</v>
      </c>
      <c r="BE25" s="129">
        <f t="shared" si="44"/>
        <v>51</v>
      </c>
      <c r="BG25" s="129">
        <f>AVERAGEIFS(BG$36:BG$173,$C$36:$C$173,"=2", $B$36:$B$173,"OFICIAL")</f>
        <v>9.5</v>
      </c>
      <c r="BI25" s="342">
        <f t="shared" ref="BI25:BN25" si="45">AVERAGEIFS(BI$36:BI$173,$C$36:$C$173,"=2", $B$36:$B$173,"OFICIAL")</f>
        <v>0.38749999999999996</v>
      </c>
      <c r="BJ25" s="342">
        <f t="shared" si="45"/>
        <v>0.38250000000000006</v>
      </c>
      <c r="BK25" s="342">
        <f t="shared" si="45"/>
        <v>0.17500000000000002</v>
      </c>
      <c r="BL25" s="342">
        <f t="shared" si="45"/>
        <v>5.5E-2</v>
      </c>
      <c r="BM25" s="342">
        <f t="shared" si="45"/>
        <v>0</v>
      </c>
      <c r="BN25" s="490">
        <f t="shared" si="45"/>
        <v>53</v>
      </c>
      <c r="BP25" s="300">
        <f>AVERAGEIFS(BP$36:BP$173,$C$36:$C$173,"=2", $B$36:$B$173,"OFICIAL")</f>
        <v>9.75</v>
      </c>
      <c r="BR25" s="343">
        <f>AVERAGEIFS(BR$36:BR$173,$C$36:$C$173,"=2", $B$36:$B$173,"OFICIAL")</f>
        <v>0.315</v>
      </c>
      <c r="BS25" s="343">
        <f>AVERAGEIFS(BS$36:BS$173,$C$36:$C$173,"=2", $B$36:$B$173,"OFICIAL")</f>
        <v>0.40750000000000003</v>
      </c>
      <c r="BT25" s="343">
        <f>AVERAGEIFS(BT$36:BT$173,$C$36:$C$173,"=2", $B$36:$B$173,"OFICIAL")</f>
        <v>0.19750000000000001</v>
      </c>
      <c r="BU25" s="343">
        <f>AVERAGEIFS(BU$36:BU$173,$C$36:$C$173,"=2", $B$36:$B$173,"OFICIAL")</f>
        <v>7.0000000000000007E-2</v>
      </c>
      <c r="BV25" s="343">
        <f>AVERAGEIFS(BV$36:BV$173,$C$36:$C$173,"=2", $B$36:$B$173,"OFICIAL")</f>
        <v>0.01</v>
      </c>
      <c r="BW25" s="129">
        <f t="shared" ref="BW25" si="46">AVERAGEIFS(BW$36:BW$173,$C$36:$C$173,"=2", $B$36:$B$173,"OFICIAL")</f>
        <v>53.25</v>
      </c>
      <c r="BX25" s="931"/>
      <c r="BY25" s="129">
        <f>AVERAGEIFS(BY$36:BY$173,$C$36:$C$173,"=2", $B$36:$B$173,"OFICIAL")</f>
        <v>10</v>
      </c>
      <c r="BZ25" s="931"/>
      <c r="CA25" s="342">
        <f t="shared" ref="CA25:CE25" si="47">AVERAGEIFS(CA$36:CA$173,$C$36:$C$173,"=2", $B$36:$B$173,"OFICIAL")</f>
        <v>0.28999999999999998</v>
      </c>
      <c r="CB25" s="342">
        <f t="shared" si="47"/>
        <v>0.38</v>
      </c>
      <c r="CC25" s="342">
        <f t="shared" si="47"/>
        <v>0.24249999999999999</v>
      </c>
      <c r="CD25" s="342">
        <f t="shared" si="47"/>
        <v>7.4999999999999997E-2</v>
      </c>
      <c r="CE25" s="342">
        <f t="shared" si="47"/>
        <v>7.4999999999999997E-3</v>
      </c>
    </row>
    <row r="26" spans="1:83" ht="24.95" customHeight="1" x14ac:dyDescent="0.2">
      <c r="A26" s="6" t="s">
        <v>778</v>
      </c>
      <c r="B26" s="299"/>
      <c r="C26" s="299"/>
      <c r="D26" s="129">
        <f t="shared" ref="D26:AM26" si="48">AVERAGEIFS(D$36:D$173,$C$36:$C$173,"=3", $B$36:$B$173,"OFICIAL")</f>
        <v>51.8</v>
      </c>
      <c r="E26" s="129">
        <f t="shared" si="48"/>
        <v>9</v>
      </c>
      <c r="F26" s="39">
        <f t="shared" si="48"/>
        <v>0.36</v>
      </c>
      <c r="G26" s="39">
        <f t="shared" si="48"/>
        <v>0.38200000000000001</v>
      </c>
      <c r="H26" s="39">
        <f t="shared" si="48"/>
        <v>0.20800000000000002</v>
      </c>
      <c r="I26" s="39">
        <f t="shared" si="48"/>
        <v>4.4000000000000004E-2</v>
      </c>
      <c r="J26" s="39">
        <f t="shared" si="48"/>
        <v>8.0000000000000002E-3</v>
      </c>
      <c r="K26" s="129">
        <f t="shared" si="48"/>
        <v>50.4</v>
      </c>
      <c r="L26" s="129">
        <f t="shared" si="48"/>
        <v>9.4</v>
      </c>
      <c r="M26" s="39">
        <f t="shared" si="48"/>
        <v>0.39400000000000002</v>
      </c>
      <c r="N26" s="39">
        <f t="shared" si="48"/>
        <v>0.38800000000000007</v>
      </c>
      <c r="O26" s="39">
        <f t="shared" si="48"/>
        <v>0.17800000000000002</v>
      </c>
      <c r="P26" s="39">
        <f t="shared" si="48"/>
        <v>3.2000000000000001E-2</v>
      </c>
      <c r="Q26" s="39">
        <f t="shared" si="48"/>
        <v>6.0000000000000001E-3</v>
      </c>
      <c r="R26" s="129">
        <f t="shared" si="48"/>
        <v>51.6</v>
      </c>
      <c r="S26" s="129">
        <f t="shared" si="48"/>
        <v>9.1999999999999993</v>
      </c>
      <c r="T26" s="39">
        <f t="shared" si="48"/>
        <v>0.31999999999999995</v>
      </c>
      <c r="U26" s="39">
        <f t="shared" si="48"/>
        <v>0.44400000000000006</v>
      </c>
      <c r="V26" s="39">
        <f t="shared" si="48"/>
        <v>0.19199999999999998</v>
      </c>
      <c r="W26" s="39">
        <f t="shared" si="48"/>
        <v>3.9999999999999994E-2</v>
      </c>
      <c r="X26" s="39">
        <f t="shared" si="48"/>
        <v>2E-3</v>
      </c>
      <c r="Y26" s="129">
        <f t="shared" si="48"/>
        <v>49.4</v>
      </c>
      <c r="Z26" s="129">
        <f t="shared" si="48"/>
        <v>9.6</v>
      </c>
      <c r="AA26" s="39">
        <f t="shared" si="48"/>
        <v>0.43599999999999994</v>
      </c>
      <c r="AB26" s="39">
        <f t="shared" si="48"/>
        <v>0.376</v>
      </c>
      <c r="AC26" s="39">
        <f t="shared" si="48"/>
        <v>0.15</v>
      </c>
      <c r="AD26" s="39">
        <f t="shared" si="48"/>
        <v>3.5999999999999997E-2</v>
      </c>
      <c r="AE26" s="39">
        <f t="shared" si="48"/>
        <v>0</v>
      </c>
      <c r="AF26" s="129">
        <f t="shared" si="48"/>
        <v>47</v>
      </c>
      <c r="AG26" s="129">
        <f t="shared" si="48"/>
        <v>8.8000000000000007</v>
      </c>
      <c r="AH26" s="39">
        <f t="shared" si="48"/>
        <v>0.55399999999999994</v>
      </c>
      <c r="AI26" s="39">
        <f t="shared" si="48"/>
        <v>0.34</v>
      </c>
      <c r="AJ26" s="39">
        <f t="shared" si="48"/>
        <v>7.8E-2</v>
      </c>
      <c r="AK26" s="39">
        <f t="shared" si="48"/>
        <v>2.1999999999999999E-2</v>
      </c>
      <c r="AL26" s="39">
        <f t="shared" si="48"/>
        <v>2E-3</v>
      </c>
      <c r="AM26" s="129">
        <f t="shared" si="48"/>
        <v>49</v>
      </c>
      <c r="AO26" s="129">
        <f>AVERAGEIFS(AO$36:AO$173,$C$36:$C$173,"=3", $B$36:$B$173,"OFICIAL")</f>
        <v>10</v>
      </c>
      <c r="AQ26" s="39">
        <f t="shared" ref="AQ26:AV26" si="49">AVERAGEIFS(AQ$36:AQ$173,$C$36:$C$173,"=3", $B$36:$B$173,"OFICIAL")</f>
        <v>0.44400000000000006</v>
      </c>
      <c r="AR26" s="39">
        <f t="shared" si="49"/>
        <v>0.34</v>
      </c>
      <c r="AS26" s="39">
        <f t="shared" si="49"/>
        <v>0.17399999999999999</v>
      </c>
      <c r="AT26" s="39">
        <f t="shared" si="49"/>
        <v>3.7999999999999999E-2</v>
      </c>
      <c r="AU26" s="39">
        <f t="shared" si="49"/>
        <v>2E-3</v>
      </c>
      <c r="AV26" s="129">
        <f t="shared" si="49"/>
        <v>51.666666666666664</v>
      </c>
      <c r="AX26" s="129">
        <f>AVERAGEIFS(AX$36:AX$173,$C$36:$C$173,"=3", $B$36:$B$173,"OFICIAL")</f>
        <v>10.833333333333334</v>
      </c>
      <c r="AZ26" s="342">
        <f t="shared" ref="AZ26:BE26" si="50">AVERAGEIFS(AZ$36:AZ$173,$C$36:$C$173,"=3", $B$36:$B$173,"OFICIAL")</f>
        <v>0.36499999999999999</v>
      </c>
      <c r="BA26" s="342">
        <f t="shared" si="50"/>
        <v>0.35000000000000003</v>
      </c>
      <c r="BB26" s="342">
        <f t="shared" si="50"/>
        <v>0.21666666666666667</v>
      </c>
      <c r="BC26" s="342">
        <f t="shared" si="50"/>
        <v>6.1666666666666668E-2</v>
      </c>
      <c r="BD26" s="342">
        <f t="shared" si="50"/>
        <v>8.3333333333333332E-3</v>
      </c>
      <c r="BE26" s="129">
        <f t="shared" si="50"/>
        <v>51.333333333333336</v>
      </c>
      <c r="BG26" s="129">
        <f>AVERAGEIFS(BG$36:BG$173,$C$36:$C$173,"=3", $B$36:$B$173,"OFICIAL")</f>
        <v>9.6666666666666661</v>
      </c>
      <c r="BI26" s="342">
        <f t="shared" ref="BI26:BN26" si="51">AVERAGEIFS(BI$36:BI$173,$C$36:$C$173,"=3", $B$36:$B$173,"OFICIAL")</f>
        <v>0.37166666666666665</v>
      </c>
      <c r="BJ26" s="342">
        <f t="shared" si="51"/>
        <v>0.37333333333333329</v>
      </c>
      <c r="BK26" s="342">
        <f t="shared" si="51"/>
        <v>0.19166666666666668</v>
      </c>
      <c r="BL26" s="342">
        <f t="shared" si="51"/>
        <v>6.1666666666666668E-2</v>
      </c>
      <c r="BM26" s="342">
        <f t="shared" si="51"/>
        <v>1.6666666666666668E-3</v>
      </c>
      <c r="BN26" s="490">
        <f t="shared" si="51"/>
        <v>52.333333333333336</v>
      </c>
      <c r="BP26" s="300">
        <f>AVERAGEIFS(BP$36:BP$173,$C$36:$C$173,"=3", $B$36:$B$173,"OFICIAL")</f>
        <v>10.833333333333334</v>
      </c>
      <c r="BR26" s="343">
        <f>AVERAGEIFS(BR$36:BR$173,$C$36:$C$173,"=3", $B$36:$B$173,"OFICIAL")</f>
        <v>0.34666666666666662</v>
      </c>
      <c r="BS26" s="343">
        <f>AVERAGEIFS(BS$36:BS$173,$C$36:$C$173,"=3", $B$36:$B$173,"OFICIAL")</f>
        <v>0.36499999999999999</v>
      </c>
      <c r="BT26" s="343">
        <f>AVERAGEIFS(BT$36:BT$173,$C$36:$C$173,"=3", $B$36:$B$173,"OFICIAL")</f>
        <v>0.18833333333333335</v>
      </c>
      <c r="BU26" s="343">
        <f>AVERAGEIFS(BU$36:BU$173,$C$36:$C$173,"=3", $B$36:$B$173,"OFICIAL")</f>
        <v>8.5000000000000006E-2</v>
      </c>
      <c r="BV26" s="343">
        <f>AVERAGEIFS(BV$36:BV$173,$C$36:$C$173,"=3", $B$36:$B$173,"OFICIAL")</f>
        <v>1.3333333333333334E-2</v>
      </c>
      <c r="BW26" s="129">
        <f t="shared" ref="BW26" si="52">AVERAGEIFS(BW$36:BW$173,$C$36:$C$173,"=3", $B$36:$B$173,"OFICIAL")</f>
        <v>52.5</v>
      </c>
      <c r="BX26" s="931"/>
      <c r="BY26" s="129">
        <f>AVERAGEIFS(BY$36:BY$173,$C$36:$C$173,"=3", $B$36:$B$173,"OFICIAL")</f>
        <v>10</v>
      </c>
      <c r="BZ26" s="931"/>
      <c r="CA26" s="342">
        <f t="shared" ref="CA26:CE26" si="53">AVERAGEIFS(CA$36:CA$173,$C$36:$C$173,"=3", $B$36:$B$173,"OFICIAL")</f>
        <v>0.33333333333333331</v>
      </c>
      <c r="CB26" s="342">
        <f t="shared" si="53"/>
        <v>0.36000000000000004</v>
      </c>
      <c r="CC26" s="342">
        <f t="shared" si="53"/>
        <v>0.22166666666666668</v>
      </c>
      <c r="CD26" s="342">
        <f t="shared" si="53"/>
        <v>7.4999999999999997E-2</v>
      </c>
      <c r="CE26" s="342">
        <f t="shared" si="53"/>
        <v>5.0000000000000001E-3</v>
      </c>
    </row>
    <row r="27" spans="1:83" ht="24.95" customHeight="1" x14ac:dyDescent="0.2">
      <c r="A27" s="6" t="s">
        <v>779</v>
      </c>
      <c r="B27" s="299"/>
      <c r="C27" s="299"/>
      <c r="D27" s="129">
        <f t="shared" ref="D27:AM27" si="54">AVERAGEIFS(D$36:D$173,$C$36:$C$173,"=4", $B$36:$B$173,"OFICIAL")</f>
        <v>49.333333333333336</v>
      </c>
      <c r="E27" s="129">
        <f t="shared" si="54"/>
        <v>8.5</v>
      </c>
      <c r="F27" s="39">
        <f t="shared" si="54"/>
        <v>0.45999999999999996</v>
      </c>
      <c r="G27" s="39">
        <f t="shared" si="54"/>
        <v>0.39166666666666661</v>
      </c>
      <c r="H27" s="39">
        <f t="shared" si="54"/>
        <v>0.12666666666666668</v>
      </c>
      <c r="I27" s="39">
        <f t="shared" si="54"/>
        <v>1.8333333333333337E-2</v>
      </c>
      <c r="J27" s="39">
        <f t="shared" si="54"/>
        <v>1.6666666666666668E-3</v>
      </c>
      <c r="K27" s="129">
        <f t="shared" si="54"/>
        <v>47.333333333333336</v>
      </c>
      <c r="L27" s="129">
        <f t="shared" si="54"/>
        <v>8.8333333333333339</v>
      </c>
      <c r="M27" s="39">
        <f t="shared" si="54"/>
        <v>0.53333333333333333</v>
      </c>
      <c r="N27" s="39">
        <f t="shared" si="54"/>
        <v>0.33666666666666667</v>
      </c>
      <c r="O27" s="39">
        <f t="shared" si="54"/>
        <v>0.11666666666666668</v>
      </c>
      <c r="P27" s="39">
        <f t="shared" si="54"/>
        <v>1.1666666666666667E-2</v>
      </c>
      <c r="Q27" s="39">
        <f t="shared" si="54"/>
        <v>1.6666666666666668E-3</v>
      </c>
      <c r="R27" s="129">
        <f t="shared" si="54"/>
        <v>48.5</v>
      </c>
      <c r="S27" s="129">
        <f t="shared" si="54"/>
        <v>8.3333333333333339</v>
      </c>
      <c r="T27" s="39">
        <f t="shared" si="54"/>
        <v>0.44999999999999996</v>
      </c>
      <c r="U27" s="39">
        <f t="shared" si="54"/>
        <v>0.41833333333333339</v>
      </c>
      <c r="V27" s="39">
        <f t="shared" si="54"/>
        <v>0.10833333333333335</v>
      </c>
      <c r="W27" s="39">
        <f t="shared" si="54"/>
        <v>2.3333333333333334E-2</v>
      </c>
      <c r="X27" s="39">
        <f t="shared" si="54"/>
        <v>0</v>
      </c>
      <c r="Y27" s="129">
        <f t="shared" si="54"/>
        <v>46.833333333333336</v>
      </c>
      <c r="Z27" s="129">
        <f t="shared" si="54"/>
        <v>9.1666666666666661</v>
      </c>
      <c r="AA27" s="39">
        <f t="shared" si="54"/>
        <v>0.53500000000000003</v>
      </c>
      <c r="AB27" s="39">
        <f t="shared" si="54"/>
        <v>0.34999999999999992</v>
      </c>
      <c r="AC27" s="39">
        <f t="shared" si="54"/>
        <v>0.10166666666666667</v>
      </c>
      <c r="AD27" s="39">
        <f t="shared" si="54"/>
        <v>1.5000000000000001E-2</v>
      </c>
      <c r="AE27" s="39">
        <f t="shared" si="54"/>
        <v>0</v>
      </c>
      <c r="AF27" s="129">
        <f t="shared" si="54"/>
        <v>44</v>
      </c>
      <c r="AG27" s="129">
        <f t="shared" si="54"/>
        <v>7.5</v>
      </c>
      <c r="AH27" s="39">
        <f t="shared" si="54"/>
        <v>0.70333333333333348</v>
      </c>
      <c r="AI27" s="39">
        <f t="shared" si="54"/>
        <v>0.25666666666666665</v>
      </c>
      <c r="AJ27" s="39">
        <f t="shared" si="54"/>
        <v>3.3333333333333333E-2</v>
      </c>
      <c r="AK27" s="39">
        <f t="shared" si="54"/>
        <v>6.6666666666666671E-3</v>
      </c>
      <c r="AL27" s="39">
        <f t="shared" si="54"/>
        <v>0</v>
      </c>
      <c r="AM27" s="129">
        <f t="shared" si="54"/>
        <v>46</v>
      </c>
      <c r="AO27" s="129">
        <f>AVERAGEIFS(AO$36:AO$173,$C$36:$C$173,"=4", $B$36:$B$173,"OFICIAL")</f>
        <v>8.8333333333333339</v>
      </c>
      <c r="AQ27" s="39">
        <f t="shared" ref="AQ27:AV27" si="55">AVERAGEIFS(AQ$36:AQ$173,$C$36:$C$173,"=4", $B$36:$B$173,"OFICIAL")</f>
        <v>0.55333333333333334</v>
      </c>
      <c r="AR27" s="39">
        <f t="shared" si="55"/>
        <v>0.35000000000000003</v>
      </c>
      <c r="AS27" s="39">
        <f t="shared" si="55"/>
        <v>7.4999999999999997E-2</v>
      </c>
      <c r="AT27" s="39">
        <f t="shared" si="55"/>
        <v>1.8333333333333333E-2</v>
      </c>
      <c r="AU27" s="39">
        <f t="shared" si="55"/>
        <v>0</v>
      </c>
      <c r="AV27" s="129">
        <f t="shared" si="55"/>
        <v>48.333333333333336</v>
      </c>
      <c r="AX27" s="129">
        <f>AVERAGEIFS(AX$36:AX$173,$C$36:$C$173,"=4", $B$36:$B$173,"OFICIAL")</f>
        <v>9.3333333333333339</v>
      </c>
      <c r="AZ27" s="342">
        <f t="shared" ref="AZ27:BE27" si="56">AVERAGEIFS(AZ$36:AZ$173,$C$36:$C$173,"=4", $B$36:$B$173,"OFICIAL")</f>
        <v>0.47</v>
      </c>
      <c r="BA27" s="342">
        <f t="shared" si="56"/>
        <v>0.36833333333333335</v>
      </c>
      <c r="BB27" s="342">
        <f t="shared" si="56"/>
        <v>0.12833333333333333</v>
      </c>
      <c r="BC27" s="342">
        <f t="shared" si="56"/>
        <v>3.3333333333333333E-2</v>
      </c>
      <c r="BD27" s="342">
        <f t="shared" si="56"/>
        <v>0</v>
      </c>
      <c r="BE27" s="129">
        <f t="shared" si="56"/>
        <v>47.666666666666664</v>
      </c>
      <c r="BG27" s="129">
        <f>AVERAGEIFS(BG$36:BG$173,$C$36:$C$173,"=4", $B$36:$B$173,"OFICIAL")</f>
        <v>8.8333333333333339</v>
      </c>
      <c r="BI27" s="342">
        <f t="shared" ref="BI27:BN27" si="57">AVERAGEIFS(BI$36:BI$173,$C$36:$C$173,"=4", $B$36:$B$173,"OFICIAL")</f>
        <v>0.50666666666666671</v>
      </c>
      <c r="BJ27" s="342">
        <f t="shared" si="57"/>
        <v>0.3666666666666667</v>
      </c>
      <c r="BK27" s="342">
        <f t="shared" si="57"/>
        <v>0.10000000000000002</v>
      </c>
      <c r="BL27" s="342">
        <f t="shared" si="57"/>
        <v>2.6666666666666668E-2</v>
      </c>
      <c r="BM27" s="342">
        <f t="shared" si="57"/>
        <v>0</v>
      </c>
      <c r="BN27" s="490">
        <f t="shared" si="57"/>
        <v>47.833333333333336</v>
      </c>
      <c r="BP27" s="300">
        <f>AVERAGEIFS(BP$36:BP$173,$C$36:$C$173,"=4", $B$36:$B$173,"OFICIAL")</f>
        <v>8.8333333333333339</v>
      </c>
      <c r="BR27" s="343">
        <f>AVERAGEIFS(BR$36:BR$173,$C$36:$C$173,"=4", $B$36:$B$173,"OFICIAL")</f>
        <v>0.49833333333333335</v>
      </c>
      <c r="BS27" s="343">
        <f>AVERAGEIFS(BS$36:BS$173,$C$36:$C$173,"=4", $B$36:$B$173,"OFICIAL")</f>
        <v>0.34833333333333333</v>
      </c>
      <c r="BT27" s="343">
        <f>AVERAGEIFS(BT$36:BT$173,$C$36:$C$173,"=4", $B$36:$B$173,"OFICIAL")</f>
        <v>0.12166666666666669</v>
      </c>
      <c r="BU27" s="343">
        <f>AVERAGEIFS(BU$36:BU$173,$C$36:$C$173,"=4", $B$36:$B$173,"OFICIAL")</f>
        <v>0.03</v>
      </c>
      <c r="BV27" s="343">
        <f>AVERAGEIFS(BV$36:BV$173,$C$36:$C$173,"=4", $B$36:$B$173,"OFICIAL")</f>
        <v>0</v>
      </c>
      <c r="BW27" s="129">
        <f t="shared" ref="BW27" si="58">AVERAGEIFS(BW$36:BW$173,$C$36:$C$173,"=4", $B$36:$B$173,"OFICIAL")</f>
        <v>49</v>
      </c>
      <c r="BX27" s="931"/>
      <c r="BY27" s="129">
        <f>AVERAGEIFS(BY$36:BY$173,$C$36:$C$173,"=4", $B$36:$B$173,"OFICIAL")</f>
        <v>9.1666666666666661</v>
      </c>
      <c r="BZ27" s="931"/>
      <c r="CA27" s="342">
        <f t="shared" ref="CA27:CE27" si="59">AVERAGEIFS(CA$36:CA$173,$C$36:$C$173,"=4", $B$36:$B$173,"OFICIAL")</f>
        <v>0.48833333333333334</v>
      </c>
      <c r="CB27" s="342">
        <f t="shared" si="59"/>
        <v>0.34</v>
      </c>
      <c r="CC27" s="342">
        <f t="shared" si="59"/>
        <v>0.13500000000000001</v>
      </c>
      <c r="CD27" s="342">
        <f t="shared" si="59"/>
        <v>2.6666666666666668E-2</v>
      </c>
      <c r="CE27" s="342">
        <f t="shared" si="59"/>
        <v>0.01</v>
      </c>
    </row>
    <row r="28" spans="1:83" ht="24.95" customHeight="1" x14ac:dyDescent="0.2">
      <c r="A28" s="6" t="s">
        <v>780</v>
      </c>
      <c r="B28" s="299"/>
      <c r="C28" s="299"/>
      <c r="D28" s="129">
        <f t="shared" ref="D28:AM28" si="60">AVERAGEIFS(D$36:D$173,$C$36:$C$173,"=5", $B$36:$B$173,"OFICIAL")</f>
        <v>53.333333333333336</v>
      </c>
      <c r="E28" s="129">
        <f t="shared" si="60"/>
        <v>9</v>
      </c>
      <c r="F28" s="39">
        <f t="shared" si="60"/>
        <v>0.26</v>
      </c>
      <c r="G28" s="39">
        <f t="shared" si="60"/>
        <v>0.46333333333333332</v>
      </c>
      <c r="H28" s="39">
        <f t="shared" si="60"/>
        <v>0.20666666666666667</v>
      </c>
      <c r="I28" s="39">
        <f t="shared" si="60"/>
        <v>6.6666666666666666E-2</v>
      </c>
      <c r="J28" s="39">
        <f t="shared" si="60"/>
        <v>3.3333333333333335E-3</v>
      </c>
      <c r="K28" s="129">
        <f t="shared" si="60"/>
        <v>51.333333333333336</v>
      </c>
      <c r="L28" s="129">
        <f t="shared" si="60"/>
        <v>9</v>
      </c>
      <c r="M28" s="39">
        <f t="shared" si="60"/>
        <v>0.33666666666666667</v>
      </c>
      <c r="N28" s="39">
        <f t="shared" si="60"/>
        <v>0.39333333333333337</v>
      </c>
      <c r="O28" s="39">
        <f t="shared" si="60"/>
        <v>0.2233333333333333</v>
      </c>
      <c r="P28" s="39">
        <f t="shared" si="60"/>
        <v>4.3333333333333335E-2</v>
      </c>
      <c r="Q28" s="39">
        <f t="shared" si="60"/>
        <v>0</v>
      </c>
      <c r="R28" s="129">
        <f t="shared" si="60"/>
        <v>51.333333333333336</v>
      </c>
      <c r="S28" s="129">
        <f t="shared" si="60"/>
        <v>9</v>
      </c>
      <c r="T28" s="39">
        <f t="shared" si="60"/>
        <v>0.32</v>
      </c>
      <c r="U28" s="39">
        <f t="shared" si="60"/>
        <v>0.4466666666666666</v>
      </c>
      <c r="V28" s="39">
        <f t="shared" si="60"/>
        <v>0.19333333333333336</v>
      </c>
      <c r="W28" s="39">
        <f t="shared" si="60"/>
        <v>3.3333333333333333E-2</v>
      </c>
      <c r="X28" s="39">
        <f t="shared" si="60"/>
        <v>6.6666666666666671E-3</v>
      </c>
      <c r="Y28" s="129">
        <f t="shared" si="60"/>
        <v>52</v>
      </c>
      <c r="Z28" s="129">
        <f t="shared" si="60"/>
        <v>9.3333333333333339</v>
      </c>
      <c r="AA28" s="39">
        <f t="shared" si="60"/>
        <v>0.32666666666666666</v>
      </c>
      <c r="AB28" s="39">
        <f t="shared" si="60"/>
        <v>0.40666666666666668</v>
      </c>
      <c r="AC28" s="39">
        <f t="shared" si="60"/>
        <v>0.22</v>
      </c>
      <c r="AD28" s="39">
        <f t="shared" si="60"/>
        <v>5.000000000000001E-2</v>
      </c>
      <c r="AE28" s="39">
        <f t="shared" si="60"/>
        <v>3.3333333333333335E-3</v>
      </c>
      <c r="AF28" s="129">
        <f t="shared" si="60"/>
        <v>48.666666666666664</v>
      </c>
      <c r="AG28" s="129">
        <f t="shared" si="60"/>
        <v>8.3333333333333339</v>
      </c>
      <c r="AH28" s="39">
        <f t="shared" si="60"/>
        <v>0.43</v>
      </c>
      <c r="AI28" s="39">
        <f t="shared" si="60"/>
        <v>0.43333333333333329</v>
      </c>
      <c r="AJ28" s="39">
        <f t="shared" si="60"/>
        <v>0.10666666666666667</v>
      </c>
      <c r="AK28" s="39">
        <f t="shared" si="60"/>
        <v>2.6666666666666668E-2</v>
      </c>
      <c r="AL28" s="39">
        <f t="shared" si="60"/>
        <v>3.3333333333333335E-3</v>
      </c>
      <c r="AM28" s="129">
        <f t="shared" si="60"/>
        <v>52</v>
      </c>
      <c r="AO28" s="129">
        <f>AVERAGEIFS(AO$36:AO$173,$C$36:$C$173,"=5", $B$36:$B$173,"OFICIAL")</f>
        <v>9.3333333333333339</v>
      </c>
      <c r="AQ28" s="39">
        <f t="shared" ref="AQ28:AV28" si="61">AVERAGEIFS(AQ$36:AQ$173,$C$36:$C$173,"=5", $B$36:$B$173,"OFICIAL")</f>
        <v>0.31</v>
      </c>
      <c r="AR28" s="39">
        <f t="shared" si="61"/>
        <v>0.39999999999999997</v>
      </c>
      <c r="AS28" s="39">
        <f t="shared" si="61"/>
        <v>0.21333333333333335</v>
      </c>
      <c r="AT28" s="39">
        <f t="shared" si="61"/>
        <v>6.9999999999999993E-2</v>
      </c>
      <c r="AU28" s="39">
        <f t="shared" si="61"/>
        <v>3.3333333333333335E-3</v>
      </c>
      <c r="AV28" s="129">
        <f t="shared" si="61"/>
        <v>54.333333333333336</v>
      </c>
      <c r="AX28" s="129">
        <f>AVERAGEIFS(AX$36:AX$173,$C$36:$C$173,"=5", $B$36:$B$173,"OFICIAL")</f>
        <v>10.333333333333334</v>
      </c>
      <c r="AZ28" s="342">
        <f t="shared" ref="AZ28:BE28" si="62">AVERAGEIFS(AZ$36:AZ$173,$C$36:$C$173,"=5", $B$36:$B$173,"OFICIAL")</f>
        <v>0.25333333333333335</v>
      </c>
      <c r="BA28" s="342">
        <f t="shared" si="62"/>
        <v>0.36333333333333329</v>
      </c>
      <c r="BB28" s="342">
        <f t="shared" si="62"/>
        <v>0.27</v>
      </c>
      <c r="BC28" s="342">
        <f t="shared" si="62"/>
        <v>0.10666666666666667</v>
      </c>
      <c r="BD28" s="342">
        <f t="shared" si="62"/>
        <v>6.6666666666666671E-3</v>
      </c>
      <c r="BE28" s="129">
        <f t="shared" si="62"/>
        <v>54</v>
      </c>
      <c r="BG28" s="129">
        <f>AVERAGEIFS(BG$36:BG$173,$C$36:$C$173,"=5", $B$36:$B$173,"OFICIAL")</f>
        <v>10</v>
      </c>
      <c r="BI28" s="342">
        <f t="shared" ref="BI28:BN28" si="63">AVERAGEIFS(BI$36:BI$173,$C$36:$C$173,"=5", $B$36:$B$173,"OFICIAL")</f>
        <v>0.28999999999999998</v>
      </c>
      <c r="BJ28" s="342">
        <f t="shared" si="63"/>
        <v>0.38999999999999996</v>
      </c>
      <c r="BK28" s="342">
        <f t="shared" si="63"/>
        <v>0.19666666666666668</v>
      </c>
      <c r="BL28" s="342">
        <f t="shared" si="63"/>
        <v>0.10666666666666667</v>
      </c>
      <c r="BM28" s="342">
        <f t="shared" si="63"/>
        <v>1.3333333333333334E-2</v>
      </c>
      <c r="BN28" s="490">
        <f t="shared" si="63"/>
        <v>54.666666666666664</v>
      </c>
      <c r="BP28" s="300">
        <f>AVERAGEIFS(BP$36:BP$173,$C$36:$C$173,"=5", $B$36:$B$173,"OFICIAL")</f>
        <v>10.333333333333334</v>
      </c>
      <c r="BR28" s="343">
        <f>AVERAGEIFS(BR$36:BR$173,$C$36:$C$173,"=5", $B$36:$B$173,"OFICIAL")</f>
        <v>0.26666666666666666</v>
      </c>
      <c r="BS28" s="343">
        <f>AVERAGEIFS(BS$36:BS$173,$C$36:$C$173,"=5", $B$36:$B$173,"OFICIAL")</f>
        <v>0.37333333333333335</v>
      </c>
      <c r="BT28" s="343">
        <f>AVERAGEIFS(BT$36:BT$173,$C$36:$C$173,"=5", $B$36:$B$173,"OFICIAL")</f>
        <v>0.24666666666666667</v>
      </c>
      <c r="BU28" s="343">
        <f>AVERAGEIFS(BU$36:BU$173,$C$36:$C$173,"=5", $B$36:$B$173,"OFICIAL")</f>
        <v>9.6666666666666679E-2</v>
      </c>
      <c r="BV28" s="343">
        <f>AVERAGEIFS(BV$36:BV$173,$C$36:$C$173,"=5", $B$36:$B$173,"OFICIAL")</f>
        <v>1.6666666666666666E-2</v>
      </c>
      <c r="BW28" s="129">
        <f t="shared" ref="BW28" si="64">AVERAGEIFS(BW$36:BW$173,$C$36:$C$173,"=5", $B$36:$B$173,"OFICIAL")</f>
        <v>55.666666666666664</v>
      </c>
      <c r="BX28" s="931"/>
      <c r="BY28" s="129">
        <f>AVERAGEIFS(BY$36:BY$173,$C$36:$C$173,"=5", $B$36:$B$173,"OFICIAL")</f>
        <v>10</v>
      </c>
      <c r="BZ28" s="931"/>
      <c r="CA28" s="342">
        <f t="shared" ref="CA28:CE28" si="65">AVERAGEIFS(CA$36:CA$173,$C$36:$C$173,"=5", $B$36:$B$173,"OFICIAL")</f>
        <v>0.25333333333333335</v>
      </c>
      <c r="CB28" s="342">
        <f t="shared" si="65"/>
        <v>0.32666666666666666</v>
      </c>
      <c r="CC28" s="342">
        <f t="shared" si="65"/>
        <v>0.29666666666666669</v>
      </c>
      <c r="CD28" s="342">
        <f t="shared" si="65"/>
        <v>0.10000000000000002</v>
      </c>
      <c r="CE28" s="342">
        <f t="shared" si="65"/>
        <v>2.3333333333333334E-2</v>
      </c>
    </row>
    <row r="29" spans="1:83" ht="24.6" customHeight="1" x14ac:dyDescent="0.2">
      <c r="A29" s="6" t="s">
        <v>781</v>
      </c>
      <c r="B29" s="299"/>
      <c r="C29" s="299"/>
      <c r="D29" s="129">
        <f t="shared" ref="D29:AM29" si="66">AVERAGEIFS(D$36:D$173,$C$36:$C$173,"=6", $B$36:$B$173,"OFICIAL")</f>
        <v>52.5</v>
      </c>
      <c r="E29" s="129">
        <f t="shared" si="66"/>
        <v>8.75</v>
      </c>
      <c r="F29" s="39">
        <f t="shared" si="66"/>
        <v>0.32</v>
      </c>
      <c r="G29" s="39">
        <f t="shared" si="66"/>
        <v>0.39749999999999996</v>
      </c>
      <c r="H29" s="39">
        <f t="shared" si="66"/>
        <v>0.23</v>
      </c>
      <c r="I29" s="39">
        <f t="shared" si="66"/>
        <v>5.5E-2</v>
      </c>
      <c r="J29" s="39">
        <f t="shared" si="66"/>
        <v>0</v>
      </c>
      <c r="K29" s="129">
        <f t="shared" si="66"/>
        <v>50</v>
      </c>
      <c r="L29" s="129">
        <f t="shared" si="66"/>
        <v>9.5</v>
      </c>
      <c r="M29" s="39">
        <f t="shared" si="66"/>
        <v>0.44750000000000001</v>
      </c>
      <c r="N29" s="39">
        <f t="shared" si="66"/>
        <v>0.33749999999999997</v>
      </c>
      <c r="O29" s="39">
        <f t="shared" si="66"/>
        <v>0.16500000000000001</v>
      </c>
      <c r="P29" s="39">
        <f t="shared" si="66"/>
        <v>4.4999999999999991E-2</v>
      </c>
      <c r="Q29" s="39">
        <f t="shared" si="66"/>
        <v>5.0000000000000001E-3</v>
      </c>
      <c r="R29" s="129">
        <f t="shared" si="66"/>
        <v>51</v>
      </c>
      <c r="S29" s="129">
        <f t="shared" si="66"/>
        <v>8.25</v>
      </c>
      <c r="T29" s="39">
        <f t="shared" si="66"/>
        <v>0.33250000000000002</v>
      </c>
      <c r="U29" s="39">
        <f t="shared" si="66"/>
        <v>0.45999999999999996</v>
      </c>
      <c r="V29" s="39">
        <f t="shared" si="66"/>
        <v>0.16250000000000001</v>
      </c>
      <c r="W29" s="39">
        <f t="shared" si="66"/>
        <v>4.4999999999999998E-2</v>
      </c>
      <c r="X29" s="39">
        <f t="shared" si="66"/>
        <v>0</v>
      </c>
      <c r="Y29" s="129">
        <f t="shared" si="66"/>
        <v>49.75</v>
      </c>
      <c r="Z29" s="129">
        <f t="shared" si="66"/>
        <v>9.75</v>
      </c>
      <c r="AA29" s="39">
        <f t="shared" si="66"/>
        <v>0.39749999999999996</v>
      </c>
      <c r="AB29" s="39">
        <f t="shared" si="66"/>
        <v>0.39999999999999997</v>
      </c>
      <c r="AC29" s="39">
        <f t="shared" si="66"/>
        <v>0.17</v>
      </c>
      <c r="AD29" s="39">
        <f t="shared" si="66"/>
        <v>0.04</v>
      </c>
      <c r="AE29" s="39">
        <f t="shared" si="66"/>
        <v>0</v>
      </c>
      <c r="AF29" s="129">
        <f t="shared" si="66"/>
        <v>47.25</v>
      </c>
      <c r="AG29" s="129">
        <f t="shared" si="66"/>
        <v>8.5</v>
      </c>
      <c r="AH29" s="39">
        <f t="shared" si="66"/>
        <v>0.55500000000000005</v>
      </c>
      <c r="AI29" s="39">
        <f t="shared" si="66"/>
        <v>0.33999999999999997</v>
      </c>
      <c r="AJ29" s="39">
        <f t="shared" si="66"/>
        <v>8.7500000000000008E-2</v>
      </c>
      <c r="AK29" s="39">
        <f t="shared" si="66"/>
        <v>1.4999999999999999E-2</v>
      </c>
      <c r="AL29" s="39">
        <f t="shared" si="66"/>
        <v>2.5000000000000001E-3</v>
      </c>
      <c r="AM29" s="129">
        <f t="shared" si="66"/>
        <v>50.25</v>
      </c>
      <c r="AO29" s="129">
        <f>AVERAGEIFS(AO$36:AO$173,$C$36:$C$173,"=6", $B$36:$B$173,"OFICIAL")</f>
        <v>10.5</v>
      </c>
      <c r="AQ29" s="39">
        <f t="shared" ref="AQ29:AV29" si="67">AVERAGEIFS(AQ$36:AQ$173,$C$36:$C$173,"=6", $B$36:$B$173,"OFICIAL")</f>
        <v>0.40249999999999997</v>
      </c>
      <c r="AR29" s="39">
        <f t="shared" si="67"/>
        <v>0.38750000000000001</v>
      </c>
      <c r="AS29" s="39">
        <f t="shared" si="67"/>
        <v>0.14500000000000002</v>
      </c>
      <c r="AT29" s="39">
        <f t="shared" si="67"/>
        <v>6.5000000000000002E-2</v>
      </c>
      <c r="AU29" s="39">
        <f t="shared" si="67"/>
        <v>2.5000000000000001E-3</v>
      </c>
      <c r="AV29" s="129">
        <f t="shared" si="67"/>
        <v>51.5</v>
      </c>
      <c r="AX29" s="129">
        <f>AVERAGEIFS(AX$36:AX$173,$C$36:$C$173,"=6", $B$36:$B$173,"OFICIAL")</f>
        <v>10</v>
      </c>
      <c r="AZ29" s="342">
        <f t="shared" ref="AZ29:BE29" si="68">AVERAGEIFS(AZ$36:AZ$173,$C$36:$C$173,"=6", $B$36:$B$173,"OFICIAL")</f>
        <v>0.32</v>
      </c>
      <c r="BA29" s="342">
        <f t="shared" si="68"/>
        <v>0.42</v>
      </c>
      <c r="BB29" s="342">
        <f t="shared" si="68"/>
        <v>0.19500000000000001</v>
      </c>
      <c r="BC29" s="342">
        <f t="shared" si="68"/>
        <v>6.0000000000000005E-2</v>
      </c>
      <c r="BD29" s="342">
        <f t="shared" si="68"/>
        <v>5.0000000000000001E-3</v>
      </c>
      <c r="BE29" s="129">
        <f t="shared" si="68"/>
        <v>50.75</v>
      </c>
      <c r="BG29" s="129">
        <f>AVERAGEIFS(BG$36:BG$173,$C$36:$C$173,"=6", $B$36:$B$173,"OFICIAL")</f>
        <v>9.25</v>
      </c>
      <c r="BI29" s="342">
        <f t="shared" ref="BI29:BN29" si="69">AVERAGEIFS(BI$36:BI$173,$C$36:$C$173,"=6", $B$36:$B$173,"OFICIAL")</f>
        <v>0.375</v>
      </c>
      <c r="BJ29" s="342">
        <f t="shared" si="69"/>
        <v>0.41750000000000004</v>
      </c>
      <c r="BK29" s="342">
        <f t="shared" si="69"/>
        <v>0.155</v>
      </c>
      <c r="BL29" s="342">
        <f t="shared" si="69"/>
        <v>0.05</v>
      </c>
      <c r="BM29" s="342">
        <f t="shared" si="69"/>
        <v>2.5000000000000001E-3</v>
      </c>
      <c r="BN29" s="490">
        <f t="shared" si="69"/>
        <v>51.75</v>
      </c>
      <c r="BP29" s="300">
        <f>AVERAGEIFS(BP$36:BP$173,$C$36:$C$173,"=6", $B$36:$B$173,"OFICIAL")</f>
        <v>10.25</v>
      </c>
      <c r="BR29" s="343">
        <f>AVERAGEIFS(BR$36:BR$173,$C$36:$C$173,"=6", $B$36:$B$173,"OFICIAL")</f>
        <v>0.35</v>
      </c>
      <c r="BS29" s="343">
        <f>AVERAGEIFS(BS$36:BS$173,$C$36:$C$173,"=6", $B$36:$B$173,"OFICIAL")</f>
        <v>0.37</v>
      </c>
      <c r="BT29" s="343">
        <f>AVERAGEIFS(BT$36:BT$173,$C$36:$C$173,"=6", $B$36:$B$173,"OFICIAL")</f>
        <v>0.20249999999999999</v>
      </c>
      <c r="BU29" s="343">
        <f>AVERAGEIFS(BU$36:BU$173,$C$36:$C$173,"=6", $B$36:$B$173,"OFICIAL")</f>
        <v>7.0000000000000007E-2</v>
      </c>
      <c r="BV29" s="343">
        <f>AVERAGEIFS(BV$36:BV$173,$C$36:$C$173,"=6", $B$36:$B$173,"OFICIAL")</f>
        <v>0.01</v>
      </c>
      <c r="BW29" s="129">
        <f t="shared" ref="BW29" si="70">AVERAGEIFS(BW$36:BW$173,$C$36:$C$173,"=6", $B$36:$B$173,"OFICIAL")</f>
        <v>53</v>
      </c>
      <c r="BX29" s="931"/>
      <c r="BY29" s="129">
        <f>AVERAGEIFS(BY$36:BY$173,$C$36:$C$173,"=6", $B$36:$B$173,"OFICIAL")</f>
        <v>10.25</v>
      </c>
      <c r="BZ29" s="931"/>
      <c r="CA29" s="342">
        <f t="shared" ref="CA29:CE29" si="71">AVERAGEIFS(CA$36:CA$173,$C$36:$C$173,"=6", $B$36:$B$173,"OFICIAL")</f>
        <v>0.31</v>
      </c>
      <c r="CB29" s="342">
        <f t="shared" si="71"/>
        <v>0.375</v>
      </c>
      <c r="CC29" s="342">
        <f t="shared" si="71"/>
        <v>0.23249999999999998</v>
      </c>
      <c r="CD29" s="342">
        <f t="shared" si="71"/>
        <v>7.2500000000000009E-2</v>
      </c>
      <c r="CE29" s="342">
        <f t="shared" si="71"/>
        <v>7.4999999999999997E-3</v>
      </c>
    </row>
    <row r="30" spans="1:83" ht="24.6" customHeight="1" x14ac:dyDescent="0.2">
      <c r="A30" s="6" t="s">
        <v>782</v>
      </c>
      <c r="B30" s="299"/>
      <c r="C30" s="299"/>
      <c r="D30" s="129">
        <f t="shared" ref="D30:AM30" si="72">AVERAGEIFS(D$36:D$173,$C$36:$C$173,"=1", $B$36:$B$173,"NO OFICIAL")</f>
        <v>52.769230769230766</v>
      </c>
      <c r="E30" s="129">
        <f t="shared" si="72"/>
        <v>8.1538461538461533</v>
      </c>
      <c r="F30" s="39">
        <f t="shared" si="72"/>
        <v>0.29538461538461541</v>
      </c>
      <c r="G30" s="39">
        <f t="shared" si="72"/>
        <v>0.47615384615384621</v>
      </c>
      <c r="H30" s="39">
        <f t="shared" si="72"/>
        <v>0.16846153846153847</v>
      </c>
      <c r="I30" s="39">
        <f t="shared" si="72"/>
        <v>6.0000000000000005E-2</v>
      </c>
      <c r="J30" s="39">
        <f t="shared" si="72"/>
        <v>0</v>
      </c>
      <c r="K30" s="129">
        <f t="shared" si="72"/>
        <v>50.75</v>
      </c>
      <c r="L30" s="129">
        <f t="shared" si="72"/>
        <v>8.8333333333333339</v>
      </c>
      <c r="M30" s="39">
        <f t="shared" si="72"/>
        <v>0.40250000000000002</v>
      </c>
      <c r="N30" s="39">
        <f t="shared" si="72"/>
        <v>0.39166666666666666</v>
      </c>
      <c r="O30" s="39">
        <f t="shared" si="72"/>
        <v>0.15833333333333335</v>
      </c>
      <c r="P30" s="39">
        <f t="shared" si="72"/>
        <v>4.8333333333333318E-2</v>
      </c>
      <c r="Q30" s="39">
        <f t="shared" si="72"/>
        <v>0</v>
      </c>
      <c r="R30" s="129">
        <f t="shared" si="72"/>
        <v>52.307692307692307</v>
      </c>
      <c r="S30" s="129">
        <f t="shared" si="72"/>
        <v>7.9230769230769234</v>
      </c>
      <c r="T30" s="39">
        <f t="shared" si="72"/>
        <v>0.29307692307692307</v>
      </c>
      <c r="U30" s="39">
        <f t="shared" si="72"/>
        <v>0.42692307692307696</v>
      </c>
      <c r="V30" s="39">
        <f t="shared" si="72"/>
        <v>0.25384615384615383</v>
      </c>
      <c r="W30" s="39">
        <f t="shared" si="72"/>
        <v>2.6923076923076925E-2</v>
      </c>
      <c r="X30" s="39">
        <f t="shared" si="72"/>
        <v>0</v>
      </c>
      <c r="Y30" s="129">
        <f t="shared" si="72"/>
        <v>50</v>
      </c>
      <c r="Z30" s="129">
        <f t="shared" si="72"/>
        <v>8.6923076923076916</v>
      </c>
      <c r="AA30" s="39">
        <f t="shared" si="72"/>
        <v>0.37307692307692314</v>
      </c>
      <c r="AB30" s="39">
        <f t="shared" si="72"/>
        <v>0.4276923076923077</v>
      </c>
      <c r="AC30" s="39">
        <f t="shared" si="72"/>
        <v>0.1676923076923077</v>
      </c>
      <c r="AD30" s="39">
        <f t="shared" si="72"/>
        <v>3.3846153846153845E-2</v>
      </c>
      <c r="AE30" s="39">
        <f t="shared" si="72"/>
        <v>0</v>
      </c>
      <c r="AF30" s="129">
        <f t="shared" si="72"/>
        <v>48.53846153846154</v>
      </c>
      <c r="AG30" s="129">
        <f t="shared" si="72"/>
        <v>8.9230769230769234</v>
      </c>
      <c r="AH30" s="39">
        <f t="shared" si="72"/>
        <v>0.49692307692307697</v>
      </c>
      <c r="AI30" s="39">
        <f t="shared" si="72"/>
        <v>0.35153846153846147</v>
      </c>
      <c r="AJ30" s="39">
        <f t="shared" si="72"/>
        <v>0.11999999999999998</v>
      </c>
      <c r="AK30" s="39">
        <f t="shared" si="72"/>
        <v>2.923076923076923E-2</v>
      </c>
      <c r="AL30" s="39">
        <f t="shared" si="72"/>
        <v>3.0769230769230769E-3</v>
      </c>
      <c r="AM30" s="129">
        <f t="shared" si="72"/>
        <v>52.769230769230766</v>
      </c>
      <c r="AO30" s="129">
        <f>AVERAGEIFS(AO$36:AO$173,$C$36:$C$173,"=1", $B$36:$B$173,"NO OFICIAL")</f>
        <v>9.384615384615385</v>
      </c>
      <c r="AQ30" s="39">
        <f t="shared" ref="AQ30:AV30" si="73">AVERAGEIFS(AQ$36:AQ$173,$C$36:$C$173,"=1", $B$36:$B$173,"NO OFICIAL")</f>
        <v>0.27153846153846156</v>
      </c>
      <c r="AR30" s="39">
        <f t="shared" si="73"/>
        <v>0.41307692307692301</v>
      </c>
      <c r="AS30" s="39">
        <f t="shared" si="73"/>
        <v>0.25461538461538463</v>
      </c>
      <c r="AT30" s="39">
        <f t="shared" si="73"/>
        <v>5.5384615384615379E-2</v>
      </c>
      <c r="AU30" s="39">
        <f t="shared" si="73"/>
        <v>6.1538461538461538E-3</v>
      </c>
      <c r="AV30" s="129">
        <f t="shared" si="73"/>
        <v>52.92307692307692</v>
      </c>
      <c r="AX30" s="129">
        <f>AVERAGEIFS(AX$36:AX$173,$C$36:$C$173,"=1", $B$36:$B$173,"NO OFICIAL")</f>
        <v>10.23076923076923</v>
      </c>
      <c r="AZ30" s="342">
        <f t="shared" ref="AZ30:BE30" si="74">AVERAGEIFS(AZ$36:AZ$173,$C$36:$C$173,"=1", $B$36:$B$173,"NO OFICIAL")</f>
        <v>0.29307692307692307</v>
      </c>
      <c r="BA30" s="342">
        <f t="shared" si="74"/>
        <v>0.36769230769230765</v>
      </c>
      <c r="BB30" s="342">
        <f t="shared" si="74"/>
        <v>0.24538461538461542</v>
      </c>
      <c r="BC30" s="342">
        <f t="shared" si="74"/>
        <v>8.3846153846153834E-2</v>
      </c>
      <c r="BD30" s="342">
        <f t="shared" si="74"/>
        <v>1.0769230769230771E-2</v>
      </c>
      <c r="BE30" s="129">
        <f t="shared" si="74"/>
        <v>54.416666666666664</v>
      </c>
      <c r="BG30" s="129">
        <f>AVERAGEIFS(BG$36:BG$173,$C$36:$C$173,"=1", $B$36:$B$173,"NO OFICIAL")</f>
        <v>9.5</v>
      </c>
      <c r="BI30" s="342">
        <f t="shared" ref="BI30:BN30" si="75">AVERAGEIFS(BI$36:BI$173,$C$36:$C$173,"=1", $B$36:$B$173,"NO OFICIAL")</f>
        <v>0.2525</v>
      </c>
      <c r="BJ30" s="342">
        <f t="shared" si="75"/>
        <v>0.39916666666666673</v>
      </c>
      <c r="BK30" s="342">
        <f t="shared" si="75"/>
        <v>0.24166666666666667</v>
      </c>
      <c r="BL30" s="342">
        <f t="shared" si="75"/>
        <v>9.7500000000000017E-2</v>
      </c>
      <c r="BM30" s="342">
        <f t="shared" si="75"/>
        <v>8.3333333333333332E-3</v>
      </c>
      <c r="BN30" s="490">
        <f t="shared" si="75"/>
        <v>55.307692307692307</v>
      </c>
      <c r="BP30" s="300">
        <f>AVERAGEIFS(BP$36:BP$173,$C$36:$C$173,"=1", $B$36:$B$173,"NO OFICIAL")</f>
        <v>9.1538461538461533</v>
      </c>
      <c r="BR30" s="343">
        <f>AVERAGEIFS(BR$36:BR$173,$C$36:$C$173,"=1", $B$36:$B$173,"NO OFICIAL")</f>
        <v>0.20461538461538462</v>
      </c>
      <c r="BS30" s="343">
        <f>AVERAGEIFS(BS$36:BS$173,$C$36:$C$173,"=1", $B$36:$B$173,"NO OFICIAL")</f>
        <v>0.4176923076923077</v>
      </c>
      <c r="BT30" s="343">
        <f>AVERAGEIFS(BT$36:BT$173,$C$36:$C$173,"=1", $B$36:$B$173,"NO OFICIAL")</f>
        <v>0.27</v>
      </c>
      <c r="BU30" s="343">
        <f>AVERAGEIFS(BU$36:BU$173,$C$36:$C$173,"=1", $B$36:$B$173,"NO OFICIAL")</f>
        <v>9.6923076923076917E-2</v>
      </c>
      <c r="BV30" s="343">
        <f>AVERAGEIFS(BV$36:BV$173,$C$36:$C$173,"=1", $B$36:$B$173,"NO OFICIAL")</f>
        <v>1.1538461538461541E-2</v>
      </c>
      <c r="BW30" s="129">
        <f t="shared" ref="BW30" si="76">AVERAGEIFS(BW$36:BW$173,$C$36:$C$173,"=1", $B$36:$B$173,"NO OFICIAL")</f>
        <v>55</v>
      </c>
      <c r="BX30" s="931"/>
      <c r="BY30" s="129">
        <f>AVERAGEIFS(BY$36:BY$173,$C$36:$C$173,"=1", $B$36:$B$173,"NO OFICIAL")</f>
        <v>9.7692307692307701</v>
      </c>
      <c r="BZ30" s="931"/>
      <c r="CA30" s="342">
        <f t="shared" ref="CA30:CE30" si="77">AVERAGEIFS(CA$36:CA$173,$C$36:$C$173,"=1", $B$36:$B$173,"NO OFICIAL")</f>
        <v>0.26538461538461539</v>
      </c>
      <c r="CB30" s="342">
        <f t="shared" si="77"/>
        <v>0.35076923076923072</v>
      </c>
      <c r="CC30" s="342">
        <f t="shared" si="77"/>
        <v>0.25307692307692309</v>
      </c>
      <c r="CD30" s="342">
        <f t="shared" si="77"/>
        <v>0.11538461538461539</v>
      </c>
      <c r="CE30" s="342">
        <f t="shared" si="77"/>
        <v>1.5384615384615384E-2</v>
      </c>
    </row>
    <row r="31" spans="1:83" ht="24" customHeight="1" x14ac:dyDescent="0.2">
      <c r="A31" s="6" t="s">
        <v>783</v>
      </c>
      <c r="B31" s="299"/>
      <c r="C31" s="299"/>
      <c r="D31" s="129">
        <f t="shared" ref="D31:AM31" si="78">AVERAGEIFS(D$36:D$173,$C$36:$C$173,"=2", $B$36:$B$173,"NO OFICIAL")</f>
        <v>55</v>
      </c>
      <c r="E31" s="129">
        <f t="shared" si="78"/>
        <v>9.3333333333333339</v>
      </c>
      <c r="F31" s="39">
        <f t="shared" si="78"/>
        <v>0.25444444444444447</v>
      </c>
      <c r="G31" s="39">
        <f t="shared" si="78"/>
        <v>0.35444444444444451</v>
      </c>
      <c r="H31" s="39">
        <f t="shared" si="78"/>
        <v>0.27888888888888885</v>
      </c>
      <c r="I31" s="39">
        <f t="shared" si="78"/>
        <v>0.10444444444444445</v>
      </c>
      <c r="J31" s="39">
        <f t="shared" si="78"/>
        <v>7.2222222222222228E-3</v>
      </c>
      <c r="K31" s="129">
        <f t="shared" si="78"/>
        <v>52.529411764705884</v>
      </c>
      <c r="L31" s="129">
        <f t="shared" si="78"/>
        <v>8.6470588235294112</v>
      </c>
      <c r="M31" s="39">
        <f t="shared" si="78"/>
        <v>0.34588235294117653</v>
      </c>
      <c r="N31" s="39">
        <f t="shared" si="78"/>
        <v>0.31058823529411766</v>
      </c>
      <c r="O31" s="39">
        <f t="shared" si="78"/>
        <v>0.27352941176470591</v>
      </c>
      <c r="P31" s="39">
        <f t="shared" si="78"/>
        <v>6.352941176470589E-2</v>
      </c>
      <c r="Q31" s="39">
        <f t="shared" si="78"/>
        <v>6.4705882352941177E-3</v>
      </c>
      <c r="R31" s="129">
        <f t="shared" si="78"/>
        <v>54.294117647058826</v>
      </c>
      <c r="S31" s="129">
        <f t="shared" si="78"/>
        <v>8.5882352941176467</v>
      </c>
      <c r="T31" s="39">
        <f t="shared" si="78"/>
        <v>0.23411764705882351</v>
      </c>
      <c r="U31" s="39">
        <f t="shared" si="78"/>
        <v>0.41882352941176471</v>
      </c>
      <c r="V31" s="39">
        <f t="shared" si="78"/>
        <v>0.25705882352941184</v>
      </c>
      <c r="W31" s="39">
        <f t="shared" si="78"/>
        <v>7.823529411764707E-2</v>
      </c>
      <c r="X31" s="39">
        <f t="shared" si="78"/>
        <v>9.9999999999999985E-3</v>
      </c>
      <c r="Y31" s="129">
        <f t="shared" si="78"/>
        <v>53.722222222222221</v>
      </c>
      <c r="Z31" s="129">
        <f t="shared" si="78"/>
        <v>9.7222222222222214</v>
      </c>
      <c r="AA31" s="39">
        <f t="shared" si="78"/>
        <v>0.26333333333333342</v>
      </c>
      <c r="AB31" s="39">
        <f t="shared" si="78"/>
        <v>0.38833333333333331</v>
      </c>
      <c r="AC31" s="39">
        <f t="shared" si="78"/>
        <v>0.2466666666666667</v>
      </c>
      <c r="AD31" s="39">
        <f t="shared" si="78"/>
        <v>8.9444444444444451E-2</v>
      </c>
      <c r="AE31" s="39">
        <f t="shared" si="78"/>
        <v>1.2222222222222221E-2</v>
      </c>
      <c r="AF31" s="129">
        <f t="shared" si="78"/>
        <v>48.727272727272727</v>
      </c>
      <c r="AG31" s="129">
        <f t="shared" si="78"/>
        <v>7.8636363636363633</v>
      </c>
      <c r="AH31" s="39">
        <f t="shared" si="78"/>
        <v>0.49954545454545457</v>
      </c>
      <c r="AI31" s="39">
        <f t="shared" si="78"/>
        <v>0.31954545454545458</v>
      </c>
      <c r="AJ31" s="39">
        <f t="shared" si="78"/>
        <v>0.10318181818181818</v>
      </c>
      <c r="AK31" s="39">
        <f t="shared" si="78"/>
        <v>6.8181818181818177E-2</v>
      </c>
      <c r="AL31" s="39">
        <f t="shared" si="78"/>
        <v>9.9999999999999985E-3</v>
      </c>
      <c r="AM31" s="129">
        <f t="shared" si="78"/>
        <v>53.55</v>
      </c>
      <c r="AO31" s="129">
        <f>AVERAGEIFS(AO$36:AO$173,$C$36:$C$173,"=2", $B$36:$B$173,"NO OFICIAL")</f>
        <v>9</v>
      </c>
      <c r="AQ31" s="39">
        <f t="shared" ref="AQ31:AV31" si="79">AVERAGEIFS(AQ$36:AQ$173,$C$36:$C$173,"=2", $B$36:$B$173,"NO OFICIAL")</f>
        <v>0.27300000000000002</v>
      </c>
      <c r="AR31" s="39">
        <f t="shared" si="79"/>
        <v>0.373</v>
      </c>
      <c r="AS31" s="39">
        <f t="shared" si="79"/>
        <v>0.2445</v>
      </c>
      <c r="AT31" s="39">
        <f t="shared" si="79"/>
        <v>9.35E-2</v>
      </c>
      <c r="AU31" s="39">
        <f t="shared" si="79"/>
        <v>1.4999999999999999E-2</v>
      </c>
      <c r="AV31" s="129">
        <f t="shared" si="79"/>
        <v>55.80952380952381</v>
      </c>
      <c r="AX31" s="129">
        <f>AVERAGEIFS(AX$36:AX$173,$C$36:$C$173,"=2", $B$36:$B$173,"NO OFICIAL")</f>
        <v>9.5238095238095237</v>
      </c>
      <c r="AZ31" s="342">
        <f t="shared" ref="AZ31:BE31" si="80">AVERAGEIFS(AZ$36:AZ$173,$C$36:$C$173,"=2", $B$36:$B$173,"NO OFICIAL")</f>
        <v>0.23238095238095238</v>
      </c>
      <c r="BA31" s="342">
        <f t="shared" si="80"/>
        <v>0.27857142857142858</v>
      </c>
      <c r="BB31" s="342">
        <f t="shared" si="80"/>
        <v>0.32333333333333336</v>
      </c>
      <c r="BC31" s="342">
        <f t="shared" si="80"/>
        <v>0.15238095238095237</v>
      </c>
      <c r="BD31" s="342">
        <f t="shared" si="80"/>
        <v>1.4761904761904764E-2</v>
      </c>
      <c r="BE31" s="129">
        <f t="shared" si="80"/>
        <v>55.045454545454547</v>
      </c>
      <c r="BG31" s="129">
        <f>AVERAGEIFS(BG$36:BG$173,$C$36:$C$173,"=2", $B$36:$B$173,"NO OFICIAL")</f>
        <v>9.2272727272727266</v>
      </c>
      <c r="BI31" s="342">
        <f t="shared" ref="BI31:BN31" si="81">AVERAGEIFS(BI$36:BI$173,$C$36:$C$173,"=2", $B$36:$B$173,"NO OFICIAL")</f>
        <v>0.28999999999999998</v>
      </c>
      <c r="BJ31" s="342">
        <f t="shared" si="81"/>
        <v>0.31318181818181823</v>
      </c>
      <c r="BK31" s="342">
        <f t="shared" si="81"/>
        <v>0.21954545454545446</v>
      </c>
      <c r="BL31" s="342">
        <f t="shared" si="81"/>
        <v>0.16272727272727269</v>
      </c>
      <c r="BM31" s="342">
        <f t="shared" si="81"/>
        <v>1.3636363636363636E-2</v>
      </c>
      <c r="BN31" s="490">
        <f t="shared" si="81"/>
        <v>56.65</v>
      </c>
      <c r="BP31" s="300">
        <f>AVERAGEIFS(BP$36:BP$173,$C$36:$C$173,"=2", $B$36:$B$173,"NO OFICIAL")</f>
        <v>9.9</v>
      </c>
      <c r="BR31" s="343">
        <f>AVERAGEIFS(BR$36:BR$173,$C$36:$C$173,"=2", $B$36:$B$173,"NO OFICIAL")</f>
        <v>0.23799999999999999</v>
      </c>
      <c r="BS31" s="343">
        <f>AVERAGEIFS(BS$36:BS$173,$C$36:$C$173,"=2", $B$36:$B$173,"NO OFICIAL")</f>
        <v>0.30349999999999999</v>
      </c>
      <c r="BT31" s="343">
        <f>AVERAGEIFS(BT$36:BT$173,$C$36:$C$173,"=2", $B$36:$B$173,"NO OFICIAL")</f>
        <v>0.26749999999999996</v>
      </c>
      <c r="BU31" s="343">
        <f>AVERAGEIFS(BU$36:BU$173,$C$36:$C$173,"=2", $B$36:$B$173,"NO OFICIAL")</f>
        <v>0.16</v>
      </c>
      <c r="BV31" s="343">
        <f>AVERAGEIFS(BV$36:BV$173,$C$36:$C$173,"=2", $B$36:$B$173,"NO OFICIAL")</f>
        <v>3.0499999999999999E-2</v>
      </c>
      <c r="BW31" s="129">
        <f t="shared" ref="BW31" si="82">AVERAGEIFS(BW$36:BW$173,$C$36:$C$173,"=2", $B$36:$B$173,"NO OFICIAL")</f>
        <v>56.086956521739133</v>
      </c>
      <c r="BX31" s="931"/>
      <c r="BY31" s="129">
        <f>AVERAGEIFS(BY$36:BY$173,$C$36:$C$173,"=2", $B$36:$B$173,"NO OFICIAL")</f>
        <v>9.2173913043478262</v>
      </c>
      <c r="BZ31" s="931"/>
      <c r="CA31" s="342">
        <f t="shared" ref="CA31:CE31" si="83">AVERAGEIFS(CA$36:CA$173,$C$36:$C$173,"=2", $B$36:$B$173,"NO OFICIAL")</f>
        <v>0.24652173913043482</v>
      </c>
      <c r="CB31" s="342">
        <f t="shared" si="83"/>
        <v>0.30652173913043479</v>
      </c>
      <c r="CC31" s="342">
        <f t="shared" si="83"/>
        <v>0.29608695652173916</v>
      </c>
      <c r="CD31" s="342">
        <f t="shared" si="83"/>
        <v>0.12391304347826088</v>
      </c>
      <c r="CE31" s="342">
        <f t="shared" si="83"/>
        <v>2.9565217391304355E-2</v>
      </c>
    </row>
    <row r="32" spans="1:83" ht="24" customHeight="1" x14ac:dyDescent="0.2">
      <c r="A32" s="6" t="s">
        <v>784</v>
      </c>
      <c r="B32" s="299"/>
      <c r="C32" s="299"/>
      <c r="D32" s="129">
        <f t="shared" ref="D32:AM32" si="84">AVERAGEIFS(D$36:D$173,$C$36:$C$173,"=3", $B$36:$B$173,"NO OFICIAL")</f>
        <v>55.153846153846153</v>
      </c>
      <c r="E32" s="129">
        <f t="shared" si="84"/>
        <v>8.9230769230769234</v>
      </c>
      <c r="F32" s="39">
        <f t="shared" si="84"/>
        <v>0.21076923076923076</v>
      </c>
      <c r="G32" s="39">
        <f t="shared" si="84"/>
        <v>0.40769230769230763</v>
      </c>
      <c r="H32" s="39">
        <f t="shared" si="84"/>
        <v>0.29461538461538467</v>
      </c>
      <c r="I32" s="39">
        <f t="shared" si="84"/>
        <v>8.9230769230769211E-2</v>
      </c>
      <c r="J32" s="39">
        <f t="shared" si="84"/>
        <v>7.6923076923076923E-4</v>
      </c>
      <c r="K32" s="129">
        <f t="shared" si="84"/>
        <v>51.428571428571431</v>
      </c>
      <c r="L32" s="129">
        <f t="shared" si="84"/>
        <v>8.9285714285714288</v>
      </c>
      <c r="M32" s="39">
        <f t="shared" si="84"/>
        <v>0.34357142857142858</v>
      </c>
      <c r="N32" s="39">
        <f t="shared" si="84"/>
        <v>0.39571428571428563</v>
      </c>
      <c r="O32" s="39">
        <f t="shared" si="84"/>
        <v>0.20499999999999999</v>
      </c>
      <c r="P32" s="39">
        <f t="shared" si="84"/>
        <v>5.5714285714285723E-2</v>
      </c>
      <c r="Q32" s="39">
        <f t="shared" si="84"/>
        <v>2.8571428571428571E-3</v>
      </c>
      <c r="R32" s="129">
        <f t="shared" si="84"/>
        <v>53.285714285714285</v>
      </c>
      <c r="S32" s="129">
        <f t="shared" si="84"/>
        <v>8.5714285714285712</v>
      </c>
      <c r="T32" s="39">
        <f t="shared" si="84"/>
        <v>0.27285714285714285</v>
      </c>
      <c r="U32" s="39">
        <f t="shared" si="84"/>
        <v>0.40357142857142853</v>
      </c>
      <c r="V32" s="39">
        <f t="shared" si="84"/>
        <v>0.2664285714285714</v>
      </c>
      <c r="W32" s="39">
        <f t="shared" si="84"/>
        <v>5.0714285714285726E-2</v>
      </c>
      <c r="X32" s="39">
        <f t="shared" si="84"/>
        <v>5.7142857142857143E-3</v>
      </c>
      <c r="Y32" s="129">
        <f t="shared" si="84"/>
        <v>52.357142857142854</v>
      </c>
      <c r="Z32" s="129">
        <f t="shared" si="84"/>
        <v>9.4285714285714288</v>
      </c>
      <c r="AA32" s="39">
        <f t="shared" si="84"/>
        <v>0.2985714285714286</v>
      </c>
      <c r="AB32" s="39">
        <f t="shared" si="84"/>
        <v>0.40571428571428575</v>
      </c>
      <c r="AC32" s="39">
        <f t="shared" si="84"/>
        <v>0.23142857142857146</v>
      </c>
      <c r="AD32" s="39">
        <f t="shared" si="84"/>
        <v>6.4285714285714279E-2</v>
      </c>
      <c r="AE32" s="39">
        <f t="shared" si="84"/>
        <v>2.142857142857143E-3</v>
      </c>
      <c r="AF32" s="129">
        <f t="shared" si="84"/>
        <v>49.733333333333334</v>
      </c>
      <c r="AG32" s="129">
        <f t="shared" si="84"/>
        <v>8.4</v>
      </c>
      <c r="AH32" s="39">
        <f t="shared" si="84"/>
        <v>0.45533333333333326</v>
      </c>
      <c r="AI32" s="39">
        <f t="shared" si="84"/>
        <v>0.36333333333333334</v>
      </c>
      <c r="AJ32" s="39">
        <f t="shared" si="84"/>
        <v>0.12733333333333335</v>
      </c>
      <c r="AK32" s="39">
        <f t="shared" si="84"/>
        <v>5.3999999999999999E-2</v>
      </c>
      <c r="AL32" s="39">
        <f t="shared" si="84"/>
        <v>1.3333333333333333E-3</v>
      </c>
      <c r="AM32" s="129">
        <f t="shared" si="84"/>
        <v>53.333333333333336</v>
      </c>
      <c r="AO32" s="129">
        <f>AVERAGEIFS(AO$36:AO$173,$C$36:$C$173,"=3", $B$36:$B$173,"NO OFICIAL")</f>
        <v>10.133333333333333</v>
      </c>
      <c r="AQ32" s="39">
        <f t="shared" ref="AQ32:AV32" si="85">AVERAGEIFS(AQ$36:AQ$173,$C$36:$C$173,"=3", $B$36:$B$173,"NO OFICIAL")</f>
        <v>0.31599999999999995</v>
      </c>
      <c r="AR32" s="39">
        <f t="shared" si="85"/>
        <v>0.34066666666666667</v>
      </c>
      <c r="AS32" s="39">
        <f t="shared" si="85"/>
        <v>0.23</v>
      </c>
      <c r="AT32" s="39">
        <f t="shared" si="85"/>
        <v>0.10333333333333333</v>
      </c>
      <c r="AU32" s="39">
        <f t="shared" si="85"/>
        <v>1.1333333333333334E-2</v>
      </c>
      <c r="AV32" s="129">
        <f t="shared" si="85"/>
        <v>55.375</v>
      </c>
      <c r="AX32" s="129">
        <f>AVERAGEIFS(AX$36:AX$173,$C$36:$C$173,"=3", $B$36:$B$173,"NO OFICIAL")</f>
        <v>9.8125</v>
      </c>
      <c r="AZ32" s="342">
        <f t="shared" ref="AZ32:BE32" si="86">AVERAGEIFS(AZ$36:AZ$173,$C$36:$C$173,"=3", $B$36:$B$173,"NO OFICIAL")</f>
        <v>0.24249999999999999</v>
      </c>
      <c r="BA32" s="342">
        <f t="shared" si="86"/>
        <v>0.33500000000000002</v>
      </c>
      <c r="BB32" s="342">
        <f t="shared" si="86"/>
        <v>0.26374999999999998</v>
      </c>
      <c r="BC32" s="342">
        <f t="shared" si="86"/>
        <v>0.15</v>
      </c>
      <c r="BD32" s="342">
        <f t="shared" si="86"/>
        <v>1.125E-2</v>
      </c>
      <c r="BE32" s="129">
        <f t="shared" si="86"/>
        <v>55.5625</v>
      </c>
      <c r="BG32" s="129">
        <f>AVERAGEIFS(BG$36:BG$173,$C$36:$C$173,"=3", $B$36:$B$173,"NO OFICIAL")</f>
        <v>9.9375</v>
      </c>
      <c r="BI32" s="342">
        <f t="shared" ref="BI32:BN32" si="87">AVERAGEIFS(BI$36:BI$173,$C$36:$C$173,"=3", $B$36:$B$173,"NO OFICIAL")</f>
        <v>0.22500000000000001</v>
      </c>
      <c r="BJ32" s="342">
        <f t="shared" si="87"/>
        <v>0.36062500000000003</v>
      </c>
      <c r="BK32" s="342">
        <f t="shared" si="87"/>
        <v>0.28187500000000004</v>
      </c>
      <c r="BL32" s="342">
        <f t="shared" si="87"/>
        <v>0.11000000000000001</v>
      </c>
      <c r="BM32" s="342">
        <f t="shared" si="87"/>
        <v>2.2500000000000006E-2</v>
      </c>
      <c r="BN32" s="490">
        <f t="shared" si="87"/>
        <v>56.3125</v>
      </c>
      <c r="BP32" s="300">
        <f>AVERAGEIFS(BP$36:BP$173,$C$36:$C$173,"=3", $B$36:$B$173,"NO OFICIAL")</f>
        <v>9.75</v>
      </c>
      <c r="BR32" s="343">
        <f>AVERAGEIFS(BR$36:BR$173,$C$36:$C$173,"=3", $B$36:$B$173,"NO OFICIAL")</f>
        <v>0.19625000000000001</v>
      </c>
      <c r="BS32" s="343">
        <f>AVERAGEIFS(BS$36:BS$173,$C$36:$C$173,"=3", $B$36:$B$173,"NO OFICIAL")</f>
        <v>0.36124999999999996</v>
      </c>
      <c r="BT32" s="343">
        <f>AVERAGEIFS(BT$36:BT$173,$C$36:$C$173,"=3", $B$36:$B$173,"NO OFICIAL")</f>
        <v>0.28812500000000002</v>
      </c>
      <c r="BU32" s="343">
        <f>AVERAGEIFS(BU$36:BU$173,$C$36:$C$173,"=3", $B$36:$B$173,"NO OFICIAL")</f>
        <v>0.13187499999999999</v>
      </c>
      <c r="BV32" s="343">
        <f>AVERAGEIFS(BV$36:BV$173,$C$36:$C$173,"=3", $B$36:$B$173,"NO OFICIAL")</f>
        <v>2.2499999999999999E-2</v>
      </c>
      <c r="BW32" s="129">
        <f t="shared" ref="BW32" si="88">AVERAGEIFS(BW$36:BW$173,$C$36:$C$173,"=3", $B$36:$B$173,"NO OFICIAL")</f>
        <v>57.3125</v>
      </c>
      <c r="BX32" s="931"/>
      <c r="BY32" s="129">
        <f>AVERAGEIFS(BY$36:BY$173,$C$36:$C$173,"=3", $B$36:$B$173,"NO OFICIAL")</f>
        <v>10.3125</v>
      </c>
      <c r="BZ32" s="931"/>
      <c r="CA32" s="342">
        <f t="shared" ref="CA32:CE32" si="89">AVERAGEIFS(CA$36:CA$173,$C$36:$C$173,"=3", $B$36:$B$173,"NO OFICIAL")</f>
        <v>0.20062500000000003</v>
      </c>
      <c r="CB32" s="342">
        <f t="shared" si="89"/>
        <v>0.29375000000000001</v>
      </c>
      <c r="CC32" s="342">
        <f t="shared" si="89"/>
        <v>0.32312500000000005</v>
      </c>
      <c r="CD32" s="342">
        <f t="shared" si="89"/>
        <v>0.15437499999999996</v>
      </c>
      <c r="CE32" s="342">
        <f t="shared" si="89"/>
        <v>2.9374999999999998E-2</v>
      </c>
    </row>
    <row r="33" spans="1:85" ht="24" customHeight="1" x14ac:dyDescent="0.2">
      <c r="A33" s="6" t="s">
        <v>785</v>
      </c>
      <c r="B33" s="299"/>
      <c r="C33" s="299"/>
      <c r="D33" s="129">
        <f t="shared" ref="D33:AM33" si="90">AVERAGEIFS(D$36:D$173,$C$36:$C$173,"=4", $B$36:$B$173,"NO OFICIAL")</f>
        <v>51.875</v>
      </c>
      <c r="E33" s="129">
        <f t="shared" si="90"/>
        <v>8.375</v>
      </c>
      <c r="F33" s="39">
        <f t="shared" si="90"/>
        <v>0.3775</v>
      </c>
      <c r="G33" s="39">
        <f t="shared" si="90"/>
        <v>0.35250000000000004</v>
      </c>
      <c r="H33" s="39">
        <f t="shared" si="90"/>
        <v>0.18374999999999997</v>
      </c>
      <c r="I33" s="39">
        <f t="shared" si="90"/>
        <v>8.8749999999999996E-2</v>
      </c>
      <c r="J33" s="39">
        <f t="shared" si="90"/>
        <v>0</v>
      </c>
      <c r="K33" s="129">
        <f t="shared" si="90"/>
        <v>50.888888888888886</v>
      </c>
      <c r="L33" s="129">
        <f t="shared" si="90"/>
        <v>6.5555555555555554</v>
      </c>
      <c r="M33" s="39">
        <f t="shared" si="90"/>
        <v>0.42222222222222222</v>
      </c>
      <c r="N33" s="39">
        <f t="shared" si="90"/>
        <v>0.31444444444444447</v>
      </c>
      <c r="O33" s="39">
        <f t="shared" si="90"/>
        <v>0.24777777777777776</v>
      </c>
      <c r="P33" s="39">
        <f t="shared" si="90"/>
        <v>1.8888888888888886E-2</v>
      </c>
      <c r="Q33" s="39">
        <f t="shared" si="90"/>
        <v>0</v>
      </c>
      <c r="R33" s="129">
        <f t="shared" si="90"/>
        <v>54.555555555555557</v>
      </c>
      <c r="S33" s="129">
        <f t="shared" si="90"/>
        <v>8.2222222222222214</v>
      </c>
      <c r="T33" s="39">
        <f t="shared" si="90"/>
        <v>0.28555555555555556</v>
      </c>
      <c r="U33" s="39">
        <f t="shared" si="90"/>
        <v>0.33888888888888885</v>
      </c>
      <c r="V33" s="39">
        <f t="shared" si="90"/>
        <v>0.25111111111111106</v>
      </c>
      <c r="W33" s="39">
        <f t="shared" si="90"/>
        <v>0.11555555555555556</v>
      </c>
      <c r="X33" s="39">
        <f t="shared" si="90"/>
        <v>7.7777777777777784E-3</v>
      </c>
      <c r="Y33" s="129">
        <f t="shared" si="90"/>
        <v>50.25</v>
      </c>
      <c r="Z33" s="129">
        <f t="shared" si="90"/>
        <v>8.375</v>
      </c>
      <c r="AA33" s="39">
        <f t="shared" si="90"/>
        <v>0.40125</v>
      </c>
      <c r="AB33" s="39">
        <f t="shared" si="90"/>
        <v>0.38250000000000001</v>
      </c>
      <c r="AC33" s="39">
        <f t="shared" si="90"/>
        <v>0.1875</v>
      </c>
      <c r="AD33" s="39">
        <f t="shared" si="90"/>
        <v>2.7500000000000004E-2</v>
      </c>
      <c r="AE33" s="39">
        <f t="shared" si="90"/>
        <v>2.5000000000000001E-3</v>
      </c>
      <c r="AF33" s="129">
        <f t="shared" si="90"/>
        <v>47.428571428571431</v>
      </c>
      <c r="AG33" s="129">
        <f t="shared" si="90"/>
        <v>8.5714285714285712</v>
      </c>
      <c r="AH33" s="39">
        <f t="shared" si="90"/>
        <v>0.47285714285714286</v>
      </c>
      <c r="AI33" s="39">
        <f t="shared" si="90"/>
        <v>0.38714285714285712</v>
      </c>
      <c r="AJ33" s="39">
        <f t="shared" si="90"/>
        <v>0.12714285714285714</v>
      </c>
      <c r="AK33" s="39">
        <f t="shared" si="90"/>
        <v>1.4285714285714287E-2</v>
      </c>
      <c r="AL33" s="39">
        <f t="shared" si="90"/>
        <v>0</v>
      </c>
      <c r="AM33" s="129">
        <f t="shared" si="90"/>
        <v>51</v>
      </c>
      <c r="AO33" s="129">
        <f>AVERAGEIFS(AO$36:AO$173,$C$36:$C$173,"=4", $B$36:$B$173,"NO OFICIAL")</f>
        <v>8.625</v>
      </c>
      <c r="AQ33" s="39">
        <f t="shared" ref="AQ33:AV33" si="91">AVERAGEIFS(AQ$36:AQ$173,$C$36:$C$173,"=4", $B$36:$B$173,"NO OFICIAL")</f>
        <v>0.33624999999999994</v>
      </c>
      <c r="AR33" s="39">
        <f t="shared" si="91"/>
        <v>0.43375000000000002</v>
      </c>
      <c r="AS33" s="39">
        <f t="shared" si="91"/>
        <v>0.18124999999999999</v>
      </c>
      <c r="AT33" s="39">
        <f t="shared" si="91"/>
        <v>4.3750000000000004E-2</v>
      </c>
      <c r="AU33" s="39">
        <f t="shared" si="91"/>
        <v>7.4999999999999997E-3</v>
      </c>
      <c r="AV33" s="129">
        <f t="shared" si="91"/>
        <v>50.875</v>
      </c>
      <c r="AX33" s="129">
        <f>AVERAGEIFS(AX$36:AX$173,$C$36:$C$173,"=4", $B$36:$B$173,"NO OFICIAL")</f>
        <v>9.375</v>
      </c>
      <c r="AZ33" s="342">
        <f t="shared" ref="AZ33:BE33" si="92">AVERAGEIFS(AZ$36:AZ$173,$C$36:$C$173,"=4", $B$36:$B$173,"NO OFICIAL")</f>
        <v>0.35749999999999998</v>
      </c>
      <c r="BA33" s="342">
        <f t="shared" si="92"/>
        <v>0.38</v>
      </c>
      <c r="BB33" s="342">
        <f t="shared" si="92"/>
        <v>0.20125000000000001</v>
      </c>
      <c r="BC33" s="342">
        <f t="shared" si="92"/>
        <v>6.1249999999999999E-2</v>
      </c>
      <c r="BD33" s="342">
        <f t="shared" si="92"/>
        <v>0</v>
      </c>
      <c r="BE33" s="129">
        <f t="shared" si="92"/>
        <v>50.333333333333336</v>
      </c>
      <c r="BG33" s="129">
        <f>AVERAGEIFS(BG$36:BG$173,$C$36:$C$173,"=4", $B$36:$B$173,"NO OFICIAL")</f>
        <v>9</v>
      </c>
      <c r="BI33" s="342">
        <f t="shared" ref="BI33:BN33" si="93">AVERAGEIFS(BI$36:BI$173,$C$36:$C$173,"=4", $B$36:$B$173,"NO OFICIAL")</f>
        <v>0.40111111111111108</v>
      </c>
      <c r="BJ33" s="342">
        <f t="shared" si="93"/>
        <v>0.33777777777777779</v>
      </c>
      <c r="BK33" s="342">
        <f t="shared" si="93"/>
        <v>0.20777777777777781</v>
      </c>
      <c r="BL33" s="342">
        <f t="shared" si="93"/>
        <v>4.6666666666666669E-2</v>
      </c>
      <c r="BM33" s="342">
        <f t="shared" si="93"/>
        <v>3.3333333333333331E-3</v>
      </c>
      <c r="BN33" s="490">
        <f t="shared" si="93"/>
        <v>53.142857142857146</v>
      </c>
      <c r="BP33" s="300">
        <f>AVERAGEIFS(BP$36:BP$173,$C$36:$C$173,"=4", $B$36:$B$173,"NO OFICIAL")</f>
        <v>9.7142857142857135</v>
      </c>
      <c r="BR33" s="343">
        <f>AVERAGEIFS(BR$36:BR$173,$C$36:$C$173,"=4", $B$36:$B$173,"NO OFICIAL")</f>
        <v>0.32571428571428568</v>
      </c>
      <c r="BS33" s="343">
        <f>AVERAGEIFS(BS$36:BS$173,$C$36:$C$173,"=4", $B$36:$B$173,"NO OFICIAL")</f>
        <v>0.33714285714285719</v>
      </c>
      <c r="BT33" s="343">
        <f>AVERAGEIFS(BT$36:BT$173,$C$36:$C$173,"=4", $B$36:$B$173,"NO OFICIAL")</f>
        <v>0.21285714285714288</v>
      </c>
      <c r="BU33" s="343">
        <f>AVERAGEIFS(BU$36:BU$173,$C$36:$C$173,"=4", $B$36:$B$173,"NO OFICIAL")</f>
        <v>0.11142857142857143</v>
      </c>
      <c r="BV33" s="343">
        <f>AVERAGEIFS(BV$36:BV$173,$C$36:$C$173,"=4", $B$36:$B$173,"NO OFICIAL")</f>
        <v>0.01</v>
      </c>
      <c r="BW33" s="129">
        <f t="shared" ref="BW33" si="94">AVERAGEIFS(BW$36:BW$173,$C$36:$C$173,"=4", $B$36:$B$173,"NO OFICIAL")</f>
        <v>55.444444444444443</v>
      </c>
      <c r="BX33" s="931"/>
      <c r="BY33" s="129">
        <f>AVERAGEIFS(BY$36:BY$173,$C$36:$C$173,"=4", $B$36:$B$173,"NO OFICIAL")</f>
        <v>9</v>
      </c>
      <c r="BZ33" s="931"/>
      <c r="CA33" s="342">
        <f t="shared" ref="CA33:CE33" si="95">AVERAGEIFS(CA$36:CA$173,$C$36:$C$173,"=4", $B$36:$B$173,"NO OFICIAL")</f>
        <v>0.21333333333333332</v>
      </c>
      <c r="CB33" s="342">
        <f t="shared" si="95"/>
        <v>0.40333333333333327</v>
      </c>
      <c r="CC33" s="342">
        <f t="shared" si="95"/>
        <v>0.25</v>
      </c>
      <c r="CD33" s="342">
        <f t="shared" si="95"/>
        <v>0.12666666666666668</v>
      </c>
      <c r="CE33" s="342">
        <f t="shared" si="95"/>
        <v>5.5555555555555558E-3</v>
      </c>
    </row>
    <row r="34" spans="1:85" ht="24" customHeight="1" x14ac:dyDescent="0.2">
      <c r="A34" s="6" t="s">
        <v>786</v>
      </c>
      <c r="B34" s="299"/>
      <c r="C34" s="299"/>
      <c r="D34" s="129">
        <f t="shared" ref="D34:AM34" si="96">AVERAGEIFS(D$36:D$173,$C$36:$C$173,"=5", $B$36:$B$173,"NO OFICIAL")</f>
        <v>57.785714285714285</v>
      </c>
      <c r="E34" s="129">
        <f t="shared" si="96"/>
        <v>9.2142857142857135</v>
      </c>
      <c r="F34" s="39">
        <f t="shared" si="96"/>
        <v>0.18000000000000002</v>
      </c>
      <c r="G34" s="39">
        <f t="shared" si="96"/>
        <v>0.34285714285714292</v>
      </c>
      <c r="H34" s="39">
        <f t="shared" si="96"/>
        <v>0.28785714285714287</v>
      </c>
      <c r="I34" s="39">
        <f t="shared" si="96"/>
        <v>0.17857142857142858</v>
      </c>
      <c r="J34" s="39">
        <f t="shared" si="96"/>
        <v>1.2142857142857144E-2</v>
      </c>
      <c r="K34" s="129">
        <f t="shared" si="96"/>
        <v>56.285714285714285</v>
      </c>
      <c r="L34" s="129">
        <f t="shared" si="96"/>
        <v>8.7142857142857135</v>
      </c>
      <c r="M34" s="39">
        <f t="shared" si="96"/>
        <v>0.19928571428571426</v>
      </c>
      <c r="N34" s="39">
        <f t="shared" si="96"/>
        <v>0.33357142857142852</v>
      </c>
      <c r="O34" s="39">
        <f t="shared" si="96"/>
        <v>0.35571428571428571</v>
      </c>
      <c r="P34" s="39">
        <f t="shared" si="96"/>
        <v>9.4285714285714278E-2</v>
      </c>
      <c r="Q34" s="39">
        <f t="shared" si="96"/>
        <v>1.9285714285714288E-2</v>
      </c>
      <c r="R34" s="129">
        <f t="shared" si="96"/>
        <v>56.733333333333334</v>
      </c>
      <c r="S34" s="129">
        <f t="shared" si="96"/>
        <v>8.6666666666666661</v>
      </c>
      <c r="T34" s="39">
        <f t="shared" si="96"/>
        <v>0.16599999999999998</v>
      </c>
      <c r="U34" s="39">
        <f t="shared" si="96"/>
        <v>0.3726666666666667</v>
      </c>
      <c r="V34" s="39">
        <f t="shared" si="96"/>
        <v>0.29133333333333333</v>
      </c>
      <c r="W34" s="39">
        <f t="shared" si="96"/>
        <v>0.14933333333333335</v>
      </c>
      <c r="X34" s="39">
        <f t="shared" si="96"/>
        <v>1.8666666666666668E-2</v>
      </c>
      <c r="Y34" s="129">
        <f t="shared" si="96"/>
        <v>55.6875</v>
      </c>
      <c r="Z34" s="129">
        <f t="shared" si="96"/>
        <v>9.0625</v>
      </c>
      <c r="AA34" s="39">
        <f t="shared" si="96"/>
        <v>0.22999999999999998</v>
      </c>
      <c r="AB34" s="39">
        <f t="shared" si="96"/>
        <v>0.33687500000000004</v>
      </c>
      <c r="AC34" s="39">
        <f t="shared" si="96"/>
        <v>0.31312500000000004</v>
      </c>
      <c r="AD34" s="39">
        <f t="shared" si="96"/>
        <v>0.12</v>
      </c>
      <c r="AE34" s="39">
        <f t="shared" si="96"/>
        <v>6.2500000000000001E-4</v>
      </c>
      <c r="AF34" s="129">
        <f t="shared" si="96"/>
        <v>51.666666666666664</v>
      </c>
      <c r="AG34" s="129">
        <f t="shared" si="96"/>
        <v>9.1999999999999993</v>
      </c>
      <c r="AH34" s="39">
        <f t="shared" si="96"/>
        <v>0.32866666666666666</v>
      </c>
      <c r="AI34" s="39">
        <f t="shared" si="96"/>
        <v>0.40533333333333338</v>
      </c>
      <c r="AJ34" s="39">
        <f t="shared" si="96"/>
        <v>0.19799999999999998</v>
      </c>
      <c r="AK34" s="39">
        <f t="shared" si="96"/>
        <v>6.9333333333333344E-2</v>
      </c>
      <c r="AL34" s="39">
        <f t="shared" si="96"/>
        <v>0</v>
      </c>
      <c r="AM34" s="129">
        <f t="shared" si="96"/>
        <v>56.93333333333333</v>
      </c>
      <c r="AO34" s="129">
        <f>AVERAGEIFS(AO$36:AO$173,$C$36:$C$173,"=5", $B$36:$B$173,"NO OFICIAL")</f>
        <v>9.6666666666666661</v>
      </c>
      <c r="AQ34" s="39">
        <f t="shared" ref="AQ34:AV34" si="97">AVERAGEIFS(AQ$36:AQ$173,$C$36:$C$173,"=5", $B$36:$B$173,"NO OFICIAL")</f>
        <v>0.18133333333333329</v>
      </c>
      <c r="AR34" s="39">
        <f t="shared" si="97"/>
        <v>0.37466666666666659</v>
      </c>
      <c r="AS34" s="39">
        <f t="shared" si="97"/>
        <v>0.28466666666666662</v>
      </c>
      <c r="AT34" s="39">
        <f t="shared" si="97"/>
        <v>0.154</v>
      </c>
      <c r="AU34" s="39">
        <f t="shared" si="97"/>
        <v>6.000000000000001E-3</v>
      </c>
      <c r="AV34" s="129">
        <f t="shared" si="97"/>
        <v>57.714285714285715</v>
      </c>
      <c r="AX34" s="129">
        <f>AVERAGEIFS(AX$36:AX$173,$C$36:$C$173,"=5", $B$36:$B$173,"NO OFICIAL")</f>
        <v>9.2142857142857135</v>
      </c>
      <c r="AZ34" s="342">
        <f t="shared" ref="AZ34:BE34" si="98">AVERAGEIFS(AZ$36:AZ$173,$C$36:$C$173,"=5", $B$36:$B$173,"NO OFICIAL")</f>
        <v>0.13071428571428573</v>
      </c>
      <c r="BA34" s="342">
        <f t="shared" si="98"/>
        <v>0.36142857142857138</v>
      </c>
      <c r="BB34" s="342">
        <f t="shared" si="98"/>
        <v>0.33642857142857141</v>
      </c>
      <c r="BC34" s="342">
        <f t="shared" si="98"/>
        <v>0.15</v>
      </c>
      <c r="BD34" s="342">
        <f t="shared" si="98"/>
        <v>1.9285714285714285E-2</v>
      </c>
      <c r="BE34" s="129">
        <f t="shared" si="98"/>
        <v>58.214285714285715</v>
      </c>
      <c r="BG34" s="129">
        <f>AVERAGEIFS(BG$36:BG$173,$C$36:$C$173,"=5", $B$36:$B$173,"NO OFICIAL")</f>
        <v>9.6428571428571423</v>
      </c>
      <c r="BI34" s="342">
        <f t="shared" ref="BI34:BN34" si="99">AVERAGEIFS(BI$36:BI$173,$C$36:$C$173,"=5", $B$36:$B$173,"NO OFICIAL")</f>
        <v>0.16857142857142859</v>
      </c>
      <c r="BJ34" s="342">
        <f t="shared" si="99"/>
        <v>0.28285714285714281</v>
      </c>
      <c r="BK34" s="342">
        <f t="shared" si="99"/>
        <v>0.35785714285714282</v>
      </c>
      <c r="BL34" s="342">
        <f t="shared" si="99"/>
        <v>0.16714285714285712</v>
      </c>
      <c r="BM34" s="342">
        <f t="shared" si="99"/>
        <v>2.5000000000000001E-2</v>
      </c>
      <c r="BN34" s="490">
        <f t="shared" si="99"/>
        <v>56.533333333333331</v>
      </c>
      <c r="BP34" s="300">
        <f>AVERAGEIFS(BP$36:BP$173,$C$36:$C$173,"=5", $B$36:$B$173,"NO OFICIAL")</f>
        <v>9.6666666666666661</v>
      </c>
      <c r="BR34" s="343">
        <f>AVERAGEIFS(BR$36:BR$173,$C$36:$C$173,"=5", $B$36:$B$173,"NO OFICIAL")</f>
        <v>0.20066666666666666</v>
      </c>
      <c r="BS34" s="343">
        <f>AVERAGEIFS(BS$36:BS$173,$C$36:$C$173,"=5", $B$36:$B$173,"NO OFICIAL")</f>
        <v>0.33666666666666667</v>
      </c>
      <c r="BT34" s="343">
        <f>AVERAGEIFS(BT$36:BT$173,$C$36:$C$173,"=5", $B$36:$B$173,"NO OFICIAL")</f>
        <v>0.29200000000000004</v>
      </c>
      <c r="BU34" s="343">
        <f>AVERAGEIFS(BU$36:BU$173,$C$36:$C$173,"=5", $B$36:$B$173,"NO OFICIAL")</f>
        <v>0.14466666666666667</v>
      </c>
      <c r="BV34" s="343">
        <f>AVERAGEIFS(BV$36:BV$173,$C$36:$C$173,"=5", $B$36:$B$173,"NO OFICIAL")</f>
        <v>2.8666666666666667E-2</v>
      </c>
      <c r="BW34" s="129">
        <f t="shared" ref="BW34" si="100">AVERAGEIFS(BW$36:BW$173,$C$36:$C$173,"=5", $B$36:$B$173,"NO OFICIAL")</f>
        <v>58.733333333333334</v>
      </c>
      <c r="BX34" s="931"/>
      <c r="BY34" s="129">
        <f>AVERAGEIFS(BY$36:BY$173,$C$36:$C$173,"=5", $B$36:$B$173,"NO OFICIAL")</f>
        <v>9.7333333333333325</v>
      </c>
      <c r="BZ34" s="931"/>
      <c r="CA34" s="342">
        <f t="shared" ref="CA34:CE34" si="101">AVERAGEIFS(CA$36:CA$173,$C$36:$C$173,"=5", $B$36:$B$173,"NO OFICIAL")</f>
        <v>0.15533333333333335</v>
      </c>
      <c r="CB34" s="342">
        <f t="shared" si="101"/>
        <v>0.28933333333333333</v>
      </c>
      <c r="CC34" s="342">
        <f t="shared" si="101"/>
        <v>0.33066666666666666</v>
      </c>
      <c r="CD34" s="342">
        <f t="shared" si="101"/>
        <v>0.20799999999999999</v>
      </c>
      <c r="CE34" s="342">
        <f t="shared" si="101"/>
        <v>1.8000000000000002E-2</v>
      </c>
    </row>
    <row r="35" spans="1:85" ht="24.95" customHeight="1" x14ac:dyDescent="0.2">
      <c r="A35" s="6" t="s">
        <v>787</v>
      </c>
      <c r="B35" s="299"/>
      <c r="C35" s="299"/>
      <c r="D35" s="129">
        <f t="shared" ref="D35:AM35" si="102">AVERAGEIFS(D$36:D$173,$C$36:$C$173,"=6", $B$36:$B$173,"NO OFICIAL")</f>
        <v>54.81818181818182</v>
      </c>
      <c r="E35" s="129">
        <f t="shared" si="102"/>
        <v>8.1818181818181817</v>
      </c>
      <c r="F35" s="39">
        <f t="shared" si="102"/>
        <v>0.2936363636363637</v>
      </c>
      <c r="G35" s="39">
        <f t="shared" si="102"/>
        <v>0.32727272727272722</v>
      </c>
      <c r="H35" s="39">
        <f t="shared" si="102"/>
        <v>0.29909090909090907</v>
      </c>
      <c r="I35" s="39">
        <f t="shared" si="102"/>
        <v>7.0909090909090908E-2</v>
      </c>
      <c r="J35" s="39">
        <f t="shared" si="102"/>
        <v>5.4545454545454541E-3</v>
      </c>
      <c r="K35" s="129">
        <f t="shared" si="102"/>
        <v>51.272727272727273</v>
      </c>
      <c r="L35" s="129">
        <f t="shared" si="102"/>
        <v>9.2727272727272734</v>
      </c>
      <c r="M35" s="39">
        <f t="shared" si="102"/>
        <v>0.42636363636363633</v>
      </c>
      <c r="N35" s="39">
        <f t="shared" si="102"/>
        <v>0.34727272727272723</v>
      </c>
      <c r="O35" s="39">
        <f t="shared" si="102"/>
        <v>0.15363636363636363</v>
      </c>
      <c r="P35" s="39">
        <f t="shared" si="102"/>
        <v>6.6363636363636375E-2</v>
      </c>
      <c r="Q35" s="39">
        <f t="shared" si="102"/>
        <v>8.1818181818181825E-3</v>
      </c>
      <c r="R35" s="129">
        <f t="shared" si="102"/>
        <v>52.9</v>
      </c>
      <c r="S35" s="129">
        <f t="shared" si="102"/>
        <v>8.6999999999999993</v>
      </c>
      <c r="T35" s="39">
        <f t="shared" si="102"/>
        <v>0.28600000000000003</v>
      </c>
      <c r="U35" s="39">
        <f t="shared" si="102"/>
        <v>0.45600000000000007</v>
      </c>
      <c r="V35" s="39">
        <f t="shared" si="102"/>
        <v>0.18099999999999999</v>
      </c>
      <c r="W35" s="39">
        <f t="shared" si="102"/>
        <v>6.9999999999999993E-2</v>
      </c>
      <c r="X35" s="39">
        <f t="shared" si="102"/>
        <v>7.000000000000001E-3</v>
      </c>
      <c r="Y35" s="129">
        <f t="shared" si="102"/>
        <v>52.454545454545453</v>
      </c>
      <c r="Z35" s="129">
        <f t="shared" si="102"/>
        <v>9</v>
      </c>
      <c r="AA35" s="39">
        <f t="shared" si="102"/>
        <v>0.34545454545454546</v>
      </c>
      <c r="AB35" s="39">
        <f t="shared" si="102"/>
        <v>0.35727272727272735</v>
      </c>
      <c r="AC35" s="39">
        <f t="shared" si="102"/>
        <v>0.20363636363636364</v>
      </c>
      <c r="AD35" s="39">
        <f t="shared" si="102"/>
        <v>8.3636363636363634E-2</v>
      </c>
      <c r="AE35" s="39">
        <f t="shared" si="102"/>
        <v>1.0909090909090908E-2</v>
      </c>
      <c r="AF35" s="129">
        <f t="shared" si="102"/>
        <v>47.692307692307693</v>
      </c>
      <c r="AG35" s="129">
        <f t="shared" si="102"/>
        <v>9.2307692307692299</v>
      </c>
      <c r="AH35" s="39">
        <f t="shared" si="102"/>
        <v>0.5346153846153846</v>
      </c>
      <c r="AI35" s="39">
        <f t="shared" si="102"/>
        <v>0.29692307692307696</v>
      </c>
      <c r="AJ35" s="39">
        <f t="shared" si="102"/>
        <v>0.12000000000000001</v>
      </c>
      <c r="AK35" s="39">
        <f t="shared" si="102"/>
        <v>4.6923076923076922E-2</v>
      </c>
      <c r="AL35" s="39">
        <f t="shared" si="102"/>
        <v>3.0769230769230769E-3</v>
      </c>
      <c r="AM35" s="129">
        <f t="shared" si="102"/>
        <v>54</v>
      </c>
      <c r="AO35" s="129">
        <f>AVERAGEIFS(AO$36:AO$173,$C$36:$C$173,"=6", $B$36:$B$173,"NO OFICIAL")</f>
        <v>9.0769230769230766</v>
      </c>
      <c r="AQ35" s="39">
        <f t="shared" ref="AQ35:AV35" si="103">AVERAGEIFS(AQ$36:AQ$173,$C$36:$C$173,"=6", $B$36:$B$173,"NO OFICIAL")</f>
        <v>0.21076923076923079</v>
      </c>
      <c r="AR35" s="39">
        <f t="shared" si="103"/>
        <v>0.41307692307692306</v>
      </c>
      <c r="AS35" s="39">
        <f t="shared" si="103"/>
        <v>0.27615384615384614</v>
      </c>
      <c r="AT35" s="39">
        <f t="shared" si="103"/>
        <v>8.2307692307692318E-2</v>
      </c>
      <c r="AU35" s="39">
        <f t="shared" si="103"/>
        <v>1.9230769230769232E-2</v>
      </c>
      <c r="AV35" s="129">
        <f t="shared" si="103"/>
        <v>54.466666666666669</v>
      </c>
      <c r="AX35" s="129">
        <f>AVERAGEIFS(AX$36:AX$173,$C$36:$C$173,"=6", $B$36:$B$173,"NO OFICIAL")</f>
        <v>9.8666666666666671</v>
      </c>
      <c r="AZ35" s="342">
        <f t="shared" ref="AZ35:BE35" si="104">AVERAGEIFS(AZ$36:AZ$173,$C$36:$C$173,"=6", $B$36:$B$173,"NO OFICIAL")</f>
        <v>0.27600000000000002</v>
      </c>
      <c r="BA35" s="342">
        <f t="shared" si="104"/>
        <v>0.35933333333333339</v>
      </c>
      <c r="BB35" s="342">
        <f t="shared" si="104"/>
        <v>0.24800000000000003</v>
      </c>
      <c r="BC35" s="342">
        <f t="shared" si="104"/>
        <v>0.10733333333333332</v>
      </c>
      <c r="BD35" s="342">
        <f t="shared" si="104"/>
        <v>9.3333333333333324E-3</v>
      </c>
      <c r="BE35" s="129">
        <f t="shared" si="104"/>
        <v>54.5625</v>
      </c>
      <c r="BG35" s="129">
        <f>AVERAGEIFS(BG$36:BG$173,$C$36:$C$173,"=6", $B$36:$B$173,"NO OFICIAL")</f>
        <v>9.25</v>
      </c>
      <c r="BI35" s="342">
        <f t="shared" ref="BI35:BN35" si="105">AVERAGEIFS(BI$36:BI$173,$C$36:$C$173,"=6", $B$36:$B$173,"NO OFICIAL")</f>
        <v>0.25624999999999998</v>
      </c>
      <c r="BJ35" s="342">
        <f t="shared" si="105"/>
        <v>0.38124999999999998</v>
      </c>
      <c r="BK35" s="342">
        <f t="shared" si="105"/>
        <v>0.22749999999999998</v>
      </c>
      <c r="BL35" s="342">
        <f t="shared" si="105"/>
        <v>0.12687500000000002</v>
      </c>
      <c r="BM35" s="342">
        <f t="shared" si="105"/>
        <v>7.4999999999999997E-3</v>
      </c>
      <c r="BN35" s="490">
        <f t="shared" si="105"/>
        <v>55.714285714285715</v>
      </c>
      <c r="BP35" s="300">
        <f>AVERAGEIFS(BP$36:BP$173,$C$36:$C$173,"=6", $B$36:$B$173,"NO OFICIAL")</f>
        <v>10.142857142857142</v>
      </c>
      <c r="BR35" s="343">
        <f>AVERAGEIFS(BR$36:BR$173,$C$36:$C$173,"=6", $B$36:$B$173,"NO OFICIAL")</f>
        <v>0.25142857142857145</v>
      </c>
      <c r="BS35" s="343">
        <f>AVERAGEIFS(BS$36:BS$173,$C$36:$C$173,"=6", $B$36:$B$173,"NO OFICIAL")</f>
        <v>0.32785714285714285</v>
      </c>
      <c r="BT35" s="343">
        <f>AVERAGEIFS(BT$36:BT$173,$C$36:$C$173,"=6", $B$36:$B$173,"NO OFICIAL")</f>
        <v>0.2792857142857143</v>
      </c>
      <c r="BU35" s="343">
        <f>AVERAGEIFS(BU$36:BU$173,$C$36:$C$173,"=6", $B$36:$B$173,"NO OFICIAL")</f>
        <v>0.12071428571428575</v>
      </c>
      <c r="BV35" s="343">
        <f>AVERAGEIFS(BV$36:BV$173,$C$36:$C$173,"=6", $B$36:$B$173,"NO OFICIAL")</f>
        <v>2.5714285714285714E-2</v>
      </c>
      <c r="BW35" s="129">
        <f t="shared" ref="BW35" si="106">AVERAGEIFS(BW$36:BW$173,$C$36:$C$173,"=6", $B$36:$B$173,"NO OFICIAL")</f>
        <v>55.6</v>
      </c>
      <c r="BX35" s="931"/>
      <c r="BY35" s="129">
        <f>AVERAGEIFS(BY$36:BY$173,$C$36:$C$173,"=6", $B$36:$B$173,"NO OFICIAL")</f>
        <v>9.9333333333333336</v>
      </c>
      <c r="BZ35" s="931"/>
      <c r="CA35" s="342">
        <f t="shared" ref="CA35:CE35" si="107">AVERAGEIFS(CA$36:CA$173,$C$36:$C$173,"=6", $B$36:$B$173,"NO OFICIAL")</f>
        <v>0.23200000000000004</v>
      </c>
      <c r="CB35" s="342">
        <f t="shared" si="107"/>
        <v>0.34066666666666667</v>
      </c>
      <c r="CC35" s="342">
        <f t="shared" si="107"/>
        <v>0.26466666666666666</v>
      </c>
      <c r="CD35" s="342">
        <f t="shared" si="107"/>
        <v>0.14266666666666664</v>
      </c>
      <c r="CE35" s="342">
        <f t="shared" si="107"/>
        <v>2.2666666666666668E-2</v>
      </c>
    </row>
    <row r="36" spans="1:85" ht="24.95" customHeight="1" x14ac:dyDescent="0.2">
      <c r="A36" s="126" t="s">
        <v>23</v>
      </c>
      <c r="B36" s="1" t="s">
        <v>123</v>
      </c>
      <c r="C36" s="2">
        <v>2</v>
      </c>
      <c r="D36" s="12">
        <v>52</v>
      </c>
      <c r="E36" s="12">
        <v>8</v>
      </c>
      <c r="F36" s="66">
        <v>0.31</v>
      </c>
      <c r="G36" s="66">
        <v>0.49</v>
      </c>
      <c r="H36" s="66">
        <v>0.19</v>
      </c>
      <c r="I36" s="66">
        <v>0.01</v>
      </c>
      <c r="J36" s="66">
        <v>0</v>
      </c>
      <c r="K36" s="12">
        <v>51</v>
      </c>
      <c r="L36" s="12">
        <v>10</v>
      </c>
      <c r="M36" s="61">
        <v>0.39</v>
      </c>
      <c r="N36" s="61">
        <v>0.36</v>
      </c>
      <c r="O36" s="61">
        <v>0.21</v>
      </c>
      <c r="P36" s="61">
        <v>0.03</v>
      </c>
      <c r="Q36" s="61">
        <v>0.01</v>
      </c>
      <c r="R36" s="12">
        <v>52</v>
      </c>
      <c r="S36" s="12">
        <v>9</v>
      </c>
      <c r="T36" s="63">
        <v>0.35</v>
      </c>
      <c r="U36" s="63">
        <v>0.37</v>
      </c>
      <c r="V36" s="63">
        <v>0.22</v>
      </c>
      <c r="W36" s="63">
        <v>0.06</v>
      </c>
      <c r="X36" s="63">
        <v>0</v>
      </c>
      <c r="Y36" s="12">
        <v>51</v>
      </c>
      <c r="Z36" s="12">
        <v>10</v>
      </c>
      <c r="AA36" s="63">
        <v>0.38</v>
      </c>
      <c r="AB36" s="63">
        <v>0.34</v>
      </c>
      <c r="AC36" s="63">
        <v>0.25</v>
      </c>
      <c r="AD36" s="63">
        <v>0.03</v>
      </c>
      <c r="AE36" s="63">
        <v>0</v>
      </c>
      <c r="AF36" s="25">
        <v>48</v>
      </c>
      <c r="AG36" s="25">
        <v>8</v>
      </c>
      <c r="AH36" s="61">
        <v>0.61</v>
      </c>
      <c r="AI36" s="61">
        <v>0.25</v>
      </c>
      <c r="AJ36" s="61">
        <v>0.08</v>
      </c>
      <c r="AK36" s="61">
        <v>0.05</v>
      </c>
      <c r="AL36" s="61">
        <v>0</v>
      </c>
      <c r="AM36" s="246">
        <v>53</v>
      </c>
      <c r="AN36" s="246" t="s">
        <v>758</v>
      </c>
      <c r="AO36" s="246">
        <v>9</v>
      </c>
      <c r="AP36" s="246" t="s">
        <v>758</v>
      </c>
      <c r="AQ36" s="263">
        <v>0.25</v>
      </c>
      <c r="AR36" s="263">
        <v>0.41</v>
      </c>
      <c r="AS36" s="263">
        <v>0.3</v>
      </c>
      <c r="AT36" s="263">
        <v>0.04</v>
      </c>
      <c r="AU36" s="263">
        <v>0</v>
      </c>
      <c r="BW36" s="933"/>
      <c r="BX36" s="933"/>
      <c r="BY36" s="933"/>
      <c r="BZ36" s="933"/>
      <c r="CA36" s="933"/>
      <c r="CB36" s="933"/>
      <c r="CC36" s="933"/>
      <c r="CD36" s="933"/>
      <c r="CE36" s="933"/>
      <c r="CG36" s="126" t="s">
        <v>23</v>
      </c>
    </row>
    <row r="37" spans="1:85" ht="24.95" customHeight="1" x14ac:dyDescent="0.2">
      <c r="A37" s="739" t="s">
        <v>952</v>
      </c>
      <c r="B37" s="14" t="s">
        <v>123</v>
      </c>
      <c r="C37" s="735">
        <v>2</v>
      </c>
      <c r="D37" s="736"/>
      <c r="E37" s="736"/>
      <c r="F37" s="798"/>
      <c r="G37" s="798"/>
      <c r="H37" s="798"/>
      <c r="I37" s="798"/>
      <c r="J37" s="798"/>
      <c r="K37" s="736"/>
      <c r="L37" s="736"/>
      <c r="M37" s="797"/>
      <c r="N37" s="797"/>
      <c r="O37" s="797"/>
      <c r="P37" s="797"/>
      <c r="Q37" s="797"/>
      <c r="R37" s="736"/>
      <c r="S37" s="736"/>
      <c r="T37" s="796"/>
      <c r="U37" s="796"/>
      <c r="V37" s="796"/>
      <c r="W37" s="796"/>
      <c r="X37" s="796"/>
      <c r="Y37" s="736"/>
      <c r="Z37" s="736"/>
      <c r="AA37" s="796"/>
      <c r="AB37" s="796"/>
      <c r="AC37" s="796"/>
      <c r="AD37" s="796"/>
      <c r="AE37" s="796"/>
      <c r="AF37" s="737"/>
      <c r="AG37" s="737"/>
      <c r="AH37" s="797"/>
      <c r="AI37" s="797"/>
      <c r="AJ37" s="797"/>
      <c r="AK37" s="797"/>
      <c r="AL37" s="797"/>
      <c r="AM37" s="801"/>
      <c r="AN37" s="801"/>
      <c r="AO37" s="801"/>
      <c r="AP37" s="801"/>
      <c r="AQ37" s="802"/>
      <c r="AR37" s="802"/>
      <c r="AS37" s="802"/>
      <c r="AT37" s="802"/>
      <c r="AU37" s="802"/>
      <c r="BW37" s="933">
        <v>55</v>
      </c>
      <c r="BX37" s="933" t="s">
        <v>758</v>
      </c>
      <c r="BY37" s="933">
        <v>0</v>
      </c>
      <c r="BZ37" s="933" t="s">
        <v>760</v>
      </c>
      <c r="CA37" s="949">
        <v>0</v>
      </c>
      <c r="CB37" s="949">
        <v>1</v>
      </c>
      <c r="CC37" s="949">
        <v>0</v>
      </c>
      <c r="CD37" s="949">
        <v>0</v>
      </c>
      <c r="CE37" s="949">
        <v>0</v>
      </c>
      <c r="CF37" s="922">
        <v>325754800026</v>
      </c>
      <c r="CG37" s="739" t="s">
        <v>952</v>
      </c>
    </row>
    <row r="38" spans="1:85" ht="24.95" customHeight="1" x14ac:dyDescent="0.2">
      <c r="A38" s="36" t="s">
        <v>166</v>
      </c>
      <c r="B38" s="14" t="s">
        <v>123</v>
      </c>
      <c r="C38" s="2">
        <v>2</v>
      </c>
      <c r="D38" s="12" t="s">
        <v>126</v>
      </c>
      <c r="E38" s="12" t="s">
        <v>126</v>
      </c>
      <c r="F38" s="12"/>
      <c r="G38" s="12"/>
      <c r="H38" s="12"/>
      <c r="I38" s="12"/>
      <c r="J38" s="12"/>
      <c r="K38" s="12" t="s">
        <v>126</v>
      </c>
      <c r="L38" s="12" t="s">
        <v>126</v>
      </c>
      <c r="M38" s="61"/>
      <c r="N38" s="61"/>
      <c r="O38" s="61"/>
      <c r="P38" s="61"/>
      <c r="Q38" s="61"/>
      <c r="R38" s="12" t="s">
        <v>126</v>
      </c>
      <c r="S38" s="12" t="s">
        <v>126</v>
      </c>
      <c r="T38" s="2"/>
      <c r="U38" s="2"/>
      <c r="V38" s="2"/>
      <c r="W38" s="2"/>
      <c r="X38" s="2"/>
      <c r="Y38" s="12" t="s">
        <v>126</v>
      </c>
      <c r="Z38" s="12" t="s">
        <v>126</v>
      </c>
      <c r="AA38" s="2"/>
      <c r="AB38" s="2"/>
      <c r="AC38" s="2"/>
      <c r="AD38" s="2"/>
      <c r="AE38" s="2"/>
      <c r="AF38" s="25">
        <v>35</v>
      </c>
      <c r="AG38" s="25">
        <v>2</v>
      </c>
      <c r="AH38" s="61">
        <v>1</v>
      </c>
      <c r="AI38" s="61">
        <v>0</v>
      </c>
      <c r="AJ38" s="61">
        <v>0</v>
      </c>
      <c r="AK38" s="61">
        <v>0</v>
      </c>
      <c r="AL38" s="61">
        <v>0</v>
      </c>
      <c r="AM38" s="246">
        <v>50</v>
      </c>
      <c r="AN38" s="246" t="s">
        <v>758</v>
      </c>
      <c r="AO38" s="246">
        <v>0</v>
      </c>
      <c r="AP38" s="246" t="s">
        <v>760</v>
      </c>
      <c r="AQ38" s="263">
        <v>0</v>
      </c>
      <c r="AR38" s="263">
        <v>1</v>
      </c>
      <c r="AS38" s="263">
        <v>0</v>
      </c>
      <c r="AT38" s="263">
        <v>0</v>
      </c>
      <c r="AU38" s="263">
        <v>0</v>
      </c>
      <c r="AV38" s="309">
        <v>41</v>
      </c>
      <c r="AW38" s="309" t="s">
        <v>760</v>
      </c>
      <c r="AX38" s="309">
        <v>11</v>
      </c>
      <c r="AY38" s="309" t="s">
        <v>758</v>
      </c>
      <c r="AZ38" s="327">
        <v>0.67</v>
      </c>
      <c r="BA38" s="327">
        <v>0.33</v>
      </c>
      <c r="BB38" s="327">
        <v>0</v>
      </c>
      <c r="BC38" s="327">
        <v>0</v>
      </c>
      <c r="BD38" s="327">
        <v>0</v>
      </c>
      <c r="BE38" s="424">
        <v>43</v>
      </c>
      <c r="BF38" s="424" t="s">
        <v>760</v>
      </c>
      <c r="BG38" s="424">
        <v>0</v>
      </c>
      <c r="BH38" s="424" t="s">
        <v>760</v>
      </c>
      <c r="BI38" s="428">
        <v>1</v>
      </c>
      <c r="BJ38" s="428">
        <v>0</v>
      </c>
      <c r="BK38" s="428">
        <v>0</v>
      </c>
      <c r="BL38" s="428">
        <v>0</v>
      </c>
      <c r="BM38" s="428">
        <v>0</v>
      </c>
      <c r="BN38" s="464">
        <v>41</v>
      </c>
      <c r="BO38" s="464" t="s">
        <v>760</v>
      </c>
      <c r="BP38" s="464">
        <v>6</v>
      </c>
      <c r="BQ38" s="464" t="s">
        <v>760</v>
      </c>
      <c r="BR38" s="476">
        <v>1</v>
      </c>
      <c r="BS38" s="476">
        <v>0</v>
      </c>
      <c r="BT38" s="476">
        <v>0</v>
      </c>
      <c r="BU38" s="476">
        <v>0</v>
      </c>
      <c r="BV38" s="476">
        <v>0</v>
      </c>
      <c r="BW38" s="933">
        <v>47</v>
      </c>
      <c r="BX38" s="933" t="s">
        <v>760</v>
      </c>
      <c r="BY38" s="933">
        <v>3</v>
      </c>
      <c r="BZ38" s="933" t="s">
        <v>760</v>
      </c>
      <c r="CA38" s="949">
        <v>0.5</v>
      </c>
      <c r="CB38" s="949">
        <v>0.5</v>
      </c>
      <c r="CC38" s="949">
        <v>0</v>
      </c>
      <c r="CD38" s="949">
        <v>0</v>
      </c>
      <c r="CE38" s="949">
        <v>0</v>
      </c>
      <c r="CF38" s="922">
        <v>325754005200</v>
      </c>
      <c r="CG38" s="36" t="s">
        <v>166</v>
      </c>
    </row>
    <row r="39" spans="1:85" ht="24.95" customHeight="1" x14ac:dyDescent="0.2">
      <c r="A39" s="636" t="s">
        <v>796</v>
      </c>
      <c r="B39" s="14" t="s">
        <v>123</v>
      </c>
      <c r="C39" s="464">
        <v>2</v>
      </c>
      <c r="D39" s="524"/>
      <c r="E39" s="524"/>
      <c r="F39" s="524"/>
      <c r="G39" s="524"/>
      <c r="H39" s="524"/>
      <c r="I39" s="524"/>
      <c r="J39" s="524"/>
      <c r="K39" s="524"/>
      <c r="L39" s="524"/>
      <c r="M39" s="656"/>
      <c r="N39" s="656"/>
      <c r="O39" s="656"/>
      <c r="P39" s="656"/>
      <c r="Q39" s="656"/>
      <c r="R39" s="524"/>
      <c r="S39" s="524"/>
      <c r="T39" s="464"/>
      <c r="U39" s="464"/>
      <c r="V39" s="464"/>
      <c r="W39" s="464"/>
      <c r="X39" s="464"/>
      <c r="Y39" s="524"/>
      <c r="Z39" s="524"/>
      <c r="AA39" s="464"/>
      <c r="AB39" s="464"/>
      <c r="AC39" s="464"/>
      <c r="AD39" s="464"/>
      <c r="AE39" s="464"/>
      <c r="AF39" s="608"/>
      <c r="AG39" s="608"/>
      <c r="AH39" s="656"/>
      <c r="AI39" s="656"/>
      <c r="AJ39" s="656"/>
      <c r="AK39" s="656"/>
      <c r="AL39" s="656"/>
      <c r="AM39" s="639"/>
      <c r="AN39" s="639"/>
      <c r="AO39" s="639"/>
      <c r="AP39" s="639"/>
      <c r="AQ39" s="640"/>
      <c r="AR39" s="640"/>
      <c r="AS39" s="640"/>
      <c r="AT39" s="640"/>
      <c r="AU39" s="640"/>
      <c r="AV39" s="464">
        <v>44</v>
      </c>
      <c r="AW39" s="464" t="s">
        <v>760</v>
      </c>
      <c r="AX39" s="464">
        <v>10</v>
      </c>
      <c r="AY39" s="464" t="s">
        <v>758</v>
      </c>
      <c r="AZ39" s="476">
        <v>0.75</v>
      </c>
      <c r="BA39" s="476">
        <v>0.13</v>
      </c>
      <c r="BB39" s="476">
        <v>0.13</v>
      </c>
      <c r="BC39" s="476">
        <v>0</v>
      </c>
      <c r="BD39" s="476">
        <v>0</v>
      </c>
      <c r="BE39" s="641">
        <v>49</v>
      </c>
      <c r="BF39" s="641" t="s">
        <v>758</v>
      </c>
      <c r="BG39" s="641">
        <v>13</v>
      </c>
      <c r="BH39" s="641" t="s">
        <v>758</v>
      </c>
      <c r="BI39" s="642">
        <v>0.75</v>
      </c>
      <c r="BJ39" s="642">
        <v>0</v>
      </c>
      <c r="BK39" s="642">
        <v>0</v>
      </c>
      <c r="BL39" s="642">
        <v>0.25</v>
      </c>
      <c r="BM39" s="642">
        <v>0</v>
      </c>
      <c r="BN39" s="641"/>
      <c r="BO39" s="641"/>
      <c r="BP39" s="641"/>
      <c r="BQ39" s="641"/>
      <c r="BR39" s="642"/>
      <c r="BS39" s="642"/>
      <c r="BT39" s="642"/>
      <c r="BU39" s="642"/>
      <c r="BV39" s="642"/>
      <c r="BW39" s="933"/>
      <c r="BX39" s="933"/>
      <c r="BY39" s="933"/>
      <c r="BZ39" s="933"/>
      <c r="CA39" s="949"/>
      <c r="CB39" s="949"/>
      <c r="CC39" s="949"/>
      <c r="CD39" s="949"/>
      <c r="CE39" s="949"/>
      <c r="CG39" s="636" t="s">
        <v>796</v>
      </c>
    </row>
    <row r="40" spans="1:85" ht="24.95" customHeight="1" x14ac:dyDescent="0.2">
      <c r="A40" s="636" t="s">
        <v>26</v>
      </c>
      <c r="B40" s="1" t="s">
        <v>123</v>
      </c>
      <c r="C40" s="464">
        <v>3</v>
      </c>
      <c r="D40" s="524">
        <v>54</v>
      </c>
      <c r="E40" s="524">
        <v>7</v>
      </c>
      <c r="F40" s="525">
        <v>0.26</v>
      </c>
      <c r="G40" s="525">
        <v>0.45</v>
      </c>
      <c r="H40" s="525">
        <v>0.28000000000000003</v>
      </c>
      <c r="I40" s="525">
        <v>0.02</v>
      </c>
      <c r="J40" s="525">
        <v>0</v>
      </c>
      <c r="K40" s="524">
        <v>49</v>
      </c>
      <c r="L40" s="524">
        <v>9</v>
      </c>
      <c r="M40" s="656">
        <v>0.47</v>
      </c>
      <c r="N40" s="656">
        <v>0.33</v>
      </c>
      <c r="O40" s="656">
        <v>0.2</v>
      </c>
      <c r="P40" s="656">
        <v>0</v>
      </c>
      <c r="Q40" s="656">
        <v>0</v>
      </c>
      <c r="R40" s="524">
        <v>50</v>
      </c>
      <c r="S40" s="524">
        <v>10</v>
      </c>
      <c r="T40" s="476">
        <v>0.37</v>
      </c>
      <c r="U40" s="476">
        <v>0.43</v>
      </c>
      <c r="V40" s="476">
        <v>0.13</v>
      </c>
      <c r="W40" s="476">
        <v>7.0000000000000007E-2</v>
      </c>
      <c r="X40" s="476">
        <v>0</v>
      </c>
      <c r="Y40" s="524">
        <v>49</v>
      </c>
      <c r="Z40" s="524">
        <v>7</v>
      </c>
      <c r="AA40" s="476">
        <v>0.38</v>
      </c>
      <c r="AB40" s="476">
        <v>0.54</v>
      </c>
      <c r="AC40" s="476">
        <v>0.08</v>
      </c>
      <c r="AD40" s="476">
        <v>0</v>
      </c>
      <c r="AE40" s="476">
        <v>0</v>
      </c>
      <c r="AF40" s="608">
        <v>50</v>
      </c>
      <c r="AG40" s="608">
        <v>8</v>
      </c>
      <c r="AH40" s="656">
        <v>0.45</v>
      </c>
      <c r="AI40" s="656">
        <v>0.38</v>
      </c>
      <c r="AJ40" s="656">
        <v>0.12</v>
      </c>
      <c r="AK40" s="656">
        <v>0.05</v>
      </c>
      <c r="AL40" s="656">
        <v>0</v>
      </c>
      <c r="AM40" s="639">
        <v>54</v>
      </c>
      <c r="AN40" s="639" t="s">
        <v>758</v>
      </c>
      <c r="AO40" s="639">
        <v>9</v>
      </c>
      <c r="AP40" s="639" t="s">
        <v>758</v>
      </c>
      <c r="AQ40" s="640">
        <v>0.23</v>
      </c>
      <c r="AR40" s="640">
        <v>0.36</v>
      </c>
      <c r="AS40" s="640">
        <v>0.38</v>
      </c>
      <c r="AT40" s="640">
        <v>0.03</v>
      </c>
      <c r="AU40" s="640">
        <v>0</v>
      </c>
      <c r="AV40" s="464">
        <v>51</v>
      </c>
      <c r="AW40" s="464" t="s">
        <v>758</v>
      </c>
      <c r="AX40" s="464">
        <v>12</v>
      </c>
      <c r="AY40" s="464" t="s">
        <v>758</v>
      </c>
      <c r="AZ40" s="476">
        <v>0.36</v>
      </c>
      <c r="BA40" s="476">
        <v>0.36</v>
      </c>
      <c r="BB40" s="476">
        <v>0.21</v>
      </c>
      <c r="BC40" s="476">
        <v>0</v>
      </c>
      <c r="BD40" s="476">
        <v>0.06</v>
      </c>
      <c r="BE40" s="641">
        <v>54</v>
      </c>
      <c r="BF40" s="641" t="s">
        <v>758</v>
      </c>
      <c r="BG40" s="641">
        <v>9</v>
      </c>
      <c r="BH40" s="641" t="s">
        <v>758</v>
      </c>
      <c r="BI40" s="642">
        <v>0.25</v>
      </c>
      <c r="BJ40" s="642">
        <v>0.46</v>
      </c>
      <c r="BK40" s="642">
        <v>0.25</v>
      </c>
      <c r="BL40" s="642">
        <v>0</v>
      </c>
      <c r="BM40" s="642">
        <v>0.04</v>
      </c>
      <c r="BN40" s="464">
        <v>54</v>
      </c>
      <c r="BO40" s="464" t="s">
        <v>758</v>
      </c>
      <c r="BP40" s="464">
        <v>11</v>
      </c>
      <c r="BQ40" s="464" t="s">
        <v>758</v>
      </c>
      <c r="BR40" s="476">
        <v>0.32</v>
      </c>
      <c r="BS40" s="476">
        <v>0.32</v>
      </c>
      <c r="BT40" s="476">
        <v>0.23</v>
      </c>
      <c r="BU40" s="476">
        <v>0.13</v>
      </c>
      <c r="BV40" s="476">
        <v>0</v>
      </c>
      <c r="BW40" s="933">
        <v>55</v>
      </c>
      <c r="BX40" s="933" t="s">
        <v>758</v>
      </c>
      <c r="BY40" s="933">
        <v>10</v>
      </c>
      <c r="BZ40" s="933" t="s">
        <v>758</v>
      </c>
      <c r="CA40" s="949">
        <v>0.26</v>
      </c>
      <c r="CB40" s="949">
        <v>0.32</v>
      </c>
      <c r="CC40" s="949">
        <v>0.26</v>
      </c>
      <c r="CD40" s="949">
        <v>0.16</v>
      </c>
      <c r="CE40" s="949">
        <v>0</v>
      </c>
      <c r="CF40" s="922">
        <v>325754001042</v>
      </c>
      <c r="CG40" s="636" t="s">
        <v>26</v>
      </c>
    </row>
    <row r="41" spans="1:85" ht="24.95" customHeight="1" x14ac:dyDescent="0.2">
      <c r="A41" s="322" t="s">
        <v>167</v>
      </c>
      <c r="B41" s="1" t="s">
        <v>123</v>
      </c>
      <c r="C41" s="309">
        <v>4</v>
      </c>
      <c r="D41" s="328">
        <v>50</v>
      </c>
      <c r="E41" s="328">
        <v>10</v>
      </c>
      <c r="F41" s="333">
        <v>0.5</v>
      </c>
      <c r="G41" s="333">
        <v>0.33</v>
      </c>
      <c r="H41" s="333">
        <v>0.15</v>
      </c>
      <c r="I41" s="333">
        <v>0.02</v>
      </c>
      <c r="J41" s="333">
        <v>0</v>
      </c>
      <c r="K41" s="328">
        <v>45</v>
      </c>
      <c r="L41" s="328">
        <v>8</v>
      </c>
      <c r="M41" s="330">
        <v>0.64</v>
      </c>
      <c r="N41" s="330">
        <v>0.3</v>
      </c>
      <c r="O41" s="330">
        <v>7.0000000000000007E-2</v>
      </c>
      <c r="P41" s="330">
        <v>0</v>
      </c>
      <c r="Q41" s="330">
        <v>0</v>
      </c>
      <c r="R41" s="328">
        <v>45</v>
      </c>
      <c r="S41" s="328">
        <v>6</v>
      </c>
      <c r="T41" s="327">
        <v>0.65</v>
      </c>
      <c r="U41" s="327">
        <v>0.32</v>
      </c>
      <c r="V41" s="327">
        <v>0.03</v>
      </c>
      <c r="W41" s="327">
        <v>0</v>
      </c>
      <c r="X41" s="327">
        <v>0</v>
      </c>
      <c r="Y41" s="328">
        <v>46</v>
      </c>
      <c r="Z41" s="328">
        <v>8</v>
      </c>
      <c r="AA41" s="327">
        <v>0.64</v>
      </c>
      <c r="AB41" s="327">
        <v>0.31</v>
      </c>
      <c r="AC41" s="327">
        <v>0.02</v>
      </c>
      <c r="AD41" s="327">
        <v>0.02</v>
      </c>
      <c r="AE41" s="327">
        <v>0</v>
      </c>
      <c r="AF41" s="329">
        <v>43</v>
      </c>
      <c r="AG41" s="329">
        <v>7</v>
      </c>
      <c r="AH41" s="330">
        <v>0.73</v>
      </c>
      <c r="AI41" s="330">
        <v>0.25</v>
      </c>
      <c r="AJ41" s="330">
        <v>0.03</v>
      </c>
      <c r="AK41" s="330">
        <v>0</v>
      </c>
      <c r="AL41" s="330">
        <v>0</v>
      </c>
      <c r="AM41" s="312">
        <v>47</v>
      </c>
      <c r="AN41" s="312" t="s">
        <v>758</v>
      </c>
      <c r="AO41" s="312">
        <v>10</v>
      </c>
      <c r="AP41" s="312" t="s">
        <v>758</v>
      </c>
      <c r="AQ41" s="332">
        <v>0.56000000000000005</v>
      </c>
      <c r="AR41" s="332">
        <v>0.34</v>
      </c>
      <c r="AS41" s="332">
        <v>7.0000000000000007E-2</v>
      </c>
      <c r="AT41" s="332">
        <v>0.02</v>
      </c>
      <c r="AU41" s="332">
        <v>0</v>
      </c>
      <c r="AV41" s="309">
        <v>46</v>
      </c>
      <c r="AW41" s="309" t="s">
        <v>758</v>
      </c>
      <c r="AX41" s="309">
        <v>9</v>
      </c>
      <c r="AY41" s="309" t="s">
        <v>758</v>
      </c>
      <c r="AZ41" s="327">
        <v>0.52</v>
      </c>
      <c r="BA41" s="327">
        <v>0.37</v>
      </c>
      <c r="BB41" s="327">
        <v>0.11</v>
      </c>
      <c r="BC41" s="327">
        <v>0</v>
      </c>
      <c r="BD41" s="327">
        <v>0</v>
      </c>
      <c r="BE41" s="424">
        <v>49</v>
      </c>
      <c r="BF41" s="424" t="s">
        <v>758</v>
      </c>
      <c r="BG41" s="424">
        <v>9</v>
      </c>
      <c r="BH41" s="424" t="s">
        <v>758</v>
      </c>
      <c r="BI41" s="428">
        <v>0.46</v>
      </c>
      <c r="BJ41" s="428">
        <v>0.35</v>
      </c>
      <c r="BK41" s="428">
        <v>0.16</v>
      </c>
      <c r="BL41" s="428">
        <v>0.03</v>
      </c>
      <c r="BM41" s="428">
        <v>0</v>
      </c>
      <c r="BN41" s="654">
        <v>51</v>
      </c>
      <c r="BO41" s="654" t="s">
        <v>758</v>
      </c>
      <c r="BP41" s="654">
        <v>10</v>
      </c>
      <c r="BQ41" s="654" t="s">
        <v>758</v>
      </c>
      <c r="BR41" s="655">
        <v>0.38</v>
      </c>
      <c r="BS41" s="655">
        <v>0.38</v>
      </c>
      <c r="BT41" s="655">
        <v>0.15</v>
      </c>
      <c r="BU41" s="655">
        <v>0.08</v>
      </c>
      <c r="BV41" s="655">
        <v>0</v>
      </c>
      <c r="BW41" s="933">
        <v>55</v>
      </c>
      <c r="BX41" s="933" t="s">
        <v>758</v>
      </c>
      <c r="BY41" s="933">
        <v>9</v>
      </c>
      <c r="BZ41" s="933" t="s">
        <v>758</v>
      </c>
      <c r="CA41" s="949">
        <v>0.22</v>
      </c>
      <c r="CB41" s="949">
        <v>0.44</v>
      </c>
      <c r="CC41" s="949">
        <v>0.25</v>
      </c>
      <c r="CD41" s="949">
        <v>0.09</v>
      </c>
      <c r="CE41" s="949">
        <v>0</v>
      </c>
      <c r="CF41" s="922">
        <v>325754003428</v>
      </c>
      <c r="CG41" s="322" t="s">
        <v>167</v>
      </c>
    </row>
    <row r="42" spans="1:85" ht="24.95" customHeight="1" x14ac:dyDescent="0.2">
      <c r="A42" s="126" t="s">
        <v>181</v>
      </c>
      <c r="B42" s="1" t="s">
        <v>123</v>
      </c>
      <c r="C42" s="2">
        <v>5</v>
      </c>
      <c r="D42" s="12" t="s">
        <v>126</v>
      </c>
      <c r="E42" s="12" t="s">
        <v>126</v>
      </c>
      <c r="F42" s="12"/>
      <c r="G42" s="12"/>
      <c r="H42" s="12"/>
      <c r="I42" s="12"/>
      <c r="J42" s="12"/>
      <c r="K42" s="12" t="s">
        <v>126</v>
      </c>
      <c r="L42" s="12" t="s">
        <v>126</v>
      </c>
      <c r="M42" s="61"/>
      <c r="N42" s="61"/>
      <c r="O42" s="61"/>
      <c r="P42" s="61"/>
      <c r="Q42" s="61"/>
      <c r="R42" s="12">
        <v>51</v>
      </c>
      <c r="S42" s="12">
        <v>5</v>
      </c>
      <c r="T42" s="63">
        <v>0.28000000000000003</v>
      </c>
      <c r="U42" s="63">
        <v>0.61</v>
      </c>
      <c r="V42" s="63">
        <v>0.11</v>
      </c>
      <c r="W42" s="63">
        <v>0</v>
      </c>
      <c r="X42" s="63">
        <v>0</v>
      </c>
      <c r="Y42" s="12">
        <v>47</v>
      </c>
      <c r="Z42" s="12">
        <v>9</v>
      </c>
      <c r="AA42" s="63">
        <v>0.6</v>
      </c>
      <c r="AB42" s="63">
        <v>0.27</v>
      </c>
      <c r="AC42" s="63">
        <v>0.13</v>
      </c>
      <c r="AD42" s="63">
        <v>0</v>
      </c>
      <c r="AE42" s="63">
        <v>0</v>
      </c>
      <c r="AF42" s="25">
        <v>47</v>
      </c>
      <c r="AG42" s="25">
        <v>10</v>
      </c>
      <c r="AH42" s="61">
        <v>0.5</v>
      </c>
      <c r="AI42" s="61">
        <v>0.36</v>
      </c>
      <c r="AJ42" s="61">
        <v>0.09</v>
      </c>
      <c r="AK42" s="61">
        <v>0.05</v>
      </c>
      <c r="AL42" s="61">
        <v>0</v>
      </c>
      <c r="AM42" s="246">
        <v>53</v>
      </c>
      <c r="AN42" s="246" t="s">
        <v>758</v>
      </c>
      <c r="AO42" s="246">
        <v>10</v>
      </c>
      <c r="AP42" s="246" t="s">
        <v>758</v>
      </c>
      <c r="AQ42" s="263">
        <v>0.35</v>
      </c>
      <c r="AR42" s="263">
        <v>0.38</v>
      </c>
      <c r="AS42" s="263">
        <v>0.23</v>
      </c>
      <c r="AT42" s="263">
        <v>0.04</v>
      </c>
      <c r="AU42" s="263">
        <v>0</v>
      </c>
      <c r="AV42" s="309">
        <v>58</v>
      </c>
      <c r="AW42" s="309" t="s">
        <v>758</v>
      </c>
      <c r="AX42" s="309">
        <v>8</v>
      </c>
      <c r="AY42" s="309" t="s">
        <v>758</v>
      </c>
      <c r="AZ42" s="327">
        <v>0.08</v>
      </c>
      <c r="BA42" s="327">
        <v>0.31</v>
      </c>
      <c r="BB42" s="327">
        <v>0.46</v>
      </c>
      <c r="BC42" s="327">
        <v>0.15</v>
      </c>
      <c r="BD42" s="327">
        <v>0</v>
      </c>
      <c r="BE42" s="424">
        <v>53</v>
      </c>
      <c r="BF42" s="424" t="s">
        <v>758</v>
      </c>
      <c r="BG42" s="424">
        <v>12</v>
      </c>
      <c r="BH42" s="424" t="s">
        <v>758</v>
      </c>
      <c r="BI42" s="428">
        <v>0.36</v>
      </c>
      <c r="BJ42" s="428">
        <v>0.41</v>
      </c>
      <c r="BK42" s="428">
        <v>0.05</v>
      </c>
      <c r="BL42" s="428">
        <v>0.14000000000000001</v>
      </c>
      <c r="BM42" s="428">
        <v>0.05</v>
      </c>
      <c r="BN42" s="464">
        <v>51</v>
      </c>
      <c r="BO42" s="464" t="s">
        <v>758</v>
      </c>
      <c r="BP42" s="464">
        <v>10</v>
      </c>
      <c r="BQ42" s="464" t="s">
        <v>758</v>
      </c>
      <c r="BR42" s="476">
        <v>0.28000000000000003</v>
      </c>
      <c r="BS42" s="476">
        <v>0.48</v>
      </c>
      <c r="BT42" s="476">
        <v>0.2</v>
      </c>
      <c r="BU42" s="476">
        <v>0.04</v>
      </c>
      <c r="BV42" s="476">
        <v>0</v>
      </c>
      <c r="BW42" s="933">
        <v>58</v>
      </c>
      <c r="BX42" s="933" t="s">
        <v>758</v>
      </c>
      <c r="BY42" s="933">
        <v>11</v>
      </c>
      <c r="BZ42" s="933" t="s">
        <v>758</v>
      </c>
      <c r="CA42" s="949">
        <v>0.24</v>
      </c>
      <c r="CB42" s="949">
        <v>0.24</v>
      </c>
      <c r="CC42" s="949">
        <v>0.33</v>
      </c>
      <c r="CD42" s="949">
        <v>0.19</v>
      </c>
      <c r="CE42" s="949">
        <v>0</v>
      </c>
      <c r="CF42" s="922">
        <v>325754002057</v>
      </c>
      <c r="CG42" s="126" t="s">
        <v>181</v>
      </c>
    </row>
    <row r="43" spans="1:85" ht="24.95" customHeight="1" x14ac:dyDescent="0.2">
      <c r="A43" s="36" t="s">
        <v>163</v>
      </c>
      <c r="B43" s="14" t="s">
        <v>123</v>
      </c>
      <c r="C43" s="2">
        <v>6</v>
      </c>
      <c r="D43" s="12" t="s">
        <v>126</v>
      </c>
      <c r="E43" s="12" t="s">
        <v>126</v>
      </c>
      <c r="F43" s="12"/>
      <c r="G43" s="12"/>
      <c r="H43" s="12"/>
      <c r="I43" s="12"/>
      <c r="J43" s="12"/>
      <c r="K43" s="12" t="s">
        <v>126</v>
      </c>
      <c r="L43" s="12" t="s">
        <v>126</v>
      </c>
      <c r="M43" s="61"/>
      <c r="N43" s="61"/>
      <c r="O43" s="61"/>
      <c r="P43" s="61"/>
      <c r="Q43" s="61"/>
      <c r="R43" s="12" t="s">
        <v>126</v>
      </c>
      <c r="S43" s="12" t="s">
        <v>126</v>
      </c>
      <c r="T43" s="2"/>
      <c r="U43" s="2"/>
      <c r="V43" s="2"/>
      <c r="W43" s="2"/>
      <c r="X43" s="2"/>
      <c r="Y43" s="12" t="s">
        <v>126</v>
      </c>
      <c r="Z43" s="12" t="s">
        <v>126</v>
      </c>
      <c r="AA43" s="2"/>
      <c r="AB43" s="2"/>
      <c r="AC43" s="2"/>
      <c r="AD43" s="2"/>
      <c r="AE43" s="2"/>
      <c r="AF43" s="25">
        <v>55</v>
      </c>
      <c r="AG43" s="25">
        <v>8</v>
      </c>
      <c r="AH43" s="61">
        <v>0</v>
      </c>
      <c r="AI43" s="61">
        <v>0.5</v>
      </c>
      <c r="AJ43" s="61">
        <v>0.5</v>
      </c>
      <c r="AK43" s="61">
        <v>0</v>
      </c>
      <c r="AL43" s="61">
        <v>0</v>
      </c>
      <c r="AM43" s="246">
        <v>58</v>
      </c>
      <c r="AN43" s="246" t="s">
        <v>758</v>
      </c>
      <c r="AO43" s="246">
        <v>0</v>
      </c>
      <c r="AP43" s="246" t="s">
        <v>760</v>
      </c>
      <c r="AQ43" s="263">
        <v>0</v>
      </c>
      <c r="AR43" s="263">
        <v>0</v>
      </c>
      <c r="AS43" s="263">
        <v>1</v>
      </c>
      <c r="AT43" s="263">
        <v>0</v>
      </c>
      <c r="AU43" s="263">
        <v>0</v>
      </c>
      <c r="AV43" s="309">
        <v>62</v>
      </c>
      <c r="AW43" s="309" t="s">
        <v>759</v>
      </c>
      <c r="AX43" s="309">
        <v>7</v>
      </c>
      <c r="AY43" s="309" t="s">
        <v>760</v>
      </c>
      <c r="AZ43" s="327">
        <v>0</v>
      </c>
      <c r="BA43" s="327">
        <v>0.33</v>
      </c>
      <c r="BB43" s="327">
        <v>0.67</v>
      </c>
      <c r="BC43" s="327">
        <v>0</v>
      </c>
      <c r="BD43" s="327">
        <v>0</v>
      </c>
      <c r="BE43" s="424">
        <v>53</v>
      </c>
      <c r="BF43" s="424" t="s">
        <v>758</v>
      </c>
      <c r="BG43" s="424">
        <v>8</v>
      </c>
      <c r="BH43" s="424" t="s">
        <v>758</v>
      </c>
      <c r="BI43" s="428">
        <v>0.25</v>
      </c>
      <c r="BJ43" s="428">
        <v>0.67</v>
      </c>
      <c r="BK43" s="428">
        <v>0</v>
      </c>
      <c r="BL43" s="428">
        <v>0.08</v>
      </c>
      <c r="BM43" s="428">
        <v>0</v>
      </c>
      <c r="BN43" s="464">
        <v>64</v>
      </c>
      <c r="BO43" s="464" t="s">
        <v>759</v>
      </c>
      <c r="BP43" s="464">
        <v>13</v>
      </c>
      <c r="BQ43" s="464" t="s">
        <v>758</v>
      </c>
      <c r="BR43" s="476">
        <v>0.13</v>
      </c>
      <c r="BS43" s="476">
        <v>0.25</v>
      </c>
      <c r="BT43" s="476">
        <v>0.13</v>
      </c>
      <c r="BU43" s="476">
        <v>0.38</v>
      </c>
      <c r="BV43" s="476">
        <v>0.13</v>
      </c>
      <c r="BW43" s="933">
        <v>55</v>
      </c>
      <c r="BX43" s="933" t="s">
        <v>758</v>
      </c>
      <c r="BY43" s="933">
        <v>6</v>
      </c>
      <c r="BZ43" s="933" t="s">
        <v>760</v>
      </c>
      <c r="CA43" s="949">
        <v>0</v>
      </c>
      <c r="CB43" s="949">
        <v>0.73</v>
      </c>
      <c r="CC43" s="949">
        <v>0.18</v>
      </c>
      <c r="CD43" s="949">
        <v>0.09</v>
      </c>
      <c r="CE43" s="949">
        <v>0</v>
      </c>
      <c r="CF43" s="922">
        <v>325754004599</v>
      </c>
      <c r="CG43" s="36" t="s">
        <v>163</v>
      </c>
    </row>
    <row r="44" spans="1:85" ht="24.95" customHeight="1" x14ac:dyDescent="0.2">
      <c r="A44" s="126" t="s">
        <v>104</v>
      </c>
      <c r="B44" s="1" t="s">
        <v>123</v>
      </c>
      <c r="C44" s="2">
        <v>2</v>
      </c>
      <c r="D44" s="12">
        <v>50</v>
      </c>
      <c r="E44" s="12">
        <v>0</v>
      </c>
      <c r="F44" s="66">
        <v>0</v>
      </c>
      <c r="G44" s="66">
        <v>1</v>
      </c>
      <c r="H44" s="66">
        <v>0</v>
      </c>
      <c r="I44" s="66">
        <v>0</v>
      </c>
      <c r="J44" s="66">
        <v>0</v>
      </c>
      <c r="K44" s="12" t="s">
        <v>126</v>
      </c>
      <c r="L44" s="12" t="s">
        <v>126</v>
      </c>
      <c r="M44" s="61"/>
      <c r="N44" s="61"/>
      <c r="O44" s="61"/>
      <c r="P44" s="61"/>
      <c r="Q44" s="61"/>
      <c r="R44" s="12" t="s">
        <v>126</v>
      </c>
      <c r="S44" s="12" t="s">
        <v>126</v>
      </c>
      <c r="T44" s="2"/>
      <c r="U44" s="2"/>
      <c r="V44" s="2"/>
      <c r="W44" s="2"/>
      <c r="X44" s="2"/>
      <c r="Y44" s="12" t="s">
        <v>126</v>
      </c>
      <c r="Z44" s="12" t="s">
        <v>126</v>
      </c>
      <c r="AA44" s="2"/>
      <c r="AB44" s="2"/>
      <c r="AC44" s="2"/>
      <c r="AD44" s="2"/>
      <c r="AE44" s="2"/>
      <c r="AF44" s="25">
        <v>48</v>
      </c>
      <c r="AG44" s="25">
        <v>0</v>
      </c>
      <c r="AH44" s="61">
        <v>0</v>
      </c>
      <c r="AI44" s="61">
        <v>1</v>
      </c>
      <c r="AJ44" s="61">
        <v>0</v>
      </c>
      <c r="AK44" s="61">
        <v>0</v>
      </c>
      <c r="AL44" s="61">
        <v>0</v>
      </c>
      <c r="AM44" s="646"/>
      <c r="AN44" s="646"/>
      <c r="AO44" s="646"/>
      <c r="AP44" s="646"/>
      <c r="AQ44" s="646"/>
      <c r="AR44" s="646"/>
      <c r="AS44" s="646"/>
      <c r="AT44" s="646"/>
      <c r="AU44" s="646"/>
      <c r="AV44" s="649"/>
      <c r="AW44" s="649"/>
      <c r="AX44" s="649"/>
      <c r="AY44" s="649"/>
      <c r="AZ44" s="649"/>
      <c r="BA44" s="649"/>
      <c r="BB44" s="649"/>
      <c r="BC44" s="649"/>
      <c r="BD44" s="649"/>
      <c r="BE44" s="651"/>
      <c r="BF44" s="651"/>
      <c r="BG44" s="651"/>
      <c r="BH44" s="651"/>
      <c r="BI44" s="651"/>
      <c r="BJ44" s="651"/>
      <c r="BK44" s="651"/>
      <c r="BL44" s="651"/>
      <c r="BM44" s="651"/>
      <c r="BN44" s="650"/>
      <c r="BO44" s="650"/>
      <c r="BP44" s="650"/>
      <c r="BQ44" s="650"/>
      <c r="BR44" s="650"/>
      <c r="BS44" s="650"/>
      <c r="BT44" s="650"/>
      <c r="BU44" s="650"/>
      <c r="BV44" s="650"/>
      <c r="BW44" s="933">
        <v>43</v>
      </c>
      <c r="BX44" s="933" t="s">
        <v>760</v>
      </c>
      <c r="BY44" s="933">
        <v>9</v>
      </c>
      <c r="BZ44" s="933" t="s">
        <v>758</v>
      </c>
      <c r="CA44" s="949">
        <v>0.6</v>
      </c>
      <c r="CB44" s="949">
        <v>0.4</v>
      </c>
      <c r="CC44" s="949">
        <v>0</v>
      </c>
      <c r="CD44" s="949">
        <v>0</v>
      </c>
      <c r="CE44" s="949">
        <v>0</v>
      </c>
      <c r="CF44" s="922">
        <v>325754004980</v>
      </c>
      <c r="CG44" s="126" t="s">
        <v>104</v>
      </c>
    </row>
    <row r="45" spans="1:85" ht="24.95" customHeight="1" x14ac:dyDescent="0.2">
      <c r="A45" s="126" t="s">
        <v>797</v>
      </c>
      <c r="B45" s="14" t="s">
        <v>123</v>
      </c>
      <c r="C45" s="2">
        <v>2</v>
      </c>
      <c r="D45" s="12"/>
      <c r="E45" s="12"/>
      <c r="F45" s="66"/>
      <c r="G45" s="66"/>
      <c r="H45" s="66"/>
      <c r="I45" s="66"/>
      <c r="J45" s="66"/>
      <c r="K45" s="12"/>
      <c r="L45" s="12"/>
      <c r="M45" s="61"/>
      <c r="N45" s="61"/>
      <c r="O45" s="61"/>
      <c r="P45" s="61"/>
      <c r="Q45" s="61"/>
      <c r="R45" s="12"/>
      <c r="S45" s="12"/>
      <c r="T45" s="2"/>
      <c r="U45" s="2"/>
      <c r="V45" s="2"/>
      <c r="W45" s="2"/>
      <c r="X45" s="2"/>
      <c r="Y45" s="12"/>
      <c r="Z45" s="12"/>
      <c r="AA45" s="2"/>
      <c r="AB45" s="2"/>
      <c r="AC45" s="2"/>
      <c r="AD45" s="2"/>
      <c r="AE45" s="2"/>
      <c r="AF45" s="25"/>
      <c r="AG45" s="25"/>
      <c r="AH45" s="61"/>
      <c r="AI45" s="61"/>
      <c r="AJ45" s="61"/>
      <c r="AK45" s="61"/>
      <c r="AL45" s="61"/>
      <c r="AM45" s="646"/>
      <c r="AN45" s="646"/>
      <c r="AO45" s="646"/>
      <c r="AP45" s="646"/>
      <c r="AQ45" s="646"/>
      <c r="AR45" s="646"/>
      <c r="AS45" s="646"/>
      <c r="AT45" s="646"/>
      <c r="AU45" s="646"/>
      <c r="AV45" s="309">
        <v>66</v>
      </c>
      <c r="AW45" s="309" t="s">
        <v>759</v>
      </c>
      <c r="AX45" s="309">
        <v>7</v>
      </c>
      <c r="AY45" s="309" t="s">
        <v>760</v>
      </c>
      <c r="AZ45" s="327">
        <v>0</v>
      </c>
      <c r="BA45" s="327">
        <v>0</v>
      </c>
      <c r="BB45" s="327">
        <v>0.67</v>
      </c>
      <c r="BC45" s="327">
        <v>0.33</v>
      </c>
      <c r="BD45" s="327">
        <v>0</v>
      </c>
      <c r="BE45" s="424">
        <v>56</v>
      </c>
      <c r="BF45" s="424" t="s">
        <v>758</v>
      </c>
      <c r="BG45" s="424">
        <v>11</v>
      </c>
      <c r="BH45" s="424" t="s">
        <v>758</v>
      </c>
      <c r="BI45" s="428">
        <v>0.14000000000000001</v>
      </c>
      <c r="BJ45" s="428">
        <v>0.56999999999999995</v>
      </c>
      <c r="BK45" s="428">
        <v>0.14000000000000001</v>
      </c>
      <c r="BL45" s="428">
        <v>0.14000000000000001</v>
      </c>
      <c r="BM45" s="428">
        <v>0</v>
      </c>
      <c r="BN45" s="641"/>
      <c r="BO45" s="641"/>
      <c r="BP45" s="641"/>
      <c r="BQ45" s="641"/>
      <c r="BR45" s="642"/>
      <c r="BS45" s="642"/>
      <c r="BT45" s="642"/>
      <c r="BU45" s="642"/>
      <c r="BV45" s="642"/>
      <c r="BW45" s="933">
        <v>67</v>
      </c>
      <c r="BX45" s="933" t="s">
        <v>759</v>
      </c>
      <c r="BY45" s="933">
        <v>11</v>
      </c>
      <c r="BZ45" s="933" t="s">
        <v>758</v>
      </c>
      <c r="CA45" s="949">
        <v>0</v>
      </c>
      <c r="CB45" s="949">
        <v>0.11</v>
      </c>
      <c r="CC45" s="949">
        <v>0.56000000000000005</v>
      </c>
      <c r="CD45" s="949">
        <v>0.11</v>
      </c>
      <c r="CE45" s="949">
        <v>0.22</v>
      </c>
      <c r="CF45" s="922">
        <v>325754005561</v>
      </c>
      <c r="CG45" s="126" t="s">
        <v>797</v>
      </c>
    </row>
    <row r="46" spans="1:85" ht="24.95" customHeight="1" x14ac:dyDescent="0.2">
      <c r="A46" s="126" t="s">
        <v>40</v>
      </c>
      <c r="B46" s="1" t="s">
        <v>123</v>
      </c>
      <c r="C46" s="2">
        <v>4</v>
      </c>
      <c r="D46" s="12">
        <v>52</v>
      </c>
      <c r="E46" s="12">
        <v>9</v>
      </c>
      <c r="F46" s="66">
        <v>0.2</v>
      </c>
      <c r="G46" s="66">
        <v>0.5</v>
      </c>
      <c r="H46" s="66">
        <v>0.2</v>
      </c>
      <c r="I46" s="66">
        <v>0.1</v>
      </c>
      <c r="J46" s="66">
        <v>0</v>
      </c>
      <c r="K46" s="12">
        <v>46</v>
      </c>
      <c r="L46" s="12">
        <v>2</v>
      </c>
      <c r="M46" s="61">
        <v>0.8</v>
      </c>
      <c r="N46" s="61">
        <v>0.2</v>
      </c>
      <c r="O46" s="61">
        <v>0</v>
      </c>
      <c r="P46" s="61">
        <v>0</v>
      </c>
      <c r="Q46" s="61">
        <v>0</v>
      </c>
      <c r="R46" s="12">
        <v>57</v>
      </c>
      <c r="S46" s="12">
        <v>13</v>
      </c>
      <c r="T46" s="63">
        <v>0.27</v>
      </c>
      <c r="U46" s="63">
        <v>0.18</v>
      </c>
      <c r="V46" s="63">
        <v>0.27</v>
      </c>
      <c r="W46" s="63">
        <v>0.27</v>
      </c>
      <c r="X46" s="63">
        <v>0</v>
      </c>
      <c r="Y46" s="12">
        <v>57</v>
      </c>
      <c r="Z46" s="12">
        <v>8</v>
      </c>
      <c r="AA46" s="63">
        <v>0.2</v>
      </c>
      <c r="AB46" s="63">
        <v>0.3</v>
      </c>
      <c r="AC46" s="63">
        <v>0.4</v>
      </c>
      <c r="AD46" s="63">
        <v>0.1</v>
      </c>
      <c r="AE46" s="63">
        <v>0</v>
      </c>
      <c r="AF46" s="25">
        <v>48</v>
      </c>
      <c r="AG46" s="25">
        <v>11</v>
      </c>
      <c r="AH46" s="61">
        <v>0.46</v>
      </c>
      <c r="AI46" s="61">
        <v>0.23</v>
      </c>
      <c r="AJ46" s="61">
        <v>0.31</v>
      </c>
      <c r="AK46" s="61">
        <v>0</v>
      </c>
      <c r="AL46" s="61">
        <v>0</v>
      </c>
      <c r="AM46" s="647">
        <v>52</v>
      </c>
      <c r="AN46" s="647" t="s">
        <v>758</v>
      </c>
      <c r="AO46" s="647">
        <v>10</v>
      </c>
      <c r="AP46" s="647" t="s">
        <v>758</v>
      </c>
      <c r="AQ46" s="648">
        <v>0.43</v>
      </c>
      <c r="AR46" s="648">
        <v>0.28999999999999998</v>
      </c>
      <c r="AS46" s="648">
        <v>0.19</v>
      </c>
      <c r="AT46" s="648">
        <v>0.1</v>
      </c>
      <c r="AU46" s="648">
        <v>0</v>
      </c>
      <c r="AV46" s="74">
        <v>50</v>
      </c>
      <c r="AW46" s="74" t="s">
        <v>758</v>
      </c>
      <c r="AX46" s="74">
        <v>10</v>
      </c>
      <c r="AY46" s="74" t="s">
        <v>758</v>
      </c>
      <c r="AZ46" s="96">
        <v>0.4</v>
      </c>
      <c r="BA46" s="96">
        <v>0.44</v>
      </c>
      <c r="BB46" s="96">
        <v>0.12</v>
      </c>
      <c r="BC46" s="96">
        <v>0.04</v>
      </c>
      <c r="BD46" s="96">
        <v>0</v>
      </c>
      <c r="BE46" s="652">
        <v>51</v>
      </c>
      <c r="BF46" s="652" t="s">
        <v>758</v>
      </c>
      <c r="BG46" s="652">
        <v>10</v>
      </c>
      <c r="BH46" s="652" t="s">
        <v>758</v>
      </c>
      <c r="BI46" s="653">
        <v>0.39</v>
      </c>
      <c r="BJ46" s="653">
        <v>0.33</v>
      </c>
      <c r="BK46" s="653">
        <v>0.22</v>
      </c>
      <c r="BL46" s="653">
        <v>0.06</v>
      </c>
      <c r="BM46" s="653">
        <v>0</v>
      </c>
      <c r="BN46" s="74">
        <v>45</v>
      </c>
      <c r="BO46" s="74" t="s">
        <v>760</v>
      </c>
      <c r="BP46" s="74">
        <v>10</v>
      </c>
      <c r="BQ46" s="74" t="s">
        <v>758</v>
      </c>
      <c r="BR46" s="96">
        <v>0.65</v>
      </c>
      <c r="BS46" s="96">
        <v>0.26</v>
      </c>
      <c r="BT46" s="96">
        <v>0.06</v>
      </c>
      <c r="BU46" s="96">
        <v>0.03</v>
      </c>
      <c r="BV46" s="96">
        <v>0</v>
      </c>
      <c r="BW46" s="933">
        <v>50</v>
      </c>
      <c r="BX46" s="933" t="s">
        <v>758</v>
      </c>
      <c r="BY46" s="933">
        <v>10</v>
      </c>
      <c r="BZ46" s="933" t="s">
        <v>758</v>
      </c>
      <c r="CA46" s="949">
        <v>0.46</v>
      </c>
      <c r="CB46" s="949">
        <v>0.32</v>
      </c>
      <c r="CC46" s="949">
        <v>0.14000000000000001</v>
      </c>
      <c r="CD46" s="949">
        <v>7.0000000000000007E-2</v>
      </c>
      <c r="CE46" s="949">
        <v>0</v>
      </c>
      <c r="CF46" s="922">
        <v>325754004513</v>
      </c>
      <c r="CG46" s="126" t="s">
        <v>40</v>
      </c>
    </row>
    <row r="47" spans="1:85" ht="24.95" customHeight="1" x14ac:dyDescent="0.2">
      <c r="A47" s="555" t="s">
        <v>31</v>
      </c>
      <c r="B47" s="1" t="s">
        <v>123</v>
      </c>
      <c r="C47" s="309">
        <v>1</v>
      </c>
      <c r="D47" s="328">
        <v>51</v>
      </c>
      <c r="E47" s="328">
        <v>11</v>
      </c>
      <c r="F47" s="333">
        <v>0.4</v>
      </c>
      <c r="G47" s="333">
        <v>0.4</v>
      </c>
      <c r="H47" s="333">
        <v>0.13</v>
      </c>
      <c r="I47" s="333">
        <v>7.0000000000000007E-2</v>
      </c>
      <c r="J47" s="333">
        <v>0</v>
      </c>
      <c r="K47" s="328" t="s">
        <v>126</v>
      </c>
      <c r="L47" s="328" t="s">
        <v>126</v>
      </c>
      <c r="M47" s="330"/>
      <c r="N47" s="330"/>
      <c r="O47" s="330"/>
      <c r="P47" s="330"/>
      <c r="Q47" s="330"/>
      <c r="R47" s="328" t="s">
        <v>126</v>
      </c>
      <c r="S47" s="328" t="s">
        <v>126</v>
      </c>
      <c r="T47" s="309"/>
      <c r="U47" s="309"/>
      <c r="V47" s="309"/>
      <c r="W47" s="309"/>
      <c r="X47" s="309"/>
      <c r="Y47" s="328" t="s">
        <v>126</v>
      </c>
      <c r="Z47" s="328" t="s">
        <v>126</v>
      </c>
      <c r="AA47" s="309"/>
      <c r="AB47" s="309"/>
      <c r="AC47" s="309"/>
      <c r="AD47" s="309"/>
      <c r="AE47" s="309"/>
      <c r="AF47" s="329"/>
      <c r="AG47" s="329"/>
      <c r="AH47" s="330"/>
      <c r="AI47" s="330"/>
      <c r="AJ47" s="330"/>
      <c r="AK47" s="330"/>
      <c r="AL47" s="330"/>
      <c r="AV47" s="649"/>
      <c r="AW47" s="649"/>
      <c r="AX47" s="649"/>
      <c r="AY47" s="649"/>
      <c r="AZ47" s="649"/>
      <c r="BA47" s="649"/>
      <c r="BB47" s="649"/>
      <c r="BC47" s="649"/>
      <c r="BD47" s="649"/>
      <c r="BE47" s="651"/>
      <c r="BF47" s="651"/>
      <c r="BG47" s="651"/>
      <c r="BH47" s="651"/>
      <c r="BI47" s="651"/>
      <c r="BJ47" s="651"/>
      <c r="BK47" s="651"/>
      <c r="BL47" s="651"/>
      <c r="BM47" s="651"/>
      <c r="BN47" s="651"/>
      <c r="BO47" s="651"/>
      <c r="BP47" s="651"/>
      <c r="BQ47" s="651"/>
      <c r="BR47" s="651"/>
      <c r="BS47" s="651"/>
      <c r="BT47" s="651"/>
      <c r="BU47" s="651"/>
      <c r="BV47" s="651"/>
      <c r="BW47" s="933"/>
      <c r="BX47" s="933"/>
      <c r="BY47" s="933"/>
      <c r="BZ47" s="933"/>
      <c r="CA47" s="949"/>
      <c r="CB47" s="949"/>
      <c r="CC47" s="949"/>
      <c r="CD47" s="949"/>
      <c r="CE47" s="949"/>
      <c r="CG47" s="555" t="s">
        <v>31</v>
      </c>
    </row>
    <row r="48" spans="1:85" ht="24.95" customHeight="1" x14ac:dyDescent="0.2">
      <c r="A48" s="126" t="s">
        <v>43</v>
      </c>
      <c r="B48" s="1" t="s">
        <v>123</v>
      </c>
      <c r="C48" s="2">
        <v>2</v>
      </c>
      <c r="D48" s="12">
        <v>52</v>
      </c>
      <c r="E48" s="12">
        <v>10</v>
      </c>
      <c r="F48" s="66">
        <v>0.33</v>
      </c>
      <c r="G48" s="66">
        <v>0.42</v>
      </c>
      <c r="H48" s="66">
        <v>0.17</v>
      </c>
      <c r="I48" s="66">
        <v>0.08</v>
      </c>
      <c r="J48" s="66">
        <v>0</v>
      </c>
      <c r="K48" s="12" t="s">
        <v>126</v>
      </c>
      <c r="L48" s="12" t="s">
        <v>126</v>
      </c>
      <c r="M48" s="61"/>
      <c r="N48" s="61"/>
      <c r="O48" s="61"/>
      <c r="P48" s="61"/>
      <c r="Q48" s="61"/>
      <c r="R48" s="12">
        <v>51</v>
      </c>
      <c r="S48" s="12">
        <v>7</v>
      </c>
      <c r="T48" s="63">
        <v>0.28999999999999998</v>
      </c>
      <c r="U48" s="63">
        <v>0.56999999999999995</v>
      </c>
      <c r="V48" s="63">
        <v>0.14000000000000001</v>
      </c>
      <c r="W48" s="63">
        <v>0</v>
      </c>
      <c r="X48" s="63">
        <v>0</v>
      </c>
      <c r="Y48" s="12">
        <v>53</v>
      </c>
      <c r="Z48" s="12">
        <v>9</v>
      </c>
      <c r="AA48" s="63">
        <v>0.15</v>
      </c>
      <c r="AB48" s="63">
        <v>0.46</v>
      </c>
      <c r="AC48" s="63">
        <v>0.38</v>
      </c>
      <c r="AD48" s="63">
        <v>0</v>
      </c>
      <c r="AE48" s="63">
        <v>0</v>
      </c>
      <c r="AF48" s="25">
        <v>51</v>
      </c>
      <c r="AG48" s="25">
        <v>13</v>
      </c>
      <c r="AH48" s="61">
        <v>0.5</v>
      </c>
      <c r="AI48" s="61">
        <v>0.33</v>
      </c>
      <c r="AJ48" s="61">
        <v>0</v>
      </c>
      <c r="AK48" s="61">
        <v>0.17</v>
      </c>
      <c r="AL48" s="61">
        <v>0</v>
      </c>
      <c r="AM48" s="246">
        <v>46</v>
      </c>
      <c r="AN48" s="246" t="s">
        <v>758</v>
      </c>
      <c r="AO48" s="246">
        <v>12</v>
      </c>
      <c r="AP48" s="246" t="s">
        <v>758</v>
      </c>
      <c r="AQ48" s="263">
        <v>0.57999999999999996</v>
      </c>
      <c r="AR48" s="263">
        <v>0.25</v>
      </c>
      <c r="AS48" s="263">
        <v>0.08</v>
      </c>
      <c r="AT48" s="263">
        <v>0.08</v>
      </c>
      <c r="AU48" s="263">
        <v>0</v>
      </c>
      <c r="AV48" s="649"/>
      <c r="AW48" s="649"/>
      <c r="AX48" s="649"/>
      <c r="AY48" s="649"/>
      <c r="AZ48" s="649"/>
      <c r="BA48" s="649"/>
      <c r="BB48" s="649"/>
      <c r="BC48" s="649"/>
      <c r="BD48" s="649"/>
      <c r="BE48" s="424">
        <v>54</v>
      </c>
      <c r="BF48" s="424" t="s">
        <v>758</v>
      </c>
      <c r="BG48" s="424">
        <v>6</v>
      </c>
      <c r="BH48" s="424" t="s">
        <v>760</v>
      </c>
      <c r="BI48" s="428">
        <v>0.28999999999999998</v>
      </c>
      <c r="BJ48" s="428">
        <v>0.14000000000000001</v>
      </c>
      <c r="BK48" s="428">
        <v>0.56999999999999995</v>
      </c>
      <c r="BL48" s="428">
        <v>0</v>
      </c>
      <c r="BM48" s="428">
        <v>0</v>
      </c>
      <c r="BN48" s="464">
        <v>60</v>
      </c>
      <c r="BO48" s="464" t="s">
        <v>758</v>
      </c>
      <c r="BP48" s="464">
        <v>11</v>
      </c>
      <c r="BQ48" s="464" t="s">
        <v>758</v>
      </c>
      <c r="BR48" s="476">
        <v>0.08</v>
      </c>
      <c r="BS48" s="476">
        <v>0.38</v>
      </c>
      <c r="BT48" s="476">
        <v>0.31</v>
      </c>
      <c r="BU48" s="476">
        <v>0.15</v>
      </c>
      <c r="BV48" s="476">
        <v>0.08</v>
      </c>
      <c r="BW48" s="933">
        <v>51</v>
      </c>
      <c r="BX48" s="933" t="s">
        <v>758</v>
      </c>
      <c r="BY48" s="933">
        <v>7</v>
      </c>
      <c r="BZ48" s="933" t="s">
        <v>760</v>
      </c>
      <c r="CA48" s="949">
        <v>0.56999999999999995</v>
      </c>
      <c r="CB48" s="949">
        <v>0.14000000000000001</v>
      </c>
      <c r="CC48" s="949">
        <v>0.28999999999999998</v>
      </c>
      <c r="CD48" s="949">
        <v>0</v>
      </c>
      <c r="CE48" s="949">
        <v>0</v>
      </c>
      <c r="CF48" s="922">
        <v>325754000160</v>
      </c>
      <c r="CG48" s="126" t="s">
        <v>43</v>
      </c>
    </row>
    <row r="49" spans="1:85" ht="24.95" customHeight="1" x14ac:dyDescent="0.2">
      <c r="A49" s="36" t="s">
        <v>164</v>
      </c>
      <c r="B49" s="1" t="s">
        <v>123</v>
      </c>
      <c r="C49" s="2">
        <v>6</v>
      </c>
      <c r="D49" s="12"/>
      <c r="E49" s="12"/>
      <c r="F49" s="12"/>
      <c r="G49" s="12"/>
      <c r="H49" s="12"/>
      <c r="I49" s="12"/>
      <c r="J49" s="12"/>
      <c r="K49" s="12"/>
      <c r="L49" s="12"/>
      <c r="M49" s="61"/>
      <c r="N49" s="61"/>
      <c r="O49" s="61"/>
      <c r="P49" s="61"/>
      <c r="Q49" s="61"/>
      <c r="R49" s="12"/>
      <c r="S49" s="12"/>
      <c r="T49" s="2"/>
      <c r="U49" s="2"/>
      <c r="V49" s="2"/>
      <c r="W49" s="2"/>
      <c r="X49" s="2"/>
      <c r="Y49" s="12"/>
      <c r="Z49" s="12"/>
      <c r="AA49" s="2"/>
      <c r="AB49" s="2"/>
      <c r="AC49" s="2"/>
      <c r="AD49" s="2"/>
      <c r="AE49" s="2"/>
      <c r="AF49" s="25">
        <v>45</v>
      </c>
      <c r="AG49" s="25">
        <v>9</v>
      </c>
      <c r="AH49" s="61">
        <v>0.64</v>
      </c>
      <c r="AI49" s="61">
        <v>0.32</v>
      </c>
      <c r="AJ49" s="61">
        <v>0.04</v>
      </c>
      <c r="AK49" s="61">
        <v>0</v>
      </c>
      <c r="AL49" s="61">
        <v>0</v>
      </c>
      <c r="AM49" s="647">
        <v>53</v>
      </c>
      <c r="AN49" s="647" t="s">
        <v>758</v>
      </c>
      <c r="AO49" s="647">
        <v>14</v>
      </c>
      <c r="AP49" s="647" t="s">
        <v>758</v>
      </c>
      <c r="AQ49" s="648">
        <v>0.35</v>
      </c>
      <c r="AR49" s="648">
        <v>0.38</v>
      </c>
      <c r="AS49" s="648">
        <v>0.15</v>
      </c>
      <c r="AT49" s="648">
        <v>0.08</v>
      </c>
      <c r="AU49" s="648">
        <v>0.04</v>
      </c>
      <c r="AV49" s="74">
        <v>48</v>
      </c>
      <c r="AW49" s="74" t="s">
        <v>758</v>
      </c>
      <c r="AX49" s="74">
        <v>11</v>
      </c>
      <c r="AY49" s="74" t="s">
        <v>758</v>
      </c>
      <c r="AZ49" s="96">
        <v>0.5</v>
      </c>
      <c r="BA49" s="96">
        <v>0.22</v>
      </c>
      <c r="BB49" s="96">
        <v>0.25</v>
      </c>
      <c r="BC49" s="96">
        <v>0.03</v>
      </c>
      <c r="BD49" s="96">
        <v>0</v>
      </c>
      <c r="BE49" s="652">
        <v>52</v>
      </c>
      <c r="BF49" s="652" t="s">
        <v>758</v>
      </c>
      <c r="BG49" s="652">
        <v>11</v>
      </c>
      <c r="BH49" s="652" t="s">
        <v>758</v>
      </c>
      <c r="BI49" s="653">
        <v>0.39</v>
      </c>
      <c r="BJ49" s="653">
        <v>0.36</v>
      </c>
      <c r="BK49" s="653">
        <v>0.11</v>
      </c>
      <c r="BL49" s="653">
        <v>0.14000000000000001</v>
      </c>
      <c r="BM49" s="653">
        <v>0</v>
      </c>
      <c r="BN49" s="74">
        <v>54</v>
      </c>
      <c r="BO49" s="74" t="s">
        <v>758</v>
      </c>
      <c r="BP49" s="74">
        <v>10</v>
      </c>
      <c r="BQ49" s="74" t="s">
        <v>758</v>
      </c>
      <c r="BR49" s="96">
        <v>0.26</v>
      </c>
      <c r="BS49" s="96">
        <v>0.41</v>
      </c>
      <c r="BT49" s="96">
        <v>0.21</v>
      </c>
      <c r="BU49" s="96">
        <v>0.13</v>
      </c>
      <c r="BV49" s="96">
        <v>0</v>
      </c>
      <c r="BW49" s="933">
        <v>55</v>
      </c>
      <c r="BX49" s="933" t="s">
        <v>758</v>
      </c>
      <c r="BY49" s="933">
        <v>12</v>
      </c>
      <c r="BZ49" s="933" t="s">
        <v>758</v>
      </c>
      <c r="CA49" s="949">
        <v>0.23</v>
      </c>
      <c r="CB49" s="949">
        <v>0.41</v>
      </c>
      <c r="CC49" s="949">
        <v>0.18</v>
      </c>
      <c r="CD49" s="949">
        <v>0.15</v>
      </c>
      <c r="CE49" s="949">
        <v>0.03</v>
      </c>
      <c r="CF49" s="922">
        <v>325754003363</v>
      </c>
      <c r="CG49" s="36" t="s">
        <v>164</v>
      </c>
    </row>
    <row r="50" spans="1:85" ht="24.95" customHeight="1" x14ac:dyDescent="0.2">
      <c r="A50" s="126" t="s">
        <v>125</v>
      </c>
      <c r="B50" s="1" t="s">
        <v>123</v>
      </c>
      <c r="C50" s="2">
        <v>3</v>
      </c>
      <c r="D50" s="12" t="s">
        <v>126</v>
      </c>
      <c r="E50" s="12" t="s">
        <v>126</v>
      </c>
      <c r="F50" s="12"/>
      <c r="G50" s="12"/>
      <c r="H50" s="12"/>
      <c r="I50" s="12"/>
      <c r="J50" s="12"/>
      <c r="K50" s="12">
        <v>47</v>
      </c>
      <c r="L50" s="12">
        <v>9</v>
      </c>
      <c r="M50" s="61">
        <v>0.56000000000000005</v>
      </c>
      <c r="N50" s="61">
        <v>0.3</v>
      </c>
      <c r="O50" s="61">
        <v>0.12</v>
      </c>
      <c r="P50" s="61">
        <v>0.02</v>
      </c>
      <c r="Q50" s="61">
        <v>0</v>
      </c>
      <c r="R50" s="12">
        <v>49</v>
      </c>
      <c r="S50" s="12">
        <v>7</v>
      </c>
      <c r="T50" s="63">
        <v>0.41</v>
      </c>
      <c r="U50" s="63">
        <v>0.5</v>
      </c>
      <c r="V50" s="63">
        <v>0.09</v>
      </c>
      <c r="W50" s="63">
        <v>0</v>
      </c>
      <c r="X50" s="63">
        <v>0</v>
      </c>
      <c r="Y50" s="12">
        <v>47</v>
      </c>
      <c r="Z50" s="12">
        <v>10</v>
      </c>
      <c r="AA50" s="63">
        <v>0.52</v>
      </c>
      <c r="AB50" s="63">
        <v>0.36</v>
      </c>
      <c r="AC50" s="63">
        <v>0.1</v>
      </c>
      <c r="AD50" s="63">
        <v>0.03</v>
      </c>
      <c r="AE50" s="63">
        <v>0</v>
      </c>
      <c r="AF50" s="25">
        <v>44</v>
      </c>
      <c r="AG50" s="25">
        <v>8</v>
      </c>
      <c r="AH50" s="61">
        <v>0.65</v>
      </c>
      <c r="AI50" s="61">
        <v>0.3</v>
      </c>
      <c r="AJ50" s="61">
        <v>0.04</v>
      </c>
      <c r="AK50" s="61">
        <v>0.01</v>
      </c>
      <c r="AL50" s="61">
        <v>0</v>
      </c>
      <c r="AM50" s="246">
        <v>46</v>
      </c>
      <c r="AN50" s="246" t="s">
        <v>758</v>
      </c>
      <c r="AO50" s="246">
        <v>10</v>
      </c>
      <c r="AP50" s="246" t="s">
        <v>758</v>
      </c>
      <c r="AQ50" s="263">
        <v>0.61</v>
      </c>
      <c r="AR50" s="263">
        <v>0.32</v>
      </c>
      <c r="AS50" s="263">
        <v>0.05</v>
      </c>
      <c r="AT50" s="263">
        <v>0.02</v>
      </c>
      <c r="AU50" s="263">
        <v>0</v>
      </c>
      <c r="AV50" s="74">
        <v>47</v>
      </c>
      <c r="AW50" s="74" t="s">
        <v>758</v>
      </c>
      <c r="AX50" s="74">
        <v>10</v>
      </c>
      <c r="AY50" s="74" t="s">
        <v>758</v>
      </c>
      <c r="AZ50" s="96">
        <v>0.47</v>
      </c>
      <c r="BA50" s="96">
        <v>0.4</v>
      </c>
      <c r="BB50" s="96">
        <v>0.11</v>
      </c>
      <c r="BC50" s="96">
        <v>0.02</v>
      </c>
      <c r="BD50" s="96">
        <v>0.01</v>
      </c>
      <c r="BE50" s="424">
        <v>51</v>
      </c>
      <c r="BF50" s="424" t="s">
        <v>758</v>
      </c>
      <c r="BG50" s="424">
        <v>10</v>
      </c>
      <c r="BH50" s="424" t="s">
        <v>758</v>
      </c>
      <c r="BI50" s="428">
        <v>0.39</v>
      </c>
      <c r="BJ50" s="428">
        <v>0.37</v>
      </c>
      <c r="BK50" s="428">
        <v>0.17</v>
      </c>
      <c r="BL50" s="428">
        <v>7.0000000000000007E-2</v>
      </c>
      <c r="BM50" s="428">
        <v>0</v>
      </c>
      <c r="BN50" s="464">
        <v>49</v>
      </c>
      <c r="BO50" s="464" t="s">
        <v>758</v>
      </c>
      <c r="BP50" s="464">
        <v>9</v>
      </c>
      <c r="BQ50" s="464" t="s">
        <v>758</v>
      </c>
      <c r="BR50" s="476">
        <v>0.47</v>
      </c>
      <c r="BS50" s="476">
        <v>0.34</v>
      </c>
      <c r="BT50" s="476">
        <v>0.18</v>
      </c>
      <c r="BU50" s="476">
        <v>0.01</v>
      </c>
      <c r="BV50" s="476">
        <v>0.01</v>
      </c>
      <c r="BW50" s="933">
        <v>52</v>
      </c>
      <c r="BX50" s="933" t="s">
        <v>758</v>
      </c>
      <c r="BY50" s="933">
        <v>10</v>
      </c>
      <c r="BZ50" s="933" t="s">
        <v>758</v>
      </c>
      <c r="CA50" s="949">
        <v>0.34</v>
      </c>
      <c r="CB50" s="949">
        <v>0.38</v>
      </c>
      <c r="CC50" s="949">
        <v>0.2</v>
      </c>
      <c r="CD50" s="949">
        <v>7.0000000000000007E-2</v>
      </c>
      <c r="CE50" s="949">
        <v>0.01</v>
      </c>
      <c r="CF50" s="922">
        <v>125754005189</v>
      </c>
      <c r="CG50" s="126" t="s">
        <v>125</v>
      </c>
    </row>
    <row r="51" spans="1:85" ht="24.95" customHeight="1" x14ac:dyDescent="0.2">
      <c r="A51" s="126" t="s">
        <v>72</v>
      </c>
      <c r="B51" s="1" t="s">
        <v>123</v>
      </c>
      <c r="C51" s="2">
        <v>2</v>
      </c>
      <c r="D51" s="12">
        <v>62</v>
      </c>
      <c r="E51" s="12">
        <v>10</v>
      </c>
      <c r="F51" s="66">
        <v>0.1</v>
      </c>
      <c r="G51" s="66">
        <v>0.21</v>
      </c>
      <c r="H51" s="66">
        <v>0.4</v>
      </c>
      <c r="I51" s="66">
        <v>0.26</v>
      </c>
      <c r="J51" s="66">
        <v>0.03</v>
      </c>
      <c r="K51" s="12">
        <v>59</v>
      </c>
      <c r="L51" s="12">
        <v>10</v>
      </c>
      <c r="M51" s="61">
        <v>0.15</v>
      </c>
      <c r="N51" s="61">
        <v>0.26</v>
      </c>
      <c r="O51" s="61">
        <v>0.42</v>
      </c>
      <c r="P51" s="61">
        <v>0.13</v>
      </c>
      <c r="Q51" s="61">
        <v>0.03</v>
      </c>
      <c r="R51" s="12">
        <v>59</v>
      </c>
      <c r="S51" s="12">
        <v>9</v>
      </c>
      <c r="T51" s="63">
        <v>0.11</v>
      </c>
      <c r="U51" s="63">
        <v>0.36</v>
      </c>
      <c r="V51" s="63">
        <v>0.35</v>
      </c>
      <c r="W51" s="63">
        <v>0.15</v>
      </c>
      <c r="X51" s="63">
        <v>0.02</v>
      </c>
      <c r="Y51" s="12">
        <v>62</v>
      </c>
      <c r="Z51" s="12">
        <v>9</v>
      </c>
      <c r="AA51" s="63">
        <v>0.03</v>
      </c>
      <c r="AB51" s="63">
        <v>0.35</v>
      </c>
      <c r="AC51" s="63">
        <v>0.33</v>
      </c>
      <c r="AD51" s="63">
        <v>0.24</v>
      </c>
      <c r="AE51" s="63">
        <v>0.06</v>
      </c>
      <c r="AF51" s="25">
        <v>58</v>
      </c>
      <c r="AG51" s="25">
        <v>10</v>
      </c>
      <c r="AH51" s="61">
        <v>0.16</v>
      </c>
      <c r="AI51" s="61">
        <v>0.37</v>
      </c>
      <c r="AJ51" s="61">
        <v>0.28000000000000003</v>
      </c>
      <c r="AK51" s="61">
        <v>0.18</v>
      </c>
      <c r="AL51" s="61">
        <v>0.01</v>
      </c>
      <c r="AM51" s="246">
        <v>63</v>
      </c>
      <c r="AN51" s="246" t="s">
        <v>759</v>
      </c>
      <c r="AO51" s="246">
        <v>10</v>
      </c>
      <c r="AP51" s="246" t="s">
        <v>758</v>
      </c>
      <c r="AQ51" s="263">
        <v>0.05</v>
      </c>
      <c r="AR51" s="263">
        <v>0.24</v>
      </c>
      <c r="AS51" s="263">
        <v>0.43</v>
      </c>
      <c r="AT51" s="263">
        <v>0.24</v>
      </c>
      <c r="AU51" s="263">
        <v>0.05</v>
      </c>
      <c r="AV51" s="309">
        <v>63</v>
      </c>
      <c r="AW51" s="309" t="s">
        <v>759</v>
      </c>
      <c r="AX51" s="309">
        <v>9</v>
      </c>
      <c r="AY51" s="309" t="s">
        <v>758</v>
      </c>
      <c r="AZ51" s="327">
        <v>0.05</v>
      </c>
      <c r="BA51" s="327">
        <v>0.19</v>
      </c>
      <c r="BB51" s="327">
        <v>0.44</v>
      </c>
      <c r="BC51" s="327">
        <v>0.3</v>
      </c>
      <c r="BD51" s="327">
        <v>0.02</v>
      </c>
      <c r="BE51" s="424">
        <v>63</v>
      </c>
      <c r="BF51" s="424" t="s">
        <v>759</v>
      </c>
      <c r="BG51" s="424">
        <v>10</v>
      </c>
      <c r="BH51" s="424" t="s">
        <v>758</v>
      </c>
      <c r="BI51" s="428">
        <v>0.06</v>
      </c>
      <c r="BJ51" s="428">
        <v>0.2</v>
      </c>
      <c r="BK51" s="428">
        <v>0.41</v>
      </c>
      <c r="BL51" s="428">
        <v>0.26</v>
      </c>
      <c r="BM51" s="428">
        <v>0.06</v>
      </c>
      <c r="BN51" s="464">
        <v>65</v>
      </c>
      <c r="BO51" s="464" t="s">
        <v>759</v>
      </c>
      <c r="BP51" s="464">
        <v>11</v>
      </c>
      <c r="BQ51" s="464" t="s">
        <v>758</v>
      </c>
      <c r="BR51" s="476">
        <v>0.04</v>
      </c>
      <c r="BS51" s="476">
        <v>0.22</v>
      </c>
      <c r="BT51" s="476">
        <v>0.33</v>
      </c>
      <c r="BU51" s="476">
        <v>0.31</v>
      </c>
      <c r="BV51" s="476">
        <v>0.1</v>
      </c>
      <c r="BW51" s="933">
        <v>62</v>
      </c>
      <c r="BX51" s="933" t="s">
        <v>758</v>
      </c>
      <c r="BY51" s="933">
        <v>11</v>
      </c>
      <c r="BZ51" s="933" t="s">
        <v>758</v>
      </c>
      <c r="CA51" s="949">
        <v>0.1</v>
      </c>
      <c r="CB51" s="949">
        <v>0.22</v>
      </c>
      <c r="CC51" s="949">
        <v>0.31</v>
      </c>
      <c r="CD51" s="949">
        <v>0.31</v>
      </c>
      <c r="CE51" s="949">
        <v>7.0000000000000007E-2</v>
      </c>
      <c r="CF51" s="922">
        <v>325754001891</v>
      </c>
      <c r="CG51" s="126" t="s">
        <v>72</v>
      </c>
    </row>
    <row r="52" spans="1:85" ht="24.95" customHeight="1" x14ac:dyDescent="0.2">
      <c r="A52" s="36" t="s">
        <v>165</v>
      </c>
      <c r="B52" s="1" t="s">
        <v>123</v>
      </c>
      <c r="C52" s="2">
        <v>2</v>
      </c>
      <c r="D52" s="12" t="s">
        <v>126</v>
      </c>
      <c r="E52" s="12" t="s">
        <v>126</v>
      </c>
      <c r="F52" s="12"/>
      <c r="G52" s="12"/>
      <c r="H52" s="12"/>
      <c r="I52" s="12"/>
      <c r="J52" s="12"/>
      <c r="K52" s="12" t="s">
        <v>126</v>
      </c>
      <c r="L52" s="12" t="s">
        <v>126</v>
      </c>
      <c r="M52" s="61"/>
      <c r="N52" s="61"/>
      <c r="O52" s="61"/>
      <c r="P52" s="61"/>
      <c r="Q52" s="61"/>
      <c r="R52" s="12" t="s">
        <v>126</v>
      </c>
      <c r="S52" s="12" t="s">
        <v>126</v>
      </c>
      <c r="T52" s="2"/>
      <c r="U52" s="2"/>
      <c r="V52" s="2"/>
      <c r="W52" s="2"/>
      <c r="X52" s="2"/>
      <c r="Y52" s="12" t="s">
        <v>126</v>
      </c>
      <c r="Z52" s="12" t="s">
        <v>126</v>
      </c>
      <c r="AA52" s="2"/>
      <c r="AB52" s="2"/>
      <c r="AC52" s="2"/>
      <c r="AD52" s="2"/>
      <c r="AE52" s="2"/>
      <c r="AF52" s="25">
        <v>33</v>
      </c>
      <c r="AG52" s="25">
        <v>0</v>
      </c>
      <c r="AH52" s="61">
        <v>1</v>
      </c>
      <c r="AI52" s="61">
        <v>0</v>
      </c>
      <c r="AJ52" s="61">
        <v>0</v>
      </c>
      <c r="AK52" s="61">
        <v>0</v>
      </c>
      <c r="AL52" s="61">
        <v>0</v>
      </c>
      <c r="AM52" s="646"/>
      <c r="AN52" s="646"/>
      <c r="AO52" s="646"/>
      <c r="AP52" s="646"/>
      <c r="AQ52" s="646"/>
      <c r="AR52" s="646"/>
      <c r="AS52" s="646"/>
      <c r="AT52" s="646"/>
      <c r="AU52" s="646"/>
      <c r="AV52" s="649"/>
      <c r="AW52" s="649"/>
      <c r="AX52" s="649"/>
      <c r="AY52" s="649"/>
      <c r="AZ52" s="649"/>
      <c r="BA52" s="649"/>
      <c r="BB52" s="649"/>
      <c r="BC52" s="649"/>
      <c r="BD52" s="649"/>
      <c r="BE52" s="651"/>
      <c r="BF52" s="651"/>
      <c r="BG52" s="651"/>
      <c r="BH52" s="651"/>
      <c r="BI52" s="651"/>
      <c r="BJ52" s="651"/>
      <c r="BK52" s="651"/>
      <c r="BL52" s="651"/>
      <c r="BM52" s="651"/>
      <c r="BN52" s="650"/>
      <c r="BO52" s="650"/>
      <c r="BP52" s="650"/>
      <c r="BQ52" s="650"/>
      <c r="BR52" s="650"/>
      <c r="BS52" s="650"/>
      <c r="BT52" s="650"/>
      <c r="BU52" s="650"/>
      <c r="BV52" s="650"/>
      <c r="BW52" s="933">
        <v>54</v>
      </c>
      <c r="BX52" s="933" t="s">
        <v>758</v>
      </c>
      <c r="BY52" s="933">
        <v>10</v>
      </c>
      <c r="BZ52" s="933" t="s">
        <v>758</v>
      </c>
      <c r="CA52" s="949">
        <v>0.22</v>
      </c>
      <c r="CB52" s="949">
        <v>0.41</v>
      </c>
      <c r="CC52" s="949">
        <v>0.26</v>
      </c>
      <c r="CD52" s="949">
        <v>0.11</v>
      </c>
      <c r="CE52" s="949">
        <v>0</v>
      </c>
      <c r="CF52" s="922">
        <v>325754005331</v>
      </c>
      <c r="CG52" s="36" t="s">
        <v>165</v>
      </c>
    </row>
    <row r="53" spans="1:85" ht="24.95" customHeight="1" x14ac:dyDescent="0.2">
      <c r="A53" s="126" t="s">
        <v>76</v>
      </c>
      <c r="B53" s="1" t="s">
        <v>123</v>
      </c>
      <c r="C53" s="2">
        <v>5</v>
      </c>
      <c r="D53" s="12">
        <v>57</v>
      </c>
      <c r="E53" s="12">
        <v>8</v>
      </c>
      <c r="F53" s="66">
        <v>0.17</v>
      </c>
      <c r="G53" s="66">
        <v>0.46</v>
      </c>
      <c r="H53" s="66">
        <v>0.33</v>
      </c>
      <c r="I53" s="66">
        <v>0.04</v>
      </c>
      <c r="J53" s="66">
        <v>0</v>
      </c>
      <c r="K53" s="12">
        <v>56</v>
      </c>
      <c r="L53" s="12">
        <v>11</v>
      </c>
      <c r="M53" s="61">
        <v>0.22</v>
      </c>
      <c r="N53" s="61">
        <v>0.28000000000000003</v>
      </c>
      <c r="O53" s="61">
        <v>0.44</v>
      </c>
      <c r="P53" s="61">
        <v>0</v>
      </c>
      <c r="Q53" s="61">
        <v>0.06</v>
      </c>
      <c r="R53" s="12">
        <v>55</v>
      </c>
      <c r="S53" s="12">
        <v>10</v>
      </c>
      <c r="T53" s="63">
        <v>0.22</v>
      </c>
      <c r="U53" s="63">
        <v>0.44</v>
      </c>
      <c r="V53" s="63">
        <v>0.22</v>
      </c>
      <c r="W53" s="63">
        <v>0.11</v>
      </c>
      <c r="X53" s="63">
        <v>0</v>
      </c>
      <c r="Y53" s="12">
        <v>56</v>
      </c>
      <c r="Z53" s="12">
        <v>10</v>
      </c>
      <c r="AA53" s="63">
        <v>0.16</v>
      </c>
      <c r="AB53" s="63">
        <v>0.47</v>
      </c>
      <c r="AC53" s="63">
        <v>0.26</v>
      </c>
      <c r="AD53" s="63">
        <v>0.11</v>
      </c>
      <c r="AE53" s="63">
        <v>0</v>
      </c>
      <c r="AF53" s="25">
        <v>53</v>
      </c>
      <c r="AG53" s="25">
        <v>8</v>
      </c>
      <c r="AH53" s="61">
        <v>0.24</v>
      </c>
      <c r="AI53" s="61">
        <v>0.48</v>
      </c>
      <c r="AJ53" s="61">
        <v>0.24</v>
      </c>
      <c r="AK53" s="61">
        <v>0.05</v>
      </c>
      <c r="AL53" s="61">
        <v>0</v>
      </c>
      <c r="AM53" s="246">
        <v>62</v>
      </c>
      <c r="AN53" s="246" t="s">
        <v>759</v>
      </c>
      <c r="AO53" s="246">
        <v>9</v>
      </c>
      <c r="AP53" s="246" t="s">
        <v>758</v>
      </c>
      <c r="AQ53" s="263">
        <v>0.05</v>
      </c>
      <c r="AR53" s="263">
        <v>0.24</v>
      </c>
      <c r="AS53" s="263">
        <v>0.52</v>
      </c>
      <c r="AT53" s="263">
        <v>0.19</v>
      </c>
      <c r="AU53" s="263">
        <v>0</v>
      </c>
      <c r="AV53" s="309">
        <v>60</v>
      </c>
      <c r="AW53" s="309" t="s">
        <v>758</v>
      </c>
      <c r="AX53" s="309">
        <v>9</v>
      </c>
      <c r="AY53" s="309" t="s">
        <v>758</v>
      </c>
      <c r="AZ53" s="327">
        <v>0.06</v>
      </c>
      <c r="BA53" s="327">
        <v>0.39</v>
      </c>
      <c r="BB53" s="327">
        <v>0.33</v>
      </c>
      <c r="BC53" s="327">
        <v>0.22</v>
      </c>
      <c r="BD53" s="327">
        <v>0</v>
      </c>
      <c r="BE53" s="424">
        <v>58</v>
      </c>
      <c r="BF53" s="424" t="s">
        <v>758</v>
      </c>
      <c r="BG53" s="424">
        <v>7</v>
      </c>
      <c r="BH53" s="424" t="s">
        <v>760</v>
      </c>
      <c r="BI53" s="428">
        <v>0.05</v>
      </c>
      <c r="BJ53" s="428">
        <v>0.52</v>
      </c>
      <c r="BK53" s="428">
        <v>0.28999999999999998</v>
      </c>
      <c r="BL53" s="428">
        <v>0.14000000000000001</v>
      </c>
      <c r="BM53" s="428">
        <v>0</v>
      </c>
      <c r="BN53" s="464">
        <v>56</v>
      </c>
      <c r="BO53" s="464" t="s">
        <v>758</v>
      </c>
      <c r="BP53" s="464">
        <v>10</v>
      </c>
      <c r="BQ53" s="464" t="s">
        <v>758</v>
      </c>
      <c r="BR53" s="476">
        <v>0.1</v>
      </c>
      <c r="BS53" s="476">
        <v>0.48</v>
      </c>
      <c r="BT53" s="476">
        <v>0.24</v>
      </c>
      <c r="BU53" s="476">
        <v>0.19</v>
      </c>
      <c r="BV53" s="476">
        <v>0</v>
      </c>
      <c r="BW53" s="933">
        <v>61</v>
      </c>
      <c r="BX53" s="933" t="s">
        <v>758</v>
      </c>
      <c r="BY53" s="933">
        <v>9</v>
      </c>
      <c r="BZ53" s="933" t="s">
        <v>758</v>
      </c>
      <c r="CA53" s="949">
        <v>0.08</v>
      </c>
      <c r="CB53" s="949">
        <v>0.17</v>
      </c>
      <c r="CC53" s="949">
        <v>0.5</v>
      </c>
      <c r="CD53" s="949">
        <v>0.25</v>
      </c>
      <c r="CE53" s="949">
        <v>0</v>
      </c>
      <c r="CF53" s="922">
        <v>325754001361</v>
      </c>
      <c r="CG53" s="126" t="s">
        <v>76</v>
      </c>
    </row>
    <row r="54" spans="1:85" ht="24.95" customHeight="1" x14ac:dyDescent="0.2">
      <c r="A54" s="126" t="s">
        <v>798</v>
      </c>
      <c r="B54" s="14" t="s">
        <v>123</v>
      </c>
      <c r="C54" s="2">
        <v>6</v>
      </c>
      <c r="D54" s="12"/>
      <c r="E54" s="12"/>
      <c r="F54" s="66"/>
      <c r="G54" s="66"/>
      <c r="H54" s="66"/>
      <c r="I54" s="66"/>
      <c r="J54" s="66"/>
      <c r="K54" s="12"/>
      <c r="L54" s="12"/>
      <c r="M54" s="61"/>
      <c r="N54" s="61"/>
      <c r="O54" s="61"/>
      <c r="P54" s="61"/>
      <c r="Q54" s="61"/>
      <c r="R54" s="12"/>
      <c r="S54" s="12"/>
      <c r="T54" s="63"/>
      <c r="U54" s="63"/>
      <c r="V54" s="63"/>
      <c r="W54" s="63"/>
      <c r="X54" s="63"/>
      <c r="Y54" s="12"/>
      <c r="Z54" s="12"/>
      <c r="AA54" s="63"/>
      <c r="AB54" s="63"/>
      <c r="AC54" s="63"/>
      <c r="AD54" s="63"/>
      <c r="AE54" s="63"/>
      <c r="AF54" s="25"/>
      <c r="AG54" s="25"/>
      <c r="AH54" s="61"/>
      <c r="AI54" s="61"/>
      <c r="AJ54" s="61"/>
      <c r="AK54" s="61"/>
      <c r="AL54" s="61"/>
      <c r="AM54" s="647"/>
      <c r="AN54" s="647"/>
      <c r="AO54" s="647"/>
      <c r="AP54" s="647"/>
      <c r="AQ54" s="648"/>
      <c r="AR54" s="648"/>
      <c r="AS54" s="648"/>
      <c r="AT54" s="648"/>
      <c r="AU54" s="648"/>
      <c r="AV54" s="74">
        <v>64</v>
      </c>
      <c r="AW54" s="74" t="s">
        <v>759</v>
      </c>
      <c r="AX54" s="74">
        <v>10</v>
      </c>
      <c r="AY54" s="74" t="s">
        <v>758</v>
      </c>
      <c r="AZ54" s="96">
        <v>0.13</v>
      </c>
      <c r="BA54" s="96">
        <v>0.13</v>
      </c>
      <c r="BB54" s="96">
        <v>0.38</v>
      </c>
      <c r="BC54" s="96">
        <v>0.38</v>
      </c>
      <c r="BD54" s="96">
        <v>0</v>
      </c>
      <c r="BE54" s="652">
        <v>62</v>
      </c>
      <c r="BF54" s="652" t="s">
        <v>759</v>
      </c>
      <c r="BG54" s="652">
        <v>10</v>
      </c>
      <c r="BH54" s="652" t="s">
        <v>758</v>
      </c>
      <c r="BI54" s="653">
        <v>0.15</v>
      </c>
      <c r="BJ54" s="653">
        <v>0.22</v>
      </c>
      <c r="BK54" s="653">
        <v>0.26</v>
      </c>
      <c r="BL54" s="653">
        <v>0.33</v>
      </c>
      <c r="BM54" s="653">
        <v>0.04</v>
      </c>
      <c r="BN54" s="74">
        <v>65</v>
      </c>
      <c r="BO54" s="74" t="s">
        <v>759</v>
      </c>
      <c r="BP54" s="74">
        <v>12</v>
      </c>
      <c r="BQ54" s="74" t="s">
        <v>758</v>
      </c>
      <c r="BR54" s="96">
        <v>0.14000000000000001</v>
      </c>
      <c r="BS54" s="96">
        <v>0.14000000000000001</v>
      </c>
      <c r="BT54" s="96">
        <v>0.23</v>
      </c>
      <c r="BU54" s="96">
        <v>0.41</v>
      </c>
      <c r="BV54" s="96">
        <v>0.09</v>
      </c>
      <c r="BW54" s="933">
        <v>69</v>
      </c>
      <c r="BX54" s="933" t="s">
        <v>759</v>
      </c>
      <c r="BY54" s="933">
        <v>8</v>
      </c>
      <c r="BZ54" s="933" t="s">
        <v>758</v>
      </c>
      <c r="CA54" s="949">
        <v>0</v>
      </c>
      <c r="CB54" s="949">
        <v>0.11</v>
      </c>
      <c r="CC54" s="949">
        <v>0.33</v>
      </c>
      <c r="CD54" s="949">
        <v>0.37</v>
      </c>
      <c r="CE54" s="949">
        <v>0.19</v>
      </c>
      <c r="CF54" s="922">
        <v>325754005480</v>
      </c>
      <c r="CG54" s="126" t="s">
        <v>798</v>
      </c>
    </row>
    <row r="55" spans="1:85" ht="24.95" customHeight="1" x14ac:dyDescent="0.2">
      <c r="A55" s="126" t="s">
        <v>60</v>
      </c>
      <c r="B55" s="1" t="s">
        <v>123</v>
      </c>
      <c r="C55" s="2">
        <v>1</v>
      </c>
      <c r="D55" s="12">
        <v>54</v>
      </c>
      <c r="E55" s="12">
        <v>9</v>
      </c>
      <c r="F55" s="66">
        <v>0.32</v>
      </c>
      <c r="G55" s="66">
        <v>0.35</v>
      </c>
      <c r="H55" s="66">
        <v>0.25</v>
      </c>
      <c r="I55" s="66">
        <v>0.08</v>
      </c>
      <c r="J55" s="66">
        <v>0</v>
      </c>
      <c r="K55" s="12">
        <v>53</v>
      </c>
      <c r="L55" s="12">
        <v>10</v>
      </c>
      <c r="M55" s="61">
        <v>0.38</v>
      </c>
      <c r="N55" s="61">
        <v>0.27</v>
      </c>
      <c r="O55" s="61">
        <v>0.28999999999999998</v>
      </c>
      <c r="P55" s="61">
        <v>0.06</v>
      </c>
      <c r="Q55" s="61">
        <v>0</v>
      </c>
      <c r="R55" s="12">
        <v>54</v>
      </c>
      <c r="S55" s="12">
        <v>9</v>
      </c>
      <c r="T55" s="63">
        <v>0.18</v>
      </c>
      <c r="U55" s="63">
        <v>0.56000000000000005</v>
      </c>
      <c r="V55" s="63">
        <v>0.18</v>
      </c>
      <c r="W55" s="63">
        <v>0.09</v>
      </c>
      <c r="X55" s="63">
        <v>0</v>
      </c>
      <c r="Y55" s="12">
        <v>52</v>
      </c>
      <c r="Z55" s="12">
        <v>10</v>
      </c>
      <c r="AA55" s="63">
        <v>0.33</v>
      </c>
      <c r="AB55" s="63">
        <v>0.35</v>
      </c>
      <c r="AC55" s="63">
        <v>0.23</v>
      </c>
      <c r="AD55" s="63">
        <v>0.09</v>
      </c>
      <c r="AE55" s="63">
        <v>0</v>
      </c>
      <c r="AF55" s="25">
        <v>50</v>
      </c>
      <c r="AG55" s="25">
        <v>10</v>
      </c>
      <c r="AH55" s="61">
        <v>0.47</v>
      </c>
      <c r="AI55" s="61">
        <v>0.31</v>
      </c>
      <c r="AJ55" s="61">
        <v>0.15</v>
      </c>
      <c r="AK55" s="61">
        <v>7.0000000000000007E-2</v>
      </c>
      <c r="AL55" s="61">
        <v>0</v>
      </c>
      <c r="AM55" s="246">
        <v>55</v>
      </c>
      <c r="AN55" s="246" t="s">
        <v>758</v>
      </c>
      <c r="AO55" s="246">
        <v>8</v>
      </c>
      <c r="AP55" s="246" t="s">
        <v>758</v>
      </c>
      <c r="AQ55" s="263">
        <v>0.15</v>
      </c>
      <c r="AR55" s="263">
        <v>0.53</v>
      </c>
      <c r="AS55" s="263">
        <v>0.25</v>
      </c>
      <c r="AT55" s="263">
        <v>7.0000000000000007E-2</v>
      </c>
      <c r="AU55" s="263">
        <v>0</v>
      </c>
      <c r="AV55" s="309">
        <v>51</v>
      </c>
      <c r="AW55" s="309" t="s">
        <v>758</v>
      </c>
      <c r="AX55" s="309">
        <v>9</v>
      </c>
      <c r="AY55" s="309" t="s">
        <v>758</v>
      </c>
      <c r="AZ55" s="327">
        <v>0.36</v>
      </c>
      <c r="BA55" s="327">
        <v>0.43</v>
      </c>
      <c r="BB55" s="327">
        <v>0.15</v>
      </c>
      <c r="BC55" s="327">
        <v>0.06</v>
      </c>
      <c r="BD55" s="327">
        <v>0</v>
      </c>
      <c r="BE55" s="424">
        <v>55</v>
      </c>
      <c r="BF55" s="424" t="s">
        <v>758</v>
      </c>
      <c r="BG55" s="424">
        <v>9</v>
      </c>
      <c r="BH55" s="424" t="s">
        <v>758</v>
      </c>
      <c r="BI55" s="428">
        <v>0.25</v>
      </c>
      <c r="BJ55" s="428">
        <v>0.33</v>
      </c>
      <c r="BK55" s="428">
        <v>0.3</v>
      </c>
      <c r="BL55" s="428">
        <v>0.12</v>
      </c>
      <c r="BM55" s="428">
        <v>0</v>
      </c>
      <c r="BN55" s="464">
        <v>56</v>
      </c>
      <c r="BO55" s="464" t="s">
        <v>758</v>
      </c>
      <c r="BP55" s="464">
        <v>10</v>
      </c>
      <c r="BQ55" s="464" t="s">
        <v>758</v>
      </c>
      <c r="BR55" s="476">
        <v>0.27</v>
      </c>
      <c r="BS55" s="476">
        <v>0.32</v>
      </c>
      <c r="BT55" s="476">
        <v>0.28999999999999998</v>
      </c>
      <c r="BU55" s="476">
        <v>0.13</v>
      </c>
      <c r="BV55" s="476">
        <v>0</v>
      </c>
      <c r="BW55" s="933">
        <v>57</v>
      </c>
      <c r="BX55" s="933" t="s">
        <v>758</v>
      </c>
      <c r="BY55" s="933">
        <v>10</v>
      </c>
      <c r="BZ55" s="933" t="s">
        <v>758</v>
      </c>
      <c r="CA55" s="949">
        <v>0.19</v>
      </c>
      <c r="CB55" s="949">
        <v>0.41</v>
      </c>
      <c r="CC55" s="949">
        <v>0.22</v>
      </c>
      <c r="CD55" s="949">
        <v>0.15</v>
      </c>
      <c r="CE55" s="949">
        <v>0.03</v>
      </c>
      <c r="CF55" s="922">
        <v>325754002961</v>
      </c>
      <c r="CG55" s="126" t="s">
        <v>60</v>
      </c>
    </row>
    <row r="56" spans="1:85" ht="24.95" customHeight="1" x14ac:dyDescent="0.2">
      <c r="A56" s="555" t="s">
        <v>131</v>
      </c>
      <c r="B56" s="1" t="s">
        <v>123</v>
      </c>
      <c r="C56" s="309">
        <v>1</v>
      </c>
      <c r="D56" s="328" t="s">
        <v>126</v>
      </c>
      <c r="E56" s="328" t="s">
        <v>126</v>
      </c>
      <c r="F56" s="328"/>
      <c r="G56" s="328"/>
      <c r="H56" s="328"/>
      <c r="I56" s="328"/>
      <c r="J56" s="328"/>
      <c r="K56" s="328" t="s">
        <v>126</v>
      </c>
      <c r="L56" s="328" t="s">
        <v>126</v>
      </c>
      <c r="M56" s="330"/>
      <c r="N56" s="330"/>
      <c r="O56" s="330"/>
      <c r="P56" s="330"/>
      <c r="Q56" s="330"/>
      <c r="R56" s="328">
        <v>56</v>
      </c>
      <c r="S56" s="328">
        <v>7</v>
      </c>
      <c r="T56" s="327">
        <v>0.17</v>
      </c>
      <c r="U56" s="327">
        <v>0.33</v>
      </c>
      <c r="V56" s="327">
        <v>0.5</v>
      </c>
      <c r="W56" s="327">
        <v>0</v>
      </c>
      <c r="X56" s="327">
        <v>0</v>
      </c>
      <c r="Y56" s="328">
        <v>49</v>
      </c>
      <c r="Z56" s="328">
        <v>8</v>
      </c>
      <c r="AA56" s="327">
        <v>0.4</v>
      </c>
      <c r="AB56" s="327">
        <v>0.5</v>
      </c>
      <c r="AC56" s="327">
        <v>0.1</v>
      </c>
      <c r="AD56" s="327">
        <v>0</v>
      </c>
      <c r="AE56" s="327">
        <v>0</v>
      </c>
      <c r="AF56" s="329">
        <v>46</v>
      </c>
      <c r="AG56" s="329">
        <v>9</v>
      </c>
      <c r="AH56" s="330">
        <v>0.7</v>
      </c>
      <c r="AI56" s="330">
        <v>0.2</v>
      </c>
      <c r="AJ56" s="330">
        <v>0.1</v>
      </c>
      <c r="AK56" s="330">
        <v>0</v>
      </c>
      <c r="AL56" s="330">
        <v>0</v>
      </c>
      <c r="AM56" s="312">
        <v>57</v>
      </c>
      <c r="AN56" s="312" t="s">
        <v>758</v>
      </c>
      <c r="AO56" s="312">
        <v>3</v>
      </c>
      <c r="AP56" s="312" t="s">
        <v>760</v>
      </c>
      <c r="AQ56" s="332">
        <v>0</v>
      </c>
      <c r="AR56" s="332">
        <v>0.5</v>
      </c>
      <c r="AS56" s="332">
        <v>0.5</v>
      </c>
      <c r="AT56" s="332">
        <v>0</v>
      </c>
      <c r="AU56" s="332">
        <v>0</v>
      </c>
      <c r="AV56" s="309">
        <v>57</v>
      </c>
      <c r="AW56" s="309" t="s">
        <v>758</v>
      </c>
      <c r="AX56" s="309">
        <v>14</v>
      </c>
      <c r="AY56" s="309" t="s">
        <v>758</v>
      </c>
      <c r="AZ56" s="327">
        <v>0.3</v>
      </c>
      <c r="BA56" s="327">
        <v>0.3</v>
      </c>
      <c r="BB56" s="327">
        <v>0</v>
      </c>
      <c r="BC56" s="327">
        <v>0.3</v>
      </c>
      <c r="BD56" s="327">
        <v>0.1</v>
      </c>
      <c r="BE56" s="424">
        <v>55</v>
      </c>
      <c r="BF56" s="424" t="s">
        <v>758</v>
      </c>
      <c r="BG56" s="424">
        <v>12</v>
      </c>
      <c r="BH56" s="424" t="s">
        <v>758</v>
      </c>
      <c r="BI56" s="428">
        <v>0.25</v>
      </c>
      <c r="BJ56" s="428">
        <v>0.35</v>
      </c>
      <c r="BK56" s="428">
        <v>0.3</v>
      </c>
      <c r="BL56" s="428">
        <v>0.05</v>
      </c>
      <c r="BM56" s="428">
        <v>0.05</v>
      </c>
      <c r="BN56" s="464">
        <v>55</v>
      </c>
      <c r="BO56" s="464" t="s">
        <v>758</v>
      </c>
      <c r="BP56" s="464">
        <v>8</v>
      </c>
      <c r="BQ56" s="464" t="s">
        <v>758</v>
      </c>
      <c r="BR56" s="476">
        <v>0.14000000000000001</v>
      </c>
      <c r="BS56" s="476">
        <v>0.56999999999999995</v>
      </c>
      <c r="BT56" s="476">
        <v>0.14000000000000001</v>
      </c>
      <c r="BU56" s="476">
        <v>0.14000000000000001</v>
      </c>
      <c r="BV56" s="476">
        <v>0</v>
      </c>
      <c r="BW56" s="933">
        <v>51</v>
      </c>
      <c r="BX56" s="933" t="s">
        <v>758</v>
      </c>
      <c r="BY56" s="933">
        <v>7</v>
      </c>
      <c r="BZ56" s="933" t="s">
        <v>760</v>
      </c>
      <c r="CA56" s="949">
        <v>0.46</v>
      </c>
      <c r="CB56" s="949">
        <v>0.38</v>
      </c>
      <c r="CC56" s="949">
        <v>0.08</v>
      </c>
      <c r="CD56" s="949">
        <v>0.08</v>
      </c>
      <c r="CE56" s="949">
        <v>0</v>
      </c>
      <c r="CF56" s="922">
        <v>325754005226</v>
      </c>
      <c r="CG56" s="555" t="s">
        <v>131</v>
      </c>
    </row>
    <row r="57" spans="1:85" ht="24.95" customHeight="1" x14ac:dyDescent="0.2">
      <c r="A57" s="126" t="s">
        <v>67</v>
      </c>
      <c r="B57" s="1" t="s">
        <v>123</v>
      </c>
      <c r="C57" s="2">
        <v>2</v>
      </c>
      <c r="D57" s="12">
        <v>55</v>
      </c>
      <c r="E57" s="12">
        <v>10</v>
      </c>
      <c r="F57" s="66">
        <v>0.28000000000000003</v>
      </c>
      <c r="G57" s="66">
        <v>0.33</v>
      </c>
      <c r="H57" s="66">
        <v>0.3</v>
      </c>
      <c r="I57" s="66">
        <v>0.09</v>
      </c>
      <c r="J57" s="66">
        <v>0</v>
      </c>
      <c r="K57" s="12">
        <v>52</v>
      </c>
      <c r="L57" s="12">
        <v>10</v>
      </c>
      <c r="M57" s="61">
        <v>0.41</v>
      </c>
      <c r="N57" s="61">
        <v>0.24</v>
      </c>
      <c r="O57" s="61">
        <v>0.3</v>
      </c>
      <c r="P57" s="61">
        <v>0.06</v>
      </c>
      <c r="Q57" s="61">
        <v>0</v>
      </c>
      <c r="R57" s="12">
        <v>52</v>
      </c>
      <c r="S57" s="12">
        <v>9</v>
      </c>
      <c r="T57" s="63">
        <v>0.3</v>
      </c>
      <c r="U57" s="63">
        <v>0.45</v>
      </c>
      <c r="V57" s="63">
        <v>0.18</v>
      </c>
      <c r="W57" s="63">
        <v>7.0000000000000007E-2</v>
      </c>
      <c r="X57" s="63">
        <v>0</v>
      </c>
      <c r="Y57" s="12">
        <v>54</v>
      </c>
      <c r="Z57" s="12">
        <v>10</v>
      </c>
      <c r="AA57" s="63">
        <v>0.23</v>
      </c>
      <c r="AB57" s="63">
        <v>0.48</v>
      </c>
      <c r="AC57" s="63">
        <v>0.19</v>
      </c>
      <c r="AD57" s="63">
        <v>0.08</v>
      </c>
      <c r="AE57" s="63">
        <v>0.02</v>
      </c>
      <c r="AF57" s="25">
        <v>47</v>
      </c>
      <c r="AG57" s="25">
        <v>7</v>
      </c>
      <c r="AH57" s="61">
        <v>0.59</v>
      </c>
      <c r="AI57" s="61">
        <v>0.28999999999999998</v>
      </c>
      <c r="AJ57" s="61">
        <v>0.11</v>
      </c>
      <c r="AK57" s="61">
        <v>0.01</v>
      </c>
      <c r="AL57" s="61">
        <v>0</v>
      </c>
      <c r="AM57" s="246">
        <v>55</v>
      </c>
      <c r="AN57" s="246" t="s">
        <v>758</v>
      </c>
      <c r="AO57" s="246">
        <v>10</v>
      </c>
      <c r="AP57" s="246" t="s">
        <v>758</v>
      </c>
      <c r="AQ57" s="263">
        <v>0.22</v>
      </c>
      <c r="AR57" s="263">
        <v>0.38</v>
      </c>
      <c r="AS57" s="263">
        <v>0.3</v>
      </c>
      <c r="AT57" s="263">
        <v>0.1</v>
      </c>
      <c r="AU57" s="263">
        <v>0</v>
      </c>
      <c r="AV57" s="309">
        <v>57</v>
      </c>
      <c r="AW57" s="309" t="s">
        <v>758</v>
      </c>
      <c r="AX57" s="309">
        <v>10</v>
      </c>
      <c r="AY57" s="309" t="s">
        <v>758</v>
      </c>
      <c r="AZ57" s="327">
        <v>0.18</v>
      </c>
      <c r="BA57" s="327">
        <v>0.35</v>
      </c>
      <c r="BB57" s="327">
        <v>0.35</v>
      </c>
      <c r="BC57" s="327">
        <v>0.08</v>
      </c>
      <c r="BD57" s="327">
        <v>0.04</v>
      </c>
      <c r="BE57" s="424">
        <v>58</v>
      </c>
      <c r="BF57" s="424" t="s">
        <v>758</v>
      </c>
      <c r="BG57" s="424">
        <v>9</v>
      </c>
      <c r="BH57" s="424" t="s">
        <v>758</v>
      </c>
      <c r="BI57" s="428">
        <v>0.1</v>
      </c>
      <c r="BJ57" s="428">
        <v>0.38</v>
      </c>
      <c r="BK57" s="428">
        <v>0.39</v>
      </c>
      <c r="BL57" s="428">
        <v>0.13</v>
      </c>
      <c r="BM57" s="428">
        <v>0.01</v>
      </c>
      <c r="BN57" s="464">
        <v>59</v>
      </c>
      <c r="BO57" s="464" t="s">
        <v>758</v>
      </c>
      <c r="BP57" s="464">
        <v>9</v>
      </c>
      <c r="BQ57" s="464" t="s">
        <v>758</v>
      </c>
      <c r="BR57" s="476">
        <v>0.12</v>
      </c>
      <c r="BS57" s="476">
        <v>0.33</v>
      </c>
      <c r="BT57" s="476">
        <v>0.4</v>
      </c>
      <c r="BU57" s="476">
        <v>0.11</v>
      </c>
      <c r="BV57" s="476">
        <v>0.04</v>
      </c>
      <c r="BW57" s="933">
        <v>57</v>
      </c>
      <c r="BX57" s="933" t="s">
        <v>758</v>
      </c>
      <c r="BY57" s="933">
        <v>12</v>
      </c>
      <c r="BZ57" s="933" t="s">
        <v>758</v>
      </c>
      <c r="CA57" s="949">
        <v>0.22</v>
      </c>
      <c r="CB57" s="949">
        <v>0.24</v>
      </c>
      <c r="CC57" s="949">
        <v>0.36</v>
      </c>
      <c r="CD57" s="949">
        <v>0.15</v>
      </c>
      <c r="CE57" s="949">
        <v>0.02</v>
      </c>
      <c r="CF57" s="922">
        <v>325754004131</v>
      </c>
      <c r="CG57" s="126" t="s">
        <v>67</v>
      </c>
    </row>
    <row r="58" spans="1:85" ht="24.95" customHeight="1" x14ac:dyDescent="0.2">
      <c r="A58" s="126" t="s">
        <v>85</v>
      </c>
      <c r="B58" s="1" t="s">
        <v>123</v>
      </c>
      <c r="C58" s="2">
        <v>3</v>
      </c>
      <c r="D58" s="12">
        <v>59</v>
      </c>
      <c r="E58" s="12">
        <v>10</v>
      </c>
      <c r="F58" s="66">
        <v>0.19</v>
      </c>
      <c r="G58" s="66">
        <v>0.19</v>
      </c>
      <c r="H58" s="66">
        <v>0.44</v>
      </c>
      <c r="I58" s="66">
        <v>0.19</v>
      </c>
      <c r="J58" s="66">
        <v>0</v>
      </c>
      <c r="K58" s="12">
        <v>47</v>
      </c>
      <c r="L58" s="12">
        <v>9</v>
      </c>
      <c r="M58" s="61">
        <v>0.43</v>
      </c>
      <c r="N58" s="61">
        <v>0.5</v>
      </c>
      <c r="O58" s="61">
        <v>7.0000000000000007E-2</v>
      </c>
      <c r="P58" s="61">
        <v>0</v>
      </c>
      <c r="Q58" s="61">
        <v>0</v>
      </c>
      <c r="R58" s="12">
        <v>55</v>
      </c>
      <c r="S58" s="12">
        <v>10</v>
      </c>
      <c r="T58" s="63">
        <v>0.17</v>
      </c>
      <c r="U58" s="63">
        <v>0.43</v>
      </c>
      <c r="V58" s="63">
        <v>0.35</v>
      </c>
      <c r="W58" s="63">
        <v>0.04</v>
      </c>
      <c r="X58" s="63">
        <v>0</v>
      </c>
      <c r="Y58" s="12">
        <v>49</v>
      </c>
      <c r="Z58" s="12">
        <v>10</v>
      </c>
      <c r="AA58" s="63">
        <v>0.32</v>
      </c>
      <c r="AB58" s="63">
        <v>0.55000000000000004</v>
      </c>
      <c r="AC58" s="63">
        <v>0.14000000000000001</v>
      </c>
      <c r="AD58" s="63">
        <v>0</v>
      </c>
      <c r="AE58" s="63">
        <v>0</v>
      </c>
      <c r="AF58" s="25">
        <v>51</v>
      </c>
      <c r="AG58" s="25">
        <v>9</v>
      </c>
      <c r="AH58" s="61">
        <v>0.34</v>
      </c>
      <c r="AI58" s="61">
        <v>0.45</v>
      </c>
      <c r="AJ58" s="61">
        <v>0.14000000000000001</v>
      </c>
      <c r="AK58" s="61">
        <v>7.0000000000000007E-2</v>
      </c>
      <c r="AL58" s="61">
        <v>0</v>
      </c>
      <c r="AM58" s="246">
        <v>53</v>
      </c>
      <c r="AN58" s="246" t="s">
        <v>758</v>
      </c>
      <c r="AO58" s="246">
        <v>11</v>
      </c>
      <c r="AP58" s="246" t="s">
        <v>758</v>
      </c>
      <c r="AQ58" s="263">
        <v>0.35</v>
      </c>
      <c r="AR58" s="263">
        <v>0.35</v>
      </c>
      <c r="AS58" s="263">
        <v>0.2</v>
      </c>
      <c r="AT58" s="263">
        <v>0.11</v>
      </c>
      <c r="AU58" s="263">
        <v>0</v>
      </c>
      <c r="AV58" s="309">
        <v>48</v>
      </c>
      <c r="AW58" s="309" t="s">
        <v>758</v>
      </c>
      <c r="AX58" s="309">
        <v>11</v>
      </c>
      <c r="AY58" s="309" t="s">
        <v>758</v>
      </c>
      <c r="AZ58" s="327">
        <v>0.56000000000000005</v>
      </c>
      <c r="BA58" s="327">
        <v>0.28000000000000003</v>
      </c>
      <c r="BB58" s="327">
        <v>0.08</v>
      </c>
      <c r="BC58" s="327">
        <v>0.08</v>
      </c>
      <c r="BD58" s="327">
        <v>0</v>
      </c>
      <c r="BE58" s="424">
        <v>52</v>
      </c>
      <c r="BF58" s="424" t="s">
        <v>758</v>
      </c>
      <c r="BG58" s="424">
        <v>12</v>
      </c>
      <c r="BH58" s="424" t="s">
        <v>758</v>
      </c>
      <c r="BI58" s="428">
        <v>0.45</v>
      </c>
      <c r="BJ58" s="428">
        <v>0.32</v>
      </c>
      <c r="BK58" s="428">
        <v>0.16</v>
      </c>
      <c r="BL58" s="428">
        <v>0.05</v>
      </c>
      <c r="BM58" s="428">
        <v>0.03</v>
      </c>
      <c r="BN58" s="464">
        <v>53</v>
      </c>
      <c r="BO58" s="464" t="s">
        <v>758</v>
      </c>
      <c r="BP58" s="464">
        <v>12</v>
      </c>
      <c r="BQ58" s="464" t="s">
        <v>758</v>
      </c>
      <c r="BR58" s="476">
        <v>0.31</v>
      </c>
      <c r="BS58" s="476">
        <v>0.37</v>
      </c>
      <c r="BT58" s="476">
        <v>0.17</v>
      </c>
      <c r="BU58" s="476">
        <v>0.11</v>
      </c>
      <c r="BV58" s="476">
        <v>0.03</v>
      </c>
      <c r="BW58" s="933">
        <v>51</v>
      </c>
      <c r="BX58" s="933" t="s">
        <v>758</v>
      </c>
      <c r="BY58" s="933">
        <v>11</v>
      </c>
      <c r="BZ58" s="933" t="s">
        <v>758</v>
      </c>
      <c r="CA58" s="949">
        <v>0.45</v>
      </c>
      <c r="CB58" s="949">
        <v>0.3</v>
      </c>
      <c r="CC58" s="949">
        <v>0.15</v>
      </c>
      <c r="CD58" s="949">
        <v>0.06</v>
      </c>
      <c r="CE58" s="949">
        <v>0.03</v>
      </c>
      <c r="CF58" s="922">
        <v>325754000771</v>
      </c>
      <c r="CG58" s="126" t="s">
        <v>85</v>
      </c>
    </row>
    <row r="59" spans="1:85" ht="24.95" customHeight="1" x14ac:dyDescent="0.2">
      <c r="A59" s="126" t="s">
        <v>727</v>
      </c>
      <c r="B59" s="1" t="s">
        <v>123</v>
      </c>
      <c r="C59" s="2">
        <v>4</v>
      </c>
      <c r="D59" s="12"/>
      <c r="E59" s="12"/>
      <c r="F59" s="66"/>
      <c r="G59" s="66"/>
      <c r="H59" s="66"/>
      <c r="I59" s="66"/>
      <c r="J59" s="66"/>
      <c r="K59" s="12"/>
      <c r="L59" s="12"/>
      <c r="M59" s="61"/>
      <c r="N59" s="61"/>
      <c r="O59" s="61"/>
      <c r="P59" s="61"/>
      <c r="Q59" s="61"/>
      <c r="R59" s="12"/>
      <c r="S59" s="12"/>
      <c r="T59" s="63"/>
      <c r="U59" s="63"/>
      <c r="V59" s="63"/>
      <c r="W59" s="63"/>
      <c r="X59" s="63"/>
      <c r="Y59" s="12"/>
      <c r="Z59" s="12"/>
      <c r="AA59" s="63"/>
      <c r="AB59" s="63"/>
      <c r="AC59" s="63"/>
      <c r="AD59" s="63"/>
      <c r="AE59" s="63"/>
      <c r="AF59" s="25"/>
      <c r="AG59" s="25"/>
      <c r="AH59" s="61"/>
      <c r="AI59" s="61"/>
      <c r="AJ59" s="61"/>
      <c r="AK59" s="61"/>
      <c r="AL59" s="61"/>
      <c r="AM59" s="646"/>
      <c r="AN59" s="646"/>
      <c r="AO59" s="646"/>
      <c r="AP59" s="646"/>
      <c r="AQ59" s="646"/>
      <c r="AR59" s="646"/>
      <c r="AS59" s="646"/>
      <c r="AT59" s="646"/>
      <c r="AU59" s="646"/>
      <c r="AV59" s="649"/>
      <c r="AW59" s="649"/>
      <c r="AX59" s="649"/>
      <c r="AY59" s="649"/>
      <c r="AZ59" s="649"/>
      <c r="BA59" s="649"/>
      <c r="BB59" s="649"/>
      <c r="BC59" s="649"/>
      <c r="BD59" s="649"/>
      <c r="BE59" s="651"/>
      <c r="BF59" s="651"/>
      <c r="BG59" s="651"/>
      <c r="BH59" s="651"/>
      <c r="BI59" s="651"/>
      <c r="BJ59" s="651"/>
      <c r="BK59" s="651"/>
      <c r="BL59" s="651"/>
      <c r="BM59" s="651"/>
      <c r="BN59" s="650"/>
      <c r="BO59" s="650"/>
      <c r="BP59" s="650"/>
      <c r="BQ59" s="650"/>
      <c r="BR59" s="650"/>
      <c r="BS59" s="650"/>
      <c r="BT59" s="650"/>
      <c r="BU59" s="650"/>
      <c r="BV59" s="650"/>
      <c r="BW59" s="933"/>
      <c r="BX59" s="933"/>
      <c r="BY59" s="933"/>
      <c r="BZ59" s="933"/>
      <c r="CA59" s="949"/>
      <c r="CB59" s="949"/>
      <c r="CC59" s="949"/>
      <c r="CD59" s="949"/>
      <c r="CE59" s="949"/>
      <c r="CG59" s="126" t="s">
        <v>727</v>
      </c>
    </row>
    <row r="60" spans="1:85" ht="24.95" customHeight="1" x14ac:dyDescent="0.2">
      <c r="A60" s="126" t="s">
        <v>109</v>
      </c>
      <c r="B60" s="1" t="s">
        <v>123</v>
      </c>
      <c r="C60" s="2">
        <v>3</v>
      </c>
      <c r="D60" s="12">
        <v>58</v>
      </c>
      <c r="E60" s="12">
        <v>9</v>
      </c>
      <c r="F60" s="66">
        <v>0.13</v>
      </c>
      <c r="G60" s="66">
        <v>0.34</v>
      </c>
      <c r="H60" s="66">
        <v>0.38</v>
      </c>
      <c r="I60" s="66">
        <v>0.13</v>
      </c>
      <c r="J60" s="66">
        <v>0.01</v>
      </c>
      <c r="K60" s="12">
        <v>57</v>
      </c>
      <c r="L60" s="12">
        <v>9</v>
      </c>
      <c r="M60" s="61">
        <v>0.11</v>
      </c>
      <c r="N60" s="61">
        <v>0.44</v>
      </c>
      <c r="O60" s="61">
        <v>0.3</v>
      </c>
      <c r="P60" s="61">
        <v>0.15</v>
      </c>
      <c r="Q60" s="61">
        <v>0</v>
      </c>
      <c r="R60" s="12">
        <v>57</v>
      </c>
      <c r="S60" s="12">
        <v>9</v>
      </c>
      <c r="T60" s="63">
        <v>0.16</v>
      </c>
      <c r="U60" s="63">
        <v>0.35</v>
      </c>
      <c r="V60" s="63">
        <v>0.39</v>
      </c>
      <c r="W60" s="63">
        <v>0.09</v>
      </c>
      <c r="X60" s="63">
        <v>0.01</v>
      </c>
      <c r="Y60" s="12">
        <v>58</v>
      </c>
      <c r="Z60" s="12">
        <v>9</v>
      </c>
      <c r="AA60" s="63">
        <v>0.16</v>
      </c>
      <c r="AB60" s="63">
        <v>0.34</v>
      </c>
      <c r="AC60" s="63">
        <v>0.31</v>
      </c>
      <c r="AD60" s="63">
        <v>0.19</v>
      </c>
      <c r="AE60" s="63">
        <v>0.01</v>
      </c>
      <c r="AF60" s="25">
        <v>52</v>
      </c>
      <c r="AG60" s="25">
        <v>9</v>
      </c>
      <c r="AH60" s="61">
        <v>0.28000000000000003</v>
      </c>
      <c r="AI60" s="61">
        <v>0.47</v>
      </c>
      <c r="AJ60" s="61">
        <v>0.18</v>
      </c>
      <c r="AK60" s="61">
        <v>7.0000000000000007E-2</v>
      </c>
      <c r="AL60" s="61">
        <v>0</v>
      </c>
      <c r="AM60" s="246">
        <v>57</v>
      </c>
      <c r="AN60" s="246" t="s">
        <v>758</v>
      </c>
      <c r="AO60" s="246">
        <v>11</v>
      </c>
      <c r="AP60" s="246" t="s">
        <v>758</v>
      </c>
      <c r="AQ60" s="263">
        <v>0.18</v>
      </c>
      <c r="AR60" s="263">
        <v>0.4</v>
      </c>
      <c r="AS60" s="263">
        <v>0.26</v>
      </c>
      <c r="AT60" s="263">
        <v>0.14000000000000001</v>
      </c>
      <c r="AU60" s="263">
        <v>0.02</v>
      </c>
      <c r="AV60" s="309">
        <v>60</v>
      </c>
      <c r="AW60" s="309" t="s">
        <v>758</v>
      </c>
      <c r="AX60" s="309">
        <v>11</v>
      </c>
      <c r="AY60" s="309" t="s">
        <v>758</v>
      </c>
      <c r="AZ60" s="327">
        <v>0.11</v>
      </c>
      <c r="BA60" s="327">
        <v>0.3</v>
      </c>
      <c r="BB60" s="327">
        <v>0.35</v>
      </c>
      <c r="BC60" s="327">
        <v>0.23</v>
      </c>
      <c r="BD60" s="327">
        <v>0.01</v>
      </c>
      <c r="BE60" s="424">
        <v>60</v>
      </c>
      <c r="BF60" s="424" t="s">
        <v>758</v>
      </c>
      <c r="BG60" s="424">
        <v>9</v>
      </c>
      <c r="BH60" s="424" t="s">
        <v>758</v>
      </c>
      <c r="BI60" s="428">
        <v>0.09</v>
      </c>
      <c r="BJ60" s="428">
        <v>0.33</v>
      </c>
      <c r="BK60" s="428">
        <v>0.34</v>
      </c>
      <c r="BL60" s="428">
        <v>0.21</v>
      </c>
      <c r="BM60" s="428">
        <v>0.02</v>
      </c>
      <c r="BN60" s="464">
        <v>61</v>
      </c>
      <c r="BO60" s="464" t="s">
        <v>758</v>
      </c>
      <c r="BP60" s="464">
        <v>10</v>
      </c>
      <c r="BQ60" s="464" t="s">
        <v>758</v>
      </c>
      <c r="BR60" s="476">
        <v>0.08</v>
      </c>
      <c r="BS60" s="476">
        <v>0.31</v>
      </c>
      <c r="BT60" s="476">
        <v>0.33</v>
      </c>
      <c r="BU60" s="476">
        <v>0.23</v>
      </c>
      <c r="BV60" s="476">
        <v>0.05</v>
      </c>
      <c r="BW60" s="933">
        <v>61</v>
      </c>
      <c r="BX60" s="933" t="s">
        <v>758</v>
      </c>
      <c r="BY60" s="933">
        <v>10</v>
      </c>
      <c r="BZ60" s="933" t="s">
        <v>758</v>
      </c>
      <c r="CA60" s="949">
        <v>0.11</v>
      </c>
      <c r="CB60" s="949">
        <v>0.24</v>
      </c>
      <c r="CC60" s="949">
        <v>0.43</v>
      </c>
      <c r="CD60" s="949">
        <v>0.2</v>
      </c>
      <c r="CE60" s="949">
        <v>0.03</v>
      </c>
      <c r="CF60" s="922">
        <v>325754005412</v>
      </c>
      <c r="CG60" s="126" t="s">
        <v>109</v>
      </c>
    </row>
    <row r="61" spans="1:85" s="896" customFormat="1" ht="24.95" customHeight="1" x14ac:dyDescent="0.2">
      <c r="A61" s="934" t="s">
        <v>960</v>
      </c>
      <c r="B61" s="1" t="s">
        <v>123</v>
      </c>
      <c r="C61" s="935">
        <v>6</v>
      </c>
      <c r="D61" s="936"/>
      <c r="E61" s="936"/>
      <c r="F61" s="937"/>
      <c r="G61" s="937"/>
      <c r="H61" s="937"/>
      <c r="I61" s="937"/>
      <c r="J61" s="937"/>
      <c r="K61" s="936"/>
      <c r="L61" s="936"/>
      <c r="M61" s="947"/>
      <c r="N61" s="947"/>
      <c r="O61" s="947"/>
      <c r="P61" s="947"/>
      <c r="Q61" s="947"/>
      <c r="R61" s="936"/>
      <c r="S61" s="936"/>
      <c r="T61" s="939"/>
      <c r="U61" s="939"/>
      <c r="V61" s="939"/>
      <c r="W61" s="939"/>
      <c r="X61" s="939"/>
      <c r="Y61" s="936"/>
      <c r="Z61" s="936"/>
      <c r="AA61" s="939"/>
      <c r="AB61" s="939"/>
      <c r="AC61" s="939"/>
      <c r="AD61" s="939"/>
      <c r="AE61" s="939"/>
      <c r="AF61" s="948"/>
      <c r="AG61" s="948"/>
      <c r="AH61" s="947"/>
      <c r="AI61" s="947"/>
      <c r="AJ61" s="947"/>
      <c r="AK61" s="947"/>
      <c r="AL61" s="947"/>
      <c r="AM61" s="915"/>
      <c r="AN61" s="915"/>
      <c r="AO61" s="915"/>
      <c r="AP61" s="915"/>
      <c r="AQ61" s="916"/>
      <c r="AR61" s="916"/>
      <c r="AS61" s="916"/>
      <c r="AT61" s="916"/>
      <c r="AU61" s="916"/>
      <c r="AV61" s="917"/>
      <c r="AW61" s="917"/>
      <c r="AX61" s="917"/>
      <c r="AY61" s="917"/>
      <c r="AZ61" s="918"/>
      <c r="BA61" s="918"/>
      <c r="BB61" s="918"/>
      <c r="BC61" s="918"/>
      <c r="BD61" s="918"/>
      <c r="BE61" s="919"/>
      <c r="BF61" s="919"/>
      <c r="BG61" s="919"/>
      <c r="BH61" s="919"/>
      <c r="BI61" s="920"/>
      <c r="BJ61" s="920"/>
      <c r="BK61" s="920"/>
      <c r="BL61" s="920"/>
      <c r="BM61" s="920"/>
      <c r="BN61" s="917"/>
      <c r="BO61" s="917"/>
      <c r="BP61" s="917"/>
      <c r="BQ61" s="917"/>
      <c r="BR61" s="918"/>
      <c r="BS61" s="918"/>
      <c r="BT61" s="918"/>
      <c r="BU61" s="918"/>
      <c r="BV61" s="918"/>
      <c r="BW61" s="933">
        <v>47</v>
      </c>
      <c r="BX61" s="933" t="s">
        <v>760</v>
      </c>
      <c r="BY61" s="933">
        <v>12</v>
      </c>
      <c r="BZ61" s="933" t="s">
        <v>758</v>
      </c>
      <c r="CA61" s="949">
        <v>0.53</v>
      </c>
      <c r="CB61" s="949">
        <v>0.24</v>
      </c>
      <c r="CC61" s="949">
        <v>0.18</v>
      </c>
      <c r="CD61" s="949">
        <v>0.06</v>
      </c>
      <c r="CE61" s="949">
        <v>0</v>
      </c>
      <c r="CF61" s="922">
        <v>325754003622</v>
      </c>
      <c r="CG61" s="934" t="s">
        <v>960</v>
      </c>
    </row>
    <row r="62" spans="1:85" ht="24.95" customHeight="1" x14ac:dyDescent="0.2">
      <c r="A62" s="126" t="s">
        <v>97</v>
      </c>
      <c r="B62" s="1" t="s">
        <v>123</v>
      </c>
      <c r="C62" s="2">
        <v>2</v>
      </c>
      <c r="D62" s="12">
        <v>54</v>
      </c>
      <c r="E62" s="12">
        <v>9</v>
      </c>
      <c r="F62" s="66">
        <v>0.23</v>
      </c>
      <c r="G62" s="66">
        <v>0.54</v>
      </c>
      <c r="H62" s="66">
        <v>0.13</v>
      </c>
      <c r="I62" s="66">
        <v>0.1</v>
      </c>
      <c r="J62" s="66">
        <v>0</v>
      </c>
      <c r="K62" s="12">
        <v>49</v>
      </c>
      <c r="L62" s="12">
        <v>10</v>
      </c>
      <c r="M62" s="61">
        <v>0.53</v>
      </c>
      <c r="N62" s="61">
        <v>0.33</v>
      </c>
      <c r="O62" s="61">
        <v>7.0000000000000007E-2</v>
      </c>
      <c r="P62" s="61">
        <v>7.0000000000000007E-2</v>
      </c>
      <c r="Q62" s="61">
        <v>0</v>
      </c>
      <c r="R62" s="12">
        <v>53</v>
      </c>
      <c r="S62" s="12">
        <v>9</v>
      </c>
      <c r="T62" s="63">
        <v>0.31</v>
      </c>
      <c r="U62" s="63">
        <v>0.42</v>
      </c>
      <c r="V62" s="63">
        <v>0.25</v>
      </c>
      <c r="W62" s="63">
        <v>0</v>
      </c>
      <c r="X62" s="63">
        <v>0.03</v>
      </c>
      <c r="Y62" s="12">
        <v>58</v>
      </c>
      <c r="Z62" s="12">
        <v>9</v>
      </c>
      <c r="AA62" s="63">
        <v>0.12</v>
      </c>
      <c r="AB62" s="63">
        <v>0.42</v>
      </c>
      <c r="AC62" s="63">
        <v>0.35</v>
      </c>
      <c r="AD62" s="63">
        <v>0.08</v>
      </c>
      <c r="AE62" s="63">
        <v>0.04</v>
      </c>
      <c r="AF62" s="25">
        <v>49</v>
      </c>
      <c r="AG62" s="25">
        <v>10</v>
      </c>
      <c r="AH62" s="61">
        <v>0.53</v>
      </c>
      <c r="AI62" s="61">
        <v>0.28000000000000003</v>
      </c>
      <c r="AJ62" s="61">
        <v>0.17</v>
      </c>
      <c r="AK62" s="61">
        <v>0.03</v>
      </c>
      <c r="AL62" s="61">
        <v>0</v>
      </c>
      <c r="AM62" s="647">
        <v>57</v>
      </c>
      <c r="AN62" s="647" t="s">
        <v>758</v>
      </c>
      <c r="AO62" s="647">
        <v>9</v>
      </c>
      <c r="AP62" s="647" t="s">
        <v>758</v>
      </c>
      <c r="AQ62" s="648">
        <v>0.13</v>
      </c>
      <c r="AR62" s="648">
        <v>0.44</v>
      </c>
      <c r="AS62" s="648">
        <v>0.34</v>
      </c>
      <c r="AT62" s="648">
        <v>0.09</v>
      </c>
      <c r="AU62" s="648">
        <v>0</v>
      </c>
      <c r="AV62" s="74">
        <v>60</v>
      </c>
      <c r="AW62" s="74" t="s">
        <v>758</v>
      </c>
      <c r="AX62" s="74">
        <v>9</v>
      </c>
      <c r="AY62" s="74" t="s">
        <v>758</v>
      </c>
      <c r="AZ62" s="96">
        <v>0.08</v>
      </c>
      <c r="BA62" s="96">
        <v>0.28999999999999998</v>
      </c>
      <c r="BB62" s="96">
        <v>0.42</v>
      </c>
      <c r="BC62" s="96">
        <v>0.21</v>
      </c>
      <c r="BD62" s="96">
        <v>0</v>
      </c>
      <c r="BE62" s="652">
        <v>57</v>
      </c>
      <c r="BF62" s="652" t="s">
        <v>758</v>
      </c>
      <c r="BG62" s="652">
        <v>11</v>
      </c>
      <c r="BH62" s="652" t="s">
        <v>758</v>
      </c>
      <c r="BI62" s="653">
        <v>0.12</v>
      </c>
      <c r="BJ62" s="653">
        <v>0.36</v>
      </c>
      <c r="BK62" s="653">
        <v>0.36</v>
      </c>
      <c r="BL62" s="653">
        <v>0.15</v>
      </c>
      <c r="BM62" s="653">
        <v>0</v>
      </c>
      <c r="BN62" s="74">
        <v>57</v>
      </c>
      <c r="BO62" s="74" t="s">
        <v>758</v>
      </c>
      <c r="BP62" s="74">
        <v>10</v>
      </c>
      <c r="BQ62" s="74" t="s">
        <v>758</v>
      </c>
      <c r="BR62" s="96">
        <v>0.2</v>
      </c>
      <c r="BS62" s="96">
        <v>0.34</v>
      </c>
      <c r="BT62" s="96">
        <v>0.31</v>
      </c>
      <c r="BU62" s="96">
        <v>0.11</v>
      </c>
      <c r="BV62" s="96">
        <v>0.03</v>
      </c>
      <c r="BW62" s="933">
        <v>58</v>
      </c>
      <c r="BX62" s="933" t="s">
        <v>758</v>
      </c>
      <c r="BY62" s="933">
        <v>9</v>
      </c>
      <c r="BZ62" s="933" t="s">
        <v>758</v>
      </c>
      <c r="CA62" s="949">
        <v>0.16</v>
      </c>
      <c r="CB62" s="949">
        <v>0.34</v>
      </c>
      <c r="CC62" s="949">
        <v>0.32</v>
      </c>
      <c r="CD62" s="949">
        <v>0.16</v>
      </c>
      <c r="CE62" s="949">
        <v>0.03</v>
      </c>
      <c r="CF62" s="922">
        <v>325754000950</v>
      </c>
      <c r="CG62" s="126" t="s">
        <v>97</v>
      </c>
    </row>
    <row r="63" spans="1:85" ht="24.95" customHeight="1" x14ac:dyDescent="0.2">
      <c r="A63" s="126" t="s">
        <v>51</v>
      </c>
      <c r="B63" s="1" t="s">
        <v>123</v>
      </c>
      <c r="C63" s="2">
        <v>2</v>
      </c>
      <c r="D63" s="12">
        <v>60</v>
      </c>
      <c r="E63" s="12">
        <v>6</v>
      </c>
      <c r="F63" s="66">
        <v>0</v>
      </c>
      <c r="G63" s="66">
        <v>0.43</v>
      </c>
      <c r="H63" s="66">
        <v>0.52</v>
      </c>
      <c r="I63" s="66">
        <v>0.04</v>
      </c>
      <c r="J63" s="66">
        <v>0</v>
      </c>
      <c r="K63" s="12">
        <v>58</v>
      </c>
      <c r="L63" s="12">
        <v>6</v>
      </c>
      <c r="M63" s="61">
        <v>0.05</v>
      </c>
      <c r="N63" s="61">
        <v>0.26</v>
      </c>
      <c r="O63" s="61">
        <v>0.63</v>
      </c>
      <c r="P63" s="61">
        <v>0.05</v>
      </c>
      <c r="Q63" s="61">
        <v>0</v>
      </c>
      <c r="R63" s="12">
        <v>63</v>
      </c>
      <c r="S63" s="12">
        <v>8</v>
      </c>
      <c r="T63" s="63">
        <v>0</v>
      </c>
      <c r="U63" s="63">
        <v>0.25</v>
      </c>
      <c r="V63" s="63">
        <v>0.5</v>
      </c>
      <c r="W63" s="63">
        <v>0.19</v>
      </c>
      <c r="X63" s="63">
        <v>0.06</v>
      </c>
      <c r="Y63" s="12">
        <v>58</v>
      </c>
      <c r="Z63" s="12">
        <v>11</v>
      </c>
      <c r="AA63" s="63">
        <v>0.14000000000000001</v>
      </c>
      <c r="AB63" s="63">
        <v>0.45</v>
      </c>
      <c r="AC63" s="63">
        <v>0.18</v>
      </c>
      <c r="AD63" s="63">
        <v>0.18</v>
      </c>
      <c r="AE63" s="63">
        <v>0.05</v>
      </c>
      <c r="AF63" s="25">
        <v>53</v>
      </c>
      <c r="AG63" s="25">
        <v>9</v>
      </c>
      <c r="AH63" s="61">
        <v>0.22</v>
      </c>
      <c r="AI63" s="61">
        <v>0.52</v>
      </c>
      <c r="AJ63" s="61">
        <v>0.15</v>
      </c>
      <c r="AK63" s="61">
        <v>7.0000000000000007E-2</v>
      </c>
      <c r="AL63" s="61">
        <v>0.04</v>
      </c>
      <c r="AM63" s="246">
        <v>60</v>
      </c>
      <c r="AN63" s="246" t="s">
        <v>759</v>
      </c>
      <c r="AO63" s="246">
        <v>9</v>
      </c>
      <c r="AP63" s="246" t="s">
        <v>758</v>
      </c>
      <c r="AQ63" s="263">
        <v>0.05</v>
      </c>
      <c r="AR63" s="263">
        <v>0.48</v>
      </c>
      <c r="AS63" s="263">
        <v>0.33</v>
      </c>
      <c r="AT63" s="263">
        <v>0.1</v>
      </c>
      <c r="AU63" s="263">
        <v>0.05</v>
      </c>
      <c r="AV63" s="309">
        <v>59</v>
      </c>
      <c r="AW63" s="309" t="s">
        <v>758</v>
      </c>
      <c r="AX63" s="309">
        <v>9</v>
      </c>
      <c r="AY63" s="309" t="s">
        <v>758</v>
      </c>
      <c r="AZ63" s="327">
        <v>0.1</v>
      </c>
      <c r="BA63" s="327">
        <v>0.2</v>
      </c>
      <c r="BB63" s="327">
        <v>0.55000000000000004</v>
      </c>
      <c r="BC63" s="327">
        <v>0.15</v>
      </c>
      <c r="BD63" s="327">
        <v>0</v>
      </c>
      <c r="BE63" s="424">
        <v>61</v>
      </c>
      <c r="BF63" s="424" t="s">
        <v>759</v>
      </c>
      <c r="BG63" s="424">
        <v>12</v>
      </c>
      <c r="BH63" s="424" t="s">
        <v>758</v>
      </c>
      <c r="BI63" s="428">
        <v>0.13</v>
      </c>
      <c r="BJ63" s="428">
        <v>0.31</v>
      </c>
      <c r="BK63" s="428">
        <v>0.13</v>
      </c>
      <c r="BL63" s="428">
        <v>0.44</v>
      </c>
      <c r="BM63" s="428">
        <v>0</v>
      </c>
      <c r="BN63" s="464">
        <v>59</v>
      </c>
      <c r="BO63" s="464" t="s">
        <v>758</v>
      </c>
      <c r="BP63" s="464">
        <v>8</v>
      </c>
      <c r="BQ63" s="464" t="s">
        <v>758</v>
      </c>
      <c r="BR63" s="476">
        <v>0.08</v>
      </c>
      <c r="BS63" s="476">
        <v>0.42</v>
      </c>
      <c r="BT63" s="476">
        <v>0.33</v>
      </c>
      <c r="BU63" s="476">
        <v>0.17</v>
      </c>
      <c r="BV63" s="476">
        <v>0</v>
      </c>
      <c r="BW63" s="933">
        <v>62</v>
      </c>
      <c r="BX63" s="933" t="s">
        <v>758</v>
      </c>
      <c r="BY63" s="933">
        <v>9</v>
      </c>
      <c r="BZ63" s="933" t="s">
        <v>758</v>
      </c>
      <c r="CA63" s="949">
        <v>0</v>
      </c>
      <c r="CB63" s="949">
        <v>0.3</v>
      </c>
      <c r="CC63" s="949">
        <v>0.6</v>
      </c>
      <c r="CD63" s="949">
        <v>0.1</v>
      </c>
      <c r="CE63" s="949">
        <v>0</v>
      </c>
      <c r="CF63" s="922">
        <v>325754000721</v>
      </c>
      <c r="CG63" s="126" t="s">
        <v>51</v>
      </c>
    </row>
    <row r="64" spans="1:85" ht="24.95" customHeight="1" x14ac:dyDescent="0.2">
      <c r="A64" s="126" t="s">
        <v>102</v>
      </c>
      <c r="B64" s="1" t="s">
        <v>123</v>
      </c>
      <c r="C64" s="2">
        <v>1</v>
      </c>
      <c r="D64" s="12">
        <v>48</v>
      </c>
      <c r="E64" s="12">
        <v>7</v>
      </c>
      <c r="F64" s="66">
        <v>0.54</v>
      </c>
      <c r="G64" s="66">
        <v>0.46</v>
      </c>
      <c r="H64" s="66">
        <v>0</v>
      </c>
      <c r="I64" s="66">
        <v>0</v>
      </c>
      <c r="J64" s="66">
        <v>0</v>
      </c>
      <c r="K64" s="12">
        <v>46</v>
      </c>
      <c r="L64" s="12">
        <v>8</v>
      </c>
      <c r="M64" s="61">
        <v>0.6</v>
      </c>
      <c r="N64" s="61">
        <v>0.4</v>
      </c>
      <c r="O64" s="61">
        <v>0</v>
      </c>
      <c r="P64" s="61">
        <v>0</v>
      </c>
      <c r="Q64" s="61">
        <v>0</v>
      </c>
      <c r="R64" s="12">
        <v>48</v>
      </c>
      <c r="S64" s="12">
        <v>8</v>
      </c>
      <c r="T64" s="63">
        <v>0.42</v>
      </c>
      <c r="U64" s="63">
        <v>0.47</v>
      </c>
      <c r="V64" s="63">
        <v>0.05</v>
      </c>
      <c r="W64" s="63">
        <v>0.05</v>
      </c>
      <c r="X64" s="63">
        <v>0</v>
      </c>
      <c r="Y64" s="12">
        <v>41</v>
      </c>
      <c r="Z64" s="12">
        <v>8</v>
      </c>
      <c r="AA64" s="63">
        <v>0.71</v>
      </c>
      <c r="AB64" s="63">
        <v>0.28999999999999998</v>
      </c>
      <c r="AC64" s="63">
        <v>0</v>
      </c>
      <c r="AD64" s="63">
        <v>0</v>
      </c>
      <c r="AE64" s="63">
        <v>0</v>
      </c>
      <c r="AF64" s="25">
        <v>44</v>
      </c>
      <c r="AG64" s="25">
        <v>7</v>
      </c>
      <c r="AH64" s="61">
        <v>0.59</v>
      </c>
      <c r="AI64" s="61">
        <v>0.41</v>
      </c>
      <c r="AJ64" s="61">
        <v>0</v>
      </c>
      <c r="AK64" s="61">
        <v>0</v>
      </c>
      <c r="AL64" s="61">
        <v>0</v>
      </c>
      <c r="AM64" s="246">
        <v>50</v>
      </c>
      <c r="AN64" s="246" t="s">
        <v>758</v>
      </c>
      <c r="AO64" s="246">
        <v>8</v>
      </c>
      <c r="AP64" s="246" t="s">
        <v>758</v>
      </c>
      <c r="AQ64" s="263">
        <v>0.31</v>
      </c>
      <c r="AR64" s="263">
        <v>0.56000000000000005</v>
      </c>
      <c r="AS64" s="263">
        <v>0.13</v>
      </c>
      <c r="AT64" s="263">
        <v>0</v>
      </c>
      <c r="AU64" s="263">
        <v>0</v>
      </c>
      <c r="AV64" s="309">
        <v>47</v>
      </c>
      <c r="AW64" s="309" t="s">
        <v>758</v>
      </c>
      <c r="AX64" s="309">
        <v>9</v>
      </c>
      <c r="AY64" s="309" t="s">
        <v>758</v>
      </c>
      <c r="AZ64" s="327">
        <v>0.44</v>
      </c>
      <c r="BA64" s="327">
        <v>0.44</v>
      </c>
      <c r="BB64" s="327">
        <v>0.13</v>
      </c>
      <c r="BC64" s="327">
        <v>0</v>
      </c>
      <c r="BD64" s="327">
        <v>0</v>
      </c>
      <c r="BE64" s="424">
        <v>54</v>
      </c>
      <c r="BF64" s="424" t="s">
        <v>758</v>
      </c>
      <c r="BG64" s="424">
        <v>5</v>
      </c>
      <c r="BH64" s="424" t="s">
        <v>760</v>
      </c>
      <c r="BI64" s="428">
        <v>0.13</v>
      </c>
      <c r="BJ64" s="428">
        <v>0.63</v>
      </c>
      <c r="BK64" s="428">
        <v>0.25</v>
      </c>
      <c r="BL64" s="428">
        <v>0</v>
      </c>
      <c r="BM64" s="428">
        <v>0</v>
      </c>
      <c r="BN64" s="464">
        <v>52</v>
      </c>
      <c r="BO64" s="464" t="s">
        <v>758</v>
      </c>
      <c r="BP64" s="464">
        <v>10</v>
      </c>
      <c r="BQ64" s="464" t="s">
        <v>758</v>
      </c>
      <c r="BR64" s="476">
        <v>0.32</v>
      </c>
      <c r="BS64" s="476">
        <v>0.36</v>
      </c>
      <c r="BT64" s="476">
        <v>0.28000000000000003</v>
      </c>
      <c r="BU64" s="476">
        <v>0.04</v>
      </c>
      <c r="BV64" s="476">
        <v>0</v>
      </c>
      <c r="BW64" s="933">
        <v>50</v>
      </c>
      <c r="BX64" s="933" t="s">
        <v>758</v>
      </c>
      <c r="BY64" s="933">
        <v>9</v>
      </c>
      <c r="BZ64" s="933" t="s">
        <v>758</v>
      </c>
      <c r="CA64" s="949">
        <v>0.4</v>
      </c>
      <c r="CB64" s="949">
        <v>0.4</v>
      </c>
      <c r="CC64" s="949">
        <v>0.2</v>
      </c>
      <c r="CD64" s="949">
        <v>0</v>
      </c>
      <c r="CE64" s="949">
        <v>0</v>
      </c>
      <c r="CF64" s="922">
        <v>325754004959</v>
      </c>
      <c r="CG64" s="126" t="s">
        <v>102</v>
      </c>
    </row>
    <row r="65" spans="1:85" ht="24.95" customHeight="1" x14ac:dyDescent="0.2">
      <c r="A65" s="126" t="s">
        <v>90</v>
      </c>
      <c r="B65" s="1" t="s">
        <v>123</v>
      </c>
      <c r="C65" s="2">
        <v>4</v>
      </c>
      <c r="D65" s="12">
        <v>53</v>
      </c>
      <c r="E65" s="12">
        <v>8</v>
      </c>
      <c r="F65" s="66">
        <v>0.27</v>
      </c>
      <c r="G65" s="66">
        <v>0.39</v>
      </c>
      <c r="H65" s="66">
        <v>0.28999999999999998</v>
      </c>
      <c r="I65" s="66">
        <v>0.05</v>
      </c>
      <c r="J65" s="66">
        <v>0</v>
      </c>
      <c r="K65" s="12">
        <v>48</v>
      </c>
      <c r="L65" s="12">
        <v>8</v>
      </c>
      <c r="M65" s="61">
        <v>0.46</v>
      </c>
      <c r="N65" s="61">
        <v>0.44</v>
      </c>
      <c r="O65" s="61">
        <v>0.1</v>
      </c>
      <c r="P65" s="61">
        <v>0</v>
      </c>
      <c r="Q65" s="61">
        <v>0</v>
      </c>
      <c r="R65" s="12">
        <v>52</v>
      </c>
      <c r="S65" s="12">
        <v>7</v>
      </c>
      <c r="T65" s="63">
        <v>0.3</v>
      </c>
      <c r="U65" s="63">
        <v>0.53</v>
      </c>
      <c r="V65" s="63">
        <v>0.14000000000000001</v>
      </c>
      <c r="W65" s="63">
        <v>0.02</v>
      </c>
      <c r="X65" s="63">
        <v>0</v>
      </c>
      <c r="Y65" s="12">
        <v>48</v>
      </c>
      <c r="Z65" s="12">
        <v>7</v>
      </c>
      <c r="AA65" s="63">
        <v>0.49</v>
      </c>
      <c r="AB65" s="63">
        <v>0.41</v>
      </c>
      <c r="AC65" s="63">
        <v>0.11</v>
      </c>
      <c r="AD65" s="63">
        <v>0</v>
      </c>
      <c r="AE65" s="63">
        <v>0</v>
      </c>
      <c r="AF65" s="25">
        <v>50</v>
      </c>
      <c r="AG65" s="25">
        <v>7</v>
      </c>
      <c r="AH65" s="61">
        <v>0.39</v>
      </c>
      <c r="AI65" s="61">
        <v>0.49</v>
      </c>
      <c r="AJ65" s="61">
        <v>0.1</v>
      </c>
      <c r="AK65" s="61">
        <v>0.02</v>
      </c>
      <c r="AL65" s="61">
        <v>0</v>
      </c>
      <c r="AM65" s="246">
        <v>52</v>
      </c>
      <c r="AN65" s="246" t="s">
        <v>758</v>
      </c>
      <c r="AO65" s="246">
        <v>9</v>
      </c>
      <c r="AP65" s="246" t="s">
        <v>758</v>
      </c>
      <c r="AQ65" s="263">
        <v>0.3</v>
      </c>
      <c r="AR65" s="263">
        <v>0.45</v>
      </c>
      <c r="AS65" s="263">
        <v>0.23</v>
      </c>
      <c r="AT65" s="263">
        <v>0.03</v>
      </c>
      <c r="AU65" s="263">
        <v>0</v>
      </c>
      <c r="AV65" s="309">
        <v>51</v>
      </c>
      <c r="AW65" s="309" t="s">
        <v>758</v>
      </c>
      <c r="AX65" s="309">
        <v>10</v>
      </c>
      <c r="AY65" s="309" t="s">
        <v>758</v>
      </c>
      <c r="AZ65" s="327">
        <v>0.3</v>
      </c>
      <c r="BA65" s="327">
        <v>0.43</v>
      </c>
      <c r="BB65" s="327">
        <v>0.22</v>
      </c>
      <c r="BC65" s="327">
        <v>0.05</v>
      </c>
      <c r="BD65" s="327">
        <v>0</v>
      </c>
      <c r="BE65" s="424">
        <v>52</v>
      </c>
      <c r="BF65" s="424" t="s">
        <v>758</v>
      </c>
      <c r="BG65" s="424">
        <v>10</v>
      </c>
      <c r="BH65" s="424" t="s">
        <v>758</v>
      </c>
      <c r="BI65" s="428">
        <v>0.24</v>
      </c>
      <c r="BJ65" s="428">
        <v>0.52</v>
      </c>
      <c r="BK65" s="428">
        <v>0.19</v>
      </c>
      <c r="BL65" s="428">
        <v>0.02</v>
      </c>
      <c r="BM65" s="428">
        <v>0.02</v>
      </c>
      <c r="BN65" s="464">
        <v>51</v>
      </c>
      <c r="BO65" s="464" t="s">
        <v>758</v>
      </c>
      <c r="BP65" s="464">
        <v>11</v>
      </c>
      <c r="BQ65" s="464" t="s">
        <v>758</v>
      </c>
      <c r="BR65" s="476">
        <v>0.41</v>
      </c>
      <c r="BS65" s="476">
        <v>0.32</v>
      </c>
      <c r="BT65" s="476">
        <v>0.18</v>
      </c>
      <c r="BU65" s="476">
        <v>7.0000000000000007E-2</v>
      </c>
      <c r="BV65" s="476">
        <v>0.02</v>
      </c>
      <c r="BW65" s="933">
        <v>53</v>
      </c>
      <c r="BX65" s="933" t="s">
        <v>758</v>
      </c>
      <c r="BY65" s="933">
        <v>9</v>
      </c>
      <c r="BZ65" s="933" t="s">
        <v>758</v>
      </c>
      <c r="CA65" s="949">
        <v>0.25</v>
      </c>
      <c r="CB65" s="949">
        <v>0.42</v>
      </c>
      <c r="CC65" s="949">
        <v>0.27</v>
      </c>
      <c r="CD65" s="949">
        <v>0.06</v>
      </c>
      <c r="CE65" s="949">
        <v>0</v>
      </c>
      <c r="CF65" s="922">
        <v>325754003347</v>
      </c>
      <c r="CG65" s="126" t="s">
        <v>90</v>
      </c>
    </row>
    <row r="66" spans="1:85" ht="24.95" customHeight="1" x14ac:dyDescent="0.2">
      <c r="A66" s="126" t="s">
        <v>66</v>
      </c>
      <c r="B66" s="1" t="s">
        <v>123</v>
      </c>
      <c r="C66" s="2">
        <v>3</v>
      </c>
      <c r="D66" s="12">
        <v>57</v>
      </c>
      <c r="E66" s="12">
        <v>8</v>
      </c>
      <c r="F66" s="66">
        <v>0.09</v>
      </c>
      <c r="G66" s="66">
        <v>0.49</v>
      </c>
      <c r="H66" s="66">
        <v>0.34</v>
      </c>
      <c r="I66" s="66">
        <v>0.09</v>
      </c>
      <c r="J66" s="66">
        <v>0</v>
      </c>
      <c r="K66" s="12">
        <v>56</v>
      </c>
      <c r="L66" s="12">
        <v>6</v>
      </c>
      <c r="M66" s="61">
        <v>0.06</v>
      </c>
      <c r="N66" s="61">
        <v>0.5</v>
      </c>
      <c r="O66" s="61">
        <v>0.42</v>
      </c>
      <c r="P66" s="61">
        <v>0.03</v>
      </c>
      <c r="Q66" s="61">
        <v>0</v>
      </c>
      <c r="R66" s="12">
        <v>56</v>
      </c>
      <c r="S66" s="12">
        <v>10</v>
      </c>
      <c r="T66" s="63">
        <v>0.16</v>
      </c>
      <c r="U66" s="63">
        <v>0.42</v>
      </c>
      <c r="V66" s="63">
        <v>0.3</v>
      </c>
      <c r="W66" s="63">
        <v>0.08</v>
      </c>
      <c r="X66" s="63">
        <v>0.04</v>
      </c>
      <c r="Y66" s="12">
        <v>52</v>
      </c>
      <c r="Z66" s="12">
        <v>7</v>
      </c>
      <c r="AA66" s="63">
        <v>0.31</v>
      </c>
      <c r="AB66" s="63">
        <v>0.46</v>
      </c>
      <c r="AC66" s="63">
        <v>0.2</v>
      </c>
      <c r="AD66" s="63">
        <v>0.03</v>
      </c>
      <c r="AE66" s="63">
        <v>0</v>
      </c>
      <c r="AF66" s="25">
        <v>51</v>
      </c>
      <c r="AG66" s="25">
        <v>8</v>
      </c>
      <c r="AH66" s="61">
        <v>0.34</v>
      </c>
      <c r="AI66" s="61">
        <v>0.42</v>
      </c>
      <c r="AJ66" s="61">
        <v>0.24</v>
      </c>
      <c r="AK66" s="61">
        <v>0</v>
      </c>
      <c r="AL66" s="61">
        <v>0</v>
      </c>
      <c r="AM66" s="246">
        <v>56</v>
      </c>
      <c r="AN66" s="246" t="s">
        <v>758</v>
      </c>
      <c r="AO66" s="246">
        <v>11</v>
      </c>
      <c r="AP66" s="246" t="s">
        <v>758</v>
      </c>
      <c r="AQ66" s="263">
        <v>0.27</v>
      </c>
      <c r="AR66" s="263">
        <v>0.3</v>
      </c>
      <c r="AS66" s="263">
        <v>0.3</v>
      </c>
      <c r="AT66" s="263">
        <v>0.1</v>
      </c>
      <c r="AU66" s="263">
        <v>0.03</v>
      </c>
      <c r="AV66" s="309">
        <v>58</v>
      </c>
      <c r="AW66" s="309" t="s">
        <v>758</v>
      </c>
      <c r="AX66" s="309">
        <v>10</v>
      </c>
      <c r="AY66" s="309" t="s">
        <v>758</v>
      </c>
      <c r="AZ66" s="327">
        <v>0.13</v>
      </c>
      <c r="BA66" s="327">
        <v>0.33</v>
      </c>
      <c r="BB66" s="327">
        <v>0.35</v>
      </c>
      <c r="BC66" s="327">
        <v>0.19</v>
      </c>
      <c r="BD66" s="327">
        <v>0</v>
      </c>
      <c r="BE66" s="424">
        <v>58</v>
      </c>
      <c r="BF66" s="424" t="s">
        <v>758</v>
      </c>
      <c r="BG66" s="424">
        <v>10</v>
      </c>
      <c r="BH66" s="424" t="s">
        <v>758</v>
      </c>
      <c r="BI66" s="428">
        <v>0.16</v>
      </c>
      <c r="BJ66" s="428">
        <v>0.33</v>
      </c>
      <c r="BK66" s="428">
        <v>0.28000000000000003</v>
      </c>
      <c r="BL66" s="428">
        <v>0.21</v>
      </c>
      <c r="BM66" s="428">
        <v>0.02</v>
      </c>
      <c r="BN66" s="464">
        <v>58</v>
      </c>
      <c r="BO66" s="464" t="s">
        <v>758</v>
      </c>
      <c r="BP66" s="464">
        <v>10</v>
      </c>
      <c r="BQ66" s="464" t="s">
        <v>758</v>
      </c>
      <c r="BR66" s="476">
        <v>0.17</v>
      </c>
      <c r="BS66" s="476">
        <v>0.3</v>
      </c>
      <c r="BT66" s="476">
        <v>0.34</v>
      </c>
      <c r="BU66" s="476">
        <v>0.17</v>
      </c>
      <c r="BV66" s="476">
        <v>0.02</v>
      </c>
      <c r="BW66" s="933">
        <v>62</v>
      </c>
      <c r="BX66" s="933" t="s">
        <v>758</v>
      </c>
      <c r="BY66" s="933">
        <v>11</v>
      </c>
      <c r="BZ66" s="933" t="s">
        <v>758</v>
      </c>
      <c r="CA66" s="949">
        <v>0.1</v>
      </c>
      <c r="CB66" s="949">
        <v>0.24</v>
      </c>
      <c r="CC66" s="949">
        <v>0.37</v>
      </c>
      <c r="CD66" s="949">
        <v>0.22</v>
      </c>
      <c r="CE66" s="949">
        <v>0.08</v>
      </c>
      <c r="CF66" s="922">
        <v>325754004122</v>
      </c>
      <c r="CG66" s="126" t="s">
        <v>66</v>
      </c>
    </row>
    <row r="67" spans="1:85" ht="24.95" customHeight="1" x14ac:dyDescent="0.2">
      <c r="A67" s="126" t="s">
        <v>73</v>
      </c>
      <c r="B67" s="1" t="s">
        <v>123</v>
      </c>
      <c r="C67" s="2">
        <v>5</v>
      </c>
      <c r="D67" s="12">
        <v>60</v>
      </c>
      <c r="E67" s="12">
        <v>10</v>
      </c>
      <c r="F67" s="66">
        <v>0.1</v>
      </c>
      <c r="G67" s="66">
        <v>0.4</v>
      </c>
      <c r="H67" s="66">
        <v>0.23</v>
      </c>
      <c r="I67" s="66">
        <v>0.27</v>
      </c>
      <c r="J67" s="66">
        <v>0</v>
      </c>
      <c r="K67" s="12">
        <v>59</v>
      </c>
      <c r="L67" s="12">
        <v>7</v>
      </c>
      <c r="M67" s="61">
        <v>0.06</v>
      </c>
      <c r="N67" s="61">
        <v>0.28000000000000003</v>
      </c>
      <c r="O67" s="61">
        <v>0.61</v>
      </c>
      <c r="P67" s="61">
        <v>0.06</v>
      </c>
      <c r="Q67" s="61">
        <v>0</v>
      </c>
      <c r="R67" s="12">
        <v>60</v>
      </c>
      <c r="S67" s="12">
        <v>9</v>
      </c>
      <c r="T67" s="63">
        <v>0.1</v>
      </c>
      <c r="U67" s="63">
        <v>0.28000000000000003</v>
      </c>
      <c r="V67" s="63">
        <v>0.41</v>
      </c>
      <c r="W67" s="63">
        <v>0.17</v>
      </c>
      <c r="X67" s="63">
        <v>0.03</v>
      </c>
      <c r="Y67" s="12">
        <v>59</v>
      </c>
      <c r="Z67" s="12">
        <v>10</v>
      </c>
      <c r="AA67" s="63">
        <v>0.11</v>
      </c>
      <c r="AB67" s="63">
        <v>0.28000000000000003</v>
      </c>
      <c r="AC67" s="63">
        <v>0.44</v>
      </c>
      <c r="AD67" s="63">
        <v>0.17</v>
      </c>
      <c r="AE67" s="63">
        <v>0</v>
      </c>
      <c r="AF67" s="25">
        <v>54</v>
      </c>
      <c r="AG67" s="25">
        <v>10</v>
      </c>
      <c r="AH67" s="61">
        <v>0.25</v>
      </c>
      <c r="AI67" s="61">
        <v>0.5</v>
      </c>
      <c r="AJ67" s="61">
        <v>0.1</v>
      </c>
      <c r="AK67" s="61">
        <v>0.15</v>
      </c>
      <c r="AL67" s="61">
        <v>0</v>
      </c>
      <c r="AM67" s="246">
        <v>57</v>
      </c>
      <c r="AN67" s="246" t="s">
        <v>758</v>
      </c>
      <c r="AO67" s="246">
        <v>10</v>
      </c>
      <c r="AP67" s="246" t="s">
        <v>758</v>
      </c>
      <c r="AQ67" s="263">
        <v>0.2</v>
      </c>
      <c r="AR67" s="263">
        <v>0.35</v>
      </c>
      <c r="AS67" s="263">
        <v>0.3</v>
      </c>
      <c r="AT67" s="263">
        <v>0.15</v>
      </c>
      <c r="AU67" s="263">
        <v>0</v>
      </c>
      <c r="AV67" s="309">
        <v>59</v>
      </c>
      <c r="AW67" s="309" t="s">
        <v>758</v>
      </c>
      <c r="AX67" s="309">
        <v>9</v>
      </c>
      <c r="AY67" s="309" t="s">
        <v>758</v>
      </c>
      <c r="AZ67" s="327">
        <v>7.0000000000000007E-2</v>
      </c>
      <c r="BA67" s="327">
        <v>0.39</v>
      </c>
      <c r="BB67" s="327">
        <v>0.36</v>
      </c>
      <c r="BC67" s="327">
        <v>0.18</v>
      </c>
      <c r="BD67" s="327">
        <v>0</v>
      </c>
      <c r="BE67" s="424">
        <v>59</v>
      </c>
      <c r="BF67" s="424" t="s">
        <v>758</v>
      </c>
      <c r="BG67" s="424">
        <v>11</v>
      </c>
      <c r="BH67" s="424" t="s">
        <v>758</v>
      </c>
      <c r="BI67" s="428">
        <v>0.15</v>
      </c>
      <c r="BJ67" s="428">
        <v>0.26</v>
      </c>
      <c r="BK67" s="428">
        <v>0.37</v>
      </c>
      <c r="BL67" s="428">
        <v>0.22</v>
      </c>
      <c r="BM67" s="428">
        <v>0</v>
      </c>
      <c r="BN67" s="464">
        <v>54</v>
      </c>
      <c r="BO67" s="464" t="s">
        <v>758</v>
      </c>
      <c r="BP67" s="464">
        <v>5</v>
      </c>
      <c r="BQ67" s="464" t="s">
        <v>760</v>
      </c>
      <c r="BR67" s="476">
        <v>7.0000000000000007E-2</v>
      </c>
      <c r="BS67" s="476">
        <v>0.67</v>
      </c>
      <c r="BT67" s="476">
        <v>0.27</v>
      </c>
      <c r="BU67" s="476">
        <v>0</v>
      </c>
      <c r="BV67" s="476">
        <v>0</v>
      </c>
      <c r="BW67" s="933">
        <v>58</v>
      </c>
      <c r="BX67" s="933" t="s">
        <v>758</v>
      </c>
      <c r="BY67" s="933">
        <v>9</v>
      </c>
      <c r="BZ67" s="933" t="s">
        <v>758</v>
      </c>
      <c r="CA67" s="949">
        <v>0.1</v>
      </c>
      <c r="CB67" s="949">
        <v>0.42</v>
      </c>
      <c r="CC67" s="949">
        <v>0.28999999999999998</v>
      </c>
      <c r="CD67" s="949">
        <v>0.19</v>
      </c>
      <c r="CE67" s="949">
        <v>0</v>
      </c>
      <c r="CF67" s="922">
        <v>325754002154</v>
      </c>
      <c r="CG67" s="126" t="s">
        <v>73</v>
      </c>
    </row>
    <row r="68" spans="1:85" ht="24.95" customHeight="1" x14ac:dyDescent="0.2">
      <c r="A68" s="126" t="s">
        <v>89</v>
      </c>
      <c r="B68" s="1" t="s">
        <v>123</v>
      </c>
      <c r="C68" s="2">
        <v>3</v>
      </c>
      <c r="D68" s="12">
        <v>55</v>
      </c>
      <c r="E68" s="12">
        <v>9</v>
      </c>
      <c r="F68" s="66">
        <v>0.18</v>
      </c>
      <c r="G68" s="66">
        <v>0.45</v>
      </c>
      <c r="H68" s="66">
        <v>0.34</v>
      </c>
      <c r="I68" s="66">
        <v>0.03</v>
      </c>
      <c r="J68" s="66">
        <v>0</v>
      </c>
      <c r="K68" s="12">
        <v>54</v>
      </c>
      <c r="L68" s="12">
        <v>8</v>
      </c>
      <c r="M68" s="61">
        <v>0.22</v>
      </c>
      <c r="N68" s="61">
        <v>0.48</v>
      </c>
      <c r="O68" s="61">
        <v>0.26</v>
      </c>
      <c r="P68" s="61">
        <v>0.04</v>
      </c>
      <c r="Q68" s="61">
        <v>0</v>
      </c>
      <c r="R68" s="12">
        <v>60</v>
      </c>
      <c r="S68" s="12">
        <v>9</v>
      </c>
      <c r="T68" s="63">
        <v>0.11</v>
      </c>
      <c r="U68" s="63">
        <v>0.17</v>
      </c>
      <c r="V68" s="63">
        <v>0.56000000000000005</v>
      </c>
      <c r="W68" s="63">
        <v>0.17</v>
      </c>
      <c r="X68" s="63">
        <v>0</v>
      </c>
      <c r="Y68" s="12">
        <v>56</v>
      </c>
      <c r="Z68" s="12">
        <v>10</v>
      </c>
      <c r="AA68" s="63">
        <v>0.12</v>
      </c>
      <c r="AB68" s="63">
        <v>0.42</v>
      </c>
      <c r="AC68" s="63">
        <v>0.35</v>
      </c>
      <c r="AD68" s="63">
        <v>0.12</v>
      </c>
      <c r="AE68" s="63">
        <v>0</v>
      </c>
      <c r="AF68" s="25">
        <v>55</v>
      </c>
      <c r="AG68" s="25">
        <v>9</v>
      </c>
      <c r="AH68" s="61">
        <v>0.21</v>
      </c>
      <c r="AI68" s="61">
        <v>0.42</v>
      </c>
      <c r="AJ68" s="61">
        <v>0.26</v>
      </c>
      <c r="AK68" s="61">
        <v>0.11</v>
      </c>
      <c r="AL68" s="61">
        <v>0</v>
      </c>
      <c r="AM68" s="246">
        <v>55</v>
      </c>
      <c r="AN68" s="246" t="s">
        <v>758</v>
      </c>
      <c r="AO68" s="246">
        <v>9</v>
      </c>
      <c r="AP68" s="246" t="s">
        <v>758</v>
      </c>
      <c r="AQ68" s="263">
        <v>0.18</v>
      </c>
      <c r="AR68" s="263">
        <v>0.35</v>
      </c>
      <c r="AS68" s="263">
        <v>0.38</v>
      </c>
      <c r="AT68" s="263">
        <v>0.09</v>
      </c>
      <c r="AU68" s="263">
        <v>0</v>
      </c>
      <c r="AV68" s="309">
        <v>59</v>
      </c>
      <c r="AW68" s="309" t="s">
        <v>758</v>
      </c>
      <c r="AX68" s="309">
        <v>10</v>
      </c>
      <c r="AY68" s="309" t="s">
        <v>758</v>
      </c>
      <c r="AZ68" s="327">
        <v>0.11</v>
      </c>
      <c r="BA68" s="327">
        <v>0.5</v>
      </c>
      <c r="BB68" s="327">
        <v>0.24</v>
      </c>
      <c r="BC68" s="327">
        <v>0.11</v>
      </c>
      <c r="BD68" s="327">
        <v>0.05</v>
      </c>
      <c r="BE68" s="424">
        <v>57</v>
      </c>
      <c r="BF68" s="424" t="s">
        <v>758</v>
      </c>
      <c r="BG68" s="424">
        <v>7</v>
      </c>
      <c r="BH68" s="424" t="s">
        <v>760</v>
      </c>
      <c r="BI68" s="428">
        <v>7.0000000000000007E-2</v>
      </c>
      <c r="BJ68" s="428">
        <v>0.43</v>
      </c>
      <c r="BK68" s="428">
        <v>0.45</v>
      </c>
      <c r="BL68" s="428">
        <v>0.05</v>
      </c>
      <c r="BM68" s="428">
        <v>0</v>
      </c>
      <c r="BN68" s="464">
        <v>61</v>
      </c>
      <c r="BO68" s="464" t="s">
        <v>758</v>
      </c>
      <c r="BP68" s="464">
        <v>7</v>
      </c>
      <c r="BQ68" s="464" t="s">
        <v>760</v>
      </c>
      <c r="BR68" s="476">
        <v>0.03</v>
      </c>
      <c r="BS68" s="476">
        <v>0.28000000000000003</v>
      </c>
      <c r="BT68" s="476">
        <v>0.48</v>
      </c>
      <c r="BU68" s="476">
        <v>0.21</v>
      </c>
      <c r="BV68" s="476">
        <v>0</v>
      </c>
      <c r="BW68" s="933">
        <v>57</v>
      </c>
      <c r="BX68" s="933" t="s">
        <v>758</v>
      </c>
      <c r="BY68" s="933">
        <v>10</v>
      </c>
      <c r="BZ68" s="933" t="s">
        <v>758</v>
      </c>
      <c r="CA68" s="949">
        <v>0.16</v>
      </c>
      <c r="CB68" s="949">
        <v>0.38</v>
      </c>
      <c r="CC68" s="949">
        <v>0.34</v>
      </c>
      <c r="CD68" s="949">
        <v>0.09</v>
      </c>
      <c r="CE68" s="949">
        <v>0.03</v>
      </c>
      <c r="CF68" s="922">
        <v>325754001662</v>
      </c>
      <c r="CG68" s="126" t="s">
        <v>89</v>
      </c>
    </row>
    <row r="69" spans="1:85" ht="24.95" customHeight="1" x14ac:dyDescent="0.2">
      <c r="A69" s="126" t="s">
        <v>38</v>
      </c>
      <c r="B69" s="1" t="s">
        <v>123</v>
      </c>
      <c r="C69" s="2">
        <v>1</v>
      </c>
      <c r="D69" s="12">
        <v>59</v>
      </c>
      <c r="E69" s="12">
        <v>8</v>
      </c>
      <c r="F69" s="66">
        <v>0.06</v>
      </c>
      <c r="G69" s="66">
        <v>0.5</v>
      </c>
      <c r="H69" s="66">
        <v>0.28000000000000003</v>
      </c>
      <c r="I69" s="66">
        <v>0.17</v>
      </c>
      <c r="J69" s="66">
        <v>0</v>
      </c>
      <c r="K69" s="12">
        <v>50</v>
      </c>
      <c r="L69" s="12">
        <v>9</v>
      </c>
      <c r="M69" s="61">
        <v>0.43</v>
      </c>
      <c r="N69" s="61">
        <v>0.4</v>
      </c>
      <c r="O69" s="61">
        <v>0.1</v>
      </c>
      <c r="P69" s="61">
        <v>7.0000000000000007E-2</v>
      </c>
      <c r="Q69" s="61">
        <v>0</v>
      </c>
      <c r="R69" s="12">
        <v>52</v>
      </c>
      <c r="S69" s="12">
        <v>7</v>
      </c>
      <c r="T69" s="63">
        <v>0.27</v>
      </c>
      <c r="U69" s="63">
        <v>0.41</v>
      </c>
      <c r="V69" s="63">
        <v>0.32</v>
      </c>
      <c r="W69" s="63">
        <v>0</v>
      </c>
      <c r="X69" s="63">
        <v>0</v>
      </c>
      <c r="Y69" s="12">
        <v>53</v>
      </c>
      <c r="Z69" s="12">
        <v>9</v>
      </c>
      <c r="AA69" s="63">
        <v>0.27</v>
      </c>
      <c r="AB69" s="63">
        <v>0.42</v>
      </c>
      <c r="AC69" s="63">
        <v>0.23</v>
      </c>
      <c r="AD69" s="63">
        <v>0.08</v>
      </c>
      <c r="AE69" s="63">
        <v>0</v>
      </c>
      <c r="AF69" s="25">
        <v>48</v>
      </c>
      <c r="AG69" s="25">
        <v>9</v>
      </c>
      <c r="AH69" s="61">
        <v>0.56000000000000005</v>
      </c>
      <c r="AI69" s="61">
        <v>0.32</v>
      </c>
      <c r="AJ69" s="61">
        <v>0.08</v>
      </c>
      <c r="AK69" s="61">
        <v>0.04</v>
      </c>
      <c r="AL69" s="61">
        <v>0</v>
      </c>
      <c r="AM69" s="246">
        <v>49</v>
      </c>
      <c r="AN69" s="246" t="s">
        <v>758</v>
      </c>
      <c r="AO69" s="246">
        <v>11</v>
      </c>
      <c r="AP69" s="246" t="s">
        <v>758</v>
      </c>
      <c r="AQ69" s="263">
        <v>0.41</v>
      </c>
      <c r="AR69" s="263">
        <v>0.44</v>
      </c>
      <c r="AS69" s="263">
        <v>0.11</v>
      </c>
      <c r="AT69" s="263">
        <v>0.04</v>
      </c>
      <c r="AU69" s="263">
        <v>0</v>
      </c>
      <c r="AV69" s="309">
        <v>48</v>
      </c>
      <c r="AW69" s="309" t="s">
        <v>758</v>
      </c>
      <c r="AX69" s="309">
        <v>11</v>
      </c>
      <c r="AY69" s="309" t="s">
        <v>758</v>
      </c>
      <c r="AZ69" s="327">
        <v>0.5</v>
      </c>
      <c r="BA69" s="327">
        <v>0.36</v>
      </c>
      <c r="BB69" s="327">
        <v>0.11</v>
      </c>
      <c r="BC69" s="327">
        <v>0.04</v>
      </c>
      <c r="BD69" s="327">
        <v>0</v>
      </c>
      <c r="BE69" s="424">
        <v>51</v>
      </c>
      <c r="BF69" s="424" t="s">
        <v>758</v>
      </c>
      <c r="BG69" s="424">
        <v>10</v>
      </c>
      <c r="BH69" s="424" t="s">
        <v>758</v>
      </c>
      <c r="BI69" s="428">
        <v>0.36</v>
      </c>
      <c r="BJ69" s="428">
        <v>0.45</v>
      </c>
      <c r="BK69" s="428">
        <v>0.14000000000000001</v>
      </c>
      <c r="BL69" s="428">
        <v>0.05</v>
      </c>
      <c r="BM69" s="428">
        <v>0</v>
      </c>
      <c r="BN69" s="464">
        <v>53</v>
      </c>
      <c r="BO69" s="464" t="s">
        <v>758</v>
      </c>
      <c r="BP69" s="464">
        <v>10</v>
      </c>
      <c r="BQ69" s="464" t="s">
        <v>758</v>
      </c>
      <c r="BR69" s="476">
        <v>0.31</v>
      </c>
      <c r="BS69" s="476">
        <v>0.38</v>
      </c>
      <c r="BT69" s="476">
        <v>0.25</v>
      </c>
      <c r="BU69" s="476">
        <v>0.06</v>
      </c>
      <c r="BV69" s="476">
        <v>0</v>
      </c>
      <c r="BW69" s="933">
        <v>52</v>
      </c>
      <c r="BX69" s="933" t="s">
        <v>758</v>
      </c>
      <c r="BY69" s="933">
        <v>6</v>
      </c>
      <c r="BZ69" s="933" t="s">
        <v>760</v>
      </c>
      <c r="CA69" s="949">
        <v>0.21</v>
      </c>
      <c r="CB69" s="949">
        <v>0.56999999999999995</v>
      </c>
      <c r="CC69" s="949">
        <v>0.21</v>
      </c>
      <c r="CD69" s="949">
        <v>0</v>
      </c>
      <c r="CE69" s="949">
        <v>0</v>
      </c>
      <c r="CF69" s="922">
        <v>325754001671</v>
      </c>
      <c r="CG69" s="126" t="s">
        <v>38</v>
      </c>
    </row>
    <row r="70" spans="1:85" ht="24.95" customHeight="1" x14ac:dyDescent="0.2">
      <c r="A70" s="126" t="s">
        <v>75</v>
      </c>
      <c r="B70" s="1" t="s">
        <v>123</v>
      </c>
      <c r="C70" s="2">
        <v>3</v>
      </c>
      <c r="D70" s="12">
        <v>57</v>
      </c>
      <c r="E70" s="12">
        <v>8</v>
      </c>
      <c r="F70" s="66">
        <v>0.12</v>
      </c>
      <c r="G70" s="66">
        <v>0.47</v>
      </c>
      <c r="H70" s="66">
        <v>0.32</v>
      </c>
      <c r="I70" s="66">
        <v>0.09</v>
      </c>
      <c r="J70" s="66">
        <v>0</v>
      </c>
      <c r="K70" s="12">
        <v>57</v>
      </c>
      <c r="L70" s="12">
        <v>11</v>
      </c>
      <c r="M70" s="61">
        <v>0.21</v>
      </c>
      <c r="N70" s="61">
        <v>0.3</v>
      </c>
      <c r="O70" s="61">
        <v>0.3</v>
      </c>
      <c r="P70" s="61">
        <v>0.16</v>
      </c>
      <c r="Q70" s="61">
        <v>0.04</v>
      </c>
      <c r="R70" s="12">
        <v>55</v>
      </c>
      <c r="S70" s="12">
        <v>9</v>
      </c>
      <c r="T70" s="63">
        <v>0.19</v>
      </c>
      <c r="U70" s="63">
        <v>0.4</v>
      </c>
      <c r="V70" s="63">
        <v>0.31</v>
      </c>
      <c r="W70" s="63">
        <v>0.1</v>
      </c>
      <c r="X70" s="63">
        <v>0</v>
      </c>
      <c r="Y70" s="12">
        <v>55</v>
      </c>
      <c r="Z70" s="12">
        <v>8</v>
      </c>
      <c r="AA70" s="63">
        <v>0.18</v>
      </c>
      <c r="AB70" s="63">
        <v>0.39</v>
      </c>
      <c r="AC70" s="63">
        <v>0.37</v>
      </c>
      <c r="AD70" s="63">
        <v>0.04</v>
      </c>
      <c r="AE70" s="63">
        <v>0.02</v>
      </c>
      <c r="AF70" s="25">
        <v>49</v>
      </c>
      <c r="AG70" s="25">
        <v>9</v>
      </c>
      <c r="AH70" s="61">
        <v>0.56999999999999995</v>
      </c>
      <c r="AI70" s="61">
        <v>0.28999999999999998</v>
      </c>
      <c r="AJ70" s="61">
        <v>0.08</v>
      </c>
      <c r="AK70" s="61">
        <v>0.04</v>
      </c>
      <c r="AL70" s="61">
        <v>0.02</v>
      </c>
      <c r="AM70" s="246">
        <v>58</v>
      </c>
      <c r="AN70" s="246" t="s">
        <v>758</v>
      </c>
      <c r="AO70" s="246">
        <v>10</v>
      </c>
      <c r="AP70" s="246" t="s">
        <v>758</v>
      </c>
      <c r="AQ70" s="263">
        <v>0.14000000000000001</v>
      </c>
      <c r="AR70" s="263">
        <v>0.4</v>
      </c>
      <c r="AS70" s="263">
        <v>0.23</v>
      </c>
      <c r="AT70" s="263">
        <v>0.23</v>
      </c>
      <c r="AU70" s="263">
        <v>0</v>
      </c>
      <c r="AV70" s="309">
        <v>56</v>
      </c>
      <c r="AW70" s="309" t="s">
        <v>758</v>
      </c>
      <c r="AX70" s="309">
        <v>7</v>
      </c>
      <c r="AY70" s="309" t="s">
        <v>760</v>
      </c>
      <c r="AZ70" s="327">
        <v>0.14000000000000001</v>
      </c>
      <c r="BA70" s="327">
        <v>0.43</v>
      </c>
      <c r="BB70" s="327">
        <v>0.43</v>
      </c>
      <c r="BC70" s="327">
        <v>0</v>
      </c>
      <c r="BD70" s="327">
        <v>0</v>
      </c>
      <c r="BE70" s="424">
        <v>58</v>
      </c>
      <c r="BF70" s="424" t="s">
        <v>758</v>
      </c>
      <c r="BG70" s="424">
        <v>10</v>
      </c>
      <c r="BH70" s="424" t="s">
        <v>758</v>
      </c>
      <c r="BI70" s="428">
        <v>0.12</v>
      </c>
      <c r="BJ70" s="428">
        <v>0.38</v>
      </c>
      <c r="BK70" s="428">
        <v>0.31</v>
      </c>
      <c r="BL70" s="428">
        <v>0.19</v>
      </c>
      <c r="BM70" s="428">
        <v>0</v>
      </c>
      <c r="BN70" s="464">
        <v>60</v>
      </c>
      <c r="BO70" s="464" t="s">
        <v>758</v>
      </c>
      <c r="BP70" s="464">
        <v>9</v>
      </c>
      <c r="BQ70" s="464" t="s">
        <v>758</v>
      </c>
      <c r="BR70" s="476">
        <v>0.08</v>
      </c>
      <c r="BS70" s="476">
        <v>0.28999999999999998</v>
      </c>
      <c r="BT70" s="476">
        <v>0.39</v>
      </c>
      <c r="BU70" s="476">
        <v>0.24</v>
      </c>
      <c r="BV70" s="476">
        <v>0</v>
      </c>
      <c r="BW70" s="933">
        <v>60</v>
      </c>
      <c r="BX70" s="933" t="s">
        <v>758</v>
      </c>
      <c r="BY70" s="933">
        <v>11</v>
      </c>
      <c r="BZ70" s="933" t="s">
        <v>758</v>
      </c>
      <c r="CA70" s="949">
        <v>0.16</v>
      </c>
      <c r="CB70" s="949">
        <v>0.19</v>
      </c>
      <c r="CC70" s="949">
        <v>0.4</v>
      </c>
      <c r="CD70" s="949">
        <v>0.21</v>
      </c>
      <c r="CE70" s="949">
        <v>0.04</v>
      </c>
      <c r="CF70" s="922">
        <v>325754002162</v>
      </c>
      <c r="CG70" s="126" t="s">
        <v>75</v>
      </c>
    </row>
    <row r="71" spans="1:85" ht="24.95" customHeight="1" x14ac:dyDescent="0.2">
      <c r="A71" s="126" t="s">
        <v>99</v>
      </c>
      <c r="B71" s="1" t="s">
        <v>123</v>
      </c>
      <c r="C71" s="2">
        <v>5</v>
      </c>
      <c r="D71" s="12">
        <v>59</v>
      </c>
      <c r="E71" s="12">
        <v>8</v>
      </c>
      <c r="F71" s="66">
        <v>0.1</v>
      </c>
      <c r="G71" s="66">
        <v>0.35</v>
      </c>
      <c r="H71" s="66">
        <v>0.4</v>
      </c>
      <c r="I71" s="66">
        <v>0.15</v>
      </c>
      <c r="J71" s="66">
        <v>0</v>
      </c>
      <c r="K71" s="12">
        <v>55</v>
      </c>
      <c r="L71" s="12">
        <v>8</v>
      </c>
      <c r="M71" s="61">
        <v>0.16</v>
      </c>
      <c r="N71" s="61">
        <v>0.47</v>
      </c>
      <c r="O71" s="61">
        <v>0.32</v>
      </c>
      <c r="P71" s="61">
        <v>0.05</v>
      </c>
      <c r="Q71" s="61">
        <v>0.01</v>
      </c>
      <c r="R71" s="12">
        <v>58</v>
      </c>
      <c r="S71" s="12">
        <v>8</v>
      </c>
      <c r="T71" s="63">
        <v>0.1</v>
      </c>
      <c r="U71" s="63">
        <v>0.37</v>
      </c>
      <c r="V71" s="63">
        <v>0.42</v>
      </c>
      <c r="W71" s="63">
        <v>0.09</v>
      </c>
      <c r="X71" s="63">
        <v>0.01</v>
      </c>
      <c r="Y71" s="12">
        <v>56</v>
      </c>
      <c r="Z71" s="12">
        <v>9</v>
      </c>
      <c r="AA71" s="63">
        <v>0.17</v>
      </c>
      <c r="AB71" s="63">
        <v>0.42</v>
      </c>
      <c r="AC71" s="63">
        <v>0.31</v>
      </c>
      <c r="AD71" s="63">
        <v>0.09</v>
      </c>
      <c r="AE71" s="63">
        <v>0.01</v>
      </c>
      <c r="AF71" s="25">
        <v>51</v>
      </c>
      <c r="AG71" s="25">
        <v>8</v>
      </c>
      <c r="AH71" s="61">
        <v>0.33</v>
      </c>
      <c r="AI71" s="61">
        <v>0.48</v>
      </c>
      <c r="AJ71" s="61">
        <v>0.16</v>
      </c>
      <c r="AK71" s="61">
        <v>0.03</v>
      </c>
      <c r="AL71" s="61">
        <v>0</v>
      </c>
      <c r="AM71" s="246">
        <v>55</v>
      </c>
      <c r="AN71" s="246" t="s">
        <v>758</v>
      </c>
      <c r="AO71" s="246">
        <v>10</v>
      </c>
      <c r="AP71" s="246" t="s">
        <v>758</v>
      </c>
      <c r="AQ71" s="263">
        <v>0.18</v>
      </c>
      <c r="AR71" s="263">
        <v>0.45</v>
      </c>
      <c r="AS71" s="263">
        <v>0.25</v>
      </c>
      <c r="AT71" s="263">
        <v>0.11</v>
      </c>
      <c r="AU71" s="263">
        <v>0.02</v>
      </c>
      <c r="AV71" s="309">
        <v>57</v>
      </c>
      <c r="AW71" s="309" t="s">
        <v>758</v>
      </c>
      <c r="AX71" s="309">
        <v>11</v>
      </c>
      <c r="AY71" s="309" t="s">
        <v>758</v>
      </c>
      <c r="AZ71" s="327">
        <v>0.18</v>
      </c>
      <c r="BA71" s="327">
        <v>0.31</v>
      </c>
      <c r="BB71" s="327">
        <v>0.35</v>
      </c>
      <c r="BC71" s="327">
        <v>0.13</v>
      </c>
      <c r="BD71" s="327">
        <v>0.02</v>
      </c>
      <c r="BE71" s="424">
        <v>56</v>
      </c>
      <c r="BF71" s="424" t="s">
        <v>758</v>
      </c>
      <c r="BG71" s="424">
        <v>11</v>
      </c>
      <c r="BH71" s="424" t="s">
        <v>758</v>
      </c>
      <c r="BI71" s="428">
        <v>0.25</v>
      </c>
      <c r="BJ71" s="428">
        <v>0.31</v>
      </c>
      <c r="BK71" s="428">
        <v>0.31</v>
      </c>
      <c r="BL71" s="428">
        <v>0.1</v>
      </c>
      <c r="BM71" s="428">
        <v>0.03</v>
      </c>
      <c r="BN71" s="464">
        <v>57</v>
      </c>
      <c r="BO71" s="464" t="s">
        <v>758</v>
      </c>
      <c r="BP71" s="464">
        <v>9</v>
      </c>
      <c r="BQ71" s="464" t="s">
        <v>758</v>
      </c>
      <c r="BR71" s="476">
        <v>0.12</v>
      </c>
      <c r="BS71" s="476">
        <v>0.43</v>
      </c>
      <c r="BT71" s="476">
        <v>0.31</v>
      </c>
      <c r="BU71" s="476">
        <v>0.13</v>
      </c>
      <c r="BV71" s="476">
        <v>0.01</v>
      </c>
      <c r="BW71" s="933">
        <v>58</v>
      </c>
      <c r="BX71" s="933" t="s">
        <v>758</v>
      </c>
      <c r="BY71" s="933">
        <v>9</v>
      </c>
      <c r="BZ71" s="933" t="s">
        <v>758</v>
      </c>
      <c r="CA71" s="949">
        <v>0.13</v>
      </c>
      <c r="CB71" s="949">
        <v>0.36</v>
      </c>
      <c r="CC71" s="949">
        <v>0.4</v>
      </c>
      <c r="CD71" s="949">
        <v>0.1</v>
      </c>
      <c r="CE71" s="949">
        <v>0.01</v>
      </c>
      <c r="CF71" s="922">
        <v>325754003312</v>
      </c>
      <c r="CG71" s="126" t="s">
        <v>99</v>
      </c>
    </row>
    <row r="72" spans="1:85" ht="24.95" customHeight="1" x14ac:dyDescent="0.2">
      <c r="A72" s="126" t="s">
        <v>46</v>
      </c>
      <c r="B72" s="1" t="s">
        <v>123</v>
      </c>
      <c r="C72" s="2">
        <v>1</v>
      </c>
      <c r="D72" s="12">
        <v>52</v>
      </c>
      <c r="E72" s="12">
        <v>6</v>
      </c>
      <c r="F72" s="66">
        <v>0.31</v>
      </c>
      <c r="G72" s="66">
        <v>0.56999999999999995</v>
      </c>
      <c r="H72" s="66">
        <v>0.11</v>
      </c>
      <c r="I72" s="66">
        <v>0</v>
      </c>
      <c r="J72" s="66">
        <v>0</v>
      </c>
      <c r="K72" s="12">
        <v>52</v>
      </c>
      <c r="L72" s="12">
        <v>8</v>
      </c>
      <c r="M72" s="61">
        <v>0.31</v>
      </c>
      <c r="N72" s="61">
        <v>0.44</v>
      </c>
      <c r="O72" s="61">
        <v>0.22</v>
      </c>
      <c r="P72" s="61">
        <v>0.03</v>
      </c>
      <c r="Q72" s="61">
        <v>0</v>
      </c>
      <c r="R72" s="12">
        <v>51</v>
      </c>
      <c r="S72" s="12">
        <v>8</v>
      </c>
      <c r="T72" s="63">
        <v>0.36</v>
      </c>
      <c r="U72" s="63">
        <v>0.43</v>
      </c>
      <c r="V72" s="63">
        <v>0.21</v>
      </c>
      <c r="W72" s="63">
        <v>0</v>
      </c>
      <c r="X72" s="63">
        <v>0</v>
      </c>
      <c r="Y72" s="12">
        <v>49</v>
      </c>
      <c r="Z72" s="12">
        <v>9</v>
      </c>
      <c r="AA72" s="63">
        <v>0.42</v>
      </c>
      <c r="AB72" s="63">
        <v>0.42</v>
      </c>
      <c r="AC72" s="63">
        <v>0.17</v>
      </c>
      <c r="AD72" s="63">
        <v>0</v>
      </c>
      <c r="AE72" s="63">
        <v>0</v>
      </c>
      <c r="AF72" s="25">
        <v>50</v>
      </c>
      <c r="AG72" s="25">
        <v>10</v>
      </c>
      <c r="AH72" s="61">
        <v>0.47</v>
      </c>
      <c r="AI72" s="61">
        <v>0.33</v>
      </c>
      <c r="AJ72" s="61">
        <v>0.14000000000000001</v>
      </c>
      <c r="AK72" s="61">
        <v>0.06</v>
      </c>
      <c r="AL72" s="61">
        <v>0</v>
      </c>
      <c r="AM72" s="246">
        <v>53</v>
      </c>
      <c r="AN72" s="246" t="s">
        <v>758</v>
      </c>
      <c r="AO72" s="246">
        <v>10</v>
      </c>
      <c r="AP72" s="246" t="s">
        <v>758</v>
      </c>
      <c r="AQ72" s="263">
        <v>0.31</v>
      </c>
      <c r="AR72" s="263">
        <v>0.38</v>
      </c>
      <c r="AS72" s="263">
        <v>0.25</v>
      </c>
      <c r="AT72" s="263">
        <v>0.06</v>
      </c>
      <c r="AU72" s="263">
        <v>0</v>
      </c>
      <c r="AV72" s="309">
        <v>51</v>
      </c>
      <c r="AW72" s="309" t="s">
        <v>758</v>
      </c>
      <c r="AX72" s="309">
        <v>11</v>
      </c>
      <c r="AY72" s="309" t="s">
        <v>758</v>
      </c>
      <c r="AZ72" s="327">
        <v>0.39</v>
      </c>
      <c r="BA72" s="327">
        <v>0.3</v>
      </c>
      <c r="BB72" s="327">
        <v>0.27</v>
      </c>
      <c r="BC72" s="327">
        <v>0.03</v>
      </c>
      <c r="BD72" s="327">
        <v>0</v>
      </c>
      <c r="BE72" s="424">
        <v>51</v>
      </c>
      <c r="BF72" s="424" t="s">
        <v>758</v>
      </c>
      <c r="BG72" s="424">
        <v>9</v>
      </c>
      <c r="BH72" s="424" t="s">
        <v>758</v>
      </c>
      <c r="BI72" s="428">
        <v>0.41</v>
      </c>
      <c r="BJ72" s="428">
        <v>0.41</v>
      </c>
      <c r="BK72" s="428">
        <v>0.1</v>
      </c>
      <c r="BL72" s="428">
        <v>7.0000000000000007E-2</v>
      </c>
      <c r="BM72" s="428">
        <v>0</v>
      </c>
      <c r="BN72" s="464">
        <v>55</v>
      </c>
      <c r="BO72" s="464" t="s">
        <v>758</v>
      </c>
      <c r="BP72" s="464">
        <v>9</v>
      </c>
      <c r="BQ72" s="464" t="s">
        <v>758</v>
      </c>
      <c r="BR72" s="476">
        <v>0.25</v>
      </c>
      <c r="BS72" s="476">
        <v>0.36</v>
      </c>
      <c r="BT72" s="476">
        <v>0.3</v>
      </c>
      <c r="BU72" s="476">
        <v>0.09</v>
      </c>
      <c r="BV72" s="476">
        <v>0</v>
      </c>
      <c r="BW72" s="933">
        <v>55</v>
      </c>
      <c r="BX72" s="933" t="s">
        <v>758</v>
      </c>
      <c r="BY72" s="933">
        <v>9</v>
      </c>
      <c r="BZ72" s="933" t="s">
        <v>758</v>
      </c>
      <c r="CA72" s="949">
        <v>0.21</v>
      </c>
      <c r="CB72" s="949">
        <v>0.33</v>
      </c>
      <c r="CC72" s="949">
        <v>0.36</v>
      </c>
      <c r="CD72" s="949">
        <v>0.1</v>
      </c>
      <c r="CE72" s="949">
        <v>0</v>
      </c>
      <c r="CF72" s="922">
        <v>325754002073</v>
      </c>
      <c r="CG72" s="126" t="s">
        <v>46</v>
      </c>
    </row>
    <row r="73" spans="1:85" ht="24.95" customHeight="1" x14ac:dyDescent="0.2">
      <c r="A73" s="126" t="s">
        <v>21</v>
      </c>
      <c r="B73" s="1" t="s">
        <v>123</v>
      </c>
      <c r="C73" s="2">
        <v>3</v>
      </c>
      <c r="D73" s="12">
        <v>54</v>
      </c>
      <c r="E73" s="12">
        <v>10</v>
      </c>
      <c r="F73" s="66">
        <v>0.27</v>
      </c>
      <c r="G73" s="66">
        <v>0.42</v>
      </c>
      <c r="H73" s="66">
        <v>0.23</v>
      </c>
      <c r="I73" s="66">
        <v>0.08</v>
      </c>
      <c r="J73" s="66">
        <v>0</v>
      </c>
      <c r="K73" s="12">
        <v>51</v>
      </c>
      <c r="L73" s="12">
        <v>8</v>
      </c>
      <c r="M73" s="61">
        <v>0.33</v>
      </c>
      <c r="N73" s="61">
        <v>0.5</v>
      </c>
      <c r="O73" s="61">
        <v>0.13</v>
      </c>
      <c r="P73" s="61">
        <v>0.04</v>
      </c>
      <c r="Q73" s="61">
        <v>0</v>
      </c>
      <c r="R73" s="12">
        <v>53</v>
      </c>
      <c r="S73" s="12">
        <v>8</v>
      </c>
      <c r="T73" s="63">
        <v>0.27</v>
      </c>
      <c r="U73" s="63">
        <v>0.5</v>
      </c>
      <c r="V73" s="63">
        <v>0.23</v>
      </c>
      <c r="W73" s="63">
        <v>0</v>
      </c>
      <c r="X73" s="63">
        <v>0</v>
      </c>
      <c r="Y73" s="12">
        <v>53</v>
      </c>
      <c r="Z73" s="12">
        <v>9</v>
      </c>
      <c r="AA73" s="63">
        <v>0.26</v>
      </c>
      <c r="AB73" s="63">
        <v>0.38</v>
      </c>
      <c r="AC73" s="63">
        <v>0.32</v>
      </c>
      <c r="AD73" s="63">
        <v>0.03</v>
      </c>
      <c r="AE73" s="63">
        <v>0</v>
      </c>
      <c r="AF73" s="25">
        <v>49</v>
      </c>
      <c r="AG73" s="25">
        <v>9</v>
      </c>
      <c r="AH73" s="61">
        <v>0.53</v>
      </c>
      <c r="AI73" s="61">
        <v>0.36</v>
      </c>
      <c r="AJ73" s="61">
        <v>0.05</v>
      </c>
      <c r="AK73" s="61">
        <v>7.0000000000000007E-2</v>
      </c>
      <c r="AL73" s="61">
        <v>0</v>
      </c>
      <c r="AM73" s="246">
        <v>54</v>
      </c>
      <c r="AN73" s="246" t="s">
        <v>758</v>
      </c>
      <c r="AO73" s="246">
        <v>11</v>
      </c>
      <c r="AP73" s="246" t="s">
        <v>758</v>
      </c>
      <c r="AQ73" s="263">
        <v>0.25</v>
      </c>
      <c r="AR73" s="263">
        <v>0.33</v>
      </c>
      <c r="AS73" s="263">
        <v>0.31</v>
      </c>
      <c r="AT73" s="263">
        <v>0.11</v>
      </c>
      <c r="AU73" s="263">
        <v>0</v>
      </c>
      <c r="AV73" s="309">
        <v>56</v>
      </c>
      <c r="AW73" s="309" t="s">
        <v>758</v>
      </c>
      <c r="AX73" s="309">
        <v>9</v>
      </c>
      <c r="AY73" s="309" t="s">
        <v>758</v>
      </c>
      <c r="AZ73" s="327">
        <v>0.13</v>
      </c>
      <c r="BA73" s="327">
        <v>0.45</v>
      </c>
      <c r="BB73" s="327">
        <v>0.32</v>
      </c>
      <c r="BC73" s="327">
        <v>0.09</v>
      </c>
      <c r="BD73" s="327">
        <v>0.02</v>
      </c>
      <c r="BE73" s="424">
        <v>54</v>
      </c>
      <c r="BF73" s="424" t="s">
        <v>758</v>
      </c>
      <c r="BG73" s="424">
        <v>9</v>
      </c>
      <c r="BH73" s="424" t="s">
        <v>758</v>
      </c>
      <c r="BI73" s="428">
        <v>0.25</v>
      </c>
      <c r="BJ73" s="428">
        <v>0.4</v>
      </c>
      <c r="BK73" s="428">
        <v>0.27</v>
      </c>
      <c r="BL73" s="428">
        <v>0.06</v>
      </c>
      <c r="BM73" s="428">
        <v>0.02</v>
      </c>
      <c r="BN73" s="464">
        <v>57</v>
      </c>
      <c r="BO73" s="464" t="s">
        <v>758</v>
      </c>
      <c r="BP73" s="464">
        <v>9</v>
      </c>
      <c r="BQ73" s="464" t="s">
        <v>758</v>
      </c>
      <c r="BR73" s="476">
        <v>0.09</v>
      </c>
      <c r="BS73" s="476">
        <v>0.51</v>
      </c>
      <c r="BT73" s="476">
        <v>0.28000000000000003</v>
      </c>
      <c r="BU73" s="476">
        <v>0.1</v>
      </c>
      <c r="BV73" s="476">
        <v>0.01</v>
      </c>
      <c r="BW73" s="933">
        <v>55</v>
      </c>
      <c r="BX73" s="933" t="s">
        <v>758</v>
      </c>
      <c r="BY73" s="933">
        <v>13</v>
      </c>
      <c r="BZ73" s="933" t="s">
        <v>758</v>
      </c>
      <c r="CA73" s="949">
        <v>0.31</v>
      </c>
      <c r="CB73" s="949">
        <v>0.28999999999999998</v>
      </c>
      <c r="CC73" s="949">
        <v>0.16</v>
      </c>
      <c r="CD73" s="949">
        <v>0.22</v>
      </c>
      <c r="CE73" s="949">
        <v>0.02</v>
      </c>
      <c r="CF73" s="922">
        <v>125754001833</v>
      </c>
      <c r="CG73" s="126" t="s">
        <v>21</v>
      </c>
    </row>
    <row r="74" spans="1:85" ht="24.95" customHeight="1" x14ac:dyDescent="0.2">
      <c r="A74" s="126" t="s">
        <v>56</v>
      </c>
      <c r="B74" s="1" t="s">
        <v>123</v>
      </c>
      <c r="C74" s="2">
        <v>6</v>
      </c>
      <c r="D74" s="12">
        <v>54</v>
      </c>
      <c r="E74" s="12">
        <v>10</v>
      </c>
      <c r="F74" s="66">
        <v>0.5</v>
      </c>
      <c r="G74" s="66">
        <v>0</v>
      </c>
      <c r="H74" s="66">
        <v>0.5</v>
      </c>
      <c r="I74" s="66">
        <v>0</v>
      </c>
      <c r="J74" s="66">
        <v>0</v>
      </c>
      <c r="K74" s="12">
        <v>51</v>
      </c>
      <c r="L74" s="12">
        <v>8</v>
      </c>
      <c r="M74" s="61">
        <v>0.25</v>
      </c>
      <c r="N74" s="61">
        <v>0.75</v>
      </c>
      <c r="O74" s="61">
        <v>0</v>
      </c>
      <c r="P74" s="61">
        <v>0</v>
      </c>
      <c r="Q74" s="61">
        <v>0</v>
      </c>
      <c r="R74" s="12" t="s">
        <v>126</v>
      </c>
      <c r="S74" s="12" t="s">
        <v>128</v>
      </c>
      <c r="T74" s="2"/>
      <c r="U74" s="2"/>
      <c r="V74" s="2"/>
      <c r="W74" s="2"/>
      <c r="X74" s="2"/>
      <c r="Y74" s="12">
        <v>38</v>
      </c>
      <c r="Z74" s="12">
        <v>8</v>
      </c>
      <c r="AA74" s="63">
        <v>1</v>
      </c>
      <c r="AB74" s="63">
        <v>0</v>
      </c>
      <c r="AC74" s="63">
        <v>0</v>
      </c>
      <c r="AD74" s="63">
        <v>0</v>
      </c>
      <c r="AE74" s="63">
        <v>0</v>
      </c>
      <c r="AF74" s="25">
        <v>46</v>
      </c>
      <c r="AG74" s="25">
        <v>12</v>
      </c>
      <c r="AH74" s="61">
        <v>0.63</v>
      </c>
      <c r="AI74" s="61">
        <v>0.25</v>
      </c>
      <c r="AJ74" s="61">
        <v>0</v>
      </c>
      <c r="AK74" s="61">
        <v>0.13</v>
      </c>
      <c r="AL74" s="61">
        <v>0</v>
      </c>
      <c r="AM74" s="646"/>
      <c r="AN74" s="646"/>
      <c r="AO74" s="646"/>
      <c r="AP74" s="646"/>
      <c r="AQ74" s="646"/>
      <c r="AR74" s="646"/>
      <c r="AS74" s="646"/>
      <c r="AT74" s="646"/>
      <c r="AU74" s="646"/>
      <c r="AV74" s="649"/>
      <c r="AW74" s="649"/>
      <c r="AX74" s="649"/>
      <c r="AY74" s="649"/>
      <c r="AZ74" s="649"/>
      <c r="BA74" s="649"/>
      <c r="BB74" s="649"/>
      <c r="BC74" s="649"/>
      <c r="BD74" s="649"/>
      <c r="BE74" s="424">
        <v>56</v>
      </c>
      <c r="BF74" s="424" t="s">
        <v>758</v>
      </c>
      <c r="BG74" s="424">
        <v>8</v>
      </c>
      <c r="BH74" s="424" t="s">
        <v>758</v>
      </c>
      <c r="BI74" s="428">
        <v>0.2</v>
      </c>
      <c r="BJ74" s="428">
        <v>0.2</v>
      </c>
      <c r="BK74" s="428">
        <v>0.6</v>
      </c>
      <c r="BL74" s="428">
        <v>0</v>
      </c>
      <c r="BM74" s="428">
        <v>0</v>
      </c>
      <c r="BN74" s="464">
        <v>51</v>
      </c>
      <c r="BO74" s="464" t="s">
        <v>758</v>
      </c>
      <c r="BP74" s="464">
        <v>8</v>
      </c>
      <c r="BQ74" s="464" t="s">
        <v>758</v>
      </c>
      <c r="BR74" s="476">
        <v>0.5</v>
      </c>
      <c r="BS74" s="476">
        <v>0.25</v>
      </c>
      <c r="BT74" s="476">
        <v>0.25</v>
      </c>
      <c r="BU74" s="476">
        <v>0</v>
      </c>
      <c r="BV74" s="476">
        <v>0</v>
      </c>
      <c r="BW74" s="933">
        <v>54</v>
      </c>
      <c r="BX74" s="933" t="s">
        <v>758</v>
      </c>
      <c r="BY74" s="933">
        <v>7</v>
      </c>
      <c r="BZ74" s="933" t="s">
        <v>760</v>
      </c>
      <c r="CA74" s="949">
        <v>0.17</v>
      </c>
      <c r="CB74" s="949">
        <v>0.67</v>
      </c>
      <c r="CC74" s="949">
        <v>0.17</v>
      </c>
      <c r="CD74" s="949">
        <v>0</v>
      </c>
      <c r="CE74" s="949">
        <v>0</v>
      </c>
      <c r="CF74" s="922">
        <v>325754002979</v>
      </c>
      <c r="CG74" s="126" t="s">
        <v>56</v>
      </c>
    </row>
    <row r="75" spans="1:85" ht="24.95" customHeight="1" x14ac:dyDescent="0.2">
      <c r="A75" s="644" t="s">
        <v>761</v>
      </c>
      <c r="B75" s="1" t="s">
        <v>123</v>
      </c>
      <c r="C75" s="2">
        <v>6</v>
      </c>
      <c r="D75" s="12"/>
      <c r="E75" s="12"/>
      <c r="F75" s="66"/>
      <c r="G75" s="66"/>
      <c r="H75" s="66"/>
      <c r="I75" s="66"/>
      <c r="J75" s="66"/>
      <c r="K75" s="12"/>
      <c r="L75" s="12"/>
      <c r="M75" s="61"/>
      <c r="N75" s="61"/>
      <c r="O75" s="61"/>
      <c r="P75" s="61"/>
      <c r="Q75" s="61"/>
      <c r="R75" s="12"/>
      <c r="S75" s="12"/>
      <c r="T75" s="63"/>
      <c r="U75" s="63"/>
      <c r="V75" s="63"/>
      <c r="W75" s="63"/>
      <c r="X75" s="63"/>
      <c r="Y75" s="12"/>
      <c r="Z75" s="12"/>
      <c r="AA75" s="63"/>
      <c r="AB75" s="63"/>
      <c r="AC75" s="63"/>
      <c r="AD75" s="63"/>
      <c r="AE75" s="63"/>
      <c r="AF75" s="25"/>
      <c r="AG75" s="25"/>
      <c r="AH75" s="61"/>
      <c r="AI75" s="61"/>
      <c r="AJ75" s="61"/>
      <c r="AK75" s="61"/>
      <c r="AL75" s="61"/>
      <c r="AM75" s="246">
        <v>51</v>
      </c>
      <c r="AN75" s="246" t="s">
        <v>758</v>
      </c>
      <c r="AO75" s="246">
        <v>9</v>
      </c>
      <c r="AP75" s="246" t="s">
        <v>758</v>
      </c>
      <c r="AQ75" s="263">
        <v>0.28000000000000003</v>
      </c>
      <c r="AR75" s="263">
        <v>0.44</v>
      </c>
      <c r="AS75" s="263">
        <v>0.28000000000000003</v>
      </c>
      <c r="AT75" s="263">
        <v>0</v>
      </c>
      <c r="AU75" s="263">
        <v>0</v>
      </c>
      <c r="AV75" s="309">
        <v>51</v>
      </c>
      <c r="AW75" s="309" t="s">
        <v>758</v>
      </c>
      <c r="AX75" s="309">
        <v>10</v>
      </c>
      <c r="AY75" s="309" t="s">
        <v>758</v>
      </c>
      <c r="AZ75" s="327">
        <v>0.32</v>
      </c>
      <c r="BA75" s="327">
        <v>0.45</v>
      </c>
      <c r="BB75" s="327">
        <v>0.16</v>
      </c>
      <c r="BC75" s="327">
        <v>0.06</v>
      </c>
      <c r="BD75" s="327">
        <v>0</v>
      </c>
      <c r="BE75" s="424">
        <v>56</v>
      </c>
      <c r="BF75" s="424" t="s">
        <v>758</v>
      </c>
      <c r="BG75" s="424">
        <v>11</v>
      </c>
      <c r="BH75" s="424" t="s">
        <v>758</v>
      </c>
      <c r="BI75" s="428">
        <v>0.28000000000000003</v>
      </c>
      <c r="BJ75" s="428">
        <v>0.31</v>
      </c>
      <c r="BK75" s="428">
        <v>0.28000000000000003</v>
      </c>
      <c r="BL75" s="428">
        <v>0.14000000000000001</v>
      </c>
      <c r="BM75" s="428">
        <v>0</v>
      </c>
      <c r="BN75" s="464">
        <v>55</v>
      </c>
      <c r="BO75" s="464" t="s">
        <v>758</v>
      </c>
      <c r="BP75" s="464">
        <v>7</v>
      </c>
      <c r="BQ75" s="464" t="s">
        <v>760</v>
      </c>
      <c r="BR75" s="476">
        <v>0.15</v>
      </c>
      <c r="BS75" s="476">
        <v>0.44</v>
      </c>
      <c r="BT75" s="476">
        <v>0.37</v>
      </c>
      <c r="BU75" s="476">
        <v>0.04</v>
      </c>
      <c r="BV75" s="476">
        <v>0</v>
      </c>
      <c r="BW75" s="933">
        <v>60</v>
      </c>
      <c r="BX75" s="933" t="s">
        <v>758</v>
      </c>
      <c r="BY75" s="933">
        <v>12</v>
      </c>
      <c r="BZ75" s="933" t="s">
        <v>758</v>
      </c>
      <c r="CA75" s="949">
        <v>0.21</v>
      </c>
      <c r="CB75" s="949">
        <v>0.18</v>
      </c>
      <c r="CC75" s="949">
        <v>0.21</v>
      </c>
      <c r="CD75" s="949">
        <v>0.36</v>
      </c>
      <c r="CE75" s="949">
        <v>0.04</v>
      </c>
      <c r="CF75" s="922">
        <v>325754001549</v>
      </c>
      <c r="CG75" s="644" t="s">
        <v>761</v>
      </c>
    </row>
    <row r="76" spans="1:85" ht="24.95" customHeight="1" x14ac:dyDescent="0.2">
      <c r="A76" s="645" t="s">
        <v>93</v>
      </c>
      <c r="B76" s="1" t="s">
        <v>123</v>
      </c>
      <c r="C76" s="249">
        <v>3</v>
      </c>
      <c r="D76" s="254">
        <v>46</v>
      </c>
      <c r="E76" s="254">
        <v>7</v>
      </c>
      <c r="F76" s="258">
        <v>0.44</v>
      </c>
      <c r="G76" s="258">
        <v>0.56000000000000005</v>
      </c>
      <c r="H76" s="258">
        <v>0</v>
      </c>
      <c r="I76" s="258">
        <v>0</v>
      </c>
      <c r="J76" s="258">
        <v>0</v>
      </c>
      <c r="K76" s="254">
        <v>46</v>
      </c>
      <c r="L76" s="254">
        <v>7</v>
      </c>
      <c r="M76" s="257">
        <v>0.6</v>
      </c>
      <c r="N76" s="257">
        <v>0.36</v>
      </c>
      <c r="O76" s="257">
        <v>0.04</v>
      </c>
      <c r="P76" s="257">
        <v>0</v>
      </c>
      <c r="Q76" s="257">
        <v>0</v>
      </c>
      <c r="R76" s="254">
        <v>54</v>
      </c>
      <c r="S76" s="254">
        <v>9</v>
      </c>
      <c r="T76" s="255">
        <v>0.26</v>
      </c>
      <c r="U76" s="255">
        <v>0.3</v>
      </c>
      <c r="V76" s="255">
        <v>0.43</v>
      </c>
      <c r="W76" s="255">
        <v>0</v>
      </c>
      <c r="X76" s="255">
        <v>0</v>
      </c>
      <c r="Y76" s="254">
        <v>54</v>
      </c>
      <c r="Z76" s="254">
        <v>9</v>
      </c>
      <c r="AA76" s="255">
        <v>0.28000000000000003</v>
      </c>
      <c r="AB76" s="255">
        <v>0.44</v>
      </c>
      <c r="AC76" s="255">
        <v>0.17</v>
      </c>
      <c r="AD76" s="255">
        <v>0.11</v>
      </c>
      <c r="AE76" s="255">
        <v>0</v>
      </c>
      <c r="AF76" s="256">
        <v>46</v>
      </c>
      <c r="AG76" s="256">
        <v>8</v>
      </c>
      <c r="AH76" s="257">
        <v>0.73</v>
      </c>
      <c r="AI76" s="257">
        <v>0.19</v>
      </c>
      <c r="AJ76" s="257">
        <v>0.04</v>
      </c>
      <c r="AK76" s="257">
        <v>0.04</v>
      </c>
      <c r="AL76" s="257">
        <v>0</v>
      </c>
      <c r="AM76" s="246">
        <v>46</v>
      </c>
      <c r="AN76" s="246" t="s">
        <v>758</v>
      </c>
      <c r="AO76" s="246">
        <v>8</v>
      </c>
      <c r="AP76" s="246" t="s">
        <v>758</v>
      </c>
      <c r="AQ76" s="263">
        <v>0.59</v>
      </c>
      <c r="AR76" s="263">
        <v>0.35</v>
      </c>
      <c r="AS76" s="263">
        <v>0.06</v>
      </c>
      <c r="AT76" s="263">
        <v>0</v>
      </c>
      <c r="AU76" s="263">
        <v>0</v>
      </c>
      <c r="AV76" s="309">
        <v>56</v>
      </c>
      <c r="AW76" s="309" t="s">
        <v>758</v>
      </c>
      <c r="AX76" s="309">
        <v>12</v>
      </c>
      <c r="AY76" s="309" t="s">
        <v>758</v>
      </c>
      <c r="AZ76" s="327">
        <v>0.28999999999999998</v>
      </c>
      <c r="BA76" s="327">
        <v>0.17</v>
      </c>
      <c r="BB76" s="327">
        <v>0.28999999999999998</v>
      </c>
      <c r="BC76" s="327">
        <v>0.25</v>
      </c>
      <c r="BD76" s="327">
        <v>0</v>
      </c>
      <c r="BE76" s="424">
        <v>61</v>
      </c>
      <c r="BF76" s="424" t="s">
        <v>759</v>
      </c>
      <c r="BG76" s="424">
        <v>9</v>
      </c>
      <c r="BH76" s="424" t="s">
        <v>758</v>
      </c>
      <c r="BI76" s="428">
        <v>0.04</v>
      </c>
      <c r="BJ76" s="428">
        <v>0.28999999999999998</v>
      </c>
      <c r="BK76" s="428">
        <v>0.42</v>
      </c>
      <c r="BL76" s="428">
        <v>0.25</v>
      </c>
      <c r="BM76" s="428">
        <v>0</v>
      </c>
      <c r="BN76" s="464">
        <v>58</v>
      </c>
      <c r="BO76" s="464" t="s">
        <v>758</v>
      </c>
      <c r="BP76" s="464">
        <v>10</v>
      </c>
      <c r="BQ76" s="464" t="s">
        <v>758</v>
      </c>
      <c r="BR76" s="476">
        <v>0.18</v>
      </c>
      <c r="BS76" s="476">
        <v>0.32</v>
      </c>
      <c r="BT76" s="476">
        <v>0.32</v>
      </c>
      <c r="BU76" s="476">
        <v>0.18</v>
      </c>
      <c r="BV76" s="476">
        <v>0</v>
      </c>
      <c r="BW76" s="933">
        <v>62</v>
      </c>
      <c r="BX76" s="933" t="s">
        <v>758</v>
      </c>
      <c r="BY76" s="933">
        <v>10</v>
      </c>
      <c r="BZ76" s="933" t="s">
        <v>758</v>
      </c>
      <c r="CA76" s="949">
        <v>0</v>
      </c>
      <c r="CB76" s="949">
        <v>0.36</v>
      </c>
      <c r="CC76" s="949">
        <v>0.36</v>
      </c>
      <c r="CD76" s="949">
        <v>0.18</v>
      </c>
      <c r="CE76" s="949">
        <v>0.09</v>
      </c>
      <c r="CF76" s="922">
        <v>325754001921</v>
      </c>
      <c r="CG76" s="645" t="s">
        <v>93</v>
      </c>
    </row>
    <row r="77" spans="1:85" ht="24.95" customHeight="1" x14ac:dyDescent="0.2">
      <c r="A77" s="126" t="s">
        <v>111</v>
      </c>
      <c r="B77" s="1" t="s">
        <v>123</v>
      </c>
      <c r="C77" s="2">
        <v>1</v>
      </c>
      <c r="D77" s="12">
        <v>53</v>
      </c>
      <c r="E77" s="12">
        <v>8</v>
      </c>
      <c r="F77" s="66">
        <v>0.35</v>
      </c>
      <c r="G77" s="66">
        <v>0.41</v>
      </c>
      <c r="H77" s="66">
        <v>0.18</v>
      </c>
      <c r="I77" s="66">
        <v>0.06</v>
      </c>
      <c r="J77" s="66">
        <v>0</v>
      </c>
      <c r="K77" s="12">
        <v>50</v>
      </c>
      <c r="L77" s="12">
        <v>7</v>
      </c>
      <c r="M77" s="61">
        <v>0.44</v>
      </c>
      <c r="N77" s="61">
        <v>0.44</v>
      </c>
      <c r="O77" s="61">
        <v>0.11</v>
      </c>
      <c r="P77" s="61">
        <v>0</v>
      </c>
      <c r="Q77" s="61">
        <v>0</v>
      </c>
      <c r="R77" s="12">
        <v>53</v>
      </c>
      <c r="S77" s="12">
        <v>8</v>
      </c>
      <c r="T77" s="63">
        <v>0.25</v>
      </c>
      <c r="U77" s="63">
        <v>0.5</v>
      </c>
      <c r="V77" s="63">
        <v>0.25</v>
      </c>
      <c r="W77" s="63">
        <v>0</v>
      </c>
      <c r="X77" s="63">
        <v>0</v>
      </c>
      <c r="Y77" s="12">
        <v>48</v>
      </c>
      <c r="Z77" s="12">
        <v>8</v>
      </c>
      <c r="AA77" s="63">
        <v>0.56000000000000005</v>
      </c>
      <c r="AB77" s="63">
        <v>0.33</v>
      </c>
      <c r="AC77" s="63">
        <v>0.11</v>
      </c>
      <c r="AD77" s="63">
        <v>0</v>
      </c>
      <c r="AE77" s="63">
        <v>0</v>
      </c>
      <c r="AF77" s="25">
        <v>49</v>
      </c>
      <c r="AG77" s="25">
        <v>9</v>
      </c>
      <c r="AH77" s="61">
        <v>0.5</v>
      </c>
      <c r="AI77" s="61">
        <v>0.38</v>
      </c>
      <c r="AJ77" s="61">
        <v>0.13</v>
      </c>
      <c r="AK77" s="61">
        <v>0</v>
      </c>
      <c r="AL77" s="61">
        <v>0</v>
      </c>
      <c r="AM77" s="647">
        <v>55</v>
      </c>
      <c r="AN77" s="647" t="s">
        <v>758</v>
      </c>
      <c r="AO77" s="647">
        <v>11</v>
      </c>
      <c r="AP77" s="647" t="s">
        <v>758</v>
      </c>
      <c r="AQ77" s="648">
        <v>0.18</v>
      </c>
      <c r="AR77" s="648">
        <v>0.45</v>
      </c>
      <c r="AS77" s="648">
        <v>0.27</v>
      </c>
      <c r="AT77" s="648">
        <v>0.09</v>
      </c>
      <c r="AU77" s="648">
        <v>0</v>
      </c>
      <c r="AV77" s="74">
        <v>52</v>
      </c>
      <c r="AW77" s="74" t="s">
        <v>758</v>
      </c>
      <c r="AX77" s="74">
        <v>11</v>
      </c>
      <c r="AY77" s="74" t="s">
        <v>758</v>
      </c>
      <c r="AZ77" s="96">
        <v>0.26</v>
      </c>
      <c r="BA77" s="96">
        <v>0.43</v>
      </c>
      <c r="BB77" s="96">
        <v>0.22</v>
      </c>
      <c r="BC77" s="96">
        <v>0.09</v>
      </c>
      <c r="BD77" s="96">
        <v>0</v>
      </c>
      <c r="BE77" s="424">
        <v>55</v>
      </c>
      <c r="BF77" s="424" t="s">
        <v>758</v>
      </c>
      <c r="BG77" s="424">
        <v>7</v>
      </c>
      <c r="BH77" s="424" t="s">
        <v>760</v>
      </c>
      <c r="BI77" s="428">
        <v>0.18</v>
      </c>
      <c r="BJ77" s="428">
        <v>0.5</v>
      </c>
      <c r="BK77" s="428">
        <v>0.27</v>
      </c>
      <c r="BL77" s="428">
        <v>0.05</v>
      </c>
      <c r="BM77" s="428">
        <v>0</v>
      </c>
      <c r="BN77" s="464">
        <v>58</v>
      </c>
      <c r="BO77" s="464" t="s">
        <v>758</v>
      </c>
      <c r="BP77" s="464">
        <v>6</v>
      </c>
      <c r="BQ77" s="464" t="s">
        <v>760</v>
      </c>
      <c r="BR77" s="476">
        <v>0</v>
      </c>
      <c r="BS77" s="476">
        <v>0.47</v>
      </c>
      <c r="BT77" s="476">
        <v>0.42</v>
      </c>
      <c r="BU77" s="476">
        <v>0.11</v>
      </c>
      <c r="BV77" s="476">
        <v>0</v>
      </c>
      <c r="BW77" s="933">
        <v>58</v>
      </c>
      <c r="BX77" s="933" t="s">
        <v>758</v>
      </c>
      <c r="BY77" s="933">
        <v>8</v>
      </c>
      <c r="BZ77" s="933" t="s">
        <v>758</v>
      </c>
      <c r="CA77" s="949">
        <v>0.1</v>
      </c>
      <c r="CB77" s="949">
        <v>0.4</v>
      </c>
      <c r="CC77" s="949">
        <v>0.35</v>
      </c>
      <c r="CD77" s="949">
        <v>0.15</v>
      </c>
      <c r="CE77" s="949">
        <v>0</v>
      </c>
      <c r="CF77" s="922">
        <v>325754004581</v>
      </c>
      <c r="CG77" s="126" t="s">
        <v>111</v>
      </c>
    </row>
    <row r="78" spans="1:85" ht="24.95" customHeight="1" x14ac:dyDescent="0.2">
      <c r="A78" s="126" t="s">
        <v>799</v>
      </c>
      <c r="B78" s="14" t="s">
        <v>123</v>
      </c>
      <c r="C78" s="2">
        <v>2</v>
      </c>
      <c r="D78" s="12"/>
      <c r="E78" s="12"/>
      <c r="F78" s="66"/>
      <c r="G78" s="66"/>
      <c r="H78" s="66"/>
      <c r="I78" s="66"/>
      <c r="J78" s="66"/>
      <c r="K78" s="12"/>
      <c r="L78" s="12"/>
      <c r="M78" s="61"/>
      <c r="N78" s="61"/>
      <c r="O78" s="61"/>
      <c r="P78" s="61"/>
      <c r="Q78" s="61"/>
      <c r="R78" s="12"/>
      <c r="S78" s="12"/>
      <c r="T78" s="63"/>
      <c r="U78" s="63"/>
      <c r="V78" s="63"/>
      <c r="W78" s="63"/>
      <c r="X78" s="63"/>
      <c r="Y78" s="12"/>
      <c r="Z78" s="12"/>
      <c r="AA78" s="63"/>
      <c r="AB78" s="63"/>
      <c r="AC78" s="63"/>
      <c r="AD78" s="63"/>
      <c r="AE78" s="63"/>
      <c r="AF78" s="25"/>
      <c r="AG78" s="25"/>
      <c r="AH78" s="61"/>
      <c r="AI78" s="61"/>
      <c r="AJ78" s="61"/>
      <c r="AK78" s="61"/>
      <c r="AL78" s="61"/>
      <c r="AM78" s="246"/>
      <c r="AN78" s="246"/>
      <c r="AO78" s="246"/>
      <c r="AP78" s="246"/>
      <c r="AQ78" s="263"/>
      <c r="AR78" s="263"/>
      <c r="AS78" s="263"/>
      <c r="AT78" s="263"/>
      <c r="AU78" s="263"/>
      <c r="AV78" s="309">
        <v>54</v>
      </c>
      <c r="AW78" s="309" t="s">
        <v>758</v>
      </c>
      <c r="AX78" s="309">
        <v>11</v>
      </c>
      <c r="AY78" s="309" t="s">
        <v>758</v>
      </c>
      <c r="AZ78" s="327">
        <v>0.27</v>
      </c>
      <c r="BA78" s="327">
        <v>0.47</v>
      </c>
      <c r="BB78" s="327">
        <v>0.13</v>
      </c>
      <c r="BC78" s="327">
        <v>0.13</v>
      </c>
      <c r="BD78" s="327">
        <v>0</v>
      </c>
      <c r="BE78" s="424">
        <v>54</v>
      </c>
      <c r="BF78" s="424" t="s">
        <v>758</v>
      </c>
      <c r="BG78" s="424">
        <v>8</v>
      </c>
      <c r="BH78" s="424" t="s">
        <v>758</v>
      </c>
      <c r="BI78" s="428">
        <v>0.24</v>
      </c>
      <c r="BJ78" s="428">
        <v>0.33</v>
      </c>
      <c r="BK78" s="428">
        <v>0.38</v>
      </c>
      <c r="BL78" s="428">
        <v>0.05</v>
      </c>
      <c r="BM78" s="428">
        <v>0</v>
      </c>
      <c r="BN78" s="464">
        <v>51</v>
      </c>
      <c r="BO78" s="464" t="s">
        <v>758</v>
      </c>
      <c r="BP78" s="464">
        <v>10</v>
      </c>
      <c r="BQ78" s="464" t="s">
        <v>758</v>
      </c>
      <c r="BR78" s="476">
        <v>0.46</v>
      </c>
      <c r="BS78" s="476">
        <v>0.28999999999999998</v>
      </c>
      <c r="BT78" s="476">
        <v>0.18</v>
      </c>
      <c r="BU78" s="476">
        <v>7.0000000000000007E-2</v>
      </c>
      <c r="BV78" s="476">
        <v>0</v>
      </c>
      <c r="BW78" s="933">
        <v>57</v>
      </c>
      <c r="BX78" s="933" t="s">
        <v>758</v>
      </c>
      <c r="BY78" s="933">
        <v>9</v>
      </c>
      <c r="BZ78" s="933" t="s">
        <v>758</v>
      </c>
      <c r="CA78" s="949">
        <v>0.1</v>
      </c>
      <c r="CB78" s="949">
        <v>0.4</v>
      </c>
      <c r="CC78" s="949">
        <v>0.43</v>
      </c>
      <c r="CD78" s="949">
        <v>0.08</v>
      </c>
      <c r="CE78" s="949">
        <v>0</v>
      </c>
      <c r="CF78" s="922">
        <v>325754001531</v>
      </c>
      <c r="CG78" s="126" t="s">
        <v>799</v>
      </c>
    </row>
    <row r="79" spans="1:85" ht="24.95" customHeight="1" x14ac:dyDescent="0.2">
      <c r="A79" s="126" t="s">
        <v>959</v>
      </c>
      <c r="B79" s="1" t="s">
        <v>123</v>
      </c>
      <c r="C79" s="2">
        <v>4</v>
      </c>
      <c r="D79" s="12">
        <v>49</v>
      </c>
      <c r="E79" s="12">
        <v>10</v>
      </c>
      <c r="F79" s="66">
        <v>0.51</v>
      </c>
      <c r="G79" s="66">
        <v>0.28999999999999998</v>
      </c>
      <c r="H79" s="66">
        <v>0.16</v>
      </c>
      <c r="I79" s="66">
        <v>0.04</v>
      </c>
      <c r="J79" s="66">
        <v>0</v>
      </c>
      <c r="K79" s="12">
        <v>48</v>
      </c>
      <c r="L79" s="12">
        <v>11</v>
      </c>
      <c r="M79" s="61">
        <v>0.61</v>
      </c>
      <c r="N79" s="61">
        <v>0.22</v>
      </c>
      <c r="O79" s="61">
        <v>0.12</v>
      </c>
      <c r="P79" s="61">
        <v>0.06</v>
      </c>
      <c r="Q79" s="61">
        <v>0</v>
      </c>
      <c r="R79" s="12">
        <v>55</v>
      </c>
      <c r="S79" s="12">
        <v>7</v>
      </c>
      <c r="T79" s="63">
        <v>0.25</v>
      </c>
      <c r="U79" s="63">
        <v>0.33</v>
      </c>
      <c r="V79" s="63">
        <v>0.42</v>
      </c>
      <c r="W79" s="63">
        <v>0</v>
      </c>
      <c r="X79" s="63">
        <v>0</v>
      </c>
      <c r="Y79" s="12">
        <v>45</v>
      </c>
      <c r="Z79" s="12">
        <v>10</v>
      </c>
      <c r="AA79" s="63">
        <v>0.56000000000000005</v>
      </c>
      <c r="AB79" s="63">
        <v>0.39</v>
      </c>
      <c r="AC79" s="63">
        <v>0.06</v>
      </c>
      <c r="AD79" s="63">
        <v>0</v>
      </c>
      <c r="AE79" s="63">
        <v>0</v>
      </c>
      <c r="AF79" s="25"/>
      <c r="AG79" s="25"/>
      <c r="AH79" s="61"/>
      <c r="AI79" s="61"/>
      <c r="AJ79" s="61"/>
      <c r="AK79" s="61"/>
      <c r="AL79" s="61"/>
      <c r="AM79" s="246">
        <v>48</v>
      </c>
      <c r="AN79" s="246" t="s">
        <v>758</v>
      </c>
      <c r="AO79" s="246">
        <v>0</v>
      </c>
      <c r="AP79" s="246" t="s">
        <v>760</v>
      </c>
      <c r="AQ79" s="263">
        <v>0</v>
      </c>
      <c r="AR79" s="263">
        <v>1</v>
      </c>
      <c r="AS79" s="263">
        <v>0</v>
      </c>
      <c r="AT79" s="263">
        <v>0</v>
      </c>
      <c r="AU79" s="263">
        <v>0</v>
      </c>
      <c r="AV79" s="649"/>
      <c r="AW79" s="649"/>
      <c r="AX79" s="649"/>
      <c r="AY79" s="649"/>
      <c r="AZ79" s="649"/>
      <c r="BA79" s="649"/>
      <c r="BB79" s="649"/>
      <c r="BC79" s="649"/>
      <c r="BD79" s="649"/>
      <c r="BE79" s="651"/>
      <c r="BF79" s="651"/>
      <c r="BG79" s="651"/>
      <c r="BH79" s="651"/>
      <c r="BI79" s="651"/>
      <c r="BJ79" s="651"/>
      <c r="BK79" s="651"/>
      <c r="BL79" s="651"/>
      <c r="BM79" s="651"/>
      <c r="BN79" s="650"/>
      <c r="BO79" s="650"/>
      <c r="BP79" s="650"/>
      <c r="BQ79" s="650"/>
      <c r="BR79" s="650"/>
      <c r="BS79" s="650"/>
      <c r="BT79" s="650"/>
      <c r="BU79" s="650"/>
      <c r="BV79" s="650"/>
      <c r="BW79" s="933">
        <v>56</v>
      </c>
      <c r="BX79" s="933" t="s">
        <v>758</v>
      </c>
      <c r="BY79" s="933">
        <v>0</v>
      </c>
      <c r="BZ79" s="933" t="s">
        <v>760</v>
      </c>
      <c r="CA79" s="949">
        <v>0</v>
      </c>
      <c r="CB79" s="949">
        <v>1</v>
      </c>
      <c r="CC79" s="949">
        <v>0</v>
      </c>
      <c r="CD79" s="949">
        <v>0</v>
      </c>
      <c r="CE79" s="949">
        <v>0</v>
      </c>
      <c r="CF79" s="922">
        <v>325754001875</v>
      </c>
      <c r="CG79" s="126" t="s">
        <v>959</v>
      </c>
    </row>
    <row r="80" spans="1:85" ht="24.95" customHeight="1" x14ac:dyDescent="0.2">
      <c r="A80" s="555" t="s">
        <v>94</v>
      </c>
      <c r="B80" s="1" t="s">
        <v>123</v>
      </c>
      <c r="C80" s="309">
        <v>6</v>
      </c>
      <c r="D80" s="328">
        <v>51</v>
      </c>
      <c r="E80" s="328">
        <v>7</v>
      </c>
      <c r="F80" s="333">
        <v>0.33</v>
      </c>
      <c r="G80" s="333">
        <v>0.53</v>
      </c>
      <c r="H80" s="333">
        <v>0.13</v>
      </c>
      <c r="I80" s="333">
        <v>0</v>
      </c>
      <c r="J80" s="333">
        <v>0</v>
      </c>
      <c r="K80" s="328">
        <v>48</v>
      </c>
      <c r="L80" s="328">
        <v>6</v>
      </c>
      <c r="M80" s="330">
        <v>0.71</v>
      </c>
      <c r="N80" s="330">
        <v>0.28999999999999998</v>
      </c>
      <c r="O80" s="330">
        <v>0</v>
      </c>
      <c r="P80" s="330">
        <v>0</v>
      </c>
      <c r="Q80" s="330">
        <v>0</v>
      </c>
      <c r="R80" s="328">
        <v>48</v>
      </c>
      <c r="S80" s="328">
        <v>7</v>
      </c>
      <c r="T80" s="327">
        <v>0.63</v>
      </c>
      <c r="U80" s="327">
        <v>0.38</v>
      </c>
      <c r="V80" s="327">
        <v>0</v>
      </c>
      <c r="W80" s="327">
        <v>0</v>
      </c>
      <c r="X80" s="327">
        <v>0</v>
      </c>
      <c r="Y80" s="328">
        <v>53</v>
      </c>
      <c r="Z80" s="328">
        <v>12</v>
      </c>
      <c r="AA80" s="327">
        <v>0.27</v>
      </c>
      <c r="AB80" s="327">
        <v>0.45</v>
      </c>
      <c r="AC80" s="327">
        <v>0.18</v>
      </c>
      <c r="AD80" s="327">
        <v>0.09</v>
      </c>
      <c r="AE80" s="327">
        <v>0</v>
      </c>
      <c r="AF80" s="329">
        <v>45</v>
      </c>
      <c r="AG80" s="329">
        <v>7</v>
      </c>
      <c r="AH80" s="330">
        <v>0.91</v>
      </c>
      <c r="AI80" s="330">
        <v>0</v>
      </c>
      <c r="AJ80" s="330">
        <v>0.09</v>
      </c>
      <c r="AK80" s="330">
        <v>0</v>
      </c>
      <c r="AL80" s="330">
        <v>0</v>
      </c>
      <c r="AM80" s="312">
        <v>51</v>
      </c>
      <c r="AN80" s="312" t="s">
        <v>758</v>
      </c>
      <c r="AO80" s="312">
        <v>11</v>
      </c>
      <c r="AP80" s="312" t="s">
        <v>758</v>
      </c>
      <c r="AQ80" s="332">
        <v>0.33</v>
      </c>
      <c r="AR80" s="332">
        <v>0.4</v>
      </c>
      <c r="AS80" s="332">
        <v>0.2</v>
      </c>
      <c r="AT80" s="332">
        <v>7.0000000000000007E-2</v>
      </c>
      <c r="AU80" s="332">
        <v>0</v>
      </c>
      <c r="AV80" s="309">
        <v>50</v>
      </c>
      <c r="AW80" s="309" t="s">
        <v>758</v>
      </c>
      <c r="AX80" s="309">
        <v>11</v>
      </c>
      <c r="AY80" s="309" t="s">
        <v>758</v>
      </c>
      <c r="AZ80" s="327">
        <v>0.4</v>
      </c>
      <c r="BA80" s="327">
        <v>0.25</v>
      </c>
      <c r="BB80" s="327">
        <v>0.35</v>
      </c>
      <c r="BC80" s="327">
        <v>0</v>
      </c>
      <c r="BD80" s="327">
        <v>0</v>
      </c>
      <c r="BE80" s="424">
        <v>50</v>
      </c>
      <c r="BF80" s="424" t="s">
        <v>758</v>
      </c>
      <c r="BG80" s="424">
        <v>11</v>
      </c>
      <c r="BH80" s="424" t="s">
        <v>758</v>
      </c>
      <c r="BI80" s="428">
        <v>0.47</v>
      </c>
      <c r="BJ80" s="428">
        <v>0.33</v>
      </c>
      <c r="BK80" s="428">
        <v>0.13</v>
      </c>
      <c r="BL80" s="428">
        <v>7.0000000000000007E-2</v>
      </c>
      <c r="BM80" s="428">
        <v>0</v>
      </c>
      <c r="BN80" s="464">
        <v>49</v>
      </c>
      <c r="BO80" s="464" t="s">
        <v>758</v>
      </c>
      <c r="BP80" s="464">
        <v>9</v>
      </c>
      <c r="BQ80" s="464" t="s">
        <v>758</v>
      </c>
      <c r="BR80" s="476">
        <v>0.48</v>
      </c>
      <c r="BS80" s="476">
        <v>0.28000000000000003</v>
      </c>
      <c r="BT80" s="476">
        <v>0.24</v>
      </c>
      <c r="BU80" s="476">
        <v>0</v>
      </c>
      <c r="BV80" s="476">
        <v>0</v>
      </c>
      <c r="BW80" s="933">
        <v>49</v>
      </c>
      <c r="BX80" s="933" t="s">
        <v>758</v>
      </c>
      <c r="BY80" s="933">
        <v>9</v>
      </c>
      <c r="BZ80" s="933" t="s">
        <v>758</v>
      </c>
      <c r="CA80" s="949">
        <v>0.45</v>
      </c>
      <c r="CB80" s="949">
        <v>0.38</v>
      </c>
      <c r="CC80" s="949">
        <v>0.14000000000000001</v>
      </c>
      <c r="CD80" s="949">
        <v>0.03</v>
      </c>
      <c r="CE80" s="949">
        <v>0</v>
      </c>
      <c r="CF80" s="922">
        <v>325754001221</v>
      </c>
      <c r="CG80" s="555" t="s">
        <v>94</v>
      </c>
    </row>
    <row r="81" spans="1:85" ht="24.95" customHeight="1" x14ac:dyDescent="0.2">
      <c r="A81" s="126" t="s">
        <v>132</v>
      </c>
      <c r="B81" s="1" t="s">
        <v>123</v>
      </c>
      <c r="C81" s="2">
        <v>2</v>
      </c>
      <c r="D81" s="12" t="s">
        <v>126</v>
      </c>
      <c r="E81" s="12" t="s">
        <v>126</v>
      </c>
      <c r="F81" s="12"/>
      <c r="G81" s="12"/>
      <c r="H81" s="12"/>
      <c r="I81" s="12"/>
      <c r="J81" s="12"/>
      <c r="K81" s="12">
        <v>59</v>
      </c>
      <c r="L81" s="12">
        <v>8</v>
      </c>
      <c r="M81" s="61">
        <v>0.04</v>
      </c>
      <c r="N81" s="61">
        <v>0.25</v>
      </c>
      <c r="O81" s="61">
        <v>0.63</v>
      </c>
      <c r="P81" s="61">
        <v>0.08</v>
      </c>
      <c r="Q81" s="61">
        <v>0</v>
      </c>
      <c r="R81" s="12">
        <v>57</v>
      </c>
      <c r="S81" s="12">
        <v>9</v>
      </c>
      <c r="T81" s="63">
        <v>0.28999999999999998</v>
      </c>
      <c r="U81" s="63">
        <v>0.21</v>
      </c>
      <c r="V81" s="63">
        <v>0.43</v>
      </c>
      <c r="W81" s="63">
        <v>7.0000000000000007E-2</v>
      </c>
      <c r="X81" s="63">
        <v>0</v>
      </c>
      <c r="Y81" s="12">
        <v>60</v>
      </c>
      <c r="Z81" s="12">
        <v>9</v>
      </c>
      <c r="AA81" s="63">
        <v>0.06</v>
      </c>
      <c r="AB81" s="63">
        <v>0.38</v>
      </c>
      <c r="AC81" s="63">
        <v>0.31</v>
      </c>
      <c r="AD81" s="63">
        <v>0.25</v>
      </c>
      <c r="AE81" s="63">
        <v>0</v>
      </c>
      <c r="AF81" s="25">
        <v>61</v>
      </c>
      <c r="AG81" s="25">
        <v>12</v>
      </c>
      <c r="AH81" s="61">
        <v>0.13</v>
      </c>
      <c r="AI81" s="61">
        <v>0.25</v>
      </c>
      <c r="AJ81" s="61">
        <v>0.38</v>
      </c>
      <c r="AK81" s="61">
        <v>0.19</v>
      </c>
      <c r="AL81" s="61">
        <v>0.06</v>
      </c>
      <c r="AM81" s="246">
        <v>67</v>
      </c>
      <c r="AN81" s="246" t="s">
        <v>759</v>
      </c>
      <c r="AO81" s="246">
        <v>9</v>
      </c>
      <c r="AP81" s="246" t="s">
        <v>758</v>
      </c>
      <c r="AQ81" s="263">
        <v>0</v>
      </c>
      <c r="AR81" s="263">
        <v>0.25</v>
      </c>
      <c r="AS81" s="263">
        <v>0.25</v>
      </c>
      <c r="AT81" s="263">
        <v>0.35</v>
      </c>
      <c r="AU81" s="263">
        <v>0.15</v>
      </c>
      <c r="AV81" s="74">
        <v>66</v>
      </c>
      <c r="AW81" s="74" t="s">
        <v>759</v>
      </c>
      <c r="AX81" s="74">
        <v>11</v>
      </c>
      <c r="AY81" s="74" t="s">
        <v>758</v>
      </c>
      <c r="AZ81" s="96">
        <v>0.04</v>
      </c>
      <c r="BA81" s="96">
        <v>0.12</v>
      </c>
      <c r="BB81" s="96">
        <v>0.46</v>
      </c>
      <c r="BC81" s="96">
        <v>0.35</v>
      </c>
      <c r="BD81" s="96">
        <v>0.04</v>
      </c>
      <c r="BE81" s="652">
        <v>66</v>
      </c>
      <c r="BF81" s="652" t="s">
        <v>759</v>
      </c>
      <c r="BG81" s="652">
        <v>10</v>
      </c>
      <c r="BH81" s="652" t="s">
        <v>758</v>
      </c>
      <c r="BI81" s="653">
        <v>0.03</v>
      </c>
      <c r="BJ81" s="653">
        <v>0.1</v>
      </c>
      <c r="BK81" s="653">
        <v>0.41</v>
      </c>
      <c r="BL81" s="653">
        <v>0.41</v>
      </c>
      <c r="BM81" s="653">
        <v>0.03</v>
      </c>
      <c r="BN81" s="74">
        <v>68</v>
      </c>
      <c r="BO81" s="74" t="s">
        <v>759</v>
      </c>
      <c r="BP81" s="74">
        <v>8</v>
      </c>
      <c r="BQ81" s="74" t="s">
        <v>758</v>
      </c>
      <c r="BR81" s="96">
        <v>0.05</v>
      </c>
      <c r="BS81" s="96">
        <v>0.05</v>
      </c>
      <c r="BT81" s="96">
        <v>0.37</v>
      </c>
      <c r="BU81" s="96">
        <v>0.42</v>
      </c>
      <c r="BV81" s="96">
        <v>0.11</v>
      </c>
      <c r="BW81" s="933">
        <v>67</v>
      </c>
      <c r="BX81" s="933" t="s">
        <v>759</v>
      </c>
      <c r="BY81" s="933">
        <v>11</v>
      </c>
      <c r="BZ81" s="933" t="s">
        <v>758</v>
      </c>
      <c r="CA81" s="949">
        <v>0.04</v>
      </c>
      <c r="CB81" s="949">
        <v>0.11</v>
      </c>
      <c r="CC81" s="949">
        <v>0.32</v>
      </c>
      <c r="CD81" s="949">
        <v>0.46</v>
      </c>
      <c r="CE81" s="949">
        <v>7.0000000000000007E-2</v>
      </c>
      <c r="CF81" s="922">
        <v>325754003169</v>
      </c>
      <c r="CG81" s="126" t="s">
        <v>132</v>
      </c>
    </row>
    <row r="82" spans="1:85" ht="24.95" customHeight="1" x14ac:dyDescent="0.2">
      <c r="A82" s="126" t="s">
        <v>30</v>
      </c>
      <c r="B82" s="1" t="s">
        <v>123</v>
      </c>
      <c r="C82" s="2">
        <v>6</v>
      </c>
      <c r="D82" s="12">
        <v>56</v>
      </c>
      <c r="E82" s="12">
        <v>9</v>
      </c>
      <c r="F82" s="66">
        <v>0.21</v>
      </c>
      <c r="G82" s="66">
        <v>0.52</v>
      </c>
      <c r="H82" s="66">
        <v>0.18</v>
      </c>
      <c r="I82" s="66">
        <v>0.06</v>
      </c>
      <c r="J82" s="66">
        <v>0.03</v>
      </c>
      <c r="K82" s="12">
        <v>53</v>
      </c>
      <c r="L82" s="12">
        <v>12</v>
      </c>
      <c r="M82" s="61">
        <v>0.38</v>
      </c>
      <c r="N82" s="61">
        <v>0.28999999999999998</v>
      </c>
      <c r="O82" s="61">
        <v>0.21</v>
      </c>
      <c r="P82" s="61">
        <v>0.08</v>
      </c>
      <c r="Q82" s="61">
        <v>0.04</v>
      </c>
      <c r="R82" s="12">
        <v>54</v>
      </c>
      <c r="S82" s="12">
        <v>9</v>
      </c>
      <c r="T82" s="63">
        <v>0.28000000000000003</v>
      </c>
      <c r="U82" s="63">
        <v>0.47</v>
      </c>
      <c r="V82" s="63">
        <v>0.19</v>
      </c>
      <c r="W82" s="63">
        <v>0.03</v>
      </c>
      <c r="X82" s="63">
        <v>0.03</v>
      </c>
      <c r="Y82" s="12">
        <v>55</v>
      </c>
      <c r="Z82" s="12">
        <v>8</v>
      </c>
      <c r="AA82" s="63">
        <v>0.23</v>
      </c>
      <c r="AB82" s="63">
        <v>0.33</v>
      </c>
      <c r="AC82" s="63">
        <v>0.37</v>
      </c>
      <c r="AD82" s="63">
        <v>7.0000000000000007E-2</v>
      </c>
      <c r="AE82" s="63">
        <v>0</v>
      </c>
      <c r="AF82" s="25">
        <v>51</v>
      </c>
      <c r="AG82" s="25">
        <v>11</v>
      </c>
      <c r="AH82" s="61">
        <v>0.46</v>
      </c>
      <c r="AI82" s="61">
        <v>0.23</v>
      </c>
      <c r="AJ82" s="61">
        <v>0.19</v>
      </c>
      <c r="AK82" s="61">
        <v>0.12</v>
      </c>
      <c r="AL82" s="61">
        <v>0</v>
      </c>
      <c r="AM82" s="246">
        <v>52</v>
      </c>
      <c r="AN82" s="246" t="s">
        <v>758</v>
      </c>
      <c r="AO82" s="246">
        <v>8</v>
      </c>
      <c r="AP82" s="246" t="s">
        <v>758</v>
      </c>
      <c r="AQ82" s="263">
        <v>0.2</v>
      </c>
      <c r="AR82" s="263">
        <v>0.59</v>
      </c>
      <c r="AS82" s="263">
        <v>0.16</v>
      </c>
      <c r="AT82" s="263">
        <v>0.05</v>
      </c>
      <c r="AU82" s="263">
        <v>0</v>
      </c>
      <c r="AV82" s="309">
        <v>58</v>
      </c>
      <c r="AW82" s="309" t="s">
        <v>758</v>
      </c>
      <c r="AX82" s="309">
        <v>10</v>
      </c>
      <c r="AY82" s="309" t="s">
        <v>758</v>
      </c>
      <c r="AZ82" s="327">
        <v>0.1</v>
      </c>
      <c r="BA82" s="327">
        <v>0.48</v>
      </c>
      <c r="BB82" s="327">
        <v>0.21</v>
      </c>
      <c r="BC82" s="327">
        <v>0.21</v>
      </c>
      <c r="BD82" s="327">
        <v>0</v>
      </c>
      <c r="BE82" s="424">
        <v>54</v>
      </c>
      <c r="BF82" s="424" t="s">
        <v>758</v>
      </c>
      <c r="BG82" s="424">
        <v>11</v>
      </c>
      <c r="BH82" s="424" t="s">
        <v>758</v>
      </c>
      <c r="BI82" s="428">
        <v>0.28000000000000003</v>
      </c>
      <c r="BJ82" s="428">
        <v>0.39</v>
      </c>
      <c r="BK82" s="428">
        <v>0.22</v>
      </c>
      <c r="BL82" s="428">
        <v>0.11</v>
      </c>
      <c r="BM82" s="428">
        <v>0</v>
      </c>
      <c r="BN82" s="464">
        <v>55</v>
      </c>
      <c r="BO82" s="464" t="s">
        <v>758</v>
      </c>
      <c r="BP82" s="464">
        <v>10</v>
      </c>
      <c r="BQ82" s="464" t="s">
        <v>758</v>
      </c>
      <c r="BR82" s="476">
        <v>0.26</v>
      </c>
      <c r="BS82" s="476">
        <v>0.32</v>
      </c>
      <c r="BT82" s="476">
        <v>0.32</v>
      </c>
      <c r="BU82" s="476">
        <v>0.1</v>
      </c>
      <c r="BV82" s="476">
        <v>0</v>
      </c>
      <c r="BW82" s="933">
        <v>58</v>
      </c>
      <c r="BX82" s="933" t="s">
        <v>758</v>
      </c>
      <c r="BY82" s="933">
        <v>9</v>
      </c>
      <c r="BZ82" s="933" t="s">
        <v>758</v>
      </c>
      <c r="CA82" s="949">
        <v>0.15</v>
      </c>
      <c r="CB82" s="949">
        <v>0.15</v>
      </c>
      <c r="CC82" s="949">
        <v>0.65</v>
      </c>
      <c r="CD82" s="949">
        <v>0.05</v>
      </c>
      <c r="CE82" s="949">
        <v>0</v>
      </c>
      <c r="CF82" s="922">
        <v>325754001212</v>
      </c>
      <c r="CG82" s="126" t="s">
        <v>30</v>
      </c>
    </row>
    <row r="83" spans="1:85" ht="24.95" customHeight="1" x14ac:dyDescent="0.2">
      <c r="A83" s="126" t="s">
        <v>800</v>
      </c>
      <c r="B83" s="14" t="s">
        <v>123</v>
      </c>
      <c r="C83" s="2">
        <v>3</v>
      </c>
      <c r="D83" s="12"/>
      <c r="E83" s="12"/>
      <c r="F83" s="66"/>
      <c r="G83" s="66"/>
      <c r="H83" s="66"/>
      <c r="I83" s="66"/>
      <c r="J83" s="66"/>
      <c r="K83" s="12"/>
      <c r="L83" s="12"/>
      <c r="M83" s="61"/>
      <c r="N83" s="61"/>
      <c r="O83" s="61"/>
      <c r="P83" s="61"/>
      <c r="Q83" s="61"/>
      <c r="R83" s="12"/>
      <c r="S83" s="12"/>
      <c r="T83" s="63"/>
      <c r="U83" s="63"/>
      <c r="V83" s="63"/>
      <c r="W83" s="63"/>
      <c r="X83" s="63"/>
      <c r="Y83" s="12"/>
      <c r="Z83" s="12"/>
      <c r="AA83" s="63"/>
      <c r="AB83" s="63"/>
      <c r="AC83" s="63"/>
      <c r="AD83" s="63"/>
      <c r="AE83" s="63"/>
      <c r="AF83" s="25"/>
      <c r="AG83" s="25"/>
      <c r="AH83" s="61"/>
      <c r="AI83" s="61"/>
      <c r="AJ83" s="61"/>
      <c r="AK83" s="61"/>
      <c r="AL83" s="61"/>
      <c r="AM83" s="246"/>
      <c r="AN83" s="246"/>
      <c r="AO83" s="246"/>
      <c r="AP83" s="246"/>
      <c r="AQ83" s="263"/>
      <c r="AR83" s="263"/>
      <c r="AS83" s="263"/>
      <c r="AT83" s="263"/>
      <c r="AU83" s="263"/>
      <c r="AV83" s="309">
        <v>62</v>
      </c>
      <c r="AW83" s="309" t="s">
        <v>759</v>
      </c>
      <c r="AX83" s="309">
        <v>8</v>
      </c>
      <c r="AY83" s="309" t="s">
        <v>758</v>
      </c>
      <c r="AZ83" s="327">
        <v>7.0000000000000007E-2</v>
      </c>
      <c r="BA83" s="327">
        <v>0.21</v>
      </c>
      <c r="BB83" s="327">
        <v>0.36</v>
      </c>
      <c r="BC83" s="327">
        <v>0.36</v>
      </c>
      <c r="BD83" s="327">
        <v>0</v>
      </c>
      <c r="BE83" s="424">
        <v>52</v>
      </c>
      <c r="BF83" s="424" t="s">
        <v>758</v>
      </c>
      <c r="BG83" s="424">
        <v>12</v>
      </c>
      <c r="BH83" s="424" t="s">
        <v>758</v>
      </c>
      <c r="BI83" s="428">
        <v>0.3</v>
      </c>
      <c r="BJ83" s="428">
        <v>0.35</v>
      </c>
      <c r="BK83" s="428">
        <v>0.25</v>
      </c>
      <c r="BL83" s="428">
        <v>0.1</v>
      </c>
      <c r="BM83" s="428">
        <v>0</v>
      </c>
      <c r="BN83" s="464">
        <v>56</v>
      </c>
      <c r="BO83" s="464" t="s">
        <v>758</v>
      </c>
      <c r="BP83" s="464">
        <v>11</v>
      </c>
      <c r="BQ83" s="464" t="s">
        <v>758</v>
      </c>
      <c r="BR83" s="476">
        <v>0.2</v>
      </c>
      <c r="BS83" s="476">
        <v>0.25</v>
      </c>
      <c r="BT83" s="476">
        <v>0.4</v>
      </c>
      <c r="BU83" s="476">
        <v>0.15</v>
      </c>
      <c r="BV83" s="476">
        <v>0</v>
      </c>
      <c r="BW83" s="933">
        <v>57</v>
      </c>
      <c r="BX83" s="933" t="s">
        <v>758</v>
      </c>
      <c r="BY83" s="933">
        <v>13</v>
      </c>
      <c r="BZ83" s="933" t="s">
        <v>758</v>
      </c>
      <c r="CA83" s="949">
        <v>0.25</v>
      </c>
      <c r="CB83" s="949">
        <v>0.13</v>
      </c>
      <c r="CC83" s="949">
        <v>0.44</v>
      </c>
      <c r="CD83" s="949">
        <v>0.19</v>
      </c>
      <c r="CE83" s="949">
        <v>0</v>
      </c>
      <c r="CF83" s="922">
        <v>325754004335</v>
      </c>
      <c r="CG83" s="126" t="s">
        <v>800</v>
      </c>
    </row>
    <row r="84" spans="1:85" ht="24.95" customHeight="1" x14ac:dyDescent="0.2">
      <c r="A84" s="126" t="s">
        <v>957</v>
      </c>
      <c r="B84" s="1" t="s">
        <v>123</v>
      </c>
      <c r="C84" s="813">
        <v>4</v>
      </c>
      <c r="D84" s="813"/>
      <c r="E84" s="813"/>
      <c r="F84" s="813"/>
      <c r="G84" s="813"/>
      <c r="H84" s="813"/>
      <c r="I84" s="813"/>
      <c r="J84" s="813"/>
      <c r="K84" s="813"/>
      <c r="L84" s="813"/>
      <c r="M84" s="813"/>
      <c r="N84" s="813"/>
      <c r="O84" s="813"/>
      <c r="P84" s="813"/>
      <c r="Q84" s="813"/>
      <c r="R84" s="813"/>
      <c r="S84" s="813"/>
      <c r="T84" s="813"/>
      <c r="U84" s="813"/>
      <c r="V84" s="813"/>
      <c r="W84" s="813"/>
      <c r="X84" s="813"/>
      <c r="Y84" s="813"/>
      <c r="Z84" s="813"/>
      <c r="AA84" s="813"/>
      <c r="AB84" s="813"/>
      <c r="AC84" s="813"/>
      <c r="AD84" s="813"/>
      <c r="AE84" s="813"/>
      <c r="AF84" s="813"/>
      <c r="AG84" s="813"/>
      <c r="AH84" s="813"/>
      <c r="AI84" s="813"/>
      <c r="AJ84" s="813"/>
      <c r="AK84" s="813"/>
      <c r="AL84" s="813"/>
      <c r="AM84" s="813"/>
      <c r="AN84" s="813"/>
      <c r="AO84" s="813"/>
      <c r="AP84" s="813"/>
      <c r="AQ84" s="813"/>
      <c r="AR84" s="813"/>
      <c r="AS84" s="813"/>
      <c r="AT84" s="813"/>
      <c r="AU84" s="813"/>
      <c r="AV84" s="813"/>
      <c r="AW84" s="813"/>
      <c r="AX84" s="813"/>
      <c r="AY84" s="813"/>
      <c r="AZ84" s="813"/>
      <c r="BA84" s="813"/>
      <c r="BB84" s="813"/>
      <c r="BC84" s="813"/>
      <c r="BD84" s="813"/>
      <c r="BE84" s="813"/>
      <c r="BF84" s="813"/>
      <c r="BG84" s="813"/>
      <c r="BH84" s="813"/>
      <c r="BI84" s="813"/>
      <c r="BJ84" s="813"/>
      <c r="BK84" s="813"/>
      <c r="BL84" s="813"/>
      <c r="BM84" s="813"/>
      <c r="BN84" s="813"/>
      <c r="BO84" s="813"/>
      <c r="BP84" s="813"/>
      <c r="BQ84" s="813"/>
      <c r="BR84" s="813"/>
      <c r="BS84" s="813"/>
      <c r="BT84" s="813"/>
      <c r="BU84" s="813"/>
      <c r="BV84" s="813"/>
      <c r="BW84" s="933"/>
      <c r="BX84" s="933"/>
      <c r="BY84" s="933"/>
      <c r="BZ84" s="933"/>
      <c r="CA84" s="949"/>
      <c r="CB84" s="949"/>
      <c r="CC84" s="949"/>
      <c r="CD84" s="949"/>
      <c r="CE84" s="949"/>
      <c r="CG84" s="126" t="s">
        <v>957</v>
      </c>
    </row>
    <row r="85" spans="1:85" ht="24.95" customHeight="1" x14ac:dyDescent="0.2">
      <c r="A85" s="126" t="s">
        <v>63</v>
      </c>
      <c r="B85" s="1" t="s">
        <v>123</v>
      </c>
      <c r="C85" s="2">
        <v>6</v>
      </c>
      <c r="D85" s="12">
        <v>59</v>
      </c>
      <c r="E85" s="12">
        <v>8</v>
      </c>
      <c r="F85" s="66">
        <v>0.13</v>
      </c>
      <c r="G85" s="66">
        <v>0.33</v>
      </c>
      <c r="H85" s="66">
        <v>0.4</v>
      </c>
      <c r="I85" s="66">
        <v>0.13</v>
      </c>
      <c r="J85" s="66">
        <v>0</v>
      </c>
      <c r="K85" s="12">
        <v>52</v>
      </c>
      <c r="L85" s="12">
        <v>8</v>
      </c>
      <c r="M85" s="61">
        <v>0.24</v>
      </c>
      <c r="N85" s="61">
        <v>0.53</v>
      </c>
      <c r="O85" s="61">
        <v>0.18</v>
      </c>
      <c r="P85" s="61">
        <v>0.06</v>
      </c>
      <c r="Q85" s="61">
        <v>0</v>
      </c>
      <c r="R85" s="12">
        <v>55</v>
      </c>
      <c r="S85" s="12">
        <v>8</v>
      </c>
      <c r="T85" s="63">
        <v>0.18</v>
      </c>
      <c r="U85" s="63">
        <v>0.55000000000000004</v>
      </c>
      <c r="V85" s="63">
        <v>0.18</v>
      </c>
      <c r="W85" s="63">
        <v>0.09</v>
      </c>
      <c r="X85" s="63">
        <v>0</v>
      </c>
      <c r="Y85" s="12">
        <v>57</v>
      </c>
      <c r="Z85" s="12">
        <v>11</v>
      </c>
      <c r="AA85" s="63">
        <v>0.19</v>
      </c>
      <c r="AB85" s="63">
        <v>0.38</v>
      </c>
      <c r="AC85" s="63">
        <v>0.25</v>
      </c>
      <c r="AD85" s="63">
        <v>0.13</v>
      </c>
      <c r="AE85" s="63">
        <v>0.06</v>
      </c>
      <c r="AF85" s="25">
        <v>47</v>
      </c>
      <c r="AG85" s="25">
        <v>15</v>
      </c>
      <c r="AH85" s="61">
        <v>0.53</v>
      </c>
      <c r="AI85" s="61">
        <v>0.26</v>
      </c>
      <c r="AJ85" s="61">
        <v>0.11</v>
      </c>
      <c r="AK85" s="61">
        <v>0.11</v>
      </c>
      <c r="AL85" s="61">
        <v>0</v>
      </c>
      <c r="AM85" s="246">
        <v>56</v>
      </c>
      <c r="AN85" s="246" t="s">
        <v>758</v>
      </c>
      <c r="AO85" s="246">
        <v>9</v>
      </c>
      <c r="AP85" s="246" t="s">
        <v>758</v>
      </c>
      <c r="AQ85" s="263">
        <v>0.08</v>
      </c>
      <c r="AR85" s="263">
        <v>0.62</v>
      </c>
      <c r="AS85" s="263">
        <v>0.15</v>
      </c>
      <c r="AT85" s="263">
        <v>0.15</v>
      </c>
      <c r="AU85" s="263">
        <v>0</v>
      </c>
      <c r="AV85" s="309">
        <v>55</v>
      </c>
      <c r="AW85" s="309" t="s">
        <v>758</v>
      </c>
      <c r="AX85" s="309">
        <v>10</v>
      </c>
      <c r="AY85" s="309" t="s">
        <v>758</v>
      </c>
      <c r="AZ85" s="327">
        <v>0.4</v>
      </c>
      <c r="BA85" s="327">
        <v>0.3</v>
      </c>
      <c r="BB85" s="327">
        <v>0.2</v>
      </c>
      <c r="BC85" s="327">
        <v>0.1</v>
      </c>
      <c r="BD85" s="327">
        <v>0</v>
      </c>
      <c r="BE85" s="424">
        <v>54</v>
      </c>
      <c r="BF85" s="424" t="s">
        <v>758</v>
      </c>
      <c r="BG85" s="424">
        <v>10</v>
      </c>
      <c r="BH85" s="424" t="s">
        <v>758</v>
      </c>
      <c r="BI85" s="428">
        <v>0.22</v>
      </c>
      <c r="BJ85" s="428">
        <v>0.22</v>
      </c>
      <c r="BK85" s="428">
        <v>0.44</v>
      </c>
      <c r="BL85" s="428">
        <v>0.11</v>
      </c>
      <c r="BM85" s="428">
        <v>0</v>
      </c>
      <c r="BN85" s="641"/>
      <c r="BO85" s="641"/>
      <c r="BP85" s="641"/>
      <c r="BQ85" s="641"/>
      <c r="BR85" s="642"/>
      <c r="BS85" s="642"/>
      <c r="BT85" s="642"/>
      <c r="BU85" s="642"/>
      <c r="BV85" s="642"/>
      <c r="BW85" s="933"/>
      <c r="BX85" s="933"/>
      <c r="BY85" s="933"/>
      <c r="BZ85" s="933"/>
      <c r="CA85" s="949"/>
      <c r="CB85" s="949"/>
      <c r="CC85" s="949"/>
      <c r="CD85" s="949"/>
      <c r="CE85" s="949"/>
      <c r="CG85" s="126" t="s">
        <v>63</v>
      </c>
    </row>
    <row r="86" spans="1:85" ht="24.95" customHeight="1" x14ac:dyDescent="0.2">
      <c r="A86" s="555" t="s">
        <v>949</v>
      </c>
      <c r="B86" s="14" t="s">
        <v>123</v>
      </c>
      <c r="C86" s="309">
        <v>5</v>
      </c>
      <c r="D86" s="328"/>
      <c r="E86" s="328"/>
      <c r="F86" s="328"/>
      <c r="G86" s="328"/>
      <c r="H86" s="328"/>
      <c r="I86" s="328"/>
      <c r="J86" s="328"/>
      <c r="K86" s="328"/>
      <c r="L86" s="328"/>
      <c r="M86" s="330"/>
      <c r="N86" s="330"/>
      <c r="O86" s="330"/>
      <c r="P86" s="330"/>
      <c r="Q86" s="330"/>
      <c r="R86" s="328"/>
      <c r="S86" s="328"/>
      <c r="T86" s="309"/>
      <c r="U86" s="309"/>
      <c r="V86" s="309"/>
      <c r="W86" s="309"/>
      <c r="X86" s="309"/>
      <c r="Y86" s="328"/>
      <c r="Z86" s="328"/>
      <c r="AA86" s="309"/>
      <c r="AB86" s="309"/>
      <c r="AC86" s="309"/>
      <c r="AD86" s="309"/>
      <c r="AE86" s="309"/>
      <c r="AF86" s="329"/>
      <c r="AG86" s="329"/>
      <c r="AH86" s="330"/>
      <c r="AI86" s="330"/>
      <c r="AJ86" s="330"/>
      <c r="AK86" s="330"/>
      <c r="AL86" s="330"/>
      <c r="AM86" s="312"/>
      <c r="AN86" s="312"/>
      <c r="AO86" s="312"/>
      <c r="AP86" s="312"/>
      <c r="AQ86" s="332"/>
      <c r="AR86" s="332"/>
      <c r="AS86" s="332"/>
      <c r="AT86" s="332"/>
      <c r="AU86" s="332"/>
      <c r="AV86" s="309"/>
      <c r="AW86" s="309"/>
      <c r="AX86" s="309"/>
      <c r="AY86" s="309"/>
      <c r="AZ86" s="327"/>
      <c r="BA86" s="327"/>
      <c r="BB86" s="327"/>
      <c r="BC86" s="327"/>
      <c r="BD86" s="327"/>
      <c r="BE86" s="424"/>
      <c r="BF86" s="424"/>
      <c r="BG86" s="424"/>
      <c r="BH86" s="424"/>
      <c r="BI86" s="428"/>
      <c r="BJ86" s="428"/>
      <c r="BK86" s="428"/>
      <c r="BL86" s="428"/>
      <c r="BM86" s="428"/>
      <c r="BN86" s="464">
        <v>43</v>
      </c>
      <c r="BO86" s="464" t="s">
        <v>760</v>
      </c>
      <c r="BP86" s="464">
        <v>10</v>
      </c>
      <c r="BQ86" s="464" t="s">
        <v>758</v>
      </c>
      <c r="BR86" s="476">
        <v>0.67</v>
      </c>
      <c r="BS86" s="476">
        <v>0.33</v>
      </c>
      <c r="BT86" s="476">
        <v>0</v>
      </c>
      <c r="BU86" s="476">
        <v>0</v>
      </c>
      <c r="BV86" s="476">
        <v>0</v>
      </c>
      <c r="BW86" s="933"/>
      <c r="BX86" s="933"/>
      <c r="BY86" s="933"/>
      <c r="BZ86" s="933"/>
      <c r="CA86" s="949"/>
      <c r="CB86" s="949"/>
      <c r="CC86" s="949"/>
      <c r="CD86" s="949"/>
      <c r="CE86" s="949"/>
      <c r="CG86" s="555" t="s">
        <v>949</v>
      </c>
    </row>
    <row r="87" spans="1:85" ht="24.95" customHeight="1" x14ac:dyDescent="0.2">
      <c r="A87" s="126" t="s">
        <v>28</v>
      </c>
      <c r="B87" s="1" t="s">
        <v>123</v>
      </c>
      <c r="C87" s="2">
        <v>6</v>
      </c>
      <c r="D87" s="12">
        <v>56</v>
      </c>
      <c r="E87" s="12">
        <v>10</v>
      </c>
      <c r="F87" s="66">
        <v>0.16</v>
      </c>
      <c r="G87" s="66">
        <v>0.41</v>
      </c>
      <c r="H87" s="66">
        <v>0.35</v>
      </c>
      <c r="I87" s="66">
        <v>0.05</v>
      </c>
      <c r="J87" s="66">
        <v>0.03</v>
      </c>
      <c r="K87" s="12">
        <v>52</v>
      </c>
      <c r="L87" s="12">
        <v>11</v>
      </c>
      <c r="M87" s="61">
        <v>0.52</v>
      </c>
      <c r="N87" s="61">
        <v>0.16</v>
      </c>
      <c r="O87" s="61">
        <v>0.23</v>
      </c>
      <c r="P87" s="61">
        <v>0.1</v>
      </c>
      <c r="Q87" s="61">
        <v>0</v>
      </c>
      <c r="R87" s="12">
        <v>51</v>
      </c>
      <c r="S87" s="12">
        <v>9</v>
      </c>
      <c r="T87" s="63">
        <v>0.32</v>
      </c>
      <c r="U87" s="63">
        <v>0.49</v>
      </c>
      <c r="V87" s="63">
        <v>0.13</v>
      </c>
      <c r="W87" s="63">
        <v>0.06</v>
      </c>
      <c r="X87" s="63">
        <v>0</v>
      </c>
      <c r="Y87" s="12">
        <v>55</v>
      </c>
      <c r="Z87" s="12">
        <v>10</v>
      </c>
      <c r="AA87" s="63">
        <v>0.16</v>
      </c>
      <c r="AB87" s="63">
        <v>0.5</v>
      </c>
      <c r="AC87" s="63">
        <v>0.25</v>
      </c>
      <c r="AD87" s="63">
        <v>7.0000000000000007E-2</v>
      </c>
      <c r="AE87" s="63">
        <v>0.02</v>
      </c>
      <c r="AF87" s="25">
        <v>46</v>
      </c>
      <c r="AG87" s="25">
        <v>11</v>
      </c>
      <c r="AH87" s="61">
        <v>0.59</v>
      </c>
      <c r="AI87" s="61">
        <v>0.28999999999999998</v>
      </c>
      <c r="AJ87" s="61">
        <v>0.05</v>
      </c>
      <c r="AK87" s="61">
        <v>7.0000000000000007E-2</v>
      </c>
      <c r="AL87" s="61">
        <v>0</v>
      </c>
      <c r="AM87" s="246">
        <v>50</v>
      </c>
      <c r="AN87" s="246" t="s">
        <v>758</v>
      </c>
      <c r="AO87" s="246">
        <v>11</v>
      </c>
      <c r="AP87" s="246" t="s">
        <v>758</v>
      </c>
      <c r="AQ87" s="263">
        <v>0.39</v>
      </c>
      <c r="AR87" s="263">
        <v>0.36</v>
      </c>
      <c r="AS87" s="263">
        <v>0.17</v>
      </c>
      <c r="AT87" s="263">
        <v>0.09</v>
      </c>
      <c r="AU87" s="263">
        <v>0</v>
      </c>
      <c r="AV87" s="309">
        <v>53</v>
      </c>
      <c r="AW87" s="309" t="s">
        <v>758</v>
      </c>
      <c r="AX87" s="309">
        <v>10</v>
      </c>
      <c r="AY87" s="309" t="s">
        <v>758</v>
      </c>
      <c r="AZ87" s="327">
        <v>0.28999999999999998</v>
      </c>
      <c r="BA87" s="327">
        <v>0.37</v>
      </c>
      <c r="BB87" s="327">
        <v>0.26</v>
      </c>
      <c r="BC87" s="327">
        <v>7.0000000000000007E-2</v>
      </c>
      <c r="BD87" s="327">
        <v>0</v>
      </c>
      <c r="BE87" s="424">
        <v>53</v>
      </c>
      <c r="BF87" s="424" t="s">
        <v>758</v>
      </c>
      <c r="BG87" s="424">
        <v>11</v>
      </c>
      <c r="BH87" s="424" t="s">
        <v>758</v>
      </c>
      <c r="BI87" s="428">
        <v>0.32</v>
      </c>
      <c r="BJ87" s="428">
        <v>0.37</v>
      </c>
      <c r="BK87" s="428">
        <v>0.19</v>
      </c>
      <c r="BL87" s="428">
        <v>0.12</v>
      </c>
      <c r="BM87" s="428">
        <v>0</v>
      </c>
      <c r="BN87" s="654">
        <v>51</v>
      </c>
      <c r="BO87" s="654" t="s">
        <v>758</v>
      </c>
      <c r="BP87" s="654">
        <v>10</v>
      </c>
      <c r="BQ87" s="654" t="s">
        <v>758</v>
      </c>
      <c r="BR87" s="655">
        <v>0.38</v>
      </c>
      <c r="BS87" s="655">
        <v>0.42</v>
      </c>
      <c r="BT87" s="655">
        <v>0.15</v>
      </c>
      <c r="BU87" s="655">
        <v>0.04</v>
      </c>
      <c r="BV87" s="655">
        <v>0.02</v>
      </c>
      <c r="BW87" s="933">
        <v>53</v>
      </c>
      <c r="BX87" s="933" t="s">
        <v>758</v>
      </c>
      <c r="BY87" s="933">
        <v>10</v>
      </c>
      <c r="BZ87" s="933" t="s">
        <v>758</v>
      </c>
      <c r="CA87" s="949">
        <v>0.36</v>
      </c>
      <c r="CB87" s="949">
        <v>0.33</v>
      </c>
      <c r="CC87" s="949">
        <v>0.2</v>
      </c>
      <c r="CD87" s="949">
        <v>0.11</v>
      </c>
      <c r="CE87" s="949">
        <v>0</v>
      </c>
      <c r="CF87" s="922">
        <v>325754001859</v>
      </c>
      <c r="CG87" s="126" t="s">
        <v>28</v>
      </c>
    </row>
    <row r="88" spans="1:85" ht="24.95" customHeight="1" x14ac:dyDescent="0.2">
      <c r="A88" s="126" t="s">
        <v>101</v>
      </c>
      <c r="B88" s="1" t="s">
        <v>123</v>
      </c>
      <c r="C88" s="2">
        <v>3</v>
      </c>
      <c r="D88" s="12">
        <v>56</v>
      </c>
      <c r="E88" s="12">
        <v>10</v>
      </c>
      <c r="F88" s="66">
        <v>0.17</v>
      </c>
      <c r="G88" s="66">
        <v>0.35</v>
      </c>
      <c r="H88" s="66">
        <v>0.39</v>
      </c>
      <c r="I88" s="66">
        <v>0.09</v>
      </c>
      <c r="J88" s="66">
        <v>0</v>
      </c>
      <c r="K88" s="12">
        <v>50</v>
      </c>
      <c r="L88" s="12">
        <v>14</v>
      </c>
      <c r="M88" s="61">
        <v>0.54</v>
      </c>
      <c r="N88" s="61">
        <v>0.13</v>
      </c>
      <c r="O88" s="61">
        <v>0.21</v>
      </c>
      <c r="P88" s="61">
        <v>0.13</v>
      </c>
      <c r="Q88" s="61">
        <v>0</v>
      </c>
      <c r="R88" s="12">
        <v>52</v>
      </c>
      <c r="S88" s="12">
        <v>8</v>
      </c>
      <c r="T88" s="63">
        <v>0.28000000000000003</v>
      </c>
      <c r="U88" s="63">
        <v>0.5</v>
      </c>
      <c r="V88" s="63">
        <v>0.17</v>
      </c>
      <c r="W88" s="63">
        <v>0.06</v>
      </c>
      <c r="X88" s="63">
        <v>0</v>
      </c>
      <c r="Y88" s="12">
        <v>53</v>
      </c>
      <c r="Z88" s="12">
        <v>15</v>
      </c>
      <c r="AA88" s="63">
        <v>0.28000000000000003</v>
      </c>
      <c r="AB88" s="63">
        <v>0.28000000000000003</v>
      </c>
      <c r="AC88" s="63">
        <v>0.28000000000000003</v>
      </c>
      <c r="AD88" s="63">
        <v>0.17</v>
      </c>
      <c r="AE88" s="63">
        <v>0</v>
      </c>
      <c r="AF88" s="25">
        <v>59</v>
      </c>
      <c r="AG88" s="25">
        <v>9</v>
      </c>
      <c r="AH88" s="61">
        <v>0.1</v>
      </c>
      <c r="AI88" s="61">
        <v>0.45</v>
      </c>
      <c r="AJ88" s="61">
        <v>0.2</v>
      </c>
      <c r="AK88" s="61">
        <v>0.25</v>
      </c>
      <c r="AL88" s="61">
        <v>0</v>
      </c>
      <c r="AM88" s="246">
        <v>56</v>
      </c>
      <c r="AN88" s="246" t="s">
        <v>758</v>
      </c>
      <c r="AO88" s="246">
        <v>11</v>
      </c>
      <c r="AP88" s="246" t="s">
        <v>758</v>
      </c>
      <c r="AQ88" s="263">
        <v>0.19</v>
      </c>
      <c r="AR88" s="263">
        <v>0.38</v>
      </c>
      <c r="AS88" s="263">
        <v>0.25</v>
      </c>
      <c r="AT88" s="263">
        <v>0.19</v>
      </c>
      <c r="AU88" s="263">
        <v>0</v>
      </c>
      <c r="AV88" s="309">
        <v>53</v>
      </c>
      <c r="AW88" s="309" t="s">
        <v>758</v>
      </c>
      <c r="AX88" s="309">
        <v>8</v>
      </c>
      <c r="AY88" s="309" t="s">
        <v>758</v>
      </c>
      <c r="AZ88" s="327">
        <v>0.19</v>
      </c>
      <c r="BA88" s="327">
        <v>0.5</v>
      </c>
      <c r="BB88" s="327">
        <v>0.25</v>
      </c>
      <c r="BC88" s="327">
        <v>0.06</v>
      </c>
      <c r="BD88" s="327">
        <v>0</v>
      </c>
      <c r="BE88" s="424">
        <v>55</v>
      </c>
      <c r="BF88" s="424" t="s">
        <v>758</v>
      </c>
      <c r="BG88" s="424">
        <v>13</v>
      </c>
      <c r="BH88" s="424" t="s">
        <v>758</v>
      </c>
      <c r="BI88" s="428">
        <v>0.38</v>
      </c>
      <c r="BJ88" s="428">
        <v>0.31</v>
      </c>
      <c r="BK88" s="428">
        <v>0.15</v>
      </c>
      <c r="BL88" s="428">
        <v>0.08</v>
      </c>
      <c r="BM88" s="428">
        <v>0.08</v>
      </c>
      <c r="BN88" s="464">
        <v>55</v>
      </c>
      <c r="BO88" s="464" t="s">
        <v>758</v>
      </c>
      <c r="BP88" s="464">
        <v>12</v>
      </c>
      <c r="BQ88" s="464" t="s">
        <v>758</v>
      </c>
      <c r="BR88" s="476">
        <v>0.19</v>
      </c>
      <c r="BS88" s="476">
        <v>0.48</v>
      </c>
      <c r="BT88" s="476">
        <v>0.14000000000000001</v>
      </c>
      <c r="BU88" s="476">
        <v>0.14000000000000001</v>
      </c>
      <c r="BV88" s="476">
        <v>0.05</v>
      </c>
      <c r="BW88" s="933">
        <v>55</v>
      </c>
      <c r="BX88" s="933" t="s">
        <v>758</v>
      </c>
      <c r="BY88" s="933">
        <v>11</v>
      </c>
      <c r="BZ88" s="933" t="s">
        <v>758</v>
      </c>
      <c r="CA88" s="949">
        <v>0.28999999999999998</v>
      </c>
      <c r="CB88" s="949">
        <v>0.21</v>
      </c>
      <c r="CC88" s="949">
        <v>0.42</v>
      </c>
      <c r="CD88" s="949">
        <v>0.08</v>
      </c>
      <c r="CE88" s="949">
        <v>0</v>
      </c>
      <c r="CF88" s="922">
        <v>325754002782</v>
      </c>
      <c r="CG88" s="126" t="s">
        <v>101</v>
      </c>
    </row>
    <row r="89" spans="1:85" ht="24.95" customHeight="1" x14ac:dyDescent="0.2">
      <c r="A89" s="126" t="s">
        <v>64</v>
      </c>
      <c r="B89" s="1" t="s">
        <v>123</v>
      </c>
      <c r="C89" s="2">
        <v>2</v>
      </c>
      <c r="D89" s="12">
        <v>65</v>
      </c>
      <c r="E89" s="12">
        <v>9</v>
      </c>
      <c r="F89" s="66">
        <v>0.06</v>
      </c>
      <c r="G89" s="66">
        <v>0.12</v>
      </c>
      <c r="H89" s="66">
        <v>0.36</v>
      </c>
      <c r="I89" s="66">
        <v>0.45</v>
      </c>
      <c r="J89" s="66">
        <v>0.01</v>
      </c>
      <c r="K89" s="12">
        <v>63</v>
      </c>
      <c r="L89" s="12">
        <v>8</v>
      </c>
      <c r="M89" s="61">
        <v>0.04</v>
      </c>
      <c r="N89" s="61">
        <v>0.22</v>
      </c>
      <c r="O89" s="61">
        <v>0.48</v>
      </c>
      <c r="P89" s="61">
        <v>0.22</v>
      </c>
      <c r="Q89" s="61">
        <v>0.04</v>
      </c>
      <c r="R89" s="12">
        <v>64</v>
      </c>
      <c r="S89" s="12">
        <v>8</v>
      </c>
      <c r="T89" s="63">
        <v>0</v>
      </c>
      <c r="U89" s="63">
        <v>0.27</v>
      </c>
      <c r="V89" s="63">
        <v>0.43</v>
      </c>
      <c r="W89" s="63">
        <v>0.24</v>
      </c>
      <c r="X89" s="63">
        <v>0.06</v>
      </c>
      <c r="Y89" s="12">
        <v>67</v>
      </c>
      <c r="Z89" s="12">
        <v>9</v>
      </c>
      <c r="AA89" s="63">
        <v>0</v>
      </c>
      <c r="AB89" s="63">
        <v>0.13</v>
      </c>
      <c r="AC89" s="63">
        <v>0.4</v>
      </c>
      <c r="AD89" s="63">
        <v>0.43</v>
      </c>
      <c r="AE89" s="63">
        <v>0.05</v>
      </c>
      <c r="AF89" s="25">
        <v>65</v>
      </c>
      <c r="AG89" s="25">
        <v>11</v>
      </c>
      <c r="AH89" s="61">
        <v>0.1</v>
      </c>
      <c r="AI89" s="61">
        <v>0.19</v>
      </c>
      <c r="AJ89" s="61">
        <v>0.33</v>
      </c>
      <c r="AK89" s="61">
        <v>0.31</v>
      </c>
      <c r="AL89" s="61">
        <v>7.0000000000000007E-2</v>
      </c>
      <c r="AM89" s="246">
        <v>65</v>
      </c>
      <c r="AN89" s="246" t="s">
        <v>759</v>
      </c>
      <c r="AO89" s="246">
        <v>9</v>
      </c>
      <c r="AP89" s="246" t="s">
        <v>758</v>
      </c>
      <c r="AQ89" s="263">
        <v>0.08</v>
      </c>
      <c r="AR89" s="263">
        <v>0.11</v>
      </c>
      <c r="AS89" s="263">
        <v>0.39</v>
      </c>
      <c r="AT89" s="263">
        <v>0.37</v>
      </c>
      <c r="AU89" s="263">
        <v>0.05</v>
      </c>
      <c r="AV89" s="309">
        <v>71</v>
      </c>
      <c r="AW89" s="309" t="s">
        <v>759</v>
      </c>
      <c r="AX89" s="309">
        <v>8</v>
      </c>
      <c r="AY89" s="309" t="s">
        <v>758</v>
      </c>
      <c r="AZ89" s="327">
        <v>0</v>
      </c>
      <c r="BA89" s="327">
        <v>0.09</v>
      </c>
      <c r="BB89" s="327">
        <v>0.17</v>
      </c>
      <c r="BC89" s="327">
        <v>0.56999999999999995</v>
      </c>
      <c r="BD89" s="327">
        <v>0.17</v>
      </c>
      <c r="BE89" s="424">
        <v>71</v>
      </c>
      <c r="BF89" s="424" t="s">
        <v>759</v>
      </c>
      <c r="BG89" s="424">
        <v>6</v>
      </c>
      <c r="BH89" s="424" t="s">
        <v>760</v>
      </c>
      <c r="BI89" s="428">
        <v>0</v>
      </c>
      <c r="BJ89" s="428">
        <v>0</v>
      </c>
      <c r="BK89" s="428">
        <v>0.24</v>
      </c>
      <c r="BL89" s="428">
        <v>0.65</v>
      </c>
      <c r="BM89" s="428">
        <v>0.12</v>
      </c>
      <c r="BN89" s="464">
        <v>72</v>
      </c>
      <c r="BO89" s="464" t="s">
        <v>759</v>
      </c>
      <c r="BP89" s="464">
        <v>9</v>
      </c>
      <c r="BQ89" s="464" t="s">
        <v>758</v>
      </c>
      <c r="BR89" s="476">
        <v>0</v>
      </c>
      <c r="BS89" s="476">
        <v>0.04</v>
      </c>
      <c r="BT89" s="476">
        <v>0.32</v>
      </c>
      <c r="BU89" s="476">
        <v>0.43</v>
      </c>
      <c r="BV89" s="476">
        <v>0.21</v>
      </c>
      <c r="BW89" s="933">
        <v>69</v>
      </c>
      <c r="BX89" s="933" t="s">
        <v>759</v>
      </c>
      <c r="BY89" s="933">
        <v>10</v>
      </c>
      <c r="BZ89" s="933" t="s">
        <v>758</v>
      </c>
      <c r="CA89" s="949">
        <v>0</v>
      </c>
      <c r="CB89" s="949">
        <v>0.04</v>
      </c>
      <c r="CC89" s="949">
        <v>0.52</v>
      </c>
      <c r="CD89" s="949">
        <v>0.24</v>
      </c>
      <c r="CE89" s="949">
        <v>0.2</v>
      </c>
      <c r="CF89" s="922">
        <v>325754000046</v>
      </c>
      <c r="CG89" s="126" t="s">
        <v>64</v>
      </c>
    </row>
    <row r="90" spans="1:85" ht="24.95" customHeight="1" x14ac:dyDescent="0.2">
      <c r="A90" s="126" t="s">
        <v>801</v>
      </c>
      <c r="B90" s="14" t="s">
        <v>123</v>
      </c>
      <c r="C90" s="2">
        <v>6</v>
      </c>
      <c r="D90" s="12"/>
      <c r="E90" s="12"/>
      <c r="F90" s="66"/>
      <c r="G90" s="66"/>
      <c r="H90" s="66"/>
      <c r="I90" s="66"/>
      <c r="J90" s="66"/>
      <c r="K90" s="12"/>
      <c r="L90" s="12"/>
      <c r="M90" s="61"/>
      <c r="N90" s="61"/>
      <c r="O90" s="61"/>
      <c r="P90" s="61"/>
      <c r="Q90" s="61"/>
      <c r="R90" s="12"/>
      <c r="S90" s="12"/>
      <c r="T90" s="63"/>
      <c r="U90" s="63"/>
      <c r="V90" s="63"/>
      <c r="W90" s="63"/>
      <c r="X90" s="63"/>
      <c r="Y90" s="12"/>
      <c r="Z90" s="12"/>
      <c r="AA90" s="63"/>
      <c r="AB90" s="63"/>
      <c r="AC90" s="63"/>
      <c r="AD90" s="63"/>
      <c r="AE90" s="63"/>
      <c r="AF90" s="25"/>
      <c r="AG90" s="25"/>
      <c r="AH90" s="61"/>
      <c r="AI90" s="61"/>
      <c r="AJ90" s="61"/>
      <c r="AK90" s="61"/>
      <c r="AL90" s="61"/>
      <c r="AM90" s="246"/>
      <c r="AN90" s="246"/>
      <c r="AO90" s="246"/>
      <c r="AP90" s="246"/>
      <c r="AQ90" s="263"/>
      <c r="AR90" s="263"/>
      <c r="AS90" s="263"/>
      <c r="AT90" s="263"/>
      <c r="AU90" s="263"/>
      <c r="AV90" s="309">
        <v>46</v>
      </c>
      <c r="AW90" s="309" t="s">
        <v>758</v>
      </c>
      <c r="AX90" s="309">
        <v>11</v>
      </c>
      <c r="AY90" s="309" t="s">
        <v>758</v>
      </c>
      <c r="AZ90" s="327">
        <v>0.65</v>
      </c>
      <c r="BA90" s="327">
        <v>0.28999999999999998</v>
      </c>
      <c r="BB90" s="327">
        <v>0</v>
      </c>
      <c r="BC90" s="327">
        <v>0</v>
      </c>
      <c r="BD90" s="327">
        <v>0.06</v>
      </c>
      <c r="BE90" s="424">
        <v>50</v>
      </c>
      <c r="BF90" s="424" t="s">
        <v>758</v>
      </c>
      <c r="BG90" s="424">
        <v>0</v>
      </c>
      <c r="BH90" s="424" t="s">
        <v>760</v>
      </c>
      <c r="BI90" s="428">
        <v>0</v>
      </c>
      <c r="BJ90" s="428">
        <v>1</v>
      </c>
      <c r="BK90" s="428">
        <v>0</v>
      </c>
      <c r="BL90" s="428">
        <v>0</v>
      </c>
      <c r="BM90" s="428">
        <v>0</v>
      </c>
      <c r="BN90" s="641"/>
      <c r="BO90" s="641"/>
      <c r="BP90" s="641"/>
      <c r="BQ90" s="641"/>
      <c r="BR90" s="642"/>
      <c r="BS90" s="642"/>
      <c r="BT90" s="642"/>
      <c r="BU90" s="642"/>
      <c r="BV90" s="642"/>
      <c r="BW90" s="933"/>
      <c r="BX90" s="933"/>
      <c r="BY90" s="933"/>
      <c r="BZ90" s="933"/>
      <c r="CA90" s="949"/>
      <c r="CB90" s="949"/>
      <c r="CC90" s="949"/>
      <c r="CD90" s="949"/>
      <c r="CE90" s="949"/>
      <c r="CG90" s="126" t="s">
        <v>801</v>
      </c>
    </row>
    <row r="91" spans="1:85" ht="24.95" customHeight="1" x14ac:dyDescent="0.2">
      <c r="A91" s="322" t="s">
        <v>162</v>
      </c>
      <c r="B91" s="1" t="s">
        <v>123</v>
      </c>
      <c r="C91" s="309">
        <v>3</v>
      </c>
      <c r="D91" s="328" t="s">
        <v>126</v>
      </c>
      <c r="E91" s="328" t="s">
        <v>126</v>
      </c>
      <c r="F91" s="328"/>
      <c r="G91" s="328"/>
      <c r="H91" s="328"/>
      <c r="I91" s="328"/>
      <c r="J91" s="328"/>
      <c r="K91" s="328" t="s">
        <v>126</v>
      </c>
      <c r="L91" s="328" t="s">
        <v>126</v>
      </c>
      <c r="M91" s="330"/>
      <c r="N91" s="330"/>
      <c r="O91" s="330"/>
      <c r="P91" s="330"/>
      <c r="Q91" s="330"/>
      <c r="R91" s="328" t="s">
        <v>126</v>
      </c>
      <c r="S91" s="328" t="s">
        <v>126</v>
      </c>
      <c r="T91" s="309"/>
      <c r="U91" s="309"/>
      <c r="V91" s="309"/>
      <c r="W91" s="309"/>
      <c r="X91" s="309"/>
      <c r="Y91" s="328" t="s">
        <v>126</v>
      </c>
      <c r="Z91" s="328" t="s">
        <v>126</v>
      </c>
      <c r="AA91" s="309"/>
      <c r="AB91" s="309"/>
      <c r="AC91" s="309"/>
      <c r="AD91" s="309"/>
      <c r="AE91" s="309"/>
      <c r="AF91" s="329">
        <v>52</v>
      </c>
      <c r="AG91" s="329">
        <v>9</v>
      </c>
      <c r="AH91" s="330">
        <v>0.25</v>
      </c>
      <c r="AI91" s="330">
        <v>0.5</v>
      </c>
      <c r="AJ91" s="330">
        <v>0.25</v>
      </c>
      <c r="AK91" s="330">
        <v>0</v>
      </c>
      <c r="AL91" s="330">
        <v>0</v>
      </c>
      <c r="AM91" s="312">
        <v>62</v>
      </c>
      <c r="AN91" s="312" t="s">
        <v>759</v>
      </c>
      <c r="AO91" s="312">
        <v>13</v>
      </c>
      <c r="AP91" s="312" t="s">
        <v>758</v>
      </c>
      <c r="AQ91" s="332">
        <v>0.11</v>
      </c>
      <c r="AR91" s="332">
        <v>0.22</v>
      </c>
      <c r="AS91" s="332">
        <v>0.33</v>
      </c>
      <c r="AT91" s="332">
        <v>0.22</v>
      </c>
      <c r="AU91" s="332">
        <v>0.11</v>
      </c>
      <c r="AV91" s="309">
        <v>67</v>
      </c>
      <c r="AW91" s="309" t="s">
        <v>759</v>
      </c>
      <c r="AX91" s="309">
        <v>7</v>
      </c>
      <c r="AY91" s="309" t="s">
        <v>760</v>
      </c>
      <c r="AZ91" s="327">
        <v>0</v>
      </c>
      <c r="BA91" s="327">
        <v>0.11</v>
      </c>
      <c r="BB91" s="327">
        <v>0.28000000000000003</v>
      </c>
      <c r="BC91" s="327">
        <v>0.61</v>
      </c>
      <c r="BD91" s="327">
        <v>0</v>
      </c>
      <c r="BE91" s="424">
        <v>63</v>
      </c>
      <c r="BF91" s="424" t="s">
        <v>759</v>
      </c>
      <c r="BG91" s="424">
        <v>11</v>
      </c>
      <c r="BH91" s="424" t="s">
        <v>758</v>
      </c>
      <c r="BI91" s="428">
        <v>0.1</v>
      </c>
      <c r="BJ91" s="428">
        <v>0.2</v>
      </c>
      <c r="BK91" s="428">
        <v>0.4</v>
      </c>
      <c r="BL91" s="428">
        <v>0.2</v>
      </c>
      <c r="BM91" s="428">
        <v>0.1</v>
      </c>
      <c r="BN91" s="654">
        <v>65</v>
      </c>
      <c r="BO91" s="654" t="s">
        <v>759</v>
      </c>
      <c r="BP91" s="654">
        <v>13</v>
      </c>
      <c r="BQ91" s="654" t="s">
        <v>758</v>
      </c>
      <c r="BR91" s="655">
        <v>0.06</v>
      </c>
      <c r="BS91" s="655">
        <v>0.17</v>
      </c>
      <c r="BT91" s="655">
        <v>0.39</v>
      </c>
      <c r="BU91" s="655">
        <v>0.22</v>
      </c>
      <c r="BV91" s="655">
        <v>0.17</v>
      </c>
      <c r="BW91" s="933">
        <v>68</v>
      </c>
      <c r="BX91" s="933" t="s">
        <v>759</v>
      </c>
      <c r="BY91" s="933">
        <v>5</v>
      </c>
      <c r="BZ91" s="933" t="s">
        <v>760</v>
      </c>
      <c r="CA91" s="949">
        <v>0</v>
      </c>
      <c r="CB91" s="949">
        <v>0.04</v>
      </c>
      <c r="CC91" s="949">
        <v>0.42</v>
      </c>
      <c r="CD91" s="949">
        <v>0.54</v>
      </c>
      <c r="CE91" s="949">
        <v>0</v>
      </c>
      <c r="CF91" s="922">
        <v>325754800018</v>
      </c>
      <c r="CG91" s="322" t="s">
        <v>162</v>
      </c>
    </row>
    <row r="92" spans="1:85" ht="24.95" customHeight="1" x14ac:dyDescent="0.2">
      <c r="A92" s="126" t="s">
        <v>134</v>
      </c>
      <c r="B92" s="1" t="s">
        <v>123</v>
      </c>
      <c r="C92" s="2">
        <v>5</v>
      </c>
      <c r="D92" s="12" t="s">
        <v>126</v>
      </c>
      <c r="E92" s="12" t="s">
        <v>126</v>
      </c>
      <c r="F92" s="12"/>
      <c r="G92" s="12"/>
      <c r="H92" s="12"/>
      <c r="I92" s="12"/>
      <c r="J92" s="12"/>
      <c r="K92" s="12" t="s">
        <v>126</v>
      </c>
      <c r="L92" s="12" t="s">
        <v>126</v>
      </c>
      <c r="M92" s="61"/>
      <c r="N92" s="61"/>
      <c r="O92" s="61"/>
      <c r="P92" s="61"/>
      <c r="Q92" s="61"/>
      <c r="R92" s="12" t="s">
        <v>126</v>
      </c>
      <c r="S92" s="12" t="s">
        <v>126</v>
      </c>
      <c r="T92" s="2"/>
      <c r="U92" s="2"/>
      <c r="V92" s="2"/>
      <c r="W92" s="2"/>
      <c r="X92" s="2"/>
      <c r="Y92" s="12">
        <v>50</v>
      </c>
      <c r="Z92" s="12">
        <v>13</v>
      </c>
      <c r="AA92" s="63">
        <v>0.5</v>
      </c>
      <c r="AB92" s="63">
        <v>0.17</v>
      </c>
      <c r="AC92" s="63">
        <v>0.17</v>
      </c>
      <c r="AD92" s="63">
        <v>0.17</v>
      </c>
      <c r="AE92" s="63">
        <v>0</v>
      </c>
      <c r="AF92" s="25"/>
      <c r="AG92" s="25"/>
      <c r="AH92" s="61"/>
      <c r="AI92" s="61"/>
      <c r="AJ92" s="61"/>
      <c r="AK92" s="61"/>
      <c r="AL92" s="61"/>
      <c r="AM92" s="646"/>
      <c r="AN92" s="646"/>
      <c r="AO92" s="646"/>
      <c r="AP92" s="646"/>
      <c r="AQ92" s="646"/>
      <c r="AR92" s="646"/>
      <c r="AS92" s="646"/>
      <c r="AT92" s="646"/>
      <c r="AU92" s="646"/>
      <c r="AV92" s="649"/>
      <c r="AW92" s="649"/>
      <c r="AX92" s="649"/>
      <c r="AY92" s="649"/>
      <c r="AZ92" s="649"/>
      <c r="BA92" s="649"/>
      <c r="BB92" s="649"/>
      <c r="BC92" s="649"/>
      <c r="BD92" s="649"/>
      <c r="BE92" s="651"/>
      <c r="BF92" s="651"/>
      <c r="BG92" s="651"/>
      <c r="BH92" s="651"/>
      <c r="BI92" s="651"/>
      <c r="BJ92" s="651"/>
      <c r="BK92" s="651"/>
      <c r="BL92" s="651"/>
      <c r="BM92" s="651"/>
      <c r="BN92" s="650"/>
      <c r="BO92" s="650"/>
      <c r="BP92" s="650"/>
      <c r="BQ92" s="650"/>
      <c r="BR92" s="650"/>
      <c r="BS92" s="650"/>
      <c r="BT92" s="650"/>
      <c r="BU92" s="650"/>
      <c r="BV92" s="650"/>
      <c r="BW92" s="933"/>
      <c r="BX92" s="933"/>
      <c r="BY92" s="933"/>
      <c r="BZ92" s="933"/>
      <c r="CA92" s="949"/>
      <c r="CB92" s="949"/>
      <c r="CC92" s="949"/>
      <c r="CD92" s="949"/>
      <c r="CE92" s="949"/>
      <c r="CG92" s="126" t="s">
        <v>134</v>
      </c>
    </row>
    <row r="93" spans="1:85" ht="24.95" customHeight="1" x14ac:dyDescent="0.2">
      <c r="A93" s="36" t="s">
        <v>86</v>
      </c>
      <c r="B93" s="1" t="s">
        <v>123</v>
      </c>
      <c r="C93" s="2">
        <v>2</v>
      </c>
      <c r="D93" s="12">
        <v>60</v>
      </c>
      <c r="E93" s="12">
        <v>8</v>
      </c>
      <c r="F93" s="66">
        <v>7.0000000000000007E-2</v>
      </c>
      <c r="G93" s="66">
        <v>0.41</v>
      </c>
      <c r="H93" s="66">
        <v>0.34</v>
      </c>
      <c r="I93" s="66">
        <v>0.14000000000000001</v>
      </c>
      <c r="J93" s="66">
        <v>0.03</v>
      </c>
      <c r="K93" s="12">
        <v>55</v>
      </c>
      <c r="L93" s="12">
        <v>9</v>
      </c>
      <c r="M93" s="61">
        <v>0.27</v>
      </c>
      <c r="N93" s="61">
        <v>0.23</v>
      </c>
      <c r="O93" s="61">
        <v>0.4</v>
      </c>
      <c r="P93" s="61">
        <v>0.1</v>
      </c>
      <c r="Q93" s="61">
        <v>0</v>
      </c>
      <c r="R93" s="12">
        <v>55</v>
      </c>
      <c r="S93" s="12">
        <v>8</v>
      </c>
      <c r="T93" s="63">
        <v>0.21</v>
      </c>
      <c r="U93" s="63">
        <v>0.44</v>
      </c>
      <c r="V93" s="63">
        <v>0.28999999999999998</v>
      </c>
      <c r="W93" s="63">
        <v>0.06</v>
      </c>
      <c r="X93" s="63">
        <v>0</v>
      </c>
      <c r="Y93" s="12">
        <v>54</v>
      </c>
      <c r="Z93" s="12">
        <v>10</v>
      </c>
      <c r="AA93" s="63">
        <v>0.26</v>
      </c>
      <c r="AB93" s="63">
        <v>0.3</v>
      </c>
      <c r="AC93" s="63">
        <v>0.33</v>
      </c>
      <c r="AD93" s="63">
        <v>0.11</v>
      </c>
      <c r="AE93" s="63">
        <v>0</v>
      </c>
      <c r="AF93" s="25">
        <v>51</v>
      </c>
      <c r="AG93" s="25">
        <v>10</v>
      </c>
      <c r="AH93" s="61">
        <v>0.37</v>
      </c>
      <c r="AI93" s="61">
        <v>0.4</v>
      </c>
      <c r="AJ93" s="61">
        <v>0.14000000000000001</v>
      </c>
      <c r="AK93" s="61">
        <v>0.09</v>
      </c>
      <c r="AL93" s="61">
        <v>0</v>
      </c>
      <c r="AM93" s="647">
        <v>55</v>
      </c>
      <c r="AN93" s="647" t="s">
        <v>758</v>
      </c>
      <c r="AO93" s="647">
        <v>8</v>
      </c>
      <c r="AP93" s="647" t="s">
        <v>758</v>
      </c>
      <c r="AQ93" s="648">
        <v>0.22</v>
      </c>
      <c r="AR93" s="648">
        <v>0.38</v>
      </c>
      <c r="AS93" s="648">
        <v>0.32</v>
      </c>
      <c r="AT93" s="648">
        <v>0.08</v>
      </c>
      <c r="AU93" s="648">
        <v>0</v>
      </c>
      <c r="AV93" s="74">
        <v>55</v>
      </c>
      <c r="AW93" s="74" t="s">
        <v>758</v>
      </c>
      <c r="AX93" s="74">
        <v>11</v>
      </c>
      <c r="AY93" s="74" t="s">
        <v>758</v>
      </c>
      <c r="AZ93" s="96">
        <v>0.23</v>
      </c>
      <c r="BA93" s="96">
        <v>0.28999999999999998</v>
      </c>
      <c r="BB93" s="96">
        <v>0.35</v>
      </c>
      <c r="BC93" s="96">
        <v>0.13</v>
      </c>
      <c r="BD93" s="96">
        <v>0</v>
      </c>
      <c r="BE93" s="652">
        <v>55</v>
      </c>
      <c r="BF93" s="652" t="s">
        <v>758</v>
      </c>
      <c r="BG93" s="652">
        <v>9</v>
      </c>
      <c r="BH93" s="652" t="s">
        <v>758</v>
      </c>
      <c r="BI93" s="653">
        <v>0.21</v>
      </c>
      <c r="BJ93" s="653">
        <v>0.48</v>
      </c>
      <c r="BK93" s="653">
        <v>0.18</v>
      </c>
      <c r="BL93" s="653">
        <v>0.12</v>
      </c>
      <c r="BM93" s="653">
        <v>0</v>
      </c>
      <c r="BN93" s="74">
        <v>54</v>
      </c>
      <c r="BO93" s="74" t="s">
        <v>758</v>
      </c>
      <c r="BP93" s="74">
        <v>8</v>
      </c>
      <c r="BQ93" s="74" t="s">
        <v>758</v>
      </c>
      <c r="BR93" s="96">
        <v>0.13</v>
      </c>
      <c r="BS93" s="96">
        <v>0.53</v>
      </c>
      <c r="BT93" s="96">
        <v>0.27</v>
      </c>
      <c r="BU93" s="96">
        <v>7.0000000000000007E-2</v>
      </c>
      <c r="BV93" s="96">
        <v>0</v>
      </c>
      <c r="BW93" s="933">
        <v>56</v>
      </c>
      <c r="BX93" s="933" t="s">
        <v>758</v>
      </c>
      <c r="BY93" s="933">
        <v>10</v>
      </c>
      <c r="BZ93" s="933" t="s">
        <v>758</v>
      </c>
      <c r="CA93" s="949">
        <v>0.2</v>
      </c>
      <c r="CB93" s="949">
        <v>0.34</v>
      </c>
      <c r="CC93" s="949">
        <v>0.26</v>
      </c>
      <c r="CD93" s="949">
        <v>0.2</v>
      </c>
      <c r="CE93" s="949">
        <v>0</v>
      </c>
      <c r="CF93" s="922">
        <v>325754001450</v>
      </c>
      <c r="CG93" s="36" t="s">
        <v>86</v>
      </c>
    </row>
    <row r="94" spans="1:85" ht="24.95" customHeight="1" x14ac:dyDescent="0.2">
      <c r="A94" s="126" t="s">
        <v>77</v>
      </c>
      <c r="B94" s="1" t="s">
        <v>123</v>
      </c>
      <c r="C94" s="2">
        <v>4</v>
      </c>
      <c r="D94" s="12">
        <v>51</v>
      </c>
      <c r="E94" s="12">
        <v>7</v>
      </c>
      <c r="F94" s="66">
        <v>0.27</v>
      </c>
      <c r="G94" s="66">
        <v>0.62</v>
      </c>
      <c r="H94" s="66">
        <v>0.12</v>
      </c>
      <c r="I94" s="66">
        <v>0</v>
      </c>
      <c r="J94" s="66">
        <v>0</v>
      </c>
      <c r="K94" s="12">
        <v>49</v>
      </c>
      <c r="L94" s="12">
        <v>7</v>
      </c>
      <c r="M94" s="61">
        <v>0.39</v>
      </c>
      <c r="N94" s="61">
        <v>0.56000000000000005</v>
      </c>
      <c r="O94" s="61">
        <v>0.06</v>
      </c>
      <c r="P94" s="61">
        <v>0</v>
      </c>
      <c r="Q94" s="61">
        <v>0</v>
      </c>
      <c r="R94" s="12">
        <v>48</v>
      </c>
      <c r="S94" s="12">
        <v>8</v>
      </c>
      <c r="T94" s="63">
        <v>0.47</v>
      </c>
      <c r="U94" s="63">
        <v>0.39</v>
      </c>
      <c r="V94" s="63">
        <v>0.14000000000000001</v>
      </c>
      <c r="W94" s="63">
        <v>0</v>
      </c>
      <c r="X94" s="63">
        <v>0</v>
      </c>
      <c r="Y94" s="12">
        <v>48</v>
      </c>
      <c r="Z94" s="12">
        <v>9</v>
      </c>
      <c r="AA94" s="63">
        <v>0.48</v>
      </c>
      <c r="AB94" s="63">
        <v>0.38</v>
      </c>
      <c r="AC94" s="63">
        <v>0.1</v>
      </c>
      <c r="AD94" s="63">
        <v>0.02</v>
      </c>
      <c r="AE94" s="63">
        <v>0.02</v>
      </c>
      <c r="AF94" s="25">
        <v>48</v>
      </c>
      <c r="AG94" s="25">
        <v>8</v>
      </c>
      <c r="AH94" s="61">
        <v>0.46</v>
      </c>
      <c r="AI94" s="61">
        <v>0.38</v>
      </c>
      <c r="AJ94" s="61">
        <v>0.15</v>
      </c>
      <c r="AK94" s="61">
        <v>0</v>
      </c>
      <c r="AL94" s="61">
        <v>0</v>
      </c>
      <c r="AM94" s="246">
        <v>50</v>
      </c>
      <c r="AN94" s="246" t="s">
        <v>758</v>
      </c>
      <c r="AO94" s="246">
        <v>11</v>
      </c>
      <c r="AP94" s="246" t="s">
        <v>758</v>
      </c>
      <c r="AQ94" s="263">
        <v>0.4</v>
      </c>
      <c r="AR94" s="263">
        <v>0.4</v>
      </c>
      <c r="AS94" s="263">
        <v>0.11</v>
      </c>
      <c r="AT94" s="263">
        <v>0.09</v>
      </c>
      <c r="AU94" s="263">
        <v>0</v>
      </c>
      <c r="AV94" s="309">
        <v>52</v>
      </c>
      <c r="AW94" s="309" t="s">
        <v>758</v>
      </c>
      <c r="AX94" s="309">
        <v>9</v>
      </c>
      <c r="AY94" s="309" t="s">
        <v>758</v>
      </c>
      <c r="AZ94" s="327">
        <v>0.33</v>
      </c>
      <c r="BA94" s="327">
        <v>0.44</v>
      </c>
      <c r="BB94" s="327">
        <v>0.17</v>
      </c>
      <c r="BC94" s="327">
        <v>0.06</v>
      </c>
      <c r="BD94" s="327">
        <v>0</v>
      </c>
      <c r="BE94" s="424">
        <v>50</v>
      </c>
      <c r="BF94" s="424" t="s">
        <v>758</v>
      </c>
      <c r="BG94" s="424">
        <v>11</v>
      </c>
      <c r="BH94" s="424" t="s">
        <v>758</v>
      </c>
      <c r="BI94" s="428">
        <v>0.44</v>
      </c>
      <c r="BJ94" s="428">
        <v>0.33</v>
      </c>
      <c r="BK94" s="428">
        <v>0.16</v>
      </c>
      <c r="BL94" s="428">
        <v>0.05</v>
      </c>
      <c r="BM94" s="428">
        <v>0.01</v>
      </c>
      <c r="BN94" s="464">
        <v>51</v>
      </c>
      <c r="BO94" s="464" t="s">
        <v>758</v>
      </c>
      <c r="BP94" s="464">
        <v>9</v>
      </c>
      <c r="BQ94" s="464" t="s">
        <v>758</v>
      </c>
      <c r="BR94" s="476">
        <v>0.4</v>
      </c>
      <c r="BS94" s="476">
        <v>0.35</v>
      </c>
      <c r="BT94" s="476">
        <v>0.2</v>
      </c>
      <c r="BU94" s="476">
        <v>0.04</v>
      </c>
      <c r="BV94" s="476">
        <v>0.01</v>
      </c>
      <c r="BW94" s="933">
        <v>54</v>
      </c>
      <c r="BX94" s="933" t="s">
        <v>758</v>
      </c>
      <c r="BY94" s="933">
        <v>10</v>
      </c>
      <c r="BZ94" s="933" t="s">
        <v>758</v>
      </c>
      <c r="CA94" s="949">
        <v>0.28999999999999998</v>
      </c>
      <c r="CB94" s="949">
        <v>0.28999999999999998</v>
      </c>
      <c r="CC94" s="949">
        <v>0.36</v>
      </c>
      <c r="CD94" s="949">
        <v>7.0000000000000007E-2</v>
      </c>
      <c r="CE94" s="949">
        <v>0</v>
      </c>
      <c r="CF94" s="922">
        <v>325754004521</v>
      </c>
      <c r="CG94" s="126" t="s">
        <v>77</v>
      </c>
    </row>
    <row r="95" spans="1:85" ht="24.95" customHeight="1" x14ac:dyDescent="0.2">
      <c r="A95" s="126" t="s">
        <v>58</v>
      </c>
      <c r="B95" s="1" t="s">
        <v>123</v>
      </c>
      <c r="C95" s="2">
        <v>2</v>
      </c>
      <c r="D95" s="12">
        <v>56</v>
      </c>
      <c r="E95" s="12">
        <v>11</v>
      </c>
      <c r="F95" s="66">
        <v>0.28999999999999998</v>
      </c>
      <c r="G95" s="66">
        <v>0.28999999999999998</v>
      </c>
      <c r="H95" s="66">
        <v>0.43</v>
      </c>
      <c r="I95" s="66">
        <v>0</v>
      </c>
      <c r="J95" s="66">
        <v>0</v>
      </c>
      <c r="K95" s="12">
        <v>48</v>
      </c>
      <c r="L95" s="12">
        <v>6</v>
      </c>
      <c r="M95" s="61">
        <v>0.56000000000000005</v>
      </c>
      <c r="N95" s="61">
        <v>0.33</v>
      </c>
      <c r="O95" s="61">
        <v>0.11</v>
      </c>
      <c r="P95" s="61">
        <v>0</v>
      </c>
      <c r="Q95" s="61">
        <v>0</v>
      </c>
      <c r="R95" s="12">
        <v>49</v>
      </c>
      <c r="S95" s="12">
        <v>6</v>
      </c>
      <c r="T95" s="63">
        <v>0.17</v>
      </c>
      <c r="U95" s="63">
        <v>0.83</v>
      </c>
      <c r="V95" s="63">
        <v>0</v>
      </c>
      <c r="W95" s="63">
        <v>0</v>
      </c>
      <c r="X95" s="63">
        <v>0</v>
      </c>
      <c r="Y95" s="12">
        <v>50</v>
      </c>
      <c r="Z95" s="12">
        <v>8</v>
      </c>
      <c r="AA95" s="63">
        <v>0.33</v>
      </c>
      <c r="AB95" s="63">
        <v>0.56000000000000005</v>
      </c>
      <c r="AC95" s="63">
        <v>0.11</v>
      </c>
      <c r="AD95" s="63">
        <v>0</v>
      </c>
      <c r="AE95" s="63">
        <v>0</v>
      </c>
      <c r="AF95" s="25">
        <v>44</v>
      </c>
      <c r="AG95" s="25">
        <v>6</v>
      </c>
      <c r="AH95" s="61">
        <v>0.73</v>
      </c>
      <c r="AI95" s="61">
        <v>0.27</v>
      </c>
      <c r="AJ95" s="61">
        <v>0</v>
      </c>
      <c r="AK95" s="61">
        <v>0</v>
      </c>
      <c r="AL95" s="61">
        <v>0</v>
      </c>
      <c r="AM95" s="246">
        <v>48</v>
      </c>
      <c r="AN95" s="246" t="s">
        <v>758</v>
      </c>
      <c r="AO95" s="246">
        <v>11</v>
      </c>
      <c r="AP95" s="246" t="s">
        <v>758</v>
      </c>
      <c r="AQ95" s="263">
        <v>0.33</v>
      </c>
      <c r="AR95" s="263">
        <v>0.33</v>
      </c>
      <c r="AS95" s="263">
        <v>0.33</v>
      </c>
      <c r="AT95" s="263">
        <v>0</v>
      </c>
      <c r="AU95" s="263">
        <v>0</v>
      </c>
      <c r="AV95" s="309">
        <v>51</v>
      </c>
      <c r="AW95" s="309" t="s">
        <v>758</v>
      </c>
      <c r="AX95" s="309">
        <v>18</v>
      </c>
      <c r="AY95" s="309" t="s">
        <v>759</v>
      </c>
      <c r="AZ95" s="327">
        <v>0.33</v>
      </c>
      <c r="BA95" s="327">
        <v>0.33</v>
      </c>
      <c r="BB95" s="327">
        <v>0</v>
      </c>
      <c r="BC95" s="327">
        <v>0.33</v>
      </c>
      <c r="BD95" s="327">
        <v>0</v>
      </c>
      <c r="BE95" s="424">
        <v>55</v>
      </c>
      <c r="BF95" s="424" t="s">
        <v>758</v>
      </c>
      <c r="BG95" s="424">
        <v>7</v>
      </c>
      <c r="BH95" s="424" t="s">
        <v>760</v>
      </c>
      <c r="BI95" s="428">
        <v>0</v>
      </c>
      <c r="BJ95" s="428">
        <v>0.88</v>
      </c>
      <c r="BK95" s="428">
        <v>0</v>
      </c>
      <c r="BL95" s="428">
        <v>0.13</v>
      </c>
      <c r="BM95" s="428">
        <v>0</v>
      </c>
      <c r="BN95" s="464">
        <v>60</v>
      </c>
      <c r="BO95" s="464" t="s">
        <v>758</v>
      </c>
      <c r="BP95" s="464">
        <v>4</v>
      </c>
      <c r="BQ95" s="464" t="s">
        <v>760</v>
      </c>
      <c r="BR95" s="476">
        <v>0</v>
      </c>
      <c r="BS95" s="476">
        <v>0.33</v>
      </c>
      <c r="BT95" s="476">
        <v>0.67</v>
      </c>
      <c r="BU95" s="476">
        <v>0</v>
      </c>
      <c r="BV95" s="476">
        <v>0</v>
      </c>
      <c r="BW95" s="933">
        <v>55</v>
      </c>
      <c r="BX95" s="933" t="s">
        <v>758</v>
      </c>
      <c r="BY95" s="933">
        <v>4</v>
      </c>
      <c r="BZ95" s="933" t="s">
        <v>760</v>
      </c>
      <c r="CA95" s="949">
        <v>0</v>
      </c>
      <c r="CB95" s="949">
        <v>0.6</v>
      </c>
      <c r="CC95" s="949">
        <v>0.4</v>
      </c>
      <c r="CD95" s="949">
        <v>0</v>
      </c>
      <c r="CE95" s="949">
        <v>0</v>
      </c>
      <c r="CF95" s="922">
        <v>325754005129</v>
      </c>
      <c r="CG95" s="126" t="s">
        <v>58</v>
      </c>
    </row>
    <row r="96" spans="1:85" ht="24.95" customHeight="1" x14ac:dyDescent="0.2">
      <c r="A96" s="126" t="s">
        <v>100</v>
      </c>
      <c r="B96" s="1" t="s">
        <v>123</v>
      </c>
      <c r="C96" s="2">
        <v>3</v>
      </c>
      <c r="D96" s="12">
        <v>58</v>
      </c>
      <c r="E96" s="12">
        <v>7</v>
      </c>
      <c r="F96" s="66">
        <v>0.03</v>
      </c>
      <c r="G96" s="66">
        <v>0.5</v>
      </c>
      <c r="H96" s="66">
        <v>0.37</v>
      </c>
      <c r="I96" s="66">
        <v>0.1</v>
      </c>
      <c r="J96" s="66">
        <v>0</v>
      </c>
      <c r="K96" s="12">
        <v>55</v>
      </c>
      <c r="L96" s="12">
        <v>10</v>
      </c>
      <c r="M96" s="61">
        <v>0.22</v>
      </c>
      <c r="N96" s="61">
        <v>0.34</v>
      </c>
      <c r="O96" s="61">
        <v>0.31</v>
      </c>
      <c r="P96" s="61">
        <v>0.13</v>
      </c>
      <c r="Q96" s="61">
        <v>0</v>
      </c>
      <c r="R96" s="12">
        <v>57</v>
      </c>
      <c r="S96" s="12">
        <v>8</v>
      </c>
      <c r="T96" s="63">
        <v>0.09</v>
      </c>
      <c r="U96" s="63">
        <v>0.47</v>
      </c>
      <c r="V96" s="63">
        <v>0.34</v>
      </c>
      <c r="W96" s="63">
        <v>0.06</v>
      </c>
      <c r="X96" s="63">
        <v>0.03</v>
      </c>
      <c r="Y96" s="12">
        <v>54</v>
      </c>
      <c r="Z96" s="12">
        <v>10</v>
      </c>
      <c r="AA96" s="63">
        <v>0.17</v>
      </c>
      <c r="AB96" s="63">
        <v>0.46</v>
      </c>
      <c r="AC96" s="63">
        <v>0.28999999999999998</v>
      </c>
      <c r="AD96" s="63">
        <v>0.08</v>
      </c>
      <c r="AE96" s="63">
        <v>0</v>
      </c>
      <c r="AF96" s="25">
        <v>52</v>
      </c>
      <c r="AG96" s="25">
        <v>10</v>
      </c>
      <c r="AH96" s="61">
        <v>0.37</v>
      </c>
      <c r="AI96" s="61">
        <v>0.38</v>
      </c>
      <c r="AJ96" s="61">
        <v>0.16</v>
      </c>
      <c r="AK96" s="61">
        <v>0.1</v>
      </c>
      <c r="AL96" s="61">
        <v>0</v>
      </c>
      <c r="AM96" s="246">
        <v>58</v>
      </c>
      <c r="AN96" s="246" t="s">
        <v>758</v>
      </c>
      <c r="AO96" s="246">
        <v>9</v>
      </c>
      <c r="AP96" s="246" t="s">
        <v>758</v>
      </c>
      <c r="AQ96" s="263">
        <v>0.11</v>
      </c>
      <c r="AR96" s="263">
        <v>0.33</v>
      </c>
      <c r="AS96" s="263">
        <v>0.4</v>
      </c>
      <c r="AT96" s="263">
        <v>0.15</v>
      </c>
      <c r="AU96" s="263">
        <v>0.01</v>
      </c>
      <c r="AV96" s="309">
        <v>57</v>
      </c>
      <c r="AW96" s="309" t="s">
        <v>758</v>
      </c>
      <c r="AX96" s="309">
        <v>10</v>
      </c>
      <c r="AY96" s="309" t="s">
        <v>758</v>
      </c>
      <c r="AZ96" s="327">
        <v>0.18</v>
      </c>
      <c r="BA96" s="327">
        <v>0.3</v>
      </c>
      <c r="BB96" s="327">
        <v>0.39</v>
      </c>
      <c r="BC96" s="327">
        <v>0.14000000000000001</v>
      </c>
      <c r="BD96" s="327">
        <v>0</v>
      </c>
      <c r="BE96" s="424">
        <v>58</v>
      </c>
      <c r="BF96" s="424" t="s">
        <v>758</v>
      </c>
      <c r="BG96" s="424">
        <v>9</v>
      </c>
      <c r="BH96" s="424" t="s">
        <v>758</v>
      </c>
      <c r="BI96" s="428">
        <v>0.1</v>
      </c>
      <c r="BJ96" s="428">
        <v>0.4</v>
      </c>
      <c r="BK96" s="428">
        <v>0.35</v>
      </c>
      <c r="BL96" s="428">
        <v>0.13</v>
      </c>
      <c r="BM96" s="428">
        <v>0.02</v>
      </c>
      <c r="BN96" s="464">
        <v>57</v>
      </c>
      <c r="BO96" s="464" t="s">
        <v>758</v>
      </c>
      <c r="BP96" s="464">
        <v>11</v>
      </c>
      <c r="BQ96" s="464" t="s">
        <v>758</v>
      </c>
      <c r="BR96" s="476">
        <v>0.19</v>
      </c>
      <c r="BS96" s="476">
        <v>0.37</v>
      </c>
      <c r="BT96" s="476">
        <v>0.27</v>
      </c>
      <c r="BU96" s="476">
        <v>0.15</v>
      </c>
      <c r="BV96" s="476">
        <v>0.02</v>
      </c>
      <c r="BW96" s="933">
        <v>59</v>
      </c>
      <c r="BX96" s="933" t="s">
        <v>758</v>
      </c>
      <c r="BY96" s="933">
        <v>10</v>
      </c>
      <c r="BZ96" s="933" t="s">
        <v>758</v>
      </c>
      <c r="CA96" s="949">
        <v>0.1</v>
      </c>
      <c r="CB96" s="949">
        <v>0.33</v>
      </c>
      <c r="CC96" s="949">
        <v>0.4</v>
      </c>
      <c r="CD96" s="949">
        <v>0.12</v>
      </c>
      <c r="CE96" s="949">
        <v>0.04</v>
      </c>
      <c r="CF96" s="922">
        <v>325754003461</v>
      </c>
      <c r="CG96" s="126" t="s">
        <v>100</v>
      </c>
    </row>
    <row r="97" spans="1:85" ht="24.95" customHeight="1" x14ac:dyDescent="0.2">
      <c r="A97" s="126" t="s">
        <v>95</v>
      </c>
      <c r="B97" s="1" t="s">
        <v>123</v>
      </c>
      <c r="C97" s="2">
        <v>2</v>
      </c>
      <c r="D97" s="12">
        <v>62</v>
      </c>
      <c r="E97" s="12">
        <v>6</v>
      </c>
      <c r="F97" s="66">
        <v>0.02</v>
      </c>
      <c r="G97" s="66">
        <v>0.22</v>
      </c>
      <c r="H97" s="66">
        <v>0.51</v>
      </c>
      <c r="I97" s="66">
        <v>0.24</v>
      </c>
      <c r="J97" s="66">
        <v>0</v>
      </c>
      <c r="K97" s="12">
        <v>56</v>
      </c>
      <c r="L97" s="12">
        <v>7</v>
      </c>
      <c r="M97" s="61">
        <v>0.11</v>
      </c>
      <c r="N97" s="61">
        <v>0.44</v>
      </c>
      <c r="O97" s="61">
        <v>0.39</v>
      </c>
      <c r="P97" s="61">
        <v>0.06</v>
      </c>
      <c r="Q97" s="61">
        <v>0</v>
      </c>
      <c r="R97" s="12">
        <v>60</v>
      </c>
      <c r="S97" s="12">
        <v>7</v>
      </c>
      <c r="T97" s="63">
        <v>0.03</v>
      </c>
      <c r="U97" s="63">
        <v>0.39</v>
      </c>
      <c r="V97" s="63">
        <v>0.45</v>
      </c>
      <c r="W97" s="63">
        <v>0.12</v>
      </c>
      <c r="X97" s="63">
        <v>0</v>
      </c>
      <c r="Y97" s="12">
        <v>56</v>
      </c>
      <c r="Z97" s="12">
        <v>9</v>
      </c>
      <c r="AA97" s="63">
        <v>0.24</v>
      </c>
      <c r="AB97" s="63">
        <v>0.32</v>
      </c>
      <c r="AC97" s="63">
        <v>0.3</v>
      </c>
      <c r="AD97" s="63">
        <v>0.14000000000000001</v>
      </c>
      <c r="AE97" s="63">
        <v>0</v>
      </c>
      <c r="AF97" s="25">
        <v>54</v>
      </c>
      <c r="AG97" s="25">
        <v>10</v>
      </c>
      <c r="AH97" s="61">
        <v>0.28999999999999998</v>
      </c>
      <c r="AI97" s="61">
        <v>0.37</v>
      </c>
      <c r="AJ97" s="61">
        <v>0.17</v>
      </c>
      <c r="AK97" s="61">
        <v>0.17</v>
      </c>
      <c r="AL97" s="61">
        <v>0</v>
      </c>
      <c r="AM97" s="246">
        <v>58</v>
      </c>
      <c r="AN97" s="246" t="s">
        <v>758</v>
      </c>
      <c r="AO97" s="246">
        <v>11</v>
      </c>
      <c r="AP97" s="246" t="s">
        <v>758</v>
      </c>
      <c r="AQ97" s="263">
        <v>0.17</v>
      </c>
      <c r="AR97" s="263">
        <v>0.36</v>
      </c>
      <c r="AS97" s="263">
        <v>0.26</v>
      </c>
      <c r="AT97" s="263">
        <v>0.21</v>
      </c>
      <c r="AU97" s="263">
        <v>0</v>
      </c>
      <c r="AV97" s="309">
        <v>61</v>
      </c>
      <c r="AW97" s="309" t="s">
        <v>759</v>
      </c>
      <c r="AX97" s="309">
        <v>8</v>
      </c>
      <c r="AY97" s="309" t="s">
        <v>758</v>
      </c>
      <c r="AZ97" s="327">
        <v>0.03</v>
      </c>
      <c r="BA97" s="327">
        <v>0.27</v>
      </c>
      <c r="BB97" s="327">
        <v>0.46</v>
      </c>
      <c r="BC97" s="327">
        <v>0.22</v>
      </c>
      <c r="BD97" s="327">
        <v>0.03</v>
      </c>
      <c r="BE97" s="424">
        <v>58</v>
      </c>
      <c r="BF97" s="424" t="s">
        <v>758</v>
      </c>
      <c r="BG97" s="424">
        <v>12</v>
      </c>
      <c r="BH97" s="424" t="s">
        <v>758</v>
      </c>
      <c r="BI97" s="428">
        <v>0.26</v>
      </c>
      <c r="BJ97" s="428">
        <v>0.26</v>
      </c>
      <c r="BK97" s="428">
        <v>0.24</v>
      </c>
      <c r="BL97" s="428">
        <v>0.21</v>
      </c>
      <c r="BM97" s="428">
        <v>0.03</v>
      </c>
      <c r="BN97" s="464">
        <v>58</v>
      </c>
      <c r="BO97" s="464" t="s">
        <v>758</v>
      </c>
      <c r="BP97" s="464">
        <v>10</v>
      </c>
      <c r="BQ97" s="464" t="s">
        <v>758</v>
      </c>
      <c r="BR97" s="476">
        <v>0.14000000000000001</v>
      </c>
      <c r="BS97" s="476">
        <v>0.33</v>
      </c>
      <c r="BT97" s="476">
        <v>0.31</v>
      </c>
      <c r="BU97" s="476">
        <v>0.22</v>
      </c>
      <c r="BV97" s="476">
        <v>0</v>
      </c>
      <c r="BW97" s="933">
        <v>55</v>
      </c>
      <c r="BX97" s="933" t="s">
        <v>758</v>
      </c>
      <c r="BY97" s="933">
        <v>12</v>
      </c>
      <c r="BZ97" s="933" t="s">
        <v>758</v>
      </c>
      <c r="CA97" s="949">
        <v>0.26</v>
      </c>
      <c r="CB97" s="949">
        <v>0.3</v>
      </c>
      <c r="CC97" s="949">
        <v>0.3</v>
      </c>
      <c r="CD97" s="949">
        <v>0.15</v>
      </c>
      <c r="CE97" s="949">
        <v>0</v>
      </c>
      <c r="CF97" s="922">
        <v>325754005161</v>
      </c>
      <c r="CG97" s="126" t="s">
        <v>95</v>
      </c>
    </row>
    <row r="98" spans="1:85" ht="24.95" customHeight="1" x14ac:dyDescent="0.2">
      <c r="A98" s="126" t="s">
        <v>47</v>
      </c>
      <c r="B98" s="1" t="s">
        <v>123</v>
      </c>
      <c r="C98" s="2">
        <v>2</v>
      </c>
      <c r="D98" s="12">
        <v>52</v>
      </c>
      <c r="E98" s="12">
        <v>13</v>
      </c>
      <c r="F98" s="66">
        <v>0.53</v>
      </c>
      <c r="G98" s="66">
        <v>0.12</v>
      </c>
      <c r="H98" s="66">
        <v>0.24</v>
      </c>
      <c r="I98" s="66">
        <v>0.06</v>
      </c>
      <c r="J98" s="66">
        <v>0.06</v>
      </c>
      <c r="K98" s="12">
        <v>44</v>
      </c>
      <c r="L98" s="12">
        <v>9</v>
      </c>
      <c r="M98" s="61">
        <v>0.65</v>
      </c>
      <c r="N98" s="61">
        <v>0.28999999999999998</v>
      </c>
      <c r="O98" s="61">
        <v>0.06</v>
      </c>
      <c r="P98" s="61">
        <v>0</v>
      </c>
      <c r="Q98" s="61">
        <v>0</v>
      </c>
      <c r="R98" s="12">
        <v>49</v>
      </c>
      <c r="S98" s="12">
        <v>12</v>
      </c>
      <c r="T98" s="63">
        <v>0.4</v>
      </c>
      <c r="U98" s="63">
        <v>0.33</v>
      </c>
      <c r="V98" s="63">
        <v>0.13</v>
      </c>
      <c r="W98" s="63">
        <v>0.13</v>
      </c>
      <c r="X98" s="63">
        <v>0</v>
      </c>
      <c r="Y98" s="12">
        <v>48</v>
      </c>
      <c r="Z98" s="12">
        <v>11</v>
      </c>
      <c r="AA98" s="63">
        <v>0.36</v>
      </c>
      <c r="AB98" s="63">
        <v>0.55000000000000004</v>
      </c>
      <c r="AC98" s="63">
        <v>0.09</v>
      </c>
      <c r="AD98" s="63">
        <v>0</v>
      </c>
      <c r="AE98" s="63">
        <v>0</v>
      </c>
      <c r="AF98" s="25">
        <v>47</v>
      </c>
      <c r="AG98" s="25">
        <v>8</v>
      </c>
      <c r="AH98" s="61">
        <v>0.56999999999999995</v>
      </c>
      <c r="AI98" s="61">
        <v>0.28999999999999998</v>
      </c>
      <c r="AJ98" s="61">
        <v>0.14000000000000001</v>
      </c>
      <c r="AK98" s="61">
        <v>0</v>
      </c>
      <c r="AL98" s="61">
        <v>0</v>
      </c>
      <c r="AM98" s="246">
        <v>48</v>
      </c>
      <c r="AN98" s="246" t="s">
        <v>758</v>
      </c>
      <c r="AO98" s="246">
        <v>10</v>
      </c>
      <c r="AP98" s="246" t="s">
        <v>758</v>
      </c>
      <c r="AQ98" s="263">
        <v>0.28999999999999998</v>
      </c>
      <c r="AR98" s="263">
        <v>0.56999999999999995</v>
      </c>
      <c r="AS98" s="263">
        <v>0.14000000000000001</v>
      </c>
      <c r="AT98" s="263">
        <v>0</v>
      </c>
      <c r="AU98" s="263">
        <v>0</v>
      </c>
      <c r="AV98" s="309">
        <v>51</v>
      </c>
      <c r="AW98" s="309" t="s">
        <v>758</v>
      </c>
      <c r="AX98" s="309">
        <v>12</v>
      </c>
      <c r="AY98" s="309" t="s">
        <v>758</v>
      </c>
      <c r="AZ98" s="327">
        <v>0.4</v>
      </c>
      <c r="BA98" s="327">
        <v>0.3</v>
      </c>
      <c r="BB98" s="327">
        <v>0.2</v>
      </c>
      <c r="BC98" s="327">
        <v>0.1</v>
      </c>
      <c r="BD98" s="327">
        <v>0</v>
      </c>
      <c r="BE98" s="424">
        <v>54</v>
      </c>
      <c r="BF98" s="424" t="s">
        <v>758</v>
      </c>
      <c r="BG98" s="424">
        <v>9</v>
      </c>
      <c r="BH98" s="424" t="s">
        <v>758</v>
      </c>
      <c r="BI98" s="428">
        <v>0.33</v>
      </c>
      <c r="BJ98" s="428">
        <v>0.33</v>
      </c>
      <c r="BK98" s="428">
        <v>0.17</v>
      </c>
      <c r="BL98" s="428">
        <v>0.17</v>
      </c>
      <c r="BM98" s="428">
        <v>0</v>
      </c>
      <c r="BN98" s="464">
        <v>58</v>
      </c>
      <c r="BO98" s="464" t="s">
        <v>758</v>
      </c>
      <c r="BP98" s="464">
        <v>8</v>
      </c>
      <c r="BQ98" s="464" t="s">
        <v>758</v>
      </c>
      <c r="BR98" s="476">
        <v>0</v>
      </c>
      <c r="BS98" s="476">
        <v>0.56999999999999995</v>
      </c>
      <c r="BT98" s="476">
        <v>0.28999999999999998</v>
      </c>
      <c r="BU98" s="476">
        <v>0.14000000000000001</v>
      </c>
      <c r="BV98" s="476">
        <v>0</v>
      </c>
      <c r="BW98" s="933">
        <v>55</v>
      </c>
      <c r="BX98" s="933" t="s">
        <v>758</v>
      </c>
      <c r="BY98" s="933">
        <v>9</v>
      </c>
      <c r="BZ98" s="933" t="s">
        <v>758</v>
      </c>
      <c r="CA98" s="949">
        <v>0.43</v>
      </c>
      <c r="CB98" s="949">
        <v>0</v>
      </c>
      <c r="CC98" s="949">
        <v>0.56999999999999995</v>
      </c>
      <c r="CD98" s="949">
        <v>0</v>
      </c>
      <c r="CE98" s="949">
        <v>0</v>
      </c>
      <c r="CF98" s="922">
        <v>325754002839</v>
      </c>
      <c r="CG98" s="126" t="s">
        <v>47</v>
      </c>
    </row>
    <row r="99" spans="1:85" ht="24.95" customHeight="1" x14ac:dyDescent="0.2">
      <c r="A99" s="126" t="s">
        <v>27</v>
      </c>
      <c r="B99" s="1" t="s">
        <v>121</v>
      </c>
      <c r="C99" s="2" t="s">
        <v>122</v>
      </c>
      <c r="D99" s="12">
        <v>48</v>
      </c>
      <c r="E99" s="12">
        <v>7</v>
      </c>
      <c r="F99" s="66">
        <v>0.51</v>
      </c>
      <c r="G99" s="66">
        <v>0.41</v>
      </c>
      <c r="H99" s="66">
        <v>7.0000000000000007E-2</v>
      </c>
      <c r="I99" s="66">
        <v>0</v>
      </c>
      <c r="J99" s="66">
        <v>0</v>
      </c>
      <c r="K99" s="12">
        <v>44</v>
      </c>
      <c r="L99" s="12">
        <v>7</v>
      </c>
      <c r="M99" s="61">
        <v>0.81</v>
      </c>
      <c r="N99" s="61">
        <v>0.17</v>
      </c>
      <c r="O99" s="61">
        <v>0.02</v>
      </c>
      <c r="P99" s="61">
        <v>0</v>
      </c>
      <c r="Q99" s="61">
        <v>0</v>
      </c>
      <c r="R99" s="12">
        <v>45</v>
      </c>
      <c r="S99" s="12">
        <v>12</v>
      </c>
      <c r="T99" s="63">
        <v>0.59</v>
      </c>
      <c r="U99" s="63">
        <v>0.28999999999999998</v>
      </c>
      <c r="V99" s="63">
        <v>0.12</v>
      </c>
      <c r="W99" s="63">
        <v>0</v>
      </c>
      <c r="X99" s="63">
        <v>0</v>
      </c>
      <c r="Y99" s="12">
        <v>45</v>
      </c>
      <c r="Z99" s="12">
        <v>10</v>
      </c>
      <c r="AA99" s="63">
        <v>0.55000000000000004</v>
      </c>
      <c r="AB99" s="63">
        <v>0.37</v>
      </c>
      <c r="AC99" s="63">
        <v>0.08</v>
      </c>
      <c r="AD99" s="63">
        <v>0</v>
      </c>
      <c r="AE99" s="63">
        <v>0</v>
      </c>
      <c r="AF99" s="25">
        <v>42</v>
      </c>
      <c r="AG99" s="25">
        <v>6</v>
      </c>
      <c r="AH99" s="61">
        <v>0.82</v>
      </c>
      <c r="AI99" s="61">
        <v>0.18</v>
      </c>
      <c r="AJ99" s="61">
        <v>0</v>
      </c>
      <c r="AK99" s="61">
        <v>0</v>
      </c>
      <c r="AL99" s="61">
        <v>0</v>
      </c>
      <c r="AM99" s="246">
        <v>44</v>
      </c>
      <c r="AN99" s="246" t="s">
        <v>760</v>
      </c>
      <c r="AO99" s="246">
        <v>9</v>
      </c>
      <c r="AP99" s="246" t="s">
        <v>758</v>
      </c>
      <c r="AQ99" s="263">
        <v>0.61</v>
      </c>
      <c r="AR99" s="263">
        <v>0.32</v>
      </c>
      <c r="AS99" s="263">
        <v>7.0000000000000007E-2</v>
      </c>
      <c r="AT99" s="263">
        <v>0</v>
      </c>
      <c r="AU99" s="263">
        <v>0</v>
      </c>
      <c r="AV99" s="309">
        <v>49</v>
      </c>
      <c r="AW99" s="309" t="s">
        <v>758</v>
      </c>
      <c r="AX99" s="309">
        <v>10</v>
      </c>
      <c r="AY99" s="309" t="s">
        <v>758</v>
      </c>
      <c r="AZ99" s="327">
        <v>0.45</v>
      </c>
      <c r="BA99" s="327">
        <v>0.38</v>
      </c>
      <c r="BB99" s="327">
        <v>0.13</v>
      </c>
      <c r="BC99" s="327">
        <v>0.03</v>
      </c>
      <c r="BD99" s="327">
        <v>0.03</v>
      </c>
      <c r="BE99" s="424">
        <v>47</v>
      </c>
      <c r="BF99" s="424" t="s">
        <v>758</v>
      </c>
      <c r="BG99" s="424">
        <v>8</v>
      </c>
      <c r="BH99" s="424" t="s">
        <v>758</v>
      </c>
      <c r="BI99" s="428">
        <v>0.52</v>
      </c>
      <c r="BJ99" s="428">
        <v>0.38</v>
      </c>
      <c r="BK99" s="428">
        <v>0.1</v>
      </c>
      <c r="BL99" s="428">
        <v>0</v>
      </c>
      <c r="BM99" s="428">
        <v>0</v>
      </c>
      <c r="BN99" s="464">
        <v>48</v>
      </c>
      <c r="BO99" s="464" t="s">
        <v>758</v>
      </c>
      <c r="BP99" s="464">
        <v>7</v>
      </c>
      <c r="BQ99" s="464" t="s">
        <v>760</v>
      </c>
      <c r="BR99" s="476">
        <v>0.47</v>
      </c>
      <c r="BS99" s="476">
        <v>0.43</v>
      </c>
      <c r="BT99" s="476">
        <v>0.11</v>
      </c>
      <c r="BU99" s="476">
        <v>0</v>
      </c>
      <c r="BV99" s="476">
        <v>0</v>
      </c>
      <c r="BW99" s="933">
        <v>49</v>
      </c>
      <c r="BX99" s="933" t="s">
        <v>758</v>
      </c>
      <c r="BY99" s="933">
        <v>11</v>
      </c>
      <c r="BZ99" s="933" t="s">
        <v>758</v>
      </c>
      <c r="CA99" s="949">
        <v>0.42</v>
      </c>
      <c r="CB99" s="949">
        <v>0.38</v>
      </c>
      <c r="CC99" s="949">
        <v>0.1</v>
      </c>
      <c r="CD99" s="949">
        <v>0.1</v>
      </c>
      <c r="CE99" s="949">
        <v>0</v>
      </c>
      <c r="CF99" s="922">
        <v>225754000661</v>
      </c>
      <c r="CG99" s="126" t="s">
        <v>27</v>
      </c>
    </row>
    <row r="100" spans="1:85" ht="24.95" customHeight="1" x14ac:dyDescent="0.2">
      <c r="A100" s="126" t="s">
        <v>127</v>
      </c>
      <c r="B100" s="1" t="s">
        <v>123</v>
      </c>
      <c r="C100" s="2">
        <v>4</v>
      </c>
      <c r="D100" s="12" t="s">
        <v>126</v>
      </c>
      <c r="E100" s="12" t="s">
        <v>126</v>
      </c>
      <c r="F100" s="12"/>
      <c r="G100" s="12"/>
      <c r="H100" s="12"/>
      <c r="I100" s="12"/>
      <c r="J100" s="12"/>
      <c r="K100" s="12">
        <v>66</v>
      </c>
      <c r="L100" s="12">
        <v>0</v>
      </c>
      <c r="M100" s="61">
        <v>0</v>
      </c>
      <c r="N100" s="61">
        <v>0</v>
      </c>
      <c r="O100" s="61">
        <v>1</v>
      </c>
      <c r="P100" s="61">
        <v>0</v>
      </c>
      <c r="Q100" s="61">
        <v>0</v>
      </c>
      <c r="R100" s="12" t="s">
        <v>126</v>
      </c>
      <c r="S100" s="12" t="s">
        <v>126</v>
      </c>
      <c r="T100" s="2"/>
      <c r="U100" s="2"/>
      <c r="V100" s="2"/>
      <c r="W100" s="2"/>
      <c r="X100" s="2"/>
      <c r="Y100" s="12" t="s">
        <v>126</v>
      </c>
      <c r="Z100" s="12" t="s">
        <v>126</v>
      </c>
      <c r="AA100" s="2"/>
      <c r="AB100" s="2"/>
      <c r="AC100" s="2"/>
      <c r="AD100" s="2"/>
      <c r="AE100" s="2"/>
      <c r="AF100" s="25"/>
      <c r="AG100" s="25"/>
      <c r="AH100" s="61"/>
      <c r="AI100" s="61"/>
      <c r="AJ100" s="61"/>
      <c r="AK100" s="61"/>
      <c r="AL100" s="61"/>
      <c r="AM100" s="646"/>
      <c r="AN100" s="646"/>
      <c r="AO100" s="646"/>
      <c r="AP100" s="646"/>
      <c r="AQ100" s="646"/>
      <c r="AR100" s="646"/>
      <c r="AS100" s="646"/>
      <c r="AT100" s="646"/>
      <c r="AU100" s="646"/>
      <c r="AV100" s="649"/>
      <c r="AW100" s="649"/>
      <c r="AX100" s="649"/>
      <c r="AY100" s="649"/>
      <c r="AZ100" s="649"/>
      <c r="BA100" s="649"/>
      <c r="BB100" s="649"/>
      <c r="BC100" s="649"/>
      <c r="BD100" s="649"/>
      <c r="BE100" s="651"/>
      <c r="BF100" s="651"/>
      <c r="BG100" s="651"/>
      <c r="BH100" s="651"/>
      <c r="BI100" s="651"/>
      <c r="BJ100" s="651"/>
      <c r="BK100" s="651"/>
      <c r="BL100" s="651"/>
      <c r="BM100" s="651"/>
      <c r="BN100" s="650"/>
      <c r="BO100" s="650"/>
      <c r="BP100" s="650"/>
      <c r="BQ100" s="650"/>
      <c r="BR100" s="650"/>
      <c r="BS100" s="650"/>
      <c r="BT100" s="650"/>
      <c r="BU100" s="650"/>
      <c r="BV100" s="650"/>
      <c r="BW100" s="933"/>
      <c r="BX100" s="933"/>
      <c r="BY100" s="933"/>
      <c r="BZ100" s="933"/>
      <c r="CA100" s="949"/>
      <c r="CB100" s="949"/>
      <c r="CC100" s="949"/>
      <c r="CD100" s="949"/>
      <c r="CE100" s="949"/>
      <c r="CG100" s="126" t="s">
        <v>127</v>
      </c>
    </row>
    <row r="101" spans="1:85" ht="24.95" customHeight="1" x14ac:dyDescent="0.2">
      <c r="A101" s="126" t="s">
        <v>55</v>
      </c>
      <c r="B101" s="1" t="s">
        <v>121</v>
      </c>
      <c r="C101" s="2">
        <v>1</v>
      </c>
      <c r="D101" s="12">
        <v>51</v>
      </c>
      <c r="E101" s="12">
        <v>9</v>
      </c>
      <c r="F101" s="66">
        <v>0.35</v>
      </c>
      <c r="G101" s="66">
        <v>0.43</v>
      </c>
      <c r="H101" s="66">
        <v>0.19</v>
      </c>
      <c r="I101" s="66">
        <v>0.02</v>
      </c>
      <c r="J101" s="66">
        <v>0</v>
      </c>
      <c r="K101" s="12">
        <v>49</v>
      </c>
      <c r="L101" s="12">
        <v>8</v>
      </c>
      <c r="M101" s="61">
        <v>0.45</v>
      </c>
      <c r="N101" s="61">
        <v>0.42</v>
      </c>
      <c r="O101" s="61">
        <v>0.13</v>
      </c>
      <c r="P101" s="61">
        <v>0.01</v>
      </c>
      <c r="Q101" s="61">
        <v>0</v>
      </c>
      <c r="R101" s="12">
        <v>49</v>
      </c>
      <c r="S101" s="12">
        <v>9</v>
      </c>
      <c r="T101" s="63">
        <v>0.39</v>
      </c>
      <c r="U101" s="63">
        <v>0.47</v>
      </c>
      <c r="V101" s="63">
        <v>0.12</v>
      </c>
      <c r="W101" s="63">
        <v>0.03</v>
      </c>
      <c r="X101" s="63">
        <v>0</v>
      </c>
      <c r="Y101" s="12">
        <v>49</v>
      </c>
      <c r="Z101" s="12">
        <v>9</v>
      </c>
      <c r="AA101" s="63">
        <v>0.4</v>
      </c>
      <c r="AB101" s="63">
        <v>0.46</v>
      </c>
      <c r="AC101" s="63">
        <v>0.11</v>
      </c>
      <c r="AD101" s="63">
        <v>0.03</v>
      </c>
      <c r="AE101" s="63">
        <v>0</v>
      </c>
      <c r="AF101" s="25">
        <v>48</v>
      </c>
      <c r="AG101" s="25">
        <v>9</v>
      </c>
      <c r="AH101" s="61">
        <v>0.53</v>
      </c>
      <c r="AI101" s="61">
        <v>0.35</v>
      </c>
      <c r="AJ101" s="61">
        <v>0.09</v>
      </c>
      <c r="AK101" s="61">
        <v>0.02</v>
      </c>
      <c r="AL101" s="61">
        <v>0.01</v>
      </c>
      <c r="AM101" s="647">
        <v>49</v>
      </c>
      <c r="AN101" s="647" t="s">
        <v>758</v>
      </c>
      <c r="AO101" s="647">
        <v>9</v>
      </c>
      <c r="AP101" s="647" t="s">
        <v>758</v>
      </c>
      <c r="AQ101" s="648">
        <v>0.41</v>
      </c>
      <c r="AR101" s="648">
        <v>0.44</v>
      </c>
      <c r="AS101" s="648">
        <v>0.11</v>
      </c>
      <c r="AT101" s="648">
        <v>0.04</v>
      </c>
      <c r="AU101" s="648">
        <v>0</v>
      </c>
      <c r="AV101" s="74">
        <v>48</v>
      </c>
      <c r="AW101" s="74" t="s">
        <v>758</v>
      </c>
      <c r="AX101" s="74">
        <v>10</v>
      </c>
      <c r="AY101" s="74" t="s">
        <v>758</v>
      </c>
      <c r="AZ101" s="96">
        <v>0.47</v>
      </c>
      <c r="BA101" s="96">
        <v>0.36</v>
      </c>
      <c r="BB101" s="96">
        <v>0.15</v>
      </c>
      <c r="BC101" s="96">
        <v>0.02</v>
      </c>
      <c r="BD101" s="96">
        <v>0.01</v>
      </c>
      <c r="BE101" s="652">
        <v>48</v>
      </c>
      <c r="BF101" s="652" t="s">
        <v>758</v>
      </c>
      <c r="BG101" s="652">
        <v>9</v>
      </c>
      <c r="BH101" s="652" t="s">
        <v>758</v>
      </c>
      <c r="BI101" s="653">
        <v>0.43</v>
      </c>
      <c r="BJ101" s="653">
        <v>0.42</v>
      </c>
      <c r="BK101" s="653">
        <v>0.14000000000000001</v>
      </c>
      <c r="BL101" s="653">
        <v>0.01</v>
      </c>
      <c r="BM101" s="653">
        <v>0</v>
      </c>
      <c r="BN101" s="74">
        <v>50</v>
      </c>
      <c r="BO101" s="74" t="s">
        <v>758</v>
      </c>
      <c r="BP101" s="74">
        <v>10</v>
      </c>
      <c r="BQ101" s="74" t="s">
        <v>758</v>
      </c>
      <c r="BR101" s="96">
        <v>0.38</v>
      </c>
      <c r="BS101" s="96">
        <v>0.4</v>
      </c>
      <c r="BT101" s="96">
        <v>0.17</v>
      </c>
      <c r="BU101" s="96">
        <v>0.04</v>
      </c>
      <c r="BV101" s="96">
        <v>0</v>
      </c>
      <c r="BW101" s="933">
        <v>52</v>
      </c>
      <c r="BX101" s="933" t="s">
        <v>758</v>
      </c>
      <c r="BY101" s="933">
        <v>10</v>
      </c>
      <c r="BZ101" s="933" t="s">
        <v>758</v>
      </c>
      <c r="CA101" s="949">
        <v>0.33</v>
      </c>
      <c r="CB101" s="949">
        <v>0.39</v>
      </c>
      <c r="CC101" s="949">
        <v>0.22</v>
      </c>
      <c r="CD101" s="949">
        <v>0.06</v>
      </c>
      <c r="CE101" s="949">
        <v>0</v>
      </c>
      <c r="CF101" s="922">
        <v>125754003569</v>
      </c>
      <c r="CG101" s="126" t="s">
        <v>55</v>
      </c>
    </row>
    <row r="102" spans="1:85" ht="24.95" customHeight="1" x14ac:dyDescent="0.2">
      <c r="A102" s="126" t="s">
        <v>22</v>
      </c>
      <c r="B102" s="1" t="s">
        <v>121</v>
      </c>
      <c r="C102" s="2">
        <v>6</v>
      </c>
      <c r="D102" s="12">
        <v>54</v>
      </c>
      <c r="E102" s="12">
        <v>9</v>
      </c>
      <c r="F102" s="66">
        <v>0.3</v>
      </c>
      <c r="G102" s="66">
        <v>0.32</v>
      </c>
      <c r="H102" s="66">
        <v>0.3</v>
      </c>
      <c r="I102" s="66">
        <v>0.08</v>
      </c>
      <c r="J102" s="66">
        <v>0</v>
      </c>
      <c r="K102" s="12">
        <v>49</v>
      </c>
      <c r="L102" s="12">
        <v>11</v>
      </c>
      <c r="M102" s="61">
        <v>0.56000000000000005</v>
      </c>
      <c r="N102" s="61">
        <v>0.23</v>
      </c>
      <c r="O102" s="61">
        <v>0.11</v>
      </c>
      <c r="P102" s="61">
        <v>0.09</v>
      </c>
      <c r="Q102" s="61">
        <v>0.01</v>
      </c>
      <c r="R102" s="12">
        <v>51</v>
      </c>
      <c r="S102" s="12">
        <v>10</v>
      </c>
      <c r="T102" s="63">
        <v>0.38</v>
      </c>
      <c r="U102" s="63">
        <v>0.36</v>
      </c>
      <c r="V102" s="63">
        <v>0.19</v>
      </c>
      <c r="W102" s="63">
        <v>7.0000000000000007E-2</v>
      </c>
      <c r="X102" s="63">
        <v>0</v>
      </c>
      <c r="Y102" s="12">
        <v>52</v>
      </c>
      <c r="Z102" s="12">
        <v>11</v>
      </c>
      <c r="AA102" s="63">
        <v>0.34</v>
      </c>
      <c r="AB102" s="63">
        <v>0.35</v>
      </c>
      <c r="AC102" s="63">
        <v>0.23</v>
      </c>
      <c r="AD102" s="63">
        <v>0.09</v>
      </c>
      <c r="AE102" s="63">
        <v>0</v>
      </c>
      <c r="AF102" s="25">
        <v>47</v>
      </c>
      <c r="AG102" s="25">
        <v>10</v>
      </c>
      <c r="AH102" s="61">
        <v>0.56000000000000005</v>
      </c>
      <c r="AI102" s="61">
        <v>0.28000000000000003</v>
      </c>
      <c r="AJ102" s="61">
        <v>0.15</v>
      </c>
      <c r="AK102" s="61">
        <v>0.01</v>
      </c>
      <c r="AL102" s="61">
        <v>0</v>
      </c>
      <c r="AM102" s="246">
        <v>51</v>
      </c>
      <c r="AN102" s="246" t="s">
        <v>758</v>
      </c>
      <c r="AO102" s="246">
        <v>11</v>
      </c>
      <c r="AP102" s="246" t="s">
        <v>758</v>
      </c>
      <c r="AQ102" s="263">
        <v>0.44</v>
      </c>
      <c r="AR102" s="263">
        <v>0.31</v>
      </c>
      <c r="AS102" s="263">
        <v>0.14000000000000001</v>
      </c>
      <c r="AT102" s="263">
        <v>0.1</v>
      </c>
      <c r="AU102" s="263">
        <v>0.01</v>
      </c>
      <c r="AV102" s="309">
        <v>52</v>
      </c>
      <c r="AW102" s="309" t="s">
        <v>758</v>
      </c>
      <c r="AX102" s="309">
        <v>10</v>
      </c>
      <c r="AY102" s="309" t="s">
        <v>758</v>
      </c>
      <c r="AZ102" s="327">
        <v>0.31</v>
      </c>
      <c r="BA102" s="327">
        <v>0.45</v>
      </c>
      <c r="BB102" s="327">
        <v>0.17</v>
      </c>
      <c r="BC102" s="327">
        <v>7.0000000000000007E-2</v>
      </c>
      <c r="BD102" s="327">
        <v>0</v>
      </c>
      <c r="BE102" s="424">
        <v>50</v>
      </c>
      <c r="BF102" s="424" t="s">
        <v>758</v>
      </c>
      <c r="BG102" s="424">
        <v>10</v>
      </c>
      <c r="BH102" s="424" t="s">
        <v>758</v>
      </c>
      <c r="BI102" s="428">
        <v>0.48</v>
      </c>
      <c r="BJ102" s="428">
        <v>0.31</v>
      </c>
      <c r="BK102" s="428">
        <v>0.16</v>
      </c>
      <c r="BL102" s="428">
        <v>0.05</v>
      </c>
      <c r="BM102" s="428">
        <v>0</v>
      </c>
      <c r="BN102" s="464">
        <v>50</v>
      </c>
      <c r="BO102" s="464" t="s">
        <v>758</v>
      </c>
      <c r="BP102" s="464">
        <v>10</v>
      </c>
      <c r="BQ102" s="464" t="s">
        <v>758</v>
      </c>
      <c r="BR102" s="476">
        <v>0.42</v>
      </c>
      <c r="BS102" s="476">
        <v>0.31</v>
      </c>
      <c r="BT102" s="476">
        <v>0.21</v>
      </c>
      <c r="BU102" s="476">
        <v>0.05</v>
      </c>
      <c r="BV102" s="476">
        <v>0.01</v>
      </c>
      <c r="BW102" s="933">
        <v>52</v>
      </c>
      <c r="BX102" s="933" t="s">
        <v>758</v>
      </c>
      <c r="BY102" s="933">
        <v>11</v>
      </c>
      <c r="BZ102" s="933" t="s">
        <v>758</v>
      </c>
      <c r="CA102" s="949">
        <v>0.33</v>
      </c>
      <c r="CB102" s="949">
        <v>0.41</v>
      </c>
      <c r="CC102" s="949">
        <v>0.16</v>
      </c>
      <c r="CD102" s="949">
        <v>0.08</v>
      </c>
      <c r="CE102" s="949">
        <v>0.02</v>
      </c>
      <c r="CF102" s="922">
        <v>325754001590</v>
      </c>
      <c r="CG102" s="126" t="s">
        <v>22</v>
      </c>
    </row>
    <row r="103" spans="1:85" ht="24.95" customHeight="1" x14ac:dyDescent="0.2">
      <c r="A103" s="126" t="s">
        <v>83</v>
      </c>
      <c r="B103" s="1" t="s">
        <v>121</v>
      </c>
      <c r="C103" s="2">
        <v>5</v>
      </c>
      <c r="D103" s="12">
        <v>54</v>
      </c>
      <c r="E103" s="12">
        <v>10</v>
      </c>
      <c r="F103" s="66">
        <v>0.26</v>
      </c>
      <c r="G103" s="66">
        <v>0.44</v>
      </c>
      <c r="H103" s="66">
        <v>0.21</v>
      </c>
      <c r="I103" s="66">
        <v>0.09</v>
      </c>
      <c r="J103" s="66">
        <v>0</v>
      </c>
      <c r="K103" s="12">
        <v>50</v>
      </c>
      <c r="L103" s="12">
        <v>9</v>
      </c>
      <c r="M103" s="61">
        <v>0.39</v>
      </c>
      <c r="N103" s="61">
        <v>0.4</v>
      </c>
      <c r="O103" s="61">
        <v>0.16</v>
      </c>
      <c r="P103" s="61">
        <v>0.05</v>
      </c>
      <c r="Q103" s="61">
        <v>0</v>
      </c>
      <c r="R103" s="12">
        <v>50</v>
      </c>
      <c r="S103" s="12">
        <v>9</v>
      </c>
      <c r="T103" s="63">
        <v>0.39</v>
      </c>
      <c r="U103" s="63">
        <v>0.45</v>
      </c>
      <c r="V103" s="63">
        <v>0.13</v>
      </c>
      <c r="W103" s="63">
        <v>0.03</v>
      </c>
      <c r="X103" s="63">
        <v>0</v>
      </c>
      <c r="Y103" s="12">
        <v>50</v>
      </c>
      <c r="Z103" s="12">
        <v>10</v>
      </c>
      <c r="AA103" s="63">
        <v>0.42</v>
      </c>
      <c r="AB103" s="63">
        <v>0.4</v>
      </c>
      <c r="AC103" s="63">
        <v>0.16</v>
      </c>
      <c r="AD103" s="63">
        <v>0.03</v>
      </c>
      <c r="AE103" s="63">
        <v>0</v>
      </c>
      <c r="AF103" s="25">
        <v>46</v>
      </c>
      <c r="AG103" s="25">
        <v>7</v>
      </c>
      <c r="AH103" s="61">
        <v>0.55000000000000004</v>
      </c>
      <c r="AI103" s="61">
        <v>0.39</v>
      </c>
      <c r="AJ103" s="61">
        <v>0.06</v>
      </c>
      <c r="AK103" s="61">
        <v>0</v>
      </c>
      <c r="AL103" s="61">
        <v>0</v>
      </c>
      <c r="AM103" s="246">
        <v>50</v>
      </c>
      <c r="AN103" s="246" t="s">
        <v>758</v>
      </c>
      <c r="AO103" s="246">
        <v>10</v>
      </c>
      <c r="AP103" s="246" t="s">
        <v>758</v>
      </c>
      <c r="AQ103" s="263">
        <v>0.4</v>
      </c>
      <c r="AR103" s="263">
        <v>0.39</v>
      </c>
      <c r="AS103" s="263">
        <v>0.15</v>
      </c>
      <c r="AT103" s="263">
        <v>0.05</v>
      </c>
      <c r="AU103" s="263">
        <v>0</v>
      </c>
      <c r="AV103" s="309">
        <v>51</v>
      </c>
      <c r="AW103" s="309" t="s">
        <v>758</v>
      </c>
      <c r="AX103" s="309">
        <v>11</v>
      </c>
      <c r="AY103" s="309" t="s">
        <v>758</v>
      </c>
      <c r="AZ103" s="327">
        <v>0.39</v>
      </c>
      <c r="BA103" s="327">
        <v>0.31</v>
      </c>
      <c r="BB103" s="327">
        <v>0.23</v>
      </c>
      <c r="BC103" s="327">
        <v>7.0000000000000007E-2</v>
      </c>
      <c r="BD103" s="327">
        <v>0</v>
      </c>
      <c r="BE103" s="424">
        <v>53</v>
      </c>
      <c r="BF103" s="424" t="s">
        <v>758</v>
      </c>
      <c r="BG103" s="424">
        <v>10</v>
      </c>
      <c r="BH103" s="424" t="s">
        <v>758</v>
      </c>
      <c r="BI103" s="428">
        <v>0.31</v>
      </c>
      <c r="BJ103" s="428">
        <v>0.38</v>
      </c>
      <c r="BK103" s="428">
        <v>0.21</v>
      </c>
      <c r="BL103" s="428">
        <v>0.08</v>
      </c>
      <c r="BM103" s="428">
        <v>0.02</v>
      </c>
      <c r="BN103" s="464">
        <v>54</v>
      </c>
      <c r="BO103" s="464" t="s">
        <v>758</v>
      </c>
      <c r="BP103" s="464">
        <v>11</v>
      </c>
      <c r="BQ103" s="464" t="s">
        <v>758</v>
      </c>
      <c r="BR103" s="476">
        <v>0.28999999999999998</v>
      </c>
      <c r="BS103" s="476">
        <v>0.39</v>
      </c>
      <c r="BT103" s="476">
        <v>0.23</v>
      </c>
      <c r="BU103" s="476">
        <v>7.0000000000000007E-2</v>
      </c>
      <c r="BV103" s="476">
        <v>0.02</v>
      </c>
      <c r="BW103" s="933">
        <v>54</v>
      </c>
      <c r="BX103" s="933" t="s">
        <v>758</v>
      </c>
      <c r="BY103" s="933">
        <v>9</v>
      </c>
      <c r="BZ103" s="933" t="s">
        <v>758</v>
      </c>
      <c r="CA103" s="949">
        <v>0.28000000000000003</v>
      </c>
      <c r="CB103" s="949">
        <v>0.41</v>
      </c>
      <c r="CC103" s="949">
        <v>0.23</v>
      </c>
      <c r="CD103" s="949">
        <v>0.08</v>
      </c>
      <c r="CE103" s="949">
        <v>0</v>
      </c>
      <c r="CF103" s="922">
        <v>125754002147</v>
      </c>
      <c r="CG103" s="126" t="s">
        <v>83</v>
      </c>
    </row>
    <row r="104" spans="1:85" ht="24.95" customHeight="1" x14ac:dyDescent="0.2">
      <c r="A104" s="126" t="s">
        <v>65</v>
      </c>
      <c r="B104" s="1" t="s">
        <v>121</v>
      </c>
      <c r="C104" s="2">
        <v>4</v>
      </c>
      <c r="D104" s="12">
        <v>46</v>
      </c>
      <c r="E104" s="12">
        <v>8</v>
      </c>
      <c r="F104" s="66">
        <v>0.6</v>
      </c>
      <c r="G104" s="66">
        <v>0.32</v>
      </c>
      <c r="H104" s="66">
        <v>0.08</v>
      </c>
      <c r="I104" s="66">
        <v>0</v>
      </c>
      <c r="J104" s="66">
        <v>0</v>
      </c>
      <c r="K104" s="12">
        <v>46</v>
      </c>
      <c r="L104" s="12">
        <v>9</v>
      </c>
      <c r="M104" s="61">
        <v>0.56999999999999995</v>
      </c>
      <c r="N104" s="61">
        <v>0.33</v>
      </c>
      <c r="O104" s="61">
        <v>0.08</v>
      </c>
      <c r="P104" s="61">
        <v>0</v>
      </c>
      <c r="Q104" s="61">
        <v>0.01</v>
      </c>
      <c r="R104" s="12">
        <v>47</v>
      </c>
      <c r="S104" s="12">
        <v>9</v>
      </c>
      <c r="T104" s="63">
        <v>0.56999999999999995</v>
      </c>
      <c r="U104" s="63">
        <v>0.34</v>
      </c>
      <c r="V104" s="63">
        <v>0.06</v>
      </c>
      <c r="W104" s="63">
        <v>0.03</v>
      </c>
      <c r="X104" s="63">
        <v>0</v>
      </c>
      <c r="Y104" s="12">
        <v>44</v>
      </c>
      <c r="Z104" s="12">
        <v>9</v>
      </c>
      <c r="AA104" s="63">
        <v>0.71</v>
      </c>
      <c r="AB104" s="63">
        <v>0.21</v>
      </c>
      <c r="AC104" s="63">
        <v>7.0000000000000007E-2</v>
      </c>
      <c r="AD104" s="63">
        <v>0.01</v>
      </c>
      <c r="AE104" s="63">
        <v>0</v>
      </c>
      <c r="AF104" s="25">
        <v>43</v>
      </c>
      <c r="AG104" s="25">
        <v>8</v>
      </c>
      <c r="AH104" s="61">
        <v>0.72</v>
      </c>
      <c r="AI104" s="61">
        <v>0.25</v>
      </c>
      <c r="AJ104" s="61">
        <v>0.03</v>
      </c>
      <c r="AK104" s="61">
        <v>0</v>
      </c>
      <c r="AL104" s="61">
        <v>0</v>
      </c>
      <c r="AM104" s="246">
        <v>47</v>
      </c>
      <c r="AN104" s="246" t="s">
        <v>758</v>
      </c>
      <c r="AO104" s="246">
        <v>8</v>
      </c>
      <c r="AP104" s="246" t="s">
        <v>758</v>
      </c>
      <c r="AQ104" s="263">
        <v>0.55000000000000004</v>
      </c>
      <c r="AR104" s="263">
        <v>0.36</v>
      </c>
      <c r="AS104" s="263">
        <v>7.0000000000000007E-2</v>
      </c>
      <c r="AT104" s="263">
        <v>0.02</v>
      </c>
      <c r="AU104" s="263">
        <v>0</v>
      </c>
      <c r="AV104" s="309">
        <v>46</v>
      </c>
      <c r="AW104" s="309" t="s">
        <v>758</v>
      </c>
      <c r="AX104" s="309">
        <v>9</v>
      </c>
      <c r="AY104" s="309" t="s">
        <v>758</v>
      </c>
      <c r="AZ104" s="327">
        <v>0.66</v>
      </c>
      <c r="BA104" s="327">
        <v>0.23</v>
      </c>
      <c r="BB104" s="327">
        <v>0.09</v>
      </c>
      <c r="BC104" s="327">
        <v>0.02</v>
      </c>
      <c r="BD104" s="327">
        <v>0</v>
      </c>
      <c r="BE104" s="424">
        <v>45</v>
      </c>
      <c r="BF104" s="424" t="s">
        <v>760</v>
      </c>
      <c r="BG104" s="424">
        <v>8</v>
      </c>
      <c r="BH104" s="424" t="s">
        <v>758</v>
      </c>
      <c r="BI104" s="428">
        <v>0.61</v>
      </c>
      <c r="BJ104" s="428">
        <v>0.33</v>
      </c>
      <c r="BK104" s="428">
        <v>0.04</v>
      </c>
      <c r="BL104" s="428">
        <v>0.01</v>
      </c>
      <c r="BM104" s="428">
        <v>0</v>
      </c>
      <c r="BN104" s="464">
        <v>48</v>
      </c>
      <c r="BO104" s="464" t="s">
        <v>758</v>
      </c>
      <c r="BP104" s="464">
        <v>8</v>
      </c>
      <c r="BQ104" s="464" t="s">
        <v>758</v>
      </c>
      <c r="BR104" s="476">
        <v>0.51</v>
      </c>
      <c r="BS104" s="476">
        <v>0.38</v>
      </c>
      <c r="BT104" s="476">
        <v>0.11</v>
      </c>
      <c r="BU104" s="476">
        <v>0</v>
      </c>
      <c r="BV104" s="476">
        <v>0</v>
      </c>
      <c r="BW104" s="933">
        <v>46</v>
      </c>
      <c r="BX104" s="933" t="s">
        <v>760</v>
      </c>
      <c r="BY104" s="933">
        <v>9</v>
      </c>
      <c r="BZ104" s="933" t="s">
        <v>758</v>
      </c>
      <c r="CA104" s="949">
        <v>0.6</v>
      </c>
      <c r="CB104" s="949">
        <v>0.3</v>
      </c>
      <c r="CC104" s="949">
        <v>0.09</v>
      </c>
      <c r="CD104" s="949">
        <v>0.01</v>
      </c>
      <c r="CE104" s="949">
        <v>0</v>
      </c>
      <c r="CF104" s="922">
        <v>125754002554</v>
      </c>
      <c r="CG104" s="126" t="s">
        <v>65</v>
      </c>
    </row>
    <row r="105" spans="1:85" ht="24.95" customHeight="1" x14ac:dyDescent="0.2">
      <c r="A105" s="126" t="s">
        <v>33</v>
      </c>
      <c r="B105" s="1" t="s">
        <v>121</v>
      </c>
      <c r="C105" s="2">
        <v>4</v>
      </c>
      <c r="D105" s="12">
        <v>49</v>
      </c>
      <c r="E105" s="12">
        <v>7</v>
      </c>
      <c r="F105" s="66">
        <v>0.46</v>
      </c>
      <c r="G105" s="66">
        <v>0.42</v>
      </c>
      <c r="H105" s="66">
        <v>0.12</v>
      </c>
      <c r="I105" s="66">
        <v>0</v>
      </c>
      <c r="J105" s="66">
        <v>0</v>
      </c>
      <c r="K105" s="556">
        <v>47</v>
      </c>
      <c r="L105" s="556">
        <v>9</v>
      </c>
      <c r="M105" s="557">
        <v>0.59</v>
      </c>
      <c r="N105" s="557">
        <v>0.28000000000000003</v>
      </c>
      <c r="O105" s="557">
        <v>0.14000000000000001</v>
      </c>
      <c r="P105" s="557">
        <v>0</v>
      </c>
      <c r="Q105" s="557">
        <v>0</v>
      </c>
      <c r="R105" s="556">
        <v>51</v>
      </c>
      <c r="S105" s="556">
        <v>9</v>
      </c>
      <c r="T105" s="63">
        <v>0.31</v>
      </c>
      <c r="U105" s="63">
        <v>0.48</v>
      </c>
      <c r="V105" s="63">
        <v>0.17</v>
      </c>
      <c r="W105" s="63">
        <v>0.03</v>
      </c>
      <c r="X105" s="63">
        <v>0</v>
      </c>
      <c r="Y105" s="12">
        <v>49</v>
      </c>
      <c r="Z105" s="12">
        <v>9</v>
      </c>
      <c r="AA105" s="63">
        <v>0.45</v>
      </c>
      <c r="AB105" s="63">
        <v>0.39</v>
      </c>
      <c r="AC105" s="63">
        <v>0.13</v>
      </c>
      <c r="AD105" s="63">
        <v>0.03</v>
      </c>
      <c r="AE105" s="63">
        <v>0</v>
      </c>
      <c r="AF105" s="25">
        <v>42</v>
      </c>
      <c r="AG105" s="25">
        <v>7</v>
      </c>
      <c r="AH105" s="61">
        <v>0.79</v>
      </c>
      <c r="AI105" s="61">
        <v>0.18</v>
      </c>
      <c r="AJ105" s="61">
        <v>0.03</v>
      </c>
      <c r="AK105" s="61">
        <v>0</v>
      </c>
      <c r="AL105" s="61">
        <v>0</v>
      </c>
      <c r="AM105" s="246">
        <v>46</v>
      </c>
      <c r="AN105" s="246" t="s">
        <v>758</v>
      </c>
      <c r="AO105" s="246">
        <v>8</v>
      </c>
      <c r="AP105" s="246" t="s">
        <v>758</v>
      </c>
      <c r="AQ105" s="263">
        <v>0.56000000000000005</v>
      </c>
      <c r="AR105" s="263">
        <v>0.38</v>
      </c>
      <c r="AS105" s="263">
        <v>0.06</v>
      </c>
      <c r="AT105" s="263">
        <v>0</v>
      </c>
      <c r="AU105" s="263">
        <v>0</v>
      </c>
      <c r="AV105" s="309">
        <v>48</v>
      </c>
      <c r="AW105" s="309" t="s">
        <v>758</v>
      </c>
      <c r="AX105" s="309">
        <v>9</v>
      </c>
      <c r="AY105" s="309" t="s">
        <v>758</v>
      </c>
      <c r="AZ105" s="327">
        <v>0.45</v>
      </c>
      <c r="BA105" s="327">
        <v>0.39</v>
      </c>
      <c r="BB105" s="327">
        <v>0.12</v>
      </c>
      <c r="BC105" s="327">
        <v>0.03</v>
      </c>
      <c r="BD105" s="327">
        <v>0</v>
      </c>
      <c r="BE105" s="424">
        <v>46</v>
      </c>
      <c r="BF105" s="424" t="s">
        <v>758</v>
      </c>
      <c r="BG105" s="424">
        <v>9</v>
      </c>
      <c r="BH105" s="424" t="s">
        <v>758</v>
      </c>
      <c r="BI105" s="428">
        <v>0.5</v>
      </c>
      <c r="BJ105" s="428">
        <v>0.39</v>
      </c>
      <c r="BK105" s="428">
        <v>0.11</v>
      </c>
      <c r="BL105" s="428">
        <v>0</v>
      </c>
      <c r="BM105" s="428">
        <v>0</v>
      </c>
      <c r="BN105" s="464">
        <v>49</v>
      </c>
      <c r="BO105" s="464" t="s">
        <v>758</v>
      </c>
      <c r="BP105" s="464">
        <v>10</v>
      </c>
      <c r="BQ105" s="464" t="s">
        <v>758</v>
      </c>
      <c r="BR105" s="476">
        <v>0.47</v>
      </c>
      <c r="BS105" s="476">
        <v>0.35</v>
      </c>
      <c r="BT105" s="476">
        <v>0.09</v>
      </c>
      <c r="BU105" s="476">
        <v>0.09</v>
      </c>
      <c r="BV105" s="476">
        <v>0</v>
      </c>
      <c r="BW105" s="933">
        <v>50</v>
      </c>
      <c r="BX105" s="933" t="s">
        <v>758</v>
      </c>
      <c r="BY105" s="933">
        <v>11</v>
      </c>
      <c r="BZ105" s="933" t="s">
        <v>758</v>
      </c>
      <c r="CA105" s="949">
        <v>0.45</v>
      </c>
      <c r="CB105" s="949">
        <v>0.35</v>
      </c>
      <c r="CC105" s="949">
        <v>0.1</v>
      </c>
      <c r="CD105" s="949">
        <v>0.06</v>
      </c>
      <c r="CE105" s="949">
        <v>0.03</v>
      </c>
      <c r="CF105" s="922">
        <v>125754001973</v>
      </c>
      <c r="CG105" s="126" t="s">
        <v>33</v>
      </c>
    </row>
    <row r="106" spans="1:85" ht="24.95" customHeight="1" x14ac:dyDescent="0.2">
      <c r="A106" s="126" t="s">
        <v>773</v>
      </c>
      <c r="B106" s="1" t="s">
        <v>121</v>
      </c>
      <c r="C106" s="2">
        <v>3</v>
      </c>
      <c r="D106" s="12">
        <v>52</v>
      </c>
      <c r="E106" s="12">
        <v>9</v>
      </c>
      <c r="F106" s="66">
        <v>0.36</v>
      </c>
      <c r="G106" s="66">
        <v>0.35</v>
      </c>
      <c r="H106" s="66">
        <v>0.24</v>
      </c>
      <c r="I106" s="66">
        <v>0.04</v>
      </c>
      <c r="J106" s="66">
        <v>0.01</v>
      </c>
      <c r="K106" s="556">
        <v>52</v>
      </c>
      <c r="L106" s="556">
        <v>10</v>
      </c>
      <c r="M106" s="557">
        <v>0.27</v>
      </c>
      <c r="N106" s="557">
        <v>0.44</v>
      </c>
      <c r="O106" s="557">
        <v>0.23</v>
      </c>
      <c r="P106" s="557">
        <v>0.04</v>
      </c>
      <c r="Q106" s="557">
        <v>0.01</v>
      </c>
      <c r="R106" s="556">
        <v>53</v>
      </c>
      <c r="S106" s="556">
        <v>8</v>
      </c>
      <c r="T106" s="63">
        <v>0.2</v>
      </c>
      <c r="U106" s="63">
        <v>0.53</v>
      </c>
      <c r="V106" s="63">
        <v>0.24</v>
      </c>
      <c r="W106" s="63">
        <v>0.03</v>
      </c>
      <c r="X106" s="63">
        <v>0</v>
      </c>
      <c r="Y106" s="12">
        <v>51</v>
      </c>
      <c r="Z106" s="12">
        <v>10</v>
      </c>
      <c r="AA106" s="63">
        <v>0.38</v>
      </c>
      <c r="AB106" s="63">
        <v>0.37</v>
      </c>
      <c r="AC106" s="63">
        <v>0.2</v>
      </c>
      <c r="AD106" s="63">
        <v>0.04</v>
      </c>
      <c r="AE106" s="63">
        <v>0</v>
      </c>
      <c r="AF106" s="25">
        <v>48</v>
      </c>
      <c r="AG106" s="25">
        <v>10</v>
      </c>
      <c r="AH106" s="61">
        <v>0.52</v>
      </c>
      <c r="AI106" s="61">
        <v>0.33</v>
      </c>
      <c r="AJ106" s="61">
        <v>0.1</v>
      </c>
      <c r="AK106" s="61">
        <v>0.04</v>
      </c>
      <c r="AL106" s="61">
        <v>0</v>
      </c>
      <c r="AM106" s="246">
        <v>49</v>
      </c>
      <c r="AN106" s="246" t="s">
        <v>758</v>
      </c>
      <c r="AO106" s="246">
        <v>10</v>
      </c>
      <c r="AP106" s="246" t="s">
        <v>758</v>
      </c>
      <c r="AQ106" s="263">
        <v>0.44</v>
      </c>
      <c r="AR106" s="263">
        <v>0.36</v>
      </c>
      <c r="AS106" s="263">
        <v>0.16</v>
      </c>
      <c r="AT106" s="263">
        <v>0.04</v>
      </c>
      <c r="AU106" s="263">
        <v>0</v>
      </c>
      <c r="AV106" s="309">
        <v>54</v>
      </c>
      <c r="AW106" s="309" t="s">
        <v>758</v>
      </c>
      <c r="AX106" s="309">
        <v>11</v>
      </c>
      <c r="AY106" s="309" t="s">
        <v>758</v>
      </c>
      <c r="AZ106" s="327">
        <v>0.28999999999999998</v>
      </c>
      <c r="BA106" s="327">
        <v>0.37</v>
      </c>
      <c r="BB106" s="327">
        <v>0.24</v>
      </c>
      <c r="BC106" s="327">
        <v>0.09</v>
      </c>
      <c r="BD106" s="327">
        <v>0.01</v>
      </c>
      <c r="BE106" s="424">
        <v>54</v>
      </c>
      <c r="BF106" s="424" t="s">
        <v>758</v>
      </c>
      <c r="BG106" s="424">
        <v>11</v>
      </c>
      <c r="BH106" s="424" t="s">
        <v>758</v>
      </c>
      <c r="BI106" s="428">
        <v>0.31</v>
      </c>
      <c r="BJ106" s="428">
        <v>0.38</v>
      </c>
      <c r="BK106" s="428">
        <v>0.21</v>
      </c>
      <c r="BL106" s="428">
        <v>0.09</v>
      </c>
      <c r="BM106" s="428">
        <v>0.01</v>
      </c>
      <c r="BN106" s="464">
        <v>53</v>
      </c>
      <c r="BO106" s="464" t="s">
        <v>758</v>
      </c>
      <c r="BP106" s="464">
        <v>11</v>
      </c>
      <c r="BQ106" s="464" t="s">
        <v>758</v>
      </c>
      <c r="BR106" s="476">
        <v>0.28999999999999998</v>
      </c>
      <c r="BS106" s="476">
        <v>0.41</v>
      </c>
      <c r="BT106" s="476">
        <v>0.22</v>
      </c>
      <c r="BU106" s="476">
        <v>0.06</v>
      </c>
      <c r="BV106" s="476">
        <v>0.02</v>
      </c>
      <c r="BW106" s="933">
        <v>54</v>
      </c>
      <c r="BX106" s="933" t="s">
        <v>758</v>
      </c>
      <c r="BY106" s="933">
        <v>11</v>
      </c>
      <c r="BZ106" s="933" t="s">
        <v>758</v>
      </c>
      <c r="CA106" s="949">
        <v>0.31</v>
      </c>
      <c r="CB106" s="949">
        <v>0.32</v>
      </c>
      <c r="CC106" s="949">
        <v>0.23</v>
      </c>
      <c r="CD106" s="949">
        <v>0.12</v>
      </c>
      <c r="CE106" s="949">
        <v>0.01</v>
      </c>
      <c r="CF106" s="922">
        <v>125754005600</v>
      </c>
      <c r="CG106" s="126" t="s">
        <v>773</v>
      </c>
    </row>
    <row r="107" spans="1:85" ht="24.95" customHeight="1" x14ac:dyDescent="0.2">
      <c r="A107" s="126" t="s">
        <v>78</v>
      </c>
      <c r="B107" s="1" t="s">
        <v>121</v>
      </c>
      <c r="C107" s="2">
        <v>1</v>
      </c>
      <c r="D107" s="12">
        <v>53</v>
      </c>
      <c r="E107" s="12">
        <v>8</v>
      </c>
      <c r="F107" s="66">
        <v>0.3</v>
      </c>
      <c r="G107" s="66">
        <v>0.35</v>
      </c>
      <c r="H107" s="66">
        <v>0.31</v>
      </c>
      <c r="I107" s="66">
        <v>0.04</v>
      </c>
      <c r="J107" s="66">
        <v>0</v>
      </c>
      <c r="K107" s="556">
        <v>49</v>
      </c>
      <c r="L107" s="556">
        <v>8</v>
      </c>
      <c r="M107" s="557">
        <v>0.45</v>
      </c>
      <c r="N107" s="557">
        <v>0.39</v>
      </c>
      <c r="O107" s="557">
        <v>0.15</v>
      </c>
      <c r="P107" s="557">
        <v>0</v>
      </c>
      <c r="Q107" s="557">
        <v>0</v>
      </c>
      <c r="R107" s="556">
        <v>51</v>
      </c>
      <c r="S107" s="556">
        <v>9</v>
      </c>
      <c r="T107" s="63">
        <v>0.37</v>
      </c>
      <c r="U107" s="63">
        <v>0.38</v>
      </c>
      <c r="V107" s="63">
        <v>0.23</v>
      </c>
      <c r="W107" s="63">
        <v>0.03</v>
      </c>
      <c r="X107" s="63">
        <v>0</v>
      </c>
      <c r="Y107" s="12">
        <v>50</v>
      </c>
      <c r="Z107" s="12">
        <v>10</v>
      </c>
      <c r="AA107" s="63">
        <v>0.4</v>
      </c>
      <c r="AB107" s="63">
        <v>0.36</v>
      </c>
      <c r="AC107" s="63">
        <v>0.2</v>
      </c>
      <c r="AD107" s="63">
        <v>0.03</v>
      </c>
      <c r="AE107" s="63">
        <v>0.01</v>
      </c>
      <c r="AF107" s="25">
        <v>47</v>
      </c>
      <c r="AG107" s="25">
        <v>9</v>
      </c>
      <c r="AH107" s="61">
        <v>0.56999999999999995</v>
      </c>
      <c r="AI107" s="61">
        <v>0.31</v>
      </c>
      <c r="AJ107" s="61">
        <v>0.06</v>
      </c>
      <c r="AK107" s="61">
        <v>0.05</v>
      </c>
      <c r="AL107" s="61">
        <v>0</v>
      </c>
      <c r="AM107" s="246">
        <v>50</v>
      </c>
      <c r="AN107" s="246" t="s">
        <v>758</v>
      </c>
      <c r="AO107" s="246">
        <v>10</v>
      </c>
      <c r="AP107" s="246" t="s">
        <v>758</v>
      </c>
      <c r="AQ107" s="263">
        <v>0.41</v>
      </c>
      <c r="AR107" s="263">
        <v>0.36</v>
      </c>
      <c r="AS107" s="263">
        <v>0.17</v>
      </c>
      <c r="AT107" s="263">
        <v>0.06</v>
      </c>
      <c r="AU107" s="263">
        <v>0</v>
      </c>
      <c r="AV107" s="309">
        <v>48</v>
      </c>
      <c r="AW107" s="309" t="s">
        <v>758</v>
      </c>
      <c r="AX107" s="309">
        <v>10</v>
      </c>
      <c r="AY107" s="309" t="s">
        <v>758</v>
      </c>
      <c r="AZ107" s="327">
        <v>0.52</v>
      </c>
      <c r="BA107" s="327">
        <v>0.3</v>
      </c>
      <c r="BB107" s="327">
        <v>0.14000000000000001</v>
      </c>
      <c r="BC107" s="327">
        <v>0.05</v>
      </c>
      <c r="BD107" s="327">
        <v>0</v>
      </c>
      <c r="BE107" s="424">
        <v>50</v>
      </c>
      <c r="BF107" s="424" t="s">
        <v>758</v>
      </c>
      <c r="BG107" s="424">
        <v>11</v>
      </c>
      <c r="BH107" s="424" t="s">
        <v>758</v>
      </c>
      <c r="BI107" s="428">
        <v>0.41</v>
      </c>
      <c r="BJ107" s="428">
        <v>0.39</v>
      </c>
      <c r="BK107" s="428">
        <v>0.16</v>
      </c>
      <c r="BL107" s="428">
        <v>0.04</v>
      </c>
      <c r="BM107" s="428">
        <v>0.01</v>
      </c>
      <c r="BN107" s="464">
        <v>49</v>
      </c>
      <c r="BO107" s="464" t="s">
        <v>758</v>
      </c>
      <c r="BP107" s="464">
        <v>8</v>
      </c>
      <c r="BQ107" s="464" t="s">
        <v>758</v>
      </c>
      <c r="BR107" s="476">
        <v>0.44</v>
      </c>
      <c r="BS107" s="476">
        <v>0.44</v>
      </c>
      <c r="BT107" s="476">
        <v>0.09</v>
      </c>
      <c r="BU107" s="476">
        <v>0.03</v>
      </c>
      <c r="BV107" s="476">
        <v>0</v>
      </c>
      <c r="BW107" s="933">
        <v>49</v>
      </c>
      <c r="BX107" s="933" t="s">
        <v>758</v>
      </c>
      <c r="BY107" s="933">
        <v>8</v>
      </c>
      <c r="BZ107" s="933" t="s">
        <v>758</v>
      </c>
      <c r="CA107" s="949">
        <v>0.44</v>
      </c>
      <c r="CB107" s="949">
        <v>0.42</v>
      </c>
      <c r="CC107" s="949">
        <v>0.13</v>
      </c>
      <c r="CD107" s="949">
        <v>0.01</v>
      </c>
      <c r="CE107" s="949">
        <v>0</v>
      </c>
      <c r="CF107" s="922">
        <v>125754001418</v>
      </c>
      <c r="CG107" s="126" t="s">
        <v>78</v>
      </c>
    </row>
    <row r="108" spans="1:85" ht="24.95" customHeight="1" x14ac:dyDescent="0.2">
      <c r="A108" s="36" t="s">
        <v>177</v>
      </c>
      <c r="B108" s="14" t="s">
        <v>121</v>
      </c>
      <c r="C108" s="2">
        <v>3</v>
      </c>
      <c r="D108" s="12">
        <v>52</v>
      </c>
      <c r="E108" s="12">
        <v>9</v>
      </c>
      <c r="F108" s="66">
        <v>0.32</v>
      </c>
      <c r="G108" s="66">
        <v>0.42</v>
      </c>
      <c r="H108" s="66">
        <v>0.19</v>
      </c>
      <c r="I108" s="66">
        <v>0.05</v>
      </c>
      <c r="J108" s="66">
        <v>0.01</v>
      </c>
      <c r="K108" s="556">
        <v>51</v>
      </c>
      <c r="L108" s="556">
        <v>9</v>
      </c>
      <c r="M108" s="557">
        <v>0.39</v>
      </c>
      <c r="N108" s="557">
        <v>0.4</v>
      </c>
      <c r="O108" s="557">
        <v>0.17</v>
      </c>
      <c r="P108" s="557">
        <v>0.04</v>
      </c>
      <c r="Q108" s="557">
        <v>0.01</v>
      </c>
      <c r="R108" s="556">
        <v>52</v>
      </c>
      <c r="S108" s="556">
        <v>10</v>
      </c>
      <c r="T108" s="63">
        <v>0.33</v>
      </c>
      <c r="U108" s="63">
        <v>0.38</v>
      </c>
      <c r="V108" s="63">
        <v>0.24</v>
      </c>
      <c r="W108" s="63">
        <v>0.05</v>
      </c>
      <c r="X108" s="63">
        <v>0</v>
      </c>
      <c r="Y108" s="12">
        <v>49</v>
      </c>
      <c r="Z108" s="12">
        <v>10</v>
      </c>
      <c r="AA108" s="63">
        <v>0.44</v>
      </c>
      <c r="AB108" s="63">
        <v>0.36</v>
      </c>
      <c r="AC108" s="63">
        <v>0.16</v>
      </c>
      <c r="AD108" s="63">
        <v>0.04</v>
      </c>
      <c r="AE108" s="63">
        <v>0</v>
      </c>
      <c r="AF108" s="25">
        <v>48</v>
      </c>
      <c r="AG108" s="25">
        <v>9</v>
      </c>
      <c r="AH108" s="61">
        <v>0.48</v>
      </c>
      <c r="AI108" s="61">
        <v>0.39</v>
      </c>
      <c r="AJ108" s="61">
        <v>0.09</v>
      </c>
      <c r="AK108" s="61">
        <v>0.03</v>
      </c>
      <c r="AL108" s="61">
        <v>0.01</v>
      </c>
      <c r="AM108" s="246">
        <v>51</v>
      </c>
      <c r="AN108" s="246" t="s">
        <v>758</v>
      </c>
      <c r="AO108" s="246">
        <v>10</v>
      </c>
      <c r="AP108" s="246" t="s">
        <v>758</v>
      </c>
      <c r="AQ108" s="263">
        <v>0.34</v>
      </c>
      <c r="AR108" s="263">
        <v>0.37</v>
      </c>
      <c r="AS108" s="263">
        <v>0.23</v>
      </c>
      <c r="AT108" s="263">
        <v>0.05</v>
      </c>
      <c r="AU108" s="263">
        <v>0</v>
      </c>
      <c r="AV108" s="309">
        <v>52</v>
      </c>
      <c r="AW108" s="309" t="s">
        <v>758</v>
      </c>
      <c r="AX108" s="309">
        <v>11</v>
      </c>
      <c r="AY108" s="309" t="s">
        <v>758</v>
      </c>
      <c r="AZ108" s="327">
        <v>0.33</v>
      </c>
      <c r="BA108" s="327">
        <v>0.37</v>
      </c>
      <c r="BB108" s="327">
        <v>0.22</v>
      </c>
      <c r="BC108" s="327">
        <v>0.08</v>
      </c>
      <c r="BD108" s="327">
        <v>0.01</v>
      </c>
      <c r="BE108" s="424">
        <v>52</v>
      </c>
      <c r="BF108" s="424" t="s">
        <v>758</v>
      </c>
      <c r="BG108" s="424">
        <v>10</v>
      </c>
      <c r="BH108" s="424" t="s">
        <v>758</v>
      </c>
      <c r="BI108" s="428">
        <v>0.33</v>
      </c>
      <c r="BJ108" s="428">
        <v>0.38</v>
      </c>
      <c r="BK108" s="428">
        <v>0.21</v>
      </c>
      <c r="BL108" s="428">
        <v>7.0000000000000007E-2</v>
      </c>
      <c r="BM108" s="428">
        <v>0</v>
      </c>
      <c r="BN108" s="464">
        <v>53</v>
      </c>
      <c r="BO108" s="464" t="s">
        <v>758</v>
      </c>
      <c r="BP108" s="464">
        <v>11</v>
      </c>
      <c r="BQ108" s="464" t="s">
        <v>758</v>
      </c>
      <c r="BR108" s="476">
        <v>0.35</v>
      </c>
      <c r="BS108" s="476">
        <v>0.33</v>
      </c>
      <c r="BT108" s="476">
        <v>0.21</v>
      </c>
      <c r="BU108" s="476">
        <v>0.08</v>
      </c>
      <c r="BV108" s="476">
        <v>0.02</v>
      </c>
      <c r="BW108" s="933">
        <v>54</v>
      </c>
      <c r="BX108" s="933" t="s">
        <v>758</v>
      </c>
      <c r="BY108" s="933">
        <v>9</v>
      </c>
      <c r="BZ108" s="933" t="s">
        <v>758</v>
      </c>
      <c r="CA108" s="949">
        <v>0.21</v>
      </c>
      <c r="CB108" s="949">
        <v>0.47</v>
      </c>
      <c r="CC108" s="949">
        <v>0.23</v>
      </c>
      <c r="CD108" s="949">
        <v>0.09</v>
      </c>
      <c r="CE108" s="949">
        <v>0</v>
      </c>
      <c r="CF108" s="922">
        <v>125754005464</v>
      </c>
      <c r="CG108" s="36" t="s">
        <v>177</v>
      </c>
    </row>
    <row r="109" spans="1:85" ht="24.95" customHeight="1" x14ac:dyDescent="0.2">
      <c r="A109" s="126" t="s">
        <v>61</v>
      </c>
      <c r="B109" s="1" t="s">
        <v>121</v>
      </c>
      <c r="C109" s="2">
        <v>4</v>
      </c>
      <c r="D109" s="12">
        <v>49</v>
      </c>
      <c r="E109" s="12">
        <v>9</v>
      </c>
      <c r="F109" s="66">
        <v>0.45</v>
      </c>
      <c r="G109" s="66">
        <v>0.42</v>
      </c>
      <c r="H109" s="66">
        <v>0.1</v>
      </c>
      <c r="I109" s="66">
        <v>0.02</v>
      </c>
      <c r="J109" s="66">
        <v>0</v>
      </c>
      <c r="K109" s="556">
        <v>46</v>
      </c>
      <c r="L109" s="556">
        <v>7</v>
      </c>
      <c r="M109" s="557">
        <v>0.63</v>
      </c>
      <c r="N109" s="557">
        <v>0.3</v>
      </c>
      <c r="O109" s="557">
        <v>7.0000000000000007E-2</v>
      </c>
      <c r="P109" s="557">
        <v>0</v>
      </c>
      <c r="Q109" s="557">
        <v>0</v>
      </c>
      <c r="R109" s="556">
        <v>46</v>
      </c>
      <c r="S109" s="556">
        <v>8</v>
      </c>
      <c r="T109" s="63">
        <v>0.52</v>
      </c>
      <c r="U109" s="63">
        <v>0.41</v>
      </c>
      <c r="V109" s="63">
        <v>7.0000000000000007E-2</v>
      </c>
      <c r="W109" s="63">
        <v>0.01</v>
      </c>
      <c r="X109" s="63">
        <v>0</v>
      </c>
      <c r="Y109" s="12">
        <v>44</v>
      </c>
      <c r="Z109" s="12">
        <v>9</v>
      </c>
      <c r="AA109" s="63">
        <v>0.57999999999999996</v>
      </c>
      <c r="AB109" s="63">
        <v>0.36</v>
      </c>
      <c r="AC109" s="63">
        <v>0.06</v>
      </c>
      <c r="AD109" s="63">
        <v>0.01</v>
      </c>
      <c r="AE109" s="63">
        <v>0</v>
      </c>
      <c r="AF109" s="25">
        <v>44</v>
      </c>
      <c r="AG109" s="25">
        <v>8</v>
      </c>
      <c r="AH109" s="61">
        <v>0.73</v>
      </c>
      <c r="AI109" s="61">
        <v>0.21</v>
      </c>
      <c r="AJ109" s="61">
        <v>0.04</v>
      </c>
      <c r="AK109" s="61">
        <v>0.02</v>
      </c>
      <c r="AL109" s="61">
        <v>0</v>
      </c>
      <c r="AM109" s="246">
        <v>44</v>
      </c>
      <c r="AN109" s="246" t="s">
        <v>760</v>
      </c>
      <c r="AO109" s="246">
        <v>9</v>
      </c>
      <c r="AP109" s="246" t="s">
        <v>758</v>
      </c>
      <c r="AQ109" s="263">
        <v>0.64</v>
      </c>
      <c r="AR109" s="263">
        <v>0.3</v>
      </c>
      <c r="AS109" s="263">
        <v>0.05</v>
      </c>
      <c r="AT109" s="263">
        <v>0.02</v>
      </c>
      <c r="AU109" s="263">
        <v>0</v>
      </c>
      <c r="AV109" s="309">
        <v>46</v>
      </c>
      <c r="AW109" s="309" t="s">
        <v>758</v>
      </c>
      <c r="AX109" s="309">
        <v>9</v>
      </c>
      <c r="AY109" s="309" t="s">
        <v>758</v>
      </c>
      <c r="AZ109" s="327">
        <v>0.55000000000000004</v>
      </c>
      <c r="BA109" s="327">
        <v>0.34</v>
      </c>
      <c r="BB109" s="327">
        <v>0.1</v>
      </c>
      <c r="BC109" s="327">
        <v>0.01</v>
      </c>
      <c r="BD109" s="327">
        <v>0</v>
      </c>
      <c r="BE109" s="424">
        <v>46</v>
      </c>
      <c r="BF109" s="424" t="s">
        <v>758</v>
      </c>
      <c r="BG109" s="424">
        <v>10</v>
      </c>
      <c r="BH109" s="424" t="s">
        <v>758</v>
      </c>
      <c r="BI109" s="428">
        <v>0.64</v>
      </c>
      <c r="BJ109" s="428">
        <v>0.23</v>
      </c>
      <c r="BK109" s="428">
        <v>0.11</v>
      </c>
      <c r="BL109" s="428">
        <v>0.02</v>
      </c>
      <c r="BM109" s="428">
        <v>0</v>
      </c>
      <c r="BN109" s="464">
        <v>45</v>
      </c>
      <c r="BO109" s="464" t="s">
        <v>760</v>
      </c>
      <c r="BP109" s="464">
        <v>10</v>
      </c>
      <c r="BQ109" s="464" t="s">
        <v>758</v>
      </c>
      <c r="BR109" s="476">
        <v>0.65</v>
      </c>
      <c r="BS109" s="476">
        <v>0.21</v>
      </c>
      <c r="BT109" s="476">
        <v>0.1</v>
      </c>
      <c r="BU109" s="476">
        <v>0.03</v>
      </c>
      <c r="BV109" s="476">
        <v>0</v>
      </c>
      <c r="BW109" s="933">
        <v>48</v>
      </c>
      <c r="BX109" s="933" t="s">
        <v>758</v>
      </c>
      <c r="BY109" s="933">
        <v>10</v>
      </c>
      <c r="BZ109" s="933" t="s">
        <v>758</v>
      </c>
      <c r="CA109" s="949">
        <v>0.54</v>
      </c>
      <c r="CB109" s="949">
        <v>0.34</v>
      </c>
      <c r="CC109" s="949">
        <v>0.08</v>
      </c>
      <c r="CD109" s="949">
        <v>0.02</v>
      </c>
      <c r="CE109" s="949">
        <v>0.02</v>
      </c>
      <c r="CF109" s="922">
        <v>125754001957</v>
      </c>
      <c r="CG109" s="126" t="s">
        <v>61</v>
      </c>
    </row>
    <row r="110" spans="1:85" ht="24.95" customHeight="1" x14ac:dyDescent="0.2">
      <c r="A110" s="126" t="s">
        <v>52</v>
      </c>
      <c r="B110" s="1" t="s">
        <v>121</v>
      </c>
      <c r="C110" s="2">
        <v>1</v>
      </c>
      <c r="D110" s="12">
        <v>51</v>
      </c>
      <c r="E110" s="12">
        <v>9</v>
      </c>
      <c r="F110" s="66">
        <v>0.39</v>
      </c>
      <c r="G110" s="66">
        <v>0.4</v>
      </c>
      <c r="H110" s="66">
        <v>0.17</v>
      </c>
      <c r="I110" s="66">
        <v>0.04</v>
      </c>
      <c r="J110" s="66">
        <v>0</v>
      </c>
      <c r="K110" s="556">
        <v>47</v>
      </c>
      <c r="L110" s="556">
        <v>8</v>
      </c>
      <c r="M110" s="557">
        <v>0.55000000000000004</v>
      </c>
      <c r="N110" s="557">
        <v>0.33</v>
      </c>
      <c r="O110" s="557">
        <v>0.1</v>
      </c>
      <c r="P110" s="557">
        <v>0.02</v>
      </c>
      <c r="Q110" s="557">
        <v>0</v>
      </c>
      <c r="R110" s="556">
        <v>50</v>
      </c>
      <c r="S110" s="556">
        <v>8</v>
      </c>
      <c r="T110" s="63">
        <v>0.39</v>
      </c>
      <c r="U110" s="63">
        <v>0.42</v>
      </c>
      <c r="V110" s="63">
        <v>0.15</v>
      </c>
      <c r="W110" s="63">
        <v>0.03</v>
      </c>
      <c r="X110" s="63">
        <v>0</v>
      </c>
      <c r="Y110" s="12">
        <v>49</v>
      </c>
      <c r="Z110" s="12">
        <v>10</v>
      </c>
      <c r="AA110" s="63">
        <v>0.47</v>
      </c>
      <c r="AB110" s="63">
        <v>0.37</v>
      </c>
      <c r="AC110" s="63">
        <v>0.11</v>
      </c>
      <c r="AD110" s="63">
        <v>0.04</v>
      </c>
      <c r="AE110" s="63">
        <v>0.01</v>
      </c>
      <c r="AF110" s="25">
        <v>44</v>
      </c>
      <c r="AG110" s="25">
        <v>8</v>
      </c>
      <c r="AH110" s="61">
        <v>0.68</v>
      </c>
      <c r="AI110" s="61">
        <v>0.28000000000000003</v>
      </c>
      <c r="AJ110" s="61">
        <v>0.04</v>
      </c>
      <c r="AK110" s="61">
        <v>0.01</v>
      </c>
      <c r="AL110" s="61">
        <v>0</v>
      </c>
      <c r="AM110" s="246">
        <v>48</v>
      </c>
      <c r="AN110" s="246" t="s">
        <v>758</v>
      </c>
      <c r="AO110" s="246">
        <v>10</v>
      </c>
      <c r="AP110" s="246" t="s">
        <v>758</v>
      </c>
      <c r="AQ110" s="263">
        <v>0.47</v>
      </c>
      <c r="AR110" s="263">
        <v>0.37</v>
      </c>
      <c r="AS110" s="263">
        <v>0.13</v>
      </c>
      <c r="AT110" s="263">
        <v>0.03</v>
      </c>
      <c r="AU110" s="263">
        <v>0</v>
      </c>
      <c r="AV110" s="309">
        <v>51</v>
      </c>
      <c r="AW110" s="309" t="s">
        <v>758</v>
      </c>
      <c r="AX110" s="309">
        <v>10</v>
      </c>
      <c r="AY110" s="309" t="s">
        <v>758</v>
      </c>
      <c r="AZ110" s="327">
        <v>0.39</v>
      </c>
      <c r="BA110" s="327">
        <v>0.37</v>
      </c>
      <c r="BB110" s="327">
        <v>0.21</v>
      </c>
      <c r="BC110" s="327">
        <v>0.03</v>
      </c>
      <c r="BD110" s="327">
        <v>0</v>
      </c>
      <c r="BE110" s="424">
        <v>50</v>
      </c>
      <c r="BF110" s="424" t="s">
        <v>758</v>
      </c>
      <c r="BG110" s="424">
        <v>10</v>
      </c>
      <c r="BH110" s="424" t="s">
        <v>758</v>
      </c>
      <c r="BI110" s="428">
        <v>0.41</v>
      </c>
      <c r="BJ110" s="428">
        <v>0.41</v>
      </c>
      <c r="BK110" s="428">
        <v>0.13</v>
      </c>
      <c r="BL110" s="428">
        <v>0.03</v>
      </c>
      <c r="BM110" s="428">
        <v>0.02</v>
      </c>
      <c r="BN110" s="464">
        <v>52</v>
      </c>
      <c r="BO110" s="464" t="s">
        <v>758</v>
      </c>
      <c r="BP110" s="464">
        <v>10</v>
      </c>
      <c r="BQ110" s="464" t="s">
        <v>758</v>
      </c>
      <c r="BR110" s="476">
        <v>0.37</v>
      </c>
      <c r="BS110" s="476">
        <v>0.36</v>
      </c>
      <c r="BT110" s="476">
        <v>0.19</v>
      </c>
      <c r="BU110" s="476">
        <v>7.0000000000000007E-2</v>
      </c>
      <c r="BV110" s="476">
        <v>0.01</v>
      </c>
      <c r="BW110" s="933">
        <v>52</v>
      </c>
      <c r="BX110" s="933" t="s">
        <v>758</v>
      </c>
      <c r="BY110" s="933">
        <v>10</v>
      </c>
      <c r="BZ110" s="933" t="s">
        <v>758</v>
      </c>
      <c r="CA110" s="949">
        <v>0.31</v>
      </c>
      <c r="CB110" s="949">
        <v>0.42</v>
      </c>
      <c r="CC110" s="949">
        <v>0.21</v>
      </c>
      <c r="CD110" s="949">
        <v>0.06</v>
      </c>
      <c r="CE110" s="949">
        <v>0</v>
      </c>
      <c r="CF110" s="922">
        <v>125754003267</v>
      </c>
      <c r="CG110" s="126" t="s">
        <v>52</v>
      </c>
    </row>
    <row r="111" spans="1:85" ht="24.95" customHeight="1" x14ac:dyDescent="0.2">
      <c r="A111" s="126" t="s">
        <v>32</v>
      </c>
      <c r="B111" s="1" t="s">
        <v>123</v>
      </c>
      <c r="C111" s="2">
        <v>5</v>
      </c>
      <c r="D111" s="12">
        <v>58</v>
      </c>
      <c r="E111" s="12">
        <v>9</v>
      </c>
      <c r="F111" s="66">
        <v>0.11</v>
      </c>
      <c r="G111" s="66">
        <v>0.44</v>
      </c>
      <c r="H111" s="66">
        <v>0.28000000000000003</v>
      </c>
      <c r="I111" s="66">
        <v>0.17</v>
      </c>
      <c r="J111" s="66">
        <v>0</v>
      </c>
      <c r="K111" s="12">
        <v>51</v>
      </c>
      <c r="L111" s="12">
        <v>8</v>
      </c>
      <c r="M111" s="61">
        <v>0.32</v>
      </c>
      <c r="N111" s="61">
        <v>0.46</v>
      </c>
      <c r="O111" s="61">
        <v>0.17</v>
      </c>
      <c r="P111" s="61">
        <v>0.05</v>
      </c>
      <c r="Q111" s="61">
        <v>0</v>
      </c>
      <c r="R111" s="12">
        <v>54</v>
      </c>
      <c r="S111" s="12">
        <v>11</v>
      </c>
      <c r="T111" s="63">
        <v>0.24</v>
      </c>
      <c r="U111" s="63">
        <v>0.38</v>
      </c>
      <c r="V111" s="63">
        <v>0.24</v>
      </c>
      <c r="W111" s="63">
        <v>0.14000000000000001</v>
      </c>
      <c r="X111" s="63">
        <v>0</v>
      </c>
      <c r="Y111" s="12">
        <v>55</v>
      </c>
      <c r="Z111" s="12">
        <v>8</v>
      </c>
      <c r="AA111" s="63">
        <v>0.17</v>
      </c>
      <c r="AB111" s="63">
        <v>0.4</v>
      </c>
      <c r="AC111" s="63">
        <v>0.37</v>
      </c>
      <c r="AD111" s="63">
        <v>0.06</v>
      </c>
      <c r="AE111" s="63">
        <v>0</v>
      </c>
      <c r="AF111" s="25">
        <v>52</v>
      </c>
      <c r="AG111" s="25">
        <v>10</v>
      </c>
      <c r="AH111" s="61">
        <v>0.33</v>
      </c>
      <c r="AI111" s="61">
        <v>0.41</v>
      </c>
      <c r="AJ111" s="61">
        <v>0.22</v>
      </c>
      <c r="AK111" s="61">
        <v>0.04</v>
      </c>
      <c r="AL111" s="61">
        <v>0</v>
      </c>
      <c r="AM111" s="246">
        <v>58</v>
      </c>
      <c r="AN111" s="246" t="s">
        <v>758</v>
      </c>
      <c r="AO111" s="246">
        <v>9</v>
      </c>
      <c r="AP111" s="246" t="s">
        <v>758</v>
      </c>
      <c r="AQ111" s="263">
        <v>0.11</v>
      </c>
      <c r="AR111" s="263">
        <v>0.44</v>
      </c>
      <c r="AS111" s="263">
        <v>0.22</v>
      </c>
      <c r="AT111" s="263">
        <v>0.22</v>
      </c>
      <c r="AU111" s="263">
        <v>0</v>
      </c>
      <c r="AV111" s="649"/>
      <c r="AW111" s="649"/>
      <c r="AX111" s="649"/>
      <c r="AY111" s="649"/>
      <c r="AZ111" s="649"/>
      <c r="BA111" s="649"/>
      <c r="BB111" s="649"/>
      <c r="BC111" s="649"/>
      <c r="BD111" s="649"/>
      <c r="BE111" s="651"/>
      <c r="BF111" s="651"/>
      <c r="BG111" s="651"/>
      <c r="BH111" s="651"/>
      <c r="BI111" s="651"/>
      <c r="BJ111" s="651"/>
      <c r="BK111" s="651"/>
      <c r="BL111" s="651"/>
      <c r="BM111" s="651"/>
      <c r="BN111" s="650"/>
      <c r="BO111" s="650"/>
      <c r="BP111" s="650"/>
      <c r="BQ111" s="650"/>
      <c r="BR111" s="650"/>
      <c r="BS111" s="650"/>
      <c r="BT111" s="650"/>
      <c r="BU111" s="650"/>
      <c r="BV111" s="650"/>
      <c r="BW111" s="933"/>
      <c r="BX111" s="933"/>
      <c r="BY111" s="933"/>
      <c r="BZ111" s="933"/>
      <c r="CA111" s="949"/>
      <c r="CB111" s="949"/>
      <c r="CC111" s="949"/>
      <c r="CD111" s="949"/>
      <c r="CE111" s="949"/>
      <c r="CG111" s="126" t="s">
        <v>32</v>
      </c>
    </row>
    <row r="112" spans="1:85" ht="24.95" customHeight="1" x14ac:dyDescent="0.2">
      <c r="A112" s="126" t="s">
        <v>39</v>
      </c>
      <c r="B112" s="1" t="s">
        <v>121</v>
      </c>
      <c r="C112" s="2">
        <v>6</v>
      </c>
      <c r="D112" s="12">
        <v>53</v>
      </c>
      <c r="E112" s="12">
        <v>8</v>
      </c>
      <c r="F112" s="66">
        <v>0.22</v>
      </c>
      <c r="G112" s="66">
        <v>0.52</v>
      </c>
      <c r="H112" s="66">
        <v>0.22</v>
      </c>
      <c r="I112" s="66">
        <v>0.05</v>
      </c>
      <c r="J112" s="66">
        <v>0</v>
      </c>
      <c r="K112" s="12">
        <v>49</v>
      </c>
      <c r="L112" s="12">
        <v>9</v>
      </c>
      <c r="M112" s="61">
        <v>0.43</v>
      </c>
      <c r="N112" s="61">
        <v>0.39</v>
      </c>
      <c r="O112" s="61">
        <v>0.16</v>
      </c>
      <c r="P112" s="61">
        <v>0.01</v>
      </c>
      <c r="Q112" s="61">
        <v>0.01</v>
      </c>
      <c r="R112" s="12">
        <v>49</v>
      </c>
      <c r="S112" s="12">
        <v>7</v>
      </c>
      <c r="T112" s="63">
        <v>0.41</v>
      </c>
      <c r="U112" s="63">
        <v>0.47</v>
      </c>
      <c r="V112" s="63">
        <v>0.11</v>
      </c>
      <c r="W112" s="63">
        <v>0.01</v>
      </c>
      <c r="X112" s="63">
        <v>0</v>
      </c>
      <c r="Y112" s="12">
        <v>49</v>
      </c>
      <c r="Z112" s="12">
        <v>10</v>
      </c>
      <c r="AA112" s="63">
        <v>0.46</v>
      </c>
      <c r="AB112" s="63">
        <v>0.34</v>
      </c>
      <c r="AC112" s="63">
        <v>0.18</v>
      </c>
      <c r="AD112" s="63">
        <v>0.02</v>
      </c>
      <c r="AE112" s="63">
        <v>0</v>
      </c>
      <c r="AF112" s="25">
        <v>47</v>
      </c>
      <c r="AG112" s="25">
        <v>7</v>
      </c>
      <c r="AH112" s="61">
        <v>0.57999999999999996</v>
      </c>
      <c r="AI112" s="61">
        <v>0.36</v>
      </c>
      <c r="AJ112" s="61">
        <v>0.05</v>
      </c>
      <c r="AK112" s="61">
        <v>0.01</v>
      </c>
      <c r="AL112" s="61">
        <v>0</v>
      </c>
      <c r="AM112" s="246">
        <v>50</v>
      </c>
      <c r="AN112" s="246" t="s">
        <v>758</v>
      </c>
      <c r="AO112" s="246">
        <v>11</v>
      </c>
      <c r="AP112" s="246" t="s">
        <v>758</v>
      </c>
      <c r="AQ112" s="263">
        <v>0.38</v>
      </c>
      <c r="AR112" s="263">
        <v>0.44</v>
      </c>
      <c r="AS112" s="263">
        <v>0.11</v>
      </c>
      <c r="AT112" s="263">
        <v>7.0000000000000007E-2</v>
      </c>
      <c r="AU112" s="263">
        <v>0</v>
      </c>
      <c r="AV112" s="74">
        <v>52</v>
      </c>
      <c r="AW112" s="74" t="s">
        <v>758</v>
      </c>
      <c r="AX112" s="74">
        <v>10</v>
      </c>
      <c r="AY112" s="74" t="s">
        <v>758</v>
      </c>
      <c r="AZ112" s="96">
        <v>0.32</v>
      </c>
      <c r="BA112" s="96">
        <v>0.38</v>
      </c>
      <c r="BB112" s="96">
        <v>0.23</v>
      </c>
      <c r="BC112" s="96">
        <v>7.0000000000000007E-2</v>
      </c>
      <c r="BD112" s="96">
        <v>0</v>
      </c>
      <c r="BE112" s="652">
        <v>50</v>
      </c>
      <c r="BF112" s="652" t="s">
        <v>758</v>
      </c>
      <c r="BG112" s="652">
        <v>7</v>
      </c>
      <c r="BH112" s="652" t="s">
        <v>760</v>
      </c>
      <c r="BI112" s="653">
        <v>0.36</v>
      </c>
      <c r="BJ112" s="653">
        <v>0.5</v>
      </c>
      <c r="BK112" s="653">
        <v>0.1</v>
      </c>
      <c r="BL112" s="653">
        <v>0.03</v>
      </c>
      <c r="BM112" s="653">
        <v>0</v>
      </c>
      <c r="BN112" s="74">
        <v>53</v>
      </c>
      <c r="BO112" s="74" t="s">
        <v>758</v>
      </c>
      <c r="BP112" s="74">
        <v>10</v>
      </c>
      <c r="BQ112" s="74" t="s">
        <v>758</v>
      </c>
      <c r="BR112" s="96">
        <v>0.3</v>
      </c>
      <c r="BS112" s="96">
        <v>0.37</v>
      </c>
      <c r="BT112" s="96">
        <v>0.25</v>
      </c>
      <c r="BU112" s="96">
        <v>7.0000000000000007E-2</v>
      </c>
      <c r="BV112" s="96">
        <v>0.01</v>
      </c>
      <c r="BW112" s="933">
        <v>52</v>
      </c>
      <c r="BX112" s="933" t="s">
        <v>758</v>
      </c>
      <c r="BY112" s="933">
        <v>10</v>
      </c>
      <c r="BZ112" s="933" t="s">
        <v>758</v>
      </c>
      <c r="CA112" s="949">
        <v>0.34</v>
      </c>
      <c r="CB112" s="949">
        <v>0.4</v>
      </c>
      <c r="CC112" s="949">
        <v>0.19</v>
      </c>
      <c r="CD112" s="949">
        <v>0.06</v>
      </c>
      <c r="CE112" s="949">
        <v>0</v>
      </c>
      <c r="CF112" s="922">
        <v>125754001183</v>
      </c>
      <c r="CG112" s="126" t="s">
        <v>39</v>
      </c>
    </row>
    <row r="113" spans="1:85" ht="24.95" customHeight="1" x14ac:dyDescent="0.2">
      <c r="A113" s="126" t="s">
        <v>19</v>
      </c>
      <c r="B113" s="1" t="s">
        <v>121</v>
      </c>
      <c r="C113" s="2">
        <v>5</v>
      </c>
      <c r="D113" s="12">
        <v>52</v>
      </c>
      <c r="E113" s="12">
        <v>8</v>
      </c>
      <c r="F113" s="66">
        <v>0.27</v>
      </c>
      <c r="G113" s="66">
        <v>0.52</v>
      </c>
      <c r="H113" s="66">
        <v>0.17</v>
      </c>
      <c r="I113" s="66">
        <v>0.03</v>
      </c>
      <c r="J113" s="66">
        <v>0.01</v>
      </c>
      <c r="K113" s="12">
        <v>50</v>
      </c>
      <c r="L113" s="12">
        <v>9</v>
      </c>
      <c r="M113" s="61">
        <v>0.38</v>
      </c>
      <c r="N113" s="61">
        <v>0.38</v>
      </c>
      <c r="O113" s="61">
        <v>0.22</v>
      </c>
      <c r="P113" s="61">
        <v>0.02</v>
      </c>
      <c r="Q113" s="61">
        <v>0</v>
      </c>
      <c r="R113" s="12">
        <v>50</v>
      </c>
      <c r="S113" s="12">
        <v>9</v>
      </c>
      <c r="T113" s="63">
        <v>0.39</v>
      </c>
      <c r="U113" s="63">
        <v>0.42</v>
      </c>
      <c r="V113" s="63">
        <v>0.16</v>
      </c>
      <c r="W113" s="63">
        <v>0.02</v>
      </c>
      <c r="X113" s="63">
        <v>0.01</v>
      </c>
      <c r="Y113" s="12">
        <v>50</v>
      </c>
      <c r="Z113" s="12">
        <v>10</v>
      </c>
      <c r="AA113" s="63">
        <v>0.42</v>
      </c>
      <c r="AB113" s="63">
        <v>0.37</v>
      </c>
      <c r="AC113" s="63">
        <v>0.17</v>
      </c>
      <c r="AD113" s="63">
        <v>0.04</v>
      </c>
      <c r="AE113" s="63">
        <v>0.01</v>
      </c>
      <c r="AF113" s="25">
        <v>47</v>
      </c>
      <c r="AG113" s="25">
        <v>9</v>
      </c>
      <c r="AH113" s="61">
        <v>0.55000000000000004</v>
      </c>
      <c r="AI113" s="61">
        <v>0.33</v>
      </c>
      <c r="AJ113" s="61">
        <v>0.09</v>
      </c>
      <c r="AK113" s="61">
        <v>0.03</v>
      </c>
      <c r="AL113" s="61">
        <v>0</v>
      </c>
      <c r="AM113" s="246">
        <v>49</v>
      </c>
      <c r="AN113" s="246" t="s">
        <v>758</v>
      </c>
      <c r="AO113" s="246">
        <v>10</v>
      </c>
      <c r="AP113" s="246" t="s">
        <v>758</v>
      </c>
      <c r="AQ113" s="263">
        <v>0.42</v>
      </c>
      <c r="AR113" s="263">
        <v>0.4</v>
      </c>
      <c r="AS113" s="263">
        <v>0.14000000000000001</v>
      </c>
      <c r="AT113" s="263">
        <v>0.04</v>
      </c>
      <c r="AU113" s="263">
        <v>0</v>
      </c>
      <c r="AV113" s="309">
        <v>53</v>
      </c>
      <c r="AW113" s="309" t="s">
        <v>758</v>
      </c>
      <c r="AX113" s="309">
        <v>11</v>
      </c>
      <c r="AY113" s="309" t="s">
        <v>758</v>
      </c>
      <c r="AZ113" s="327">
        <v>0.31</v>
      </c>
      <c r="BA113" s="327">
        <v>0.37</v>
      </c>
      <c r="BB113" s="327">
        <v>0.24</v>
      </c>
      <c r="BC113" s="327">
        <v>7.0000000000000007E-2</v>
      </c>
      <c r="BD113" s="327">
        <v>0.01</v>
      </c>
      <c r="BE113" s="424">
        <v>51</v>
      </c>
      <c r="BF113" s="424" t="s">
        <v>758</v>
      </c>
      <c r="BG113" s="424">
        <v>10</v>
      </c>
      <c r="BH113" s="424" t="s">
        <v>758</v>
      </c>
      <c r="BI113" s="428">
        <v>0.4</v>
      </c>
      <c r="BJ113" s="428">
        <v>0.43</v>
      </c>
      <c r="BK113" s="428">
        <v>0.1</v>
      </c>
      <c r="BL113" s="428">
        <v>0.05</v>
      </c>
      <c r="BM113" s="428">
        <v>0.01</v>
      </c>
      <c r="BN113" s="464">
        <v>52</v>
      </c>
      <c r="BO113" s="464" t="s">
        <v>758</v>
      </c>
      <c r="BP113" s="464">
        <v>10</v>
      </c>
      <c r="BQ113" s="464" t="s">
        <v>758</v>
      </c>
      <c r="BR113" s="476">
        <v>0.36</v>
      </c>
      <c r="BS113" s="476">
        <v>0.37</v>
      </c>
      <c r="BT113" s="476">
        <v>0.18</v>
      </c>
      <c r="BU113" s="476">
        <v>0.08</v>
      </c>
      <c r="BV113" s="476">
        <v>0.01</v>
      </c>
      <c r="BW113" s="933">
        <v>52</v>
      </c>
      <c r="BX113" s="933" t="s">
        <v>758</v>
      </c>
      <c r="BY113" s="933">
        <v>11</v>
      </c>
      <c r="BZ113" s="933" t="s">
        <v>758</v>
      </c>
      <c r="CA113" s="949">
        <v>0.37</v>
      </c>
      <c r="CB113" s="949">
        <v>0.3</v>
      </c>
      <c r="CC113" s="949">
        <v>0.28000000000000003</v>
      </c>
      <c r="CD113" s="949">
        <v>0.05</v>
      </c>
      <c r="CE113" s="949">
        <v>0</v>
      </c>
      <c r="CF113" s="922">
        <v>125754002066</v>
      </c>
      <c r="CG113" s="126" t="s">
        <v>19</v>
      </c>
    </row>
    <row r="114" spans="1:85" ht="24.95" customHeight="1" x14ac:dyDescent="0.2">
      <c r="A114" s="126" t="s">
        <v>71</v>
      </c>
      <c r="B114" s="1" t="s">
        <v>121</v>
      </c>
      <c r="C114" s="2">
        <v>4</v>
      </c>
      <c r="D114" s="12">
        <v>50</v>
      </c>
      <c r="E114" s="12">
        <v>9</v>
      </c>
      <c r="F114" s="66">
        <v>0.47</v>
      </c>
      <c r="G114" s="66">
        <v>0.43</v>
      </c>
      <c r="H114" s="66">
        <v>0.08</v>
      </c>
      <c r="I114" s="66">
        <v>0.02</v>
      </c>
      <c r="J114" s="66">
        <v>0</v>
      </c>
      <c r="K114" s="12">
        <v>48</v>
      </c>
      <c r="L114" s="12">
        <v>7</v>
      </c>
      <c r="M114" s="61">
        <v>0.46</v>
      </c>
      <c r="N114" s="61">
        <v>0.44</v>
      </c>
      <c r="O114" s="61">
        <v>0.08</v>
      </c>
      <c r="P114" s="61">
        <v>0.02</v>
      </c>
      <c r="Q114" s="61">
        <v>0</v>
      </c>
      <c r="R114" s="12">
        <v>49</v>
      </c>
      <c r="S114" s="12">
        <v>9</v>
      </c>
      <c r="T114" s="63">
        <v>0.43</v>
      </c>
      <c r="U114" s="63">
        <v>0.38</v>
      </c>
      <c r="V114" s="63">
        <v>0.17</v>
      </c>
      <c r="W114" s="63">
        <v>0.02</v>
      </c>
      <c r="X114" s="63">
        <v>0</v>
      </c>
      <c r="Y114" s="12">
        <v>47</v>
      </c>
      <c r="Z114" s="12">
        <v>9</v>
      </c>
      <c r="AA114" s="63">
        <v>0.51</v>
      </c>
      <c r="AB114" s="63">
        <v>0.41</v>
      </c>
      <c r="AC114" s="63">
        <v>0.08</v>
      </c>
      <c r="AD114" s="63">
        <v>0</v>
      </c>
      <c r="AE114" s="63">
        <v>0</v>
      </c>
      <c r="AF114" s="25">
        <v>44</v>
      </c>
      <c r="AG114" s="25">
        <v>6</v>
      </c>
      <c r="AH114" s="61">
        <v>0.7</v>
      </c>
      <c r="AI114" s="61">
        <v>0.3</v>
      </c>
      <c r="AJ114" s="61">
        <v>0</v>
      </c>
      <c r="AK114" s="61">
        <v>0</v>
      </c>
      <c r="AL114" s="61">
        <v>0</v>
      </c>
      <c r="AM114" s="246">
        <v>46</v>
      </c>
      <c r="AN114" s="246" t="s">
        <v>758</v>
      </c>
      <c r="AO114" s="246">
        <v>8</v>
      </c>
      <c r="AP114" s="246" t="s">
        <v>758</v>
      </c>
      <c r="AQ114" s="263">
        <v>0.42</v>
      </c>
      <c r="AR114" s="263">
        <v>0.53</v>
      </c>
      <c r="AS114" s="263">
        <v>0.04</v>
      </c>
      <c r="AT114" s="263">
        <v>0</v>
      </c>
      <c r="AU114" s="263">
        <v>0</v>
      </c>
      <c r="AV114" s="309">
        <v>49</v>
      </c>
      <c r="AW114" s="309" t="s">
        <v>758</v>
      </c>
      <c r="AX114" s="309">
        <v>8</v>
      </c>
      <c r="AY114" s="309" t="s">
        <v>758</v>
      </c>
      <c r="AZ114" s="327">
        <v>0.42</v>
      </c>
      <c r="BA114" s="327">
        <v>0.43</v>
      </c>
      <c r="BB114" s="327">
        <v>0.11</v>
      </c>
      <c r="BC114" s="327">
        <v>0.04</v>
      </c>
      <c r="BD114" s="327">
        <v>0</v>
      </c>
      <c r="BE114" s="424">
        <v>48</v>
      </c>
      <c r="BF114" s="424" t="s">
        <v>758</v>
      </c>
      <c r="BG114" s="424">
        <v>8</v>
      </c>
      <c r="BH114" s="424" t="s">
        <v>758</v>
      </c>
      <c r="BI114" s="428">
        <v>0.48</v>
      </c>
      <c r="BJ114" s="428">
        <v>0.44</v>
      </c>
      <c r="BK114" s="428">
        <v>0.06</v>
      </c>
      <c r="BL114" s="428">
        <v>0.02</v>
      </c>
      <c r="BM114" s="428">
        <v>0</v>
      </c>
      <c r="BN114" s="464">
        <v>47</v>
      </c>
      <c r="BO114" s="464" t="s">
        <v>758</v>
      </c>
      <c r="BP114" s="464">
        <v>7</v>
      </c>
      <c r="BQ114" s="464" t="s">
        <v>760</v>
      </c>
      <c r="BR114" s="476">
        <v>0.46</v>
      </c>
      <c r="BS114" s="476">
        <v>0.47</v>
      </c>
      <c r="BT114" s="476">
        <v>0.05</v>
      </c>
      <c r="BU114" s="476">
        <v>0.02</v>
      </c>
      <c r="BV114" s="476">
        <v>0</v>
      </c>
      <c r="BW114" s="933">
        <v>48</v>
      </c>
      <c r="BX114" s="933" t="s">
        <v>758</v>
      </c>
      <c r="BY114" s="933">
        <v>8</v>
      </c>
      <c r="BZ114" s="933" t="s">
        <v>758</v>
      </c>
      <c r="CA114" s="949">
        <v>0.56999999999999995</v>
      </c>
      <c r="CB114" s="949">
        <v>0.26</v>
      </c>
      <c r="CC114" s="949">
        <v>0.15</v>
      </c>
      <c r="CD114" s="949">
        <v>0.02</v>
      </c>
      <c r="CE114" s="949">
        <v>0</v>
      </c>
      <c r="CF114" s="922">
        <v>125754002538</v>
      </c>
      <c r="CG114" s="126" t="s">
        <v>71</v>
      </c>
    </row>
    <row r="115" spans="1:85" ht="24.95" customHeight="1" x14ac:dyDescent="0.2">
      <c r="A115" s="126" t="s">
        <v>20</v>
      </c>
      <c r="B115" s="1" t="s">
        <v>121</v>
      </c>
      <c r="C115" s="2">
        <v>2</v>
      </c>
      <c r="D115" s="12">
        <v>53</v>
      </c>
      <c r="E115" s="12">
        <v>9</v>
      </c>
      <c r="F115" s="66">
        <v>0.32</v>
      </c>
      <c r="G115" s="66">
        <v>0.39</v>
      </c>
      <c r="H115" s="66">
        <v>0.23</v>
      </c>
      <c r="I115" s="66">
        <v>0.06</v>
      </c>
      <c r="J115" s="66">
        <v>0</v>
      </c>
      <c r="K115" s="12">
        <v>52</v>
      </c>
      <c r="L115" s="12">
        <v>9</v>
      </c>
      <c r="M115" s="61">
        <v>0.31</v>
      </c>
      <c r="N115" s="61">
        <v>0.44</v>
      </c>
      <c r="O115" s="61">
        <v>0.21</v>
      </c>
      <c r="P115" s="61">
        <v>0.03</v>
      </c>
      <c r="Q115" s="61">
        <v>0</v>
      </c>
      <c r="R115" s="12">
        <v>52</v>
      </c>
      <c r="S115" s="12">
        <v>9</v>
      </c>
      <c r="T115" s="63">
        <v>0.34</v>
      </c>
      <c r="U115" s="63">
        <v>0.4</v>
      </c>
      <c r="V115" s="63">
        <v>0.2</v>
      </c>
      <c r="W115" s="63">
        <v>0.05</v>
      </c>
      <c r="X115" s="63">
        <v>0</v>
      </c>
      <c r="Y115" s="12">
        <v>51</v>
      </c>
      <c r="Z115" s="12">
        <v>9</v>
      </c>
      <c r="AA115" s="63">
        <v>0.36</v>
      </c>
      <c r="AB115" s="63">
        <v>0.43</v>
      </c>
      <c r="AC115" s="63">
        <v>0.16</v>
      </c>
      <c r="AD115" s="63">
        <v>0.05</v>
      </c>
      <c r="AE115" s="63">
        <v>0</v>
      </c>
      <c r="AF115" s="25">
        <v>47</v>
      </c>
      <c r="AG115" s="25">
        <v>8</v>
      </c>
      <c r="AH115" s="61">
        <v>0.56000000000000005</v>
      </c>
      <c r="AI115" s="61">
        <v>0.33</v>
      </c>
      <c r="AJ115" s="61">
        <v>0.09</v>
      </c>
      <c r="AK115" s="61">
        <v>0.02</v>
      </c>
      <c r="AL115" s="61">
        <v>0</v>
      </c>
      <c r="AM115" s="246">
        <v>50</v>
      </c>
      <c r="AN115" s="246" t="s">
        <v>758</v>
      </c>
      <c r="AO115" s="246">
        <v>10</v>
      </c>
      <c r="AP115" s="246" t="s">
        <v>758</v>
      </c>
      <c r="AQ115" s="263">
        <v>0.41</v>
      </c>
      <c r="AR115" s="263">
        <v>0.38</v>
      </c>
      <c r="AS115" s="263">
        <v>0.16</v>
      </c>
      <c r="AT115" s="263">
        <v>0.04</v>
      </c>
      <c r="AU115" s="263">
        <v>0</v>
      </c>
      <c r="AV115" s="309">
        <v>52</v>
      </c>
      <c r="AW115" s="309" t="s">
        <v>758</v>
      </c>
      <c r="AX115" s="309">
        <v>10</v>
      </c>
      <c r="AY115" s="309" t="s">
        <v>758</v>
      </c>
      <c r="AZ115" s="327">
        <v>0.33</v>
      </c>
      <c r="BA115" s="327">
        <v>0.36</v>
      </c>
      <c r="BB115" s="327">
        <v>0.25</v>
      </c>
      <c r="BC115" s="327">
        <v>0.06</v>
      </c>
      <c r="BD115" s="327">
        <v>0.01</v>
      </c>
      <c r="BE115" s="424">
        <v>53</v>
      </c>
      <c r="BF115" s="424" t="s">
        <v>758</v>
      </c>
      <c r="BG115" s="424">
        <v>9</v>
      </c>
      <c r="BH115" s="424" t="s">
        <v>758</v>
      </c>
      <c r="BI115" s="428">
        <v>0.28999999999999998</v>
      </c>
      <c r="BJ115" s="428">
        <v>0.4</v>
      </c>
      <c r="BK115" s="428">
        <v>0.22</v>
      </c>
      <c r="BL115" s="428">
        <v>0.09</v>
      </c>
      <c r="BM115" s="428">
        <v>0</v>
      </c>
      <c r="BN115" s="464">
        <v>52</v>
      </c>
      <c r="BO115" s="464" t="s">
        <v>758</v>
      </c>
      <c r="BP115" s="464">
        <v>9</v>
      </c>
      <c r="BQ115" s="464" t="s">
        <v>758</v>
      </c>
      <c r="BR115" s="476">
        <v>0.31</v>
      </c>
      <c r="BS115" s="476">
        <v>0.44</v>
      </c>
      <c r="BT115" s="476">
        <v>0.19</v>
      </c>
      <c r="BU115" s="476">
        <v>0.05</v>
      </c>
      <c r="BV115" s="476">
        <v>0</v>
      </c>
      <c r="BW115" s="933">
        <v>53</v>
      </c>
      <c r="BX115" s="933" t="s">
        <v>758</v>
      </c>
      <c r="BY115" s="933">
        <v>10</v>
      </c>
      <c r="BZ115" s="933" t="s">
        <v>758</v>
      </c>
      <c r="CA115" s="949">
        <v>0.3</v>
      </c>
      <c r="CB115" s="949">
        <v>0.38</v>
      </c>
      <c r="CC115" s="949">
        <v>0.21</v>
      </c>
      <c r="CD115" s="949">
        <v>0.1</v>
      </c>
      <c r="CE115" s="949">
        <v>0</v>
      </c>
      <c r="CF115" s="922">
        <v>125754000331</v>
      </c>
      <c r="CG115" s="126" t="s">
        <v>20</v>
      </c>
    </row>
    <row r="116" spans="1:85" ht="24.95" customHeight="1" x14ac:dyDescent="0.2">
      <c r="A116" s="126" t="s">
        <v>124</v>
      </c>
      <c r="B116" s="1" t="s">
        <v>123</v>
      </c>
      <c r="C116" s="2">
        <v>1</v>
      </c>
      <c r="D116" s="12">
        <v>52</v>
      </c>
      <c r="E116" s="12">
        <v>8</v>
      </c>
      <c r="F116" s="66">
        <v>0.28000000000000003</v>
      </c>
      <c r="G116" s="66">
        <v>0.54</v>
      </c>
      <c r="H116" s="66">
        <v>0.11</v>
      </c>
      <c r="I116" s="66">
        <v>7.0000000000000007E-2</v>
      </c>
      <c r="J116" s="66">
        <v>0</v>
      </c>
      <c r="K116" s="12">
        <v>52</v>
      </c>
      <c r="L116" s="12">
        <v>8</v>
      </c>
      <c r="M116" s="61">
        <v>0.33</v>
      </c>
      <c r="N116" s="61">
        <v>0.36</v>
      </c>
      <c r="O116" s="61">
        <v>0.28000000000000003</v>
      </c>
      <c r="P116" s="61">
        <v>0.03</v>
      </c>
      <c r="Q116" s="61">
        <v>0</v>
      </c>
      <c r="R116" s="12">
        <v>55</v>
      </c>
      <c r="S116" s="12">
        <v>8</v>
      </c>
      <c r="T116" s="63">
        <v>0.16</v>
      </c>
      <c r="U116" s="63">
        <v>0.53</v>
      </c>
      <c r="V116" s="63">
        <v>0.26</v>
      </c>
      <c r="W116" s="63">
        <v>0.05</v>
      </c>
      <c r="X116" s="63">
        <v>0</v>
      </c>
      <c r="Y116" s="12">
        <v>55</v>
      </c>
      <c r="Z116" s="12">
        <v>9</v>
      </c>
      <c r="AA116" s="63">
        <v>0.16</v>
      </c>
      <c r="AB116" s="63">
        <v>0.56999999999999995</v>
      </c>
      <c r="AC116" s="63">
        <v>0.14000000000000001</v>
      </c>
      <c r="AD116" s="63">
        <v>0.14000000000000001</v>
      </c>
      <c r="AE116" s="63">
        <v>0</v>
      </c>
      <c r="AF116" s="25">
        <v>51</v>
      </c>
      <c r="AG116" s="25">
        <v>9</v>
      </c>
      <c r="AH116" s="61">
        <v>0.36</v>
      </c>
      <c r="AI116" s="61">
        <v>0.42</v>
      </c>
      <c r="AJ116" s="61">
        <v>0.18</v>
      </c>
      <c r="AK116" s="61">
        <v>0.04</v>
      </c>
      <c r="AL116" s="61">
        <v>0</v>
      </c>
      <c r="AM116" s="246">
        <v>57</v>
      </c>
      <c r="AN116" s="246" t="s">
        <v>758</v>
      </c>
      <c r="AO116" s="246">
        <v>10</v>
      </c>
      <c r="AP116" s="246" t="s">
        <v>758</v>
      </c>
      <c r="AQ116" s="263">
        <v>0.19</v>
      </c>
      <c r="AR116" s="263">
        <v>0.26</v>
      </c>
      <c r="AS116" s="263">
        <v>0.43</v>
      </c>
      <c r="AT116" s="263">
        <v>0.12</v>
      </c>
      <c r="AU116" s="263">
        <v>0</v>
      </c>
      <c r="AV116" s="309">
        <v>53</v>
      </c>
      <c r="AW116" s="309" t="s">
        <v>758</v>
      </c>
      <c r="AX116" s="309">
        <v>10</v>
      </c>
      <c r="AY116" s="309" t="s">
        <v>758</v>
      </c>
      <c r="AZ116" s="327">
        <v>0.28999999999999998</v>
      </c>
      <c r="BA116" s="327">
        <v>0.34</v>
      </c>
      <c r="BB116" s="327">
        <v>0.32</v>
      </c>
      <c r="BC116" s="327">
        <v>0.04</v>
      </c>
      <c r="BD116" s="327">
        <v>0</v>
      </c>
      <c r="BE116" s="424">
        <v>59</v>
      </c>
      <c r="BF116" s="424" t="s">
        <v>758</v>
      </c>
      <c r="BG116" s="424">
        <v>10</v>
      </c>
      <c r="BH116" s="424" t="s">
        <v>758</v>
      </c>
      <c r="BI116" s="428">
        <v>0.2</v>
      </c>
      <c r="BJ116" s="428">
        <v>0.2</v>
      </c>
      <c r="BK116" s="428">
        <v>0.35</v>
      </c>
      <c r="BL116" s="428">
        <v>0.24</v>
      </c>
      <c r="BM116" s="428">
        <v>0</v>
      </c>
      <c r="BN116" s="464">
        <v>56</v>
      </c>
      <c r="BO116" s="464" t="s">
        <v>758</v>
      </c>
      <c r="BP116" s="464">
        <v>10</v>
      </c>
      <c r="BQ116" s="464" t="s">
        <v>758</v>
      </c>
      <c r="BR116" s="476">
        <v>0.21</v>
      </c>
      <c r="BS116" s="476">
        <v>0.32</v>
      </c>
      <c r="BT116" s="476">
        <v>0.3</v>
      </c>
      <c r="BU116" s="476">
        <v>0.17</v>
      </c>
      <c r="BV116" s="476">
        <v>0</v>
      </c>
      <c r="BW116" s="933">
        <v>61</v>
      </c>
      <c r="BX116" s="933" t="s">
        <v>758</v>
      </c>
      <c r="BY116" s="933">
        <v>12</v>
      </c>
      <c r="BZ116" s="933" t="s">
        <v>758</v>
      </c>
      <c r="CA116" s="949">
        <v>0.15</v>
      </c>
      <c r="CB116" s="949">
        <v>0.21</v>
      </c>
      <c r="CC116" s="949">
        <v>0.41</v>
      </c>
      <c r="CD116" s="949">
        <v>0.18</v>
      </c>
      <c r="CE116" s="949">
        <v>0.05</v>
      </c>
      <c r="CF116" s="922">
        <v>325754001441</v>
      </c>
      <c r="CG116" s="126" t="s">
        <v>124</v>
      </c>
    </row>
    <row r="117" spans="1:85" ht="24.95" customHeight="1" x14ac:dyDescent="0.2">
      <c r="A117" s="126" t="s">
        <v>53</v>
      </c>
      <c r="B117" s="1" t="s">
        <v>121</v>
      </c>
      <c r="C117" s="2">
        <v>2</v>
      </c>
      <c r="D117" s="12">
        <v>51</v>
      </c>
      <c r="E117" s="12">
        <v>8</v>
      </c>
      <c r="F117" s="66">
        <v>0.34</v>
      </c>
      <c r="G117" s="66">
        <v>0.43</v>
      </c>
      <c r="H117" s="66">
        <v>0.22</v>
      </c>
      <c r="I117" s="66">
        <v>0.02</v>
      </c>
      <c r="J117" s="66">
        <v>0</v>
      </c>
      <c r="K117" s="12">
        <v>49</v>
      </c>
      <c r="L117" s="12">
        <v>9</v>
      </c>
      <c r="M117" s="61">
        <v>0.48</v>
      </c>
      <c r="N117" s="61">
        <v>0.34</v>
      </c>
      <c r="O117" s="61">
        <v>0.15</v>
      </c>
      <c r="P117" s="61">
        <v>0.03</v>
      </c>
      <c r="Q117" s="61">
        <v>0</v>
      </c>
      <c r="R117" s="12">
        <v>51</v>
      </c>
      <c r="S117" s="12">
        <v>9</v>
      </c>
      <c r="T117" s="63">
        <v>0.35</v>
      </c>
      <c r="U117" s="63">
        <v>0.41</v>
      </c>
      <c r="V117" s="63">
        <v>0.2</v>
      </c>
      <c r="W117" s="63">
        <v>0.04</v>
      </c>
      <c r="X117" s="63">
        <v>0</v>
      </c>
      <c r="Y117" s="12">
        <v>51</v>
      </c>
      <c r="Z117" s="12">
        <v>10</v>
      </c>
      <c r="AA117" s="63">
        <v>0.39</v>
      </c>
      <c r="AB117" s="63">
        <v>0.35</v>
      </c>
      <c r="AC117" s="63">
        <v>0.22</v>
      </c>
      <c r="AD117" s="63">
        <v>0.04</v>
      </c>
      <c r="AE117" s="63">
        <v>0</v>
      </c>
      <c r="AF117" s="25">
        <v>47</v>
      </c>
      <c r="AG117" s="25">
        <v>9</v>
      </c>
      <c r="AH117" s="61">
        <v>0.59</v>
      </c>
      <c r="AI117" s="61">
        <v>0.31</v>
      </c>
      <c r="AJ117" s="61">
        <v>7.0000000000000007E-2</v>
      </c>
      <c r="AK117" s="61">
        <v>0.03</v>
      </c>
      <c r="AL117" s="61">
        <v>0</v>
      </c>
      <c r="AM117" s="246">
        <v>50</v>
      </c>
      <c r="AN117" s="246" t="s">
        <v>758</v>
      </c>
      <c r="AO117" s="246">
        <v>10</v>
      </c>
      <c r="AP117" s="246" t="s">
        <v>758</v>
      </c>
      <c r="AQ117" s="263">
        <v>0.4</v>
      </c>
      <c r="AR117" s="263">
        <v>0.38</v>
      </c>
      <c r="AS117" s="263">
        <v>0.17</v>
      </c>
      <c r="AT117" s="263">
        <v>0.05</v>
      </c>
      <c r="AU117" s="263">
        <v>0</v>
      </c>
      <c r="AV117" s="309">
        <v>49</v>
      </c>
      <c r="AW117" s="309" t="s">
        <v>758</v>
      </c>
      <c r="AX117" s="309">
        <v>10</v>
      </c>
      <c r="AY117" s="309" t="s">
        <v>758</v>
      </c>
      <c r="AZ117" s="327">
        <v>0.45</v>
      </c>
      <c r="BA117" s="327">
        <v>0.38</v>
      </c>
      <c r="BB117" s="327">
        <v>0.13</v>
      </c>
      <c r="BC117" s="327">
        <v>0.05</v>
      </c>
      <c r="BD117" s="327">
        <v>0</v>
      </c>
      <c r="BE117" s="424">
        <v>51</v>
      </c>
      <c r="BF117" s="424" t="s">
        <v>758</v>
      </c>
      <c r="BG117" s="424">
        <v>9</v>
      </c>
      <c r="BH117" s="424" t="s">
        <v>758</v>
      </c>
      <c r="BI117" s="428">
        <v>0.39</v>
      </c>
      <c r="BJ117" s="428">
        <v>0.41</v>
      </c>
      <c r="BK117" s="428">
        <v>0.15</v>
      </c>
      <c r="BL117" s="428">
        <v>0.05</v>
      </c>
      <c r="BM117" s="428">
        <v>0</v>
      </c>
      <c r="BN117" s="464">
        <v>54</v>
      </c>
      <c r="BO117" s="464" t="s">
        <v>758</v>
      </c>
      <c r="BP117" s="464">
        <v>10</v>
      </c>
      <c r="BQ117" s="464" t="s">
        <v>758</v>
      </c>
      <c r="BR117" s="476">
        <v>0.28999999999999998</v>
      </c>
      <c r="BS117" s="476">
        <v>0.4</v>
      </c>
      <c r="BT117" s="476">
        <v>0.2</v>
      </c>
      <c r="BU117" s="476">
        <v>0.1</v>
      </c>
      <c r="BV117" s="476">
        <v>0.01</v>
      </c>
      <c r="BW117" s="933">
        <v>53</v>
      </c>
      <c r="BX117" s="933" t="s">
        <v>758</v>
      </c>
      <c r="BY117" s="933">
        <v>10</v>
      </c>
      <c r="BZ117" s="933" t="s">
        <v>758</v>
      </c>
      <c r="CA117" s="949">
        <v>0.32</v>
      </c>
      <c r="CB117" s="949">
        <v>0.37</v>
      </c>
      <c r="CC117" s="949">
        <v>0.22</v>
      </c>
      <c r="CD117" s="949">
        <v>0.08</v>
      </c>
      <c r="CE117" s="949">
        <v>0.01</v>
      </c>
      <c r="CF117" s="922">
        <v>125754001035</v>
      </c>
      <c r="CG117" s="126" t="s">
        <v>53</v>
      </c>
    </row>
    <row r="118" spans="1:85" ht="24.95" customHeight="1" x14ac:dyDescent="0.2">
      <c r="A118" s="126" t="s">
        <v>953</v>
      </c>
      <c r="B118" s="1" t="s">
        <v>121</v>
      </c>
      <c r="C118" s="2">
        <v>4</v>
      </c>
      <c r="D118" s="12">
        <v>54</v>
      </c>
      <c r="E118" s="12">
        <v>10</v>
      </c>
      <c r="F118" s="66">
        <v>0.28999999999999998</v>
      </c>
      <c r="G118" s="66">
        <v>0.42</v>
      </c>
      <c r="H118" s="66">
        <v>0.21</v>
      </c>
      <c r="I118" s="66">
        <v>7.0000000000000007E-2</v>
      </c>
      <c r="J118" s="66">
        <v>0.01</v>
      </c>
      <c r="K118" s="12">
        <v>51</v>
      </c>
      <c r="L118" s="12">
        <v>10</v>
      </c>
      <c r="M118" s="61">
        <v>0.41</v>
      </c>
      <c r="N118" s="61">
        <v>0.34</v>
      </c>
      <c r="O118" s="61">
        <v>0.2</v>
      </c>
      <c r="P118" s="61">
        <v>0.05</v>
      </c>
      <c r="Q118" s="61">
        <v>0</v>
      </c>
      <c r="R118" s="12">
        <v>50</v>
      </c>
      <c r="S118" s="12">
        <v>8</v>
      </c>
      <c r="T118" s="63">
        <v>0.35</v>
      </c>
      <c r="U118" s="63">
        <v>0.51</v>
      </c>
      <c r="V118" s="63">
        <v>0.12</v>
      </c>
      <c r="W118" s="63">
        <v>0.02</v>
      </c>
      <c r="X118" s="63">
        <v>0</v>
      </c>
      <c r="Y118" s="12">
        <v>49</v>
      </c>
      <c r="Z118" s="12">
        <v>9</v>
      </c>
      <c r="AA118" s="63">
        <v>0.42</v>
      </c>
      <c r="AB118" s="63">
        <v>0.44</v>
      </c>
      <c r="AC118" s="63">
        <v>0.12</v>
      </c>
      <c r="AD118" s="63">
        <v>0.02</v>
      </c>
      <c r="AE118" s="63">
        <v>0</v>
      </c>
      <c r="AF118" s="25">
        <v>46</v>
      </c>
      <c r="AG118" s="25">
        <v>9</v>
      </c>
      <c r="AH118" s="61">
        <v>0.62</v>
      </c>
      <c r="AI118" s="61">
        <v>0.28999999999999998</v>
      </c>
      <c r="AJ118" s="61">
        <v>7.0000000000000007E-2</v>
      </c>
      <c r="AK118" s="61">
        <v>0.02</v>
      </c>
      <c r="AL118" s="61">
        <v>0</v>
      </c>
      <c r="AM118" s="246">
        <v>48</v>
      </c>
      <c r="AN118" s="246" t="s">
        <v>758</v>
      </c>
      <c r="AO118" s="246">
        <v>10</v>
      </c>
      <c r="AP118" s="246" t="s">
        <v>758</v>
      </c>
      <c r="AQ118" s="263">
        <v>0.52</v>
      </c>
      <c r="AR118" s="263">
        <v>0.33</v>
      </c>
      <c r="AS118" s="263">
        <v>0.1</v>
      </c>
      <c r="AT118" s="263">
        <v>0.04</v>
      </c>
      <c r="AU118" s="263">
        <v>0</v>
      </c>
      <c r="AV118" s="309">
        <v>52</v>
      </c>
      <c r="AW118" s="309" t="s">
        <v>758</v>
      </c>
      <c r="AX118" s="309">
        <v>10</v>
      </c>
      <c r="AY118" s="309" t="s">
        <v>758</v>
      </c>
      <c r="AZ118" s="327">
        <v>0.32</v>
      </c>
      <c r="BA118" s="327">
        <v>0.4</v>
      </c>
      <c r="BB118" s="327">
        <v>0.24</v>
      </c>
      <c r="BC118" s="327">
        <v>0.04</v>
      </c>
      <c r="BD118" s="327">
        <v>0</v>
      </c>
      <c r="BE118" s="424">
        <v>52</v>
      </c>
      <c r="BF118" s="424" t="s">
        <v>758</v>
      </c>
      <c r="BG118" s="424">
        <v>9</v>
      </c>
      <c r="BH118" s="424" t="s">
        <v>758</v>
      </c>
      <c r="BI118" s="428">
        <v>0.34</v>
      </c>
      <c r="BJ118" s="428">
        <v>0.4</v>
      </c>
      <c r="BK118" s="428">
        <v>0.22</v>
      </c>
      <c r="BL118" s="428">
        <v>0.05</v>
      </c>
      <c r="BM118" s="428">
        <v>0</v>
      </c>
      <c r="BN118" s="464">
        <v>51</v>
      </c>
      <c r="BO118" s="464" t="s">
        <v>758</v>
      </c>
      <c r="BP118" s="464">
        <v>9</v>
      </c>
      <c r="BQ118" s="464" t="s">
        <v>758</v>
      </c>
      <c r="BR118" s="476">
        <v>0.37</v>
      </c>
      <c r="BS118" s="476">
        <v>0.38</v>
      </c>
      <c r="BT118" s="476">
        <v>0.21</v>
      </c>
      <c r="BU118" s="476">
        <v>0.04</v>
      </c>
      <c r="BV118" s="476">
        <v>0</v>
      </c>
      <c r="BW118" s="933">
        <v>53</v>
      </c>
      <c r="BX118" s="933" t="s">
        <v>758</v>
      </c>
      <c r="BY118" s="933">
        <v>10</v>
      </c>
      <c r="BZ118" s="933" t="s">
        <v>758</v>
      </c>
      <c r="CA118" s="949">
        <v>0.31</v>
      </c>
      <c r="CB118" s="949">
        <v>0.38</v>
      </c>
      <c r="CC118" s="949">
        <v>0.25</v>
      </c>
      <c r="CD118" s="949">
        <v>0.05</v>
      </c>
      <c r="CE118" s="949">
        <v>0.01</v>
      </c>
      <c r="CF118" s="922">
        <v>125754001159</v>
      </c>
      <c r="CG118" s="126" t="s">
        <v>953</v>
      </c>
    </row>
    <row r="119" spans="1:85" ht="24.95" customHeight="1" x14ac:dyDescent="0.2">
      <c r="A119" s="126" t="s">
        <v>954</v>
      </c>
      <c r="B119" s="1" t="s">
        <v>123</v>
      </c>
      <c r="C119" s="2">
        <v>1</v>
      </c>
      <c r="D119" s="12">
        <v>49</v>
      </c>
      <c r="E119" s="12">
        <v>8</v>
      </c>
      <c r="F119" s="66">
        <v>0.45</v>
      </c>
      <c r="G119" s="66">
        <v>0.43</v>
      </c>
      <c r="H119" s="66">
        <v>0.12</v>
      </c>
      <c r="I119" s="66">
        <v>0</v>
      </c>
      <c r="J119" s="66">
        <v>0</v>
      </c>
      <c r="K119" s="12">
        <v>46</v>
      </c>
      <c r="L119" s="12">
        <v>8</v>
      </c>
      <c r="M119" s="61">
        <v>0.59</v>
      </c>
      <c r="N119" s="61">
        <v>0.35</v>
      </c>
      <c r="O119" s="61">
        <v>0.06</v>
      </c>
      <c r="P119" s="61">
        <v>0</v>
      </c>
      <c r="Q119" s="61">
        <v>0</v>
      </c>
      <c r="R119" s="12">
        <v>46</v>
      </c>
      <c r="S119" s="12">
        <v>8</v>
      </c>
      <c r="T119" s="63">
        <v>0.64</v>
      </c>
      <c r="U119" s="63">
        <v>0.28999999999999998</v>
      </c>
      <c r="V119" s="63">
        <v>7.0000000000000007E-2</v>
      </c>
      <c r="W119" s="63">
        <v>0</v>
      </c>
      <c r="X119" s="63">
        <v>0</v>
      </c>
      <c r="Y119" s="12">
        <v>46</v>
      </c>
      <c r="Z119" s="12">
        <v>11</v>
      </c>
      <c r="AA119" s="63">
        <v>0.56999999999999995</v>
      </c>
      <c r="AB119" s="63">
        <v>0.26</v>
      </c>
      <c r="AC119" s="63">
        <v>0.17</v>
      </c>
      <c r="AD119" s="63">
        <v>0</v>
      </c>
      <c r="AE119" s="63">
        <v>0</v>
      </c>
      <c r="AF119" s="25">
        <v>45</v>
      </c>
      <c r="AG119" s="25">
        <v>11</v>
      </c>
      <c r="AH119" s="61">
        <v>0.69</v>
      </c>
      <c r="AI119" s="61">
        <v>0.23</v>
      </c>
      <c r="AJ119" s="61">
        <v>0.04</v>
      </c>
      <c r="AK119" s="61">
        <v>0</v>
      </c>
      <c r="AL119" s="61">
        <v>0.04</v>
      </c>
      <c r="AM119" s="246">
        <v>49</v>
      </c>
      <c r="AN119" s="246" t="s">
        <v>758</v>
      </c>
      <c r="AO119" s="246">
        <v>11</v>
      </c>
      <c r="AP119" s="246" t="s">
        <v>758</v>
      </c>
      <c r="AQ119" s="263">
        <v>0.38</v>
      </c>
      <c r="AR119" s="263">
        <v>0.28999999999999998</v>
      </c>
      <c r="AS119" s="263">
        <v>0.33</v>
      </c>
      <c r="AT119" s="263">
        <v>0</v>
      </c>
      <c r="AU119" s="263">
        <v>0</v>
      </c>
      <c r="AV119" s="309">
        <v>52</v>
      </c>
      <c r="AW119" s="309" t="s">
        <v>758</v>
      </c>
      <c r="AX119" s="309">
        <v>11</v>
      </c>
      <c r="AY119" s="309" t="s">
        <v>758</v>
      </c>
      <c r="AZ119" s="327">
        <v>0.33</v>
      </c>
      <c r="BA119" s="327">
        <v>0.24</v>
      </c>
      <c r="BB119" s="327">
        <v>0.38</v>
      </c>
      <c r="BC119" s="327">
        <v>0.05</v>
      </c>
      <c r="BD119" s="327">
        <v>0</v>
      </c>
      <c r="BE119" s="424">
        <v>51</v>
      </c>
      <c r="BF119" s="424" t="s">
        <v>758</v>
      </c>
      <c r="BG119" s="424">
        <v>8</v>
      </c>
      <c r="BH119" s="424" t="s">
        <v>758</v>
      </c>
      <c r="BI119" s="428">
        <v>0.32</v>
      </c>
      <c r="BJ119" s="428">
        <v>0.48</v>
      </c>
      <c r="BK119" s="428">
        <v>0.16</v>
      </c>
      <c r="BL119" s="428">
        <v>0.04</v>
      </c>
      <c r="BM119" s="428">
        <v>0</v>
      </c>
      <c r="BN119" s="464">
        <v>55</v>
      </c>
      <c r="BO119" s="464" t="s">
        <v>758</v>
      </c>
      <c r="BP119" s="464">
        <v>8</v>
      </c>
      <c r="BQ119" s="464" t="s">
        <v>758</v>
      </c>
      <c r="BR119" s="476">
        <v>0.16</v>
      </c>
      <c r="BS119" s="476">
        <v>0.57999999999999996</v>
      </c>
      <c r="BT119" s="476">
        <v>0.16</v>
      </c>
      <c r="BU119" s="476">
        <v>0.11</v>
      </c>
      <c r="BV119" s="476">
        <v>0</v>
      </c>
      <c r="BW119" s="933">
        <v>53</v>
      </c>
      <c r="BX119" s="933" t="s">
        <v>758</v>
      </c>
      <c r="BY119" s="933">
        <v>10</v>
      </c>
      <c r="BZ119" s="933" t="s">
        <v>758</v>
      </c>
      <c r="CA119" s="949">
        <v>0.35</v>
      </c>
      <c r="CB119" s="949">
        <v>0.38</v>
      </c>
      <c r="CC119" s="949">
        <v>0.18</v>
      </c>
      <c r="CD119" s="949">
        <v>0.06</v>
      </c>
      <c r="CE119" s="949">
        <v>0.03</v>
      </c>
      <c r="CF119" s="922">
        <v>325754002596</v>
      </c>
      <c r="CG119" s="126" t="s">
        <v>954</v>
      </c>
    </row>
    <row r="120" spans="1:85" ht="24.95" customHeight="1" x14ac:dyDescent="0.2">
      <c r="A120" s="126" t="s">
        <v>96</v>
      </c>
      <c r="B120" s="1" t="s">
        <v>121</v>
      </c>
      <c r="C120" s="2">
        <v>3</v>
      </c>
      <c r="D120" s="12">
        <v>51</v>
      </c>
      <c r="E120" s="12">
        <v>9</v>
      </c>
      <c r="F120" s="66">
        <v>0.41</v>
      </c>
      <c r="G120" s="66">
        <v>0.4</v>
      </c>
      <c r="H120" s="66">
        <v>0.15</v>
      </c>
      <c r="I120" s="66">
        <v>0.04</v>
      </c>
      <c r="J120" s="66">
        <v>0.01</v>
      </c>
      <c r="K120" s="12">
        <v>50</v>
      </c>
      <c r="L120" s="12">
        <v>9</v>
      </c>
      <c r="M120" s="61">
        <v>0.44</v>
      </c>
      <c r="N120" s="61">
        <v>0.36</v>
      </c>
      <c r="O120" s="61">
        <v>0.17</v>
      </c>
      <c r="P120" s="61">
        <v>0.03</v>
      </c>
      <c r="Q120" s="61">
        <v>0</v>
      </c>
      <c r="R120" s="12">
        <v>51</v>
      </c>
      <c r="S120" s="12">
        <v>10</v>
      </c>
      <c r="T120" s="63">
        <v>0.35</v>
      </c>
      <c r="U120" s="63">
        <v>0.42</v>
      </c>
      <c r="V120" s="63">
        <v>0.19</v>
      </c>
      <c r="W120" s="63">
        <v>0.04</v>
      </c>
      <c r="X120" s="63">
        <v>0</v>
      </c>
      <c r="Y120" s="12">
        <v>48</v>
      </c>
      <c r="Z120" s="12">
        <v>10</v>
      </c>
      <c r="AA120" s="63">
        <v>0.49</v>
      </c>
      <c r="AB120" s="63">
        <v>0.35</v>
      </c>
      <c r="AC120" s="63">
        <v>0.13</v>
      </c>
      <c r="AD120" s="63">
        <v>0.03</v>
      </c>
      <c r="AE120" s="63">
        <v>0</v>
      </c>
      <c r="AF120" s="25">
        <v>45</v>
      </c>
      <c r="AG120" s="25">
        <v>8</v>
      </c>
      <c r="AH120" s="61">
        <v>0.65</v>
      </c>
      <c r="AI120" s="61">
        <v>0.28999999999999998</v>
      </c>
      <c r="AJ120" s="61">
        <v>7.0000000000000007E-2</v>
      </c>
      <c r="AK120" s="61">
        <v>0</v>
      </c>
      <c r="AL120" s="61">
        <v>0</v>
      </c>
      <c r="AM120" s="246">
        <v>47</v>
      </c>
      <c r="AN120" s="246" t="s">
        <v>758</v>
      </c>
      <c r="AO120" s="246">
        <v>10</v>
      </c>
      <c r="AP120" s="246" t="s">
        <v>758</v>
      </c>
      <c r="AQ120" s="263">
        <v>0.53</v>
      </c>
      <c r="AR120" s="263">
        <v>0.3</v>
      </c>
      <c r="AS120" s="263">
        <v>0.13</v>
      </c>
      <c r="AT120" s="263">
        <v>0.03</v>
      </c>
      <c r="AU120" s="263">
        <v>0</v>
      </c>
      <c r="AV120" s="309">
        <v>50</v>
      </c>
      <c r="AW120" s="309" t="s">
        <v>758</v>
      </c>
      <c r="AX120" s="309">
        <v>12</v>
      </c>
      <c r="AY120" s="309" t="s">
        <v>758</v>
      </c>
      <c r="AZ120" s="327">
        <v>0.47</v>
      </c>
      <c r="BA120" s="327">
        <v>0.28000000000000003</v>
      </c>
      <c r="BB120" s="327">
        <v>0.2</v>
      </c>
      <c r="BC120" s="327">
        <v>0.05</v>
      </c>
      <c r="BD120" s="327">
        <v>0.01</v>
      </c>
      <c r="BE120" s="424">
        <v>48</v>
      </c>
      <c r="BF120" s="424" t="s">
        <v>758</v>
      </c>
      <c r="BG120" s="424">
        <v>9</v>
      </c>
      <c r="BH120" s="424" t="s">
        <v>758</v>
      </c>
      <c r="BI120" s="428">
        <v>0.45</v>
      </c>
      <c r="BJ120" s="428">
        <v>0.37</v>
      </c>
      <c r="BK120" s="428">
        <v>0.17</v>
      </c>
      <c r="BL120" s="428">
        <v>0.02</v>
      </c>
      <c r="BM120" s="428">
        <v>0</v>
      </c>
      <c r="BN120" s="464">
        <v>50</v>
      </c>
      <c r="BO120" s="464" t="s">
        <v>758</v>
      </c>
      <c r="BP120" s="464">
        <v>11</v>
      </c>
      <c r="BQ120" s="464" t="s">
        <v>758</v>
      </c>
      <c r="BR120" s="476">
        <v>0.43</v>
      </c>
      <c r="BS120" s="476">
        <v>0.34</v>
      </c>
      <c r="BT120" s="476">
        <v>0.17</v>
      </c>
      <c r="BU120" s="476">
        <v>0.05</v>
      </c>
      <c r="BV120" s="476">
        <v>0.01</v>
      </c>
      <c r="BW120" s="933">
        <v>50</v>
      </c>
      <c r="BX120" s="933" t="s">
        <v>758</v>
      </c>
      <c r="BY120" s="933">
        <v>9</v>
      </c>
      <c r="BZ120" s="933" t="s">
        <v>758</v>
      </c>
      <c r="CA120" s="949">
        <v>0.44</v>
      </c>
      <c r="CB120" s="949">
        <v>0.36</v>
      </c>
      <c r="CC120" s="949">
        <v>0.16</v>
      </c>
      <c r="CD120" s="949">
        <v>0.04</v>
      </c>
      <c r="CE120" s="949">
        <v>0</v>
      </c>
      <c r="CF120" s="922">
        <v>125754000713</v>
      </c>
      <c r="CG120" s="126" t="s">
        <v>96</v>
      </c>
    </row>
    <row r="121" spans="1:85" ht="24.95" customHeight="1" x14ac:dyDescent="0.2">
      <c r="A121" s="126" t="s">
        <v>25</v>
      </c>
      <c r="B121" s="1" t="s">
        <v>121</v>
      </c>
      <c r="C121" s="2">
        <v>6</v>
      </c>
      <c r="D121" s="12">
        <v>50</v>
      </c>
      <c r="E121" s="12">
        <v>9</v>
      </c>
      <c r="F121" s="66">
        <v>0.47</v>
      </c>
      <c r="G121" s="66">
        <v>0.37</v>
      </c>
      <c r="H121" s="66">
        <v>0.13</v>
      </c>
      <c r="I121" s="66">
        <v>0.03</v>
      </c>
      <c r="J121" s="66">
        <v>0</v>
      </c>
      <c r="K121" s="12">
        <v>50</v>
      </c>
      <c r="L121" s="12">
        <v>10</v>
      </c>
      <c r="M121" s="61">
        <v>0.44</v>
      </c>
      <c r="N121" s="61">
        <v>0.32</v>
      </c>
      <c r="O121" s="61">
        <v>0.18</v>
      </c>
      <c r="P121" s="61">
        <v>0.06</v>
      </c>
      <c r="Q121" s="61">
        <v>0</v>
      </c>
      <c r="R121" s="12">
        <v>52</v>
      </c>
      <c r="S121" s="12">
        <v>8</v>
      </c>
      <c r="T121" s="63">
        <v>0.26</v>
      </c>
      <c r="U121" s="63">
        <v>0.51</v>
      </c>
      <c r="V121" s="63">
        <v>0.18</v>
      </c>
      <c r="W121" s="63">
        <v>0.05</v>
      </c>
      <c r="X121" s="63">
        <v>0</v>
      </c>
      <c r="Y121" s="12">
        <v>49</v>
      </c>
      <c r="Z121" s="12">
        <v>9</v>
      </c>
      <c r="AA121" s="63">
        <v>0.39</v>
      </c>
      <c r="AB121" s="63">
        <v>0.44</v>
      </c>
      <c r="AC121" s="63">
        <v>0.16</v>
      </c>
      <c r="AD121" s="63">
        <v>0.02</v>
      </c>
      <c r="AE121" s="63">
        <v>0</v>
      </c>
      <c r="AF121" s="25">
        <v>47</v>
      </c>
      <c r="AG121" s="25">
        <v>8</v>
      </c>
      <c r="AH121" s="61">
        <v>0.54</v>
      </c>
      <c r="AI121" s="61">
        <v>0.37</v>
      </c>
      <c r="AJ121" s="61">
        <v>7.0000000000000007E-2</v>
      </c>
      <c r="AK121" s="61">
        <v>0.02</v>
      </c>
      <c r="AL121" s="61">
        <v>0</v>
      </c>
      <c r="AM121" s="246">
        <v>50</v>
      </c>
      <c r="AN121" s="246" t="s">
        <v>758</v>
      </c>
      <c r="AO121" s="246">
        <v>10</v>
      </c>
      <c r="AP121" s="246" t="s">
        <v>758</v>
      </c>
      <c r="AQ121" s="263">
        <v>0.42</v>
      </c>
      <c r="AR121" s="263">
        <v>0.37</v>
      </c>
      <c r="AS121" s="263">
        <v>0.16</v>
      </c>
      <c r="AT121" s="263">
        <v>0.05</v>
      </c>
      <c r="AU121" s="263">
        <v>0</v>
      </c>
      <c r="AV121" s="309">
        <v>52</v>
      </c>
      <c r="AW121" s="309" t="s">
        <v>758</v>
      </c>
      <c r="AX121" s="309">
        <v>10</v>
      </c>
      <c r="AY121" s="309" t="s">
        <v>758</v>
      </c>
      <c r="AZ121" s="327">
        <v>0.31</v>
      </c>
      <c r="BA121" s="327">
        <v>0.38</v>
      </c>
      <c r="BB121" s="327">
        <v>0.24</v>
      </c>
      <c r="BC121" s="327">
        <v>0.06</v>
      </c>
      <c r="BD121" s="327">
        <v>0.01</v>
      </c>
      <c r="BE121" s="424">
        <v>52</v>
      </c>
      <c r="BF121" s="424" t="s">
        <v>758</v>
      </c>
      <c r="BG121" s="424">
        <v>10</v>
      </c>
      <c r="BH121" s="424" t="s">
        <v>758</v>
      </c>
      <c r="BI121" s="428">
        <v>0.35</v>
      </c>
      <c r="BJ121" s="428">
        <v>0.37</v>
      </c>
      <c r="BK121" s="428">
        <v>0.22</v>
      </c>
      <c r="BL121" s="428">
        <v>0.06</v>
      </c>
      <c r="BM121" s="428">
        <v>0.01</v>
      </c>
      <c r="BN121" s="464">
        <v>52</v>
      </c>
      <c r="BO121" s="464" t="s">
        <v>758</v>
      </c>
      <c r="BP121" s="464">
        <v>10</v>
      </c>
      <c r="BQ121" s="464" t="s">
        <v>758</v>
      </c>
      <c r="BR121" s="476">
        <v>0.32</v>
      </c>
      <c r="BS121" s="476">
        <v>0.44</v>
      </c>
      <c r="BT121" s="476">
        <v>0.18</v>
      </c>
      <c r="BU121" s="476">
        <v>0.05</v>
      </c>
      <c r="BV121" s="476">
        <v>0.02</v>
      </c>
      <c r="BW121" s="933">
        <v>53</v>
      </c>
      <c r="BX121" s="933" t="s">
        <v>758</v>
      </c>
      <c r="BY121" s="933">
        <v>10</v>
      </c>
      <c r="BZ121" s="933" t="s">
        <v>758</v>
      </c>
      <c r="CA121" s="949">
        <v>0.33</v>
      </c>
      <c r="CB121" s="949">
        <v>0.36</v>
      </c>
      <c r="CC121" s="949">
        <v>0.22</v>
      </c>
      <c r="CD121" s="949">
        <v>0.08</v>
      </c>
      <c r="CE121" s="949">
        <v>0.01</v>
      </c>
      <c r="CF121" s="922">
        <v>125754001019</v>
      </c>
      <c r="CG121" s="126" t="s">
        <v>25</v>
      </c>
    </row>
    <row r="122" spans="1:85" ht="24.95" customHeight="1" x14ac:dyDescent="0.2">
      <c r="A122" s="126" t="s">
        <v>41</v>
      </c>
      <c r="B122" s="1" t="s">
        <v>121</v>
      </c>
      <c r="C122" s="2">
        <v>3</v>
      </c>
      <c r="D122" s="12">
        <v>52</v>
      </c>
      <c r="E122" s="12">
        <v>9</v>
      </c>
      <c r="F122" s="66">
        <v>0.36</v>
      </c>
      <c r="G122" s="66">
        <v>0.35</v>
      </c>
      <c r="H122" s="66">
        <v>0.24</v>
      </c>
      <c r="I122" s="66">
        <v>0.04</v>
      </c>
      <c r="J122" s="66">
        <v>0.01</v>
      </c>
      <c r="K122" s="12">
        <v>50</v>
      </c>
      <c r="L122" s="12">
        <v>9</v>
      </c>
      <c r="M122" s="61">
        <v>0.43</v>
      </c>
      <c r="N122" s="61">
        <v>0.37</v>
      </c>
      <c r="O122" s="61">
        <v>0.16</v>
      </c>
      <c r="P122" s="61">
        <v>0.03</v>
      </c>
      <c r="Q122" s="61">
        <v>0</v>
      </c>
      <c r="R122" s="12">
        <v>52</v>
      </c>
      <c r="S122" s="12">
        <v>8</v>
      </c>
      <c r="T122" s="63">
        <v>0.28999999999999998</v>
      </c>
      <c r="U122" s="63">
        <v>0.51</v>
      </c>
      <c r="V122" s="63">
        <v>0.18</v>
      </c>
      <c r="W122" s="63">
        <v>0.02</v>
      </c>
      <c r="X122" s="63">
        <v>0</v>
      </c>
      <c r="Y122" s="12">
        <v>50</v>
      </c>
      <c r="Z122" s="12">
        <v>9</v>
      </c>
      <c r="AA122" s="63">
        <v>0.4</v>
      </c>
      <c r="AB122" s="63">
        <v>0.41</v>
      </c>
      <c r="AC122" s="63">
        <v>0.15</v>
      </c>
      <c r="AD122" s="63">
        <v>0.04</v>
      </c>
      <c r="AE122" s="63">
        <v>0</v>
      </c>
      <c r="AF122" s="25">
        <v>47</v>
      </c>
      <c r="AG122" s="25">
        <v>9</v>
      </c>
      <c r="AH122" s="61">
        <v>0.56999999999999995</v>
      </c>
      <c r="AI122" s="61">
        <v>0.31</v>
      </c>
      <c r="AJ122" s="61">
        <v>0.08</v>
      </c>
      <c r="AK122" s="61">
        <v>0.03</v>
      </c>
      <c r="AL122" s="61">
        <v>0</v>
      </c>
      <c r="AM122" s="246">
        <v>49</v>
      </c>
      <c r="AN122" s="246" t="s">
        <v>758</v>
      </c>
      <c r="AO122" s="246">
        <v>10</v>
      </c>
      <c r="AP122" s="246" t="s">
        <v>758</v>
      </c>
      <c r="AQ122" s="263">
        <v>0.47</v>
      </c>
      <c r="AR122" s="263">
        <v>0.28999999999999998</v>
      </c>
      <c r="AS122" s="263">
        <v>0.21</v>
      </c>
      <c r="AT122" s="263">
        <v>0.03</v>
      </c>
      <c r="AU122" s="263">
        <v>0</v>
      </c>
      <c r="AV122" s="309">
        <v>49</v>
      </c>
      <c r="AW122" s="309" t="s">
        <v>758</v>
      </c>
      <c r="AX122" s="309">
        <v>10</v>
      </c>
      <c r="AY122" s="309" t="s">
        <v>758</v>
      </c>
      <c r="AZ122" s="327">
        <v>0.47</v>
      </c>
      <c r="BA122" s="327">
        <v>0.31</v>
      </c>
      <c r="BB122" s="327">
        <v>0.16</v>
      </c>
      <c r="BC122" s="327">
        <v>0.05</v>
      </c>
      <c r="BD122" s="327">
        <v>0</v>
      </c>
      <c r="BE122" s="424">
        <v>50</v>
      </c>
      <c r="BF122" s="424" t="s">
        <v>758</v>
      </c>
      <c r="BG122" s="424">
        <v>9</v>
      </c>
      <c r="BH122" s="424" t="s">
        <v>758</v>
      </c>
      <c r="BI122" s="428">
        <v>0.41</v>
      </c>
      <c r="BJ122" s="428">
        <v>0.38</v>
      </c>
      <c r="BK122" s="428">
        <v>0.17</v>
      </c>
      <c r="BL122" s="428">
        <v>0.04</v>
      </c>
      <c r="BM122" s="428">
        <v>0</v>
      </c>
      <c r="BN122" s="464">
        <v>53</v>
      </c>
      <c r="BO122" s="464" t="s">
        <v>758</v>
      </c>
      <c r="BP122" s="464">
        <v>11</v>
      </c>
      <c r="BQ122" s="464" t="s">
        <v>758</v>
      </c>
      <c r="BR122" s="476">
        <v>0.34</v>
      </c>
      <c r="BS122" s="476">
        <v>0.36</v>
      </c>
      <c r="BT122" s="476">
        <v>0.17</v>
      </c>
      <c r="BU122" s="476">
        <v>0.12</v>
      </c>
      <c r="BV122" s="476">
        <v>0.01</v>
      </c>
      <c r="BW122" s="933">
        <v>51</v>
      </c>
      <c r="BX122" s="933" t="s">
        <v>758</v>
      </c>
      <c r="BY122" s="933">
        <v>10</v>
      </c>
      <c r="BZ122" s="933" t="s">
        <v>758</v>
      </c>
      <c r="CA122" s="949">
        <v>0.39</v>
      </c>
      <c r="CB122" s="949">
        <v>0.33</v>
      </c>
      <c r="CC122" s="949">
        <v>0.24</v>
      </c>
      <c r="CD122" s="949">
        <v>0.04</v>
      </c>
      <c r="CE122" s="949">
        <v>0</v>
      </c>
      <c r="CF122" s="922">
        <v>125754003291</v>
      </c>
      <c r="CG122" s="126" t="s">
        <v>41</v>
      </c>
    </row>
    <row r="123" spans="1:85" ht="24.95" customHeight="1" x14ac:dyDescent="0.2">
      <c r="A123" s="126" t="s">
        <v>62</v>
      </c>
      <c r="B123" s="1" t="s">
        <v>123</v>
      </c>
      <c r="C123" s="2">
        <v>1</v>
      </c>
      <c r="D123" s="12">
        <v>55</v>
      </c>
      <c r="E123" s="12">
        <v>9</v>
      </c>
      <c r="F123" s="66">
        <v>0.13</v>
      </c>
      <c r="G123" s="66">
        <v>0.55000000000000004</v>
      </c>
      <c r="H123" s="66">
        <v>0.23</v>
      </c>
      <c r="I123" s="66">
        <v>0.1</v>
      </c>
      <c r="J123" s="66">
        <v>0</v>
      </c>
      <c r="K123" s="12">
        <v>52</v>
      </c>
      <c r="L123" s="12">
        <v>10</v>
      </c>
      <c r="M123" s="61">
        <v>0.32</v>
      </c>
      <c r="N123" s="61">
        <v>0.47</v>
      </c>
      <c r="O123" s="61">
        <v>0.11</v>
      </c>
      <c r="P123" s="61">
        <v>0.11</v>
      </c>
      <c r="Q123" s="61">
        <v>0</v>
      </c>
      <c r="R123" s="12">
        <v>52</v>
      </c>
      <c r="S123" s="12">
        <v>9</v>
      </c>
      <c r="T123" s="63">
        <v>0.41</v>
      </c>
      <c r="U123" s="63">
        <v>0.26</v>
      </c>
      <c r="V123" s="63">
        <v>0.28000000000000003</v>
      </c>
      <c r="W123" s="63">
        <v>0.04</v>
      </c>
      <c r="X123" s="63">
        <v>0</v>
      </c>
      <c r="Y123" s="12">
        <v>47</v>
      </c>
      <c r="Z123" s="12">
        <v>8</v>
      </c>
      <c r="AA123" s="63">
        <v>0.49</v>
      </c>
      <c r="AB123" s="63">
        <v>0.43</v>
      </c>
      <c r="AC123" s="63">
        <v>0.08</v>
      </c>
      <c r="AD123" s="63">
        <v>0</v>
      </c>
      <c r="AE123" s="63">
        <v>0</v>
      </c>
      <c r="AF123" s="25">
        <v>48</v>
      </c>
      <c r="AG123" s="25">
        <v>6</v>
      </c>
      <c r="AH123" s="61">
        <v>0.45</v>
      </c>
      <c r="AI123" s="61">
        <v>0.5</v>
      </c>
      <c r="AJ123" s="61">
        <v>0.05</v>
      </c>
      <c r="AK123" s="61">
        <v>0</v>
      </c>
      <c r="AL123" s="61">
        <v>0</v>
      </c>
      <c r="AM123" s="246">
        <v>50</v>
      </c>
      <c r="AN123" s="246" t="s">
        <v>758</v>
      </c>
      <c r="AO123" s="246">
        <v>10</v>
      </c>
      <c r="AP123" s="246" t="s">
        <v>758</v>
      </c>
      <c r="AQ123" s="263">
        <v>0.41</v>
      </c>
      <c r="AR123" s="263">
        <v>0.38</v>
      </c>
      <c r="AS123" s="263">
        <v>0.16</v>
      </c>
      <c r="AT123" s="263">
        <v>0.05</v>
      </c>
      <c r="AU123" s="263">
        <v>0</v>
      </c>
      <c r="AV123" s="309">
        <v>56</v>
      </c>
      <c r="AW123" s="309" t="s">
        <v>758</v>
      </c>
      <c r="AX123" s="309">
        <v>9</v>
      </c>
      <c r="AY123" s="309" t="s">
        <v>758</v>
      </c>
      <c r="AZ123" s="327">
        <v>0.15</v>
      </c>
      <c r="BA123" s="327">
        <v>0.44</v>
      </c>
      <c r="BB123" s="327">
        <v>0.32</v>
      </c>
      <c r="BC123" s="327">
        <v>0.09</v>
      </c>
      <c r="BD123" s="327">
        <v>0</v>
      </c>
      <c r="BE123" s="424">
        <v>55</v>
      </c>
      <c r="BF123" s="424" t="s">
        <v>758</v>
      </c>
      <c r="BG123" s="424">
        <v>12</v>
      </c>
      <c r="BH123" s="424" t="s">
        <v>758</v>
      </c>
      <c r="BI123" s="428">
        <v>0.22</v>
      </c>
      <c r="BJ123" s="428">
        <v>0.38</v>
      </c>
      <c r="BK123" s="428">
        <v>0.24</v>
      </c>
      <c r="BL123" s="428">
        <v>0.16</v>
      </c>
      <c r="BM123" s="428">
        <v>0</v>
      </c>
      <c r="BN123" s="464">
        <v>55</v>
      </c>
      <c r="BO123" s="464" t="s">
        <v>758</v>
      </c>
      <c r="BP123" s="464">
        <v>11</v>
      </c>
      <c r="BQ123" s="464" t="s">
        <v>758</v>
      </c>
      <c r="BR123" s="476">
        <v>0.23</v>
      </c>
      <c r="BS123" s="476">
        <v>0.4</v>
      </c>
      <c r="BT123" s="476">
        <v>0.27</v>
      </c>
      <c r="BU123" s="476">
        <v>0.06</v>
      </c>
      <c r="BV123" s="476">
        <v>0.04</v>
      </c>
      <c r="BW123" s="933">
        <v>60</v>
      </c>
      <c r="BX123" s="933" t="s">
        <v>758</v>
      </c>
      <c r="BY123" s="933">
        <v>12</v>
      </c>
      <c r="BZ123" s="933" t="s">
        <v>758</v>
      </c>
      <c r="CA123" s="949">
        <v>0.12</v>
      </c>
      <c r="CB123" s="949">
        <v>0.28999999999999998</v>
      </c>
      <c r="CC123" s="949">
        <v>0.27</v>
      </c>
      <c r="CD123" s="949">
        <v>0.24</v>
      </c>
      <c r="CE123" s="949">
        <v>7.0000000000000007E-2</v>
      </c>
      <c r="CF123" s="922">
        <v>325754004076</v>
      </c>
      <c r="CG123" s="126" t="s">
        <v>62</v>
      </c>
    </row>
    <row r="124" spans="1:85" ht="24.95" customHeight="1" x14ac:dyDescent="0.2">
      <c r="A124" s="126" t="s">
        <v>103</v>
      </c>
      <c r="B124" s="1" t="s">
        <v>121</v>
      </c>
      <c r="C124" s="2">
        <v>4</v>
      </c>
      <c r="D124" s="12">
        <v>48</v>
      </c>
      <c r="E124" s="12">
        <v>8</v>
      </c>
      <c r="F124" s="66">
        <v>0.49</v>
      </c>
      <c r="G124" s="66">
        <v>0.34</v>
      </c>
      <c r="H124" s="66">
        <v>0.17</v>
      </c>
      <c r="I124" s="66">
        <v>0</v>
      </c>
      <c r="J124" s="66">
        <v>0</v>
      </c>
      <c r="K124" s="12">
        <v>46</v>
      </c>
      <c r="L124" s="12">
        <v>11</v>
      </c>
      <c r="M124" s="61">
        <v>0.54</v>
      </c>
      <c r="N124" s="61">
        <v>0.33</v>
      </c>
      <c r="O124" s="61">
        <v>0.13</v>
      </c>
      <c r="P124" s="61">
        <v>0</v>
      </c>
      <c r="Q124" s="61">
        <v>0</v>
      </c>
      <c r="R124" s="12">
        <v>48</v>
      </c>
      <c r="S124" s="12">
        <v>7</v>
      </c>
      <c r="T124" s="63">
        <v>0.52</v>
      </c>
      <c r="U124" s="63">
        <v>0.39</v>
      </c>
      <c r="V124" s="63">
        <v>0.06</v>
      </c>
      <c r="W124" s="63">
        <v>0.03</v>
      </c>
      <c r="X124" s="63">
        <v>0</v>
      </c>
      <c r="Y124" s="12">
        <v>48</v>
      </c>
      <c r="Z124" s="12">
        <v>10</v>
      </c>
      <c r="AA124" s="63">
        <v>0.54</v>
      </c>
      <c r="AB124" s="63">
        <v>0.28999999999999998</v>
      </c>
      <c r="AC124" s="63">
        <v>0.15</v>
      </c>
      <c r="AD124" s="63">
        <v>0.02</v>
      </c>
      <c r="AE124" s="63">
        <v>0</v>
      </c>
      <c r="AF124" s="25">
        <v>45</v>
      </c>
      <c r="AG124" s="25">
        <v>7</v>
      </c>
      <c r="AH124" s="61">
        <v>0.66</v>
      </c>
      <c r="AI124" s="61">
        <v>0.31</v>
      </c>
      <c r="AJ124" s="61">
        <v>0.03</v>
      </c>
      <c r="AK124" s="61">
        <v>0</v>
      </c>
      <c r="AL124" s="61">
        <v>0</v>
      </c>
      <c r="AM124" s="246">
        <v>45</v>
      </c>
      <c r="AN124" s="246" t="s">
        <v>758</v>
      </c>
      <c r="AO124" s="246">
        <v>10</v>
      </c>
      <c r="AP124" s="246" t="s">
        <v>758</v>
      </c>
      <c r="AQ124" s="263">
        <v>0.63</v>
      </c>
      <c r="AR124" s="263">
        <v>0.2</v>
      </c>
      <c r="AS124" s="263">
        <v>0.13</v>
      </c>
      <c r="AT124" s="263">
        <v>0.03</v>
      </c>
      <c r="AU124" s="263">
        <v>0</v>
      </c>
      <c r="AV124" s="309">
        <v>49</v>
      </c>
      <c r="AW124" s="309" t="s">
        <v>758</v>
      </c>
      <c r="AX124" s="309">
        <v>11</v>
      </c>
      <c r="AY124" s="309" t="s">
        <v>758</v>
      </c>
      <c r="AZ124" s="327">
        <v>0.42</v>
      </c>
      <c r="BA124" s="327">
        <v>0.42</v>
      </c>
      <c r="BB124" s="327">
        <v>0.11</v>
      </c>
      <c r="BC124" s="327">
        <v>0.06</v>
      </c>
      <c r="BD124" s="327">
        <v>0</v>
      </c>
      <c r="BE124" s="424">
        <v>49</v>
      </c>
      <c r="BF124" s="424" t="s">
        <v>758</v>
      </c>
      <c r="BG124" s="424">
        <v>9</v>
      </c>
      <c r="BH124" s="424" t="s">
        <v>758</v>
      </c>
      <c r="BI124" s="428">
        <v>0.47</v>
      </c>
      <c r="BJ124" s="428">
        <v>0.41</v>
      </c>
      <c r="BK124" s="428">
        <v>0.06</v>
      </c>
      <c r="BL124" s="428">
        <v>0.06</v>
      </c>
      <c r="BM124" s="428">
        <v>0</v>
      </c>
      <c r="BN124" s="464">
        <v>47</v>
      </c>
      <c r="BO124" s="464" t="s">
        <v>758</v>
      </c>
      <c r="BP124" s="464">
        <v>9</v>
      </c>
      <c r="BQ124" s="464" t="s">
        <v>758</v>
      </c>
      <c r="BR124" s="476">
        <v>0.53</v>
      </c>
      <c r="BS124" s="476">
        <v>0.3</v>
      </c>
      <c r="BT124" s="476">
        <v>0.17</v>
      </c>
      <c r="BU124" s="476">
        <v>0</v>
      </c>
      <c r="BV124" s="476">
        <v>0</v>
      </c>
      <c r="BW124" s="933">
        <v>49</v>
      </c>
      <c r="BX124" s="933" t="s">
        <v>758</v>
      </c>
      <c r="BY124" s="933">
        <v>7</v>
      </c>
      <c r="BZ124" s="933" t="s">
        <v>760</v>
      </c>
      <c r="CA124" s="949">
        <v>0.46</v>
      </c>
      <c r="CB124" s="949">
        <v>0.41</v>
      </c>
      <c r="CC124" s="949">
        <v>0.14000000000000001</v>
      </c>
      <c r="CD124" s="949">
        <v>0</v>
      </c>
      <c r="CE124" s="949">
        <v>0</v>
      </c>
      <c r="CF124" s="922">
        <v>125754000934</v>
      </c>
      <c r="CG124" s="126" t="s">
        <v>103</v>
      </c>
    </row>
    <row r="125" spans="1:85" ht="24.95" customHeight="1" x14ac:dyDescent="0.2">
      <c r="A125" s="126" t="s">
        <v>802</v>
      </c>
      <c r="B125" s="1" t="s">
        <v>121</v>
      </c>
      <c r="C125" s="2">
        <v>2</v>
      </c>
      <c r="D125" s="12"/>
      <c r="E125" s="12"/>
      <c r="F125" s="66"/>
      <c r="G125" s="66"/>
      <c r="H125" s="66"/>
      <c r="I125" s="66"/>
      <c r="J125" s="66"/>
      <c r="K125" s="12"/>
      <c r="L125" s="12"/>
      <c r="M125" s="61"/>
      <c r="N125" s="61"/>
      <c r="O125" s="61"/>
      <c r="P125" s="61"/>
      <c r="Q125" s="61"/>
      <c r="R125" s="12"/>
      <c r="S125" s="12"/>
      <c r="T125" s="63"/>
      <c r="U125" s="63"/>
      <c r="V125" s="63"/>
      <c r="W125" s="63"/>
      <c r="X125" s="63"/>
      <c r="Y125" s="12"/>
      <c r="Z125" s="12"/>
      <c r="AA125" s="63"/>
      <c r="AB125" s="63"/>
      <c r="AC125" s="63"/>
      <c r="AD125" s="63"/>
      <c r="AE125" s="63"/>
      <c r="AF125" s="25"/>
      <c r="AG125" s="25"/>
      <c r="AH125" s="61"/>
      <c r="AI125" s="61"/>
      <c r="AJ125" s="61"/>
      <c r="AK125" s="61"/>
      <c r="AL125" s="61"/>
      <c r="AM125" s="246"/>
      <c r="AN125" s="246"/>
      <c r="AO125" s="246"/>
      <c r="AP125" s="246"/>
      <c r="AQ125" s="263"/>
      <c r="AR125" s="263"/>
      <c r="AS125" s="263"/>
      <c r="AT125" s="263"/>
      <c r="AU125" s="263"/>
      <c r="AV125" s="309">
        <v>52</v>
      </c>
      <c r="AW125" s="309" t="s">
        <v>758</v>
      </c>
      <c r="AX125" s="309">
        <v>9</v>
      </c>
      <c r="AY125" s="309" t="s">
        <v>758</v>
      </c>
      <c r="AZ125" s="327">
        <v>0.28999999999999998</v>
      </c>
      <c r="BA125" s="327">
        <v>0.34</v>
      </c>
      <c r="BB125" s="327">
        <v>0.32</v>
      </c>
      <c r="BC125" s="327">
        <v>0.05</v>
      </c>
      <c r="BD125" s="327">
        <v>0</v>
      </c>
      <c r="BE125" s="424">
        <v>51</v>
      </c>
      <c r="BF125" s="424" t="s">
        <v>758</v>
      </c>
      <c r="BG125" s="424">
        <v>10</v>
      </c>
      <c r="BH125" s="424" t="s">
        <v>758</v>
      </c>
      <c r="BI125" s="428">
        <v>0.39</v>
      </c>
      <c r="BJ125" s="428">
        <v>0.39</v>
      </c>
      <c r="BK125" s="428">
        <v>0.16</v>
      </c>
      <c r="BL125" s="428">
        <v>0.05</v>
      </c>
      <c r="BM125" s="428">
        <v>0</v>
      </c>
      <c r="BN125" s="464">
        <v>52</v>
      </c>
      <c r="BO125" s="464" t="s">
        <v>758</v>
      </c>
      <c r="BP125" s="464">
        <v>10</v>
      </c>
      <c r="BQ125" s="464" t="s">
        <v>758</v>
      </c>
      <c r="BR125" s="476">
        <v>0.43</v>
      </c>
      <c r="BS125" s="476">
        <v>0.36</v>
      </c>
      <c r="BT125" s="476">
        <v>0.13</v>
      </c>
      <c r="BU125" s="476">
        <v>7.0000000000000007E-2</v>
      </c>
      <c r="BV125" s="476">
        <v>0.01</v>
      </c>
      <c r="BW125" s="933">
        <v>52</v>
      </c>
      <c r="BX125" s="933" t="s">
        <v>758</v>
      </c>
      <c r="BY125" s="933">
        <v>10</v>
      </c>
      <c r="BZ125" s="933" t="s">
        <v>758</v>
      </c>
      <c r="CA125" s="949">
        <v>0.31</v>
      </c>
      <c r="CB125" s="949">
        <v>0.41</v>
      </c>
      <c r="CC125" s="949">
        <v>0.23</v>
      </c>
      <c r="CD125" s="949">
        <v>0.04</v>
      </c>
      <c r="CE125" s="949">
        <v>0.01</v>
      </c>
      <c r="CF125" s="922">
        <v>125754800141</v>
      </c>
      <c r="CG125" s="126" t="s">
        <v>802</v>
      </c>
    </row>
    <row r="126" spans="1:85" ht="24.95" customHeight="1" x14ac:dyDescent="0.2">
      <c r="A126" s="555" t="s">
        <v>74</v>
      </c>
      <c r="B126" s="1" t="s">
        <v>121</v>
      </c>
      <c r="C126" s="309">
        <v>3</v>
      </c>
      <c r="D126" s="328">
        <v>52</v>
      </c>
      <c r="E126" s="328">
        <v>9</v>
      </c>
      <c r="F126" s="333">
        <v>0.35</v>
      </c>
      <c r="G126" s="333">
        <v>0.39</v>
      </c>
      <c r="H126" s="333">
        <v>0.22</v>
      </c>
      <c r="I126" s="333">
        <v>0.05</v>
      </c>
      <c r="J126" s="333">
        <v>0</v>
      </c>
      <c r="K126" s="328">
        <v>49</v>
      </c>
      <c r="L126" s="328">
        <v>10</v>
      </c>
      <c r="M126" s="330">
        <v>0.44</v>
      </c>
      <c r="N126" s="330">
        <v>0.37</v>
      </c>
      <c r="O126" s="330">
        <v>0.16</v>
      </c>
      <c r="P126" s="330">
        <v>0.02</v>
      </c>
      <c r="Q126" s="330">
        <v>0.01</v>
      </c>
      <c r="R126" s="328">
        <v>50</v>
      </c>
      <c r="S126" s="328">
        <v>10</v>
      </c>
      <c r="T126" s="327">
        <v>0.43</v>
      </c>
      <c r="U126" s="327">
        <v>0.38</v>
      </c>
      <c r="V126" s="327">
        <v>0.11</v>
      </c>
      <c r="W126" s="327">
        <v>0.06</v>
      </c>
      <c r="X126" s="327">
        <v>0.01</v>
      </c>
      <c r="Y126" s="328">
        <v>49</v>
      </c>
      <c r="Z126" s="328">
        <v>9</v>
      </c>
      <c r="AA126" s="327">
        <v>0.47</v>
      </c>
      <c r="AB126" s="327">
        <v>0.39</v>
      </c>
      <c r="AC126" s="327">
        <v>0.11</v>
      </c>
      <c r="AD126" s="327">
        <v>0.03</v>
      </c>
      <c r="AE126" s="327">
        <v>0</v>
      </c>
      <c r="AF126" s="329">
        <v>47</v>
      </c>
      <c r="AG126" s="329">
        <v>8</v>
      </c>
      <c r="AH126" s="330">
        <v>0.55000000000000004</v>
      </c>
      <c r="AI126" s="330">
        <v>0.38</v>
      </c>
      <c r="AJ126" s="330">
        <v>0.05</v>
      </c>
      <c r="AK126" s="330">
        <v>0.01</v>
      </c>
      <c r="AL126" s="330">
        <v>0</v>
      </c>
      <c r="AM126" s="312">
        <v>49</v>
      </c>
      <c r="AN126" s="312" t="s">
        <v>758</v>
      </c>
      <c r="AO126" s="312">
        <v>10</v>
      </c>
      <c r="AP126" s="312" t="s">
        <v>758</v>
      </c>
      <c r="AQ126" s="332">
        <v>0.44</v>
      </c>
      <c r="AR126" s="332">
        <v>0.38</v>
      </c>
      <c r="AS126" s="332">
        <v>0.14000000000000001</v>
      </c>
      <c r="AT126" s="332">
        <v>0.04</v>
      </c>
      <c r="AU126" s="332">
        <v>0.01</v>
      </c>
      <c r="AV126" s="309">
        <v>53</v>
      </c>
      <c r="AW126" s="309" t="s">
        <v>758</v>
      </c>
      <c r="AX126" s="309">
        <v>11</v>
      </c>
      <c r="AY126" s="309" t="s">
        <v>758</v>
      </c>
      <c r="AZ126" s="327">
        <v>0.31</v>
      </c>
      <c r="BA126" s="327">
        <v>0.35</v>
      </c>
      <c r="BB126" s="327">
        <v>0.24</v>
      </c>
      <c r="BC126" s="327">
        <v>0.09</v>
      </c>
      <c r="BD126" s="327">
        <v>0.01</v>
      </c>
      <c r="BE126" s="424">
        <v>50</v>
      </c>
      <c r="BF126" s="424" t="s">
        <v>758</v>
      </c>
      <c r="BG126" s="424">
        <v>9</v>
      </c>
      <c r="BH126" s="424" t="s">
        <v>758</v>
      </c>
      <c r="BI126" s="428">
        <v>0.42</v>
      </c>
      <c r="BJ126" s="428">
        <v>0.37</v>
      </c>
      <c r="BK126" s="428">
        <v>0.16</v>
      </c>
      <c r="BL126" s="428">
        <v>0.04</v>
      </c>
      <c r="BM126" s="428">
        <v>0</v>
      </c>
      <c r="BN126" s="464">
        <v>51</v>
      </c>
      <c r="BO126" s="464" t="s">
        <v>758</v>
      </c>
      <c r="BP126" s="464">
        <v>9</v>
      </c>
      <c r="BQ126" s="464" t="s">
        <v>758</v>
      </c>
      <c r="BR126" s="476">
        <v>0.37</v>
      </c>
      <c r="BS126" s="476">
        <v>0.42</v>
      </c>
      <c r="BT126" s="476">
        <v>0.15</v>
      </c>
      <c r="BU126" s="476">
        <v>0.06</v>
      </c>
      <c r="BV126" s="476">
        <v>0</v>
      </c>
      <c r="BW126" s="933">
        <v>51</v>
      </c>
      <c r="BX126" s="933" t="s">
        <v>758</v>
      </c>
      <c r="BY126" s="933">
        <v>10</v>
      </c>
      <c r="BZ126" s="933" t="s">
        <v>758</v>
      </c>
      <c r="CA126" s="949">
        <v>0.38</v>
      </c>
      <c r="CB126" s="949">
        <v>0.35</v>
      </c>
      <c r="CC126" s="949">
        <v>0.22</v>
      </c>
      <c r="CD126" s="949">
        <v>0.03</v>
      </c>
      <c r="CE126" s="949">
        <v>0.01</v>
      </c>
      <c r="CF126" s="922">
        <v>225754000238</v>
      </c>
      <c r="CG126" s="555" t="s">
        <v>74</v>
      </c>
    </row>
    <row r="127" spans="1:85" ht="24.95" customHeight="1" x14ac:dyDescent="0.2">
      <c r="A127" s="126" t="s">
        <v>803</v>
      </c>
      <c r="B127" s="1" t="s">
        <v>121</v>
      </c>
      <c r="C127" s="2">
        <v>1</v>
      </c>
      <c r="D127" s="12"/>
      <c r="E127" s="12"/>
      <c r="F127" s="66"/>
      <c r="G127" s="66"/>
      <c r="H127" s="66"/>
      <c r="I127" s="66"/>
      <c r="J127" s="66"/>
      <c r="K127" s="12"/>
      <c r="L127" s="12"/>
      <c r="M127" s="61"/>
      <c r="N127" s="61"/>
      <c r="O127" s="61"/>
      <c r="P127" s="61"/>
      <c r="Q127" s="61"/>
      <c r="R127" s="12"/>
      <c r="S127" s="12"/>
      <c r="T127" s="63"/>
      <c r="U127" s="63"/>
      <c r="V127" s="63"/>
      <c r="W127" s="63"/>
      <c r="X127" s="63"/>
      <c r="Y127" s="12"/>
      <c r="Z127" s="12"/>
      <c r="AA127" s="63"/>
      <c r="AB127" s="63"/>
      <c r="AC127" s="63"/>
      <c r="AD127" s="63"/>
      <c r="AE127" s="63"/>
      <c r="AF127" s="25"/>
      <c r="AG127" s="25"/>
      <c r="AH127" s="61"/>
      <c r="AI127" s="61"/>
      <c r="AJ127" s="61"/>
      <c r="AK127" s="61"/>
      <c r="AL127" s="61"/>
      <c r="AM127" s="246"/>
      <c r="AN127" s="246"/>
      <c r="AO127" s="246"/>
      <c r="AP127" s="246"/>
      <c r="AQ127" s="263"/>
      <c r="AR127" s="263"/>
      <c r="AS127" s="263"/>
      <c r="AT127" s="263"/>
      <c r="AU127" s="263"/>
      <c r="AV127" s="309">
        <v>49</v>
      </c>
      <c r="AW127" s="309" t="s">
        <v>758</v>
      </c>
      <c r="AX127" s="309">
        <v>9</v>
      </c>
      <c r="AY127" s="309" t="s">
        <v>758</v>
      </c>
      <c r="AZ127" s="327">
        <v>0.38</v>
      </c>
      <c r="BA127" s="327">
        <v>0.54</v>
      </c>
      <c r="BB127" s="327">
        <v>0.05</v>
      </c>
      <c r="BC127" s="327">
        <v>0.03</v>
      </c>
      <c r="BD127" s="327">
        <v>0</v>
      </c>
      <c r="BE127" s="424">
        <v>50</v>
      </c>
      <c r="BF127" s="424" t="s">
        <v>758</v>
      </c>
      <c r="BG127" s="424">
        <v>9</v>
      </c>
      <c r="BH127" s="424" t="s">
        <v>758</v>
      </c>
      <c r="BI127" s="428">
        <v>0.39</v>
      </c>
      <c r="BJ127" s="428">
        <v>0.43</v>
      </c>
      <c r="BK127" s="428">
        <v>0.15</v>
      </c>
      <c r="BL127" s="428">
        <v>0.03</v>
      </c>
      <c r="BM127" s="428">
        <v>0</v>
      </c>
      <c r="BN127" s="464">
        <v>49</v>
      </c>
      <c r="BO127" s="464" t="s">
        <v>758</v>
      </c>
      <c r="BP127" s="464">
        <v>10</v>
      </c>
      <c r="BQ127" s="464" t="s">
        <v>758</v>
      </c>
      <c r="BR127" s="476">
        <v>0.47</v>
      </c>
      <c r="BS127" s="476">
        <v>0.35</v>
      </c>
      <c r="BT127" s="476">
        <v>0.13</v>
      </c>
      <c r="BU127" s="476">
        <v>0.05</v>
      </c>
      <c r="BV127" s="476">
        <v>0</v>
      </c>
      <c r="BW127" s="933">
        <v>51</v>
      </c>
      <c r="BX127" s="933" t="s">
        <v>758</v>
      </c>
      <c r="BY127" s="933">
        <v>11</v>
      </c>
      <c r="BZ127" s="933" t="s">
        <v>758</v>
      </c>
      <c r="CA127" s="949">
        <v>0.38</v>
      </c>
      <c r="CB127" s="949">
        <v>0.38</v>
      </c>
      <c r="CC127" s="949">
        <v>0.15</v>
      </c>
      <c r="CD127" s="949">
        <v>0.08</v>
      </c>
      <c r="CE127" s="949">
        <v>0</v>
      </c>
      <c r="CF127" s="922">
        <v>125754800132</v>
      </c>
      <c r="CG127" s="126" t="s">
        <v>803</v>
      </c>
    </row>
    <row r="128" spans="1:85" ht="24.95" customHeight="1" x14ac:dyDescent="0.2">
      <c r="A128" s="555" t="s">
        <v>54</v>
      </c>
      <c r="B128" s="1" t="s">
        <v>121</v>
      </c>
      <c r="C128" s="309">
        <v>1</v>
      </c>
      <c r="D128" s="328">
        <v>54</v>
      </c>
      <c r="E128" s="328">
        <v>8</v>
      </c>
      <c r="F128" s="333">
        <v>0.2</v>
      </c>
      <c r="G128" s="333">
        <v>0.47</v>
      </c>
      <c r="H128" s="333">
        <v>0.28000000000000003</v>
      </c>
      <c r="I128" s="333">
        <v>0.05</v>
      </c>
      <c r="J128" s="333">
        <v>0</v>
      </c>
      <c r="K128" s="328">
        <v>53</v>
      </c>
      <c r="L128" s="328">
        <v>9</v>
      </c>
      <c r="M128" s="330">
        <v>0.3</v>
      </c>
      <c r="N128" s="330">
        <v>0.38</v>
      </c>
      <c r="O128" s="330">
        <v>0.25</v>
      </c>
      <c r="P128" s="330">
        <v>7.0000000000000007E-2</v>
      </c>
      <c r="Q128" s="330">
        <v>0.01</v>
      </c>
      <c r="R128" s="328">
        <v>56</v>
      </c>
      <c r="S128" s="328">
        <v>10</v>
      </c>
      <c r="T128" s="327">
        <v>0.19</v>
      </c>
      <c r="U128" s="327">
        <v>0.38</v>
      </c>
      <c r="V128" s="327">
        <v>0.3</v>
      </c>
      <c r="W128" s="327">
        <v>0.11</v>
      </c>
      <c r="X128" s="327">
        <v>0.02</v>
      </c>
      <c r="Y128" s="328">
        <v>53</v>
      </c>
      <c r="Z128" s="328">
        <v>10</v>
      </c>
      <c r="AA128" s="327">
        <v>0.25</v>
      </c>
      <c r="AB128" s="327">
        <v>0.45</v>
      </c>
      <c r="AC128" s="327">
        <v>0.24</v>
      </c>
      <c r="AD128" s="327">
        <v>0.06</v>
      </c>
      <c r="AE128" s="327">
        <v>0.01</v>
      </c>
      <c r="AF128" s="329">
        <v>47</v>
      </c>
      <c r="AG128" s="329">
        <v>9</v>
      </c>
      <c r="AH128" s="330">
        <v>0.63</v>
      </c>
      <c r="AI128" s="330">
        <v>0.25</v>
      </c>
      <c r="AJ128" s="330">
        <v>0.08</v>
      </c>
      <c r="AK128" s="330">
        <v>0.04</v>
      </c>
      <c r="AL128" s="330">
        <v>0</v>
      </c>
      <c r="AM128" s="312">
        <v>51</v>
      </c>
      <c r="AN128" s="312" t="s">
        <v>758</v>
      </c>
      <c r="AO128" s="312">
        <v>10</v>
      </c>
      <c r="AP128" s="312" t="s">
        <v>758</v>
      </c>
      <c r="AQ128" s="332">
        <v>0.33</v>
      </c>
      <c r="AR128" s="332">
        <v>0.42</v>
      </c>
      <c r="AS128" s="332">
        <v>0.22</v>
      </c>
      <c r="AT128" s="332">
        <v>0.04</v>
      </c>
      <c r="AU128" s="332">
        <v>0</v>
      </c>
      <c r="AV128" s="309">
        <v>52</v>
      </c>
      <c r="AW128" s="309" t="s">
        <v>758</v>
      </c>
      <c r="AX128" s="309">
        <v>9</v>
      </c>
      <c r="AY128" s="309" t="s">
        <v>758</v>
      </c>
      <c r="AZ128" s="327">
        <v>0.35</v>
      </c>
      <c r="BA128" s="327">
        <v>0.38</v>
      </c>
      <c r="BB128" s="327">
        <v>0.21</v>
      </c>
      <c r="BC128" s="327">
        <v>0.05</v>
      </c>
      <c r="BD128" s="327">
        <v>0</v>
      </c>
      <c r="BE128" s="424">
        <v>51</v>
      </c>
      <c r="BF128" s="424" t="s">
        <v>758</v>
      </c>
      <c r="BG128" s="424">
        <v>8</v>
      </c>
      <c r="BH128" s="424" t="s">
        <v>758</v>
      </c>
      <c r="BI128" s="428">
        <v>0.35</v>
      </c>
      <c r="BJ128" s="428">
        <v>0.42</v>
      </c>
      <c r="BK128" s="428">
        <v>0.2</v>
      </c>
      <c r="BL128" s="428">
        <v>0.03</v>
      </c>
      <c r="BM128" s="428">
        <v>0</v>
      </c>
      <c r="BN128" s="464">
        <v>53</v>
      </c>
      <c r="BO128" s="464" t="s">
        <v>758</v>
      </c>
      <c r="BP128" s="464">
        <v>9</v>
      </c>
      <c r="BQ128" s="464" t="s">
        <v>758</v>
      </c>
      <c r="BR128" s="476">
        <v>0.31</v>
      </c>
      <c r="BS128" s="476">
        <v>0.43</v>
      </c>
      <c r="BT128" s="476">
        <v>0.19</v>
      </c>
      <c r="BU128" s="476">
        <v>7.0000000000000007E-2</v>
      </c>
      <c r="BV128" s="476">
        <v>0</v>
      </c>
      <c r="BW128" s="933">
        <v>53</v>
      </c>
      <c r="BX128" s="933" t="s">
        <v>758</v>
      </c>
      <c r="BY128" s="933">
        <v>9</v>
      </c>
      <c r="BZ128" s="933" t="s">
        <v>758</v>
      </c>
      <c r="CA128" s="949">
        <v>0.27</v>
      </c>
      <c r="CB128" s="949">
        <v>0.46</v>
      </c>
      <c r="CC128" s="949">
        <v>0.2</v>
      </c>
      <c r="CD128" s="949">
        <v>7.0000000000000007E-2</v>
      </c>
      <c r="CE128" s="949">
        <v>0</v>
      </c>
      <c r="CF128" s="922">
        <v>125754000250</v>
      </c>
      <c r="CG128" s="555" t="s">
        <v>54</v>
      </c>
    </row>
    <row r="129" spans="1:85" ht="24.95" customHeight="1" x14ac:dyDescent="0.2">
      <c r="A129" s="126" t="s">
        <v>34</v>
      </c>
      <c r="B129" s="1" t="s">
        <v>123</v>
      </c>
      <c r="C129" s="2">
        <v>1</v>
      </c>
      <c r="D129" s="12">
        <v>54</v>
      </c>
      <c r="E129" s="12">
        <v>9</v>
      </c>
      <c r="F129" s="66">
        <v>0.27</v>
      </c>
      <c r="G129" s="66">
        <v>0.45</v>
      </c>
      <c r="H129" s="66">
        <v>0.18</v>
      </c>
      <c r="I129" s="66">
        <v>0.1</v>
      </c>
      <c r="J129" s="66">
        <v>0</v>
      </c>
      <c r="K129" s="12">
        <v>50</v>
      </c>
      <c r="L129" s="12">
        <v>9</v>
      </c>
      <c r="M129" s="61">
        <v>0.41</v>
      </c>
      <c r="N129" s="61">
        <v>0.41</v>
      </c>
      <c r="O129" s="61">
        <v>0.16</v>
      </c>
      <c r="P129" s="61">
        <v>0.03</v>
      </c>
      <c r="Q129" s="61">
        <v>0</v>
      </c>
      <c r="R129" s="12">
        <v>53</v>
      </c>
      <c r="S129" s="12">
        <v>9</v>
      </c>
      <c r="T129" s="63">
        <v>0.33</v>
      </c>
      <c r="U129" s="63">
        <v>0.32</v>
      </c>
      <c r="V129" s="63">
        <v>0.3</v>
      </c>
      <c r="W129" s="63">
        <v>0.05</v>
      </c>
      <c r="X129" s="63">
        <v>0</v>
      </c>
      <c r="Y129" s="12">
        <v>51</v>
      </c>
      <c r="Z129" s="12">
        <v>8</v>
      </c>
      <c r="AA129" s="63">
        <v>0.3</v>
      </c>
      <c r="AB129" s="63">
        <v>0.47</v>
      </c>
      <c r="AC129" s="63">
        <v>0.23</v>
      </c>
      <c r="AD129" s="63">
        <v>0</v>
      </c>
      <c r="AE129" s="63">
        <v>0</v>
      </c>
      <c r="AF129" s="25">
        <v>48</v>
      </c>
      <c r="AG129" s="25">
        <v>9</v>
      </c>
      <c r="AH129" s="61">
        <v>0.5</v>
      </c>
      <c r="AI129" s="61">
        <v>0.35</v>
      </c>
      <c r="AJ129" s="61">
        <v>0.1</v>
      </c>
      <c r="AK129" s="61">
        <v>0.05</v>
      </c>
      <c r="AL129" s="61">
        <v>0</v>
      </c>
      <c r="AM129" s="246">
        <v>53</v>
      </c>
      <c r="AN129" s="246" t="s">
        <v>758</v>
      </c>
      <c r="AO129" s="246">
        <v>10</v>
      </c>
      <c r="AP129" s="246" t="s">
        <v>758</v>
      </c>
      <c r="AQ129" s="263">
        <v>0.33</v>
      </c>
      <c r="AR129" s="263">
        <v>0.31</v>
      </c>
      <c r="AS129" s="263">
        <v>0.3</v>
      </c>
      <c r="AT129" s="263">
        <v>0.05</v>
      </c>
      <c r="AU129" s="263">
        <v>0.02</v>
      </c>
      <c r="AV129" s="309">
        <v>54</v>
      </c>
      <c r="AW129" s="309" t="s">
        <v>758</v>
      </c>
      <c r="AX129" s="309">
        <v>9</v>
      </c>
      <c r="AY129" s="309" t="s">
        <v>758</v>
      </c>
      <c r="AZ129" s="327">
        <v>0.17</v>
      </c>
      <c r="BA129" s="327">
        <v>0.47</v>
      </c>
      <c r="BB129" s="327">
        <v>0.28000000000000003</v>
      </c>
      <c r="BC129" s="327">
        <v>0.09</v>
      </c>
      <c r="BD129" s="327">
        <v>0</v>
      </c>
      <c r="BE129" s="651"/>
      <c r="BF129" s="651"/>
      <c r="BG129" s="651"/>
      <c r="BH129" s="651"/>
      <c r="BI129" s="651"/>
      <c r="BJ129" s="651"/>
      <c r="BK129" s="651"/>
      <c r="BL129" s="651"/>
      <c r="BM129" s="651"/>
      <c r="BN129" s="650"/>
      <c r="BO129" s="650"/>
      <c r="BP129" s="650"/>
      <c r="BQ129" s="650"/>
      <c r="BR129" s="650"/>
      <c r="BS129" s="650"/>
      <c r="BT129" s="650"/>
      <c r="BU129" s="650"/>
      <c r="BV129" s="650"/>
      <c r="BW129" s="933"/>
      <c r="BX129" s="933"/>
      <c r="BY129" s="933"/>
      <c r="BZ129" s="933"/>
      <c r="CA129" s="949"/>
      <c r="CB129" s="949"/>
      <c r="CC129" s="949"/>
      <c r="CD129" s="949"/>
      <c r="CE129" s="949"/>
      <c r="CG129" s="126" t="s">
        <v>34</v>
      </c>
    </row>
    <row r="130" spans="1:85" ht="24.95" customHeight="1" x14ac:dyDescent="0.2">
      <c r="A130" s="126" t="s">
        <v>804</v>
      </c>
      <c r="B130" s="1" t="s">
        <v>121</v>
      </c>
      <c r="C130" s="2">
        <v>3</v>
      </c>
      <c r="D130" s="12"/>
      <c r="E130" s="12"/>
      <c r="F130" s="66"/>
      <c r="G130" s="66"/>
      <c r="H130" s="66"/>
      <c r="I130" s="66"/>
      <c r="J130" s="66"/>
      <c r="K130" s="12"/>
      <c r="L130" s="12"/>
      <c r="M130" s="61"/>
      <c r="N130" s="61"/>
      <c r="O130" s="61"/>
      <c r="P130" s="61"/>
      <c r="Q130" s="61"/>
      <c r="R130" s="12"/>
      <c r="S130" s="12"/>
      <c r="T130" s="63"/>
      <c r="U130" s="63"/>
      <c r="V130" s="63"/>
      <c r="W130" s="63"/>
      <c r="X130" s="63"/>
      <c r="Y130" s="12"/>
      <c r="Z130" s="12"/>
      <c r="AA130" s="63"/>
      <c r="AB130" s="63"/>
      <c r="AC130" s="63"/>
      <c r="AD130" s="63"/>
      <c r="AE130" s="63"/>
      <c r="AF130" s="25"/>
      <c r="AG130" s="25"/>
      <c r="AH130" s="61"/>
      <c r="AI130" s="61"/>
      <c r="AJ130" s="61"/>
      <c r="AK130" s="61"/>
      <c r="AL130" s="61"/>
      <c r="AM130" s="246"/>
      <c r="AN130" s="246"/>
      <c r="AO130" s="246"/>
      <c r="AP130" s="246"/>
      <c r="AQ130" s="263"/>
      <c r="AR130" s="263"/>
      <c r="AS130" s="263"/>
      <c r="AT130" s="263"/>
      <c r="AU130" s="263"/>
      <c r="AV130" s="309">
        <v>52</v>
      </c>
      <c r="AW130" s="309" t="s">
        <v>758</v>
      </c>
      <c r="AX130" s="309">
        <v>10</v>
      </c>
      <c r="AY130" s="309" t="s">
        <v>758</v>
      </c>
      <c r="AZ130" s="327">
        <v>0.32</v>
      </c>
      <c r="BA130" s="327">
        <v>0.42</v>
      </c>
      <c r="BB130" s="327">
        <v>0.24</v>
      </c>
      <c r="BC130" s="327">
        <v>0.01</v>
      </c>
      <c r="BD130" s="327">
        <v>0.01</v>
      </c>
      <c r="BE130" s="652">
        <v>54</v>
      </c>
      <c r="BF130" s="652" t="s">
        <v>758</v>
      </c>
      <c r="BG130" s="652">
        <v>10</v>
      </c>
      <c r="BH130" s="652" t="s">
        <v>758</v>
      </c>
      <c r="BI130" s="653">
        <v>0.31</v>
      </c>
      <c r="BJ130" s="653">
        <v>0.36</v>
      </c>
      <c r="BK130" s="653">
        <v>0.23</v>
      </c>
      <c r="BL130" s="653">
        <v>0.11</v>
      </c>
      <c r="BM130" s="653">
        <v>0</v>
      </c>
      <c r="BN130" s="74">
        <v>54</v>
      </c>
      <c r="BO130" s="74" t="s">
        <v>758</v>
      </c>
      <c r="BP130" s="74">
        <v>12</v>
      </c>
      <c r="BQ130" s="74" t="s">
        <v>758</v>
      </c>
      <c r="BR130" s="96">
        <v>0.3</v>
      </c>
      <c r="BS130" s="96">
        <v>0.33</v>
      </c>
      <c r="BT130" s="96">
        <v>0.21</v>
      </c>
      <c r="BU130" s="96">
        <v>0.14000000000000001</v>
      </c>
      <c r="BV130" s="96">
        <v>0.02</v>
      </c>
      <c r="BW130" s="933">
        <v>55</v>
      </c>
      <c r="BX130" s="933" t="s">
        <v>758</v>
      </c>
      <c r="BY130" s="933">
        <v>11</v>
      </c>
      <c r="BZ130" s="933" t="s">
        <v>758</v>
      </c>
      <c r="CA130" s="949">
        <v>0.27</v>
      </c>
      <c r="CB130" s="949">
        <v>0.33</v>
      </c>
      <c r="CC130" s="949">
        <v>0.25</v>
      </c>
      <c r="CD130" s="949">
        <v>0.13</v>
      </c>
      <c r="CE130" s="949">
        <v>0.01</v>
      </c>
      <c r="CF130" s="922">
        <v>125754800329</v>
      </c>
      <c r="CG130" s="126" t="s">
        <v>804</v>
      </c>
    </row>
    <row r="131" spans="1:85" ht="24.95" customHeight="1" x14ac:dyDescent="0.2">
      <c r="A131" s="126" t="s">
        <v>176</v>
      </c>
      <c r="B131" s="1" t="s">
        <v>121</v>
      </c>
      <c r="C131" s="309">
        <v>6</v>
      </c>
      <c r="D131" s="328">
        <v>53</v>
      </c>
      <c r="E131" s="328">
        <v>9</v>
      </c>
      <c r="F131" s="333">
        <v>0.28999999999999998</v>
      </c>
      <c r="G131" s="333">
        <v>0.38</v>
      </c>
      <c r="H131" s="333">
        <v>0.27</v>
      </c>
      <c r="I131" s="333">
        <v>0.06</v>
      </c>
      <c r="J131" s="333">
        <v>0</v>
      </c>
      <c r="K131" s="328">
        <v>52</v>
      </c>
      <c r="L131" s="328">
        <v>8</v>
      </c>
      <c r="M131" s="330">
        <v>0.36</v>
      </c>
      <c r="N131" s="330">
        <v>0.41</v>
      </c>
      <c r="O131" s="330">
        <v>0.21</v>
      </c>
      <c r="P131" s="330">
        <v>0.02</v>
      </c>
      <c r="Q131" s="330">
        <v>0</v>
      </c>
      <c r="R131" s="328">
        <v>52</v>
      </c>
      <c r="S131" s="328">
        <v>8</v>
      </c>
      <c r="T131" s="327">
        <v>0.28000000000000003</v>
      </c>
      <c r="U131" s="327">
        <v>0.5</v>
      </c>
      <c r="V131" s="327">
        <v>0.17</v>
      </c>
      <c r="W131" s="327">
        <v>0.05</v>
      </c>
      <c r="X131" s="327">
        <v>0</v>
      </c>
      <c r="Y131" s="328">
        <v>49</v>
      </c>
      <c r="Z131" s="328">
        <v>9</v>
      </c>
      <c r="AA131" s="327">
        <v>0.4</v>
      </c>
      <c r="AB131" s="327">
        <v>0.47</v>
      </c>
      <c r="AC131" s="327">
        <v>0.11</v>
      </c>
      <c r="AD131" s="327">
        <v>0.03</v>
      </c>
      <c r="AE131" s="327">
        <v>0</v>
      </c>
      <c r="AF131" s="329">
        <v>48</v>
      </c>
      <c r="AG131" s="329">
        <v>9</v>
      </c>
      <c r="AH131" s="330">
        <v>0.54</v>
      </c>
      <c r="AI131" s="330">
        <v>0.35</v>
      </c>
      <c r="AJ131" s="330">
        <v>0.08</v>
      </c>
      <c r="AK131" s="330">
        <v>0.02</v>
      </c>
      <c r="AL131" s="330">
        <v>0.01</v>
      </c>
      <c r="AM131" s="312">
        <v>50</v>
      </c>
      <c r="AN131" s="312" t="s">
        <v>758</v>
      </c>
      <c r="AO131" s="312">
        <v>10</v>
      </c>
      <c r="AP131" s="312" t="s">
        <v>758</v>
      </c>
      <c r="AQ131" s="332">
        <v>0.37</v>
      </c>
      <c r="AR131" s="332">
        <v>0.43</v>
      </c>
      <c r="AS131" s="332">
        <v>0.17</v>
      </c>
      <c r="AT131" s="332">
        <v>0.04</v>
      </c>
      <c r="AU131" s="332">
        <v>0</v>
      </c>
      <c r="AV131" s="309">
        <v>50</v>
      </c>
      <c r="AW131" s="309" t="s">
        <v>758</v>
      </c>
      <c r="AX131" s="309">
        <v>10</v>
      </c>
      <c r="AY131" s="309" t="s">
        <v>758</v>
      </c>
      <c r="AZ131" s="327">
        <v>0.34</v>
      </c>
      <c r="BA131" s="327">
        <v>0.47</v>
      </c>
      <c r="BB131" s="327">
        <v>0.14000000000000001</v>
      </c>
      <c r="BC131" s="327">
        <v>0.04</v>
      </c>
      <c r="BD131" s="327">
        <v>0.01</v>
      </c>
      <c r="BE131" s="424">
        <v>51</v>
      </c>
      <c r="BF131" s="424" t="s">
        <v>758</v>
      </c>
      <c r="BG131" s="424">
        <v>10</v>
      </c>
      <c r="BH131" s="424" t="s">
        <v>758</v>
      </c>
      <c r="BI131" s="428">
        <v>0.31</v>
      </c>
      <c r="BJ131" s="428">
        <v>0.49</v>
      </c>
      <c r="BK131" s="428">
        <v>0.14000000000000001</v>
      </c>
      <c r="BL131" s="428">
        <v>0.06</v>
      </c>
      <c r="BM131" s="428">
        <v>0</v>
      </c>
      <c r="BN131" s="464">
        <v>52</v>
      </c>
      <c r="BO131" s="464" t="s">
        <v>758</v>
      </c>
      <c r="BP131" s="464">
        <v>11</v>
      </c>
      <c r="BQ131" s="464" t="s">
        <v>758</v>
      </c>
      <c r="BR131" s="476">
        <v>0.36</v>
      </c>
      <c r="BS131" s="476">
        <v>0.36</v>
      </c>
      <c r="BT131" s="476">
        <v>0.17</v>
      </c>
      <c r="BU131" s="476">
        <v>0.11</v>
      </c>
      <c r="BV131" s="476">
        <v>0</v>
      </c>
      <c r="BW131" s="933">
        <v>55</v>
      </c>
      <c r="BX131" s="933" t="s">
        <v>758</v>
      </c>
      <c r="BY131" s="933">
        <v>10</v>
      </c>
      <c r="BZ131" s="933" t="s">
        <v>758</v>
      </c>
      <c r="CA131" s="949">
        <v>0.24</v>
      </c>
      <c r="CB131" s="949">
        <v>0.33</v>
      </c>
      <c r="CC131" s="949">
        <v>0.36</v>
      </c>
      <c r="CD131" s="949">
        <v>7.0000000000000007E-2</v>
      </c>
      <c r="CE131" s="949">
        <v>0</v>
      </c>
      <c r="CF131" s="922">
        <v>325754005404</v>
      </c>
      <c r="CG131" s="126" t="s">
        <v>176</v>
      </c>
    </row>
    <row r="132" spans="1:85" ht="24.95" customHeight="1" x14ac:dyDescent="0.2">
      <c r="A132" s="126" t="s">
        <v>805</v>
      </c>
      <c r="B132" s="1" t="s">
        <v>121</v>
      </c>
      <c r="C132" s="2">
        <v>2</v>
      </c>
      <c r="D132" s="12"/>
      <c r="E132" s="12"/>
      <c r="F132" s="66"/>
      <c r="G132" s="66"/>
      <c r="H132" s="66"/>
      <c r="I132" s="66"/>
      <c r="J132" s="66"/>
      <c r="K132" s="12"/>
      <c r="L132" s="12"/>
      <c r="M132" s="61"/>
      <c r="N132" s="61"/>
      <c r="O132" s="61"/>
      <c r="P132" s="61"/>
      <c r="Q132" s="61"/>
      <c r="R132" s="12"/>
      <c r="S132" s="12"/>
      <c r="T132" s="63"/>
      <c r="U132" s="63"/>
      <c r="V132" s="63"/>
      <c r="W132" s="63"/>
      <c r="X132" s="63"/>
      <c r="Y132" s="12"/>
      <c r="Z132" s="12"/>
      <c r="AA132" s="63"/>
      <c r="AB132" s="63"/>
      <c r="AC132" s="63"/>
      <c r="AD132" s="63"/>
      <c r="AE132" s="63"/>
      <c r="AF132" s="25"/>
      <c r="AG132" s="25"/>
      <c r="AH132" s="61"/>
      <c r="AI132" s="61"/>
      <c r="AJ132" s="61"/>
      <c r="AK132" s="61"/>
      <c r="AL132" s="61"/>
      <c r="AM132" s="246"/>
      <c r="AN132" s="246"/>
      <c r="AO132" s="246"/>
      <c r="AP132" s="246"/>
      <c r="AQ132" s="263"/>
      <c r="AR132" s="263"/>
      <c r="AS132" s="263"/>
      <c r="AT132" s="263"/>
      <c r="AU132" s="263"/>
      <c r="AV132" s="309">
        <v>49</v>
      </c>
      <c r="AW132" s="309" t="s">
        <v>758</v>
      </c>
      <c r="AX132" s="309">
        <v>9</v>
      </c>
      <c r="AY132" s="309" t="s">
        <v>758</v>
      </c>
      <c r="AZ132" s="327">
        <v>0.51</v>
      </c>
      <c r="BA132" s="327">
        <v>0.32</v>
      </c>
      <c r="BB132" s="327">
        <v>0.12</v>
      </c>
      <c r="BC132" s="327">
        <v>0.05</v>
      </c>
      <c r="BD132" s="327">
        <v>0</v>
      </c>
      <c r="BE132" s="424">
        <v>49</v>
      </c>
      <c r="BF132" s="424" t="s">
        <v>758</v>
      </c>
      <c r="BG132" s="424">
        <v>10</v>
      </c>
      <c r="BH132" s="424" t="s">
        <v>758</v>
      </c>
      <c r="BI132" s="428">
        <v>0.48</v>
      </c>
      <c r="BJ132" s="428">
        <v>0.33</v>
      </c>
      <c r="BK132" s="428">
        <v>0.17</v>
      </c>
      <c r="BL132" s="428">
        <v>0.03</v>
      </c>
      <c r="BM132" s="428">
        <v>0</v>
      </c>
      <c r="BN132" s="464">
        <v>54</v>
      </c>
      <c r="BO132" s="464" t="s">
        <v>758</v>
      </c>
      <c r="BP132" s="464">
        <v>10</v>
      </c>
      <c r="BQ132" s="464" t="s">
        <v>758</v>
      </c>
      <c r="BR132" s="476">
        <v>0.23</v>
      </c>
      <c r="BS132" s="476">
        <v>0.43</v>
      </c>
      <c r="BT132" s="476">
        <v>0.27</v>
      </c>
      <c r="BU132" s="476">
        <v>0.06</v>
      </c>
      <c r="BV132" s="476">
        <v>0.02</v>
      </c>
      <c r="BW132" s="933">
        <v>55</v>
      </c>
      <c r="BX132" s="933" t="s">
        <v>758</v>
      </c>
      <c r="BY132" s="933">
        <v>10</v>
      </c>
      <c r="BZ132" s="933" t="s">
        <v>758</v>
      </c>
      <c r="CA132" s="949">
        <v>0.23</v>
      </c>
      <c r="CB132" s="949">
        <v>0.36</v>
      </c>
      <c r="CC132" s="949">
        <v>0.31</v>
      </c>
      <c r="CD132" s="949">
        <v>0.08</v>
      </c>
      <c r="CE132" s="949">
        <v>0.01</v>
      </c>
      <c r="CF132" s="922">
        <v>125754800256</v>
      </c>
      <c r="CG132" s="126" t="s">
        <v>805</v>
      </c>
    </row>
    <row r="133" spans="1:85" ht="24.95" customHeight="1" x14ac:dyDescent="0.2">
      <c r="A133" s="555" t="s">
        <v>106</v>
      </c>
      <c r="B133" s="1" t="s">
        <v>123</v>
      </c>
      <c r="C133" s="309">
        <v>2</v>
      </c>
      <c r="D133" s="328">
        <v>49</v>
      </c>
      <c r="E133" s="328">
        <v>16</v>
      </c>
      <c r="F133" s="333">
        <v>0.5</v>
      </c>
      <c r="G133" s="333">
        <v>0</v>
      </c>
      <c r="H133" s="333">
        <v>0.5</v>
      </c>
      <c r="I133" s="333">
        <v>0</v>
      </c>
      <c r="J133" s="333">
        <v>0</v>
      </c>
      <c r="K133" s="328" t="s">
        <v>126</v>
      </c>
      <c r="L133" s="328" t="s">
        <v>126</v>
      </c>
      <c r="M133" s="330"/>
      <c r="N133" s="330"/>
      <c r="O133" s="330"/>
      <c r="P133" s="330"/>
      <c r="Q133" s="330"/>
      <c r="R133" s="328" t="s">
        <v>126</v>
      </c>
      <c r="S133" s="328" t="s">
        <v>126</v>
      </c>
      <c r="T133" s="309"/>
      <c r="U133" s="309"/>
      <c r="V133" s="309"/>
      <c r="W133" s="309"/>
      <c r="X133" s="309"/>
      <c r="Y133" s="328" t="s">
        <v>126</v>
      </c>
      <c r="Z133" s="328" t="s">
        <v>126</v>
      </c>
      <c r="AA133" s="309"/>
      <c r="AB133" s="309"/>
      <c r="AC133" s="309"/>
      <c r="AD133" s="309"/>
      <c r="AE133" s="309"/>
      <c r="AF133" s="329">
        <v>44</v>
      </c>
      <c r="AG133" s="329">
        <v>8</v>
      </c>
      <c r="AH133" s="330">
        <v>0.68</v>
      </c>
      <c r="AI133" s="330">
        <v>0.27</v>
      </c>
      <c r="AJ133" s="330">
        <v>0.03</v>
      </c>
      <c r="AK133" s="330">
        <v>0.02</v>
      </c>
      <c r="AL133" s="330">
        <v>0</v>
      </c>
      <c r="AM133" s="312">
        <v>40</v>
      </c>
      <c r="AN133" s="312" t="s">
        <v>760</v>
      </c>
      <c r="AO133" s="312">
        <v>6</v>
      </c>
      <c r="AP133" s="312" t="s">
        <v>760</v>
      </c>
      <c r="AQ133" s="332">
        <v>0.89</v>
      </c>
      <c r="AR133" s="332">
        <v>0.11</v>
      </c>
      <c r="AS133" s="332">
        <v>0</v>
      </c>
      <c r="AT133" s="332">
        <v>0</v>
      </c>
      <c r="AU133" s="332">
        <v>0</v>
      </c>
      <c r="AV133" s="649"/>
      <c r="AW133" s="649"/>
      <c r="AX133" s="649"/>
      <c r="AY133" s="649"/>
      <c r="AZ133" s="649"/>
      <c r="BA133" s="649"/>
      <c r="BB133" s="649"/>
      <c r="BC133" s="649"/>
      <c r="BD133" s="649"/>
      <c r="BE133" s="651"/>
      <c r="BF133" s="651"/>
      <c r="BG133" s="651"/>
      <c r="BH133" s="651"/>
      <c r="BI133" s="651"/>
      <c r="BJ133" s="651"/>
      <c r="BK133" s="651"/>
      <c r="BL133" s="651"/>
      <c r="BM133" s="651"/>
      <c r="BN133" s="464">
        <v>52</v>
      </c>
      <c r="BO133" s="464" t="s">
        <v>758</v>
      </c>
      <c r="BP133" s="464">
        <v>26</v>
      </c>
      <c r="BQ133" s="464" t="s">
        <v>759</v>
      </c>
      <c r="BR133" s="476">
        <v>0.5</v>
      </c>
      <c r="BS133" s="476">
        <v>0</v>
      </c>
      <c r="BT133" s="476">
        <v>0</v>
      </c>
      <c r="BU133" s="476">
        <v>0.5</v>
      </c>
      <c r="BV133" s="476">
        <v>0</v>
      </c>
      <c r="BW133" s="933">
        <v>50</v>
      </c>
      <c r="BX133" s="933" t="s">
        <v>758</v>
      </c>
      <c r="BY133" s="933">
        <v>13</v>
      </c>
      <c r="BZ133" s="933" t="s">
        <v>758</v>
      </c>
      <c r="CA133" s="949">
        <v>0.53</v>
      </c>
      <c r="CB133" s="949">
        <v>0.26</v>
      </c>
      <c r="CC133" s="949">
        <v>0.09</v>
      </c>
      <c r="CD133" s="949">
        <v>0.12</v>
      </c>
      <c r="CE133" s="949">
        <v>0</v>
      </c>
      <c r="CF133" s="922">
        <v>325754005366</v>
      </c>
      <c r="CG133" s="555" t="s">
        <v>106</v>
      </c>
    </row>
    <row r="134" spans="1:85" ht="24.95" customHeight="1" x14ac:dyDescent="0.2">
      <c r="A134" s="126" t="s">
        <v>133</v>
      </c>
      <c r="B134" s="1" t="s">
        <v>123</v>
      </c>
      <c r="C134" s="2">
        <v>4</v>
      </c>
      <c r="D134" s="12" t="s">
        <v>126</v>
      </c>
      <c r="E134" s="12" t="s">
        <v>126</v>
      </c>
      <c r="F134" s="12"/>
      <c r="G134" s="12"/>
      <c r="H134" s="12"/>
      <c r="I134" s="12"/>
      <c r="J134" s="12"/>
      <c r="K134" s="12" t="s">
        <v>126</v>
      </c>
      <c r="L134" s="12" t="s">
        <v>126</v>
      </c>
      <c r="M134" s="61"/>
      <c r="N134" s="61"/>
      <c r="O134" s="61"/>
      <c r="P134" s="61"/>
      <c r="Q134" s="61"/>
      <c r="R134" s="12">
        <v>66</v>
      </c>
      <c r="S134" s="12">
        <v>12</v>
      </c>
      <c r="T134" s="63">
        <v>0</v>
      </c>
      <c r="U134" s="63">
        <v>0.5</v>
      </c>
      <c r="V134" s="63">
        <v>0</v>
      </c>
      <c r="W134" s="63">
        <v>0.5</v>
      </c>
      <c r="X134" s="63">
        <v>0</v>
      </c>
      <c r="Y134" s="12" t="s">
        <v>126</v>
      </c>
      <c r="Z134" s="12" t="s">
        <v>126</v>
      </c>
      <c r="AA134" s="2"/>
      <c r="AB134" s="2"/>
      <c r="AC134" s="2"/>
      <c r="AD134" s="2"/>
      <c r="AE134" s="2"/>
      <c r="AF134" s="25"/>
      <c r="AG134" s="25"/>
      <c r="AH134" s="61"/>
      <c r="AI134" s="61"/>
      <c r="AJ134" s="61"/>
      <c r="AK134" s="61"/>
      <c r="AL134" s="61"/>
      <c r="AM134" s="646"/>
      <c r="AN134" s="646"/>
      <c r="AO134" s="646"/>
      <c r="AP134" s="646"/>
      <c r="AQ134" s="646"/>
      <c r="AR134" s="646"/>
      <c r="AS134" s="646"/>
      <c r="AT134" s="646"/>
      <c r="AU134" s="646"/>
      <c r="BN134" s="650"/>
      <c r="BO134" s="650"/>
      <c r="BP134" s="650"/>
      <c r="BQ134" s="650"/>
      <c r="BR134" s="650"/>
      <c r="BS134" s="650"/>
      <c r="BT134" s="650"/>
      <c r="BU134" s="650"/>
      <c r="BV134" s="650"/>
      <c r="BW134" s="933"/>
      <c r="BX134" s="933"/>
      <c r="BY134" s="933"/>
      <c r="BZ134" s="933"/>
      <c r="CA134" s="949"/>
      <c r="CB134" s="949"/>
      <c r="CC134" s="949"/>
      <c r="CD134" s="949"/>
      <c r="CE134" s="949"/>
      <c r="CG134" s="126" t="s">
        <v>133</v>
      </c>
    </row>
    <row r="135" spans="1:85" ht="24.95" customHeight="1" x14ac:dyDescent="0.2">
      <c r="A135" s="126" t="s">
        <v>955</v>
      </c>
      <c r="B135" s="1" t="s">
        <v>123</v>
      </c>
      <c r="C135" s="2">
        <v>5</v>
      </c>
      <c r="D135" s="12">
        <v>56</v>
      </c>
      <c r="E135" s="12">
        <v>11</v>
      </c>
      <c r="F135" s="66">
        <v>0.28000000000000003</v>
      </c>
      <c r="G135" s="66">
        <v>0.35</v>
      </c>
      <c r="H135" s="66">
        <v>0.21</v>
      </c>
      <c r="I135" s="66">
        <v>0.14000000000000001</v>
      </c>
      <c r="J135" s="66">
        <v>0.02</v>
      </c>
      <c r="K135" s="12">
        <v>56</v>
      </c>
      <c r="L135" s="12">
        <v>9</v>
      </c>
      <c r="M135" s="61">
        <v>0.16</v>
      </c>
      <c r="N135" s="61">
        <v>0.37</v>
      </c>
      <c r="O135" s="61">
        <v>0.4</v>
      </c>
      <c r="P135" s="61">
        <v>7.0000000000000007E-2</v>
      </c>
      <c r="Q135" s="61">
        <v>0</v>
      </c>
      <c r="R135" s="12">
        <v>54</v>
      </c>
      <c r="S135" s="12">
        <v>8</v>
      </c>
      <c r="T135" s="63">
        <v>0.17</v>
      </c>
      <c r="U135" s="63">
        <v>0.43</v>
      </c>
      <c r="V135" s="63">
        <v>0.4</v>
      </c>
      <c r="W135" s="63">
        <v>0</v>
      </c>
      <c r="X135" s="63">
        <v>0</v>
      </c>
      <c r="Y135" s="12">
        <v>53</v>
      </c>
      <c r="Z135" s="12">
        <v>8</v>
      </c>
      <c r="AA135" s="63">
        <v>0.22</v>
      </c>
      <c r="AB135" s="63">
        <v>0.48</v>
      </c>
      <c r="AC135" s="63">
        <v>0.28000000000000003</v>
      </c>
      <c r="AD135" s="63">
        <v>0.02</v>
      </c>
      <c r="AE135" s="63">
        <v>0</v>
      </c>
      <c r="AF135" s="25">
        <v>52</v>
      </c>
      <c r="AG135" s="25">
        <v>11</v>
      </c>
      <c r="AH135" s="61">
        <v>0.4</v>
      </c>
      <c r="AI135" s="61">
        <v>0.25</v>
      </c>
      <c r="AJ135" s="61">
        <v>0.24</v>
      </c>
      <c r="AK135" s="61">
        <v>0.11</v>
      </c>
      <c r="AL135" s="61">
        <v>0</v>
      </c>
      <c r="AM135" s="647">
        <v>53</v>
      </c>
      <c r="AN135" s="647" t="s">
        <v>758</v>
      </c>
      <c r="AO135" s="647">
        <v>9</v>
      </c>
      <c r="AP135" s="647" t="s">
        <v>758</v>
      </c>
      <c r="AQ135" s="648">
        <v>0.28000000000000003</v>
      </c>
      <c r="AR135" s="648">
        <v>0.46</v>
      </c>
      <c r="AS135" s="648">
        <v>0.22</v>
      </c>
      <c r="AT135" s="648">
        <v>0.04</v>
      </c>
      <c r="AU135" s="648">
        <v>0</v>
      </c>
      <c r="AV135" s="74">
        <v>54</v>
      </c>
      <c r="AW135" s="74" t="s">
        <v>758</v>
      </c>
      <c r="AX135" s="74">
        <v>8</v>
      </c>
      <c r="AY135" s="74" t="s">
        <v>758</v>
      </c>
      <c r="AZ135" s="96">
        <v>0.2</v>
      </c>
      <c r="BA135" s="96">
        <v>0.5</v>
      </c>
      <c r="BB135" s="96">
        <v>0.27</v>
      </c>
      <c r="BC135" s="96">
        <v>0.02</v>
      </c>
      <c r="BD135" s="96">
        <v>0.01</v>
      </c>
      <c r="BE135" s="652">
        <v>54</v>
      </c>
      <c r="BF135" s="652" t="s">
        <v>758</v>
      </c>
      <c r="BG135" s="652">
        <v>10</v>
      </c>
      <c r="BH135" s="652" t="s">
        <v>758</v>
      </c>
      <c r="BI135" s="653">
        <v>0.3</v>
      </c>
      <c r="BJ135" s="653">
        <v>0.24</v>
      </c>
      <c r="BK135" s="653">
        <v>0.41</v>
      </c>
      <c r="BL135" s="653">
        <v>0.02</v>
      </c>
      <c r="BM135" s="653">
        <v>0.04</v>
      </c>
      <c r="BN135" s="74">
        <v>53</v>
      </c>
      <c r="BO135" s="74" t="s">
        <v>758</v>
      </c>
      <c r="BP135" s="74">
        <v>11</v>
      </c>
      <c r="BQ135" s="74" t="s">
        <v>758</v>
      </c>
      <c r="BR135" s="96">
        <v>0.28000000000000003</v>
      </c>
      <c r="BS135" s="96">
        <v>0.42</v>
      </c>
      <c r="BT135" s="96">
        <v>0.23</v>
      </c>
      <c r="BU135" s="96">
        <v>0.04</v>
      </c>
      <c r="BV135" s="96">
        <v>0.04</v>
      </c>
      <c r="BW135" s="933">
        <v>55</v>
      </c>
      <c r="BX135" s="933" t="s">
        <v>758</v>
      </c>
      <c r="BY135" s="933">
        <v>11</v>
      </c>
      <c r="BZ135" s="933" t="s">
        <v>758</v>
      </c>
      <c r="CA135" s="949">
        <v>0.23</v>
      </c>
      <c r="CB135" s="949">
        <v>0.42</v>
      </c>
      <c r="CC135" s="949">
        <v>0.23</v>
      </c>
      <c r="CD135" s="949">
        <v>0.12</v>
      </c>
      <c r="CE135" s="949">
        <v>0</v>
      </c>
      <c r="CF135" s="922">
        <v>325754005196</v>
      </c>
      <c r="CG135" s="126" t="s">
        <v>955</v>
      </c>
    </row>
    <row r="136" spans="1:85" ht="24.95" customHeight="1" x14ac:dyDescent="0.2">
      <c r="A136" s="126" t="s">
        <v>117</v>
      </c>
      <c r="B136" s="1" t="s">
        <v>123</v>
      </c>
      <c r="C136" s="2">
        <v>6</v>
      </c>
      <c r="D136" s="12">
        <v>44</v>
      </c>
      <c r="E136" s="12">
        <v>0</v>
      </c>
      <c r="F136" s="66">
        <v>1</v>
      </c>
      <c r="G136" s="66">
        <v>0</v>
      </c>
      <c r="H136" s="66">
        <v>0</v>
      </c>
      <c r="I136" s="66">
        <v>0</v>
      </c>
      <c r="J136" s="66">
        <v>0</v>
      </c>
      <c r="K136" s="12" t="s">
        <v>128</v>
      </c>
      <c r="L136" s="12" t="s">
        <v>128</v>
      </c>
      <c r="M136" s="61"/>
      <c r="N136" s="61"/>
      <c r="O136" s="61"/>
      <c r="P136" s="61"/>
      <c r="Q136" s="61"/>
      <c r="R136" s="12" t="s">
        <v>126</v>
      </c>
      <c r="S136" s="12" t="s">
        <v>126</v>
      </c>
      <c r="T136" s="2"/>
      <c r="U136" s="2"/>
      <c r="V136" s="2"/>
      <c r="W136" s="2"/>
      <c r="X136" s="2"/>
      <c r="Y136" s="12" t="s">
        <v>126</v>
      </c>
      <c r="Z136" s="12" t="s">
        <v>126</v>
      </c>
      <c r="AA136" s="2"/>
      <c r="AB136" s="2"/>
      <c r="AC136" s="2"/>
      <c r="AD136" s="2"/>
      <c r="AE136" s="2"/>
      <c r="AF136" s="25"/>
      <c r="AG136" s="25"/>
      <c r="AH136" s="61"/>
      <c r="AI136" s="61"/>
      <c r="AJ136" s="61"/>
      <c r="AK136" s="61"/>
      <c r="AL136" s="61"/>
      <c r="AM136" s="246">
        <v>51</v>
      </c>
      <c r="AN136" s="246" t="s">
        <v>758</v>
      </c>
      <c r="AO136" s="246">
        <v>0</v>
      </c>
      <c r="AP136" s="246" t="s">
        <v>760</v>
      </c>
      <c r="AQ136" s="263">
        <v>0</v>
      </c>
      <c r="AR136" s="263">
        <v>1</v>
      </c>
      <c r="AS136" s="263">
        <v>0</v>
      </c>
      <c r="AT136" s="263">
        <v>0</v>
      </c>
      <c r="AU136" s="263">
        <v>0</v>
      </c>
      <c r="AV136" s="649"/>
      <c r="AW136" s="649"/>
      <c r="AX136" s="649"/>
      <c r="AY136" s="649"/>
      <c r="AZ136" s="649"/>
      <c r="BA136" s="649"/>
      <c r="BB136" s="649"/>
      <c r="BC136" s="649"/>
      <c r="BD136" s="649"/>
      <c r="BE136" s="651"/>
      <c r="BF136" s="651"/>
      <c r="BG136" s="651"/>
      <c r="BH136" s="651"/>
      <c r="BI136" s="651"/>
      <c r="BJ136" s="651"/>
      <c r="BK136" s="651"/>
      <c r="BL136" s="651"/>
      <c r="BM136" s="651"/>
      <c r="BN136" s="650"/>
      <c r="BO136" s="650"/>
      <c r="BP136" s="650"/>
      <c r="BQ136" s="650"/>
      <c r="BR136" s="650"/>
      <c r="BS136" s="650"/>
      <c r="BT136" s="650"/>
      <c r="BU136" s="650"/>
      <c r="BV136" s="650"/>
      <c r="BW136" s="933"/>
      <c r="BX136" s="933"/>
      <c r="BY136" s="933"/>
      <c r="BZ136" s="933"/>
      <c r="CA136" s="949"/>
      <c r="CB136" s="949"/>
      <c r="CC136" s="949"/>
      <c r="CD136" s="949"/>
      <c r="CE136" s="949"/>
      <c r="CG136" s="126" t="s">
        <v>117</v>
      </c>
    </row>
    <row r="137" spans="1:85" ht="24.95" customHeight="1" x14ac:dyDescent="0.2">
      <c r="A137" s="126" t="s">
        <v>69</v>
      </c>
      <c r="B137" s="1" t="s">
        <v>123</v>
      </c>
      <c r="C137" s="2">
        <v>4</v>
      </c>
      <c r="D137" s="12">
        <v>59</v>
      </c>
      <c r="E137" s="12">
        <v>10</v>
      </c>
      <c r="F137" s="66">
        <v>0.19</v>
      </c>
      <c r="G137" s="66">
        <v>0.19</v>
      </c>
      <c r="H137" s="66">
        <v>0.38</v>
      </c>
      <c r="I137" s="66">
        <v>0.25</v>
      </c>
      <c r="J137" s="66">
        <v>0</v>
      </c>
      <c r="K137" s="12">
        <v>57</v>
      </c>
      <c r="L137" s="12">
        <v>9</v>
      </c>
      <c r="M137" s="61">
        <v>0.2</v>
      </c>
      <c r="N137" s="61">
        <v>0.25</v>
      </c>
      <c r="O137" s="61">
        <v>0.5</v>
      </c>
      <c r="P137" s="61">
        <v>0.05</v>
      </c>
      <c r="Q137" s="61">
        <v>0</v>
      </c>
      <c r="R137" s="12">
        <v>63</v>
      </c>
      <c r="S137" s="12">
        <v>7</v>
      </c>
      <c r="T137" s="63">
        <v>0</v>
      </c>
      <c r="U137" s="63">
        <v>0.09</v>
      </c>
      <c r="V137" s="63">
        <v>0.73</v>
      </c>
      <c r="W137" s="63">
        <v>0.18</v>
      </c>
      <c r="X137" s="63">
        <v>0</v>
      </c>
      <c r="Y137" s="12">
        <v>54</v>
      </c>
      <c r="Z137" s="12">
        <v>8</v>
      </c>
      <c r="AA137" s="63">
        <v>0.23</v>
      </c>
      <c r="AB137" s="63">
        <v>0.38</v>
      </c>
      <c r="AC137" s="63">
        <v>0.31</v>
      </c>
      <c r="AD137" s="63">
        <v>0.08</v>
      </c>
      <c r="AE137" s="63">
        <v>0</v>
      </c>
      <c r="AF137" s="25">
        <v>51</v>
      </c>
      <c r="AG137" s="25">
        <v>10</v>
      </c>
      <c r="AH137" s="61">
        <v>0.5</v>
      </c>
      <c r="AI137" s="61">
        <v>0.25</v>
      </c>
      <c r="AJ137" s="61">
        <v>0.17</v>
      </c>
      <c r="AK137" s="61">
        <v>0.08</v>
      </c>
      <c r="AL137" s="61">
        <v>0</v>
      </c>
      <c r="AM137" s="246">
        <v>51</v>
      </c>
      <c r="AN137" s="246" t="s">
        <v>758</v>
      </c>
      <c r="AO137" s="246">
        <v>9</v>
      </c>
      <c r="AP137" s="246" t="s">
        <v>758</v>
      </c>
      <c r="AQ137" s="263">
        <v>0.32</v>
      </c>
      <c r="AR137" s="263">
        <v>0.41</v>
      </c>
      <c r="AS137" s="263">
        <v>0.23</v>
      </c>
      <c r="AT137" s="263">
        <v>0.05</v>
      </c>
      <c r="AU137" s="263">
        <v>0</v>
      </c>
      <c r="AV137" s="74">
        <v>60</v>
      </c>
      <c r="AW137" s="74" t="s">
        <v>758</v>
      </c>
      <c r="AX137" s="74">
        <v>8</v>
      </c>
      <c r="AY137" s="74" t="s">
        <v>758</v>
      </c>
      <c r="AZ137" s="96">
        <v>0.06</v>
      </c>
      <c r="BA137" s="96">
        <v>0.35</v>
      </c>
      <c r="BB137" s="96">
        <v>0.41</v>
      </c>
      <c r="BC137" s="96">
        <v>0.18</v>
      </c>
      <c r="BD137" s="96">
        <v>0</v>
      </c>
      <c r="BE137" s="652">
        <v>55</v>
      </c>
      <c r="BF137" s="652" t="s">
        <v>758</v>
      </c>
      <c r="BG137" s="652">
        <v>8</v>
      </c>
      <c r="BH137" s="652" t="s">
        <v>758</v>
      </c>
      <c r="BI137" s="653">
        <v>0.18</v>
      </c>
      <c r="BJ137" s="653">
        <v>0.36</v>
      </c>
      <c r="BK137" s="653">
        <v>0.36</v>
      </c>
      <c r="BL137" s="653">
        <v>0.09</v>
      </c>
      <c r="BM137" s="653">
        <v>0</v>
      </c>
      <c r="BN137" s="74">
        <v>58</v>
      </c>
      <c r="BO137" s="74" t="s">
        <v>758</v>
      </c>
      <c r="BP137" s="74">
        <v>9</v>
      </c>
      <c r="BQ137" s="74" t="s">
        <v>758</v>
      </c>
      <c r="BR137" s="96">
        <v>0.15</v>
      </c>
      <c r="BS137" s="96">
        <v>0.3</v>
      </c>
      <c r="BT137" s="96">
        <v>0.36</v>
      </c>
      <c r="BU137" s="96">
        <v>0.18</v>
      </c>
      <c r="BV137" s="96">
        <v>0</v>
      </c>
      <c r="BW137" s="933">
        <v>58</v>
      </c>
      <c r="BX137" s="933" t="s">
        <v>758</v>
      </c>
      <c r="BY137" s="933">
        <v>12</v>
      </c>
      <c r="BZ137" s="933" t="s">
        <v>758</v>
      </c>
      <c r="CA137" s="949">
        <v>0.18</v>
      </c>
      <c r="CB137" s="949">
        <v>0.34</v>
      </c>
      <c r="CC137" s="949">
        <v>0.26</v>
      </c>
      <c r="CD137" s="949">
        <v>0.16</v>
      </c>
      <c r="CE137" s="949">
        <v>0.05</v>
      </c>
      <c r="CF137" s="922">
        <v>325754004629</v>
      </c>
      <c r="CG137" s="126" t="s">
        <v>69</v>
      </c>
    </row>
    <row r="138" spans="1:85" ht="24.95" customHeight="1" x14ac:dyDescent="0.2">
      <c r="A138" s="126" t="s">
        <v>35</v>
      </c>
      <c r="B138" s="1" t="s">
        <v>123</v>
      </c>
      <c r="C138" s="2">
        <v>6</v>
      </c>
      <c r="D138" s="12">
        <v>57</v>
      </c>
      <c r="E138" s="12">
        <v>10</v>
      </c>
      <c r="F138" s="66">
        <v>0.19</v>
      </c>
      <c r="G138" s="66">
        <v>0.32</v>
      </c>
      <c r="H138" s="66">
        <v>0.35</v>
      </c>
      <c r="I138" s="66">
        <v>0.14000000000000001</v>
      </c>
      <c r="J138" s="66">
        <v>0</v>
      </c>
      <c r="K138" s="12">
        <v>53</v>
      </c>
      <c r="L138" s="12">
        <v>9</v>
      </c>
      <c r="M138" s="61">
        <v>0.3</v>
      </c>
      <c r="N138" s="61">
        <v>0.38</v>
      </c>
      <c r="O138" s="61">
        <v>0.28000000000000003</v>
      </c>
      <c r="P138" s="61">
        <v>0.04</v>
      </c>
      <c r="Q138" s="61">
        <v>0</v>
      </c>
      <c r="R138" s="12">
        <v>54</v>
      </c>
      <c r="S138" s="12">
        <v>10</v>
      </c>
      <c r="T138" s="63">
        <v>0.28999999999999998</v>
      </c>
      <c r="U138" s="63">
        <v>0.31</v>
      </c>
      <c r="V138" s="63">
        <v>0.27</v>
      </c>
      <c r="W138" s="63">
        <v>0.1</v>
      </c>
      <c r="X138" s="63">
        <v>0.02</v>
      </c>
      <c r="Y138" s="12">
        <v>56</v>
      </c>
      <c r="Z138" s="12">
        <v>10</v>
      </c>
      <c r="AA138" s="63">
        <v>0.17</v>
      </c>
      <c r="AB138" s="63">
        <v>0.41</v>
      </c>
      <c r="AC138" s="63">
        <v>0.27</v>
      </c>
      <c r="AD138" s="63">
        <v>0.15</v>
      </c>
      <c r="AE138" s="63">
        <v>0</v>
      </c>
      <c r="AF138" s="25">
        <v>50</v>
      </c>
      <c r="AG138" s="25">
        <v>10</v>
      </c>
      <c r="AH138" s="61">
        <v>0.38</v>
      </c>
      <c r="AI138" s="61">
        <v>0.45</v>
      </c>
      <c r="AJ138" s="61">
        <v>0.14000000000000001</v>
      </c>
      <c r="AK138" s="61">
        <v>0.03</v>
      </c>
      <c r="AL138" s="61">
        <v>0</v>
      </c>
      <c r="AM138" s="246">
        <v>52</v>
      </c>
      <c r="AN138" s="246" t="s">
        <v>758</v>
      </c>
      <c r="AO138" s="246">
        <v>11</v>
      </c>
      <c r="AP138" s="246" t="s">
        <v>758</v>
      </c>
      <c r="AQ138" s="263">
        <v>0.38</v>
      </c>
      <c r="AR138" s="263">
        <v>0.31</v>
      </c>
      <c r="AS138" s="263">
        <v>0.23</v>
      </c>
      <c r="AT138" s="263">
        <v>0.08</v>
      </c>
      <c r="AU138" s="263">
        <v>0</v>
      </c>
      <c r="AV138" s="309">
        <v>57</v>
      </c>
      <c r="AW138" s="309" t="s">
        <v>758</v>
      </c>
      <c r="AX138" s="309">
        <v>10</v>
      </c>
      <c r="AY138" s="309" t="s">
        <v>758</v>
      </c>
      <c r="AZ138" s="327">
        <v>0.17</v>
      </c>
      <c r="BA138" s="327">
        <v>0.41</v>
      </c>
      <c r="BB138" s="327">
        <v>0.23</v>
      </c>
      <c r="BC138" s="327">
        <v>0.18</v>
      </c>
      <c r="BD138" s="327">
        <v>0.02</v>
      </c>
      <c r="BE138" s="424">
        <v>55</v>
      </c>
      <c r="BF138" s="424" t="s">
        <v>758</v>
      </c>
      <c r="BG138" s="424">
        <v>9</v>
      </c>
      <c r="BH138" s="424" t="s">
        <v>758</v>
      </c>
      <c r="BI138" s="428">
        <v>0.17</v>
      </c>
      <c r="BJ138" s="428">
        <v>0.51</v>
      </c>
      <c r="BK138" s="428">
        <v>0.24</v>
      </c>
      <c r="BL138" s="428">
        <v>7.0000000000000007E-2</v>
      </c>
      <c r="BM138" s="428">
        <v>0</v>
      </c>
      <c r="BN138" s="464">
        <v>58</v>
      </c>
      <c r="BO138" s="464" t="s">
        <v>758</v>
      </c>
      <c r="BP138" s="464">
        <v>12</v>
      </c>
      <c r="BQ138" s="464" t="s">
        <v>758</v>
      </c>
      <c r="BR138" s="476">
        <v>0.19</v>
      </c>
      <c r="BS138" s="476">
        <v>0.33</v>
      </c>
      <c r="BT138" s="476">
        <v>0.28999999999999998</v>
      </c>
      <c r="BU138" s="476">
        <v>0.12</v>
      </c>
      <c r="BV138" s="476">
        <v>7.0000000000000007E-2</v>
      </c>
      <c r="BW138" s="933">
        <v>60</v>
      </c>
      <c r="BX138" s="933" t="s">
        <v>758</v>
      </c>
      <c r="BY138" s="933">
        <v>10</v>
      </c>
      <c r="BZ138" s="933" t="s">
        <v>758</v>
      </c>
      <c r="CA138" s="949">
        <v>0.1</v>
      </c>
      <c r="CB138" s="949">
        <v>0.31</v>
      </c>
      <c r="CC138" s="949">
        <v>0.36</v>
      </c>
      <c r="CD138" s="949">
        <v>0.22</v>
      </c>
      <c r="CE138" s="949">
        <v>0.02</v>
      </c>
      <c r="CF138" s="922">
        <v>325754003592</v>
      </c>
      <c r="CG138" s="126" t="s">
        <v>35</v>
      </c>
    </row>
    <row r="139" spans="1:85" ht="24.95" customHeight="1" x14ac:dyDescent="0.2">
      <c r="A139" s="126" t="s">
        <v>29</v>
      </c>
      <c r="B139" s="1" t="s">
        <v>123</v>
      </c>
      <c r="C139" s="2">
        <v>2</v>
      </c>
      <c r="D139" s="12">
        <v>51</v>
      </c>
      <c r="E139" s="12">
        <v>8</v>
      </c>
      <c r="F139" s="66">
        <v>0.4</v>
      </c>
      <c r="G139" s="66">
        <v>0.4</v>
      </c>
      <c r="H139" s="66">
        <v>0.16</v>
      </c>
      <c r="I139" s="66">
        <v>0.04</v>
      </c>
      <c r="J139" s="66">
        <v>0</v>
      </c>
      <c r="K139" s="12">
        <v>48</v>
      </c>
      <c r="L139" s="12">
        <v>8</v>
      </c>
      <c r="M139" s="61">
        <v>0.5</v>
      </c>
      <c r="N139" s="61">
        <v>0.38</v>
      </c>
      <c r="O139" s="61">
        <v>0.11</v>
      </c>
      <c r="P139" s="61">
        <v>0.02</v>
      </c>
      <c r="Q139" s="61">
        <v>0</v>
      </c>
      <c r="R139" s="12">
        <v>49</v>
      </c>
      <c r="S139" s="12">
        <v>8</v>
      </c>
      <c r="T139" s="63">
        <v>0.41</v>
      </c>
      <c r="U139" s="63">
        <v>0.44</v>
      </c>
      <c r="V139" s="63">
        <v>0.1</v>
      </c>
      <c r="W139" s="63">
        <v>0.05</v>
      </c>
      <c r="X139" s="63">
        <v>0</v>
      </c>
      <c r="Y139" s="12">
        <v>47</v>
      </c>
      <c r="Z139" s="12">
        <v>10</v>
      </c>
      <c r="AA139" s="63">
        <v>0.51</v>
      </c>
      <c r="AB139" s="63">
        <v>0.36</v>
      </c>
      <c r="AC139" s="63">
        <v>0.12</v>
      </c>
      <c r="AD139" s="63">
        <v>0.01</v>
      </c>
      <c r="AE139" s="63">
        <v>0</v>
      </c>
      <c r="AF139" s="25">
        <v>47</v>
      </c>
      <c r="AG139" s="25">
        <v>10</v>
      </c>
      <c r="AH139" s="61">
        <v>0.56999999999999995</v>
      </c>
      <c r="AI139" s="61">
        <v>0.28999999999999998</v>
      </c>
      <c r="AJ139" s="61">
        <v>0.1</v>
      </c>
      <c r="AK139" s="61">
        <v>0.02</v>
      </c>
      <c r="AL139" s="61">
        <v>0.02</v>
      </c>
      <c r="AM139" s="246">
        <v>52</v>
      </c>
      <c r="AN139" s="246" t="s">
        <v>758</v>
      </c>
      <c r="AO139" s="246">
        <v>9</v>
      </c>
      <c r="AP139" s="246" t="s">
        <v>758</v>
      </c>
      <c r="AQ139" s="263">
        <v>0.28999999999999998</v>
      </c>
      <c r="AR139" s="263">
        <v>0.47</v>
      </c>
      <c r="AS139" s="263">
        <v>0.2</v>
      </c>
      <c r="AT139" s="263">
        <v>0.04</v>
      </c>
      <c r="AU139" s="263">
        <v>0</v>
      </c>
      <c r="AV139" s="309">
        <v>50</v>
      </c>
      <c r="AW139" s="309" t="s">
        <v>758</v>
      </c>
      <c r="AX139" s="309">
        <v>10</v>
      </c>
      <c r="AY139" s="309" t="s">
        <v>758</v>
      </c>
      <c r="AZ139" s="327">
        <v>0.35</v>
      </c>
      <c r="BA139" s="327">
        <v>0.46</v>
      </c>
      <c r="BB139" s="327">
        <v>0.14000000000000001</v>
      </c>
      <c r="BC139" s="327">
        <v>0.06</v>
      </c>
      <c r="BD139" s="327">
        <v>0</v>
      </c>
      <c r="BE139" s="424">
        <v>52</v>
      </c>
      <c r="BF139" s="424" t="s">
        <v>758</v>
      </c>
      <c r="BG139" s="424">
        <v>10</v>
      </c>
      <c r="BH139" s="424" t="s">
        <v>758</v>
      </c>
      <c r="BI139" s="428">
        <v>0.34</v>
      </c>
      <c r="BJ139" s="428">
        <v>0.38</v>
      </c>
      <c r="BK139" s="428">
        <v>0.18</v>
      </c>
      <c r="BL139" s="428">
        <v>0.08</v>
      </c>
      <c r="BM139" s="428">
        <v>0.02</v>
      </c>
      <c r="BN139" s="464">
        <v>53</v>
      </c>
      <c r="BO139" s="464" t="s">
        <v>758</v>
      </c>
      <c r="BP139" s="464">
        <v>8</v>
      </c>
      <c r="BQ139" s="464" t="s">
        <v>758</v>
      </c>
      <c r="BR139" s="476">
        <v>0.24</v>
      </c>
      <c r="BS139" s="476">
        <v>0.53</v>
      </c>
      <c r="BT139" s="476">
        <v>0.24</v>
      </c>
      <c r="BU139" s="476">
        <v>0</v>
      </c>
      <c r="BV139" s="476">
        <v>0</v>
      </c>
      <c r="BW139" s="933">
        <v>55</v>
      </c>
      <c r="BX139" s="933" t="s">
        <v>758</v>
      </c>
      <c r="BY139" s="933">
        <v>12</v>
      </c>
      <c r="BZ139" s="933" t="s">
        <v>758</v>
      </c>
      <c r="CA139" s="949">
        <v>0.24</v>
      </c>
      <c r="CB139" s="949">
        <v>0.33</v>
      </c>
      <c r="CC139" s="949">
        <v>0.22</v>
      </c>
      <c r="CD139" s="949">
        <v>0.22</v>
      </c>
      <c r="CE139" s="949">
        <v>0</v>
      </c>
      <c r="CF139" s="922">
        <v>325754003606</v>
      </c>
      <c r="CG139" s="126" t="s">
        <v>29</v>
      </c>
    </row>
    <row r="140" spans="1:85" ht="24.95" customHeight="1" x14ac:dyDescent="0.2">
      <c r="A140" s="126" t="s">
        <v>129</v>
      </c>
      <c r="B140" s="1" t="s">
        <v>123</v>
      </c>
      <c r="C140" s="2">
        <v>2</v>
      </c>
      <c r="D140" s="12" t="s">
        <v>126</v>
      </c>
      <c r="E140" s="12" t="s">
        <v>126</v>
      </c>
      <c r="F140" s="12"/>
      <c r="G140" s="12"/>
      <c r="H140" s="12"/>
      <c r="I140" s="12"/>
      <c r="J140" s="12"/>
      <c r="K140" s="12">
        <v>43</v>
      </c>
      <c r="L140" s="12">
        <v>9</v>
      </c>
      <c r="M140" s="61">
        <v>0.72</v>
      </c>
      <c r="N140" s="61">
        <v>0.22</v>
      </c>
      <c r="O140" s="61">
        <v>0.06</v>
      </c>
      <c r="P140" s="61">
        <v>0</v>
      </c>
      <c r="Q140" s="61">
        <v>0</v>
      </c>
      <c r="R140" s="12" t="s">
        <v>126</v>
      </c>
      <c r="S140" s="12" t="s">
        <v>126</v>
      </c>
      <c r="T140" s="2"/>
      <c r="U140" s="2"/>
      <c r="V140" s="2"/>
      <c r="W140" s="2"/>
      <c r="X140" s="2"/>
      <c r="Y140" s="12" t="s">
        <v>126</v>
      </c>
      <c r="Z140" s="12" t="s">
        <v>126</v>
      </c>
      <c r="AA140" s="2"/>
      <c r="AB140" s="2"/>
      <c r="AC140" s="2"/>
      <c r="AD140" s="2"/>
      <c r="AE140" s="2"/>
      <c r="AF140" s="25"/>
      <c r="AG140" s="25"/>
      <c r="AH140" s="61"/>
      <c r="AI140" s="61"/>
      <c r="AJ140" s="61"/>
      <c r="AK140" s="61"/>
      <c r="AL140" s="61"/>
      <c r="AM140" s="646"/>
      <c r="AN140" s="646"/>
      <c r="AO140" s="646"/>
      <c r="AP140" s="646"/>
      <c r="AQ140" s="646"/>
      <c r="AR140" s="646"/>
      <c r="AS140" s="646"/>
      <c r="AT140" s="646"/>
      <c r="AU140" s="646"/>
      <c r="AV140" s="309">
        <v>59</v>
      </c>
      <c r="AW140" s="309" t="s">
        <v>758</v>
      </c>
      <c r="AX140" s="309">
        <v>0</v>
      </c>
      <c r="AY140" s="309" t="s">
        <v>760</v>
      </c>
      <c r="AZ140" s="327">
        <v>0</v>
      </c>
      <c r="BA140" s="327">
        <v>0</v>
      </c>
      <c r="BB140" s="327">
        <v>1</v>
      </c>
      <c r="BC140" s="327">
        <v>0</v>
      </c>
      <c r="BD140" s="327">
        <v>0</v>
      </c>
      <c r="BE140" s="424">
        <v>45</v>
      </c>
      <c r="BF140" s="424" t="s">
        <v>760</v>
      </c>
      <c r="BG140" s="424">
        <v>8</v>
      </c>
      <c r="BH140" s="424" t="s">
        <v>758</v>
      </c>
      <c r="BI140" s="428">
        <v>0.69</v>
      </c>
      <c r="BJ140" s="428">
        <v>0.23</v>
      </c>
      <c r="BK140" s="428">
        <v>0.08</v>
      </c>
      <c r="BL140" s="428">
        <v>0</v>
      </c>
      <c r="BM140" s="428">
        <v>0</v>
      </c>
      <c r="BN140" s="641"/>
      <c r="BO140" s="641"/>
      <c r="BP140" s="641"/>
      <c r="BQ140" s="641"/>
      <c r="BR140" s="642"/>
      <c r="BS140" s="642"/>
      <c r="BT140" s="642"/>
      <c r="BU140" s="642"/>
      <c r="BV140" s="642"/>
      <c r="BW140" s="933"/>
      <c r="BX140" s="933"/>
      <c r="BY140" s="933"/>
      <c r="BZ140" s="933"/>
      <c r="CA140" s="949"/>
      <c r="CB140" s="949"/>
      <c r="CC140" s="949"/>
      <c r="CD140" s="949"/>
      <c r="CE140" s="949"/>
      <c r="CG140" s="126" t="s">
        <v>129</v>
      </c>
    </row>
    <row r="141" spans="1:85" ht="24.95" customHeight="1" x14ac:dyDescent="0.2">
      <c r="A141" s="126" t="s">
        <v>806</v>
      </c>
      <c r="B141" s="1" t="s">
        <v>123</v>
      </c>
      <c r="C141" s="2">
        <v>4</v>
      </c>
      <c r="D141" s="12"/>
      <c r="E141" s="12"/>
      <c r="F141" s="12"/>
      <c r="G141" s="12"/>
      <c r="H141" s="12"/>
      <c r="I141" s="12"/>
      <c r="J141" s="12"/>
      <c r="K141" s="12"/>
      <c r="L141" s="12"/>
      <c r="M141" s="61"/>
      <c r="N141" s="61"/>
      <c r="O141" s="61"/>
      <c r="P141" s="61"/>
      <c r="Q141" s="61"/>
      <c r="R141" s="12"/>
      <c r="S141" s="12"/>
      <c r="T141" s="2"/>
      <c r="U141" s="2"/>
      <c r="V141" s="2"/>
      <c r="W141" s="2"/>
      <c r="X141" s="2"/>
      <c r="Y141" s="12"/>
      <c r="Z141" s="12"/>
      <c r="AA141" s="2"/>
      <c r="AB141" s="2"/>
      <c r="AC141" s="2"/>
      <c r="AD141" s="2"/>
      <c r="AE141" s="2"/>
      <c r="AF141" s="25"/>
      <c r="AG141" s="25"/>
      <c r="AH141" s="61"/>
      <c r="AI141" s="61"/>
      <c r="AJ141" s="61"/>
      <c r="AK141" s="61"/>
      <c r="AL141" s="61"/>
      <c r="AV141" s="309">
        <v>41</v>
      </c>
      <c r="AW141" s="309" t="s">
        <v>760</v>
      </c>
      <c r="AX141" s="309">
        <v>9</v>
      </c>
      <c r="AY141" s="309" t="s">
        <v>758</v>
      </c>
      <c r="AZ141" s="327">
        <v>0.73</v>
      </c>
      <c r="BA141" s="327">
        <v>0.2</v>
      </c>
      <c r="BB141" s="327">
        <v>7.0000000000000007E-2</v>
      </c>
      <c r="BC141" s="327">
        <v>0</v>
      </c>
      <c r="BD141" s="327">
        <v>0</v>
      </c>
      <c r="BE141" s="424">
        <v>38</v>
      </c>
      <c r="BF141" s="424" t="s">
        <v>760</v>
      </c>
      <c r="BG141" s="424">
        <v>6</v>
      </c>
      <c r="BH141" s="424" t="s">
        <v>760</v>
      </c>
      <c r="BI141" s="428">
        <v>1</v>
      </c>
      <c r="BJ141" s="428">
        <v>0</v>
      </c>
      <c r="BK141" s="428">
        <v>0</v>
      </c>
      <c r="BL141" s="428">
        <v>0</v>
      </c>
      <c r="BM141" s="428">
        <v>0</v>
      </c>
      <c r="BN141" s="424"/>
      <c r="BO141" s="424"/>
      <c r="BP141" s="424"/>
      <c r="BQ141" s="424"/>
      <c r="BR141" s="428"/>
      <c r="BS141" s="428"/>
      <c r="BT141" s="428"/>
      <c r="BU141" s="428"/>
      <c r="BV141" s="428"/>
      <c r="BW141" s="933"/>
      <c r="BX141" s="933"/>
      <c r="BY141" s="933"/>
      <c r="BZ141" s="933"/>
      <c r="CA141" s="949"/>
      <c r="CB141" s="949"/>
      <c r="CC141" s="949"/>
      <c r="CD141" s="949"/>
      <c r="CE141" s="949"/>
      <c r="CG141" s="126" t="s">
        <v>806</v>
      </c>
    </row>
    <row r="142" spans="1:85" ht="24.95" customHeight="1" x14ac:dyDescent="0.2">
      <c r="A142" s="555" t="s">
        <v>87</v>
      </c>
      <c r="B142" s="1" t="s">
        <v>123</v>
      </c>
      <c r="C142" s="309">
        <v>5</v>
      </c>
      <c r="D142" s="328">
        <v>42</v>
      </c>
      <c r="E142" s="328">
        <v>8</v>
      </c>
      <c r="F142" s="333">
        <v>0.67</v>
      </c>
      <c r="G142" s="333">
        <v>0.33</v>
      </c>
      <c r="H142" s="333">
        <v>0</v>
      </c>
      <c r="I142" s="333">
        <v>0</v>
      </c>
      <c r="J142" s="333">
        <v>0</v>
      </c>
      <c r="K142" s="328">
        <v>51</v>
      </c>
      <c r="L142" s="328">
        <v>10</v>
      </c>
      <c r="M142" s="330">
        <v>0.5</v>
      </c>
      <c r="N142" s="330">
        <v>0.25</v>
      </c>
      <c r="O142" s="330">
        <v>0.08</v>
      </c>
      <c r="P142" s="330">
        <v>0.17</v>
      </c>
      <c r="Q142" s="330">
        <v>0</v>
      </c>
      <c r="R142" s="328">
        <v>40</v>
      </c>
      <c r="S142" s="328">
        <v>11</v>
      </c>
      <c r="T142" s="327">
        <v>0.5</v>
      </c>
      <c r="U142" s="327">
        <v>0.5</v>
      </c>
      <c r="V142" s="327">
        <v>0</v>
      </c>
      <c r="W142" s="327">
        <v>0</v>
      </c>
      <c r="X142" s="327">
        <v>0</v>
      </c>
      <c r="Y142" s="328">
        <v>49</v>
      </c>
      <c r="Z142" s="328">
        <v>11</v>
      </c>
      <c r="AA142" s="327">
        <v>0.6</v>
      </c>
      <c r="AB142" s="327">
        <v>0.2</v>
      </c>
      <c r="AC142" s="327">
        <v>0.2</v>
      </c>
      <c r="AD142" s="327">
        <v>0</v>
      </c>
      <c r="AE142" s="327">
        <v>0</v>
      </c>
      <c r="AF142" s="329">
        <v>42</v>
      </c>
      <c r="AG142" s="329">
        <v>13</v>
      </c>
      <c r="AH142" s="330">
        <v>0.67</v>
      </c>
      <c r="AI142" s="330">
        <v>0.33</v>
      </c>
      <c r="AJ142" s="330">
        <v>0</v>
      </c>
      <c r="AK142" s="330">
        <v>0</v>
      </c>
      <c r="AL142" s="330">
        <v>0</v>
      </c>
      <c r="AM142" s="647">
        <v>55</v>
      </c>
      <c r="AN142" s="647" t="s">
        <v>758</v>
      </c>
      <c r="AO142" s="647">
        <v>11</v>
      </c>
      <c r="AP142" s="647" t="s">
        <v>758</v>
      </c>
      <c r="AQ142" s="648">
        <v>0.17</v>
      </c>
      <c r="AR142" s="648">
        <v>0.67</v>
      </c>
      <c r="AS142" s="648">
        <v>0</v>
      </c>
      <c r="AT142" s="648">
        <v>0.17</v>
      </c>
      <c r="AU142" s="648">
        <v>0</v>
      </c>
      <c r="AV142" s="309">
        <v>47</v>
      </c>
      <c r="AW142" s="309" t="s">
        <v>758</v>
      </c>
      <c r="AX142" s="309">
        <v>10</v>
      </c>
      <c r="AY142" s="309" t="s">
        <v>758</v>
      </c>
      <c r="AZ142" s="327">
        <v>0.25</v>
      </c>
      <c r="BA142" s="327">
        <v>0.75</v>
      </c>
      <c r="BB142" s="327">
        <v>0</v>
      </c>
      <c r="BC142" s="327">
        <v>0</v>
      </c>
      <c r="BD142" s="327">
        <v>0</v>
      </c>
      <c r="BE142" s="424">
        <v>57</v>
      </c>
      <c r="BF142" s="424" t="s">
        <v>758</v>
      </c>
      <c r="BG142" s="424">
        <v>8</v>
      </c>
      <c r="BH142" s="424" t="s">
        <v>758</v>
      </c>
      <c r="BI142" s="428">
        <v>0.25</v>
      </c>
      <c r="BJ142" s="428">
        <v>0</v>
      </c>
      <c r="BK142" s="428">
        <v>0.75</v>
      </c>
      <c r="BL142" s="428">
        <v>0</v>
      </c>
      <c r="BM142" s="428">
        <v>0</v>
      </c>
      <c r="BN142" s="654">
        <v>53</v>
      </c>
      <c r="BO142" s="654" t="s">
        <v>758</v>
      </c>
      <c r="BP142" s="654">
        <v>10</v>
      </c>
      <c r="BQ142" s="654" t="s">
        <v>758</v>
      </c>
      <c r="BR142" s="655">
        <v>0.28999999999999998</v>
      </c>
      <c r="BS142" s="655">
        <v>0.28999999999999998</v>
      </c>
      <c r="BT142" s="655">
        <v>0.43</v>
      </c>
      <c r="BU142" s="655">
        <v>0</v>
      </c>
      <c r="BV142" s="655">
        <v>0</v>
      </c>
      <c r="BW142" s="933">
        <v>52</v>
      </c>
      <c r="BX142" s="933" t="s">
        <v>758</v>
      </c>
      <c r="BY142" s="933">
        <v>10</v>
      </c>
      <c r="BZ142" s="933" t="s">
        <v>758</v>
      </c>
      <c r="CA142" s="949">
        <v>0.4</v>
      </c>
      <c r="CB142" s="949">
        <v>0.4</v>
      </c>
      <c r="CC142" s="949">
        <v>0.1</v>
      </c>
      <c r="CD142" s="949">
        <v>0.1</v>
      </c>
      <c r="CE142" s="949">
        <v>0</v>
      </c>
      <c r="CF142" s="922">
        <v>325754004173</v>
      </c>
      <c r="CG142" s="555" t="s">
        <v>87</v>
      </c>
    </row>
    <row r="143" spans="1:85" ht="24.95" customHeight="1" x14ac:dyDescent="0.2">
      <c r="A143" s="126" t="s">
        <v>135</v>
      </c>
      <c r="B143" s="1" t="s">
        <v>123</v>
      </c>
      <c r="C143" s="2">
        <v>2</v>
      </c>
      <c r="D143" s="12" t="s">
        <v>126</v>
      </c>
      <c r="E143" s="12" t="s">
        <v>126</v>
      </c>
      <c r="F143" s="12"/>
      <c r="G143" s="12"/>
      <c r="H143" s="12"/>
      <c r="I143" s="12"/>
      <c r="J143" s="12"/>
      <c r="K143" s="12" t="s">
        <v>126</v>
      </c>
      <c r="L143" s="12" t="s">
        <v>126</v>
      </c>
      <c r="M143" s="61"/>
      <c r="N143" s="61"/>
      <c r="O143" s="61"/>
      <c r="P143" s="61"/>
      <c r="Q143" s="61"/>
      <c r="R143" s="12" t="s">
        <v>126</v>
      </c>
      <c r="S143" s="12" t="s">
        <v>126</v>
      </c>
      <c r="T143" s="2"/>
      <c r="U143" s="2"/>
      <c r="V143" s="2"/>
      <c r="W143" s="2"/>
      <c r="X143" s="2"/>
      <c r="Y143" s="12">
        <v>52</v>
      </c>
      <c r="Z143" s="12">
        <v>12</v>
      </c>
      <c r="AA143" s="63">
        <v>0.33</v>
      </c>
      <c r="AB143" s="63">
        <v>0.33</v>
      </c>
      <c r="AC143" s="63">
        <v>0.33</v>
      </c>
      <c r="AD143" s="63">
        <v>0</v>
      </c>
      <c r="AE143" s="63">
        <v>0</v>
      </c>
      <c r="AF143" s="25">
        <v>48</v>
      </c>
      <c r="AG143" s="25">
        <v>7</v>
      </c>
      <c r="AH143" s="61">
        <v>0.67</v>
      </c>
      <c r="AI143" s="61">
        <v>0.33</v>
      </c>
      <c r="AJ143" s="61">
        <v>0</v>
      </c>
      <c r="AK143" s="61">
        <v>0</v>
      </c>
      <c r="AL143" s="61">
        <v>0</v>
      </c>
      <c r="AM143" s="246">
        <v>46</v>
      </c>
      <c r="AN143" s="246" t="s">
        <v>758</v>
      </c>
      <c r="AO143" s="246">
        <v>12</v>
      </c>
      <c r="AP143" s="246" t="s">
        <v>758</v>
      </c>
      <c r="AQ143" s="263">
        <v>0.64</v>
      </c>
      <c r="AR143" s="263">
        <v>0.14000000000000001</v>
      </c>
      <c r="AS143" s="263">
        <v>0.14000000000000001</v>
      </c>
      <c r="AT143" s="263">
        <v>7.0000000000000007E-2</v>
      </c>
      <c r="AU143" s="263">
        <v>0</v>
      </c>
      <c r="AV143" s="309">
        <v>50</v>
      </c>
      <c r="AW143" s="309" t="s">
        <v>758</v>
      </c>
      <c r="AX143" s="309">
        <v>9</v>
      </c>
      <c r="AY143" s="309" t="s">
        <v>758</v>
      </c>
      <c r="AZ143" s="327">
        <v>0.38</v>
      </c>
      <c r="BA143" s="327">
        <v>0.43</v>
      </c>
      <c r="BB143" s="327">
        <v>0.19</v>
      </c>
      <c r="BC143" s="327">
        <v>0</v>
      </c>
      <c r="BD143" s="327">
        <v>0</v>
      </c>
      <c r="BE143" s="424">
        <v>45</v>
      </c>
      <c r="BF143" s="424" t="s">
        <v>760</v>
      </c>
      <c r="BG143" s="424">
        <v>12</v>
      </c>
      <c r="BH143" s="424" t="s">
        <v>758</v>
      </c>
      <c r="BI143" s="428">
        <v>0.68</v>
      </c>
      <c r="BJ143" s="428">
        <v>0.26</v>
      </c>
      <c r="BK143" s="428">
        <v>0</v>
      </c>
      <c r="BL143" s="428">
        <v>0.05</v>
      </c>
      <c r="BM143" s="428">
        <v>0</v>
      </c>
      <c r="BN143" s="464">
        <v>49</v>
      </c>
      <c r="BO143" s="464" t="s">
        <v>758</v>
      </c>
      <c r="BP143" s="464">
        <v>9</v>
      </c>
      <c r="BQ143" s="464" t="s">
        <v>758</v>
      </c>
      <c r="BR143" s="476">
        <v>0.5</v>
      </c>
      <c r="BS143" s="476">
        <v>0.42</v>
      </c>
      <c r="BT143" s="476">
        <v>0</v>
      </c>
      <c r="BU143" s="476">
        <v>0.08</v>
      </c>
      <c r="BV143" s="476">
        <v>0</v>
      </c>
      <c r="BW143" s="933">
        <v>45</v>
      </c>
      <c r="BX143" s="933" t="s">
        <v>760</v>
      </c>
      <c r="BY143" s="933">
        <v>8</v>
      </c>
      <c r="BZ143" s="933" t="s">
        <v>758</v>
      </c>
      <c r="CA143" s="949">
        <v>0.75</v>
      </c>
      <c r="CB143" s="949">
        <v>0.13</v>
      </c>
      <c r="CC143" s="949">
        <v>0.13</v>
      </c>
      <c r="CD143" s="949">
        <v>0</v>
      </c>
      <c r="CE143" s="949">
        <v>0</v>
      </c>
      <c r="CF143" s="922">
        <v>325754000968</v>
      </c>
      <c r="CG143" s="126" t="s">
        <v>135</v>
      </c>
    </row>
    <row r="144" spans="1:85" ht="24.95" customHeight="1" x14ac:dyDescent="0.2">
      <c r="A144" s="126" t="s">
        <v>81</v>
      </c>
      <c r="B144" s="1" t="s">
        <v>123</v>
      </c>
      <c r="C144" s="2">
        <v>2</v>
      </c>
      <c r="D144" s="12">
        <v>51</v>
      </c>
      <c r="E144" s="12">
        <v>9</v>
      </c>
      <c r="F144" s="66">
        <v>0.28999999999999998</v>
      </c>
      <c r="G144" s="66">
        <v>0.56999999999999995</v>
      </c>
      <c r="H144" s="66">
        <v>0.12</v>
      </c>
      <c r="I144" s="66">
        <v>0.02</v>
      </c>
      <c r="J144" s="66">
        <v>0</v>
      </c>
      <c r="K144" s="12">
        <v>55</v>
      </c>
      <c r="L144" s="12">
        <v>10</v>
      </c>
      <c r="M144" s="61">
        <v>0.26</v>
      </c>
      <c r="N144" s="61">
        <v>0.31</v>
      </c>
      <c r="O144" s="61">
        <v>0.31</v>
      </c>
      <c r="P144" s="61">
        <v>0.1</v>
      </c>
      <c r="Q144" s="61">
        <v>0.03</v>
      </c>
      <c r="R144" s="12">
        <v>52</v>
      </c>
      <c r="S144" s="12">
        <v>9</v>
      </c>
      <c r="T144" s="63">
        <v>0.35</v>
      </c>
      <c r="U144" s="63">
        <v>0.35</v>
      </c>
      <c r="V144" s="63">
        <v>0.25</v>
      </c>
      <c r="W144" s="63">
        <v>0.04</v>
      </c>
      <c r="X144" s="63">
        <v>0</v>
      </c>
      <c r="Y144" s="12">
        <v>53</v>
      </c>
      <c r="Z144" s="12">
        <v>7</v>
      </c>
      <c r="AA144" s="63">
        <v>0.25</v>
      </c>
      <c r="AB144" s="63">
        <v>0.48</v>
      </c>
      <c r="AC144" s="63">
        <v>0.27</v>
      </c>
      <c r="AD144" s="63">
        <v>0</v>
      </c>
      <c r="AE144" s="63">
        <v>0</v>
      </c>
      <c r="AF144" s="25">
        <v>51</v>
      </c>
      <c r="AG144" s="25">
        <v>11</v>
      </c>
      <c r="AH144" s="61">
        <v>0.39</v>
      </c>
      <c r="AI144" s="61">
        <v>0.41</v>
      </c>
      <c r="AJ144" s="61">
        <v>0.13</v>
      </c>
      <c r="AK144" s="61">
        <v>0.05</v>
      </c>
      <c r="AL144" s="61">
        <v>0.02</v>
      </c>
      <c r="AM144" s="246">
        <v>56</v>
      </c>
      <c r="AN144" s="246" t="s">
        <v>758</v>
      </c>
      <c r="AO144" s="246">
        <v>9</v>
      </c>
      <c r="AP144" s="246" t="s">
        <v>758</v>
      </c>
      <c r="AQ144" s="263">
        <v>0.15</v>
      </c>
      <c r="AR144" s="263">
        <v>0.41</v>
      </c>
      <c r="AS144" s="263">
        <v>0.37</v>
      </c>
      <c r="AT144" s="263">
        <v>7.0000000000000007E-2</v>
      </c>
      <c r="AU144" s="263">
        <v>0</v>
      </c>
      <c r="AV144" s="309">
        <v>53</v>
      </c>
      <c r="AW144" s="309" t="s">
        <v>758</v>
      </c>
      <c r="AX144" s="309">
        <v>11</v>
      </c>
      <c r="AY144" s="309" t="s">
        <v>758</v>
      </c>
      <c r="AZ144" s="327">
        <v>0.28000000000000003</v>
      </c>
      <c r="BA144" s="327">
        <v>0.35</v>
      </c>
      <c r="BB144" s="327">
        <v>0.32</v>
      </c>
      <c r="BC144" s="327">
        <v>0.04</v>
      </c>
      <c r="BD144" s="327">
        <v>0.01</v>
      </c>
      <c r="BE144" s="424">
        <v>54</v>
      </c>
      <c r="BF144" s="424" t="s">
        <v>758</v>
      </c>
      <c r="BG144" s="424">
        <v>10</v>
      </c>
      <c r="BH144" s="424" t="s">
        <v>758</v>
      </c>
      <c r="BI144" s="428">
        <v>0.25</v>
      </c>
      <c r="BJ144" s="428">
        <v>0.41</v>
      </c>
      <c r="BK144" s="428">
        <v>0.25</v>
      </c>
      <c r="BL144" s="428">
        <v>0.09</v>
      </c>
      <c r="BM144" s="428">
        <v>0.01</v>
      </c>
      <c r="BN144" s="464">
        <v>55</v>
      </c>
      <c r="BO144" s="464" t="s">
        <v>758</v>
      </c>
      <c r="BP144" s="464">
        <v>10</v>
      </c>
      <c r="BQ144" s="464" t="s">
        <v>758</v>
      </c>
      <c r="BR144" s="476">
        <v>0.26</v>
      </c>
      <c r="BS144" s="476">
        <v>0.41</v>
      </c>
      <c r="BT144" s="476">
        <v>0.22</v>
      </c>
      <c r="BU144" s="476">
        <v>0.1</v>
      </c>
      <c r="BV144" s="476">
        <v>0.01</v>
      </c>
      <c r="BW144" s="933">
        <v>56</v>
      </c>
      <c r="BX144" s="933" t="s">
        <v>758</v>
      </c>
      <c r="BY144" s="933">
        <v>10</v>
      </c>
      <c r="BZ144" s="933" t="s">
        <v>758</v>
      </c>
      <c r="CA144" s="949">
        <v>0.25</v>
      </c>
      <c r="CB144" s="949">
        <v>0.33</v>
      </c>
      <c r="CC144" s="949">
        <v>0.32</v>
      </c>
      <c r="CD144" s="949">
        <v>0.09</v>
      </c>
      <c r="CE144" s="949">
        <v>0.01</v>
      </c>
      <c r="CF144" s="922">
        <v>325754004530</v>
      </c>
      <c r="CG144" s="126" t="s">
        <v>81</v>
      </c>
    </row>
    <row r="145" spans="1:85" ht="24.95" customHeight="1" x14ac:dyDescent="0.2">
      <c r="A145" s="126" t="s">
        <v>114</v>
      </c>
      <c r="B145" s="1" t="s">
        <v>123</v>
      </c>
      <c r="C145" s="2">
        <v>1</v>
      </c>
      <c r="D145" s="12">
        <v>52</v>
      </c>
      <c r="E145" s="12">
        <v>6</v>
      </c>
      <c r="F145" s="66">
        <v>0.14000000000000001</v>
      </c>
      <c r="G145" s="66">
        <v>0.71</v>
      </c>
      <c r="H145" s="66">
        <v>0.14000000000000001</v>
      </c>
      <c r="I145" s="66">
        <v>0</v>
      </c>
      <c r="J145" s="66">
        <v>0</v>
      </c>
      <c r="K145" s="12">
        <v>54</v>
      </c>
      <c r="L145" s="12">
        <v>9</v>
      </c>
      <c r="M145" s="61">
        <v>0.28999999999999998</v>
      </c>
      <c r="N145" s="61">
        <v>0.43</v>
      </c>
      <c r="O145" s="61">
        <v>0.19</v>
      </c>
      <c r="P145" s="61">
        <v>0.1</v>
      </c>
      <c r="Q145" s="61">
        <v>0</v>
      </c>
      <c r="R145" s="12">
        <v>55</v>
      </c>
      <c r="S145" s="12">
        <v>8</v>
      </c>
      <c r="T145" s="63">
        <v>0.25</v>
      </c>
      <c r="U145" s="63">
        <v>0.38</v>
      </c>
      <c r="V145" s="63">
        <v>0.38</v>
      </c>
      <c r="W145" s="63">
        <v>0</v>
      </c>
      <c r="X145" s="63">
        <v>0</v>
      </c>
      <c r="Y145" s="12">
        <v>55</v>
      </c>
      <c r="Z145" s="12">
        <v>7</v>
      </c>
      <c r="AA145" s="63">
        <v>0.17</v>
      </c>
      <c r="AB145" s="63">
        <v>0.5</v>
      </c>
      <c r="AC145" s="63">
        <v>0.28000000000000003</v>
      </c>
      <c r="AD145" s="63">
        <v>0.06</v>
      </c>
      <c r="AE145" s="63">
        <v>0</v>
      </c>
      <c r="AF145" s="25">
        <v>53</v>
      </c>
      <c r="AG145" s="25">
        <v>10</v>
      </c>
      <c r="AH145" s="61">
        <v>0.28000000000000003</v>
      </c>
      <c r="AI145" s="61">
        <v>0.36</v>
      </c>
      <c r="AJ145" s="61">
        <v>0.28000000000000003</v>
      </c>
      <c r="AK145" s="61">
        <v>0.08</v>
      </c>
      <c r="AL145" s="61">
        <v>0</v>
      </c>
      <c r="AM145" s="246">
        <v>53</v>
      </c>
      <c r="AN145" s="246" t="s">
        <v>758</v>
      </c>
      <c r="AO145" s="246">
        <v>10</v>
      </c>
      <c r="AP145" s="246" t="s">
        <v>758</v>
      </c>
      <c r="AQ145" s="263">
        <v>0.28999999999999998</v>
      </c>
      <c r="AR145" s="263">
        <v>0.46</v>
      </c>
      <c r="AS145" s="263">
        <v>0.13</v>
      </c>
      <c r="AT145" s="263">
        <v>0.08</v>
      </c>
      <c r="AU145" s="263">
        <v>0.04</v>
      </c>
      <c r="AV145" s="309">
        <v>58</v>
      </c>
      <c r="AW145" s="309" t="s">
        <v>758</v>
      </c>
      <c r="AX145" s="309">
        <v>9</v>
      </c>
      <c r="AY145" s="309" t="s">
        <v>758</v>
      </c>
      <c r="AZ145" s="327">
        <v>0.14000000000000001</v>
      </c>
      <c r="BA145" s="327">
        <v>0.31</v>
      </c>
      <c r="BB145" s="327">
        <v>0.45</v>
      </c>
      <c r="BC145" s="327">
        <v>7.0000000000000007E-2</v>
      </c>
      <c r="BD145" s="327">
        <v>0.03</v>
      </c>
      <c r="BE145" s="424">
        <v>57</v>
      </c>
      <c r="BF145" s="424" t="s">
        <v>758</v>
      </c>
      <c r="BG145" s="424">
        <v>10</v>
      </c>
      <c r="BH145" s="424" t="s">
        <v>758</v>
      </c>
      <c r="BI145" s="428">
        <v>0.17</v>
      </c>
      <c r="BJ145" s="428">
        <v>0.34</v>
      </c>
      <c r="BK145" s="428">
        <v>0.36</v>
      </c>
      <c r="BL145" s="428">
        <v>0.11</v>
      </c>
      <c r="BM145" s="428">
        <v>0.02</v>
      </c>
      <c r="BN145" s="464">
        <v>58</v>
      </c>
      <c r="BO145" s="464" t="s">
        <v>758</v>
      </c>
      <c r="BP145" s="464">
        <v>9</v>
      </c>
      <c r="BQ145" s="464" t="s">
        <v>758</v>
      </c>
      <c r="BR145" s="476">
        <v>0.1</v>
      </c>
      <c r="BS145" s="476">
        <v>0.49</v>
      </c>
      <c r="BT145" s="476">
        <v>0.22</v>
      </c>
      <c r="BU145" s="476">
        <v>0.16</v>
      </c>
      <c r="BV145" s="476">
        <v>0.04</v>
      </c>
      <c r="BW145" s="933">
        <v>55</v>
      </c>
      <c r="BX145" s="933" t="s">
        <v>758</v>
      </c>
      <c r="BY145" s="933">
        <v>10</v>
      </c>
      <c r="BZ145" s="933" t="s">
        <v>758</v>
      </c>
      <c r="CA145" s="949">
        <v>0.25</v>
      </c>
      <c r="CB145" s="949">
        <v>0.35</v>
      </c>
      <c r="CC145" s="949">
        <v>0.25</v>
      </c>
      <c r="CD145" s="949">
        <v>0.15</v>
      </c>
      <c r="CE145" s="949">
        <v>0</v>
      </c>
      <c r="CF145" s="922">
        <v>325754003134</v>
      </c>
      <c r="CG145" s="126" t="s">
        <v>114</v>
      </c>
    </row>
    <row r="146" spans="1:85" ht="24.95" customHeight="1" x14ac:dyDescent="0.2">
      <c r="A146" s="126" t="s">
        <v>42</v>
      </c>
      <c r="B146" s="1" t="s">
        <v>123</v>
      </c>
      <c r="C146" s="2">
        <v>1</v>
      </c>
      <c r="D146" s="12">
        <v>55</v>
      </c>
      <c r="E146" s="12">
        <v>8</v>
      </c>
      <c r="F146" s="66">
        <v>0.2</v>
      </c>
      <c r="G146" s="66">
        <v>0.45</v>
      </c>
      <c r="H146" s="66">
        <v>0.3</v>
      </c>
      <c r="I146" s="66">
        <v>0.05</v>
      </c>
      <c r="J146" s="66">
        <v>0</v>
      </c>
      <c r="K146" s="12">
        <v>55</v>
      </c>
      <c r="L146" s="12">
        <v>10</v>
      </c>
      <c r="M146" s="61">
        <v>0.25</v>
      </c>
      <c r="N146" s="61">
        <v>0.38</v>
      </c>
      <c r="O146" s="61">
        <v>0.28000000000000003</v>
      </c>
      <c r="P146" s="61">
        <v>0.09</v>
      </c>
      <c r="Q146" s="61">
        <v>0</v>
      </c>
      <c r="R146" s="12">
        <v>53</v>
      </c>
      <c r="S146" s="12">
        <v>9</v>
      </c>
      <c r="T146" s="63">
        <v>0.27</v>
      </c>
      <c r="U146" s="63">
        <v>0.37</v>
      </c>
      <c r="V146" s="63">
        <v>0.3</v>
      </c>
      <c r="W146" s="63">
        <v>7.0000000000000007E-2</v>
      </c>
      <c r="X146" s="63">
        <v>0</v>
      </c>
      <c r="Y146" s="12">
        <v>53</v>
      </c>
      <c r="Z146" s="12">
        <v>9</v>
      </c>
      <c r="AA146" s="63">
        <v>0.23</v>
      </c>
      <c r="AB146" s="63">
        <v>0.5</v>
      </c>
      <c r="AC146" s="63">
        <v>0.2</v>
      </c>
      <c r="AD146" s="63">
        <v>7.0000000000000007E-2</v>
      </c>
      <c r="AE146" s="63">
        <v>0</v>
      </c>
      <c r="AF146" s="25">
        <v>50</v>
      </c>
      <c r="AG146" s="25">
        <v>9</v>
      </c>
      <c r="AH146" s="61">
        <v>0.44</v>
      </c>
      <c r="AI146" s="61">
        <v>0.37</v>
      </c>
      <c r="AJ146" s="61">
        <v>0.15</v>
      </c>
      <c r="AK146" s="61">
        <v>0.04</v>
      </c>
      <c r="AL146" s="61">
        <v>0</v>
      </c>
      <c r="AM146" s="246">
        <v>56</v>
      </c>
      <c r="AN146" s="246" t="s">
        <v>758</v>
      </c>
      <c r="AO146" s="246">
        <v>10</v>
      </c>
      <c r="AP146" s="246" t="s">
        <v>758</v>
      </c>
      <c r="AQ146" s="263">
        <v>0.18</v>
      </c>
      <c r="AR146" s="263">
        <v>0.42</v>
      </c>
      <c r="AS146" s="263">
        <v>0.27</v>
      </c>
      <c r="AT146" s="263">
        <v>0.12</v>
      </c>
      <c r="AU146" s="263">
        <v>0.02</v>
      </c>
      <c r="AV146" s="309">
        <v>58</v>
      </c>
      <c r="AW146" s="309" t="s">
        <v>758</v>
      </c>
      <c r="AX146" s="309">
        <v>10</v>
      </c>
      <c r="AY146" s="309" t="s">
        <v>758</v>
      </c>
      <c r="AZ146" s="327">
        <v>0.15</v>
      </c>
      <c r="BA146" s="327">
        <v>0.34</v>
      </c>
      <c r="BB146" s="327">
        <v>0.31</v>
      </c>
      <c r="BC146" s="327">
        <v>0.19</v>
      </c>
      <c r="BD146" s="327">
        <v>0.01</v>
      </c>
      <c r="BE146" s="424">
        <v>59</v>
      </c>
      <c r="BF146" s="424" t="s">
        <v>758</v>
      </c>
      <c r="BG146" s="424">
        <v>12</v>
      </c>
      <c r="BH146" s="424" t="s">
        <v>758</v>
      </c>
      <c r="BI146" s="428">
        <v>0.19</v>
      </c>
      <c r="BJ146" s="428">
        <v>0.32</v>
      </c>
      <c r="BK146" s="428">
        <v>0.24</v>
      </c>
      <c r="BL146" s="428">
        <v>0.22</v>
      </c>
      <c r="BM146" s="428">
        <v>0.03</v>
      </c>
      <c r="BN146" s="464">
        <v>58</v>
      </c>
      <c r="BO146" s="464" t="s">
        <v>758</v>
      </c>
      <c r="BP146" s="464">
        <v>10</v>
      </c>
      <c r="BQ146" s="464" t="s">
        <v>758</v>
      </c>
      <c r="BR146" s="476">
        <v>0.15</v>
      </c>
      <c r="BS146" s="476">
        <v>0.34</v>
      </c>
      <c r="BT146" s="476">
        <v>0.34</v>
      </c>
      <c r="BU146" s="476">
        <v>0.14000000000000001</v>
      </c>
      <c r="BV146" s="476">
        <v>0.02</v>
      </c>
      <c r="BW146" s="933">
        <v>59</v>
      </c>
      <c r="BX146" s="933" t="s">
        <v>758</v>
      </c>
      <c r="BY146" s="933">
        <v>12</v>
      </c>
      <c r="BZ146" s="933" t="s">
        <v>758</v>
      </c>
      <c r="CA146" s="949">
        <v>0.22</v>
      </c>
      <c r="CB146" s="949">
        <v>0.21</v>
      </c>
      <c r="CC146" s="949">
        <v>0.33</v>
      </c>
      <c r="CD146" s="949">
        <v>0.23</v>
      </c>
      <c r="CE146" s="949">
        <v>0.02</v>
      </c>
      <c r="CF146" s="922">
        <v>325754003410</v>
      </c>
      <c r="CG146" s="126" t="s">
        <v>42</v>
      </c>
    </row>
    <row r="147" spans="1:85" ht="24.95" customHeight="1" x14ac:dyDescent="0.2">
      <c r="A147" s="126" t="s">
        <v>774</v>
      </c>
      <c r="B147" s="1" t="s">
        <v>123</v>
      </c>
      <c r="C147" s="2">
        <v>6</v>
      </c>
      <c r="D147" s="12"/>
      <c r="E147" s="12"/>
      <c r="F147" s="66"/>
      <c r="G147" s="66"/>
      <c r="H147" s="66"/>
      <c r="I147" s="66"/>
      <c r="J147" s="66"/>
      <c r="K147" s="12"/>
      <c r="L147" s="12"/>
      <c r="M147" s="61"/>
      <c r="N147" s="61"/>
      <c r="O147" s="61"/>
      <c r="P147" s="61"/>
      <c r="Q147" s="61"/>
      <c r="R147" s="12"/>
      <c r="S147" s="12"/>
      <c r="T147" s="63"/>
      <c r="U147" s="63"/>
      <c r="V147" s="63"/>
      <c r="W147" s="63"/>
      <c r="X147" s="63"/>
      <c r="Y147" s="12"/>
      <c r="Z147" s="12"/>
      <c r="AA147" s="63"/>
      <c r="AB147" s="63"/>
      <c r="AC147" s="63"/>
      <c r="AD147" s="63"/>
      <c r="AE147" s="63"/>
      <c r="AF147" s="25"/>
      <c r="AG147" s="25"/>
      <c r="AH147" s="61"/>
      <c r="AI147" s="61"/>
      <c r="AJ147" s="61"/>
      <c r="AK147" s="61"/>
      <c r="AL147" s="61"/>
      <c r="AM147" s="246"/>
      <c r="AN147" s="246"/>
      <c r="AO147" s="246"/>
      <c r="AP147" s="246"/>
      <c r="AQ147" s="263"/>
      <c r="AR147" s="263"/>
      <c r="AS147" s="263"/>
      <c r="AT147" s="263"/>
      <c r="AU147" s="263"/>
      <c r="AV147" s="309">
        <v>46</v>
      </c>
      <c r="AW147" s="309" t="s">
        <v>758</v>
      </c>
      <c r="AX147" s="309">
        <v>9</v>
      </c>
      <c r="AY147" s="309" t="s">
        <v>758</v>
      </c>
      <c r="AZ147" s="327">
        <v>0.43</v>
      </c>
      <c r="BA147" s="327">
        <v>0.56999999999999995</v>
      </c>
      <c r="BB147" s="327">
        <v>0</v>
      </c>
      <c r="BC147" s="327">
        <v>0</v>
      </c>
      <c r="BD147" s="327">
        <v>0</v>
      </c>
      <c r="BE147" s="424">
        <v>42</v>
      </c>
      <c r="BF147" s="424" t="s">
        <v>760</v>
      </c>
      <c r="BG147" s="424">
        <v>9</v>
      </c>
      <c r="BH147" s="424" t="s">
        <v>758</v>
      </c>
      <c r="BI147" s="428">
        <v>0.67</v>
      </c>
      <c r="BJ147" s="428">
        <v>0.33</v>
      </c>
      <c r="BK147" s="428">
        <v>0</v>
      </c>
      <c r="BL147" s="428">
        <v>0</v>
      </c>
      <c r="BM147" s="428">
        <v>0</v>
      </c>
      <c r="BN147" s="464">
        <v>52</v>
      </c>
      <c r="BO147" s="464" t="s">
        <v>758</v>
      </c>
      <c r="BP147" s="464">
        <v>12</v>
      </c>
      <c r="BQ147" s="464" t="s">
        <v>758</v>
      </c>
      <c r="BR147" s="476">
        <v>0.25</v>
      </c>
      <c r="BS147" s="476">
        <v>0.5</v>
      </c>
      <c r="BT147" s="476">
        <v>0.25</v>
      </c>
      <c r="BU147" s="476">
        <v>0</v>
      </c>
      <c r="BV147" s="476">
        <v>0</v>
      </c>
      <c r="BW147" s="933">
        <v>46</v>
      </c>
      <c r="BX147" s="933" t="s">
        <v>760</v>
      </c>
      <c r="BY147" s="933">
        <v>11</v>
      </c>
      <c r="BZ147" s="933" t="s">
        <v>758</v>
      </c>
      <c r="CA147" s="949">
        <v>0.53</v>
      </c>
      <c r="CB147" s="949">
        <v>0.28999999999999998</v>
      </c>
      <c r="CC147" s="949">
        <v>0.18</v>
      </c>
      <c r="CD147" s="949">
        <v>0</v>
      </c>
      <c r="CE147" s="949">
        <v>0</v>
      </c>
      <c r="CF147" s="922">
        <v>325754005498</v>
      </c>
      <c r="CG147" s="126" t="s">
        <v>774</v>
      </c>
    </row>
    <row r="148" spans="1:85" ht="24.95" customHeight="1" x14ac:dyDescent="0.2">
      <c r="A148" s="555" t="s">
        <v>24</v>
      </c>
      <c r="B148" s="1" t="s">
        <v>123</v>
      </c>
      <c r="C148" s="309">
        <v>6</v>
      </c>
      <c r="D148" s="328">
        <v>55</v>
      </c>
      <c r="E148" s="328">
        <v>11</v>
      </c>
      <c r="F148" s="333">
        <v>0.27</v>
      </c>
      <c r="G148" s="333">
        <v>0.27</v>
      </c>
      <c r="H148" s="333">
        <v>0.36</v>
      </c>
      <c r="I148" s="333">
        <v>0.09</v>
      </c>
      <c r="J148" s="333">
        <v>0</v>
      </c>
      <c r="K148" s="328">
        <v>43</v>
      </c>
      <c r="L148" s="328">
        <v>8</v>
      </c>
      <c r="M148" s="330">
        <v>0.83</v>
      </c>
      <c r="N148" s="330">
        <v>0.08</v>
      </c>
      <c r="O148" s="330">
        <v>0.08</v>
      </c>
      <c r="P148" s="330">
        <v>0</v>
      </c>
      <c r="Q148" s="330">
        <v>0</v>
      </c>
      <c r="R148" s="328">
        <v>50</v>
      </c>
      <c r="S148" s="328">
        <v>13</v>
      </c>
      <c r="T148" s="327">
        <v>0.38</v>
      </c>
      <c r="U148" s="327">
        <v>0.5</v>
      </c>
      <c r="V148" s="327">
        <v>0</v>
      </c>
      <c r="W148" s="327">
        <v>0.13</v>
      </c>
      <c r="X148" s="327">
        <v>0</v>
      </c>
      <c r="Y148" s="328">
        <v>45</v>
      </c>
      <c r="Z148" s="328">
        <v>10</v>
      </c>
      <c r="AA148" s="327">
        <v>0.75</v>
      </c>
      <c r="AB148" s="327">
        <v>0.25</v>
      </c>
      <c r="AC148" s="327">
        <v>0</v>
      </c>
      <c r="AD148" s="327">
        <v>0</v>
      </c>
      <c r="AE148" s="327">
        <v>0</v>
      </c>
      <c r="AF148" s="329">
        <v>43</v>
      </c>
      <c r="AG148" s="329">
        <v>5</v>
      </c>
      <c r="AH148" s="330">
        <v>0.75</v>
      </c>
      <c r="AI148" s="330">
        <v>0.25</v>
      </c>
      <c r="AJ148" s="330">
        <v>0</v>
      </c>
      <c r="AK148" s="330">
        <v>0</v>
      </c>
      <c r="AL148" s="330">
        <v>0</v>
      </c>
      <c r="AM148" s="312">
        <v>59</v>
      </c>
      <c r="AN148" s="312" t="s">
        <v>758</v>
      </c>
      <c r="AO148" s="312">
        <v>17</v>
      </c>
      <c r="AP148" s="312" t="s">
        <v>759</v>
      </c>
      <c r="AQ148" s="332">
        <v>0.2</v>
      </c>
      <c r="AR148" s="332">
        <v>0.2</v>
      </c>
      <c r="AS148" s="332">
        <v>0.2</v>
      </c>
      <c r="AT148" s="332">
        <v>0.2</v>
      </c>
      <c r="AU148" s="332">
        <v>0.2</v>
      </c>
      <c r="AV148" s="309">
        <v>51</v>
      </c>
      <c r="AW148" s="309" t="s">
        <v>758</v>
      </c>
      <c r="AX148" s="309">
        <v>10</v>
      </c>
      <c r="AY148" s="309" t="s">
        <v>758</v>
      </c>
      <c r="AZ148" s="327">
        <v>0.4</v>
      </c>
      <c r="BA148" s="327">
        <v>0.5</v>
      </c>
      <c r="BB148" s="327">
        <v>0</v>
      </c>
      <c r="BC148" s="327">
        <v>0.1</v>
      </c>
      <c r="BD148" s="327">
        <v>0</v>
      </c>
      <c r="BE148" s="424">
        <v>57</v>
      </c>
      <c r="BF148" s="424" t="s">
        <v>758</v>
      </c>
      <c r="BG148" s="424">
        <v>9</v>
      </c>
      <c r="BH148" s="424" t="s">
        <v>758</v>
      </c>
      <c r="BI148" s="428">
        <v>0.28999999999999998</v>
      </c>
      <c r="BJ148" s="428">
        <v>0.28999999999999998</v>
      </c>
      <c r="BK148" s="428">
        <v>0.28999999999999998</v>
      </c>
      <c r="BL148" s="428">
        <v>0.14000000000000001</v>
      </c>
      <c r="BM148" s="428">
        <v>0</v>
      </c>
      <c r="BN148" s="464">
        <v>55</v>
      </c>
      <c r="BO148" s="464" t="s">
        <v>758</v>
      </c>
      <c r="BP148" s="464">
        <v>10</v>
      </c>
      <c r="BQ148" s="464" t="s">
        <v>758</v>
      </c>
      <c r="BR148" s="476">
        <v>0.2</v>
      </c>
      <c r="BS148" s="476">
        <v>0.4</v>
      </c>
      <c r="BT148" s="476">
        <v>0.3</v>
      </c>
      <c r="BU148" s="476">
        <v>0.1</v>
      </c>
      <c r="BV148" s="476">
        <v>0</v>
      </c>
      <c r="BW148" s="933">
        <v>57</v>
      </c>
      <c r="BX148" s="933" t="s">
        <v>758</v>
      </c>
      <c r="BY148" s="933">
        <v>12</v>
      </c>
      <c r="BZ148" s="933" t="s">
        <v>758</v>
      </c>
      <c r="CA148" s="949">
        <v>0.33</v>
      </c>
      <c r="CB148" s="949">
        <v>0.19</v>
      </c>
      <c r="CC148" s="949">
        <v>0.24</v>
      </c>
      <c r="CD148" s="949">
        <v>0.24</v>
      </c>
      <c r="CE148" s="949">
        <v>0</v>
      </c>
      <c r="CF148" s="922">
        <v>325754004050</v>
      </c>
      <c r="CG148" s="555" t="s">
        <v>24</v>
      </c>
    </row>
    <row r="149" spans="1:85" ht="24.95" customHeight="1" x14ac:dyDescent="0.2">
      <c r="A149" s="126" t="s">
        <v>36</v>
      </c>
      <c r="B149" s="1" t="s">
        <v>123</v>
      </c>
      <c r="C149" s="2">
        <v>6</v>
      </c>
      <c r="D149" s="12">
        <v>58</v>
      </c>
      <c r="E149" s="12">
        <v>9</v>
      </c>
      <c r="F149" s="66">
        <v>0.14000000000000001</v>
      </c>
      <c r="G149" s="66">
        <v>0.36</v>
      </c>
      <c r="H149" s="66">
        <v>0.33</v>
      </c>
      <c r="I149" s="66">
        <v>0.17</v>
      </c>
      <c r="J149" s="66">
        <v>0</v>
      </c>
      <c r="K149" s="12">
        <v>56</v>
      </c>
      <c r="L149" s="12">
        <v>12</v>
      </c>
      <c r="M149" s="61">
        <v>0.26</v>
      </c>
      <c r="N149" s="61">
        <v>0.28999999999999998</v>
      </c>
      <c r="O149" s="61">
        <v>0.28999999999999998</v>
      </c>
      <c r="P149" s="61">
        <v>0.14000000000000001</v>
      </c>
      <c r="Q149" s="61">
        <v>0.03</v>
      </c>
      <c r="R149" s="12">
        <v>55</v>
      </c>
      <c r="S149" s="12">
        <v>10</v>
      </c>
      <c r="T149" s="63">
        <v>0.24</v>
      </c>
      <c r="U149" s="63">
        <v>0.28000000000000003</v>
      </c>
      <c r="V149" s="63">
        <v>0.36</v>
      </c>
      <c r="W149" s="63">
        <v>0.12</v>
      </c>
      <c r="X149" s="63">
        <v>0</v>
      </c>
      <c r="Y149" s="12">
        <v>59</v>
      </c>
      <c r="Z149" s="12">
        <v>10</v>
      </c>
      <c r="AA149" s="63">
        <v>0.17</v>
      </c>
      <c r="AB149" s="63">
        <v>0.27</v>
      </c>
      <c r="AC149" s="63">
        <v>0.33</v>
      </c>
      <c r="AD149" s="63">
        <v>0.23</v>
      </c>
      <c r="AE149" s="63">
        <v>0</v>
      </c>
      <c r="AF149" s="25">
        <v>52</v>
      </c>
      <c r="AG149" s="25">
        <v>12</v>
      </c>
      <c r="AH149" s="61">
        <v>0.28000000000000003</v>
      </c>
      <c r="AI149" s="61">
        <v>0.52</v>
      </c>
      <c r="AJ149" s="61">
        <v>0.16</v>
      </c>
      <c r="AK149" s="61">
        <v>0</v>
      </c>
      <c r="AL149" s="61">
        <v>0.04</v>
      </c>
      <c r="AM149" s="246">
        <v>61</v>
      </c>
      <c r="AN149" s="246" t="s">
        <v>759</v>
      </c>
      <c r="AO149" s="246">
        <v>8</v>
      </c>
      <c r="AP149" s="246" t="s">
        <v>758</v>
      </c>
      <c r="AQ149" s="263">
        <v>0.06</v>
      </c>
      <c r="AR149" s="263">
        <v>0.28999999999999998</v>
      </c>
      <c r="AS149" s="263">
        <v>0.48</v>
      </c>
      <c r="AT149" s="263">
        <v>0.16</v>
      </c>
      <c r="AU149" s="263">
        <v>0</v>
      </c>
      <c r="AV149" s="309">
        <v>62</v>
      </c>
      <c r="AW149" s="309" t="s">
        <v>759</v>
      </c>
      <c r="AX149" s="309">
        <v>8</v>
      </c>
      <c r="AY149" s="309" t="s">
        <v>758</v>
      </c>
      <c r="AZ149" s="327">
        <v>0</v>
      </c>
      <c r="BA149" s="327">
        <v>0.38</v>
      </c>
      <c r="BB149" s="327">
        <v>0.38</v>
      </c>
      <c r="BC149" s="327">
        <v>0.19</v>
      </c>
      <c r="BD149" s="327">
        <v>0.04</v>
      </c>
      <c r="BE149" s="424">
        <v>65</v>
      </c>
      <c r="BF149" s="424" t="s">
        <v>759</v>
      </c>
      <c r="BG149" s="424">
        <v>8</v>
      </c>
      <c r="BH149" s="424" t="s">
        <v>758</v>
      </c>
      <c r="BI149" s="428">
        <v>0.04</v>
      </c>
      <c r="BJ149" s="428">
        <v>0.17</v>
      </c>
      <c r="BK149" s="428">
        <v>0.35</v>
      </c>
      <c r="BL149" s="428">
        <v>0.39</v>
      </c>
      <c r="BM149" s="428">
        <v>0.04</v>
      </c>
      <c r="BN149" s="464">
        <v>58</v>
      </c>
      <c r="BO149" s="464" t="s">
        <v>758</v>
      </c>
      <c r="BP149" s="464">
        <v>7</v>
      </c>
      <c r="BQ149" s="464" t="s">
        <v>760</v>
      </c>
      <c r="BR149" s="476">
        <v>0.14000000000000001</v>
      </c>
      <c r="BS149" s="476">
        <v>0.19</v>
      </c>
      <c r="BT149" s="476">
        <v>0.62</v>
      </c>
      <c r="BU149" s="476">
        <v>0.05</v>
      </c>
      <c r="BV149" s="476">
        <v>0</v>
      </c>
      <c r="BW149" s="933">
        <v>57</v>
      </c>
      <c r="BX149" s="933" t="s">
        <v>758</v>
      </c>
      <c r="BY149" s="933">
        <v>10</v>
      </c>
      <c r="BZ149" s="933" t="s">
        <v>758</v>
      </c>
      <c r="CA149" s="949">
        <v>0.08</v>
      </c>
      <c r="CB149" s="949">
        <v>0.38</v>
      </c>
      <c r="CC149" s="949">
        <v>0.42</v>
      </c>
      <c r="CD149" s="949">
        <v>0.12</v>
      </c>
      <c r="CE149" s="949">
        <v>0</v>
      </c>
      <c r="CF149" s="922">
        <v>425754001551</v>
      </c>
      <c r="CG149" s="126" t="s">
        <v>36</v>
      </c>
    </row>
    <row r="150" spans="1:85" ht="24.95" customHeight="1" x14ac:dyDescent="0.2">
      <c r="A150" s="126" t="s">
        <v>728</v>
      </c>
      <c r="B150" s="1" t="s">
        <v>123</v>
      </c>
      <c r="C150" s="2">
        <v>4</v>
      </c>
      <c r="D150" s="12"/>
      <c r="E150" s="12"/>
      <c r="F150" s="66"/>
      <c r="G150" s="66"/>
      <c r="H150" s="66"/>
      <c r="I150" s="66"/>
      <c r="J150" s="66"/>
      <c r="K150" s="12"/>
      <c r="L150" s="12"/>
      <c r="M150" s="61"/>
      <c r="N150" s="61"/>
      <c r="O150" s="61"/>
      <c r="P150" s="61"/>
      <c r="Q150" s="61"/>
      <c r="R150" s="12"/>
      <c r="S150" s="12"/>
      <c r="T150" s="63"/>
      <c r="U150" s="63"/>
      <c r="V150" s="63"/>
      <c r="W150" s="63"/>
      <c r="X150" s="63"/>
      <c r="Y150" s="12"/>
      <c r="Z150" s="12"/>
      <c r="AA150" s="63"/>
      <c r="AB150" s="63"/>
      <c r="AC150" s="63"/>
      <c r="AD150" s="63"/>
      <c r="AE150" s="63"/>
      <c r="AF150" s="25"/>
      <c r="AG150" s="25"/>
      <c r="AH150" s="61"/>
      <c r="AI150" s="61"/>
      <c r="AJ150" s="61"/>
      <c r="AK150" s="61"/>
      <c r="AL150" s="61"/>
      <c r="AM150" s="646"/>
      <c r="AN150" s="646"/>
      <c r="AO150" s="646"/>
      <c r="AP150" s="646"/>
      <c r="AQ150" s="646"/>
      <c r="AR150" s="646"/>
      <c r="AS150" s="646"/>
      <c r="AT150" s="646"/>
      <c r="AU150" s="646"/>
      <c r="AV150" s="649"/>
      <c r="AW150" s="649"/>
      <c r="AX150" s="649"/>
      <c r="AY150" s="649"/>
      <c r="AZ150" s="649"/>
      <c r="BA150" s="649"/>
      <c r="BB150" s="649"/>
      <c r="BC150" s="649"/>
      <c r="BD150" s="649"/>
      <c r="BE150" s="424">
        <v>55</v>
      </c>
      <c r="BF150" s="424" t="s">
        <v>758</v>
      </c>
      <c r="BG150" s="424">
        <v>8</v>
      </c>
      <c r="BH150" s="424" t="s">
        <v>758</v>
      </c>
      <c r="BI150" s="428">
        <v>0.13</v>
      </c>
      <c r="BJ150" s="428">
        <v>0.5</v>
      </c>
      <c r="BK150" s="428">
        <v>0.38</v>
      </c>
      <c r="BL150" s="428">
        <v>0</v>
      </c>
      <c r="BM150" s="428">
        <v>0</v>
      </c>
      <c r="BN150" s="641"/>
      <c r="BO150" s="641"/>
      <c r="BP150" s="641"/>
      <c r="BQ150" s="641"/>
      <c r="BR150" s="642"/>
      <c r="BS150" s="642"/>
      <c r="BT150" s="642"/>
      <c r="BU150" s="642"/>
      <c r="BV150" s="642"/>
      <c r="BW150" s="933">
        <v>56</v>
      </c>
      <c r="BX150" s="933" t="s">
        <v>758</v>
      </c>
      <c r="BY150" s="933">
        <v>11</v>
      </c>
      <c r="BZ150" s="933" t="s">
        <v>758</v>
      </c>
      <c r="CA150" s="949">
        <v>0.25</v>
      </c>
      <c r="CB150" s="949">
        <v>0.33</v>
      </c>
      <c r="CC150" s="949">
        <v>0.25</v>
      </c>
      <c r="CD150" s="949">
        <v>0.17</v>
      </c>
      <c r="CE150" s="949">
        <v>0</v>
      </c>
      <c r="CF150" s="922">
        <v>325754004203</v>
      </c>
      <c r="CG150" s="126" t="s">
        <v>728</v>
      </c>
    </row>
    <row r="151" spans="1:85" ht="24.95" customHeight="1" x14ac:dyDescent="0.2">
      <c r="A151" s="126" t="s">
        <v>80</v>
      </c>
      <c r="B151" s="1" t="s">
        <v>123</v>
      </c>
      <c r="C151" s="2">
        <v>2</v>
      </c>
      <c r="D151" s="12">
        <v>50</v>
      </c>
      <c r="E151" s="12">
        <v>11</v>
      </c>
      <c r="F151" s="66">
        <v>0.56000000000000005</v>
      </c>
      <c r="G151" s="66">
        <v>0.31</v>
      </c>
      <c r="H151" s="66">
        <v>0</v>
      </c>
      <c r="I151" s="66">
        <v>0.13</v>
      </c>
      <c r="J151" s="66">
        <v>0</v>
      </c>
      <c r="K151" s="12">
        <v>51</v>
      </c>
      <c r="L151" s="12">
        <v>10</v>
      </c>
      <c r="M151" s="61">
        <v>0.44</v>
      </c>
      <c r="N151" s="61">
        <v>0.33</v>
      </c>
      <c r="O151" s="61">
        <v>0.11</v>
      </c>
      <c r="P151" s="61">
        <v>0.11</v>
      </c>
      <c r="Q151" s="61">
        <v>0</v>
      </c>
      <c r="R151" s="12">
        <v>51</v>
      </c>
      <c r="S151" s="12">
        <v>9</v>
      </c>
      <c r="T151" s="63">
        <v>0.27</v>
      </c>
      <c r="U151" s="63">
        <v>0.53</v>
      </c>
      <c r="V151" s="63">
        <v>0.2</v>
      </c>
      <c r="W151" s="63">
        <v>0</v>
      </c>
      <c r="X151" s="63">
        <v>0</v>
      </c>
      <c r="Y151" s="12">
        <v>44</v>
      </c>
      <c r="Z151" s="12">
        <v>11</v>
      </c>
      <c r="AA151" s="63">
        <v>0.64</v>
      </c>
      <c r="AB151" s="63">
        <v>0.27</v>
      </c>
      <c r="AC151" s="63">
        <v>0.09</v>
      </c>
      <c r="AD151" s="63">
        <v>0</v>
      </c>
      <c r="AE151" s="63">
        <v>0</v>
      </c>
      <c r="AF151" s="25">
        <v>47</v>
      </c>
      <c r="AG151" s="25">
        <v>11</v>
      </c>
      <c r="AH151" s="61">
        <v>0.56999999999999995</v>
      </c>
      <c r="AI151" s="61">
        <v>0.28999999999999998</v>
      </c>
      <c r="AJ151" s="61">
        <v>0</v>
      </c>
      <c r="AK151" s="61">
        <v>0.14000000000000001</v>
      </c>
      <c r="AL151" s="61">
        <v>0</v>
      </c>
      <c r="AM151" s="647">
        <v>51</v>
      </c>
      <c r="AN151" s="647" t="s">
        <v>758</v>
      </c>
      <c r="AO151" s="647">
        <v>9</v>
      </c>
      <c r="AP151" s="647" t="s">
        <v>758</v>
      </c>
      <c r="AQ151" s="648">
        <v>0.31</v>
      </c>
      <c r="AR151" s="648">
        <v>0.38</v>
      </c>
      <c r="AS151" s="648">
        <v>0.31</v>
      </c>
      <c r="AT151" s="648">
        <v>0</v>
      </c>
      <c r="AU151" s="648">
        <v>0</v>
      </c>
      <c r="AV151" s="74">
        <v>55</v>
      </c>
      <c r="AW151" s="74" t="s">
        <v>758</v>
      </c>
      <c r="AX151" s="74">
        <v>7</v>
      </c>
      <c r="AY151" s="74" t="s">
        <v>760</v>
      </c>
      <c r="AZ151" s="96">
        <v>0.21</v>
      </c>
      <c r="BA151" s="96">
        <v>0.5</v>
      </c>
      <c r="BB151" s="96">
        <v>0.21</v>
      </c>
      <c r="BC151" s="96">
        <v>7.0000000000000007E-2</v>
      </c>
      <c r="BD151" s="96">
        <v>0</v>
      </c>
      <c r="BE151" s="424">
        <v>53</v>
      </c>
      <c r="BF151" s="424" t="s">
        <v>758</v>
      </c>
      <c r="BG151" s="424">
        <v>10</v>
      </c>
      <c r="BH151" s="424" t="s">
        <v>758</v>
      </c>
      <c r="BI151" s="428">
        <v>0.26</v>
      </c>
      <c r="BJ151" s="428">
        <v>0.42</v>
      </c>
      <c r="BK151" s="428">
        <v>0.21</v>
      </c>
      <c r="BL151" s="428">
        <v>0.11</v>
      </c>
      <c r="BM151" s="428">
        <v>0</v>
      </c>
      <c r="BN151" s="654">
        <v>58</v>
      </c>
      <c r="BO151" s="654" t="s">
        <v>758</v>
      </c>
      <c r="BP151" s="654">
        <v>10</v>
      </c>
      <c r="BQ151" s="654" t="s">
        <v>758</v>
      </c>
      <c r="BR151" s="655">
        <v>0.21</v>
      </c>
      <c r="BS151" s="655">
        <v>0.21</v>
      </c>
      <c r="BT151" s="655">
        <v>0.42</v>
      </c>
      <c r="BU151" s="655">
        <v>0.16</v>
      </c>
      <c r="BV151" s="655">
        <v>0</v>
      </c>
      <c r="BW151" s="933"/>
      <c r="BX151" s="933"/>
      <c r="BY151" s="933"/>
      <c r="BZ151" s="933"/>
      <c r="CA151" s="949"/>
      <c r="CB151" s="949"/>
      <c r="CC151" s="949"/>
      <c r="CD151" s="949"/>
      <c r="CE151" s="949"/>
      <c r="CG151" s="126" t="s">
        <v>80</v>
      </c>
    </row>
    <row r="152" spans="1:85" ht="24.95" customHeight="1" x14ac:dyDescent="0.2">
      <c r="A152" s="126" t="s">
        <v>84</v>
      </c>
      <c r="B152" s="1" t="s">
        <v>123</v>
      </c>
      <c r="C152" s="2">
        <v>5</v>
      </c>
      <c r="D152" s="12">
        <v>53</v>
      </c>
      <c r="E152" s="12">
        <v>10</v>
      </c>
      <c r="F152" s="66">
        <v>0.36</v>
      </c>
      <c r="G152" s="66">
        <v>0.33</v>
      </c>
      <c r="H152" s="66">
        <v>0.19</v>
      </c>
      <c r="I152" s="66">
        <v>0.12</v>
      </c>
      <c r="J152" s="66">
        <v>0</v>
      </c>
      <c r="K152" s="12">
        <v>48</v>
      </c>
      <c r="L152" s="12">
        <v>9</v>
      </c>
      <c r="M152" s="61">
        <v>0.49</v>
      </c>
      <c r="N152" s="61">
        <v>0.32</v>
      </c>
      <c r="O152" s="61">
        <v>0.17</v>
      </c>
      <c r="P152" s="61">
        <v>0.02</v>
      </c>
      <c r="Q152" s="61">
        <v>0</v>
      </c>
      <c r="R152" s="12">
        <v>50</v>
      </c>
      <c r="S152" s="12">
        <v>10</v>
      </c>
      <c r="T152" s="63">
        <v>0.38</v>
      </c>
      <c r="U152" s="63">
        <v>0.5</v>
      </c>
      <c r="V152" s="63">
        <v>0.06</v>
      </c>
      <c r="W152" s="63">
        <v>0.06</v>
      </c>
      <c r="X152" s="63">
        <v>0</v>
      </c>
      <c r="Y152" s="12">
        <v>50</v>
      </c>
      <c r="Z152" s="12">
        <v>7</v>
      </c>
      <c r="AA152" s="63">
        <v>0.38</v>
      </c>
      <c r="AB152" s="63">
        <v>0.54</v>
      </c>
      <c r="AC152" s="63">
        <v>0.08</v>
      </c>
      <c r="AD152" s="63">
        <v>0</v>
      </c>
      <c r="AE152" s="63">
        <v>0</v>
      </c>
      <c r="AF152" s="25">
        <v>45</v>
      </c>
      <c r="AG152" s="25">
        <v>9</v>
      </c>
      <c r="AH152" s="61">
        <v>0.74</v>
      </c>
      <c r="AI152" s="61">
        <v>0.04</v>
      </c>
      <c r="AJ152" s="61">
        <v>0.22</v>
      </c>
      <c r="AK152" s="61">
        <v>0</v>
      </c>
      <c r="AL152" s="61">
        <v>0</v>
      </c>
      <c r="AM152" s="246">
        <v>47</v>
      </c>
      <c r="AN152" s="246" t="s">
        <v>758</v>
      </c>
      <c r="AO152" s="246">
        <v>11</v>
      </c>
      <c r="AP152" s="246" t="s">
        <v>758</v>
      </c>
      <c r="AQ152" s="263">
        <v>0.59</v>
      </c>
      <c r="AR152" s="263">
        <v>0.21</v>
      </c>
      <c r="AS152" s="263">
        <v>0.17</v>
      </c>
      <c r="AT152" s="263">
        <v>0.03</v>
      </c>
      <c r="AU152" s="263">
        <v>0</v>
      </c>
      <c r="AV152" s="309">
        <v>49</v>
      </c>
      <c r="AW152" s="309" t="s">
        <v>758</v>
      </c>
      <c r="AX152" s="309">
        <v>9</v>
      </c>
      <c r="AY152" s="309" t="s">
        <v>758</v>
      </c>
      <c r="AZ152" s="327">
        <v>0.42</v>
      </c>
      <c r="BA152" s="327">
        <v>0.42</v>
      </c>
      <c r="BB152" s="327">
        <v>0.15</v>
      </c>
      <c r="BC152" s="327">
        <v>0</v>
      </c>
      <c r="BD152" s="327">
        <v>0</v>
      </c>
      <c r="BE152" s="424">
        <v>52</v>
      </c>
      <c r="BF152" s="424" t="s">
        <v>758</v>
      </c>
      <c r="BG152" s="424">
        <v>9</v>
      </c>
      <c r="BH152" s="424" t="s">
        <v>758</v>
      </c>
      <c r="BI152" s="428">
        <v>0.37</v>
      </c>
      <c r="BJ152" s="428">
        <v>0.43</v>
      </c>
      <c r="BK152" s="428">
        <v>0.11</v>
      </c>
      <c r="BL152" s="428">
        <v>0.09</v>
      </c>
      <c r="BM152" s="428">
        <v>0</v>
      </c>
      <c r="BN152" s="464">
        <v>51</v>
      </c>
      <c r="BO152" s="464" t="s">
        <v>758</v>
      </c>
      <c r="BP152" s="464">
        <v>8</v>
      </c>
      <c r="BQ152" s="464" t="s">
        <v>758</v>
      </c>
      <c r="BR152" s="476">
        <v>0.34</v>
      </c>
      <c r="BS152" s="476">
        <v>0.41</v>
      </c>
      <c r="BT152" s="476">
        <v>0.25</v>
      </c>
      <c r="BU152" s="476">
        <v>0</v>
      </c>
      <c r="BV152" s="476">
        <v>0</v>
      </c>
      <c r="BW152" s="933">
        <v>50</v>
      </c>
      <c r="BX152" s="933" t="s">
        <v>758</v>
      </c>
      <c r="BY152" s="933">
        <v>9</v>
      </c>
      <c r="BZ152" s="933" t="s">
        <v>758</v>
      </c>
      <c r="CA152" s="949">
        <v>0.39</v>
      </c>
      <c r="CB152" s="949">
        <v>0.43</v>
      </c>
      <c r="CC152" s="949">
        <v>0.16</v>
      </c>
      <c r="CD152" s="949">
        <v>0.02</v>
      </c>
      <c r="CE152" s="949">
        <v>0</v>
      </c>
      <c r="CF152" s="922">
        <v>325754003860</v>
      </c>
      <c r="CG152" s="126" t="s">
        <v>84</v>
      </c>
    </row>
    <row r="153" spans="1:85" ht="24.95" customHeight="1" x14ac:dyDescent="0.2">
      <c r="A153" s="126" t="s">
        <v>79</v>
      </c>
      <c r="B153" s="1" t="s">
        <v>123</v>
      </c>
      <c r="C153" s="2">
        <v>2</v>
      </c>
      <c r="D153" s="12">
        <v>56</v>
      </c>
      <c r="E153" s="12">
        <v>14</v>
      </c>
      <c r="F153" s="66">
        <v>0.25</v>
      </c>
      <c r="G153" s="66">
        <v>0.25</v>
      </c>
      <c r="H153" s="66">
        <v>0.38</v>
      </c>
      <c r="I153" s="66">
        <v>0.13</v>
      </c>
      <c r="J153" s="66">
        <v>0</v>
      </c>
      <c r="K153" s="12">
        <v>54</v>
      </c>
      <c r="L153" s="12">
        <v>8</v>
      </c>
      <c r="M153" s="61">
        <v>0.2</v>
      </c>
      <c r="N153" s="61">
        <v>0.55000000000000004</v>
      </c>
      <c r="O153" s="61">
        <v>0.2</v>
      </c>
      <c r="P153" s="61">
        <v>0.05</v>
      </c>
      <c r="Q153" s="61">
        <v>0</v>
      </c>
      <c r="R153" s="12">
        <v>56</v>
      </c>
      <c r="S153" s="12">
        <v>9</v>
      </c>
      <c r="T153" s="63">
        <v>0.13</v>
      </c>
      <c r="U153" s="63">
        <v>0.52</v>
      </c>
      <c r="V153" s="63">
        <v>0.26</v>
      </c>
      <c r="W153" s="63">
        <v>0.09</v>
      </c>
      <c r="X153" s="63">
        <v>0</v>
      </c>
      <c r="Y153" s="12">
        <v>53</v>
      </c>
      <c r="Z153" s="12">
        <v>11</v>
      </c>
      <c r="AA153" s="63">
        <v>0.27</v>
      </c>
      <c r="AB153" s="63">
        <v>0.42</v>
      </c>
      <c r="AC153" s="63">
        <v>0.24</v>
      </c>
      <c r="AD153" s="63">
        <v>0.06</v>
      </c>
      <c r="AE153" s="63">
        <v>0</v>
      </c>
      <c r="AF153" s="25">
        <v>47</v>
      </c>
      <c r="AG153" s="25">
        <v>6</v>
      </c>
      <c r="AH153" s="61">
        <v>0.55000000000000004</v>
      </c>
      <c r="AI153" s="61">
        <v>0.39</v>
      </c>
      <c r="AJ153" s="61">
        <v>0.06</v>
      </c>
      <c r="AK153" s="61">
        <v>0</v>
      </c>
      <c r="AL153" s="61">
        <v>0</v>
      </c>
      <c r="AM153" s="246">
        <v>52</v>
      </c>
      <c r="AN153" s="246" t="s">
        <v>758</v>
      </c>
      <c r="AO153" s="246">
        <v>8</v>
      </c>
      <c r="AP153" s="246" t="s">
        <v>758</v>
      </c>
      <c r="AQ153" s="263">
        <v>0.35</v>
      </c>
      <c r="AR153" s="263">
        <v>0.38</v>
      </c>
      <c r="AS153" s="263">
        <v>0.26</v>
      </c>
      <c r="AT153" s="263">
        <v>0</v>
      </c>
      <c r="AU153" s="263">
        <v>0</v>
      </c>
      <c r="AV153" s="309">
        <v>54</v>
      </c>
      <c r="AW153" s="309" t="s">
        <v>758</v>
      </c>
      <c r="AX153" s="309">
        <v>9</v>
      </c>
      <c r="AY153" s="309" t="s">
        <v>758</v>
      </c>
      <c r="AZ153" s="327">
        <v>0.15</v>
      </c>
      <c r="BA153" s="327">
        <v>0.48</v>
      </c>
      <c r="BB153" s="327">
        <v>0.3</v>
      </c>
      <c r="BC153" s="327">
        <v>0.08</v>
      </c>
      <c r="BD153" s="327">
        <v>0</v>
      </c>
      <c r="BE153" s="424">
        <v>53</v>
      </c>
      <c r="BF153" s="424" t="s">
        <v>758</v>
      </c>
      <c r="BG153" s="424">
        <v>10</v>
      </c>
      <c r="BH153" s="424" t="s">
        <v>758</v>
      </c>
      <c r="BI153" s="428">
        <v>0.27</v>
      </c>
      <c r="BJ153" s="428">
        <v>0.44</v>
      </c>
      <c r="BK153" s="428">
        <v>0.22</v>
      </c>
      <c r="BL153" s="428">
        <v>7.0000000000000007E-2</v>
      </c>
      <c r="BM153" s="428">
        <v>0</v>
      </c>
      <c r="BN153" s="464">
        <v>51</v>
      </c>
      <c r="BO153" s="464" t="s">
        <v>758</v>
      </c>
      <c r="BP153" s="464">
        <v>12</v>
      </c>
      <c r="BQ153" s="464" t="s">
        <v>758</v>
      </c>
      <c r="BR153" s="476">
        <v>0.42</v>
      </c>
      <c r="BS153" s="476">
        <v>0.34</v>
      </c>
      <c r="BT153" s="476">
        <v>0.16</v>
      </c>
      <c r="BU153" s="476">
        <v>0.05</v>
      </c>
      <c r="BV153" s="476">
        <v>0.03</v>
      </c>
      <c r="BW153" s="933">
        <v>57</v>
      </c>
      <c r="BX153" s="933" t="s">
        <v>758</v>
      </c>
      <c r="BY153" s="933">
        <v>12</v>
      </c>
      <c r="BZ153" s="933" t="s">
        <v>758</v>
      </c>
      <c r="CA153" s="949">
        <v>0.25</v>
      </c>
      <c r="CB153" s="949">
        <v>0.27</v>
      </c>
      <c r="CC153" s="949">
        <v>0.27</v>
      </c>
      <c r="CD153" s="949">
        <v>0.17</v>
      </c>
      <c r="CE153" s="949">
        <v>0.04</v>
      </c>
      <c r="CF153" s="922">
        <v>325754001883</v>
      </c>
      <c r="CG153" s="126" t="s">
        <v>79</v>
      </c>
    </row>
    <row r="154" spans="1:85" ht="24.95" customHeight="1" x14ac:dyDescent="0.2">
      <c r="A154" s="126" t="s">
        <v>70</v>
      </c>
      <c r="B154" s="1" t="s">
        <v>123</v>
      </c>
      <c r="C154" s="2">
        <v>6</v>
      </c>
      <c r="D154" s="12">
        <v>57</v>
      </c>
      <c r="E154" s="12">
        <v>8</v>
      </c>
      <c r="F154" s="66">
        <v>0.16</v>
      </c>
      <c r="G154" s="66">
        <v>0.39</v>
      </c>
      <c r="H154" s="66">
        <v>0.36</v>
      </c>
      <c r="I154" s="66">
        <v>0.08</v>
      </c>
      <c r="J154" s="66">
        <v>0</v>
      </c>
      <c r="K154" s="12">
        <v>53</v>
      </c>
      <c r="L154" s="12">
        <v>8</v>
      </c>
      <c r="M154" s="61">
        <v>0.27</v>
      </c>
      <c r="N154" s="61">
        <v>0.48</v>
      </c>
      <c r="O154" s="61">
        <v>0.2</v>
      </c>
      <c r="P154" s="61">
        <v>0.02</v>
      </c>
      <c r="Q154" s="61">
        <v>0.02</v>
      </c>
      <c r="R154" s="12">
        <v>56</v>
      </c>
      <c r="S154" s="12">
        <v>9</v>
      </c>
      <c r="T154" s="63">
        <v>0.16</v>
      </c>
      <c r="U154" s="63">
        <v>0.43</v>
      </c>
      <c r="V154" s="63">
        <v>0.28999999999999998</v>
      </c>
      <c r="W154" s="63">
        <v>0.1</v>
      </c>
      <c r="X154" s="63">
        <v>0.02</v>
      </c>
      <c r="Y154" s="12">
        <v>56</v>
      </c>
      <c r="Z154" s="12">
        <v>11</v>
      </c>
      <c r="AA154" s="63">
        <v>0.25</v>
      </c>
      <c r="AB154" s="63">
        <v>0.31</v>
      </c>
      <c r="AC154" s="63">
        <v>0.32</v>
      </c>
      <c r="AD154" s="63">
        <v>0.1</v>
      </c>
      <c r="AE154" s="63">
        <v>0.03</v>
      </c>
      <c r="AF154" s="25">
        <v>49</v>
      </c>
      <c r="AG154" s="25">
        <v>10</v>
      </c>
      <c r="AH154" s="61">
        <v>0.5</v>
      </c>
      <c r="AI154" s="61">
        <v>0.31</v>
      </c>
      <c r="AJ154" s="61">
        <v>0.13</v>
      </c>
      <c r="AK154" s="61">
        <v>0.06</v>
      </c>
      <c r="AL154" s="61">
        <v>0</v>
      </c>
      <c r="AM154" s="246">
        <v>53</v>
      </c>
      <c r="AN154" s="246" t="s">
        <v>758</v>
      </c>
      <c r="AO154" s="246">
        <v>11</v>
      </c>
      <c r="AP154" s="246" t="s">
        <v>758</v>
      </c>
      <c r="AQ154" s="263">
        <v>0.28999999999999998</v>
      </c>
      <c r="AR154" s="263">
        <v>0.36</v>
      </c>
      <c r="AS154" s="263">
        <v>0.25</v>
      </c>
      <c r="AT154" s="263">
        <v>0.1</v>
      </c>
      <c r="AU154" s="263">
        <v>0.01</v>
      </c>
      <c r="AV154" s="309">
        <v>56</v>
      </c>
      <c r="AW154" s="309" t="s">
        <v>758</v>
      </c>
      <c r="AX154" s="309">
        <v>12</v>
      </c>
      <c r="AY154" s="309" t="s">
        <v>758</v>
      </c>
      <c r="AZ154" s="327">
        <v>0.23</v>
      </c>
      <c r="BA154" s="327">
        <v>0.36</v>
      </c>
      <c r="BB154" s="327">
        <v>0.24</v>
      </c>
      <c r="BC154" s="327">
        <v>0.15</v>
      </c>
      <c r="BD154" s="327">
        <v>0.02</v>
      </c>
      <c r="BE154" s="424">
        <v>56</v>
      </c>
      <c r="BF154" s="424" t="s">
        <v>758</v>
      </c>
      <c r="BG154" s="424">
        <v>12</v>
      </c>
      <c r="BH154" s="424" t="s">
        <v>758</v>
      </c>
      <c r="BI154" s="428">
        <v>0.23</v>
      </c>
      <c r="BJ154" s="428">
        <v>0.35</v>
      </c>
      <c r="BK154" s="428">
        <v>0.23</v>
      </c>
      <c r="BL154" s="428">
        <v>0.16</v>
      </c>
      <c r="BM154" s="428">
        <v>0.03</v>
      </c>
      <c r="BN154" s="464">
        <v>55</v>
      </c>
      <c r="BO154" s="464" t="s">
        <v>758</v>
      </c>
      <c r="BP154" s="464">
        <v>10</v>
      </c>
      <c r="BQ154" s="464" t="s">
        <v>758</v>
      </c>
      <c r="BR154" s="476">
        <v>0.27</v>
      </c>
      <c r="BS154" s="476">
        <v>0.33</v>
      </c>
      <c r="BT154" s="476">
        <v>0.28999999999999998</v>
      </c>
      <c r="BU154" s="476">
        <v>0.11</v>
      </c>
      <c r="BV154" s="476">
        <v>0.01</v>
      </c>
      <c r="BW154" s="933">
        <v>57</v>
      </c>
      <c r="BX154" s="933" t="s">
        <v>758</v>
      </c>
      <c r="BY154" s="933">
        <v>11</v>
      </c>
      <c r="BZ154" s="933" t="s">
        <v>758</v>
      </c>
      <c r="CA154" s="949">
        <v>0.19</v>
      </c>
      <c r="CB154" s="949">
        <v>0.34</v>
      </c>
      <c r="CC154" s="949">
        <v>0.28000000000000003</v>
      </c>
      <c r="CD154" s="949">
        <v>0.18</v>
      </c>
      <c r="CE154" s="949">
        <v>0.02</v>
      </c>
      <c r="CF154" s="922">
        <v>325754004238</v>
      </c>
      <c r="CG154" s="126" t="s">
        <v>70</v>
      </c>
    </row>
    <row r="155" spans="1:85" ht="24.95" customHeight="1" x14ac:dyDescent="0.2">
      <c r="A155" s="126" t="s">
        <v>108</v>
      </c>
      <c r="B155" s="1" t="s">
        <v>123</v>
      </c>
      <c r="C155" s="2">
        <v>5</v>
      </c>
      <c r="D155" s="12">
        <v>63</v>
      </c>
      <c r="E155" s="12">
        <v>9</v>
      </c>
      <c r="F155" s="66">
        <v>7.0000000000000007E-2</v>
      </c>
      <c r="G155" s="66">
        <v>0.23</v>
      </c>
      <c r="H155" s="66">
        <v>0.4</v>
      </c>
      <c r="I155" s="66">
        <v>0.27</v>
      </c>
      <c r="J155" s="66">
        <v>0.03</v>
      </c>
      <c r="K155" s="12">
        <v>60</v>
      </c>
      <c r="L155" s="12">
        <v>9</v>
      </c>
      <c r="M155" s="61">
        <v>0.04</v>
      </c>
      <c r="N155" s="61">
        <v>0.35</v>
      </c>
      <c r="O155" s="61">
        <v>0.48</v>
      </c>
      <c r="P155" s="61">
        <v>0.09</v>
      </c>
      <c r="Q155" s="61">
        <v>0.04</v>
      </c>
      <c r="R155" s="12">
        <v>63</v>
      </c>
      <c r="S155" s="12">
        <v>9</v>
      </c>
      <c r="T155" s="63">
        <v>0</v>
      </c>
      <c r="U155" s="63">
        <v>0.33</v>
      </c>
      <c r="V155" s="63">
        <v>0.35</v>
      </c>
      <c r="W155" s="63">
        <v>0.28000000000000003</v>
      </c>
      <c r="X155" s="63">
        <v>0.04</v>
      </c>
      <c r="Y155" s="12">
        <v>58</v>
      </c>
      <c r="Z155" s="12">
        <v>11</v>
      </c>
      <c r="AA155" s="63">
        <v>0.17</v>
      </c>
      <c r="AB155" s="63">
        <v>0.3</v>
      </c>
      <c r="AC155" s="63">
        <v>0.3</v>
      </c>
      <c r="AD155" s="63">
        <v>0.22</v>
      </c>
      <c r="AE155" s="63">
        <v>0</v>
      </c>
      <c r="AF155" s="25">
        <v>51</v>
      </c>
      <c r="AG155" s="25">
        <v>9</v>
      </c>
      <c r="AH155" s="61">
        <v>0.38</v>
      </c>
      <c r="AI155" s="61">
        <v>0.31</v>
      </c>
      <c r="AJ155" s="61">
        <v>0.28999999999999998</v>
      </c>
      <c r="AK155" s="61">
        <v>0.02</v>
      </c>
      <c r="AL155" s="61">
        <v>0</v>
      </c>
      <c r="AM155" s="246">
        <v>59</v>
      </c>
      <c r="AN155" s="246" t="s">
        <v>758</v>
      </c>
      <c r="AO155" s="246">
        <v>10</v>
      </c>
      <c r="AP155" s="246" t="s">
        <v>758</v>
      </c>
      <c r="AQ155" s="263">
        <v>0.15</v>
      </c>
      <c r="AR155" s="263">
        <v>0.33</v>
      </c>
      <c r="AS155" s="263">
        <v>0.27</v>
      </c>
      <c r="AT155" s="263">
        <v>0.25</v>
      </c>
      <c r="AU155" s="263">
        <v>0</v>
      </c>
      <c r="AV155" s="309">
        <v>63</v>
      </c>
      <c r="AW155" s="309" t="s">
        <v>759</v>
      </c>
      <c r="AX155" s="309">
        <v>8</v>
      </c>
      <c r="AY155" s="309" t="s">
        <v>758</v>
      </c>
      <c r="AZ155" s="327">
        <v>0.02</v>
      </c>
      <c r="BA155" s="327">
        <v>0.19</v>
      </c>
      <c r="BB155" s="327">
        <v>0.45</v>
      </c>
      <c r="BC155" s="327">
        <v>0.3</v>
      </c>
      <c r="BD155" s="327">
        <v>0.04</v>
      </c>
      <c r="BE155" s="424">
        <v>64</v>
      </c>
      <c r="BF155" s="424" t="s">
        <v>759</v>
      </c>
      <c r="BG155" s="424">
        <v>10</v>
      </c>
      <c r="BH155" s="424" t="s">
        <v>758</v>
      </c>
      <c r="BI155" s="428">
        <v>0.09</v>
      </c>
      <c r="BJ155" s="428">
        <v>0.13</v>
      </c>
      <c r="BK155" s="428">
        <v>0.38</v>
      </c>
      <c r="BL155" s="428">
        <v>0.38</v>
      </c>
      <c r="BM155" s="428">
        <v>0.03</v>
      </c>
      <c r="BN155" s="464">
        <v>63</v>
      </c>
      <c r="BO155" s="464" t="s">
        <v>759</v>
      </c>
      <c r="BP155" s="464">
        <v>10</v>
      </c>
      <c r="BQ155" s="464" t="s">
        <v>758</v>
      </c>
      <c r="BR155" s="476">
        <v>0.03</v>
      </c>
      <c r="BS155" s="476">
        <v>0.26</v>
      </c>
      <c r="BT155" s="476">
        <v>0.38</v>
      </c>
      <c r="BU155" s="476">
        <v>0.25</v>
      </c>
      <c r="BV155" s="476">
        <v>0.08</v>
      </c>
      <c r="BW155" s="933">
        <v>63</v>
      </c>
      <c r="BX155" s="933" t="s">
        <v>759</v>
      </c>
      <c r="BY155" s="933">
        <v>10</v>
      </c>
      <c r="BZ155" s="933" t="s">
        <v>758</v>
      </c>
      <c r="CA155" s="949">
        <v>0.08</v>
      </c>
      <c r="CB155" s="949">
        <v>0.23</v>
      </c>
      <c r="CC155" s="949">
        <v>0.3</v>
      </c>
      <c r="CD155" s="949">
        <v>0.35</v>
      </c>
      <c r="CE155" s="949">
        <v>0.04</v>
      </c>
      <c r="CF155" s="922">
        <v>325754005099</v>
      </c>
      <c r="CG155" s="126" t="s">
        <v>108</v>
      </c>
    </row>
    <row r="156" spans="1:85" ht="24.95" customHeight="1" x14ac:dyDescent="0.2">
      <c r="A156" s="126" t="s">
        <v>92</v>
      </c>
      <c r="B156" s="1" t="s">
        <v>123</v>
      </c>
      <c r="C156" s="2">
        <v>1</v>
      </c>
      <c r="D156" s="12">
        <v>52</v>
      </c>
      <c r="E156" s="12">
        <v>9</v>
      </c>
      <c r="F156" s="66">
        <v>0.39</v>
      </c>
      <c r="G156" s="66">
        <v>0.37</v>
      </c>
      <c r="H156" s="66">
        <v>0.16</v>
      </c>
      <c r="I156" s="66">
        <v>0.08</v>
      </c>
      <c r="J156" s="66">
        <v>0</v>
      </c>
      <c r="K156" s="12">
        <v>49</v>
      </c>
      <c r="L156" s="12">
        <v>10</v>
      </c>
      <c r="M156" s="61">
        <v>0.48</v>
      </c>
      <c r="N156" s="61">
        <v>0.35</v>
      </c>
      <c r="O156" s="61">
        <v>0.1</v>
      </c>
      <c r="P156" s="61">
        <v>0.06</v>
      </c>
      <c r="Q156" s="61">
        <v>0</v>
      </c>
      <c r="R156" s="12">
        <v>52</v>
      </c>
      <c r="S156" s="12">
        <v>5</v>
      </c>
      <c r="T156" s="63">
        <v>0.1</v>
      </c>
      <c r="U156" s="63">
        <v>0.7</v>
      </c>
      <c r="V156" s="63">
        <v>0.2</v>
      </c>
      <c r="W156" s="63">
        <v>0</v>
      </c>
      <c r="X156" s="63">
        <v>0</v>
      </c>
      <c r="Y156" s="12">
        <v>51</v>
      </c>
      <c r="Z156" s="12">
        <v>9</v>
      </c>
      <c r="AA156" s="63">
        <v>0.24</v>
      </c>
      <c r="AB156" s="63">
        <v>0.52</v>
      </c>
      <c r="AC156" s="63">
        <v>0.24</v>
      </c>
      <c r="AD156" s="63">
        <v>0</v>
      </c>
      <c r="AE156" s="63">
        <v>0</v>
      </c>
      <c r="AF156" s="25">
        <v>49</v>
      </c>
      <c r="AG156" s="25">
        <v>8</v>
      </c>
      <c r="AH156" s="61">
        <v>0.45</v>
      </c>
      <c r="AI156" s="61">
        <v>0.39</v>
      </c>
      <c r="AJ156" s="61">
        <v>0.16</v>
      </c>
      <c r="AK156" s="61">
        <v>0</v>
      </c>
      <c r="AL156" s="61">
        <v>0</v>
      </c>
      <c r="AM156" s="246">
        <v>49</v>
      </c>
      <c r="AN156" s="246" t="s">
        <v>758</v>
      </c>
      <c r="AO156" s="246">
        <v>10</v>
      </c>
      <c r="AP156" s="246" t="s">
        <v>758</v>
      </c>
      <c r="AQ156" s="263">
        <v>0.39</v>
      </c>
      <c r="AR156" s="263">
        <v>0.39</v>
      </c>
      <c r="AS156" s="263">
        <v>0.18</v>
      </c>
      <c r="AT156" s="263">
        <v>0.04</v>
      </c>
      <c r="AU156" s="263">
        <v>0</v>
      </c>
      <c r="AV156" s="309">
        <v>51</v>
      </c>
      <c r="AW156" s="309" t="s">
        <v>758</v>
      </c>
      <c r="AX156" s="309">
        <v>10</v>
      </c>
      <c r="AY156" s="309" t="s">
        <v>758</v>
      </c>
      <c r="AZ156" s="327">
        <v>0.33</v>
      </c>
      <c r="BA156" s="327">
        <v>0.38</v>
      </c>
      <c r="BB156" s="327">
        <v>0.25</v>
      </c>
      <c r="BC156" s="327">
        <v>0.04</v>
      </c>
      <c r="BD156" s="327">
        <v>0</v>
      </c>
      <c r="BE156" s="424">
        <v>51</v>
      </c>
      <c r="BF156" s="424" t="s">
        <v>758</v>
      </c>
      <c r="BG156" s="424">
        <v>10</v>
      </c>
      <c r="BH156" s="424" t="s">
        <v>758</v>
      </c>
      <c r="BI156" s="428">
        <v>0.35</v>
      </c>
      <c r="BJ156" s="428">
        <v>0.4</v>
      </c>
      <c r="BK156" s="428">
        <v>0.19</v>
      </c>
      <c r="BL156" s="428">
        <v>0.06</v>
      </c>
      <c r="BM156" s="428">
        <v>0</v>
      </c>
      <c r="BN156" s="464">
        <v>52</v>
      </c>
      <c r="BO156" s="464" t="s">
        <v>758</v>
      </c>
      <c r="BP156" s="464">
        <v>8</v>
      </c>
      <c r="BQ156" s="464" t="s">
        <v>758</v>
      </c>
      <c r="BR156" s="476">
        <v>0.33</v>
      </c>
      <c r="BS156" s="476">
        <v>0.41</v>
      </c>
      <c r="BT156" s="476">
        <v>0.25</v>
      </c>
      <c r="BU156" s="476">
        <v>0</v>
      </c>
      <c r="BV156" s="476">
        <v>0</v>
      </c>
      <c r="BW156" s="933">
        <v>53</v>
      </c>
      <c r="BX156" s="933" t="s">
        <v>758</v>
      </c>
      <c r="BY156" s="933">
        <v>11</v>
      </c>
      <c r="BZ156" s="933" t="s">
        <v>758</v>
      </c>
      <c r="CA156" s="949">
        <v>0.32</v>
      </c>
      <c r="CB156" s="949">
        <v>0.38</v>
      </c>
      <c r="CC156" s="949">
        <v>0.21</v>
      </c>
      <c r="CD156" s="949">
        <v>0.1</v>
      </c>
      <c r="CE156" s="949">
        <v>0</v>
      </c>
      <c r="CF156" s="922">
        <v>325754001905</v>
      </c>
      <c r="CG156" s="126" t="s">
        <v>92</v>
      </c>
    </row>
    <row r="157" spans="1:85" ht="24.95" customHeight="1" x14ac:dyDescent="0.2">
      <c r="A157" s="126" t="s">
        <v>130</v>
      </c>
      <c r="B157" s="1" t="s">
        <v>123</v>
      </c>
      <c r="C157" s="2">
        <v>6</v>
      </c>
      <c r="D157" s="12" t="s">
        <v>126</v>
      </c>
      <c r="E157" s="12" t="s">
        <v>126</v>
      </c>
      <c r="F157" s="12"/>
      <c r="G157" s="12"/>
      <c r="H157" s="12"/>
      <c r="I157" s="12"/>
      <c r="J157" s="12"/>
      <c r="K157" s="12">
        <v>49</v>
      </c>
      <c r="L157" s="12">
        <v>11</v>
      </c>
      <c r="M157" s="61">
        <v>0.67</v>
      </c>
      <c r="N157" s="61">
        <v>0.17</v>
      </c>
      <c r="O157" s="61">
        <v>0</v>
      </c>
      <c r="P157" s="61">
        <v>0.17</v>
      </c>
      <c r="Q157" s="61">
        <v>0</v>
      </c>
      <c r="R157" s="12">
        <v>50</v>
      </c>
      <c r="S157" s="12">
        <v>4</v>
      </c>
      <c r="T157" s="63">
        <v>0.25</v>
      </c>
      <c r="U157" s="63">
        <v>0.75</v>
      </c>
      <c r="V157" s="63">
        <v>0</v>
      </c>
      <c r="W157" s="63">
        <v>0</v>
      </c>
      <c r="X157" s="63">
        <v>0</v>
      </c>
      <c r="Y157" s="12">
        <v>47</v>
      </c>
      <c r="Z157" s="12">
        <v>2</v>
      </c>
      <c r="AA157" s="63">
        <v>0.5</v>
      </c>
      <c r="AB157" s="63">
        <v>0.5</v>
      </c>
      <c r="AC157" s="63">
        <v>0</v>
      </c>
      <c r="AD157" s="63">
        <v>0</v>
      </c>
      <c r="AE157" s="63">
        <v>0</v>
      </c>
      <c r="AF157" s="25">
        <v>38</v>
      </c>
      <c r="AG157" s="25">
        <v>1</v>
      </c>
      <c r="AH157" s="61">
        <v>1</v>
      </c>
      <c r="AI157" s="61">
        <v>0</v>
      </c>
      <c r="AJ157" s="61">
        <v>0</v>
      </c>
      <c r="AK157" s="61">
        <v>0</v>
      </c>
      <c r="AL157" s="61">
        <v>0</v>
      </c>
      <c r="AM157" s="646"/>
      <c r="AN157" s="646"/>
      <c r="AO157" s="646"/>
      <c r="AP157" s="646"/>
      <c r="AQ157" s="646"/>
      <c r="AR157" s="646"/>
      <c r="AS157" s="646"/>
      <c r="AT157" s="646"/>
      <c r="AU157" s="646"/>
      <c r="AV157" s="649"/>
      <c r="AW157" s="649"/>
      <c r="AX157" s="649"/>
      <c r="AY157" s="649"/>
      <c r="AZ157" s="649"/>
      <c r="BA157" s="649"/>
      <c r="BB157" s="649"/>
      <c r="BC157" s="649"/>
      <c r="BD157" s="649"/>
      <c r="BE157" s="651"/>
      <c r="BF157" s="651"/>
      <c r="BG157" s="651"/>
      <c r="BH157" s="651"/>
      <c r="BI157" s="651"/>
      <c r="BJ157" s="651"/>
      <c r="BK157" s="651"/>
      <c r="BL157" s="651"/>
      <c r="BM157" s="651"/>
      <c r="BN157" s="650"/>
      <c r="BO157" s="650"/>
      <c r="BP157" s="650"/>
      <c r="BQ157" s="650"/>
      <c r="BR157" s="650"/>
      <c r="BS157" s="650"/>
      <c r="BT157" s="650"/>
      <c r="BU157" s="650"/>
      <c r="BV157" s="650"/>
      <c r="BW157" s="933"/>
      <c r="BX157" s="933"/>
      <c r="BY157" s="933"/>
      <c r="BZ157" s="933"/>
      <c r="CA157" s="949"/>
      <c r="CB157" s="949"/>
      <c r="CC157" s="949"/>
      <c r="CD157" s="949"/>
      <c r="CE157" s="949"/>
      <c r="CG157" s="126" t="s">
        <v>130</v>
      </c>
    </row>
    <row r="158" spans="1:85" ht="24.95" customHeight="1" x14ac:dyDescent="0.2">
      <c r="A158" s="126" t="s">
        <v>115</v>
      </c>
      <c r="B158" s="1" t="s">
        <v>123</v>
      </c>
      <c r="C158" s="2">
        <v>3</v>
      </c>
      <c r="D158" s="12">
        <v>56</v>
      </c>
      <c r="E158" s="12">
        <v>11</v>
      </c>
      <c r="F158" s="66">
        <v>0.25</v>
      </c>
      <c r="G158" s="66">
        <v>0.38</v>
      </c>
      <c r="H158" s="66">
        <v>0.19</v>
      </c>
      <c r="I158" s="66">
        <v>0.19</v>
      </c>
      <c r="J158" s="66">
        <v>0</v>
      </c>
      <c r="K158" s="12">
        <v>51</v>
      </c>
      <c r="L158" s="12">
        <v>6</v>
      </c>
      <c r="M158" s="61">
        <v>0.27</v>
      </c>
      <c r="N158" s="61">
        <v>0.6</v>
      </c>
      <c r="O158" s="61">
        <v>0.13</v>
      </c>
      <c r="P158" s="61">
        <v>0</v>
      </c>
      <c r="Q158" s="61">
        <v>0</v>
      </c>
      <c r="R158" s="12">
        <v>48</v>
      </c>
      <c r="S158" s="12">
        <v>8</v>
      </c>
      <c r="T158" s="63">
        <v>0.56000000000000005</v>
      </c>
      <c r="U158" s="63">
        <v>0.31</v>
      </c>
      <c r="V158" s="63">
        <v>0.13</v>
      </c>
      <c r="W158" s="63">
        <v>0</v>
      </c>
      <c r="X158" s="63">
        <v>0</v>
      </c>
      <c r="Y158" s="12">
        <v>51</v>
      </c>
      <c r="Z158" s="12">
        <v>9</v>
      </c>
      <c r="AA158" s="63">
        <v>0.35</v>
      </c>
      <c r="AB158" s="63">
        <v>0.45</v>
      </c>
      <c r="AC158" s="63">
        <v>0.2</v>
      </c>
      <c r="AD158" s="63">
        <v>0</v>
      </c>
      <c r="AE158" s="63">
        <v>0</v>
      </c>
      <c r="AF158" s="25">
        <v>47</v>
      </c>
      <c r="AG158" s="25">
        <v>7</v>
      </c>
      <c r="AH158" s="61">
        <v>0.5</v>
      </c>
      <c r="AI158" s="61">
        <v>0.42</v>
      </c>
      <c r="AJ158" s="61">
        <v>0.08</v>
      </c>
      <c r="AK158" s="61">
        <v>0</v>
      </c>
      <c r="AL158" s="61">
        <v>0</v>
      </c>
      <c r="AM158" s="647">
        <v>49</v>
      </c>
      <c r="AN158" s="647" t="s">
        <v>758</v>
      </c>
      <c r="AO158" s="647">
        <v>11</v>
      </c>
      <c r="AP158" s="647" t="s">
        <v>758</v>
      </c>
      <c r="AQ158" s="648">
        <v>0.52</v>
      </c>
      <c r="AR158" s="648">
        <v>0.28000000000000003</v>
      </c>
      <c r="AS158" s="648">
        <v>0.12</v>
      </c>
      <c r="AT158" s="648">
        <v>0.08</v>
      </c>
      <c r="AU158" s="648">
        <v>0</v>
      </c>
      <c r="AV158" s="74">
        <v>48</v>
      </c>
      <c r="AW158" s="74" t="s">
        <v>758</v>
      </c>
      <c r="AX158" s="74">
        <v>11</v>
      </c>
      <c r="AY158" s="74" t="s">
        <v>758</v>
      </c>
      <c r="AZ158" s="96">
        <v>0.54</v>
      </c>
      <c r="BA158" s="96">
        <v>0.25</v>
      </c>
      <c r="BB158" s="96">
        <v>0.14000000000000001</v>
      </c>
      <c r="BC158" s="96">
        <v>7.0000000000000007E-2</v>
      </c>
      <c r="BD158" s="96">
        <v>0</v>
      </c>
      <c r="BE158" s="652">
        <v>50</v>
      </c>
      <c r="BF158" s="652" t="s">
        <v>758</v>
      </c>
      <c r="BG158" s="652">
        <v>9</v>
      </c>
      <c r="BH158" s="652" t="s">
        <v>758</v>
      </c>
      <c r="BI158" s="653">
        <v>0.31</v>
      </c>
      <c r="BJ158" s="653">
        <v>0.42</v>
      </c>
      <c r="BK158" s="653">
        <v>0.27</v>
      </c>
      <c r="BL158" s="653">
        <v>0</v>
      </c>
      <c r="BM158" s="653">
        <v>0</v>
      </c>
      <c r="BN158" s="74">
        <v>53</v>
      </c>
      <c r="BO158" s="74" t="s">
        <v>758</v>
      </c>
      <c r="BP158" s="74">
        <v>9</v>
      </c>
      <c r="BQ158" s="74" t="s">
        <v>758</v>
      </c>
      <c r="BR158" s="96">
        <v>0.31</v>
      </c>
      <c r="BS158" s="96">
        <v>0.38</v>
      </c>
      <c r="BT158" s="96">
        <v>0.28000000000000003</v>
      </c>
      <c r="BU158" s="96">
        <v>0.03</v>
      </c>
      <c r="BV158" s="96">
        <v>0</v>
      </c>
      <c r="BW158" s="933">
        <v>55</v>
      </c>
      <c r="BX158" s="933" t="s">
        <v>758</v>
      </c>
      <c r="BY158" s="933">
        <v>11</v>
      </c>
      <c r="BZ158" s="933" t="s">
        <v>758</v>
      </c>
      <c r="CA158" s="949">
        <v>0.24</v>
      </c>
      <c r="CB158" s="949">
        <v>0.43</v>
      </c>
      <c r="CC158" s="949">
        <v>0.24</v>
      </c>
      <c r="CD158" s="949">
        <v>0.05</v>
      </c>
      <c r="CE158" s="949">
        <v>0.05</v>
      </c>
      <c r="CF158" s="922">
        <v>325754004033</v>
      </c>
      <c r="CG158" s="126" t="s">
        <v>115</v>
      </c>
    </row>
    <row r="159" spans="1:85" ht="24.95" customHeight="1" x14ac:dyDescent="0.2">
      <c r="A159" s="126" t="s">
        <v>37</v>
      </c>
      <c r="B159" s="1" t="s">
        <v>123</v>
      </c>
      <c r="C159" s="2">
        <v>3</v>
      </c>
      <c r="D159" s="12">
        <v>50</v>
      </c>
      <c r="E159" s="12">
        <v>9</v>
      </c>
      <c r="F159" s="66">
        <v>0.38</v>
      </c>
      <c r="G159" s="66">
        <v>0.43</v>
      </c>
      <c r="H159" s="66">
        <v>0.18</v>
      </c>
      <c r="I159" s="66">
        <v>0.02</v>
      </c>
      <c r="J159" s="66">
        <v>0</v>
      </c>
      <c r="K159" s="12">
        <v>48</v>
      </c>
      <c r="L159" s="12">
        <v>10</v>
      </c>
      <c r="M159" s="61">
        <v>0.5</v>
      </c>
      <c r="N159" s="61">
        <v>0.33</v>
      </c>
      <c r="O159" s="61">
        <v>0.13</v>
      </c>
      <c r="P159" s="61">
        <v>0.04</v>
      </c>
      <c r="Q159" s="61">
        <v>0</v>
      </c>
      <c r="R159" s="12">
        <v>48</v>
      </c>
      <c r="S159" s="12">
        <v>7</v>
      </c>
      <c r="T159" s="63">
        <v>0.5</v>
      </c>
      <c r="U159" s="63">
        <v>0.41</v>
      </c>
      <c r="V159" s="63">
        <v>0.09</v>
      </c>
      <c r="W159" s="63">
        <v>0</v>
      </c>
      <c r="X159" s="63">
        <v>0</v>
      </c>
      <c r="Y159" s="12">
        <v>50</v>
      </c>
      <c r="Z159" s="12">
        <v>9</v>
      </c>
      <c r="AA159" s="63">
        <v>0.44</v>
      </c>
      <c r="AB159" s="63">
        <v>0.33</v>
      </c>
      <c r="AC159" s="63">
        <v>0.19</v>
      </c>
      <c r="AD159" s="63">
        <v>0.03</v>
      </c>
      <c r="AE159" s="63">
        <v>0</v>
      </c>
      <c r="AF159" s="25">
        <v>44</v>
      </c>
      <c r="AG159" s="25">
        <v>7</v>
      </c>
      <c r="AH159" s="61">
        <v>0.75</v>
      </c>
      <c r="AI159" s="61">
        <v>0.25</v>
      </c>
      <c r="AJ159" s="61">
        <v>0</v>
      </c>
      <c r="AK159" s="61">
        <v>0</v>
      </c>
      <c r="AL159" s="61">
        <v>0</v>
      </c>
      <c r="AM159" s="246">
        <v>43</v>
      </c>
      <c r="AN159" s="246" t="s">
        <v>760</v>
      </c>
      <c r="AO159" s="246">
        <v>9</v>
      </c>
      <c r="AP159" s="246" t="s">
        <v>758</v>
      </c>
      <c r="AQ159" s="263">
        <v>0.71</v>
      </c>
      <c r="AR159" s="263">
        <v>0.25</v>
      </c>
      <c r="AS159" s="263">
        <v>0.04</v>
      </c>
      <c r="AT159" s="263">
        <v>0</v>
      </c>
      <c r="AU159" s="263">
        <v>0</v>
      </c>
      <c r="AV159" s="309">
        <v>52</v>
      </c>
      <c r="AW159" s="309" t="s">
        <v>758</v>
      </c>
      <c r="AX159" s="309">
        <v>9</v>
      </c>
      <c r="AY159" s="309" t="s">
        <v>758</v>
      </c>
      <c r="AZ159" s="327">
        <v>0.32</v>
      </c>
      <c r="BA159" s="327">
        <v>0.32</v>
      </c>
      <c r="BB159" s="327">
        <v>0.32</v>
      </c>
      <c r="BC159" s="327">
        <v>0.04</v>
      </c>
      <c r="BD159" s="327">
        <v>0</v>
      </c>
      <c r="BE159" s="424">
        <v>51</v>
      </c>
      <c r="BF159" s="424" t="s">
        <v>758</v>
      </c>
      <c r="BG159" s="424">
        <v>9</v>
      </c>
      <c r="BH159" s="424" t="s">
        <v>758</v>
      </c>
      <c r="BI159" s="428">
        <v>0.32</v>
      </c>
      <c r="BJ159" s="428">
        <v>0.41</v>
      </c>
      <c r="BK159" s="428">
        <v>0.24</v>
      </c>
      <c r="BL159" s="428">
        <v>0.03</v>
      </c>
      <c r="BM159" s="428">
        <v>0</v>
      </c>
      <c r="BN159" s="464">
        <v>53</v>
      </c>
      <c r="BO159" s="464" t="s">
        <v>758</v>
      </c>
      <c r="BP159" s="464">
        <v>7</v>
      </c>
      <c r="BQ159" s="464" t="s">
        <v>760</v>
      </c>
      <c r="BR159" s="476">
        <v>0.23</v>
      </c>
      <c r="BS159" s="476">
        <v>0.5</v>
      </c>
      <c r="BT159" s="476">
        <v>0.23</v>
      </c>
      <c r="BU159" s="476">
        <v>0.04</v>
      </c>
      <c r="BV159" s="476">
        <v>0</v>
      </c>
      <c r="BW159" s="933">
        <v>52</v>
      </c>
      <c r="BX159" s="933" t="s">
        <v>758</v>
      </c>
      <c r="BY159" s="933">
        <v>8</v>
      </c>
      <c r="BZ159" s="933" t="s">
        <v>758</v>
      </c>
      <c r="CA159" s="949">
        <v>0.3</v>
      </c>
      <c r="CB159" s="949">
        <v>0.5</v>
      </c>
      <c r="CC159" s="949">
        <v>0.17</v>
      </c>
      <c r="CD159" s="949">
        <v>0.03</v>
      </c>
      <c r="CE159" s="949">
        <v>0</v>
      </c>
      <c r="CF159" s="922">
        <v>325754004211</v>
      </c>
      <c r="CG159" s="126" t="s">
        <v>37</v>
      </c>
    </row>
    <row r="160" spans="1:85" ht="24.95" customHeight="1" x14ac:dyDescent="0.2">
      <c r="A160" s="126" t="s">
        <v>107</v>
      </c>
      <c r="B160" s="1" t="s">
        <v>123</v>
      </c>
      <c r="C160" s="2">
        <v>5</v>
      </c>
      <c r="D160" s="12">
        <v>62</v>
      </c>
      <c r="E160" s="12">
        <v>9</v>
      </c>
      <c r="F160" s="66">
        <v>7.0000000000000007E-2</v>
      </c>
      <c r="G160" s="66">
        <v>0.33</v>
      </c>
      <c r="H160" s="66">
        <v>0.33</v>
      </c>
      <c r="I160" s="66">
        <v>0.2</v>
      </c>
      <c r="J160" s="66">
        <v>7.0000000000000007E-2</v>
      </c>
      <c r="K160" s="12">
        <v>61</v>
      </c>
      <c r="L160" s="12">
        <v>8</v>
      </c>
      <c r="M160" s="61">
        <v>0.12</v>
      </c>
      <c r="N160" s="61">
        <v>0.18</v>
      </c>
      <c r="O160" s="61">
        <v>0.53</v>
      </c>
      <c r="P160" s="61">
        <v>0.18</v>
      </c>
      <c r="Q160" s="61">
        <v>0</v>
      </c>
      <c r="R160" s="12">
        <v>65</v>
      </c>
      <c r="S160" s="12">
        <v>8</v>
      </c>
      <c r="T160" s="63">
        <v>0</v>
      </c>
      <c r="U160" s="63">
        <v>0.21</v>
      </c>
      <c r="V160" s="63">
        <v>0.37</v>
      </c>
      <c r="W160" s="63">
        <v>0.37</v>
      </c>
      <c r="X160" s="63">
        <v>0.05</v>
      </c>
      <c r="Y160" s="12">
        <v>61</v>
      </c>
      <c r="Z160" s="12">
        <v>8</v>
      </c>
      <c r="AA160" s="63">
        <v>0.08</v>
      </c>
      <c r="AB160" s="63">
        <v>0.25</v>
      </c>
      <c r="AC160" s="63">
        <v>0.5</v>
      </c>
      <c r="AD160" s="63">
        <v>0.17</v>
      </c>
      <c r="AE160" s="63">
        <v>0</v>
      </c>
      <c r="AF160" s="25">
        <v>55</v>
      </c>
      <c r="AG160" s="25">
        <v>8</v>
      </c>
      <c r="AH160" s="61">
        <v>0.13</v>
      </c>
      <c r="AI160" s="61">
        <v>0.56000000000000005</v>
      </c>
      <c r="AJ160" s="61">
        <v>0.22</v>
      </c>
      <c r="AK160" s="61">
        <v>0.09</v>
      </c>
      <c r="AL160" s="61">
        <v>0</v>
      </c>
      <c r="AM160" s="246">
        <v>61</v>
      </c>
      <c r="AN160" s="246" t="s">
        <v>759</v>
      </c>
      <c r="AO160" s="246">
        <v>11</v>
      </c>
      <c r="AP160" s="246" t="s">
        <v>758</v>
      </c>
      <c r="AQ160" s="263">
        <v>0.03</v>
      </c>
      <c r="AR160" s="263">
        <v>0.38</v>
      </c>
      <c r="AS160" s="263">
        <v>0.35</v>
      </c>
      <c r="AT160" s="263">
        <v>0.22</v>
      </c>
      <c r="AU160" s="263">
        <v>0.03</v>
      </c>
      <c r="AV160" s="309">
        <v>57</v>
      </c>
      <c r="AW160" s="309" t="s">
        <v>758</v>
      </c>
      <c r="AX160" s="309">
        <v>11</v>
      </c>
      <c r="AY160" s="309" t="s">
        <v>758</v>
      </c>
      <c r="AZ160" s="327">
        <v>0.23</v>
      </c>
      <c r="BA160" s="327">
        <v>0.27</v>
      </c>
      <c r="BB160" s="327">
        <v>0.27</v>
      </c>
      <c r="BC160" s="327">
        <v>0.23</v>
      </c>
      <c r="BD160" s="327">
        <v>0</v>
      </c>
      <c r="BE160" s="424">
        <v>64</v>
      </c>
      <c r="BF160" s="424" t="s">
        <v>759</v>
      </c>
      <c r="BG160" s="424">
        <v>7</v>
      </c>
      <c r="BH160" s="424" t="s">
        <v>760</v>
      </c>
      <c r="BI160" s="428">
        <v>0</v>
      </c>
      <c r="BJ160" s="428">
        <v>0.18</v>
      </c>
      <c r="BK160" s="428">
        <v>0.47</v>
      </c>
      <c r="BL160" s="428">
        <v>0.28999999999999998</v>
      </c>
      <c r="BM160" s="428">
        <v>0.06</v>
      </c>
      <c r="BN160" s="464">
        <v>64</v>
      </c>
      <c r="BO160" s="464" t="s">
        <v>759</v>
      </c>
      <c r="BP160" s="464">
        <v>10</v>
      </c>
      <c r="BQ160" s="464" t="s">
        <v>758</v>
      </c>
      <c r="BR160" s="476">
        <v>0.09</v>
      </c>
      <c r="BS160" s="476">
        <v>0.15</v>
      </c>
      <c r="BT160" s="476">
        <v>0.39</v>
      </c>
      <c r="BU160" s="476">
        <v>0.33</v>
      </c>
      <c r="BV160" s="476">
        <v>0.03</v>
      </c>
      <c r="BW160" s="933">
        <v>62</v>
      </c>
      <c r="BX160" s="933" t="s">
        <v>758</v>
      </c>
      <c r="BY160" s="933">
        <v>10</v>
      </c>
      <c r="BZ160" s="933" t="s">
        <v>758</v>
      </c>
      <c r="CA160" s="949">
        <v>0.03</v>
      </c>
      <c r="CB160" s="949">
        <v>0.32</v>
      </c>
      <c r="CC160" s="949">
        <v>0.32</v>
      </c>
      <c r="CD160" s="949">
        <v>0.27</v>
      </c>
      <c r="CE160" s="949">
        <v>0.05</v>
      </c>
      <c r="CF160" s="922">
        <v>325754003517</v>
      </c>
      <c r="CG160" s="126" t="s">
        <v>107</v>
      </c>
    </row>
    <row r="161" spans="1:85" ht="24.95" customHeight="1" x14ac:dyDescent="0.2">
      <c r="A161" s="126" t="s">
        <v>18</v>
      </c>
      <c r="B161" s="1" t="s">
        <v>123</v>
      </c>
      <c r="C161" s="2">
        <v>5</v>
      </c>
      <c r="D161" s="12">
        <v>58</v>
      </c>
      <c r="E161" s="12">
        <v>8</v>
      </c>
      <c r="F161" s="66">
        <v>0.14000000000000001</v>
      </c>
      <c r="G161" s="66">
        <v>0.23</v>
      </c>
      <c r="H161" s="66">
        <v>0.56000000000000005</v>
      </c>
      <c r="I161" s="66">
        <v>0.08</v>
      </c>
      <c r="J161" s="66">
        <v>0</v>
      </c>
      <c r="K161" s="12">
        <v>59</v>
      </c>
      <c r="L161" s="12">
        <v>10</v>
      </c>
      <c r="M161" s="61">
        <v>0.14000000000000001</v>
      </c>
      <c r="N161" s="61">
        <v>0.32</v>
      </c>
      <c r="O161" s="61">
        <v>0.31</v>
      </c>
      <c r="P161" s="61">
        <v>0.22</v>
      </c>
      <c r="Q161" s="61">
        <v>0.02</v>
      </c>
      <c r="R161" s="12">
        <v>61</v>
      </c>
      <c r="S161" s="12">
        <v>9</v>
      </c>
      <c r="T161" s="63">
        <v>0.06</v>
      </c>
      <c r="U161" s="63">
        <v>0.33</v>
      </c>
      <c r="V161" s="63">
        <v>0.39</v>
      </c>
      <c r="W161" s="63">
        <v>0.18</v>
      </c>
      <c r="X161" s="63">
        <v>0.03</v>
      </c>
      <c r="Y161" s="12">
        <v>58</v>
      </c>
      <c r="Z161" s="12">
        <v>9</v>
      </c>
      <c r="AA161" s="63">
        <v>0.13</v>
      </c>
      <c r="AB161" s="63">
        <v>0.38</v>
      </c>
      <c r="AC161" s="63">
        <v>0.28999999999999998</v>
      </c>
      <c r="AD161" s="63">
        <v>0.21</v>
      </c>
      <c r="AE161" s="63">
        <v>0</v>
      </c>
      <c r="AF161" s="25">
        <v>52</v>
      </c>
      <c r="AG161" s="25">
        <v>8</v>
      </c>
      <c r="AH161" s="61">
        <v>0.28000000000000003</v>
      </c>
      <c r="AI161" s="61">
        <v>0.48</v>
      </c>
      <c r="AJ161" s="61">
        <v>0.2</v>
      </c>
      <c r="AK161" s="61">
        <v>0.03</v>
      </c>
      <c r="AL161" s="61">
        <v>0</v>
      </c>
      <c r="AM161" s="246">
        <v>59</v>
      </c>
      <c r="AN161" s="246" t="s">
        <v>758</v>
      </c>
      <c r="AO161" s="246">
        <v>10</v>
      </c>
      <c r="AP161" s="246" t="s">
        <v>758</v>
      </c>
      <c r="AQ161" s="263">
        <v>0.15</v>
      </c>
      <c r="AR161" s="263">
        <v>0.33</v>
      </c>
      <c r="AS161" s="263">
        <v>0.3</v>
      </c>
      <c r="AT161" s="263">
        <v>0.2</v>
      </c>
      <c r="AU161" s="263">
        <v>0.02</v>
      </c>
      <c r="AV161" s="309">
        <v>58</v>
      </c>
      <c r="AW161" s="309" t="s">
        <v>758</v>
      </c>
      <c r="AX161" s="309">
        <v>11</v>
      </c>
      <c r="AY161" s="309" t="s">
        <v>758</v>
      </c>
      <c r="AZ161" s="327">
        <v>0.15</v>
      </c>
      <c r="BA161" s="327">
        <v>0.32</v>
      </c>
      <c r="BB161" s="327">
        <v>0.32</v>
      </c>
      <c r="BC161" s="327">
        <v>0.21</v>
      </c>
      <c r="BD161" s="327">
        <v>0.01</v>
      </c>
      <c r="BE161" s="424">
        <v>59</v>
      </c>
      <c r="BF161" s="424" t="s">
        <v>758</v>
      </c>
      <c r="BG161" s="424">
        <v>11</v>
      </c>
      <c r="BH161" s="424" t="s">
        <v>758</v>
      </c>
      <c r="BI161" s="428">
        <v>0.1</v>
      </c>
      <c r="BJ161" s="428">
        <v>0.34</v>
      </c>
      <c r="BK161" s="428">
        <v>0.33</v>
      </c>
      <c r="BL161" s="428">
        <v>0.16</v>
      </c>
      <c r="BM161" s="428">
        <v>7.0000000000000007E-2</v>
      </c>
      <c r="BN161" s="464">
        <v>61</v>
      </c>
      <c r="BO161" s="464" t="s">
        <v>758</v>
      </c>
      <c r="BP161" s="464">
        <v>11</v>
      </c>
      <c r="BQ161" s="464" t="s">
        <v>758</v>
      </c>
      <c r="BR161" s="476">
        <v>0.15</v>
      </c>
      <c r="BS161" s="476">
        <v>0.19</v>
      </c>
      <c r="BT161" s="476">
        <v>0.32</v>
      </c>
      <c r="BU161" s="476">
        <v>0.28999999999999998</v>
      </c>
      <c r="BV161" s="476">
        <v>0.04</v>
      </c>
      <c r="BW161" s="933">
        <v>62</v>
      </c>
      <c r="BX161" s="933" t="s">
        <v>758</v>
      </c>
      <c r="BY161" s="933">
        <v>11</v>
      </c>
      <c r="BZ161" s="933" t="s">
        <v>758</v>
      </c>
      <c r="CA161" s="949">
        <v>0.1</v>
      </c>
      <c r="CB161" s="949">
        <v>0.22</v>
      </c>
      <c r="CC161" s="949">
        <v>0.43</v>
      </c>
      <c r="CD161" s="949">
        <v>0.18</v>
      </c>
      <c r="CE161" s="949">
        <v>7.0000000000000007E-2</v>
      </c>
      <c r="CF161" s="922">
        <v>325754002901</v>
      </c>
      <c r="CG161" s="126" t="s">
        <v>18</v>
      </c>
    </row>
    <row r="162" spans="1:85" ht="24.95" customHeight="1" x14ac:dyDescent="0.2">
      <c r="A162" s="126" t="s">
        <v>68</v>
      </c>
      <c r="B162" s="1" t="s">
        <v>123</v>
      </c>
      <c r="C162" s="2">
        <v>3</v>
      </c>
      <c r="D162" s="12">
        <v>57</v>
      </c>
      <c r="E162" s="12">
        <v>11</v>
      </c>
      <c r="F162" s="66">
        <v>0.23</v>
      </c>
      <c r="G162" s="66">
        <v>0.27</v>
      </c>
      <c r="H162" s="66">
        <v>0.37</v>
      </c>
      <c r="I162" s="66">
        <v>0.13</v>
      </c>
      <c r="J162" s="66">
        <v>0</v>
      </c>
      <c r="K162" s="12">
        <v>52</v>
      </c>
      <c r="L162" s="12">
        <v>9</v>
      </c>
      <c r="M162" s="61">
        <v>0.28999999999999998</v>
      </c>
      <c r="N162" s="61">
        <v>0.43</v>
      </c>
      <c r="O162" s="61">
        <v>0.25</v>
      </c>
      <c r="P162" s="61">
        <v>0.04</v>
      </c>
      <c r="Q162" s="61">
        <v>0</v>
      </c>
      <c r="R162" s="12">
        <v>52</v>
      </c>
      <c r="S162" s="12">
        <v>8</v>
      </c>
      <c r="T162" s="63">
        <v>0.28999999999999998</v>
      </c>
      <c r="U162" s="63">
        <v>0.46</v>
      </c>
      <c r="V162" s="63">
        <v>0.21</v>
      </c>
      <c r="W162" s="63">
        <v>0.04</v>
      </c>
      <c r="X162" s="63">
        <v>0</v>
      </c>
      <c r="Y162" s="12">
        <v>52</v>
      </c>
      <c r="Z162" s="12">
        <v>10</v>
      </c>
      <c r="AA162" s="63">
        <v>0.41</v>
      </c>
      <c r="AB162" s="63">
        <v>0.28000000000000003</v>
      </c>
      <c r="AC162" s="63">
        <v>0.24</v>
      </c>
      <c r="AD162" s="63">
        <v>7.0000000000000007E-2</v>
      </c>
      <c r="AE162" s="63">
        <v>0</v>
      </c>
      <c r="AF162" s="25">
        <v>45</v>
      </c>
      <c r="AG162" s="25">
        <v>7</v>
      </c>
      <c r="AH162" s="61">
        <v>0.76</v>
      </c>
      <c r="AI162" s="61">
        <v>0.17</v>
      </c>
      <c r="AJ162" s="61">
        <v>7.0000000000000007E-2</v>
      </c>
      <c r="AK162" s="61">
        <v>0</v>
      </c>
      <c r="AL162" s="61">
        <v>0</v>
      </c>
      <c r="AM162" s="246">
        <v>53</v>
      </c>
      <c r="AN162" s="246" t="s">
        <v>758</v>
      </c>
      <c r="AO162" s="246">
        <v>9</v>
      </c>
      <c r="AP162" s="246" t="s">
        <v>758</v>
      </c>
      <c r="AQ162" s="263">
        <v>0.3</v>
      </c>
      <c r="AR162" s="263">
        <v>0.49</v>
      </c>
      <c r="AS162" s="263">
        <v>0.14000000000000001</v>
      </c>
      <c r="AT162" s="263">
        <v>0.08</v>
      </c>
      <c r="AU162" s="263">
        <v>0</v>
      </c>
      <c r="AV162" s="309">
        <v>56</v>
      </c>
      <c r="AW162" s="309" t="s">
        <v>758</v>
      </c>
      <c r="AX162" s="309">
        <v>12</v>
      </c>
      <c r="AY162" s="309" t="s">
        <v>758</v>
      </c>
      <c r="AZ162" s="327">
        <v>0.28000000000000003</v>
      </c>
      <c r="BA162" s="327">
        <v>0.45</v>
      </c>
      <c r="BB162" s="327">
        <v>0.1</v>
      </c>
      <c r="BC162" s="327">
        <v>0.15</v>
      </c>
      <c r="BD162" s="327">
        <v>0.03</v>
      </c>
      <c r="BE162" s="424">
        <v>55</v>
      </c>
      <c r="BF162" s="424" t="s">
        <v>758</v>
      </c>
      <c r="BG162" s="424">
        <v>11</v>
      </c>
      <c r="BH162" s="424" t="s">
        <v>758</v>
      </c>
      <c r="BI162" s="428">
        <v>0.27</v>
      </c>
      <c r="BJ162" s="428">
        <v>0.37</v>
      </c>
      <c r="BK162" s="428">
        <v>0.2</v>
      </c>
      <c r="BL162" s="428">
        <v>0.13</v>
      </c>
      <c r="BM162" s="428">
        <v>0.03</v>
      </c>
      <c r="BN162" s="464">
        <v>51</v>
      </c>
      <c r="BO162" s="464" t="s">
        <v>758</v>
      </c>
      <c r="BP162" s="464">
        <v>6</v>
      </c>
      <c r="BQ162" s="464" t="s">
        <v>760</v>
      </c>
      <c r="BR162" s="476">
        <v>0.23</v>
      </c>
      <c r="BS162" s="476">
        <v>0.59</v>
      </c>
      <c r="BT162" s="476">
        <v>0.18</v>
      </c>
      <c r="BU162" s="476">
        <v>0</v>
      </c>
      <c r="BV162" s="476">
        <v>0</v>
      </c>
      <c r="BW162" s="933">
        <v>56</v>
      </c>
      <c r="BX162" s="933" t="s">
        <v>758</v>
      </c>
      <c r="BY162" s="933">
        <v>11</v>
      </c>
      <c r="BZ162" s="933" t="s">
        <v>758</v>
      </c>
      <c r="CA162" s="949">
        <v>0.14000000000000001</v>
      </c>
      <c r="CB162" s="949">
        <v>0.36</v>
      </c>
      <c r="CC162" s="949">
        <v>0.41</v>
      </c>
      <c r="CD162" s="949">
        <v>0.05</v>
      </c>
      <c r="CE162" s="949">
        <v>0.05</v>
      </c>
      <c r="CF162" s="922">
        <v>325754004661</v>
      </c>
      <c r="CG162" s="126" t="s">
        <v>68</v>
      </c>
    </row>
    <row r="163" spans="1:85" ht="24.95" customHeight="1" x14ac:dyDescent="0.2">
      <c r="A163" s="126" t="s">
        <v>112</v>
      </c>
      <c r="B163" s="1" t="s">
        <v>123</v>
      </c>
      <c r="C163" s="2">
        <v>5</v>
      </c>
      <c r="D163" s="12">
        <v>55</v>
      </c>
      <c r="E163" s="12">
        <v>9</v>
      </c>
      <c r="F163" s="66">
        <v>0.19</v>
      </c>
      <c r="G163" s="66">
        <v>0.5</v>
      </c>
      <c r="H163" s="66">
        <v>0.19</v>
      </c>
      <c r="I163" s="66">
        <v>0.13</v>
      </c>
      <c r="J163" s="66">
        <v>0</v>
      </c>
      <c r="K163" s="12">
        <v>54</v>
      </c>
      <c r="L163" s="12">
        <v>10</v>
      </c>
      <c r="M163" s="61">
        <v>0.3</v>
      </c>
      <c r="N163" s="61">
        <v>0.38</v>
      </c>
      <c r="O163" s="61">
        <v>0.23</v>
      </c>
      <c r="P163" s="61">
        <v>0.1</v>
      </c>
      <c r="Q163" s="61">
        <v>0</v>
      </c>
      <c r="R163" s="12">
        <v>57</v>
      </c>
      <c r="S163" s="12">
        <v>8</v>
      </c>
      <c r="T163" s="63">
        <v>0.12</v>
      </c>
      <c r="U163" s="63">
        <v>0.41</v>
      </c>
      <c r="V163" s="63">
        <v>0.37</v>
      </c>
      <c r="W163" s="63">
        <v>0.1</v>
      </c>
      <c r="X163" s="63">
        <v>0</v>
      </c>
      <c r="Y163" s="12">
        <v>57</v>
      </c>
      <c r="Z163" s="12">
        <v>8</v>
      </c>
      <c r="AA163" s="63">
        <v>0.15</v>
      </c>
      <c r="AB163" s="63">
        <v>0.4</v>
      </c>
      <c r="AC163" s="63">
        <v>0.4</v>
      </c>
      <c r="AD163" s="63">
        <v>0.05</v>
      </c>
      <c r="AE163" s="63">
        <v>0</v>
      </c>
      <c r="AF163" s="25">
        <v>54</v>
      </c>
      <c r="AG163" s="25">
        <v>7</v>
      </c>
      <c r="AH163" s="61">
        <v>0.11</v>
      </c>
      <c r="AI163" s="61">
        <v>0.62</v>
      </c>
      <c r="AJ163" s="61">
        <v>0.24</v>
      </c>
      <c r="AK163" s="61">
        <v>0.03</v>
      </c>
      <c r="AL163" s="61">
        <v>0</v>
      </c>
      <c r="AM163" s="246">
        <v>55</v>
      </c>
      <c r="AN163" s="246" t="s">
        <v>758</v>
      </c>
      <c r="AO163" s="246">
        <v>9</v>
      </c>
      <c r="AP163" s="246" t="s">
        <v>758</v>
      </c>
      <c r="AQ163" s="263">
        <v>0.17</v>
      </c>
      <c r="AR163" s="263">
        <v>0.43</v>
      </c>
      <c r="AS163" s="263">
        <v>0.34</v>
      </c>
      <c r="AT163" s="263">
        <v>0.05</v>
      </c>
      <c r="AU163" s="263">
        <v>0</v>
      </c>
      <c r="AV163" s="309">
        <v>58</v>
      </c>
      <c r="AW163" s="309" t="s">
        <v>758</v>
      </c>
      <c r="AX163" s="309">
        <v>9</v>
      </c>
      <c r="AY163" s="309" t="s">
        <v>758</v>
      </c>
      <c r="AZ163" s="327">
        <v>0.09</v>
      </c>
      <c r="BA163" s="327">
        <v>0.4</v>
      </c>
      <c r="BB163" s="327">
        <v>0.4</v>
      </c>
      <c r="BC163" s="327">
        <v>0.06</v>
      </c>
      <c r="BD163" s="327">
        <v>0.04</v>
      </c>
      <c r="BE163" s="424">
        <v>57</v>
      </c>
      <c r="BF163" s="424" t="s">
        <v>758</v>
      </c>
      <c r="BG163" s="424">
        <v>9</v>
      </c>
      <c r="BH163" s="424" t="s">
        <v>758</v>
      </c>
      <c r="BI163" s="428">
        <v>0.16</v>
      </c>
      <c r="BJ163" s="428">
        <v>0.36</v>
      </c>
      <c r="BK163" s="428">
        <v>0.36</v>
      </c>
      <c r="BL163" s="428">
        <v>0.13</v>
      </c>
      <c r="BM163" s="428">
        <v>0</v>
      </c>
      <c r="BN163" s="464">
        <v>55</v>
      </c>
      <c r="BO163" s="464" t="s">
        <v>758</v>
      </c>
      <c r="BP163" s="464">
        <v>9</v>
      </c>
      <c r="BQ163" s="464" t="s">
        <v>758</v>
      </c>
      <c r="BR163" s="476">
        <v>0.19</v>
      </c>
      <c r="BS163" s="476">
        <v>0.38</v>
      </c>
      <c r="BT163" s="476">
        <v>0.31</v>
      </c>
      <c r="BU163" s="476">
        <v>0.12</v>
      </c>
      <c r="BV163" s="476">
        <v>0</v>
      </c>
      <c r="BW163" s="933">
        <v>56</v>
      </c>
      <c r="BX163" s="933" t="s">
        <v>758</v>
      </c>
      <c r="BY163" s="933">
        <v>10</v>
      </c>
      <c r="BZ163" s="933" t="s">
        <v>758</v>
      </c>
      <c r="CA163" s="949">
        <v>0.22</v>
      </c>
      <c r="CB163" s="949">
        <v>0.32</v>
      </c>
      <c r="CC163" s="949">
        <v>0.33</v>
      </c>
      <c r="CD163" s="949">
        <v>0.12</v>
      </c>
      <c r="CE163" s="949">
        <v>0.02</v>
      </c>
      <c r="CF163" s="922">
        <v>325754004441</v>
      </c>
      <c r="CG163" s="126" t="s">
        <v>112</v>
      </c>
    </row>
    <row r="164" spans="1:85" ht="24.95" customHeight="1" x14ac:dyDescent="0.2">
      <c r="A164" s="126" t="s">
        <v>110</v>
      </c>
      <c r="B164" s="1" t="s">
        <v>121</v>
      </c>
      <c r="C164" s="2">
        <v>5</v>
      </c>
      <c r="D164" s="12">
        <v>54</v>
      </c>
      <c r="E164" s="12">
        <v>9</v>
      </c>
      <c r="F164" s="66">
        <v>0.25</v>
      </c>
      <c r="G164" s="66">
        <v>0.43</v>
      </c>
      <c r="H164" s="66">
        <v>0.24</v>
      </c>
      <c r="I164" s="66">
        <v>0.08</v>
      </c>
      <c r="J164" s="66">
        <v>0</v>
      </c>
      <c r="K164" s="12">
        <v>54</v>
      </c>
      <c r="L164" s="12">
        <v>9</v>
      </c>
      <c r="M164" s="61">
        <v>0.24</v>
      </c>
      <c r="N164" s="61">
        <v>0.4</v>
      </c>
      <c r="O164" s="61">
        <v>0.28999999999999998</v>
      </c>
      <c r="P164" s="61">
        <v>0.06</v>
      </c>
      <c r="Q164" s="61">
        <v>0</v>
      </c>
      <c r="R164" s="12">
        <v>54</v>
      </c>
      <c r="S164" s="12">
        <v>9</v>
      </c>
      <c r="T164" s="63">
        <v>0.18</v>
      </c>
      <c r="U164" s="63">
        <v>0.47</v>
      </c>
      <c r="V164" s="63">
        <v>0.28999999999999998</v>
      </c>
      <c r="W164" s="63">
        <v>0.05</v>
      </c>
      <c r="X164" s="63">
        <v>0.01</v>
      </c>
      <c r="Y164" s="12">
        <v>56</v>
      </c>
      <c r="Z164" s="12">
        <v>8</v>
      </c>
      <c r="AA164" s="63">
        <v>0.14000000000000001</v>
      </c>
      <c r="AB164" s="63">
        <v>0.45</v>
      </c>
      <c r="AC164" s="63">
        <v>0.33</v>
      </c>
      <c r="AD164" s="63">
        <v>0.08</v>
      </c>
      <c r="AE164" s="63">
        <v>0</v>
      </c>
      <c r="AF164" s="25">
        <v>53</v>
      </c>
      <c r="AG164" s="25">
        <v>9</v>
      </c>
      <c r="AH164" s="61">
        <v>0.19</v>
      </c>
      <c r="AI164" s="61">
        <v>0.57999999999999996</v>
      </c>
      <c r="AJ164" s="61">
        <v>0.17</v>
      </c>
      <c r="AK164" s="61">
        <v>0.05</v>
      </c>
      <c r="AL164" s="61">
        <v>0.01</v>
      </c>
      <c r="AM164" s="246">
        <v>57</v>
      </c>
      <c r="AN164" s="246" t="s">
        <v>758</v>
      </c>
      <c r="AO164" s="246">
        <v>8</v>
      </c>
      <c r="AP164" s="246" t="s">
        <v>758</v>
      </c>
      <c r="AQ164" s="263">
        <v>0.11</v>
      </c>
      <c r="AR164" s="263">
        <v>0.41</v>
      </c>
      <c r="AS164" s="263">
        <v>0.35</v>
      </c>
      <c r="AT164" s="263">
        <v>0.12</v>
      </c>
      <c r="AU164" s="263">
        <v>0.01</v>
      </c>
      <c r="AV164" s="309">
        <v>59</v>
      </c>
      <c r="AW164" s="309" t="s">
        <v>758</v>
      </c>
      <c r="AX164" s="309">
        <v>9</v>
      </c>
      <c r="AY164" s="309" t="s">
        <v>758</v>
      </c>
      <c r="AZ164" s="327">
        <v>0.06</v>
      </c>
      <c r="BA164" s="327">
        <v>0.41</v>
      </c>
      <c r="BB164" s="327">
        <v>0.34</v>
      </c>
      <c r="BC164" s="327">
        <v>0.18</v>
      </c>
      <c r="BD164" s="327">
        <v>0.01</v>
      </c>
      <c r="BE164" s="424">
        <v>58</v>
      </c>
      <c r="BF164" s="424" t="s">
        <v>758</v>
      </c>
      <c r="BG164" s="424">
        <v>10</v>
      </c>
      <c r="BH164" s="424" t="s">
        <v>758</v>
      </c>
      <c r="BI164" s="428">
        <v>0.16</v>
      </c>
      <c r="BJ164" s="428">
        <v>0.36</v>
      </c>
      <c r="BK164" s="428">
        <v>0.28000000000000003</v>
      </c>
      <c r="BL164" s="428">
        <v>0.19</v>
      </c>
      <c r="BM164" s="428">
        <v>0.01</v>
      </c>
      <c r="BN164" s="464">
        <v>58</v>
      </c>
      <c r="BO164" s="464" t="s">
        <v>758</v>
      </c>
      <c r="BP164" s="464">
        <v>10</v>
      </c>
      <c r="BQ164" s="464" t="s">
        <v>758</v>
      </c>
      <c r="BR164" s="476">
        <v>0.15</v>
      </c>
      <c r="BS164" s="476">
        <v>0.36</v>
      </c>
      <c r="BT164" s="476">
        <v>0.33</v>
      </c>
      <c r="BU164" s="476">
        <v>0.14000000000000001</v>
      </c>
      <c r="BV164" s="476">
        <v>0.02</v>
      </c>
      <c r="BW164" s="933">
        <v>61</v>
      </c>
      <c r="BX164" s="933" t="s">
        <v>758</v>
      </c>
      <c r="BY164" s="933">
        <v>10</v>
      </c>
      <c r="BZ164" s="933" t="s">
        <v>758</v>
      </c>
      <c r="CA164" s="949">
        <v>0.11</v>
      </c>
      <c r="CB164" s="949">
        <v>0.27</v>
      </c>
      <c r="CC164" s="949">
        <v>0.38</v>
      </c>
      <c r="CD164" s="949">
        <v>0.17</v>
      </c>
      <c r="CE164" s="949">
        <v>7.0000000000000007E-2</v>
      </c>
      <c r="CF164" s="922">
        <v>325754005471</v>
      </c>
      <c r="CG164" s="126" t="s">
        <v>110</v>
      </c>
    </row>
    <row r="165" spans="1:85" ht="24.95" customHeight="1" x14ac:dyDescent="0.2">
      <c r="A165" s="126" t="s">
        <v>116</v>
      </c>
      <c r="B165" s="1" t="s">
        <v>123</v>
      </c>
      <c r="C165" s="2">
        <v>5</v>
      </c>
      <c r="D165" s="12">
        <v>67</v>
      </c>
      <c r="E165" s="12">
        <v>6</v>
      </c>
      <c r="F165" s="66">
        <v>0</v>
      </c>
      <c r="G165" s="66">
        <v>0.11</v>
      </c>
      <c r="H165" s="66">
        <v>0.42</v>
      </c>
      <c r="I165" s="66">
        <v>0.47</v>
      </c>
      <c r="J165" s="66">
        <v>0</v>
      </c>
      <c r="K165" s="12">
        <v>67</v>
      </c>
      <c r="L165" s="12">
        <v>7</v>
      </c>
      <c r="M165" s="61">
        <v>0</v>
      </c>
      <c r="N165" s="61">
        <v>7.0000000000000007E-2</v>
      </c>
      <c r="O165" s="61">
        <v>0.64</v>
      </c>
      <c r="P165" s="61">
        <v>0.14000000000000001</v>
      </c>
      <c r="Q165" s="61">
        <v>0.14000000000000001</v>
      </c>
      <c r="R165" s="12">
        <v>65</v>
      </c>
      <c r="S165" s="12">
        <v>8</v>
      </c>
      <c r="T165" s="63">
        <v>0.03</v>
      </c>
      <c r="U165" s="63">
        <v>0.17</v>
      </c>
      <c r="V165" s="63">
        <v>0.46</v>
      </c>
      <c r="W165" s="63">
        <v>0.28999999999999998</v>
      </c>
      <c r="X165" s="63">
        <v>0.06</v>
      </c>
      <c r="Y165" s="12">
        <v>62</v>
      </c>
      <c r="Z165" s="12">
        <v>7</v>
      </c>
      <c r="AA165" s="63">
        <v>0</v>
      </c>
      <c r="AB165" s="63">
        <v>0.35</v>
      </c>
      <c r="AC165" s="63">
        <v>0.5</v>
      </c>
      <c r="AD165" s="63">
        <v>0.15</v>
      </c>
      <c r="AE165" s="63">
        <v>0</v>
      </c>
      <c r="AF165" s="25">
        <v>54</v>
      </c>
      <c r="AG165" s="25">
        <v>9</v>
      </c>
      <c r="AH165" s="61">
        <v>0.26</v>
      </c>
      <c r="AI165" s="61">
        <v>0.44</v>
      </c>
      <c r="AJ165" s="61">
        <v>0.16</v>
      </c>
      <c r="AK165" s="61">
        <v>0.14000000000000001</v>
      </c>
      <c r="AL165" s="61">
        <v>0</v>
      </c>
      <c r="AM165" s="246">
        <v>64</v>
      </c>
      <c r="AN165" s="246" t="s">
        <v>759</v>
      </c>
      <c r="AO165" s="246">
        <v>9</v>
      </c>
      <c r="AP165" s="246" t="s">
        <v>758</v>
      </c>
      <c r="AQ165" s="263">
        <v>0.02</v>
      </c>
      <c r="AR165" s="263">
        <v>0.21</v>
      </c>
      <c r="AS165" s="263">
        <v>0.4</v>
      </c>
      <c r="AT165" s="263">
        <v>0.35</v>
      </c>
      <c r="AU165" s="263">
        <v>0.02</v>
      </c>
      <c r="AV165" s="309">
        <v>64</v>
      </c>
      <c r="AW165" s="309" t="s">
        <v>759</v>
      </c>
      <c r="AX165" s="309">
        <v>11</v>
      </c>
      <c r="AY165" s="309" t="s">
        <v>758</v>
      </c>
      <c r="AZ165" s="327">
        <v>0.05</v>
      </c>
      <c r="BA165" s="327">
        <v>0.16</v>
      </c>
      <c r="BB165" s="327">
        <v>0.47</v>
      </c>
      <c r="BC165" s="327">
        <v>0.21</v>
      </c>
      <c r="BD165" s="327">
        <v>0.11</v>
      </c>
      <c r="BE165" s="424">
        <v>64</v>
      </c>
      <c r="BF165" s="424" t="s">
        <v>759</v>
      </c>
      <c r="BG165" s="424">
        <v>11</v>
      </c>
      <c r="BH165" s="424" t="s">
        <v>758</v>
      </c>
      <c r="BI165" s="428">
        <v>0.04</v>
      </c>
      <c r="BJ165" s="428">
        <v>0.19</v>
      </c>
      <c r="BK165" s="428">
        <v>0.35</v>
      </c>
      <c r="BL165" s="428">
        <v>0.36</v>
      </c>
      <c r="BM165" s="428">
        <v>0.05</v>
      </c>
      <c r="BN165" s="464">
        <v>68</v>
      </c>
      <c r="BO165" s="464" t="s">
        <v>759</v>
      </c>
      <c r="BP165" s="464">
        <v>10</v>
      </c>
      <c r="BQ165" s="464" t="s">
        <v>758</v>
      </c>
      <c r="BR165" s="476">
        <v>0.01</v>
      </c>
      <c r="BS165" s="476">
        <v>0.13</v>
      </c>
      <c r="BT165" s="476">
        <v>0.33</v>
      </c>
      <c r="BU165" s="476">
        <v>0.4</v>
      </c>
      <c r="BV165" s="476">
        <v>0.14000000000000001</v>
      </c>
      <c r="BW165" s="933">
        <v>68</v>
      </c>
      <c r="BX165" s="933" t="s">
        <v>759</v>
      </c>
      <c r="BY165" s="933">
        <v>9</v>
      </c>
      <c r="BZ165" s="933" t="s">
        <v>758</v>
      </c>
      <c r="CA165" s="949">
        <v>0.02</v>
      </c>
      <c r="CB165" s="949">
        <v>0.03</v>
      </c>
      <c r="CC165" s="949">
        <v>0.42</v>
      </c>
      <c r="CD165" s="949">
        <v>0.45</v>
      </c>
      <c r="CE165" s="949">
        <v>0.08</v>
      </c>
      <c r="CF165" s="922">
        <v>325754003878</v>
      </c>
      <c r="CG165" s="126" t="s">
        <v>116</v>
      </c>
    </row>
    <row r="166" spans="1:85" ht="24.95" customHeight="1" x14ac:dyDescent="0.2">
      <c r="A166" s="126" t="s">
        <v>98</v>
      </c>
      <c r="B166" s="1" t="s">
        <v>123</v>
      </c>
      <c r="C166" s="2">
        <v>5</v>
      </c>
      <c r="D166" s="12">
        <v>59</v>
      </c>
      <c r="E166" s="12">
        <v>10</v>
      </c>
      <c r="F166" s="66">
        <v>0.1</v>
      </c>
      <c r="G166" s="66">
        <v>0.37</v>
      </c>
      <c r="H166" s="66">
        <v>0.33</v>
      </c>
      <c r="I166" s="66">
        <v>0.2</v>
      </c>
      <c r="J166" s="66">
        <v>0</v>
      </c>
      <c r="K166" s="12">
        <v>58</v>
      </c>
      <c r="L166" s="12">
        <v>8</v>
      </c>
      <c r="M166" s="61">
        <v>0.03</v>
      </c>
      <c r="N166" s="61">
        <v>0.48</v>
      </c>
      <c r="O166" s="61">
        <v>0.31</v>
      </c>
      <c r="P166" s="61">
        <v>0.17</v>
      </c>
      <c r="Q166" s="61">
        <v>0</v>
      </c>
      <c r="R166" s="12">
        <v>64</v>
      </c>
      <c r="S166" s="12">
        <v>8</v>
      </c>
      <c r="T166" s="63">
        <v>0</v>
      </c>
      <c r="U166" s="63">
        <v>0.28000000000000003</v>
      </c>
      <c r="V166" s="63">
        <v>0.28000000000000003</v>
      </c>
      <c r="W166" s="63">
        <v>0.39</v>
      </c>
      <c r="X166" s="63">
        <v>0.06</v>
      </c>
      <c r="Y166" s="12">
        <v>65</v>
      </c>
      <c r="Z166" s="12">
        <v>6</v>
      </c>
      <c r="AA166" s="63">
        <v>0</v>
      </c>
      <c r="AB166" s="63">
        <v>0.15</v>
      </c>
      <c r="AC166" s="63">
        <v>0.45</v>
      </c>
      <c r="AD166" s="63">
        <v>0.4</v>
      </c>
      <c r="AE166" s="63">
        <v>0</v>
      </c>
      <c r="AF166" s="25">
        <v>61</v>
      </c>
      <c r="AG166" s="25">
        <v>8</v>
      </c>
      <c r="AH166" s="61">
        <v>0.05</v>
      </c>
      <c r="AI166" s="61">
        <v>0.28999999999999998</v>
      </c>
      <c r="AJ166" s="61">
        <v>0.48</v>
      </c>
      <c r="AK166" s="61">
        <v>0.19</v>
      </c>
      <c r="AL166" s="61">
        <v>0</v>
      </c>
      <c r="AM166" s="246">
        <v>62</v>
      </c>
      <c r="AN166" s="246" t="s">
        <v>759</v>
      </c>
      <c r="AO166" s="246">
        <v>8</v>
      </c>
      <c r="AP166" s="246" t="s">
        <v>758</v>
      </c>
      <c r="AQ166" s="263">
        <v>0</v>
      </c>
      <c r="AR166" s="263">
        <v>0.36</v>
      </c>
      <c r="AS166" s="263">
        <v>0.43</v>
      </c>
      <c r="AT166" s="263">
        <v>0.21</v>
      </c>
      <c r="AU166" s="263">
        <v>0</v>
      </c>
      <c r="AV166" s="309">
        <v>63</v>
      </c>
      <c r="AW166" s="309" t="s">
        <v>759</v>
      </c>
      <c r="AX166" s="309">
        <v>7</v>
      </c>
      <c r="AY166" s="309" t="s">
        <v>760</v>
      </c>
      <c r="AZ166" s="327">
        <v>0.03</v>
      </c>
      <c r="BA166" s="327">
        <v>0.26</v>
      </c>
      <c r="BB166" s="327">
        <v>0.45</v>
      </c>
      <c r="BC166" s="327">
        <v>0.26</v>
      </c>
      <c r="BD166" s="327">
        <v>0</v>
      </c>
      <c r="BE166" s="424">
        <v>61</v>
      </c>
      <c r="BF166" s="424" t="s">
        <v>759</v>
      </c>
      <c r="BG166" s="424">
        <v>10</v>
      </c>
      <c r="BH166" s="424" t="s">
        <v>758</v>
      </c>
      <c r="BI166" s="428">
        <v>0.1</v>
      </c>
      <c r="BJ166" s="428">
        <v>0.21</v>
      </c>
      <c r="BK166" s="428">
        <v>0.45</v>
      </c>
      <c r="BL166" s="428">
        <v>0.21</v>
      </c>
      <c r="BM166" s="428">
        <v>0.02</v>
      </c>
      <c r="BN166" s="464">
        <v>62</v>
      </c>
      <c r="BO166" s="464" t="s">
        <v>759</v>
      </c>
      <c r="BP166" s="464">
        <v>11</v>
      </c>
      <c r="BQ166" s="464" t="s">
        <v>758</v>
      </c>
      <c r="BR166" s="476">
        <v>0.18</v>
      </c>
      <c r="BS166" s="476">
        <v>0.14000000000000001</v>
      </c>
      <c r="BT166" s="476">
        <v>0.36</v>
      </c>
      <c r="BU166" s="476">
        <v>0.27</v>
      </c>
      <c r="BV166" s="476">
        <v>0.05</v>
      </c>
      <c r="BW166" s="933">
        <v>61</v>
      </c>
      <c r="BX166" s="933" t="s">
        <v>758</v>
      </c>
      <c r="BY166" s="933">
        <v>10</v>
      </c>
      <c r="BZ166" s="933" t="s">
        <v>758</v>
      </c>
      <c r="CA166" s="949">
        <v>0.05</v>
      </c>
      <c r="CB166" s="949">
        <v>0.19</v>
      </c>
      <c r="CC166" s="949">
        <v>0.48</v>
      </c>
      <c r="CD166" s="949">
        <v>0.28999999999999998</v>
      </c>
      <c r="CE166" s="949">
        <v>0</v>
      </c>
      <c r="CF166" s="922">
        <v>325754004262</v>
      </c>
      <c r="CG166" s="126" t="s">
        <v>98</v>
      </c>
    </row>
    <row r="167" spans="1:85" ht="24.95" customHeight="1" x14ac:dyDescent="0.2">
      <c r="A167" s="126" t="s">
        <v>175</v>
      </c>
      <c r="B167" s="1" t="s">
        <v>123</v>
      </c>
      <c r="C167" s="2">
        <v>4</v>
      </c>
      <c r="D167" s="12">
        <v>43</v>
      </c>
      <c r="E167" s="12">
        <v>2</v>
      </c>
      <c r="F167" s="66">
        <v>1</v>
      </c>
      <c r="G167" s="66">
        <v>0</v>
      </c>
      <c r="H167" s="66">
        <v>0</v>
      </c>
      <c r="I167" s="66">
        <v>0</v>
      </c>
      <c r="J167" s="66">
        <v>0</v>
      </c>
      <c r="K167" s="12">
        <v>41</v>
      </c>
      <c r="L167" s="12">
        <v>7</v>
      </c>
      <c r="M167" s="61">
        <v>0.7</v>
      </c>
      <c r="N167" s="61">
        <v>0.3</v>
      </c>
      <c r="O167" s="61">
        <v>0</v>
      </c>
      <c r="P167" s="61">
        <v>0</v>
      </c>
      <c r="Q167" s="61">
        <v>0</v>
      </c>
      <c r="R167" s="12">
        <v>45</v>
      </c>
      <c r="S167" s="12">
        <v>6</v>
      </c>
      <c r="T167" s="63">
        <v>0.63</v>
      </c>
      <c r="U167" s="63">
        <v>0.38</v>
      </c>
      <c r="V167" s="63">
        <v>0</v>
      </c>
      <c r="W167" s="63">
        <v>0</v>
      </c>
      <c r="X167" s="63">
        <v>0</v>
      </c>
      <c r="Y167" s="12">
        <v>46</v>
      </c>
      <c r="Z167" s="12">
        <v>9</v>
      </c>
      <c r="AA167" s="63">
        <v>0.5</v>
      </c>
      <c r="AB167" s="63">
        <v>0.5</v>
      </c>
      <c r="AC167" s="63">
        <v>0</v>
      </c>
      <c r="AD167" s="63">
        <v>0</v>
      </c>
      <c r="AE167" s="63">
        <v>0</v>
      </c>
      <c r="AF167" s="25">
        <v>43</v>
      </c>
      <c r="AG167" s="25">
        <v>10</v>
      </c>
      <c r="AH167" s="61">
        <v>0.33</v>
      </c>
      <c r="AI167" s="61">
        <v>0.67</v>
      </c>
      <c r="AJ167" s="61">
        <v>0</v>
      </c>
      <c r="AK167" s="61">
        <v>0</v>
      </c>
      <c r="AL167" s="61">
        <v>0</v>
      </c>
      <c r="AM167" s="246">
        <v>49</v>
      </c>
      <c r="AN167" s="246" t="s">
        <v>758</v>
      </c>
      <c r="AO167" s="246">
        <v>9</v>
      </c>
      <c r="AP167" s="246" t="s">
        <v>758</v>
      </c>
      <c r="AQ167" s="263">
        <v>0.55000000000000004</v>
      </c>
      <c r="AR167" s="263">
        <v>0.27</v>
      </c>
      <c r="AS167" s="263">
        <v>0.18</v>
      </c>
      <c r="AT167" s="263">
        <v>0</v>
      </c>
      <c r="AU167" s="263">
        <v>0</v>
      </c>
      <c r="AV167" s="309">
        <v>49</v>
      </c>
      <c r="AW167" s="309" t="s">
        <v>758</v>
      </c>
      <c r="AX167" s="309">
        <v>10</v>
      </c>
      <c r="AY167" s="309" t="s">
        <v>758</v>
      </c>
      <c r="AZ167" s="327">
        <v>0.36</v>
      </c>
      <c r="BA167" s="327">
        <v>0.55000000000000004</v>
      </c>
      <c r="BB167" s="327">
        <v>0.09</v>
      </c>
      <c r="BC167" s="327">
        <v>0</v>
      </c>
      <c r="BD167" s="327">
        <v>0</v>
      </c>
      <c r="BE167" s="424">
        <v>46</v>
      </c>
      <c r="BF167" s="424" t="s">
        <v>758</v>
      </c>
      <c r="BG167" s="424">
        <v>8</v>
      </c>
      <c r="BH167" s="424" t="s">
        <v>758</v>
      </c>
      <c r="BI167" s="428">
        <v>0.6</v>
      </c>
      <c r="BJ167" s="428">
        <v>0.3</v>
      </c>
      <c r="BK167" s="428">
        <v>0.1</v>
      </c>
      <c r="BL167" s="428">
        <v>0</v>
      </c>
      <c r="BM167" s="428">
        <v>0</v>
      </c>
      <c r="BN167" s="464">
        <v>52</v>
      </c>
      <c r="BO167" s="464" t="s">
        <v>758</v>
      </c>
      <c r="BP167" s="464">
        <v>8</v>
      </c>
      <c r="BQ167" s="464" t="s">
        <v>758</v>
      </c>
      <c r="BR167" s="476">
        <v>0.25</v>
      </c>
      <c r="BS167" s="476">
        <v>0.5</v>
      </c>
      <c r="BT167" s="476">
        <v>0.25</v>
      </c>
      <c r="BU167" s="476">
        <v>0</v>
      </c>
      <c r="BV167" s="476">
        <v>0</v>
      </c>
      <c r="BW167" s="933">
        <v>53</v>
      </c>
      <c r="BX167" s="933" t="s">
        <v>758</v>
      </c>
      <c r="BY167" s="933">
        <v>12</v>
      </c>
      <c r="BZ167" s="933" t="s">
        <v>758</v>
      </c>
      <c r="CA167" s="949">
        <v>0.22</v>
      </c>
      <c r="CB167" s="949">
        <v>0.44</v>
      </c>
      <c r="CC167" s="949">
        <v>0.17</v>
      </c>
      <c r="CD167" s="949">
        <v>0.17</v>
      </c>
      <c r="CE167" s="949">
        <v>0</v>
      </c>
      <c r="CF167" s="922">
        <v>325754005048</v>
      </c>
      <c r="CG167" s="126" t="s">
        <v>175</v>
      </c>
    </row>
    <row r="168" spans="1:85" ht="24.95" customHeight="1" x14ac:dyDescent="0.2">
      <c r="A168" s="126" t="s">
        <v>44</v>
      </c>
      <c r="B168" s="1" t="s">
        <v>123</v>
      </c>
      <c r="C168" s="2">
        <v>6</v>
      </c>
      <c r="D168" s="12">
        <v>56</v>
      </c>
      <c r="E168" s="12">
        <v>8</v>
      </c>
      <c r="F168" s="66">
        <v>0.14000000000000001</v>
      </c>
      <c r="G168" s="66">
        <v>0.47</v>
      </c>
      <c r="H168" s="66">
        <v>0.33</v>
      </c>
      <c r="I168" s="66">
        <v>0.06</v>
      </c>
      <c r="J168" s="66">
        <v>0</v>
      </c>
      <c r="K168" s="12">
        <v>54</v>
      </c>
      <c r="L168" s="12">
        <v>9</v>
      </c>
      <c r="M168" s="61">
        <v>0.26</v>
      </c>
      <c r="N168" s="61">
        <v>0.4</v>
      </c>
      <c r="O168" s="61">
        <v>0.22</v>
      </c>
      <c r="P168" s="61">
        <v>0.12</v>
      </c>
      <c r="Q168" s="61">
        <v>0</v>
      </c>
      <c r="R168" s="12">
        <v>56</v>
      </c>
      <c r="S168" s="12">
        <v>8</v>
      </c>
      <c r="T168" s="63">
        <v>0.13</v>
      </c>
      <c r="U168" s="63">
        <v>0.4</v>
      </c>
      <c r="V168" s="63">
        <v>0.39</v>
      </c>
      <c r="W168" s="63">
        <v>7.0000000000000007E-2</v>
      </c>
      <c r="X168" s="63">
        <v>0</v>
      </c>
      <c r="Y168" s="12">
        <v>56</v>
      </c>
      <c r="Z168" s="12">
        <v>7</v>
      </c>
      <c r="AA168" s="63">
        <v>0.11</v>
      </c>
      <c r="AB168" s="63">
        <v>0.53</v>
      </c>
      <c r="AC168" s="63">
        <v>0.27</v>
      </c>
      <c r="AD168" s="63">
        <v>0.08</v>
      </c>
      <c r="AE168" s="63">
        <v>0.01</v>
      </c>
      <c r="AF168" s="25">
        <v>53</v>
      </c>
      <c r="AG168" s="25">
        <v>9</v>
      </c>
      <c r="AH168" s="61">
        <v>0.28000000000000003</v>
      </c>
      <c r="AI168" s="61">
        <v>0.48</v>
      </c>
      <c r="AJ168" s="61">
        <v>0.15</v>
      </c>
      <c r="AK168" s="61">
        <v>0.09</v>
      </c>
      <c r="AL168" s="61">
        <v>0</v>
      </c>
      <c r="AM168" s="246">
        <v>55</v>
      </c>
      <c r="AN168" s="246" t="s">
        <v>758</v>
      </c>
      <c r="AO168" s="246">
        <v>9</v>
      </c>
      <c r="AP168" s="246" t="s">
        <v>758</v>
      </c>
      <c r="AQ168" s="263">
        <v>0.18</v>
      </c>
      <c r="AR168" s="263">
        <v>0.42</v>
      </c>
      <c r="AS168" s="263">
        <v>0.32</v>
      </c>
      <c r="AT168" s="263">
        <v>0.09</v>
      </c>
      <c r="AU168" s="263">
        <v>0</v>
      </c>
      <c r="AV168" s="309">
        <v>58</v>
      </c>
      <c r="AW168" s="309" t="s">
        <v>758</v>
      </c>
      <c r="AX168" s="309">
        <v>9</v>
      </c>
      <c r="AY168" s="309" t="s">
        <v>758</v>
      </c>
      <c r="AZ168" s="327">
        <v>0.12</v>
      </c>
      <c r="BA168" s="327">
        <v>0.35</v>
      </c>
      <c r="BB168" s="327">
        <v>0.39</v>
      </c>
      <c r="BC168" s="327">
        <v>0.14000000000000001</v>
      </c>
      <c r="BD168" s="327">
        <v>0</v>
      </c>
      <c r="BE168" s="424">
        <v>58</v>
      </c>
      <c r="BF168" s="424" t="s">
        <v>758</v>
      </c>
      <c r="BG168" s="424">
        <v>10</v>
      </c>
      <c r="BH168" s="424" t="s">
        <v>758</v>
      </c>
      <c r="BI168" s="428">
        <v>0.14000000000000001</v>
      </c>
      <c r="BJ168" s="428">
        <v>0.38</v>
      </c>
      <c r="BK168" s="428">
        <v>0.3</v>
      </c>
      <c r="BL168" s="428">
        <v>0.17</v>
      </c>
      <c r="BM168" s="428">
        <v>0.01</v>
      </c>
      <c r="BN168" s="464">
        <v>58</v>
      </c>
      <c r="BO168" s="464" t="s">
        <v>758</v>
      </c>
      <c r="BP168" s="464">
        <v>12</v>
      </c>
      <c r="BQ168" s="464" t="s">
        <v>758</v>
      </c>
      <c r="BR168" s="476">
        <v>0.17</v>
      </c>
      <c r="BS168" s="476">
        <v>0.33</v>
      </c>
      <c r="BT168" s="476">
        <v>0.26</v>
      </c>
      <c r="BU168" s="476">
        <v>0.21</v>
      </c>
      <c r="BV168" s="476">
        <v>0.04</v>
      </c>
      <c r="BW168" s="933">
        <v>57</v>
      </c>
      <c r="BX168" s="933" t="s">
        <v>758</v>
      </c>
      <c r="BY168" s="933">
        <v>10</v>
      </c>
      <c r="BZ168" s="933" t="s">
        <v>758</v>
      </c>
      <c r="CA168" s="949">
        <v>0.15</v>
      </c>
      <c r="CB168" s="949">
        <v>0.4</v>
      </c>
      <c r="CC168" s="949">
        <v>0.25</v>
      </c>
      <c r="CD168" s="949">
        <v>0.16</v>
      </c>
      <c r="CE168" s="949">
        <v>0.04</v>
      </c>
      <c r="CF168" s="922">
        <v>325754001841</v>
      </c>
      <c r="CG168" s="126" t="s">
        <v>44</v>
      </c>
    </row>
    <row r="169" spans="1:85" s="896" customFormat="1" ht="24.95" customHeight="1" x14ac:dyDescent="0.2">
      <c r="A169" s="934" t="s">
        <v>961</v>
      </c>
      <c r="B169" s="1" t="s">
        <v>123</v>
      </c>
      <c r="C169" s="935">
        <v>5</v>
      </c>
      <c r="D169" s="936"/>
      <c r="E169" s="936"/>
      <c r="F169" s="937"/>
      <c r="G169" s="937"/>
      <c r="H169" s="937"/>
      <c r="I169" s="937"/>
      <c r="J169" s="937"/>
      <c r="K169" s="936"/>
      <c r="L169" s="936"/>
      <c r="M169" s="947"/>
      <c r="N169" s="947"/>
      <c r="O169" s="947"/>
      <c r="P169" s="947"/>
      <c r="Q169" s="947"/>
      <c r="R169" s="936"/>
      <c r="S169" s="936"/>
      <c r="T169" s="939"/>
      <c r="U169" s="939"/>
      <c r="V169" s="939"/>
      <c r="W169" s="939"/>
      <c r="X169" s="939"/>
      <c r="Y169" s="936"/>
      <c r="Z169" s="936"/>
      <c r="AA169" s="939"/>
      <c r="AB169" s="939"/>
      <c r="AC169" s="939"/>
      <c r="AD169" s="939"/>
      <c r="AE169" s="939"/>
      <c r="AF169" s="948"/>
      <c r="AG169" s="948"/>
      <c r="AH169" s="947"/>
      <c r="AI169" s="947"/>
      <c r="AJ169" s="947"/>
      <c r="AK169" s="947"/>
      <c r="AL169" s="947"/>
      <c r="AM169" s="941"/>
      <c r="AN169" s="941"/>
      <c r="AO169" s="941"/>
      <c r="AP169" s="941"/>
      <c r="AQ169" s="942"/>
      <c r="AR169" s="942"/>
      <c r="AS169" s="942"/>
      <c r="AT169" s="942"/>
      <c r="AU169" s="942"/>
      <c r="AV169" s="935"/>
      <c r="AW169" s="935"/>
      <c r="AX169" s="935"/>
      <c r="AY169" s="935"/>
      <c r="AZ169" s="939"/>
      <c r="BA169" s="939"/>
      <c r="BB169" s="939"/>
      <c r="BC169" s="939"/>
      <c r="BD169" s="939"/>
      <c r="BE169" s="943"/>
      <c r="BF169" s="943"/>
      <c r="BG169" s="943"/>
      <c r="BH169" s="943"/>
      <c r="BI169" s="944"/>
      <c r="BJ169" s="944"/>
      <c r="BK169" s="944"/>
      <c r="BL169" s="944"/>
      <c r="BM169" s="944"/>
      <c r="BN169" s="935"/>
      <c r="BO169" s="935"/>
      <c r="BP169" s="935"/>
      <c r="BQ169" s="935"/>
      <c r="BR169" s="939"/>
      <c r="BS169" s="939"/>
      <c r="BT169" s="939"/>
      <c r="BU169" s="939"/>
      <c r="BV169" s="939"/>
      <c r="BW169" s="933">
        <v>61</v>
      </c>
      <c r="BX169" s="933" t="s">
        <v>758</v>
      </c>
      <c r="BY169" s="933">
        <v>8</v>
      </c>
      <c r="BZ169" s="933" t="s">
        <v>758</v>
      </c>
      <c r="CA169" s="949">
        <v>0</v>
      </c>
      <c r="CB169" s="949">
        <v>0.38</v>
      </c>
      <c r="CC169" s="949">
        <v>0.25</v>
      </c>
      <c r="CD169" s="949">
        <v>0.38</v>
      </c>
      <c r="CE169" s="949">
        <v>0</v>
      </c>
      <c r="CF169" s="922">
        <v>325754800107</v>
      </c>
      <c r="CG169" s="934" t="s">
        <v>961</v>
      </c>
    </row>
    <row r="170" spans="1:85" ht="24.95" customHeight="1" x14ac:dyDescent="0.2">
      <c r="A170" s="126" t="s">
        <v>113</v>
      </c>
      <c r="B170" s="1" t="s">
        <v>123</v>
      </c>
      <c r="C170" s="2">
        <v>4</v>
      </c>
      <c r="D170" s="12">
        <v>58</v>
      </c>
      <c r="E170" s="12">
        <v>11</v>
      </c>
      <c r="F170" s="66">
        <v>0.08</v>
      </c>
      <c r="G170" s="66">
        <v>0.5</v>
      </c>
      <c r="H170" s="66">
        <v>0.17</v>
      </c>
      <c r="I170" s="66">
        <v>0.25</v>
      </c>
      <c r="J170" s="66">
        <v>0</v>
      </c>
      <c r="K170" s="12">
        <v>58</v>
      </c>
      <c r="L170" s="12">
        <v>7</v>
      </c>
      <c r="M170" s="61">
        <v>0</v>
      </c>
      <c r="N170" s="61">
        <v>0.56000000000000005</v>
      </c>
      <c r="O170" s="61">
        <v>0.38</v>
      </c>
      <c r="P170" s="61">
        <v>0.06</v>
      </c>
      <c r="Q170" s="61">
        <v>0</v>
      </c>
      <c r="R170" s="12">
        <v>60</v>
      </c>
      <c r="S170" s="12">
        <v>8</v>
      </c>
      <c r="T170" s="63">
        <v>0</v>
      </c>
      <c r="U170" s="63">
        <v>0.33</v>
      </c>
      <c r="V170" s="63">
        <v>0.53</v>
      </c>
      <c r="W170" s="63">
        <v>7.0000000000000007E-2</v>
      </c>
      <c r="X170" s="63">
        <v>7.0000000000000007E-2</v>
      </c>
      <c r="Y170" s="12">
        <v>58</v>
      </c>
      <c r="Z170" s="12">
        <v>8</v>
      </c>
      <c r="AA170" s="63">
        <v>0.11</v>
      </c>
      <c r="AB170" s="63">
        <v>0.39</v>
      </c>
      <c r="AC170" s="63">
        <v>0.5</v>
      </c>
      <c r="AD170" s="63">
        <v>0</v>
      </c>
      <c r="AE170" s="63">
        <v>0</v>
      </c>
      <c r="AF170" s="25">
        <v>49</v>
      </c>
      <c r="AG170" s="25">
        <v>7</v>
      </c>
      <c r="AH170" s="61">
        <v>0.44</v>
      </c>
      <c r="AI170" s="61">
        <v>0.44</v>
      </c>
      <c r="AJ170" s="61">
        <v>0.13</v>
      </c>
      <c r="AK170" s="61">
        <v>0</v>
      </c>
      <c r="AL170" s="61">
        <v>0</v>
      </c>
      <c r="AM170" s="246">
        <v>59</v>
      </c>
      <c r="AN170" s="246" t="s">
        <v>758</v>
      </c>
      <c r="AO170" s="246">
        <v>11</v>
      </c>
      <c r="AP170" s="246" t="s">
        <v>758</v>
      </c>
      <c r="AQ170" s="263">
        <v>0.13</v>
      </c>
      <c r="AR170" s="263">
        <v>0.31</v>
      </c>
      <c r="AS170" s="263">
        <v>0.44</v>
      </c>
      <c r="AT170" s="263">
        <v>0.06</v>
      </c>
      <c r="AU170" s="263">
        <v>0.06</v>
      </c>
      <c r="AV170" s="309">
        <v>58</v>
      </c>
      <c r="AW170" s="309" t="s">
        <v>758</v>
      </c>
      <c r="AX170" s="309">
        <v>10</v>
      </c>
      <c r="AY170" s="309" t="s">
        <v>758</v>
      </c>
      <c r="AZ170" s="327">
        <v>0.16</v>
      </c>
      <c r="BA170" s="327">
        <v>0.26</v>
      </c>
      <c r="BB170" s="327">
        <v>0.42</v>
      </c>
      <c r="BC170" s="327">
        <v>0.16</v>
      </c>
      <c r="BD170" s="327">
        <v>0</v>
      </c>
      <c r="BE170" s="424">
        <v>57</v>
      </c>
      <c r="BF170" s="424" t="s">
        <v>758</v>
      </c>
      <c r="BG170" s="424">
        <v>11</v>
      </c>
      <c r="BH170" s="424" t="s">
        <v>758</v>
      </c>
      <c r="BI170" s="428">
        <v>0.17</v>
      </c>
      <c r="BJ170" s="428">
        <v>0.35</v>
      </c>
      <c r="BK170" s="428">
        <v>0.3</v>
      </c>
      <c r="BL170" s="428">
        <v>0.17</v>
      </c>
      <c r="BM170" s="428">
        <v>0</v>
      </c>
      <c r="BN170" s="464">
        <v>64</v>
      </c>
      <c r="BO170" s="464" t="s">
        <v>759</v>
      </c>
      <c r="BP170" s="464">
        <v>11</v>
      </c>
      <c r="BQ170" s="464" t="s">
        <v>758</v>
      </c>
      <c r="BR170" s="476">
        <v>0.04</v>
      </c>
      <c r="BS170" s="476">
        <v>0.25</v>
      </c>
      <c r="BT170" s="476">
        <v>0.28999999999999998</v>
      </c>
      <c r="BU170" s="476">
        <v>0.38</v>
      </c>
      <c r="BV170" s="476">
        <v>0.04</v>
      </c>
      <c r="BW170" s="933">
        <v>64</v>
      </c>
      <c r="BX170" s="933" t="s">
        <v>759</v>
      </c>
      <c r="BY170" s="933">
        <v>8</v>
      </c>
      <c r="BZ170" s="933" t="s">
        <v>758</v>
      </c>
      <c r="CA170" s="949">
        <v>0.05</v>
      </c>
      <c r="CB170" s="949">
        <v>0.05</v>
      </c>
      <c r="CC170" s="949">
        <v>0.55000000000000004</v>
      </c>
      <c r="CD170" s="949">
        <v>0.35</v>
      </c>
      <c r="CE170" s="949">
        <v>0</v>
      </c>
      <c r="CF170" s="922">
        <v>325754003771</v>
      </c>
      <c r="CG170" s="126" t="s">
        <v>113</v>
      </c>
    </row>
    <row r="171" spans="1:85" ht="24.95" customHeight="1" x14ac:dyDescent="0.2">
      <c r="A171" s="126" t="s">
        <v>59</v>
      </c>
      <c r="B171" s="1" t="s">
        <v>123</v>
      </c>
      <c r="C171" s="2">
        <v>5</v>
      </c>
      <c r="D171" s="12">
        <v>60</v>
      </c>
      <c r="E171" s="12">
        <v>14</v>
      </c>
      <c r="F171" s="66">
        <v>0.16</v>
      </c>
      <c r="G171" s="66">
        <v>0.37</v>
      </c>
      <c r="H171" s="66">
        <v>0.16</v>
      </c>
      <c r="I171" s="66">
        <v>0.26</v>
      </c>
      <c r="J171" s="66">
        <v>0.05</v>
      </c>
      <c r="K171" s="12">
        <v>53</v>
      </c>
      <c r="L171" s="12">
        <v>8</v>
      </c>
      <c r="M171" s="61">
        <v>0.25</v>
      </c>
      <c r="N171" s="61">
        <v>0.46</v>
      </c>
      <c r="O171" s="61">
        <v>0.28999999999999998</v>
      </c>
      <c r="P171" s="61">
        <v>0</v>
      </c>
      <c r="Q171" s="61">
        <v>0</v>
      </c>
      <c r="R171" s="12">
        <v>54</v>
      </c>
      <c r="S171" s="12">
        <v>8</v>
      </c>
      <c r="T171" s="63">
        <v>0.28999999999999998</v>
      </c>
      <c r="U171" s="63">
        <v>0.35</v>
      </c>
      <c r="V171" s="63">
        <v>0.28999999999999998</v>
      </c>
      <c r="W171" s="63">
        <v>0.06</v>
      </c>
      <c r="X171" s="63">
        <v>0</v>
      </c>
      <c r="Y171" s="12">
        <v>55</v>
      </c>
      <c r="Z171" s="12">
        <v>11</v>
      </c>
      <c r="AA171" s="63">
        <v>0.24</v>
      </c>
      <c r="AB171" s="63">
        <v>0.33</v>
      </c>
      <c r="AC171" s="63">
        <v>0.33</v>
      </c>
      <c r="AD171" s="63">
        <v>0.1</v>
      </c>
      <c r="AE171" s="63">
        <v>0</v>
      </c>
      <c r="AF171" s="25">
        <v>52</v>
      </c>
      <c r="AG171" s="25">
        <v>10</v>
      </c>
      <c r="AH171" s="61">
        <v>0.26</v>
      </c>
      <c r="AI171" s="61">
        <v>0.53</v>
      </c>
      <c r="AJ171" s="61">
        <v>0.11</v>
      </c>
      <c r="AK171" s="61">
        <v>0.11</v>
      </c>
      <c r="AL171" s="61">
        <v>0</v>
      </c>
      <c r="AM171" s="246">
        <v>54</v>
      </c>
      <c r="AN171" s="246" t="s">
        <v>758</v>
      </c>
      <c r="AO171" s="246">
        <v>9</v>
      </c>
      <c r="AP171" s="246" t="s">
        <v>758</v>
      </c>
      <c r="AQ171" s="263">
        <v>0.27</v>
      </c>
      <c r="AR171" s="263">
        <v>0.38</v>
      </c>
      <c r="AS171" s="263">
        <v>0.27</v>
      </c>
      <c r="AT171" s="263">
        <v>0.08</v>
      </c>
      <c r="AU171" s="263">
        <v>0</v>
      </c>
      <c r="AV171" s="309">
        <v>61</v>
      </c>
      <c r="AW171" s="309" t="s">
        <v>759</v>
      </c>
      <c r="AX171" s="309">
        <v>8</v>
      </c>
      <c r="AY171" s="309" t="s">
        <v>758</v>
      </c>
      <c r="AZ171" s="327">
        <v>0</v>
      </c>
      <c r="BA171" s="327">
        <v>0.39</v>
      </c>
      <c r="BB171" s="327">
        <v>0.43</v>
      </c>
      <c r="BC171" s="327">
        <v>0.13</v>
      </c>
      <c r="BD171" s="327">
        <v>0.04</v>
      </c>
      <c r="BE171" s="424">
        <v>57</v>
      </c>
      <c r="BF171" s="424" t="s">
        <v>758</v>
      </c>
      <c r="BG171" s="424">
        <v>9</v>
      </c>
      <c r="BH171" s="424" t="s">
        <v>758</v>
      </c>
      <c r="BI171" s="428">
        <v>0.14000000000000001</v>
      </c>
      <c r="BJ171" s="428">
        <v>0.38</v>
      </c>
      <c r="BK171" s="428">
        <v>0.38</v>
      </c>
      <c r="BL171" s="428">
        <v>0.1</v>
      </c>
      <c r="BM171" s="428">
        <v>0</v>
      </c>
      <c r="BN171" s="464">
        <v>57</v>
      </c>
      <c r="BO171" s="464" t="s">
        <v>758</v>
      </c>
      <c r="BP171" s="464">
        <v>11</v>
      </c>
      <c r="BQ171" s="464" t="s">
        <v>758</v>
      </c>
      <c r="BR171" s="476">
        <v>0.21</v>
      </c>
      <c r="BS171" s="476">
        <v>0.28999999999999998</v>
      </c>
      <c r="BT171" s="476">
        <v>0.36</v>
      </c>
      <c r="BU171" s="476">
        <v>0.11</v>
      </c>
      <c r="BV171" s="476">
        <v>0.04</v>
      </c>
      <c r="BW171" s="933">
        <v>56</v>
      </c>
      <c r="BX171" s="933" t="s">
        <v>758</v>
      </c>
      <c r="BY171" s="933">
        <v>10</v>
      </c>
      <c r="BZ171" s="933" t="s">
        <v>758</v>
      </c>
      <c r="CA171" s="949">
        <v>0.26</v>
      </c>
      <c r="CB171" s="949">
        <v>0.21</v>
      </c>
      <c r="CC171" s="949">
        <v>0.42</v>
      </c>
      <c r="CD171" s="949">
        <v>0.11</v>
      </c>
      <c r="CE171" s="949">
        <v>0</v>
      </c>
      <c r="CF171" s="922">
        <v>325754001123</v>
      </c>
      <c r="CG171" s="126" t="s">
        <v>59</v>
      </c>
    </row>
    <row r="172" spans="1:85" ht="24.95" customHeight="1" x14ac:dyDescent="0.2">
      <c r="A172" s="126" t="s">
        <v>45</v>
      </c>
      <c r="B172" s="1" t="s">
        <v>123</v>
      </c>
      <c r="C172" s="2">
        <v>2</v>
      </c>
      <c r="D172" s="12">
        <v>53</v>
      </c>
      <c r="E172" s="12">
        <v>10</v>
      </c>
      <c r="F172" s="66">
        <v>0.36</v>
      </c>
      <c r="G172" s="66">
        <v>0.27</v>
      </c>
      <c r="H172" s="66">
        <v>0.27</v>
      </c>
      <c r="I172" s="66">
        <v>0.09</v>
      </c>
      <c r="J172" s="66">
        <v>0</v>
      </c>
      <c r="K172" s="12">
        <v>48</v>
      </c>
      <c r="L172" s="12">
        <v>9</v>
      </c>
      <c r="M172" s="61">
        <v>0.56000000000000005</v>
      </c>
      <c r="N172" s="61">
        <v>0.28000000000000003</v>
      </c>
      <c r="O172" s="61">
        <v>0.16</v>
      </c>
      <c r="P172" s="61">
        <v>0</v>
      </c>
      <c r="Q172" s="61">
        <v>0</v>
      </c>
      <c r="R172" s="12">
        <v>51</v>
      </c>
      <c r="S172" s="12">
        <v>10</v>
      </c>
      <c r="T172" s="63">
        <v>0.36</v>
      </c>
      <c r="U172" s="63">
        <v>0.39</v>
      </c>
      <c r="V172" s="63">
        <v>0.19</v>
      </c>
      <c r="W172" s="63">
        <v>0.06</v>
      </c>
      <c r="X172" s="63">
        <v>0</v>
      </c>
      <c r="Y172" s="12">
        <v>47</v>
      </c>
      <c r="Z172" s="12">
        <v>10</v>
      </c>
      <c r="AA172" s="63">
        <v>0.44</v>
      </c>
      <c r="AB172" s="63">
        <v>0.39</v>
      </c>
      <c r="AC172" s="63">
        <v>0.17</v>
      </c>
      <c r="AD172" s="63">
        <v>0</v>
      </c>
      <c r="AE172" s="63">
        <v>0</v>
      </c>
      <c r="AF172" s="25">
        <v>44</v>
      </c>
      <c r="AG172" s="25">
        <v>4</v>
      </c>
      <c r="AH172" s="61">
        <v>0.76</v>
      </c>
      <c r="AI172" s="61">
        <v>0.24</v>
      </c>
      <c r="AJ172" s="61">
        <v>0</v>
      </c>
      <c r="AK172" s="61">
        <v>0</v>
      </c>
      <c r="AL172" s="61">
        <v>0</v>
      </c>
      <c r="AM172" s="246">
        <v>49</v>
      </c>
      <c r="AN172" s="246" t="s">
        <v>758</v>
      </c>
      <c r="AO172" s="246">
        <v>10</v>
      </c>
      <c r="AP172" s="246" t="s">
        <v>758</v>
      </c>
      <c r="AQ172" s="263">
        <v>0.46</v>
      </c>
      <c r="AR172" s="263">
        <v>0.37</v>
      </c>
      <c r="AS172" s="263">
        <v>0.14000000000000001</v>
      </c>
      <c r="AT172" s="263">
        <v>0.03</v>
      </c>
      <c r="AU172" s="263">
        <v>0</v>
      </c>
      <c r="AV172" s="309">
        <v>52</v>
      </c>
      <c r="AW172" s="309" t="s">
        <v>758</v>
      </c>
      <c r="AX172" s="309">
        <v>10</v>
      </c>
      <c r="AY172" s="309" t="s">
        <v>758</v>
      </c>
      <c r="AZ172" s="327">
        <v>0.38</v>
      </c>
      <c r="BA172" s="327">
        <v>0.27</v>
      </c>
      <c r="BB172" s="327">
        <v>0.3</v>
      </c>
      <c r="BC172" s="327">
        <v>0.05</v>
      </c>
      <c r="BD172" s="327">
        <v>0</v>
      </c>
      <c r="BE172" s="424">
        <v>55</v>
      </c>
      <c r="BF172" s="424" t="s">
        <v>758</v>
      </c>
      <c r="BG172" s="424">
        <v>10</v>
      </c>
      <c r="BH172" s="424" t="s">
        <v>758</v>
      </c>
      <c r="BI172" s="428">
        <v>0.23</v>
      </c>
      <c r="BJ172" s="428">
        <v>0.41</v>
      </c>
      <c r="BK172" s="428">
        <v>0.27</v>
      </c>
      <c r="BL172" s="428">
        <v>7.0000000000000007E-2</v>
      </c>
      <c r="BM172" s="428">
        <v>0.02</v>
      </c>
      <c r="BN172" s="464">
        <v>53</v>
      </c>
      <c r="BO172" s="464" t="s">
        <v>758</v>
      </c>
      <c r="BP172" s="464">
        <v>11</v>
      </c>
      <c r="BQ172" s="464" t="s">
        <v>758</v>
      </c>
      <c r="BR172" s="476">
        <v>0.33</v>
      </c>
      <c r="BS172" s="476">
        <v>0.33</v>
      </c>
      <c r="BT172" s="476">
        <v>0.22</v>
      </c>
      <c r="BU172" s="476">
        <v>0.11</v>
      </c>
      <c r="BV172" s="476">
        <v>0</v>
      </c>
      <c r="BW172" s="933">
        <v>57</v>
      </c>
      <c r="BX172" s="933" t="s">
        <v>758</v>
      </c>
      <c r="BY172" s="933">
        <v>11</v>
      </c>
      <c r="BZ172" s="933" t="s">
        <v>758</v>
      </c>
      <c r="CA172" s="949">
        <v>0.25</v>
      </c>
      <c r="CB172" s="949">
        <v>0.28000000000000003</v>
      </c>
      <c r="CC172" s="949">
        <v>0.28000000000000003</v>
      </c>
      <c r="CD172" s="949">
        <v>0.18</v>
      </c>
      <c r="CE172" s="949">
        <v>0.02</v>
      </c>
      <c r="CF172" s="922">
        <v>325754003886</v>
      </c>
      <c r="CG172" s="126" t="s">
        <v>45</v>
      </c>
    </row>
    <row r="173" spans="1:85" ht="24.95" customHeight="1" x14ac:dyDescent="0.2">
      <c r="A173" s="126" t="s">
        <v>950</v>
      </c>
      <c r="B173" s="659" t="s">
        <v>123</v>
      </c>
      <c r="C173" s="44">
        <v>1</v>
      </c>
      <c r="D173" s="12"/>
      <c r="E173" s="12"/>
      <c r="F173" s="12"/>
      <c r="G173" s="12"/>
      <c r="H173" s="12"/>
      <c r="I173" s="12"/>
      <c r="J173" s="12"/>
      <c r="K173" s="12"/>
      <c r="L173" s="12"/>
      <c r="M173" s="61"/>
      <c r="N173" s="61"/>
      <c r="O173" s="61"/>
      <c r="P173" s="61"/>
      <c r="Q173" s="61"/>
      <c r="R173" s="12"/>
      <c r="S173" s="12"/>
      <c r="T173" s="2"/>
      <c r="U173" s="2"/>
      <c r="V173" s="2"/>
      <c r="W173" s="2"/>
      <c r="X173" s="2"/>
      <c r="Y173" s="12"/>
      <c r="Z173" s="12"/>
      <c r="AA173" s="2"/>
      <c r="AB173" s="2"/>
      <c r="AC173" s="2"/>
      <c r="AD173" s="2"/>
      <c r="AE173" s="2"/>
      <c r="AF173" s="25"/>
      <c r="AG173" s="25"/>
      <c r="AH173" s="61"/>
      <c r="AI173" s="61"/>
      <c r="AJ173" s="61"/>
      <c r="AK173" s="61"/>
      <c r="AL173" s="61"/>
      <c r="AM173" s="246"/>
      <c r="AN173" s="246"/>
      <c r="AO173" s="246"/>
      <c r="AP173" s="246"/>
      <c r="AQ173" s="263"/>
      <c r="AR173" s="263"/>
      <c r="AS173" s="263"/>
      <c r="AT173" s="263"/>
      <c r="AU173" s="263"/>
      <c r="AV173" s="309"/>
      <c r="AW173" s="309"/>
      <c r="AX173" s="309"/>
      <c r="AY173" s="309"/>
      <c r="AZ173" s="327"/>
      <c r="BA173" s="327"/>
      <c r="BB173" s="327"/>
      <c r="BC173" s="327"/>
      <c r="BD173" s="327"/>
      <c r="BE173" s="424"/>
      <c r="BF173" s="424"/>
      <c r="BG173" s="424"/>
      <c r="BH173" s="424"/>
      <c r="BI173" s="428"/>
      <c r="BJ173" s="428"/>
      <c r="BK173" s="428"/>
      <c r="BL173" s="428"/>
      <c r="BM173" s="428"/>
      <c r="BN173" s="464">
        <v>56</v>
      </c>
      <c r="BO173" s="464" t="s">
        <v>758</v>
      </c>
      <c r="BP173" s="464">
        <v>10</v>
      </c>
      <c r="BQ173" s="464" t="s">
        <v>758</v>
      </c>
      <c r="BR173" s="476">
        <v>0.19</v>
      </c>
      <c r="BS173" s="476">
        <v>0.43</v>
      </c>
      <c r="BT173" s="476">
        <v>0.28999999999999998</v>
      </c>
      <c r="BU173" s="476">
        <v>0.05</v>
      </c>
      <c r="BV173" s="476">
        <v>0.05</v>
      </c>
      <c r="BW173" s="933">
        <v>51</v>
      </c>
      <c r="BX173" s="933" t="s">
        <v>758</v>
      </c>
      <c r="BY173" s="933">
        <v>11</v>
      </c>
      <c r="BZ173" s="933" t="s">
        <v>758</v>
      </c>
      <c r="CA173" s="949">
        <v>0.47</v>
      </c>
      <c r="CB173" s="949">
        <v>0.25</v>
      </c>
      <c r="CC173" s="949">
        <v>0.22</v>
      </c>
      <c r="CD173" s="949">
        <v>0.06</v>
      </c>
      <c r="CE173" s="949">
        <v>0</v>
      </c>
      <c r="CF173" s="922">
        <v>325754800115</v>
      </c>
      <c r="CG173" s="126" t="s">
        <v>950</v>
      </c>
    </row>
    <row r="177" spans="5:43" ht="12.75" customHeight="1" x14ac:dyDescent="0.2">
      <c r="E177" s="1044" t="s">
        <v>154</v>
      </c>
      <c r="F177" s="1045"/>
      <c r="G177" s="1045"/>
      <c r="H177" s="1045"/>
      <c r="I177" s="1045"/>
      <c r="J177" s="1045"/>
      <c r="K177" s="1045"/>
      <c r="L177" s="1045"/>
      <c r="M177" s="1045"/>
      <c r="N177" s="1045"/>
      <c r="O177" s="1045"/>
      <c r="P177" s="1045"/>
      <c r="Q177" s="1045"/>
      <c r="R177" s="1045"/>
      <c r="S177" s="1045"/>
      <c r="T177" s="1045"/>
      <c r="U177" s="1045"/>
      <c r="V177" s="1045"/>
      <c r="W177" s="1045"/>
      <c r="X177" s="73"/>
      <c r="Y177" s="1232" t="s">
        <v>154</v>
      </c>
      <c r="Z177" s="1054"/>
      <c r="AA177" s="1054"/>
      <c r="AB177" s="1054"/>
      <c r="AC177" s="1054"/>
      <c r="AD177" s="1054"/>
      <c r="AE177" s="1054"/>
      <c r="AF177" s="1054"/>
      <c r="AG177" s="1054"/>
      <c r="AH177" s="1054"/>
    </row>
    <row r="178" spans="5:43" x14ac:dyDescent="0.2">
      <c r="E178" s="1228"/>
      <c r="F178" s="1053">
        <v>2016</v>
      </c>
      <c r="G178" s="1054"/>
      <c r="H178" s="1053">
        <v>2017</v>
      </c>
      <c r="I178" s="1054"/>
      <c r="J178" s="1053">
        <v>2018</v>
      </c>
      <c r="K178" s="1054"/>
      <c r="L178" s="1046">
        <v>2019</v>
      </c>
      <c r="M178" s="1050"/>
      <c r="N178" s="1053">
        <v>2020</v>
      </c>
      <c r="O178" s="1054"/>
      <c r="P178" s="1053">
        <v>2021</v>
      </c>
      <c r="Q178" s="1054"/>
      <c r="R178" s="1053">
        <v>2022</v>
      </c>
      <c r="S178" s="1054"/>
      <c r="T178" s="1053">
        <v>2023</v>
      </c>
      <c r="U178" s="1054"/>
      <c r="V178" s="1053">
        <v>2024</v>
      </c>
      <c r="W178" s="1054"/>
      <c r="X178" s="73"/>
      <c r="Y178" s="28"/>
      <c r="Z178" s="28">
        <v>2016</v>
      </c>
      <c r="AA178" s="29">
        <v>2017</v>
      </c>
      <c r="AB178" s="28">
        <v>2018</v>
      </c>
      <c r="AC178" s="28">
        <v>2019</v>
      </c>
      <c r="AD178" s="28">
        <v>2020</v>
      </c>
      <c r="AE178" s="28">
        <v>2021</v>
      </c>
      <c r="AF178" s="28">
        <v>2022</v>
      </c>
      <c r="AG178" s="28">
        <v>2023</v>
      </c>
      <c r="AH178" s="28">
        <v>2024</v>
      </c>
    </row>
    <row r="179" spans="5:43" x14ac:dyDescent="0.2">
      <c r="E179" s="1197"/>
      <c r="F179" s="7" t="s">
        <v>120</v>
      </c>
      <c r="G179" s="7" t="s">
        <v>147</v>
      </c>
      <c r="H179" s="7" t="s">
        <v>120</v>
      </c>
      <c r="I179" s="7" t="s">
        <v>147</v>
      </c>
      <c r="J179" s="7" t="s">
        <v>120</v>
      </c>
      <c r="K179" s="7" t="s">
        <v>147</v>
      </c>
      <c r="L179" s="7" t="s">
        <v>120</v>
      </c>
      <c r="M179" s="7" t="s">
        <v>147</v>
      </c>
      <c r="N179" s="7" t="s">
        <v>120</v>
      </c>
      <c r="O179" s="7" t="s">
        <v>147</v>
      </c>
      <c r="P179" s="7" t="s">
        <v>120</v>
      </c>
      <c r="Q179" s="7" t="s">
        <v>147</v>
      </c>
      <c r="R179" s="7" t="s">
        <v>120</v>
      </c>
      <c r="S179" s="7" t="s">
        <v>147</v>
      </c>
      <c r="T179" s="7" t="s">
        <v>120</v>
      </c>
      <c r="U179" s="7" t="s">
        <v>147</v>
      </c>
      <c r="V179" s="7" t="s">
        <v>120</v>
      </c>
      <c r="W179" s="7" t="s">
        <v>147</v>
      </c>
      <c r="X179" s="73"/>
      <c r="Y179" s="27" t="s">
        <v>140</v>
      </c>
      <c r="Z179" s="27">
        <v>52.647058823529413</v>
      </c>
      <c r="AA179" s="27">
        <v>50.4375</v>
      </c>
      <c r="AB179" s="27">
        <v>52.117647058823529</v>
      </c>
      <c r="AC179" s="27">
        <v>50.058823529411768</v>
      </c>
      <c r="AD179" s="27">
        <v>48.058823529411768</v>
      </c>
      <c r="AE179" s="27">
        <v>52</v>
      </c>
      <c r="AF179" s="27">
        <v>52</v>
      </c>
      <c r="AG179" s="27">
        <v>53.058823529411768</v>
      </c>
      <c r="AH179" s="27">
        <v>54</v>
      </c>
    </row>
    <row r="180" spans="5:43" x14ac:dyDescent="0.2">
      <c r="E180" s="5" t="s">
        <v>0</v>
      </c>
      <c r="F180" s="23">
        <v>54</v>
      </c>
      <c r="G180" s="23">
        <v>8</v>
      </c>
      <c r="H180" s="23">
        <v>53</v>
      </c>
      <c r="I180" s="23">
        <v>8</v>
      </c>
      <c r="J180" s="23">
        <v>51</v>
      </c>
      <c r="K180" s="23">
        <v>9</v>
      </c>
      <c r="L180" s="23">
        <v>50</v>
      </c>
      <c r="M180" s="23">
        <v>9</v>
      </c>
      <c r="N180" s="23">
        <v>48</v>
      </c>
      <c r="O180" s="70">
        <v>9</v>
      </c>
      <c r="P180" s="23">
        <v>52</v>
      </c>
      <c r="Q180" s="70">
        <v>9</v>
      </c>
      <c r="R180" s="23">
        <v>52</v>
      </c>
      <c r="S180" s="70">
        <v>9</v>
      </c>
      <c r="T180" s="23">
        <v>52</v>
      </c>
      <c r="U180" s="70">
        <v>9</v>
      </c>
      <c r="V180" s="23">
        <v>54</v>
      </c>
      <c r="W180" s="70">
        <v>11</v>
      </c>
      <c r="X180" s="73"/>
      <c r="Y180" s="27" t="s">
        <v>141</v>
      </c>
      <c r="Z180" s="27">
        <v>54.7</v>
      </c>
      <c r="AA180" s="27">
        <v>52.315789473684212</v>
      </c>
      <c r="AB180" s="27">
        <v>54</v>
      </c>
      <c r="AC180" s="27">
        <v>53.45</v>
      </c>
      <c r="AD180" s="27">
        <v>48.583333333333336</v>
      </c>
      <c r="AE180" s="27">
        <v>53.227272727272727</v>
      </c>
      <c r="AF180" s="27">
        <v>54.96</v>
      </c>
      <c r="AG180" s="27">
        <v>54.42307692307692</v>
      </c>
      <c r="AH180" s="27">
        <v>56.041666666666664</v>
      </c>
    </row>
    <row r="181" spans="5:43" x14ac:dyDescent="0.2">
      <c r="E181" s="27" t="s">
        <v>140</v>
      </c>
      <c r="F181" s="27">
        <f>AVERAGEIF($C$36:$C$173,"=1",D36:D173)</f>
        <v>52.647058823529413</v>
      </c>
      <c r="G181" s="27">
        <f>AVERAGEIF($C$36:$C$173,"=1",E36:E173)</f>
        <v>8.235294117647058</v>
      </c>
      <c r="H181" s="27">
        <f>AVERAGEIF($C$36:$C$173,"=1",K36:K173)</f>
        <v>50.4375</v>
      </c>
      <c r="I181" s="27">
        <f>AVERAGEIF($C$36:$C$173,"=1",L36:L173)</f>
        <v>8.6875</v>
      </c>
      <c r="J181" s="27">
        <f>AVERAGEIF($C$36:$C$173,"=1",R36:R173)</f>
        <v>52.117647058823529</v>
      </c>
      <c r="K181" s="27">
        <f>AVERAGEIF($C$36:$C$173,"=1",S36:S173)</f>
        <v>8.1764705882352935</v>
      </c>
      <c r="L181" s="27">
        <f>AVERAGEIF($C$36:$C$173,"=1",Y36:Y173)</f>
        <v>50.058823529411768</v>
      </c>
      <c r="M181" s="27">
        <f>AVERAGEIF($C$36:$C$173,"=1",Z36:Z173)</f>
        <v>8.9411764705882355</v>
      </c>
      <c r="N181" s="27">
        <f>AVERAGEIF($C$36:$C$173,"=1",$AF$36:$AF$173)</f>
        <v>48.058823529411768</v>
      </c>
      <c r="O181" s="27">
        <f>AVERAGEIF($C$36:$C$173,"=1",$AG$36:$AG$173)</f>
        <v>8.882352941176471</v>
      </c>
      <c r="P181" s="27">
        <f>AVERAGEIF($C$36:$C$173,"=1",$AM$36:$AM$173)</f>
        <v>52</v>
      </c>
      <c r="Q181" s="27">
        <f>AVERAGEIF($C$36:$C$173,"=1",$AO$36:$AO$173)</f>
        <v>9.4705882352941178</v>
      </c>
      <c r="R181" s="27">
        <f>AVERAGEIF($C$36:$C$173,"=1",$AV$36:$AV$173)</f>
        <v>52</v>
      </c>
      <c r="S181" s="27">
        <f>AVERAGEIF($C$36:$C$173,"=1",$AX$36:$AX$173)</f>
        <v>10.055555555555555</v>
      </c>
      <c r="T181" s="27">
        <f>AVERAGEIF($C$36:$C$173,"=1",$BE$36:$BE$173)</f>
        <v>53.058823529411768</v>
      </c>
      <c r="U181" s="27">
        <f>AVERAGEIF($C$36:$C$173,"=1",$BG$36:$BG$173)</f>
        <v>9.4705882352941178</v>
      </c>
      <c r="V181" s="27">
        <v>54</v>
      </c>
      <c r="W181" s="27">
        <v>9.2222222222222214</v>
      </c>
      <c r="X181" s="73"/>
      <c r="Y181" s="27" t="s">
        <v>142</v>
      </c>
      <c r="Z181" s="27">
        <v>54.5</v>
      </c>
      <c r="AA181" s="27">
        <v>51.117647058823529</v>
      </c>
      <c r="AB181" s="27">
        <v>52.882352941176471</v>
      </c>
      <c r="AC181" s="27">
        <v>51.764705882352942</v>
      </c>
      <c r="AD181" s="27">
        <v>49.10526315789474</v>
      </c>
      <c r="AE181" s="27">
        <v>52.25</v>
      </c>
      <c r="AF181" s="27">
        <v>54.363636363636367</v>
      </c>
      <c r="AG181" s="27">
        <v>54.409090909090907</v>
      </c>
      <c r="AH181" s="27">
        <v>55.227272727272727</v>
      </c>
    </row>
    <row r="182" spans="5:43" x14ac:dyDescent="0.2">
      <c r="E182" s="27" t="s">
        <v>141</v>
      </c>
      <c r="F182" s="27">
        <f>AVERAGEIF($C$36:$C$173,"=2",D36:D173)</f>
        <v>54.7</v>
      </c>
      <c r="G182" s="27">
        <f>AVERAGEIF($C$36:$C$173,"=2",E36:E173)</f>
        <v>9.25</v>
      </c>
      <c r="H182" s="27">
        <f>AVERAGEIF($C$36:$C$173,"=2",K36:K173)</f>
        <v>52.315789473684212</v>
      </c>
      <c r="I182" s="27">
        <f>AVERAGEIF($C$36:$C$173,"=2",L36:L173)</f>
        <v>8.6842105263157894</v>
      </c>
      <c r="J182" s="27">
        <f>AVERAGEIF($C$36:$C$173,"=2",R36:R173)</f>
        <v>54</v>
      </c>
      <c r="K182" s="27">
        <f>AVERAGEIF($C$36:$C$173,"=2",S36:S173)</f>
        <v>8.6315789473684212</v>
      </c>
      <c r="L182" s="27">
        <f>AVERAGEIF($C$36:$C$173,"=2",Y36:Y173)</f>
        <v>53.45</v>
      </c>
      <c r="M182" s="27">
        <f>AVERAGEIF($C$36:$C$173,"=2",Z36:Z173)</f>
        <v>9.6999999999999993</v>
      </c>
      <c r="N182" s="27">
        <f>AVERAGEIF($C$36:$C$173,"=2",$AF$36:$AF$173)</f>
        <v>48.583333333333336</v>
      </c>
      <c r="O182" s="27">
        <f>AVERAGEIF($C$36:$C$173,"=2",$AG$36:$AG$173)</f>
        <v>7.916666666666667</v>
      </c>
      <c r="P182" s="27">
        <f>AVERAGEIF($C$36:$C$173,"=2",$AM$36:$AM$173)</f>
        <v>53.227272727272727</v>
      </c>
      <c r="Q182" s="27">
        <f>AVERAGEIF($C$36:$C$173,"=2",$AO$36:$AO$173)</f>
        <v>9.0909090909090917</v>
      </c>
      <c r="R182" s="27">
        <f>AVERAGEIF($C$36:$C$173,"=2",$AV$36:$AV$173)</f>
        <v>54.96</v>
      </c>
      <c r="S182" s="27">
        <f>AVERAGEIF($C$36:$C$173,"=2",$AX$36:$AX$173)</f>
        <v>9.52</v>
      </c>
      <c r="T182" s="27">
        <f>AVERAGEIF($C$36:$C$173,"=2",$BE$36:$BE$173)</f>
        <v>54.42307692307692</v>
      </c>
      <c r="U182" s="27">
        <f>AVERAGEIF($C$36:$C$173,"=2",$BG$36:$BG$173)</f>
        <v>9.2692307692307701</v>
      </c>
      <c r="V182" s="27">
        <v>56.041666666666664</v>
      </c>
      <c r="W182" s="27">
        <v>9.875</v>
      </c>
      <c r="X182" s="73"/>
      <c r="Y182" s="27" t="s">
        <v>143</v>
      </c>
      <c r="Z182" s="27">
        <v>50.785714285714285</v>
      </c>
      <c r="AA182" s="27">
        <v>49.466666666666669</v>
      </c>
      <c r="AB182" s="27">
        <v>52.133333333333333</v>
      </c>
      <c r="AC182" s="27">
        <v>48.785714285714285</v>
      </c>
      <c r="AD182" s="27">
        <v>45.846153846153847</v>
      </c>
      <c r="AE182" s="27">
        <v>48.857142857142854</v>
      </c>
      <c r="AF182" s="27">
        <v>49.785714285714285</v>
      </c>
      <c r="AG182" s="27">
        <v>49.266666666666666</v>
      </c>
      <c r="AH182" s="27">
        <v>50.692307692307693</v>
      </c>
    </row>
    <row r="183" spans="5:43" x14ac:dyDescent="0.2">
      <c r="E183" s="27" t="s">
        <v>142</v>
      </c>
      <c r="F183" s="27">
        <f>AVERAGEIF($C$36:$C$173,"=3",D36:D173)</f>
        <v>54.222222222222221</v>
      </c>
      <c r="G183" s="27">
        <f>AVERAGEIF($C$36:$C$173,"=3",E36:E173)</f>
        <v>8.9444444444444446</v>
      </c>
      <c r="H183" s="27">
        <f>AVERAGEIF($C$36:$C$173,"=3",K36:K173)</f>
        <v>51.157894736842103</v>
      </c>
      <c r="I183" s="27">
        <f>AVERAGEIF($C$36:$C$173,"=3",L36:L173)</f>
        <v>9.0526315789473681</v>
      </c>
      <c r="J183" s="27">
        <f>AVERAGEIF($C$36:$C$173,"=3",R36:R173)</f>
        <v>52.842105263157897</v>
      </c>
      <c r="K183" s="27">
        <f>AVERAGEIF($C$36:$C$173,"=3",S36:S173)</f>
        <v>8.7368421052631575</v>
      </c>
      <c r="L183" s="27">
        <f>AVERAGEIF($C$36:$C$173,"=3",Y36:Y173)</f>
        <v>51.578947368421055</v>
      </c>
      <c r="M183" s="27">
        <f>AVERAGEIF($C$36:$C$173,"=3",Z36:Z173)</f>
        <v>9.473684210526315</v>
      </c>
      <c r="N183" s="27">
        <f>AVERAGEIF($C$36:$C$173,"=3",$AF$36:$AF$173)</f>
        <v>49.05</v>
      </c>
      <c r="O183" s="27">
        <f>AVERAGEIF($C$36:$C$173,"=3",$AG$36:$AG$173)</f>
        <v>8.5</v>
      </c>
      <c r="P183" s="27">
        <f>AVERAGEIF($C$36:$C$173,"=3",$AM$36:$AM$173)</f>
        <v>52.25</v>
      </c>
      <c r="Q183" s="27">
        <f>AVERAGEIF($C$36:$C$173,"=3",$AO$36:$AO$173)</f>
        <v>10.1</v>
      </c>
      <c r="R183" s="27">
        <f>AVERAGEIF($C$36:$C$173,"=3",$AV$36:$AV$173)</f>
        <v>54.363636363636367</v>
      </c>
      <c r="S183" s="27">
        <f>AVERAGEIF($C$36:$C$173,"=3",$AX$36:$AX$173)</f>
        <v>10.090909090909092</v>
      </c>
      <c r="T183" s="27">
        <f>AVERAGEIF($C$36:$C$173,"=3",$BE$36:$BE$173)</f>
        <v>54.409090909090907</v>
      </c>
      <c r="U183" s="27">
        <f>AVERAGEIF($C$36:$C$173,"=3",$BG$36:$BG$173)</f>
        <v>9.8636363636363633</v>
      </c>
      <c r="V183" s="27">
        <v>55.227272727272727</v>
      </c>
      <c r="W183" s="27">
        <v>10.045454545454545</v>
      </c>
      <c r="X183" s="73"/>
      <c r="Y183" s="27" t="s">
        <v>144</v>
      </c>
      <c r="Z183" s="27">
        <v>57</v>
      </c>
      <c r="AA183" s="27">
        <v>55.411764705882355</v>
      </c>
      <c r="AB183" s="27">
        <v>55.833333333333336</v>
      </c>
      <c r="AC183" s="27">
        <v>55.10526315789474</v>
      </c>
      <c r="AD183" s="27">
        <v>51.166666666666664</v>
      </c>
      <c r="AE183" s="27">
        <v>56.111111111111114</v>
      </c>
      <c r="AF183" s="27">
        <v>57.117647058823529</v>
      </c>
      <c r="AG183" s="27">
        <v>57.470588235294116</v>
      </c>
      <c r="AH183" s="27">
        <v>56.222222222222221</v>
      </c>
    </row>
    <row r="184" spans="5:43" x14ac:dyDescent="0.2">
      <c r="E184" s="27" t="s">
        <v>143</v>
      </c>
      <c r="F184" s="27">
        <f>AVERAGEIF($C$36:$C$173,"=4",D36:D173)</f>
        <v>50.785714285714285</v>
      </c>
      <c r="G184" s="27">
        <f>AVERAGEIF($C$36:$C$173,"=4",E36:E173)</f>
        <v>8.4285714285714288</v>
      </c>
      <c r="H184" s="27">
        <f>AVERAGEIF($C$36:$C$173,"=4",K36:K173)</f>
        <v>49.466666666666669</v>
      </c>
      <c r="I184" s="27">
        <f>AVERAGEIF($C$36:$C$173,"=4",L36:L173)</f>
        <v>7.4666666666666668</v>
      </c>
      <c r="J184" s="27">
        <f>AVERAGEIF($C$36:$C$173,"=4",R36:R173)</f>
        <v>52.133333333333333</v>
      </c>
      <c r="K184" s="27">
        <f>AVERAGEIF($C$36:$C$173,"=4",S36:S173)</f>
        <v>8.2666666666666675</v>
      </c>
      <c r="L184" s="27">
        <f>AVERAGEIF($C$36:$C$173,"=4",Y36:Y173)</f>
        <v>48.785714285714285</v>
      </c>
      <c r="M184" s="27">
        <f>AVERAGEIF($C$36:$C$173,"=4",Z36:Z173)</f>
        <v>8.7142857142857135</v>
      </c>
      <c r="N184" s="27">
        <f>AVERAGEIF($C$36:$C$173,"=4",$AF$36:$AF$173)</f>
        <v>45.846153846153847</v>
      </c>
      <c r="O184" s="27">
        <f>AVERAGEIF($C$36:$C$173,"=4",$AG$36:$AG$173)</f>
        <v>8.0769230769230766</v>
      </c>
      <c r="P184" s="27">
        <f>AVERAGEIF($C$36:$C$173,"=4",$AM$36:$AM$173)</f>
        <v>48.857142857142854</v>
      </c>
      <c r="Q184" s="27">
        <f>AVERAGEIF($C$36:$C$173,"=4",$AO$36:$AO$173)</f>
        <v>8.7142857142857135</v>
      </c>
      <c r="R184" s="27">
        <f>AVERAGEIF($C$36:$C$173,"=4",$AV$36:$AV$173)</f>
        <v>49.785714285714285</v>
      </c>
      <c r="S184" s="27">
        <f>AVERAGEIF($C$36:$C$173,"=4",$AX$36:$AX$173)</f>
        <v>9.3571428571428577</v>
      </c>
      <c r="T184" s="27">
        <f>AVERAGEIF($C$36:$C$173,"=4",$BE$36:$BE$173)</f>
        <v>49.266666666666666</v>
      </c>
      <c r="U184" s="27">
        <f>AVERAGEIF($C$36:$C$173,"=4",$BG$36:$BG$173)</f>
        <v>8.9333333333333336</v>
      </c>
      <c r="V184" s="27">
        <v>50.692307692307693</v>
      </c>
      <c r="W184" s="27">
        <v>9.3076923076923084</v>
      </c>
      <c r="X184" s="73"/>
      <c r="Y184" s="27" t="s">
        <v>145</v>
      </c>
      <c r="Z184" s="27">
        <v>54.2</v>
      </c>
      <c r="AA184" s="27">
        <v>50.93333333333333</v>
      </c>
      <c r="AB184" s="27">
        <v>52.357142857142854</v>
      </c>
      <c r="AC184" s="27">
        <v>51.733333333333334</v>
      </c>
      <c r="AD184" s="27">
        <v>47.588235294117645</v>
      </c>
      <c r="AE184" s="27">
        <v>53.117647058823529</v>
      </c>
      <c r="AF184" s="27">
        <v>53.842105263157897</v>
      </c>
      <c r="AG184" s="27">
        <v>53.8</v>
      </c>
      <c r="AH184" s="27">
        <v>54.833333333333336</v>
      </c>
    </row>
    <row r="185" spans="5:43" x14ac:dyDescent="0.2">
      <c r="E185" s="27" t="s">
        <v>144</v>
      </c>
      <c r="F185" s="27">
        <f>AVERAGEIF($C$36:$C$173,"=5",D36:D173)</f>
        <v>57</v>
      </c>
      <c r="G185" s="27">
        <f>AVERAGEIF($C$36:$C$173,"=5",E36:E173)</f>
        <v>9.1764705882352935</v>
      </c>
      <c r="H185" s="27">
        <f>AVERAGEIF($C$36:$C$173,"=5",K36:K173)</f>
        <v>55.411764705882355</v>
      </c>
      <c r="I185" s="27">
        <f>AVERAGEIF($C$36:$C$173,"=5",L36:L173)</f>
        <v>8.764705882352942</v>
      </c>
      <c r="J185" s="27">
        <f>AVERAGEIF($C$36:$C$173,"=5",R36:R173)</f>
        <v>55.833333333333336</v>
      </c>
      <c r="K185" s="27">
        <f>AVERAGEIF($C$36:$C$173,"=5",S36:S173)</f>
        <v>8.7222222222222214</v>
      </c>
      <c r="L185" s="27">
        <f>AVERAGEIF($C$36:$C$173,"=5",Y36:Y173)</f>
        <v>55.10526315789474</v>
      </c>
      <c r="M185" s="27">
        <f>AVERAGEIF($C$36:$C$173,"=5",Z36:Z173)</f>
        <v>9.1052631578947363</v>
      </c>
      <c r="N185" s="27">
        <f>AVERAGEIF($C$36:$C$173,"=5",$AF$36:$AF$173)</f>
        <v>51.166666666666664</v>
      </c>
      <c r="O185" s="27">
        <f>AVERAGEIF($C$36:$C$173,"=5",$AG$36:$AG$173)</f>
        <v>9.0555555555555554</v>
      </c>
      <c r="P185" s="27">
        <f>AVERAGEIF($C$36:$C$173,"=5",$AM$36:$AM$173)</f>
        <v>56.111111111111114</v>
      </c>
      <c r="Q185" s="27">
        <f>AVERAGEIF($C$36:$C$173,"=5",$AO$36:$AO$173)</f>
        <v>9.6111111111111107</v>
      </c>
      <c r="R185" s="27">
        <f>AVERAGEIF($C$36:$C$173,"=5",$AV$36:$AV$173)</f>
        <v>57.117647058823529</v>
      </c>
      <c r="S185" s="27">
        <f>AVERAGEIF($C$36:$C$173,"=5",$AX$36:$AX$173)</f>
        <v>9.4117647058823533</v>
      </c>
      <c r="T185" s="27">
        <f>AVERAGEIF($C$36:$C$173,"=5",$BE$36:$BE$173)</f>
        <v>57.470588235294116</v>
      </c>
      <c r="U185" s="27">
        <f>AVERAGEIF($C$36:$C$173,"=5",$BG$36:$BG$173)</f>
        <v>9.7058823529411757</v>
      </c>
      <c r="V185" s="27">
        <v>56.222222222222221</v>
      </c>
      <c r="W185" s="27">
        <v>9.7777777777777786</v>
      </c>
      <c r="X185" s="73"/>
      <c r="Y185" s="73"/>
      <c r="Z185" s="73"/>
      <c r="AA185" s="73"/>
      <c r="AB185" s="73"/>
      <c r="AC185" s="73"/>
      <c r="AD185" s="73"/>
      <c r="AE185" s="73"/>
      <c r="AF185" s="73"/>
      <c r="AG185" s="73"/>
    </row>
    <row r="186" spans="5:43" x14ac:dyDescent="0.2">
      <c r="E186" s="27" t="s">
        <v>145</v>
      </c>
      <c r="F186" s="27">
        <f>AVERAGEIF($C$36:$C$173,"=6",D36:D173)</f>
        <v>54.2</v>
      </c>
      <c r="G186" s="27">
        <f>AVERAGEIF($C$36:$C$173,"=6",E36:E173)</f>
        <v>8.3333333333333339</v>
      </c>
      <c r="H186" s="27">
        <f>AVERAGEIF($C$36:$C$173,"=6",K36:K173)</f>
        <v>50.93333333333333</v>
      </c>
      <c r="I186" s="27">
        <f>AVERAGEIF($C$36:$C$173,"=6",L36:L173)</f>
        <v>9.3333333333333339</v>
      </c>
      <c r="J186" s="27">
        <f>AVERAGEIF($C$36:$C$173,"=6",R36:R173)</f>
        <v>52.357142857142854</v>
      </c>
      <c r="K186" s="27">
        <f>AVERAGEIF($C$36:$C$173,"=6",S36:S173)</f>
        <v>8.5714285714285712</v>
      </c>
      <c r="L186" s="27">
        <f>AVERAGEIF($C$36:$C$173,"=6",Y36:Y173)</f>
        <v>51.733333333333334</v>
      </c>
      <c r="M186" s="27">
        <f>AVERAGEIF($C$36:$C$173,"=6",Z36:Z173)</f>
        <v>9.1999999999999993</v>
      </c>
      <c r="N186" s="27">
        <f>AVERAGEIF($C$36:$C$173,"=6",$AF$36:$AF$173)</f>
        <v>47.588235294117645</v>
      </c>
      <c r="O186" s="27">
        <f>AVERAGEIF($C$36:$C$173,"=6",$AG$36:$AG$173)</f>
        <v>9.0588235294117645</v>
      </c>
      <c r="P186" s="27">
        <f>AVERAGEIF($C$36:$C$173,"=6",$AM$36:$AM$173)</f>
        <v>53.117647058823529</v>
      </c>
      <c r="Q186" s="27">
        <f>AVERAGEIF($C$36:$C$173,"=6",$AO$36:$AO$173)</f>
        <v>9.4117647058823533</v>
      </c>
      <c r="R186" s="27">
        <f>AVERAGEIF($C$36:$C$173,"=6",$AV$36:$AV$173)</f>
        <v>53.842105263157897</v>
      </c>
      <c r="S186" s="27">
        <f>AVERAGEIF($C$36:$C$173,"=6",$AX$36:$AX$173)</f>
        <v>9.8947368421052637</v>
      </c>
      <c r="T186" s="27">
        <f>AVERAGEIF($C$36:$C$173,"=6",$BE$36:$BE$173)</f>
        <v>53.8</v>
      </c>
      <c r="U186" s="27">
        <f>AVERAGEIF($C$36:$C$173,"=6",$BG$36:$BG$173)</f>
        <v>9.25</v>
      </c>
      <c r="V186" s="27">
        <v>54.833333333333336</v>
      </c>
      <c r="W186" s="27">
        <v>10.166666666666666</v>
      </c>
      <c r="X186" s="73"/>
      <c r="Y186" s="73"/>
      <c r="Z186" s="73"/>
      <c r="AA186" s="73"/>
      <c r="AB186" s="73"/>
      <c r="AC186" s="73"/>
      <c r="AD186" s="73"/>
      <c r="AE186" s="73"/>
      <c r="AF186" s="73"/>
      <c r="AG186" s="73"/>
    </row>
    <row r="187" spans="5:43" x14ac:dyDescent="0.2">
      <c r="L187" t="s">
        <v>152</v>
      </c>
    </row>
    <row r="189" spans="5:43" x14ac:dyDescent="0.2">
      <c r="E189" s="28"/>
      <c r="F189" s="1064">
        <v>2016</v>
      </c>
      <c r="G189" s="1065"/>
      <c r="H189" s="1065"/>
      <c r="I189" s="1191"/>
      <c r="J189" s="1064">
        <v>2017</v>
      </c>
      <c r="K189" s="1065"/>
      <c r="L189" s="1065"/>
      <c r="M189" s="1065"/>
      <c r="N189" s="1050">
        <v>2018</v>
      </c>
      <c r="O189" s="1050"/>
      <c r="P189" s="1050"/>
      <c r="Q189" s="1050"/>
      <c r="R189" s="1050">
        <v>2019</v>
      </c>
      <c r="S189" s="1050"/>
      <c r="T189" s="1050"/>
      <c r="U189" s="1050"/>
      <c r="V189" s="1050">
        <v>2020</v>
      </c>
      <c r="W189" s="1050"/>
      <c r="X189" s="1050"/>
      <c r="Y189" s="1050"/>
      <c r="Z189" s="1050">
        <v>2021</v>
      </c>
      <c r="AA189" s="1050"/>
      <c r="AB189" s="1050"/>
      <c r="AC189" s="1050"/>
      <c r="AD189" s="1050">
        <v>2022</v>
      </c>
      <c r="AE189" s="1050"/>
      <c r="AF189" s="1050"/>
      <c r="AG189" s="1050"/>
      <c r="AH189" s="1050">
        <v>2023</v>
      </c>
      <c r="AI189" s="1050"/>
      <c r="AJ189" s="1050"/>
      <c r="AK189" s="1050"/>
      <c r="AL189" s="1050">
        <v>2024</v>
      </c>
      <c r="AM189" s="1050"/>
      <c r="AN189" s="1050"/>
      <c r="AO189" s="1050"/>
      <c r="AP189" s="73"/>
      <c r="AQ189" s="73"/>
    </row>
    <row r="190" spans="5:43" x14ac:dyDescent="0.2">
      <c r="E190" s="28"/>
      <c r="F190" s="1046" t="s">
        <v>148</v>
      </c>
      <c r="G190" s="1047"/>
      <c r="H190" s="1046" t="s">
        <v>149</v>
      </c>
      <c r="I190" s="1047"/>
      <c r="J190" s="1046" t="s">
        <v>148</v>
      </c>
      <c r="K190" s="1047"/>
      <c r="L190" s="1046" t="s">
        <v>149</v>
      </c>
      <c r="M190" s="1047"/>
      <c r="N190" s="1046" t="s">
        <v>148</v>
      </c>
      <c r="O190" s="1047"/>
      <c r="P190" s="1046" t="s">
        <v>149</v>
      </c>
      <c r="Q190" s="1047"/>
      <c r="R190" s="1046" t="s">
        <v>148</v>
      </c>
      <c r="S190" s="1047"/>
      <c r="T190" s="1046" t="s">
        <v>149</v>
      </c>
      <c r="U190" s="1047"/>
      <c r="V190" s="1046" t="s">
        <v>148</v>
      </c>
      <c r="W190" s="1047"/>
      <c r="X190" s="1046" t="s">
        <v>149</v>
      </c>
      <c r="Y190" s="1050"/>
      <c r="Z190" s="1046" t="s">
        <v>148</v>
      </c>
      <c r="AA190" s="1047"/>
      <c r="AB190" s="1046" t="s">
        <v>149</v>
      </c>
      <c r="AC190" s="1050"/>
      <c r="AD190" s="1046" t="s">
        <v>148</v>
      </c>
      <c r="AE190" s="1047"/>
      <c r="AF190" s="1046" t="s">
        <v>149</v>
      </c>
      <c r="AG190" s="1050"/>
      <c r="AH190" s="1046" t="s">
        <v>148</v>
      </c>
      <c r="AI190" s="1047"/>
      <c r="AJ190" s="1046" t="s">
        <v>149</v>
      </c>
      <c r="AK190" s="1050"/>
      <c r="AL190" s="1046" t="s">
        <v>148</v>
      </c>
      <c r="AM190" s="1047"/>
      <c r="AN190" s="1046" t="s">
        <v>149</v>
      </c>
      <c r="AO190" s="1050"/>
    </row>
    <row r="191" spans="5:43" x14ac:dyDescent="0.2">
      <c r="E191" s="28"/>
      <c r="F191" s="7" t="s">
        <v>120</v>
      </c>
      <c r="G191" s="7" t="s">
        <v>147</v>
      </c>
      <c r="H191" s="7" t="s">
        <v>120</v>
      </c>
      <c r="I191" s="7" t="s">
        <v>147</v>
      </c>
      <c r="J191" s="7" t="s">
        <v>120</v>
      </c>
      <c r="K191" s="7" t="s">
        <v>147</v>
      </c>
      <c r="L191" s="7" t="s">
        <v>120</v>
      </c>
      <c r="M191" s="7" t="s">
        <v>147</v>
      </c>
      <c r="N191" s="7" t="s">
        <v>120</v>
      </c>
      <c r="O191" s="7" t="s">
        <v>147</v>
      </c>
      <c r="P191" s="7" t="s">
        <v>120</v>
      </c>
      <c r="Q191" s="7" t="s">
        <v>147</v>
      </c>
      <c r="R191" s="7" t="s">
        <v>120</v>
      </c>
      <c r="S191" s="7" t="s">
        <v>147</v>
      </c>
      <c r="T191" s="7" t="s">
        <v>120</v>
      </c>
      <c r="U191" s="7" t="s">
        <v>147</v>
      </c>
      <c r="V191" s="7" t="s">
        <v>120</v>
      </c>
      <c r="W191" s="7" t="s">
        <v>147</v>
      </c>
      <c r="X191" s="7" t="s">
        <v>120</v>
      </c>
      <c r="Y191" s="34" t="s">
        <v>147</v>
      </c>
      <c r="Z191" s="7" t="s">
        <v>120</v>
      </c>
      <c r="AA191" s="7" t="s">
        <v>147</v>
      </c>
      <c r="AB191" s="7" t="s">
        <v>120</v>
      </c>
      <c r="AC191" s="34" t="s">
        <v>147</v>
      </c>
      <c r="AD191" s="7" t="s">
        <v>120</v>
      </c>
      <c r="AE191" s="7" t="s">
        <v>147</v>
      </c>
      <c r="AF191" s="7" t="s">
        <v>120</v>
      </c>
      <c r="AG191" s="34" t="s">
        <v>147</v>
      </c>
      <c r="AH191" s="7" t="s">
        <v>120</v>
      </c>
      <c r="AI191" s="7" t="s">
        <v>147</v>
      </c>
      <c r="AJ191" s="7" t="s">
        <v>120</v>
      </c>
      <c r="AK191" s="34" t="s">
        <v>147</v>
      </c>
      <c r="AL191" s="7" t="s">
        <v>120</v>
      </c>
      <c r="AM191" s="7" t="s">
        <v>147</v>
      </c>
      <c r="AN191" s="7" t="s">
        <v>120</v>
      </c>
      <c r="AO191" s="34" t="s">
        <v>147</v>
      </c>
    </row>
    <row r="192" spans="5:43" x14ac:dyDescent="0.2">
      <c r="E192" s="5" t="s">
        <v>0</v>
      </c>
      <c r="F192" s="10">
        <v>53</v>
      </c>
      <c r="G192" s="10">
        <v>7</v>
      </c>
      <c r="H192" s="10">
        <v>55</v>
      </c>
      <c r="I192" s="10">
        <v>8</v>
      </c>
      <c r="J192" s="10">
        <v>51</v>
      </c>
      <c r="K192" s="10">
        <v>7</v>
      </c>
      <c r="L192" s="10">
        <v>54</v>
      </c>
      <c r="M192" s="10">
        <v>8</v>
      </c>
      <c r="N192" s="30">
        <v>50</v>
      </c>
      <c r="O192" s="30">
        <v>8</v>
      </c>
      <c r="P192" s="30">
        <v>53</v>
      </c>
      <c r="Q192" s="30">
        <v>9</v>
      </c>
      <c r="R192" s="30">
        <v>49</v>
      </c>
      <c r="S192" s="30">
        <v>9</v>
      </c>
      <c r="T192" s="30">
        <v>52</v>
      </c>
      <c r="U192" s="30">
        <v>9</v>
      </c>
      <c r="V192" s="10">
        <v>46</v>
      </c>
      <c r="W192" s="10">
        <v>9</v>
      </c>
      <c r="X192" s="10">
        <v>50</v>
      </c>
      <c r="Y192" s="10">
        <v>10</v>
      </c>
      <c r="Z192" s="10">
        <v>49</v>
      </c>
      <c r="AA192" s="10">
        <v>10</v>
      </c>
      <c r="AB192" s="10">
        <v>55</v>
      </c>
      <c r="AC192" s="10">
        <v>11</v>
      </c>
      <c r="AD192" s="10">
        <v>49</v>
      </c>
      <c r="AE192" s="10">
        <v>10</v>
      </c>
      <c r="AF192" s="10">
        <v>55</v>
      </c>
      <c r="AG192" s="10">
        <v>11</v>
      </c>
      <c r="AH192" s="10">
        <v>51</v>
      </c>
      <c r="AI192" s="10">
        <v>10</v>
      </c>
      <c r="AJ192" s="10">
        <v>56</v>
      </c>
      <c r="AK192" s="10">
        <v>11</v>
      </c>
      <c r="AL192" s="10">
        <v>52</v>
      </c>
      <c r="AM192" s="10">
        <v>10</v>
      </c>
      <c r="AN192" s="10">
        <v>57</v>
      </c>
      <c r="AO192" s="10">
        <v>11</v>
      </c>
    </row>
    <row r="193" spans="5:43" x14ac:dyDescent="0.2">
      <c r="E193" s="27" t="s">
        <v>140</v>
      </c>
      <c r="F193" s="27">
        <f>AVERAGEIFS(D36:D173,$C$36:$C$173,"=1", $B$36:$B$173,"OFICIAL")</f>
        <v>52.25</v>
      </c>
      <c r="G193" s="27">
        <f>AVERAGEIFS(E36:E173,$C$36:$C$173,"=1", $B$36:$B$173,"OFICIAL")</f>
        <v>8.5</v>
      </c>
      <c r="H193" s="27">
        <f>AVERAGEIFS(D36:D173,$C$36:$C$173,"=1", $B$36:$B$173,"NO OFICIAL")</f>
        <v>52.769230769230766</v>
      </c>
      <c r="I193" s="27">
        <f>AVERAGEIFS(E36:E173,$C$36:$C$173,"=1", $B$36:$B$173,"NO OFICIAL")</f>
        <v>8.1538461538461533</v>
      </c>
      <c r="J193" s="27">
        <f>AVERAGEIFS($K$36:$K$173,$C$36:$C$173,"=1", $B$36:$B$173,"OFICIAL")</f>
        <v>49.5</v>
      </c>
      <c r="K193" s="27">
        <f>AVERAGEIFS($L$36:$L$173,$C$36:$C$173,"=1", $B$36:$B$173,"OFICIAL")</f>
        <v>8.25</v>
      </c>
      <c r="L193" s="27">
        <f>AVERAGEIFS($K$36:$K$173,$C$36:$C$173,"=1", $B$36:$B$173,"NO OFICIAL")</f>
        <v>50.75</v>
      </c>
      <c r="M193" s="27">
        <f>AVERAGEIFS($L$36:$L$173,$C$36:$C$173,"=1", $B$36:$B$173,"NO OFICIAL")</f>
        <v>8.8333333333333339</v>
      </c>
      <c r="N193" s="27">
        <f>AVERAGEIFS($R$36:$R$173,$C$36:$C$173,"=1", $B$36:$B$173,"OFICIAL")</f>
        <v>51.5</v>
      </c>
      <c r="O193" s="27">
        <f>AVERAGEIFS($S$36:$S$173,$C$36:$C$173,"=1", $B$36:$B$173,"OFICIAL")</f>
        <v>9</v>
      </c>
      <c r="P193" s="27">
        <f>AVERAGEIFS($R$36:$R$173,$C$36:$C$173,"=1", $B$36:$B$173,"NO OFICIAL")</f>
        <v>52.307692307692307</v>
      </c>
      <c r="Q193" s="27">
        <f>AVERAGEIFS($S$36:$S$173,$C$36:$C$173,"=1", $B$36:$B$173,"NO OFICIAL")</f>
        <v>7.9230769230769234</v>
      </c>
      <c r="R193" s="27">
        <f>AVERAGEIFS($Y$36:$Y$173,$C$36:$C$173,"=1", $B$36:$B$173,"OFICIAL")</f>
        <v>50.25</v>
      </c>
      <c r="S193" s="27">
        <f>AVERAGEIFS($Z$36:$Z$173,$C$36:$C$173,"=1", $B$36:$B$173,"OFICIAL")</f>
        <v>9.75</v>
      </c>
      <c r="T193" s="27">
        <f>AVERAGEIFS($Y$36:$Y$173,$C$36:$C$173,"=1", $B$36:$B$173,"NO OFICIAL")</f>
        <v>50</v>
      </c>
      <c r="U193" s="27">
        <f>AVERAGEIFS($Z$36:$Z$173,$C$36:$C$173,"=1", $B$36:$B$173,"NO OFICIAL")</f>
        <v>8.6923076923076916</v>
      </c>
      <c r="V193" s="27">
        <f>AVERAGEIFS($AF$36:$AF$173,$C$36:$C$173,"=1", $B$36:$B$173,"OFICIAL")</f>
        <v>46.5</v>
      </c>
      <c r="W193" s="27">
        <f>AVERAGEIFS($AG$36:$AG$173,$C$36:$C$173,"=1", $B$36:$B$173,"OFICIAL")</f>
        <v>8.75</v>
      </c>
      <c r="X193" s="27">
        <f>AVERAGEIFS($AF$36:$AF$173,$C$36:$C$173,"=1", $B$36:$B$173,"NO OFICIAL")</f>
        <v>48.53846153846154</v>
      </c>
      <c r="Y193" s="27">
        <f>AVERAGEIFS($AG$36:$AG$173,$C$36:$C$173,"=1", $B$36:$B$173,"NO OFICIAL")</f>
        <v>8.9230769230769234</v>
      </c>
      <c r="Z193" s="27">
        <f>AVERAGEIFS($AM$36:$AM$173,$C$36:$C$173,"=1", $B$36:$B$173,"OFICIAL")</f>
        <v>49.5</v>
      </c>
      <c r="AA193" s="27">
        <f>AVERAGEIFS($AO$36:$AO$173,$C$36:$C$173,"=1", $B$36:$B$173,"OFICIAL")</f>
        <v>9.75</v>
      </c>
      <c r="AB193" s="27">
        <f>AVERAGEIFS($AM$36:$AM$173,$C$36:$C$173,"=1", $B$36:$B$173,"NO OFICIAL")</f>
        <v>52.769230769230766</v>
      </c>
      <c r="AC193" s="27">
        <f>AVERAGEIFS($AO$36:$AO$173,$C$36:$C$173,"=1", $B$36:$B$173,"NO OFICIAL")</f>
        <v>9.384615384615385</v>
      </c>
      <c r="AD193" s="27">
        <f>AVERAGEIFS($AV$36:$AV$173,$C$36:$C$173,"=1", $B$36:$B$173,"OFICIAL")</f>
        <v>49.6</v>
      </c>
      <c r="AE193" s="27">
        <f>AVERAGEIFS($AX$36:$AX$173,$C$36:$C$173,"=1", $B$36:$B$173,"OFICIAL")</f>
        <v>9.6</v>
      </c>
      <c r="AF193" s="27">
        <f>AVERAGEIFS($AV$36:$AV$173,$C$36:$C$173,"=1", $B$36:$B$173,"NO OFICIAL")</f>
        <v>52.92307692307692</v>
      </c>
      <c r="AG193" s="27">
        <f>AVERAGEIFS($AX$36:$AX$173,$C$36:$C$173,"=1", $B$36:$B$173,"NO OFICIAL")</f>
        <v>10.23076923076923</v>
      </c>
      <c r="AH193" s="27">
        <f>AVERAGEIFS($BE$36:$BE$173,$C$36:$C$173,"=1", $B$36:$B$173,"OFICIAL")</f>
        <v>49.8</v>
      </c>
      <c r="AI193" s="27">
        <f>AVERAGEIFS($BG$36:$BG$173,$C$36:$C$173,"=1", $B$36:$B$173,"OFICIAL")</f>
        <v>9.4</v>
      </c>
      <c r="AJ193" s="27">
        <f>AVERAGEIFS($BE$36:$BE$173,$C$36:$C$173,"=1", $B$36:$B$173,"NO OFICIAL")</f>
        <v>54.416666666666664</v>
      </c>
      <c r="AK193" s="27">
        <f>AVERAGEIFS($BG$36:$BG$173,$C$36:$C$173,"=1", $B$36:$B$173,"NO OFICIAL")</f>
        <v>9.5</v>
      </c>
      <c r="AL193" s="27">
        <v>50.6</v>
      </c>
      <c r="AM193" s="27">
        <v>9.4</v>
      </c>
      <c r="AN193" s="27">
        <v>55.307692307692307</v>
      </c>
      <c r="AO193" s="27">
        <v>9.1538461538461533</v>
      </c>
    </row>
    <row r="194" spans="5:43" x14ac:dyDescent="0.2">
      <c r="E194" s="27" t="s">
        <v>141</v>
      </c>
      <c r="F194" s="27">
        <f>AVERAGEIFS(D36:D173,$C$36:$C$173,"=2", $B$36:$B$173,"OFICIAL")</f>
        <v>52</v>
      </c>
      <c r="G194" s="27">
        <f>AVERAGEIFS(E36:E173,$C$36:$C$173,"=2", $B$36:$B$173,"OFICIAL")</f>
        <v>8.5</v>
      </c>
      <c r="H194" s="27">
        <f>AVERAGEIFS(D36:D173,$C$36:$C$173,"=2", $B$36:$B$173,"NO OFICIAL")</f>
        <v>55</v>
      </c>
      <c r="I194" s="27">
        <f>AVERAGEIFS(E36:E173,$C$36:$C$173,"=2", $B$36:$B$173,"NO OFICIAL")</f>
        <v>9.3333333333333339</v>
      </c>
      <c r="J194" s="27">
        <f>AVERAGEIFS($K$36:$K$173,$C$36:$C$173,"=2", $B$36:$B$173,"OFICIAL")</f>
        <v>50.5</v>
      </c>
      <c r="K194" s="27">
        <f>AVERAGEIFS($L$36:$L$173,$C$36:$C$173,"=2", $B$36:$B$173,"OFICIAL")</f>
        <v>9</v>
      </c>
      <c r="L194" s="27">
        <f>AVERAGEIFS($K$36:$K$173,$C$36:$C$173,"=2", $B$36:$B$173,"NO OFICIAL")</f>
        <v>52.529411764705884</v>
      </c>
      <c r="M194" s="27">
        <f>AVERAGEIFS($L$36:$L$173,$C$36:$C$173,"=2", $B$36:$B$173,"NO OFICIAL")</f>
        <v>8.6470588235294112</v>
      </c>
      <c r="N194" s="27">
        <f>AVERAGEIFS($R$36:$R$173,$C$36:$C$173,"=2", $B$36:$B$173,"OFICIAL")</f>
        <v>51.5</v>
      </c>
      <c r="O194" s="27">
        <f>AVERAGEIFS($S$36:$S$173,$C$36:$C$173,"=2", $B$36:$B$173,"OFICIAL")</f>
        <v>9</v>
      </c>
      <c r="P194" s="27">
        <f>AVERAGEIFS($R$36:$R$173,$C$36:$C$173,"=2", $B$36:$B$173,"NO OFICIAL")</f>
        <v>54.294117647058826</v>
      </c>
      <c r="Q194" s="27">
        <f>AVERAGEIFS($S$36:$S$173,$C$36:$C$173,"=2", $B$36:$B$173,"NO OFICIAL")</f>
        <v>8.5882352941176467</v>
      </c>
      <c r="R194" s="27">
        <f>AVERAGEIFS($Y$36:$Y$173,$C$36:$C$173,"=2", $B$36:$B$173,"OFICIAL")</f>
        <v>51</v>
      </c>
      <c r="S194" s="27">
        <f>AVERAGEIFS($Z$36:$Z$173,$C$36:$C$173,"=2", $B$36:$B$173,"OFICIAL")</f>
        <v>9.5</v>
      </c>
      <c r="T194" s="27">
        <f>AVERAGEIFS($Y$36:$Y$173,$C$36:$C$173,"=2", $B$36:$B$173,"NO OFICIAL")</f>
        <v>53.722222222222221</v>
      </c>
      <c r="U194" s="27">
        <f>AVERAGEIFS($Z$36:$Z$173,$C$36:$C$173,"=2", $B$36:$B$173,"NO OFICIAL")</f>
        <v>9.7222222222222214</v>
      </c>
      <c r="V194" s="27">
        <f>AVERAGEIFS($AF$36:$AF$173,$C$36:$C$173,"=2", $B$36:$B$173,"OFICIAL")</f>
        <v>47</v>
      </c>
      <c r="W194" s="27">
        <f>AVERAGEIFS($AG$36:$AG$173,$C$36:$C$173,"=2", $B$36:$B$173,"OFICIAL")</f>
        <v>8.5</v>
      </c>
      <c r="X194" s="27">
        <f>AVERAGEIFS($AF$36:$AF$173,$C$36:$C$173,"=2", $B$36:$B$173,"NO OFICIAL")</f>
        <v>48.727272727272727</v>
      </c>
      <c r="Y194" s="27">
        <f>AVERAGEIFS($AG$36:$AG$173,$C$36:$C$173,"=2", $B$36:$B$173,"NO OFICIAL")</f>
        <v>7.8636363636363633</v>
      </c>
      <c r="Z194" s="27">
        <f>AVERAGEIFS($AM$36:$AM$173,$C$36:$C$173,"=2", $B$36:$B$173,"OFICIAL")</f>
        <v>50</v>
      </c>
      <c r="AA194" s="27">
        <f>AVERAGEIFS($AO$36:$AO$173,$C$36:$C$173,"=2", $B$36:$B$173,"OFICIAL")</f>
        <v>10</v>
      </c>
      <c r="AB194" s="27">
        <f>AVERAGEIFS($AM$36:$AM$173,$C$36:$C$173,"=2", $B$36:$B$173,"NO OFICIAL")</f>
        <v>53.55</v>
      </c>
      <c r="AC194" s="27">
        <f>AVERAGEIFS($AO$36:$AO$173,$C$36:$C$173,"=2", $B$36:$B$173,"NO OFICIAL")</f>
        <v>9</v>
      </c>
      <c r="AD194" s="27">
        <f>AVERAGEIFS($AV$36:$AV$173,$C$36:$C$173,"=2", $B$36:$B$173,"OFICIAL")</f>
        <v>50.5</v>
      </c>
      <c r="AE194" s="27">
        <f>AVERAGEIFS($AX$36:$AX$173,$C$36:$C$173,"=2", $B$36:$B$173,"OFICIAL")</f>
        <v>9.5</v>
      </c>
      <c r="AF194" s="27">
        <f>AVERAGEIFS($AV$36:$AV$173,$C$36:$C$173,"=2", $B$36:$B$173,"NO OFICIAL")</f>
        <v>55.80952380952381</v>
      </c>
      <c r="AG194" s="27">
        <f>AVERAGEIFS($AX$36:$AX$173,$C$36:$C$173,"=2", $B$36:$B$173,"NO OFICIAL")</f>
        <v>9.5238095238095237</v>
      </c>
      <c r="AH194" s="27">
        <f>AVERAGEIFS($BE$36:$BE$173,$C$36:$C$173,"=2", $B$36:$B$173,"OFICIAL")</f>
        <v>51</v>
      </c>
      <c r="AI194" s="27">
        <f>AVERAGEIFS($BG$36:$BG$173,$C$36:$C$173,"=2", $B$36:$B$173,"OFICIAL")</f>
        <v>9.5</v>
      </c>
      <c r="AJ194" s="27">
        <f>AVERAGEIFS($BE$36:$BE$173,$C$36:$C$173,"=2", $B$36:$B$173,"NO OFICIAL")</f>
        <v>55.045454545454547</v>
      </c>
      <c r="AK194" s="27">
        <f>AVERAGEIFS($BG$36:$BG$173,$C$36:$C$173,"=2", $B$36:$B$173,"NO OFICIAL")</f>
        <v>9.2272727272727266</v>
      </c>
      <c r="AL194" s="27">
        <v>53</v>
      </c>
      <c r="AM194" s="27">
        <v>9.75</v>
      </c>
      <c r="AN194" s="27">
        <v>56.65</v>
      </c>
      <c r="AO194" s="27">
        <v>9.9</v>
      </c>
    </row>
    <row r="195" spans="5:43" x14ac:dyDescent="0.2">
      <c r="E195" s="27" t="s">
        <v>142</v>
      </c>
      <c r="F195" s="27">
        <f>AVERAGEIFS(D36:D173,$C$36:$C$173,"=3", $B$36:$B$173,"OFICIAL")</f>
        <v>51.8</v>
      </c>
      <c r="G195" s="27">
        <f>AVERAGEIFS(E36:E173,$C$36:$C$173,"=3", $B$36:$B$173,"OFICIAL")</f>
        <v>9</v>
      </c>
      <c r="H195" s="27">
        <f>AVERAGEIFS(D36:D173,$C$36:$C$173,"=3", $B$36:$B$173,"NO OFICIAL")</f>
        <v>55.153846153846153</v>
      </c>
      <c r="I195" s="27">
        <f>AVERAGEIFS(E36:E173,$C$36:$C$173,"=3", $B$36:$B$173,"NO OFICIAL")</f>
        <v>8.9230769230769234</v>
      </c>
      <c r="J195" s="27">
        <f>AVERAGEIFS($K$36:$K$173,$C$36:$C$173,"=3", $B$36:$B$173,"OFICIAL")</f>
        <v>50.4</v>
      </c>
      <c r="K195" s="27">
        <f>AVERAGEIFS($L$36:$L$173,$C$36:$C$173,"=3", $B$36:$B$173,"OFICIAL")</f>
        <v>9.4</v>
      </c>
      <c r="L195" s="27">
        <f>AVERAGEIFS($K$36:$K$173,$C$36:$C$173,"=3", $B$36:$B$173,"NO OFICIAL")</f>
        <v>51.428571428571431</v>
      </c>
      <c r="M195" s="27">
        <f>AVERAGEIFS($L$36:$L$173,$C$36:$C$173,"=3", $B$36:$B$173,"NO OFICIAL")</f>
        <v>8.9285714285714288</v>
      </c>
      <c r="N195" s="27">
        <f>AVERAGEIFS($R$36:$R$173,$C$36:$C$173,"=3", $B$36:$B$173,"OFICIAL")</f>
        <v>51.6</v>
      </c>
      <c r="O195" s="27">
        <f>AVERAGEIFS($S$36:$S$173,$C$36:$C$173,"=3", $B$36:$B$173,"OFICIAL")</f>
        <v>9.1999999999999993</v>
      </c>
      <c r="P195" s="27">
        <f>AVERAGEIFS($R$36:$R$173,$C$36:$C$173,"=3", $B$36:$B$173,"NO OFICIAL")</f>
        <v>53.285714285714285</v>
      </c>
      <c r="Q195" s="27">
        <f>AVERAGEIFS($S$36:$S$173,$C$36:$C$173,"=3", $B$36:$B$173,"NO OFICIAL")</f>
        <v>8.5714285714285712</v>
      </c>
      <c r="R195" s="27">
        <f>AVERAGEIFS($Y$36:$Y$173,$C$36:$C$173,"=3", $B$36:$B$173,"OFICIAL")</f>
        <v>49.4</v>
      </c>
      <c r="S195" s="27">
        <f>AVERAGEIFS($Z$36:$Z$173,$C$36:$C$173,"=3", $B$36:$B$173,"OFICIAL")</f>
        <v>9.6</v>
      </c>
      <c r="T195" s="27">
        <f>AVERAGEIFS($Y$36:$Y$173,$C$36:$C$173,"=3", $B$36:$B$173,"NO OFICIAL")</f>
        <v>52.357142857142854</v>
      </c>
      <c r="U195" s="27">
        <f>AVERAGEIFS($Z$36:$Z$173,$C$36:$C$173,"=3", $B$36:$B$173,"NO OFICIAL")</f>
        <v>9.4285714285714288</v>
      </c>
      <c r="V195" s="27">
        <f>AVERAGEIFS($AF$36:$AF$173,$C$36:$C$173,"=3", $B$36:$B$173,"OFICIAL")</f>
        <v>47</v>
      </c>
      <c r="W195" s="27">
        <f>AVERAGEIFS($AG$36:$AG$173,$C$36:$C$173,"=3", $B$36:$B$173,"OFICIAL")</f>
        <v>8.8000000000000007</v>
      </c>
      <c r="X195" s="27">
        <f>AVERAGEIFS($AF$36:$AF$173,$C$36:$C$173,"=3", $B$36:$B$173,"NO OFICIAL")</f>
        <v>49.733333333333334</v>
      </c>
      <c r="Y195" s="27">
        <f>AVERAGEIFS($AG$36:$AG$173,$C$36:$C$173,"=3", $B$36:$B$173,"NO OFICIAL")</f>
        <v>8.4</v>
      </c>
      <c r="Z195" s="27">
        <f>AVERAGEIFS($AM$36:$AM$173,$C$36:$C$173,"=3", $B$36:$B$173,"OFICIAL")</f>
        <v>49</v>
      </c>
      <c r="AA195" s="27">
        <f>AVERAGEIFS($AO$36:$AO$173,$C$36:$C$173,"=3", $B$36:$B$173,"OFICIAL")</f>
        <v>10</v>
      </c>
      <c r="AB195" s="27">
        <f>AVERAGEIFS($AM$36:$AM$173,$C$36:$C$173,"=3", $B$36:$B$173,"NO OFICIAL")</f>
        <v>53.333333333333336</v>
      </c>
      <c r="AC195" s="27">
        <f>AVERAGEIFS($AO$36:$AO$173,$C$36:$C$173,"=3", $B$36:$B$173,"NO OFICIAL")</f>
        <v>10.133333333333333</v>
      </c>
      <c r="AD195" s="27">
        <f>AVERAGEIFS($AV$36:$AV$173,$C$36:$C$173,"=3", $B$36:$B$173,"OFICIAL")</f>
        <v>51.666666666666664</v>
      </c>
      <c r="AE195" s="27">
        <f>AVERAGEIFS($AX$36:$AX$173,$C$36:$C$173,"=3", $B$36:$B$173,"OFICIAL")</f>
        <v>10.833333333333334</v>
      </c>
      <c r="AF195" s="27">
        <f>AVERAGEIFS($AV$36:$AV$173,$C$36:$C$173,"=3", $B$36:$B$173,"NO OFICIAL")</f>
        <v>55.375</v>
      </c>
      <c r="AG195" s="27">
        <f>AVERAGEIFS($AX$36:$AX$173,$C$36:$C$173,"=3", $B$36:$B$173,"NO OFICIAL")</f>
        <v>9.8125</v>
      </c>
      <c r="AH195" s="27">
        <f>AVERAGEIFS($BE$36:$BE$173,$C$36:$C$173,"=3", $B$36:$B$173,"OFICIAL")</f>
        <v>51.333333333333336</v>
      </c>
      <c r="AI195" s="27">
        <f>AVERAGEIFS($BG$36:$BG$173,$C$36:$C$173,"=3", $B$36:$B$173,"OFICIAL")</f>
        <v>9.6666666666666661</v>
      </c>
      <c r="AJ195" s="27">
        <f>AVERAGEIFS($BE$36:$BE$173,$C$36:$C$173,"=3", $B$36:$B$173,"NO OFICIAL")</f>
        <v>55.5625</v>
      </c>
      <c r="AK195" s="27">
        <f>AVERAGEIFS($BG$36:$BG$173,$C$36:$C$173,"=3", $B$36:$B$173,"NO OFICIAL")</f>
        <v>9.9375</v>
      </c>
      <c r="AL195" s="27">
        <v>52.333333333333336</v>
      </c>
      <c r="AM195" s="27">
        <v>10.833333333333334</v>
      </c>
      <c r="AN195" s="27">
        <v>56.3125</v>
      </c>
      <c r="AO195" s="27">
        <v>9.75</v>
      </c>
    </row>
    <row r="196" spans="5:43" x14ac:dyDescent="0.2">
      <c r="E196" s="27" t="s">
        <v>143</v>
      </c>
      <c r="F196" s="27">
        <f>AVERAGEIFS(D36:D173,$C$36:$C$173,"=4", $B$36:$B$173,"OFICIAL")</f>
        <v>49.333333333333336</v>
      </c>
      <c r="G196" s="27">
        <f>AVERAGEIFS(E36:E173,$C$36:$C$173,"=4", $B$36:$B$173,"OFICIAL")</f>
        <v>8.5</v>
      </c>
      <c r="H196" s="27">
        <f>AVERAGEIFS(D36:D173,$C$36:$C$173,"=4", $B$36:$B$173,"NO OFICIAL")</f>
        <v>51.875</v>
      </c>
      <c r="I196" s="27">
        <f>AVERAGEIFS(E36:E173,$C$36:$C$173,"=4", $B$36:$B$173,"NO OFICIAL")</f>
        <v>8.375</v>
      </c>
      <c r="J196" s="27">
        <f>AVERAGEIFS($K$36:$K$173,$C$36:$C$173,"=4", $B$36:$B$173,"OFICIAL")</f>
        <v>47.333333333333336</v>
      </c>
      <c r="K196" s="27">
        <f>AVERAGEIFS($L$36:$L$173,$C$36:$C$173,"=4", $B$36:$B$173,"OFICIAL")</f>
        <v>8.8333333333333339</v>
      </c>
      <c r="L196" s="27">
        <f>AVERAGEIFS($K$36:$K$173,$C$36:$C$173,"=4", $B$36:$B$173,"NO OFICIAL")</f>
        <v>50.888888888888886</v>
      </c>
      <c r="M196" s="27">
        <f>AVERAGEIFS($L$36:$L$173,$C$36:$C$173,"=4", $B$36:$B$173,"NO OFICIAL")</f>
        <v>6.5555555555555554</v>
      </c>
      <c r="N196" s="27">
        <f>AVERAGEIFS($R$36:$R$173,$C$36:$C$173,"=4", $B$36:$B$173,"OFICIAL")</f>
        <v>48.5</v>
      </c>
      <c r="O196" s="27">
        <f>AVERAGEIFS($S$36:$S$173,$C$36:$C$173,"=4", $B$36:$B$173,"OFICIAL")</f>
        <v>8.3333333333333339</v>
      </c>
      <c r="P196" s="27">
        <f>AVERAGEIFS($R$36:$R$173,$C$36:$C$173,"=4", $B$36:$B$173,"NO OFICIAL")</f>
        <v>54.555555555555557</v>
      </c>
      <c r="Q196" s="27">
        <f>AVERAGEIFS($S$36:$S$173,$C$36:$C$173,"=4", $B$36:$B$173,"NO OFICIAL")</f>
        <v>8.2222222222222214</v>
      </c>
      <c r="R196" s="27">
        <f>AVERAGEIFS($Y$36:$Y$173,$C$36:$C$173,"=4", $B$36:$B$173,"OFICIAL")</f>
        <v>46.833333333333336</v>
      </c>
      <c r="S196" s="27">
        <f>AVERAGEIFS($Z$36:$Z$173,$C$36:$C$173,"=4", $B$36:$B$173,"OFICIAL")</f>
        <v>9.1666666666666661</v>
      </c>
      <c r="T196" s="27">
        <f>AVERAGEIFS($Y$36:$Y$173,$C$36:$C$173,"=4", $B$36:$B$173,"NO OFICIAL")</f>
        <v>50.25</v>
      </c>
      <c r="U196" s="27">
        <f>AVERAGEIFS($Z$36:$Z$173,$C$36:$C$173,"=4", $B$36:$B$173,"NO OFICIAL")</f>
        <v>8.375</v>
      </c>
      <c r="V196" s="27">
        <f>AVERAGEIFS($AF$36:$AF$173,$C$36:$C$173,"=4", $B$36:$B$173,"OFICIAL")</f>
        <v>44</v>
      </c>
      <c r="W196" s="27">
        <f>AVERAGEIFS($AG$36:$AG$173,$C$36:$C$173,"=4", $B$36:$B$173,"OFICIAL")</f>
        <v>7.5</v>
      </c>
      <c r="X196" s="27">
        <f>AVERAGEIFS($AF$36:$AF$173,$C$36:$C$173,"=4", $B$36:$B$173,"NO OFICIAL")</f>
        <v>47.428571428571431</v>
      </c>
      <c r="Y196" s="27">
        <f>AVERAGEIFS($AG$36:$AG$173,$C$36:$C$173,"=4", $B$36:$B$173,"NO OFICIAL")</f>
        <v>8.5714285714285712</v>
      </c>
      <c r="Z196" s="27">
        <f>AVERAGEIFS($AM$36:$AM$173,$C$36:$C$173,"=4", $B$36:$B$173,"OFICIAL")</f>
        <v>46</v>
      </c>
      <c r="AA196" s="27">
        <f>AVERAGEIFS($AO$36:$AO$173,$C$36:$C$173,"=4", $B$36:$B$173,"OFICIAL")</f>
        <v>8.8333333333333339</v>
      </c>
      <c r="AB196" s="27">
        <f>AVERAGEIFS($AM$36:$AM$173,$C$36:$C$173,"=4", $B$36:$B$173,"NO OFICIAL")</f>
        <v>51</v>
      </c>
      <c r="AC196" s="27">
        <f>AVERAGEIFS($AO$36:$AO$173,$C$36:$C$173,"=4", $B$36:$B$173,"NO OFICIAL")</f>
        <v>8.625</v>
      </c>
      <c r="AD196" s="27">
        <f>AVERAGEIFS($AV$36:$AV$173,$C$36:$C$173,"=4", $B$36:$B$173,"OFICIAL")</f>
        <v>48.333333333333336</v>
      </c>
      <c r="AE196" s="27">
        <f>AVERAGEIFS($AX$36:$AX$173,$C$36:$C$173,"=4", $B$36:$B$173,"OFICIAL")</f>
        <v>9.3333333333333339</v>
      </c>
      <c r="AF196" s="27">
        <f>AVERAGEIFS($AV$36:$AV$173,$C$36:$C$173,"=4", $B$36:$B$173,"NO OFICIAL")</f>
        <v>50.875</v>
      </c>
      <c r="AG196" s="27">
        <f>AVERAGEIFS($AX$36:$AX$173,$C$36:$C$173,"=4", $B$36:$B$173,"NO OFICIAL")</f>
        <v>9.375</v>
      </c>
      <c r="AH196" s="27">
        <f>AVERAGEIFS($BE$36:$BE$173,$C$36:$C$173,"=4", $B$36:$B$173,"OFICIAL")</f>
        <v>47.666666666666664</v>
      </c>
      <c r="AI196" s="27">
        <f>AVERAGEIFS($BG$36:$BG$173,$C$36:$C$173,"=4", $B$36:$B$173,"OFICIAL")</f>
        <v>8.8333333333333339</v>
      </c>
      <c r="AJ196" s="27">
        <f>AVERAGEIFS($BE$36:$BE$173,$C$36:$C$173,"=4", $B$36:$B$173,"NO OFICIAL")</f>
        <v>50.333333333333336</v>
      </c>
      <c r="AK196" s="27">
        <f>AVERAGEIFS($BG$36:$BG$173,$C$36:$C$173,"=4", $B$36:$B$173,"NO OFICIAL")</f>
        <v>9</v>
      </c>
      <c r="AL196" s="27">
        <v>47.833333333333336</v>
      </c>
      <c r="AM196" s="27">
        <v>8.8333333333333339</v>
      </c>
      <c r="AN196" s="27">
        <v>53.142857142857146</v>
      </c>
      <c r="AO196" s="27">
        <v>9.7142857142857135</v>
      </c>
    </row>
    <row r="197" spans="5:43" x14ac:dyDescent="0.2">
      <c r="E197" s="27" t="s">
        <v>144</v>
      </c>
      <c r="F197" s="27">
        <f>AVERAGEIFS(D36:D173,$C$36:$C$173,"=5", $B$36:$B$173,"OFICIAL")</f>
        <v>53.333333333333336</v>
      </c>
      <c r="G197" s="27">
        <f>AVERAGEIFS(E36:E173,$C$36:$C$173,"=5", $B$36:$B$173,"OFICIAL")</f>
        <v>9</v>
      </c>
      <c r="H197" s="27">
        <f>AVERAGEIFS(D36:D173,$C$36:$C$173,"=5", $B$36:$B$173,"NO OFICIAL")</f>
        <v>57.785714285714285</v>
      </c>
      <c r="I197" s="27">
        <f>AVERAGEIFS(E36:E173,$C$36:$C$173,"=5", $B$36:$B$173,"NO OFICIAL")</f>
        <v>9.2142857142857135</v>
      </c>
      <c r="J197" s="27">
        <f>AVERAGEIFS($K$36:$K$173,$C$36:$C$173,"=5", $B$36:$B$173,"OFICIAL")</f>
        <v>51.333333333333336</v>
      </c>
      <c r="K197" s="27">
        <f>AVERAGEIFS($L$36:$L$173,$C$36:$C$173,"=5", $B$36:$B$173,"OFICIAL")</f>
        <v>9</v>
      </c>
      <c r="L197" s="27">
        <f>AVERAGEIFS($K$36:$K$173,$C$36:$C$173,"=5", $B$36:$B$173,"NO OFICIAL")</f>
        <v>56.285714285714285</v>
      </c>
      <c r="M197" s="27">
        <f>AVERAGEIFS($L$36:$L$173,$C$36:$C$173,"=5", $B$36:$B$173,"NO OFICIAL")</f>
        <v>8.7142857142857135</v>
      </c>
      <c r="N197" s="27">
        <f>AVERAGEIFS($R$36:$R$173,$C$36:$C$173,"=5", $B$36:$B$173,"OFICIAL")</f>
        <v>51.333333333333336</v>
      </c>
      <c r="O197" s="27">
        <f>AVERAGEIFS($S$36:$S$173,$C$36:$C$173,"=5", $B$36:$B$173,"OFICIAL")</f>
        <v>9</v>
      </c>
      <c r="P197" s="27">
        <f>AVERAGEIFS($R$36:$R$173,$C$36:$C$173,"=5", $B$36:$B$173,"NO OFICIAL")</f>
        <v>56.733333333333334</v>
      </c>
      <c r="Q197" s="27">
        <f>AVERAGEIFS($S$36:$S$173,$C$36:$C$173,"=5", $B$36:$B$173,"NO OFICIAL")</f>
        <v>8.6666666666666661</v>
      </c>
      <c r="R197" s="27">
        <f>AVERAGEIFS($Y$36:$Y$173,$C$36:$C$173,"=5", $B$36:$B$173,"OFICIAL")</f>
        <v>52</v>
      </c>
      <c r="S197" s="27">
        <f>AVERAGEIFS($Z$36:$Z$173,$C$36:$C$173,"=5", $B$36:$B$173,"OFICIAL")</f>
        <v>9.3333333333333339</v>
      </c>
      <c r="T197" s="27">
        <f>AVERAGEIFS($Y$36:$Y$173,$C$36:$C$173,"=5", $B$36:$B$173,"NO OFICIAL")</f>
        <v>55.6875</v>
      </c>
      <c r="U197" s="27">
        <f>AVERAGEIFS($Z$36:$Z$173,$C$36:$C$173,"=5", $B$36:$B$173,"NO OFICIAL")</f>
        <v>9.0625</v>
      </c>
      <c r="V197" s="27">
        <f>AVERAGEIFS($AF$36:$AF$173,$C$36:$C$173,"=5", $B$36:$B$173,"OFICIAL")</f>
        <v>48.666666666666664</v>
      </c>
      <c r="W197" s="27">
        <f>AVERAGEIFS($AG$36:$AG$173,$C$36:$C$173,"=5", $B$36:$B$173,"OFICIAL")</f>
        <v>8.3333333333333339</v>
      </c>
      <c r="X197" s="27">
        <f>AVERAGEIFS($AF$36:$AF$173,$C$36:$C$173,"=5", $B$36:$B$173,"NO OFICIAL")</f>
        <v>51.666666666666664</v>
      </c>
      <c r="Y197" s="27">
        <f>AVERAGEIFS($AG$36:$AG$173,$C$36:$C$173,"=5", $B$36:$B$173,"NO OFICIAL")</f>
        <v>9.1999999999999993</v>
      </c>
      <c r="Z197" s="27">
        <f>AVERAGEIFS($AM$36:$AM$173,$C$36:$C$173,"=5", $B$36:$B$173,"OFICIAL")</f>
        <v>52</v>
      </c>
      <c r="AA197" s="27">
        <f>AVERAGEIFS($AO$36:$AO$173,$C$36:$C$173,"=5", $B$36:$B$173,"OFICIAL")</f>
        <v>9.3333333333333339</v>
      </c>
      <c r="AB197" s="27">
        <f>AVERAGEIFS($AM$36:$AM$173,$C$36:$C$173,"=5", $B$36:$B$173,"NO OFICIAL")</f>
        <v>56.93333333333333</v>
      </c>
      <c r="AC197" s="27">
        <f>AVERAGEIFS($AO$36:$AO$173,$C$36:$C$173,"=5", $B$36:$B$173,"NO OFICIAL")</f>
        <v>9.6666666666666661</v>
      </c>
      <c r="AD197" s="27">
        <f>AVERAGEIFS($AV$36:$AV$173,$C$36:$C$173,"=5", $B$36:$B$173,"OFICIAL")</f>
        <v>54.333333333333336</v>
      </c>
      <c r="AE197" s="27">
        <f>AVERAGEIFS($AX$36:$AX$173,$C$36:$C$173,"=5", $B$36:$B$173,"OFICIAL")</f>
        <v>10.333333333333334</v>
      </c>
      <c r="AF197" s="27">
        <f>AVERAGEIFS($AV$36:$AV$173,$C$36:$C$173,"=5", $B$36:$B$173,"NO OFICIAL")</f>
        <v>57.714285714285715</v>
      </c>
      <c r="AG197" s="27">
        <f>AVERAGEIFS($AX$36:$AX$173,$C$36:$C$173,"=5", $B$36:$B$173,"NO OFICIAL")</f>
        <v>9.2142857142857135</v>
      </c>
      <c r="AH197" s="27">
        <f>AVERAGEIFS($BE$36:$BE$173,$C$36:$C$173,"=5", $B$36:$B$173,"OFICIAL")</f>
        <v>54</v>
      </c>
      <c r="AI197" s="27">
        <f>AVERAGEIFS($BG$36:$BG$173,$C$36:$C$173,"=5", $B$36:$B$173,"OFICIAL")</f>
        <v>10</v>
      </c>
      <c r="AJ197" s="27">
        <f>AVERAGEIFS($BE$36:$BE$173,$C$36:$C$173,"=5", $B$36:$B$173,"NO OFICIAL")</f>
        <v>58.214285714285715</v>
      </c>
      <c r="AK197" s="27">
        <f>AVERAGEIFS($BG$36:$BG$173,$C$36:$C$173,"=5", $B$36:$B$173,"NO OFICIAL")</f>
        <v>9.6428571428571423</v>
      </c>
      <c r="AL197" s="27">
        <v>54.666666666666664</v>
      </c>
      <c r="AM197" s="27">
        <v>10.333333333333334</v>
      </c>
      <c r="AN197" s="27">
        <v>56.533333333333331</v>
      </c>
      <c r="AO197" s="27">
        <v>9.6666666666666661</v>
      </c>
    </row>
    <row r="198" spans="5:43" x14ac:dyDescent="0.2">
      <c r="E198" s="27" t="s">
        <v>145</v>
      </c>
      <c r="F198" s="27">
        <f>AVERAGEIFS(D36:D173,$C$36:$C$173,"=6", $B$36:$B$173,"OFICIAL")</f>
        <v>52.5</v>
      </c>
      <c r="G198" s="27">
        <f>AVERAGEIFS(E36:E173,$C$36:$C$173,"=6", $B$36:$B$173,"OFICIAL")</f>
        <v>8.75</v>
      </c>
      <c r="H198" s="27">
        <f>AVERAGEIFS(D36:D173,$C$36:$C$173,"=6", $B$36:$B$173,"NO OFICIAL")</f>
        <v>54.81818181818182</v>
      </c>
      <c r="I198" s="27">
        <f>AVERAGEIFS(E36:E173,$C$36:$C$173,"=6", $B$36:$B$173,"NO OFICIAL")</f>
        <v>8.1818181818181817</v>
      </c>
      <c r="J198" s="27">
        <f>AVERAGEIFS($K$36:$K$173,$C$36:$C$173,"=6", $B$36:$B$173,"OFICIAL")</f>
        <v>50</v>
      </c>
      <c r="K198" s="27">
        <f>AVERAGEIFS($L$36:$L$173,$C$36:$C$173,"=6", $B$36:$B$173,"OFICIAL")</f>
        <v>9.5</v>
      </c>
      <c r="L198" s="27">
        <f>AVERAGEIFS($K$36:$K$173,$C$36:$C$173,"=6", $B$36:$B$173,"NO OFICIAL")</f>
        <v>51.272727272727273</v>
      </c>
      <c r="M198" s="27">
        <f>AVERAGEIFS($L$36:$L$173,$C$36:$C$173,"=6", $B$36:$B$173,"NO OFICIAL")</f>
        <v>9.2727272727272734</v>
      </c>
      <c r="N198" s="27">
        <f>AVERAGEIFS($R$36:$R$173,$C$36:$C$173,"=6", $B$36:$B$173,"OFICIAL")</f>
        <v>51</v>
      </c>
      <c r="O198" s="27">
        <f>AVERAGEIFS($S$36:$S$173,$C$36:$C$173,"=6", $B$36:$B$173,"OFICIAL")</f>
        <v>8.25</v>
      </c>
      <c r="P198" s="27">
        <f>AVERAGEIFS($R$36:$R$173,$C$36:$C$173,"=6", $B$36:$B$173,"NO OFICIAL")</f>
        <v>52.9</v>
      </c>
      <c r="Q198" s="27">
        <f>AVERAGEIFS($S$36:$S$173,$C$36:$C$173,"=6", $B$36:$B$173,"NO OFICIAL")</f>
        <v>8.6999999999999993</v>
      </c>
      <c r="R198" s="27">
        <f>AVERAGEIFS($Y$36:$Y$173,$C$36:$C$173,"=6", $B$36:$B$173,"OFICIAL")</f>
        <v>49.75</v>
      </c>
      <c r="S198" s="27">
        <f>AVERAGEIFS($Z$36:$Z$173,$C$36:$C$173,"=6", $B$36:$B$173,"OFICIAL")</f>
        <v>9.75</v>
      </c>
      <c r="T198" s="27">
        <f>AVERAGEIFS($Y$36:$Y$173,$C$36:$C$173,"=6", $B$36:$B$173,"NO OFICIAL")</f>
        <v>52.454545454545453</v>
      </c>
      <c r="U198" s="27">
        <f>AVERAGEIFS($Z$36:$Z$173,$C$36:$C$173,"=6", $B$36:$B$173,"NO OFICIAL")</f>
        <v>9</v>
      </c>
      <c r="V198" s="27">
        <f>AVERAGEIFS($AF$36:$AF$173,$C$36:$C$173,"=6", $B$36:$B$173,"OFICIAL")</f>
        <v>47.25</v>
      </c>
      <c r="W198" s="27">
        <f>AVERAGEIFS($AG$36:$AG$173,$C$36:$C$173,"=6", $B$36:$B$173,"OFICIAL")</f>
        <v>8.5</v>
      </c>
      <c r="X198" s="27">
        <f>AVERAGEIFS($AF$36:$AF$173,$C$36:$C$173,"=6", $B$36:$B$173,"NO OFICIAL")</f>
        <v>47.692307692307693</v>
      </c>
      <c r="Y198" s="27">
        <f>AVERAGEIFS($AG$36:$AG$173,$C$36:$C$173,"=6", $B$36:$B$173,"NO OFICIAL")</f>
        <v>9.2307692307692299</v>
      </c>
      <c r="Z198" s="27">
        <f>AVERAGEIFS($AM$36:$AM$173,$C$36:$C$173,"=6", $B$36:$B$173,"OFICIAL")</f>
        <v>50.25</v>
      </c>
      <c r="AA198" s="27">
        <f>AVERAGEIFS($AO$36:$AO$173,$C$36:$C$173,"=6", $B$36:$B$173,"OFICIAL")</f>
        <v>10.5</v>
      </c>
      <c r="AB198" s="27">
        <f>AVERAGEIFS($AM$36:$AM$173,$C$36:$C$173,"=6", $B$36:$B$173,"NO OFICIAL")</f>
        <v>54</v>
      </c>
      <c r="AC198" s="27">
        <f>AVERAGEIFS($AO$36:$AO$173,$C$36:$C$173,"=6", $B$36:$B$173,"NO OFICIAL")</f>
        <v>9.0769230769230766</v>
      </c>
      <c r="AD198" s="27">
        <f>AVERAGEIFS($AV$36:$AV$173,$C$36:$C$173,"=6", $B$36:$B$173,"OFICIAL")</f>
        <v>51.5</v>
      </c>
      <c r="AE198" s="27">
        <f>AVERAGEIFS($AX$36:$AX$173,$C$36:$C$173,"=6", $B$36:$B$173,"OFICIAL")</f>
        <v>10</v>
      </c>
      <c r="AF198" s="27">
        <f>AVERAGEIFS($AV$36:$AV$173,$C$36:$C$173,"=6", $B$36:$B$173,"NO OFICIAL")</f>
        <v>54.466666666666669</v>
      </c>
      <c r="AG198" s="27">
        <f>AVERAGEIFS($AX$36:$AX$173,$C$36:$C$173,"=6", $B$36:$B$173,"NO OFICIAL")</f>
        <v>9.8666666666666671</v>
      </c>
      <c r="AH198" s="27">
        <f>AVERAGEIFS($BE$36:$BE$173,$C$36:$C$173,"=6", $B$36:$B$173,"OFICIAL")</f>
        <v>50.75</v>
      </c>
      <c r="AI198" s="27">
        <f>AVERAGEIFS($BG$36:$BG$173,$C$36:$C$173,"=6", $B$36:$B$173,"OFICIAL")</f>
        <v>9.25</v>
      </c>
      <c r="AJ198" s="27">
        <f>AVERAGEIFS($BE$36:$BE$173,$C$36:$C$173,"=6", $B$36:$B$173,"NO OFICIAL")</f>
        <v>54.5625</v>
      </c>
      <c r="AK198" s="27">
        <f>AVERAGEIFS($BG$36:$BG$173,$C$36:$C$173,"=6", $B$36:$B$173,"NO OFICIAL")</f>
        <v>9.25</v>
      </c>
      <c r="AL198" s="27">
        <v>51.75</v>
      </c>
      <c r="AM198" s="27">
        <v>10.25</v>
      </c>
      <c r="AN198" s="27">
        <v>55.714285714285715</v>
      </c>
      <c r="AO198" s="27">
        <v>10.142857142857142</v>
      </c>
    </row>
    <row r="199" spans="5:43" x14ac:dyDescent="0.2">
      <c r="E199" s="32"/>
      <c r="F199" s="32"/>
      <c r="G199" s="32"/>
      <c r="H199" s="32"/>
      <c r="I199" s="32"/>
      <c r="J199" s="32"/>
      <c r="K199" s="32"/>
      <c r="L199" s="32"/>
      <c r="M199" s="32"/>
      <c r="N199" s="32"/>
      <c r="O199" s="32"/>
      <c r="P199" s="32"/>
      <c r="Q199" s="32"/>
      <c r="R199" s="32"/>
      <c r="S199" s="32"/>
      <c r="T199" s="32"/>
      <c r="U199" s="32"/>
      <c r="V199" s="32"/>
      <c r="W199" s="32"/>
      <c r="X199" s="32"/>
      <c r="Y199" s="32"/>
      <c r="Z199" s="32"/>
      <c r="AA199" s="32"/>
      <c r="AB199" s="32"/>
      <c r="AC199" s="32"/>
      <c r="AD199" s="32"/>
      <c r="AE199" s="32"/>
      <c r="AF199" s="32"/>
      <c r="AG199" s="32"/>
      <c r="AH199" s="32"/>
      <c r="AI199" s="32"/>
      <c r="AJ199" s="32"/>
      <c r="AK199" s="32"/>
      <c r="AL199" s="32"/>
      <c r="AM199" s="32"/>
      <c r="AN199" s="32"/>
      <c r="AO199" s="32"/>
      <c r="AP199" s="32"/>
      <c r="AQ199" s="32"/>
    </row>
    <row r="200" spans="5:43" ht="12.75" customHeight="1" x14ac:dyDescent="0.2">
      <c r="K200" s="1054" t="s">
        <v>148</v>
      </c>
      <c r="L200" s="1054"/>
      <c r="M200" s="1054"/>
      <c r="N200" s="1054"/>
      <c r="O200" s="1054"/>
      <c r="P200" s="1054"/>
      <c r="Q200" s="1054"/>
      <c r="R200" s="1054"/>
      <c r="S200" s="1054"/>
      <c r="T200" s="1054"/>
      <c r="X200" s="1054" t="s">
        <v>149</v>
      </c>
      <c r="Y200" s="1054"/>
      <c r="Z200" s="1054"/>
      <c r="AA200" s="1054"/>
      <c r="AB200" s="1054"/>
      <c r="AC200" s="1054"/>
      <c r="AD200" s="1054"/>
      <c r="AE200" s="1054"/>
      <c r="AF200" s="1054"/>
      <c r="AG200" s="1054"/>
    </row>
    <row r="201" spans="5:43" x14ac:dyDescent="0.2">
      <c r="K201" s="28"/>
      <c r="L201" s="28">
        <v>2016</v>
      </c>
      <c r="M201" s="29">
        <v>2017</v>
      </c>
      <c r="N201" s="28">
        <v>2018</v>
      </c>
      <c r="O201" s="28">
        <v>2019</v>
      </c>
      <c r="P201" s="29">
        <v>2020</v>
      </c>
      <c r="Q201" s="29">
        <v>2021</v>
      </c>
      <c r="R201" s="29">
        <v>2022</v>
      </c>
      <c r="S201" s="29">
        <v>2023</v>
      </c>
      <c r="T201" s="29">
        <v>2024</v>
      </c>
      <c r="X201" s="28"/>
      <c r="Y201" s="28">
        <v>2016</v>
      </c>
      <c r="Z201" s="29">
        <v>2017</v>
      </c>
      <c r="AA201" s="28">
        <v>2018</v>
      </c>
      <c r="AB201" s="28">
        <v>2019</v>
      </c>
      <c r="AC201" s="29">
        <v>2020</v>
      </c>
      <c r="AD201" s="29">
        <v>2021</v>
      </c>
      <c r="AE201" s="29">
        <v>2022</v>
      </c>
      <c r="AF201" s="29">
        <v>2023</v>
      </c>
      <c r="AG201" s="29">
        <v>2024</v>
      </c>
    </row>
    <row r="202" spans="5:43" x14ac:dyDescent="0.2">
      <c r="K202" s="27" t="s">
        <v>140</v>
      </c>
      <c r="L202" s="27">
        <v>52.25</v>
      </c>
      <c r="M202" s="27">
        <v>49.5</v>
      </c>
      <c r="N202" s="27">
        <v>51.5</v>
      </c>
      <c r="O202" s="27">
        <v>50.25</v>
      </c>
      <c r="P202" s="27">
        <v>46.5</v>
      </c>
      <c r="Q202" s="27">
        <v>49.5</v>
      </c>
      <c r="R202" s="27">
        <v>49.6</v>
      </c>
      <c r="S202" s="27">
        <v>49.8</v>
      </c>
      <c r="T202" s="27">
        <v>50.6</v>
      </c>
      <c r="X202" s="27" t="s">
        <v>140</v>
      </c>
      <c r="Y202" s="27">
        <v>52.769230769230766</v>
      </c>
      <c r="Z202" s="27">
        <v>50.75</v>
      </c>
      <c r="AA202" s="27">
        <v>52.307692307692307</v>
      </c>
      <c r="AB202" s="27">
        <v>50</v>
      </c>
      <c r="AC202" s="27">
        <f>AVERAGEIFS($AF$36:$AF$173,$C$36:$C$173,"=1", $B$36:$B$173,"NO OFICIAL")</f>
        <v>48.53846153846154</v>
      </c>
      <c r="AD202" s="27">
        <v>52.769230769230766</v>
      </c>
      <c r="AE202" s="27">
        <v>52.92307692307692</v>
      </c>
      <c r="AF202" s="27">
        <v>54.416666666666664</v>
      </c>
      <c r="AG202" s="27">
        <v>55.307692307692307</v>
      </c>
    </row>
    <row r="203" spans="5:43" x14ac:dyDescent="0.2">
      <c r="K203" s="27" t="s">
        <v>141</v>
      </c>
      <c r="L203" s="27">
        <v>52</v>
      </c>
      <c r="M203" s="27">
        <v>50.5</v>
      </c>
      <c r="N203" s="27">
        <v>51.5</v>
      </c>
      <c r="O203" s="27">
        <v>51</v>
      </c>
      <c r="P203" s="27">
        <v>47</v>
      </c>
      <c r="Q203" s="27">
        <v>50</v>
      </c>
      <c r="R203" s="27">
        <v>50.5</v>
      </c>
      <c r="S203" s="27">
        <v>51</v>
      </c>
      <c r="T203" s="27">
        <v>53</v>
      </c>
      <c r="X203" s="27" t="s">
        <v>141</v>
      </c>
      <c r="Y203" s="27">
        <v>55</v>
      </c>
      <c r="Z203" s="27">
        <v>52.529411764705884</v>
      </c>
      <c r="AA203" s="27">
        <v>54.294117647058826</v>
      </c>
      <c r="AB203" s="27">
        <v>53.722222222222221</v>
      </c>
      <c r="AC203" s="27">
        <f>AVERAGEIFS($AF$36:$AF$173,$C$36:$C$173,"=2", $B$36:$B$173,"NO OFICIAL")</f>
        <v>48.727272727272727</v>
      </c>
      <c r="AD203" s="27">
        <v>53.55</v>
      </c>
      <c r="AE203" s="27">
        <v>55.80952380952381</v>
      </c>
      <c r="AF203" s="27">
        <v>55.045454545454547</v>
      </c>
      <c r="AG203" s="27">
        <v>56.65</v>
      </c>
      <c r="AL203" s="26"/>
      <c r="AM203" s="26"/>
    </row>
    <row r="204" spans="5:43" x14ac:dyDescent="0.2">
      <c r="K204" s="27" t="s">
        <v>142</v>
      </c>
      <c r="L204" s="27">
        <v>51.666666666666664</v>
      </c>
      <c r="M204" s="27">
        <v>49.666666666666664</v>
      </c>
      <c r="N204" s="27">
        <v>51</v>
      </c>
      <c r="O204" s="27">
        <v>49</v>
      </c>
      <c r="P204" s="27">
        <v>46.75</v>
      </c>
      <c r="Q204" s="27">
        <v>49</v>
      </c>
      <c r="R204" s="27">
        <v>51.666666666666664</v>
      </c>
      <c r="S204" s="27">
        <v>51.333333333333336</v>
      </c>
      <c r="T204" s="27">
        <v>52.333333333333336</v>
      </c>
      <c r="X204" s="27" t="s">
        <v>142</v>
      </c>
      <c r="Y204" s="27">
        <v>55.153846153846153</v>
      </c>
      <c r="Z204" s="27">
        <v>51.428571428571431</v>
      </c>
      <c r="AA204" s="27">
        <v>53.285714285714285</v>
      </c>
      <c r="AB204" s="27">
        <v>52.357142857142854</v>
      </c>
      <c r="AC204" s="27">
        <f>AVERAGEIFS($AF$36:$AF$173,$C$36:$C$173,"=3", $B$36:$B$173,"NO OFICIAL")</f>
        <v>49.733333333333334</v>
      </c>
      <c r="AD204" s="27">
        <v>53.333333333333336</v>
      </c>
      <c r="AE204" s="27">
        <v>55.375</v>
      </c>
      <c r="AF204" s="27">
        <v>55.5625</v>
      </c>
      <c r="AG204" s="27">
        <v>56.3125</v>
      </c>
      <c r="AL204" s="26"/>
      <c r="AM204" s="26"/>
    </row>
    <row r="205" spans="5:43" x14ac:dyDescent="0.2">
      <c r="K205" s="27" t="s">
        <v>143</v>
      </c>
      <c r="L205" s="27">
        <v>49.333333333333336</v>
      </c>
      <c r="M205" s="27">
        <v>47.333333333333336</v>
      </c>
      <c r="N205" s="27">
        <v>48.5</v>
      </c>
      <c r="O205" s="27">
        <v>46.833333333333336</v>
      </c>
      <c r="P205" s="27">
        <v>44</v>
      </c>
      <c r="Q205" s="27">
        <v>46</v>
      </c>
      <c r="R205" s="27">
        <v>48.333333333333336</v>
      </c>
      <c r="S205" s="27">
        <v>47.666666666666664</v>
      </c>
      <c r="T205" s="27">
        <v>47.833333333333336</v>
      </c>
      <c r="X205" s="27" t="s">
        <v>143</v>
      </c>
      <c r="Y205" s="27">
        <v>51.875</v>
      </c>
      <c r="Z205" s="27">
        <v>50.888888888888886</v>
      </c>
      <c r="AA205" s="27">
        <v>54.555555555555557</v>
      </c>
      <c r="AB205" s="27">
        <v>50.25</v>
      </c>
      <c r="AC205" s="27">
        <f>AVERAGEIFS($AF$36:$AF$173,$C$36:$C$173,"=4", $B$36:$B$173,"NO OFICIAL")</f>
        <v>47.428571428571431</v>
      </c>
      <c r="AD205" s="27">
        <v>51</v>
      </c>
      <c r="AE205" s="27">
        <v>50.875</v>
      </c>
      <c r="AF205" s="27">
        <v>50.333333333333336</v>
      </c>
      <c r="AG205" s="27">
        <v>53.142857142857146</v>
      </c>
      <c r="AL205" s="26"/>
      <c r="AM205" s="26"/>
    </row>
    <row r="206" spans="5:43" x14ac:dyDescent="0.2">
      <c r="K206" s="27" t="s">
        <v>144</v>
      </c>
      <c r="L206" s="27">
        <v>53</v>
      </c>
      <c r="M206" s="27">
        <v>50</v>
      </c>
      <c r="N206" s="27">
        <v>50</v>
      </c>
      <c r="O206" s="27">
        <v>50</v>
      </c>
      <c r="P206" s="27">
        <v>46.5</v>
      </c>
      <c r="Q206" s="27">
        <v>49.5</v>
      </c>
      <c r="R206" s="27">
        <v>52</v>
      </c>
      <c r="S206" s="27">
        <v>52</v>
      </c>
      <c r="T206" s="27">
        <v>54.666666666666664</v>
      </c>
      <c r="X206" s="27" t="s">
        <v>144</v>
      </c>
      <c r="Y206" s="27">
        <v>57.533333333333331</v>
      </c>
      <c r="Z206" s="27">
        <v>56.133333333333333</v>
      </c>
      <c r="AA206" s="27">
        <v>56.5625</v>
      </c>
      <c r="AB206" s="27">
        <v>55.705882352941174</v>
      </c>
      <c r="AC206" s="27">
        <f>AVERAGEIFS($AF$36:$AF$173,$C$36:$C$173,"=5", $B$36:$B$173,"NO OFICIAL")</f>
        <v>51.666666666666664</v>
      </c>
      <c r="AD206" s="27">
        <v>56.9375</v>
      </c>
      <c r="AE206" s="27">
        <v>57.8</v>
      </c>
      <c r="AF206" s="27">
        <v>58.2</v>
      </c>
      <c r="AG206" s="27">
        <v>56.533333333333331</v>
      </c>
      <c r="AL206" s="26"/>
      <c r="AM206" s="26"/>
    </row>
    <row r="207" spans="5:43" x14ac:dyDescent="0.2">
      <c r="K207" s="27" t="s">
        <v>145</v>
      </c>
      <c r="L207" s="27">
        <v>52.333333333333336</v>
      </c>
      <c r="M207" s="27">
        <v>49.333333333333336</v>
      </c>
      <c r="N207" s="27">
        <v>50.666666666666664</v>
      </c>
      <c r="O207" s="27">
        <v>50</v>
      </c>
      <c r="P207" s="27">
        <v>47</v>
      </c>
      <c r="Q207" s="27">
        <v>50.333333333333336</v>
      </c>
      <c r="R207" s="27">
        <v>52</v>
      </c>
      <c r="S207" s="27">
        <v>50.666666666666664</v>
      </c>
      <c r="T207" s="27">
        <v>51.75</v>
      </c>
      <c r="X207" s="27" t="s">
        <v>145</v>
      </c>
      <c r="Y207" s="27">
        <v>54.666666666666664</v>
      </c>
      <c r="Z207" s="27">
        <v>51.333333333333336</v>
      </c>
      <c r="AA207" s="27">
        <v>52.81818181818182</v>
      </c>
      <c r="AB207" s="27">
        <v>52.166666666666664</v>
      </c>
      <c r="AC207" s="27">
        <f>AVERAGEIFS($AF$36:$AF$173,$C$36:$C$173,"=6", $B$36:$B$173,"NO OFICIAL")</f>
        <v>47.692307692307693</v>
      </c>
      <c r="AD207" s="27">
        <v>53.714285714285715</v>
      </c>
      <c r="AE207" s="27">
        <v>54.1875</v>
      </c>
      <c r="AF207" s="27">
        <v>54.352941176470587</v>
      </c>
      <c r="AG207" s="27">
        <v>55.714285714285715</v>
      </c>
    </row>
    <row r="248" spans="6:42" x14ac:dyDescent="0.2">
      <c r="F248" s="1053" t="s">
        <v>947</v>
      </c>
      <c r="G248" s="1054"/>
      <c r="H248" s="1054"/>
      <c r="I248" s="1054"/>
      <c r="J248" s="1054"/>
      <c r="K248" s="1054"/>
      <c r="L248" s="1054"/>
      <c r="M248" s="1054"/>
      <c r="N248" s="1054"/>
      <c r="O248" s="1054"/>
      <c r="P248" s="1054"/>
      <c r="Q248" s="1054"/>
      <c r="R248" s="1054"/>
      <c r="S248" s="1054"/>
      <c r="T248" s="1054"/>
      <c r="U248" s="1054"/>
      <c r="V248" s="1054"/>
      <c r="W248" s="1054"/>
      <c r="X248" s="1054"/>
      <c r="Y248" s="1054"/>
      <c r="Z248" s="1054"/>
    </row>
    <row r="249" spans="6:42" x14ac:dyDescent="0.2">
      <c r="F249" s="28"/>
      <c r="G249" s="1053">
        <v>2016</v>
      </c>
      <c r="H249" s="1054"/>
      <c r="I249" s="1054"/>
      <c r="J249" s="1190"/>
      <c r="K249" s="1053">
        <v>2017</v>
      </c>
      <c r="L249" s="1054"/>
      <c r="M249" s="1054"/>
      <c r="N249" s="1190"/>
      <c r="O249" s="1053">
        <v>2018</v>
      </c>
      <c r="P249" s="1054"/>
      <c r="Q249" s="1054"/>
      <c r="R249" s="1190"/>
      <c r="S249" s="1053">
        <v>2019</v>
      </c>
      <c r="T249" s="1054"/>
      <c r="U249" s="1054"/>
      <c r="V249" s="1190"/>
      <c r="W249" s="1053">
        <v>2020</v>
      </c>
      <c r="X249" s="1054"/>
      <c r="Y249" s="1054"/>
      <c r="Z249" s="1054"/>
      <c r="AA249" s="1053">
        <v>2021</v>
      </c>
      <c r="AB249" s="1054"/>
      <c r="AC249" s="1054"/>
      <c r="AD249" s="1054"/>
      <c r="AE249" s="1053">
        <v>2022</v>
      </c>
      <c r="AF249" s="1054"/>
      <c r="AG249" s="1054"/>
      <c r="AH249" s="1054"/>
      <c r="AI249" s="1053">
        <v>2023</v>
      </c>
      <c r="AJ249" s="1054"/>
      <c r="AK249" s="1054"/>
      <c r="AL249" s="1054"/>
      <c r="AM249" s="1053">
        <v>2024</v>
      </c>
      <c r="AN249" s="1054"/>
      <c r="AO249" s="1054"/>
      <c r="AP249" s="1054"/>
    </row>
    <row r="250" spans="6:42" x14ac:dyDescent="0.2">
      <c r="G250" s="67" t="s">
        <v>10</v>
      </c>
      <c r="H250" t="s">
        <v>0</v>
      </c>
      <c r="I250" t="s">
        <v>208</v>
      </c>
      <c r="J250" t="s">
        <v>209</v>
      </c>
      <c r="K250" s="67" t="s">
        <v>10</v>
      </c>
      <c r="L250" s="67" t="s">
        <v>0</v>
      </c>
      <c r="M250" t="s">
        <v>208</v>
      </c>
      <c r="N250" t="s">
        <v>209</v>
      </c>
      <c r="O250" s="67" t="s">
        <v>10</v>
      </c>
      <c r="P250" s="67" t="s">
        <v>0</v>
      </c>
      <c r="Q250" t="s">
        <v>208</v>
      </c>
      <c r="R250" t="s">
        <v>209</v>
      </c>
      <c r="S250" s="67" t="s">
        <v>10</v>
      </c>
      <c r="T250" s="67" t="s">
        <v>0</v>
      </c>
      <c r="U250" t="s">
        <v>208</v>
      </c>
      <c r="V250" t="s">
        <v>209</v>
      </c>
      <c r="W250" s="67" t="s">
        <v>10</v>
      </c>
      <c r="X250" s="67" t="s">
        <v>0</v>
      </c>
      <c r="Y250" t="s">
        <v>208</v>
      </c>
      <c r="Z250" t="s">
        <v>209</v>
      </c>
      <c r="AA250" s="67" t="s">
        <v>10</v>
      </c>
      <c r="AB250" s="67" t="s">
        <v>0</v>
      </c>
      <c r="AC250" t="s">
        <v>208</v>
      </c>
      <c r="AD250" t="s">
        <v>209</v>
      </c>
      <c r="AE250" s="67" t="s">
        <v>10</v>
      </c>
      <c r="AF250" s="67" t="s">
        <v>0</v>
      </c>
      <c r="AG250" t="s">
        <v>208</v>
      </c>
      <c r="AH250" t="s">
        <v>209</v>
      </c>
      <c r="AI250" s="67" t="s">
        <v>10</v>
      </c>
      <c r="AJ250" s="67" t="s">
        <v>0</v>
      </c>
      <c r="AK250" t="s">
        <v>208</v>
      </c>
      <c r="AL250" t="s">
        <v>209</v>
      </c>
      <c r="AM250" s="67" t="s">
        <v>10</v>
      </c>
      <c r="AN250" s="67" t="s">
        <v>0</v>
      </c>
      <c r="AO250" t="s">
        <v>208</v>
      </c>
      <c r="AP250" t="s">
        <v>209</v>
      </c>
    </row>
    <row r="251" spans="6:42" x14ac:dyDescent="0.2">
      <c r="F251" s="26" t="s">
        <v>200</v>
      </c>
      <c r="G251" s="64">
        <f>$F10</f>
        <v>0.36</v>
      </c>
      <c r="H251" s="64">
        <f>$F11</f>
        <v>0.28999999999999998</v>
      </c>
      <c r="I251" s="64">
        <f>$F12</f>
        <v>0.35</v>
      </c>
      <c r="J251" s="64">
        <f>$F14</f>
        <v>0.22</v>
      </c>
      <c r="K251" s="55">
        <f>$M10</f>
        <v>0.44</v>
      </c>
      <c r="L251" s="55">
        <f>$M11</f>
        <v>0.38</v>
      </c>
      <c r="M251" s="55">
        <f>$M12</f>
        <v>0.45</v>
      </c>
      <c r="N251" s="55">
        <f>$M14</f>
        <v>0.3</v>
      </c>
      <c r="O251" s="64">
        <f>$T10</f>
        <v>0.37</v>
      </c>
      <c r="P251" s="64">
        <f>$T11</f>
        <v>0.31</v>
      </c>
      <c r="Q251" s="64">
        <f>$T12</f>
        <v>0.37</v>
      </c>
      <c r="R251" s="64">
        <f>$T14</f>
        <v>0.23</v>
      </c>
      <c r="S251" s="64">
        <f>$AA10</f>
        <v>0.44</v>
      </c>
      <c r="T251" s="64">
        <f>$AA11</f>
        <v>0.35</v>
      </c>
      <c r="U251" s="64">
        <f>$AA12</f>
        <v>0.43</v>
      </c>
      <c r="V251" s="64">
        <f>$AA14</f>
        <v>0.26</v>
      </c>
      <c r="W251" s="58">
        <f>$AH10</f>
        <v>0.56999999999999995</v>
      </c>
      <c r="X251" s="58">
        <f>$AH11</f>
        <v>0.51</v>
      </c>
      <c r="Y251" s="58">
        <f>$AH12</f>
        <v>0.59</v>
      </c>
      <c r="Z251" s="58">
        <f>$AH14</f>
        <v>0.43</v>
      </c>
      <c r="AA251" s="58">
        <f>$AQ10</f>
        <v>0.47</v>
      </c>
      <c r="AB251" s="58">
        <f>$AQ11</f>
        <v>0.35</v>
      </c>
      <c r="AC251" s="58">
        <f>$AQ12</f>
        <v>0.44</v>
      </c>
      <c r="AD251" s="58">
        <f>$AQ14</f>
        <v>0.24</v>
      </c>
      <c r="AE251" s="287">
        <v>0.44</v>
      </c>
      <c r="AF251" s="288">
        <v>0.3</v>
      </c>
      <c r="AG251" s="291">
        <v>0.39</v>
      </c>
      <c r="AH251" s="291">
        <v>0.21</v>
      </c>
      <c r="AI251" s="425">
        <v>0.42</v>
      </c>
      <c r="AJ251" s="426">
        <v>0.31</v>
      </c>
      <c r="AK251" s="427">
        <v>0.39</v>
      </c>
      <c r="AL251" s="427">
        <v>0.22</v>
      </c>
      <c r="AM251" s="425">
        <v>0.39</v>
      </c>
      <c r="AN251" s="426">
        <v>0.28999999999999998</v>
      </c>
      <c r="AO251" s="427">
        <v>0.36</v>
      </c>
      <c r="AP251" s="427">
        <v>0.2</v>
      </c>
    </row>
    <row r="252" spans="6:42" x14ac:dyDescent="0.2">
      <c r="F252" s="26" t="s">
        <v>201</v>
      </c>
      <c r="G252" s="64">
        <f>$G10</f>
        <v>0.33</v>
      </c>
      <c r="H252" s="64">
        <f>$G11</f>
        <v>0.4</v>
      </c>
      <c r="I252" s="64">
        <f>$G12</f>
        <v>0.41</v>
      </c>
      <c r="J252" s="64">
        <f>$G14</f>
        <v>0.38</v>
      </c>
      <c r="K252" s="55">
        <f>$N10</f>
        <v>0.3</v>
      </c>
      <c r="L252" s="55">
        <f>$N11</f>
        <v>0.36</v>
      </c>
      <c r="M252" s="55">
        <f>$N12</f>
        <v>0.36</v>
      </c>
      <c r="N252" s="55">
        <f>$N14</f>
        <v>0.36</v>
      </c>
      <c r="O252" s="64">
        <f>$U10</f>
        <v>0.34</v>
      </c>
      <c r="P252" s="64">
        <f>$U11</f>
        <v>0.42</v>
      </c>
      <c r="Q252" s="64">
        <f>$U12</f>
        <v>0.43</v>
      </c>
      <c r="R252" s="64">
        <f>$U14</f>
        <v>0.4</v>
      </c>
      <c r="S252" s="64">
        <f>$AB10</f>
        <v>0.3</v>
      </c>
      <c r="T252" s="64">
        <f>$AB11</f>
        <v>0.39</v>
      </c>
      <c r="U252" s="64">
        <f>$AB12</f>
        <v>0.38</v>
      </c>
      <c r="V252" s="64">
        <f>$AB14</f>
        <v>0.4</v>
      </c>
      <c r="W252" s="58">
        <f>$AI10</f>
        <v>0.27</v>
      </c>
      <c r="X252" s="58">
        <f>$AI11</f>
        <v>0.34</v>
      </c>
      <c r="Y252" s="58">
        <f>$AI12</f>
        <v>0.32</v>
      </c>
      <c r="Z252" s="58">
        <f>$AI14</f>
        <v>0.37</v>
      </c>
      <c r="AA252" s="58">
        <f>$AR10</f>
        <v>0.28000000000000003</v>
      </c>
      <c r="AB252" s="58">
        <f>$AR11</f>
        <v>0.37</v>
      </c>
      <c r="AC252" s="58">
        <f>$AR12</f>
        <v>0.37</v>
      </c>
      <c r="AD252" s="58">
        <f>$AR14</f>
        <v>0.37</v>
      </c>
      <c r="AE252" s="287">
        <v>0.28000000000000003</v>
      </c>
      <c r="AF252" s="288">
        <v>0.36</v>
      </c>
      <c r="AG252" s="291">
        <v>0.36</v>
      </c>
      <c r="AH252" s="291">
        <v>0.35</v>
      </c>
      <c r="AI252" s="425">
        <v>0.31</v>
      </c>
      <c r="AJ252" s="426">
        <v>0.37</v>
      </c>
      <c r="AK252" s="427">
        <v>0.39</v>
      </c>
      <c r="AL252" s="427">
        <v>0.35</v>
      </c>
      <c r="AM252" s="425">
        <v>0.3</v>
      </c>
      <c r="AN252" s="426">
        <v>0.36</v>
      </c>
      <c r="AO252" s="427">
        <v>0.38</v>
      </c>
      <c r="AP252" s="427">
        <v>0.34</v>
      </c>
    </row>
    <row r="253" spans="6:42" x14ac:dyDescent="0.2">
      <c r="F253" s="26" t="s">
        <v>202</v>
      </c>
      <c r="G253" s="64">
        <f>$H10</f>
        <v>0.19</v>
      </c>
      <c r="H253" s="64">
        <f>$H11</f>
        <v>0.24</v>
      </c>
      <c r="I253" s="64">
        <f>$H12</f>
        <v>0.2</v>
      </c>
      <c r="J253" s="64">
        <f>$H14</f>
        <v>0.28000000000000003</v>
      </c>
      <c r="K253" s="55">
        <f>$O10</f>
        <v>0.16</v>
      </c>
      <c r="L253" s="55">
        <f>$O11</f>
        <v>0.2</v>
      </c>
      <c r="M253" s="55">
        <f>$O12</f>
        <v>0.16</v>
      </c>
      <c r="N253" s="55">
        <f>$O14</f>
        <v>0.25</v>
      </c>
      <c r="O253" s="64">
        <f>$V10</f>
        <v>0.19</v>
      </c>
      <c r="P253" s="64">
        <f>$V11</f>
        <v>0.21</v>
      </c>
      <c r="Q253" s="64">
        <f>$V12</f>
        <v>0.16</v>
      </c>
      <c r="R253" s="64">
        <f>$V14</f>
        <v>0.28000000000000003</v>
      </c>
      <c r="S253" s="64">
        <f>$AC10</f>
        <v>0.17</v>
      </c>
      <c r="T253" s="64">
        <f>$AC11</f>
        <v>0.2</v>
      </c>
      <c r="U253" s="64">
        <f>$AC12</f>
        <v>0.15</v>
      </c>
      <c r="V253" s="64">
        <f>$AC14</f>
        <v>0.25</v>
      </c>
      <c r="W253" s="58">
        <f>$AJ10</f>
        <v>0.09</v>
      </c>
      <c r="X253" s="58">
        <f>$AJ11</f>
        <v>0.1</v>
      </c>
      <c r="Y253" s="58">
        <f>$AJ12</f>
        <v>7.0000000000000007E-2</v>
      </c>
      <c r="Z253" s="58">
        <f>$AJ14</f>
        <v>0.14000000000000001</v>
      </c>
      <c r="AA253" s="58">
        <f>$AS10</f>
        <v>0.15</v>
      </c>
      <c r="AB253" s="58">
        <f>$AS11</f>
        <v>0.2</v>
      </c>
      <c r="AC253" s="58">
        <f>$AS12</f>
        <v>0.15</v>
      </c>
      <c r="AD253" s="58">
        <f>$AS14</f>
        <v>0.27</v>
      </c>
      <c r="AE253" s="287">
        <v>0.17</v>
      </c>
      <c r="AF253" s="288">
        <v>0.24</v>
      </c>
      <c r="AG253" s="291">
        <v>0.19</v>
      </c>
      <c r="AH253" s="291">
        <v>0.28999999999999998</v>
      </c>
      <c r="AI253" s="425">
        <v>0.16</v>
      </c>
      <c r="AJ253" s="426">
        <v>0.22</v>
      </c>
      <c r="AK253" s="427">
        <v>0.17</v>
      </c>
      <c r="AL253" s="427">
        <v>0.27</v>
      </c>
      <c r="AM253" s="425">
        <v>0.17</v>
      </c>
      <c r="AN253" s="426">
        <v>0.23</v>
      </c>
      <c r="AO253" s="427">
        <v>0.18</v>
      </c>
      <c r="AP253" s="427">
        <v>0.28000000000000003</v>
      </c>
    </row>
    <row r="254" spans="6:42" x14ac:dyDescent="0.2">
      <c r="F254" s="26" t="s">
        <v>203</v>
      </c>
      <c r="G254" s="64">
        <f>$I10</f>
        <v>0.1</v>
      </c>
      <c r="H254" s="64">
        <f>$I11</f>
        <v>0.08</v>
      </c>
      <c r="I254" s="64">
        <f>$I12</f>
        <v>0.04</v>
      </c>
      <c r="J254" s="64">
        <f>$I14</f>
        <v>0.11</v>
      </c>
      <c r="K254" s="55">
        <f>$P10</f>
        <v>0.08</v>
      </c>
      <c r="L254" s="55">
        <f>$P11</f>
        <v>0.05</v>
      </c>
      <c r="M254" s="55">
        <f>$P12</f>
        <v>0.03</v>
      </c>
      <c r="N254" s="55">
        <f>$P14</f>
        <v>7.0000000000000007E-2</v>
      </c>
      <c r="O254" s="64">
        <f>$W10</f>
        <v>0.08</v>
      </c>
      <c r="P254" s="64">
        <f>$W11</f>
        <v>0.06</v>
      </c>
      <c r="Q254" s="64">
        <f>$W12</f>
        <v>0.03</v>
      </c>
      <c r="R254" s="64">
        <f>$W14</f>
        <v>0.08</v>
      </c>
      <c r="S254" s="64">
        <f>$AD10</f>
        <v>7.0000000000000007E-2</v>
      </c>
      <c r="T254" s="64">
        <f>$AD11</f>
        <v>0.06</v>
      </c>
      <c r="U254" s="64">
        <f>$AD12</f>
        <v>0.03</v>
      </c>
      <c r="V254" s="64">
        <f>$AD14</f>
        <v>0.08</v>
      </c>
      <c r="W254" s="58">
        <f>$AK10</f>
        <v>0.06</v>
      </c>
      <c r="X254" s="58">
        <f>$AK11</f>
        <v>0.04</v>
      </c>
      <c r="Y254" s="58">
        <f>$AK12</f>
        <v>0.02</v>
      </c>
      <c r="Z254" s="58">
        <f>$AK14</f>
        <v>0.06</v>
      </c>
      <c r="AA254" s="58">
        <f>$AT10</f>
        <v>0.08</v>
      </c>
      <c r="AB254" s="58">
        <f>$AT11</f>
        <v>7.0000000000000007E-2</v>
      </c>
      <c r="AC254" s="58">
        <f>$AT12</f>
        <v>0.04</v>
      </c>
      <c r="AD254" s="58">
        <f>$AT14</f>
        <v>0.11</v>
      </c>
      <c r="AE254" s="287">
        <v>0.09</v>
      </c>
      <c r="AF254" s="288">
        <v>0.09</v>
      </c>
      <c r="AG254" s="291">
        <v>0.05</v>
      </c>
      <c r="AH254" s="291">
        <v>0.13</v>
      </c>
      <c r="AI254" s="425">
        <v>0.09</v>
      </c>
      <c r="AJ254" s="426">
        <v>0.09</v>
      </c>
      <c r="AK254" s="427">
        <v>0.05</v>
      </c>
      <c r="AL254" s="427">
        <v>0.15</v>
      </c>
      <c r="AM254" s="425">
        <v>0.1</v>
      </c>
      <c r="AN254" s="426">
        <v>0.1</v>
      </c>
      <c r="AO254" s="427">
        <v>7.0000000000000007E-2</v>
      </c>
      <c r="AP254" s="427">
        <v>0.15</v>
      </c>
    </row>
    <row r="255" spans="6:42" x14ac:dyDescent="0.2">
      <c r="F255" s="26" t="s">
        <v>204</v>
      </c>
      <c r="G255" s="64">
        <f>$J10</f>
        <v>0.02</v>
      </c>
      <c r="H255" s="64">
        <f>$J11</f>
        <v>0</v>
      </c>
      <c r="I255" s="64">
        <f>$J12</f>
        <v>0</v>
      </c>
      <c r="J255" s="64">
        <f>$J14</f>
        <v>0</v>
      </c>
      <c r="K255" s="64">
        <f>$Q10</f>
        <v>0.02</v>
      </c>
      <c r="L255" s="55">
        <f>$Q11</f>
        <v>0</v>
      </c>
      <c r="M255" s="64">
        <f>$Q12</f>
        <v>0</v>
      </c>
      <c r="N255" s="64">
        <f>$Q14</f>
        <v>0.01</v>
      </c>
      <c r="O255" s="64">
        <f>$X10</f>
        <v>0.02</v>
      </c>
      <c r="P255" s="64">
        <f>$X11</f>
        <v>0.01</v>
      </c>
      <c r="Q255" s="64">
        <f>$X12</f>
        <v>0</v>
      </c>
      <c r="R255" s="64">
        <f>$X14</f>
        <v>0.01</v>
      </c>
      <c r="S255" s="64">
        <f>$AE10</f>
        <v>0.02</v>
      </c>
      <c r="T255" s="64">
        <f>$AE11</f>
        <v>0</v>
      </c>
      <c r="U255" s="64">
        <f>$AE12</f>
        <v>0</v>
      </c>
      <c r="V255" s="64">
        <f>$AE14</f>
        <v>0.01</v>
      </c>
      <c r="W255" s="64">
        <f>$AL10</f>
        <v>0.01</v>
      </c>
      <c r="X255" s="64">
        <f>$AL11</f>
        <v>0</v>
      </c>
      <c r="Y255" s="64">
        <f>$AL12</f>
        <v>0</v>
      </c>
      <c r="Z255" s="64">
        <f>$AL14</f>
        <v>0</v>
      </c>
      <c r="AA255" s="64">
        <f>$AU10</f>
        <v>0.02</v>
      </c>
      <c r="AB255" s="64">
        <f>$AU11</f>
        <v>0.01</v>
      </c>
      <c r="AC255" s="64">
        <f>$AU12</f>
        <v>0</v>
      </c>
      <c r="AD255" s="64">
        <f>$AU14</f>
        <v>0.01</v>
      </c>
      <c r="AE255" s="287">
        <v>0.02</v>
      </c>
      <c r="AF255" s="288">
        <v>0.01</v>
      </c>
      <c r="AG255" s="291">
        <v>0</v>
      </c>
      <c r="AH255" s="291">
        <v>0.01</v>
      </c>
      <c r="AI255" s="425">
        <v>0.03</v>
      </c>
      <c r="AJ255" s="426">
        <v>0.01</v>
      </c>
      <c r="AK255" s="427">
        <v>0</v>
      </c>
      <c r="AL255" s="427">
        <v>0.02</v>
      </c>
      <c r="AM255" s="425">
        <v>0.03</v>
      </c>
      <c r="AN255" s="426">
        <v>0.02</v>
      </c>
      <c r="AO255" s="427">
        <v>0.01</v>
      </c>
      <c r="AP255" s="427">
        <v>0.03</v>
      </c>
    </row>
    <row r="292" spans="4:49" x14ac:dyDescent="0.2">
      <c r="E292" s="1218">
        <v>2016</v>
      </c>
      <c r="F292" s="1269"/>
      <c r="G292" s="1269"/>
      <c r="H292" s="1269"/>
      <c r="I292" s="1270"/>
      <c r="J292" s="1218">
        <v>2017</v>
      </c>
      <c r="K292" s="1269"/>
      <c r="L292" s="1269"/>
      <c r="M292" s="1269"/>
      <c r="N292" s="1270"/>
      <c r="O292" s="1218">
        <v>2018</v>
      </c>
      <c r="P292" s="1269"/>
      <c r="Q292" s="1269"/>
      <c r="R292" s="1269"/>
      <c r="S292" s="1270"/>
      <c r="T292" s="1218">
        <v>2019</v>
      </c>
      <c r="U292" s="1269"/>
      <c r="V292" s="1269"/>
      <c r="W292" s="1269"/>
      <c r="X292" s="1270"/>
      <c r="Y292" s="1218">
        <v>2020</v>
      </c>
      <c r="Z292" s="1269"/>
      <c r="AA292" s="1269"/>
      <c r="AB292" s="1269"/>
      <c r="AC292" s="1270"/>
      <c r="AD292" s="1218">
        <v>2021</v>
      </c>
      <c r="AE292" s="1269"/>
      <c r="AF292" s="1269"/>
      <c r="AG292" s="1269"/>
      <c r="AH292" s="1270"/>
      <c r="AI292" s="1218">
        <v>2022</v>
      </c>
      <c r="AJ292" s="1269"/>
      <c r="AK292" s="1269"/>
      <c r="AL292" s="1269"/>
      <c r="AM292" s="1270"/>
      <c r="AN292" s="1218">
        <v>2023</v>
      </c>
      <c r="AO292" s="1269"/>
      <c r="AP292" s="1269"/>
      <c r="AQ292" s="1269"/>
      <c r="AR292" s="1270"/>
      <c r="AS292" s="1218">
        <v>2024</v>
      </c>
      <c r="AT292" s="1269"/>
      <c r="AU292" s="1269"/>
      <c r="AV292" s="1269"/>
      <c r="AW292" s="1270"/>
    </row>
    <row r="293" spans="4:49" x14ac:dyDescent="0.2">
      <c r="E293" s="559" t="s">
        <v>200</v>
      </c>
      <c r="F293" s="559" t="s">
        <v>201</v>
      </c>
      <c r="G293" s="559" t="s">
        <v>202</v>
      </c>
      <c r="H293" s="559" t="s">
        <v>203</v>
      </c>
      <c r="I293" s="559" t="s">
        <v>204</v>
      </c>
      <c r="J293" s="559" t="s">
        <v>200</v>
      </c>
      <c r="K293" s="559" t="s">
        <v>201</v>
      </c>
      <c r="L293" s="559" t="s">
        <v>202</v>
      </c>
      <c r="M293" s="559" t="s">
        <v>203</v>
      </c>
      <c r="N293" s="559" t="s">
        <v>204</v>
      </c>
      <c r="O293" s="559" t="s">
        <v>200</v>
      </c>
      <c r="P293" s="559" t="s">
        <v>201</v>
      </c>
      <c r="Q293" s="559" t="s">
        <v>202</v>
      </c>
      <c r="R293" s="559" t="s">
        <v>203</v>
      </c>
      <c r="S293" s="559" t="s">
        <v>204</v>
      </c>
      <c r="T293" s="559" t="s">
        <v>200</v>
      </c>
      <c r="U293" s="559" t="s">
        <v>201</v>
      </c>
      <c r="V293" s="559" t="s">
        <v>202</v>
      </c>
      <c r="W293" s="559" t="s">
        <v>203</v>
      </c>
      <c r="X293" s="559" t="s">
        <v>204</v>
      </c>
      <c r="Y293" s="559" t="s">
        <v>200</v>
      </c>
      <c r="Z293" s="559" t="s">
        <v>201</v>
      </c>
      <c r="AA293" s="559" t="s">
        <v>202</v>
      </c>
      <c r="AB293" s="559" t="s">
        <v>203</v>
      </c>
      <c r="AC293" s="559" t="s">
        <v>204</v>
      </c>
      <c r="AD293" s="559" t="s">
        <v>200</v>
      </c>
      <c r="AE293" s="559" t="s">
        <v>201</v>
      </c>
      <c r="AF293" s="559" t="s">
        <v>202</v>
      </c>
      <c r="AG293" s="559" t="s">
        <v>203</v>
      </c>
      <c r="AH293" s="559" t="s">
        <v>204</v>
      </c>
      <c r="AI293" s="559" t="s">
        <v>200</v>
      </c>
      <c r="AJ293" s="559" t="s">
        <v>201</v>
      </c>
      <c r="AK293" s="559" t="s">
        <v>202</v>
      </c>
      <c r="AL293" s="559" t="s">
        <v>203</v>
      </c>
      <c r="AM293" s="559" t="s">
        <v>204</v>
      </c>
      <c r="AN293" s="559" t="s">
        <v>200</v>
      </c>
      <c r="AO293" s="559" t="s">
        <v>201</v>
      </c>
      <c r="AP293" s="559" t="s">
        <v>202</v>
      </c>
      <c r="AQ293" s="559" t="s">
        <v>203</v>
      </c>
      <c r="AR293" s="559" t="s">
        <v>204</v>
      </c>
      <c r="AS293" s="559" t="s">
        <v>200</v>
      </c>
      <c r="AT293" s="559" t="s">
        <v>201</v>
      </c>
      <c r="AU293" s="559" t="s">
        <v>202</v>
      </c>
      <c r="AV293" s="559" t="s">
        <v>203</v>
      </c>
      <c r="AW293" s="559" t="s">
        <v>204</v>
      </c>
    </row>
    <row r="294" spans="4:49" x14ac:dyDescent="0.2">
      <c r="D294" s="27" t="s">
        <v>140</v>
      </c>
      <c r="E294" s="558">
        <f>AVERAGEIF($C$36:$C$173,"=1",$F$36:$F$173)</f>
        <v>0.29882352941176465</v>
      </c>
      <c r="F294" s="558">
        <f>AVERAGEIF($C$36:$C$173,"=1",$G$36:$G$173)</f>
        <v>0.4611764705882353</v>
      </c>
      <c r="G294" s="558">
        <f>AVERAGEIF($C$36:$C$173,"=1",$H$36:$H$173)</f>
        <v>0.18470588235294122</v>
      </c>
      <c r="H294" s="558">
        <f>AVERAGEIF($C$36:$C$173,"=1",$I$36:$I$173)</f>
        <v>5.4705882352941181E-2</v>
      </c>
      <c r="I294" s="558">
        <f>AVERAGEIF($C$36:$C$173,"=1",$J$36:$J$173)</f>
        <v>0</v>
      </c>
      <c r="J294" s="558">
        <f>AVERAGEIF($C$36:$C$173,"=1",$M$36:$M$173)</f>
        <v>0.41125</v>
      </c>
      <c r="K294" s="558">
        <f>AVERAGEIF($C$36:$C$173,"=1",$N$36:$N$173)</f>
        <v>0.38874999999999998</v>
      </c>
      <c r="L294" s="558">
        <f>AVERAGEIF($C$36:$C$173,"=1",$O$36:$O$173)</f>
        <v>0.15812500000000004</v>
      </c>
      <c r="M294" s="558">
        <f>AVERAGEIF($C$36:$C$173,"=1",$P$36:$P$173)</f>
        <v>4.2499999999999996E-2</v>
      </c>
      <c r="N294" s="558">
        <f>AVERAGEIF($C$36:$C$173,"=1",$Q$36:$Q$173)</f>
        <v>6.2500000000000001E-4</v>
      </c>
      <c r="O294" s="558">
        <f>AVERAGEIF($C$36:$C$173,"=1",$T$36:$T$173)</f>
        <v>0.30294117647058827</v>
      </c>
      <c r="P294" s="558">
        <f>AVERAGEIF($C$36:$C$173,"=1",$U$36:$U$173)</f>
        <v>0.42352941176470588</v>
      </c>
      <c r="Q294" s="558">
        <f>AVERAGEIF($C$36:$C$173,"=1",$V$36:$V$173)</f>
        <v>0.24117647058823521</v>
      </c>
      <c r="R294" s="558">
        <f>AVERAGEIF($C$36:$C$173,"=1",$W$36:$W$173)</f>
        <v>3.2352941176470591E-2</v>
      </c>
      <c r="S294" s="558">
        <f>AVERAGEIF($C$36:$C$173,"=1",$X$36:$X$173)</f>
        <v>1.1764705882352942E-3</v>
      </c>
      <c r="T294" s="558">
        <f>AVERAGEIF($C$36:$C$173,"=1",$AA$36:$AA$173)</f>
        <v>0.37470588235294122</v>
      </c>
      <c r="U294" s="558">
        <f>AVERAGEIF($C$36:$C$173,"=1",$AB$36:$AB$173)</f>
        <v>0.42352941176470582</v>
      </c>
      <c r="V294" s="558">
        <f>AVERAGEIF($C$36:$C$173,"=1",$AC$36:$AC$173)</f>
        <v>0.16705882352941182</v>
      </c>
      <c r="W294" s="558">
        <f>AVERAGEIF($C$36:$C$173,"=1",$AD$36:$AD$173)</f>
        <v>3.529411764705883E-2</v>
      </c>
      <c r="X294" s="562">
        <f>AVERAGEIF($C$36:$C$173,"=1",$AE$36:$AE$173)</f>
        <v>1.764705882352941E-3</v>
      </c>
      <c r="Y294" s="560">
        <f>AVERAGEIF($C$36:$C$173,"=1",$AH$36:$AH$173)</f>
        <v>0.52176470588235302</v>
      </c>
      <c r="Z294" s="558">
        <f>AVERAGEIF($C$36:$C$173,"=1",$AI$36:$AI$173)</f>
        <v>0.33882352941176475</v>
      </c>
      <c r="AA294" s="558">
        <f>AVERAGEIF($C$36:$C$173,"=1",$AJ$36:$AJ$173)</f>
        <v>0.10764705882352942</v>
      </c>
      <c r="AB294" s="558">
        <f>AVERAGEIF($C$36:$C$173,"=1",$AK$36:$AK$173)</f>
        <v>2.9411764705882349E-2</v>
      </c>
      <c r="AC294" s="561">
        <f>AVERAGEIF($C$36:$C$173,"=1",$AL$36:$AL$173)</f>
        <v>2.9411764705882353E-3</v>
      </c>
      <c r="AD294" s="560">
        <f>AVERAGEIF($C$36:$C$173,"=1",$AQ$36:$AQ$173)</f>
        <v>0.30294117647058816</v>
      </c>
      <c r="AE294" s="558">
        <f>AVERAGEIF($C$36:$C$173,"=1",$AR$36:$AR$173)</f>
        <v>0.40941176470588231</v>
      </c>
      <c r="AF294" s="558">
        <f>AVERAGEIF($C$36:$C$173,"=1",$AS$36:$AS$173)</f>
        <v>0.23176470588235296</v>
      </c>
      <c r="AG294" s="558">
        <f>AVERAGEIF($C$36:$C$173,"=1",$AT$36:$AT$173)</f>
        <v>5.2352941176470595E-2</v>
      </c>
      <c r="AH294" s="561">
        <f>AVERAGEIF($C$36:$C$173,"=1",$AU$36:$AU$173)</f>
        <v>4.7058823529411769E-3</v>
      </c>
      <c r="AI294" s="560">
        <v>0.3288888888888889</v>
      </c>
      <c r="AJ294" s="558">
        <v>0.37388888888888883</v>
      </c>
      <c r="AK294" s="558">
        <v>0.21944444444444444</v>
      </c>
      <c r="AL294" s="558">
        <v>7.0555555555555552E-2</v>
      </c>
      <c r="AM294" s="561">
        <v>8.333333333333335E-3</v>
      </c>
      <c r="AN294" s="560">
        <v>0.29529411764705887</v>
      </c>
      <c r="AO294" s="558">
        <v>0.40352941176470591</v>
      </c>
      <c r="AP294" s="558">
        <v>0.21647058823529414</v>
      </c>
      <c r="AQ294" s="558">
        <v>7.7058823529411763E-2</v>
      </c>
      <c r="AR294" s="561">
        <v>7.6470588235294122E-3</v>
      </c>
      <c r="AS294" s="342">
        <v>0.25722222222222224</v>
      </c>
      <c r="AT294" s="558">
        <v>0.41166666666666663</v>
      </c>
      <c r="AU294" s="558">
        <v>0.23777777777777775</v>
      </c>
      <c r="AV294" s="558">
        <v>8.4444444444444461E-2</v>
      </c>
      <c r="AW294" s="561">
        <v>8.8888888888888889E-3</v>
      </c>
    </row>
    <row r="295" spans="4:49" x14ac:dyDescent="0.2">
      <c r="D295" s="27" t="s">
        <v>141</v>
      </c>
      <c r="E295" s="39">
        <f>AVERAGEIF($C$36:$C$173,"=2",$F$36:$F$173)</f>
        <v>0.26199999999999996</v>
      </c>
      <c r="F295" s="39">
        <f>AVERAGEIF($C$36:$C$173,"=2",$G$36:$G$173)</f>
        <v>0.36</v>
      </c>
      <c r="G295" s="39">
        <f>AVERAGEIF($C$36:$C$173,"=2",$H$36:$H$173)</f>
        <v>0.27350000000000002</v>
      </c>
      <c r="H295" s="39">
        <f>AVERAGEIF($C$36:$C$173,"=2",$I$36:$I$173)</f>
        <v>9.8000000000000004E-2</v>
      </c>
      <c r="I295" s="39">
        <f>AVERAGEIF($C$36:$C$173,"=2",$J$36:$J$173)</f>
        <v>6.5000000000000006E-3</v>
      </c>
      <c r="J295" s="39">
        <f>AVERAGEIF($C$36:$C$173,"=2",$M$36:$M$173)</f>
        <v>0.35105263157894734</v>
      </c>
      <c r="K295" s="39">
        <f>AVERAGEIF($C$36:$C$173,"=2",$N$36:$N$173)</f>
        <v>0.31894736842105259</v>
      </c>
      <c r="L295" s="39">
        <f>AVERAGEIF($C$36:$C$173,"=2",$O$36:$O$173)</f>
        <v>0.2636842105263158</v>
      </c>
      <c r="M295" s="39">
        <f>AVERAGEIF($C$36:$C$173,"=2",$P$36:$P$173)</f>
        <v>6.0000000000000005E-2</v>
      </c>
      <c r="N295" s="39">
        <f>AVERAGEIF($C$36:$C$173,"=2",$Q$36:$Q$173)</f>
        <v>5.7894736842105266E-3</v>
      </c>
      <c r="O295" s="39">
        <f>AVERAGEIF($C$36:$C$173,"=2",$T$36:$T$173)</f>
        <v>0.24578947368421053</v>
      </c>
      <c r="P295" s="39">
        <f>AVERAGEIF($C$36:$C$173,"=2",$U$36:$U$173)</f>
        <v>0.41736842105263161</v>
      </c>
      <c r="Q295" s="39">
        <f>AVERAGEIF($C$36:$C$173,"=2",$V$36:$V$173)</f>
        <v>0.25105263157894742</v>
      </c>
      <c r="R295" s="39">
        <f>AVERAGEIF($C$36:$C$173,"=2",$W$36:$W$173)</f>
        <v>7.4736842105263171E-2</v>
      </c>
      <c r="S295" s="39">
        <f>AVERAGEIF($C$36:$C$173,"=2",$X$36:$X$173)</f>
        <v>8.9473684210526309E-3</v>
      </c>
      <c r="T295" s="39">
        <f>AVERAGEIF($C$36:$C$173,"=2",$AA$36:$AA$173)</f>
        <v>0.27450000000000008</v>
      </c>
      <c r="U295" s="39">
        <f>AVERAGEIF($C$36:$C$173,"=2",$AB$36:$AB$173)</f>
        <v>0.38849999999999996</v>
      </c>
      <c r="V295" s="39">
        <f>AVERAGEIF($C$36:$C$173,"=2",$AC$36:$AC$173)</f>
        <v>0.24100000000000002</v>
      </c>
      <c r="W295" s="39">
        <f>AVERAGEIF($C$36:$C$173,"=2",$AD$36:$AD$173)</f>
        <v>8.5000000000000006E-2</v>
      </c>
      <c r="X295" s="550">
        <f>AVERAGEIF($C$36:$C$173,"=2",$AE$36:$AE$173)</f>
        <v>1.0999999999999999E-2</v>
      </c>
      <c r="Y295" s="546">
        <f>AVERAGEIF($C$36:$C$173,"=2",$AH$36:$AH$173)</f>
        <v>0.50583333333333336</v>
      </c>
      <c r="Z295" s="475">
        <f>AVERAGEIF($C$36:$C$173,"=2",$AI$36:$AI$173)</f>
        <v>0.31958333333333339</v>
      </c>
      <c r="AA295" s="475">
        <f>AVERAGEIF($C$36:$C$173,"=2",$AJ$36:$AJ$173)</f>
        <v>0.10124999999999999</v>
      </c>
      <c r="AB295" s="475">
        <f>AVERAGEIF($C$36:$C$173,"=2",$AK$36:$AK$173)</f>
        <v>6.458333333333334E-2</v>
      </c>
      <c r="AC295" s="510">
        <f>AVERAGEIF($C$36:$C$173,"=2",$AL$36:$AL$173)</f>
        <v>9.166666666666665E-3</v>
      </c>
      <c r="AD295" s="546">
        <f>AVERAGEIF($C$36:$C$173,"=2",$AQ$36:$AQ$173)</f>
        <v>0.28499999999999998</v>
      </c>
      <c r="AE295" s="475">
        <f>AVERAGEIF($C$36:$C$173,"=2",$AR$36:$AR$173)</f>
        <v>0.3736363636363636</v>
      </c>
      <c r="AF295" s="475">
        <f>AVERAGEIF($C$36:$C$173,"=2",$AS$36:$AS$173)</f>
        <v>0.23727272727272722</v>
      </c>
      <c r="AG295" s="475">
        <f>AVERAGEIF($C$36:$C$173,"=2",$AT$36:$AT$173)</f>
        <v>8.9090909090909096E-2</v>
      </c>
      <c r="AH295" s="510">
        <f>AVERAGEIF($C$36:$C$173,"=2",$AU$36:$AU$173)</f>
        <v>1.3636363636363636E-2</v>
      </c>
      <c r="AI295" s="546">
        <v>0.25840000000000002</v>
      </c>
      <c r="AJ295" s="475">
        <v>0.28999999999999992</v>
      </c>
      <c r="AK295" s="475">
        <v>0.3044</v>
      </c>
      <c r="AL295" s="475">
        <v>0.13639999999999997</v>
      </c>
      <c r="AM295" s="510">
        <v>1.2800000000000002E-2</v>
      </c>
      <c r="AN295" s="546">
        <v>0.30499999999999994</v>
      </c>
      <c r="AO295" s="475">
        <v>0.32384615384615384</v>
      </c>
      <c r="AP295" s="475">
        <v>0.21269230769230768</v>
      </c>
      <c r="AQ295" s="475">
        <v>0.14615384615384611</v>
      </c>
      <c r="AR295" s="510">
        <v>1.1538461538461537E-2</v>
      </c>
      <c r="AS295" s="342">
        <v>0.25083333333333335</v>
      </c>
      <c r="AT295" s="475">
        <v>0.32083333333333336</v>
      </c>
      <c r="AU295" s="475">
        <v>0.25583333333333336</v>
      </c>
      <c r="AV295" s="475">
        <v>0.14499999999999999</v>
      </c>
      <c r="AW295" s="510">
        <v>2.7083333333333334E-2</v>
      </c>
    </row>
    <row r="296" spans="4:49" x14ac:dyDescent="0.2">
      <c r="D296" s="27" t="s">
        <v>142</v>
      </c>
      <c r="E296" s="39">
        <f>AVERAGEIF($C$36:$C$173,"=3",$F$36:$F$173)</f>
        <v>0.25222222222222229</v>
      </c>
      <c r="F296" s="39">
        <f>AVERAGEIF($C$36:$C$173,"=3",$G$36:$G$173)</f>
        <v>0.4005555555555555</v>
      </c>
      <c r="G296" s="39">
        <f>AVERAGEIF($C$36:$C$173,"=3",$H$36:$H$173)</f>
        <v>0.27055555555555555</v>
      </c>
      <c r="H296" s="39">
        <f>AVERAGEIF($C$36:$C$173,"=3",$I$36:$I$173)</f>
        <v>7.6666666666666661E-2</v>
      </c>
      <c r="I296" s="39">
        <f>AVERAGEIF($C$36:$C$173,"=3",$J$36:$J$173)</f>
        <v>2.7777777777777779E-3</v>
      </c>
      <c r="J296" s="39">
        <f>AVERAGEIF($C$36:$C$173,"=3",$M$36:$M$173)</f>
        <v>0.3568421052631579</v>
      </c>
      <c r="K296" s="39">
        <f>AVERAGEIF($C$36:$C$173,"=3",$N$36:$N$173)</f>
        <v>0.3936842105263158</v>
      </c>
      <c r="L296" s="39">
        <f>AVERAGEIF($C$36:$C$173,"=3",$O$36:$O$173)</f>
        <v>0.19789473684210526</v>
      </c>
      <c r="M296" s="39">
        <f>AVERAGEIF($C$36:$C$173,"=3",$P$36:$P$173)</f>
        <v>4.9473684210526329E-2</v>
      </c>
      <c r="N296" s="39">
        <f>AVERAGEIF($C$36:$C$173,"=3",$Q$36:$Q$173)</f>
        <v>3.6842105263157898E-3</v>
      </c>
      <c r="O296" s="39">
        <f>AVERAGEIF($C$36:$C$173,"=3",$T$36:$T$173)</f>
        <v>0.28526315789473689</v>
      </c>
      <c r="P296" s="39">
        <f>AVERAGEIF($C$36:$C$173,"=3",$U$36:$U$173)</f>
        <v>0.41421052631578942</v>
      </c>
      <c r="Q296" s="39">
        <f>AVERAGEIF($C$36:$C$173,"=3",$V$36:$V$173)</f>
        <v>0.24684210526315792</v>
      </c>
      <c r="R296" s="39">
        <f>AVERAGEIF($C$36:$C$173,"=3",$W$36:$W$173)</f>
        <v>4.7894736842105282E-2</v>
      </c>
      <c r="S296" s="39">
        <f>AVERAGEIF($C$36:$C$173,"=3",$X$36:$X$173)</f>
        <v>4.7368421052631574E-3</v>
      </c>
      <c r="T296" s="39">
        <f>AVERAGEIF($C$36:$C$173,"=3",$AA$36:$AA$173)</f>
        <v>0.33473684210526317</v>
      </c>
      <c r="U296" s="39">
        <f>AVERAGEIF($C$36:$C$173,"=3",$AB$36:$AB$173)</f>
        <v>0.3978947368421053</v>
      </c>
      <c r="V296" s="39">
        <f>AVERAGEIF($C$36:$C$173,"=3",$AC$36:$AC$173)</f>
        <v>0.21000000000000002</v>
      </c>
      <c r="W296" s="39">
        <f>AVERAGEIF($C$36:$C$173,"=3",$AD$36:$AD$173)</f>
        <v>5.6842105263157895E-2</v>
      </c>
      <c r="X296" s="550">
        <f>AVERAGEIF($C$36:$C$173,"=3",$AE$36:$AE$173)</f>
        <v>1.5789473684210526E-3</v>
      </c>
      <c r="Y296" s="546">
        <f>AVERAGEIF($C$36:$C$173,"=3",$AH$36:$AH$173)</f>
        <v>0.48</v>
      </c>
      <c r="Z296" s="475">
        <f>AVERAGEIF($C$36:$C$173,"=3",$AI$36:$AI$173)</f>
        <v>0.35749999999999998</v>
      </c>
      <c r="AA296" s="475">
        <f>AVERAGEIF($C$36:$C$173,"=3",$AJ$36:$AJ$173)</f>
        <v>0.11499999999999999</v>
      </c>
      <c r="AB296" s="475">
        <f>AVERAGEIF($C$36:$C$173,"=3",$AK$36:$AK$173)</f>
        <v>4.5999999999999999E-2</v>
      </c>
      <c r="AC296" s="510">
        <f>AVERAGEIF($C$36:$C$173,"=3",$AL$36:$AL$173)</f>
        <v>1.5E-3</v>
      </c>
      <c r="AD296" s="546">
        <f>AVERAGEIF($C$36:$C$173,"=3",$AQ$36:$AQ$173)</f>
        <v>0.34799999999999998</v>
      </c>
      <c r="AE296" s="475">
        <f>AVERAGEIF($C$36:$C$173,"=3",$AR$36:$AR$173)</f>
        <v>0.34050000000000002</v>
      </c>
      <c r="AF296" s="475">
        <f>AVERAGEIF($C$36:$C$173,"=3",$AS$36:$AS$173)</f>
        <v>0.21599999999999997</v>
      </c>
      <c r="AG296" s="475">
        <f>AVERAGEIF($C$36:$C$173,"=3",$AT$36:$AT$173)</f>
        <v>8.7000000000000008E-2</v>
      </c>
      <c r="AH296" s="510">
        <f>AVERAGEIF($C$36:$C$173,"=3",$AU$36:$AU$173)</f>
        <v>9.0000000000000011E-3</v>
      </c>
      <c r="AI296" s="546">
        <v>0.27590909090909094</v>
      </c>
      <c r="AJ296" s="475">
        <v>0.33909090909090911</v>
      </c>
      <c r="AK296" s="475">
        <v>0.25090909090909091</v>
      </c>
      <c r="AL296" s="475">
        <v>0.12590909090909086</v>
      </c>
      <c r="AM296" s="510">
        <v>1.0454545454545456E-2</v>
      </c>
      <c r="AN296" s="546">
        <v>0.26500000000000001</v>
      </c>
      <c r="AO296" s="475">
        <v>0.36409090909090908</v>
      </c>
      <c r="AP296" s="475">
        <v>0.25727272727272732</v>
      </c>
      <c r="AQ296" s="475">
        <v>9.6818181818181831E-2</v>
      </c>
      <c r="AR296" s="510">
        <v>1.6818181818181822E-2</v>
      </c>
      <c r="AS296" s="342">
        <v>0.2372727272727273</v>
      </c>
      <c r="AT296" s="475">
        <v>0.36227272727272725</v>
      </c>
      <c r="AU296" s="475">
        <v>0.26090909090909098</v>
      </c>
      <c r="AV296" s="475">
        <v>0.11909090909090909</v>
      </c>
      <c r="AW296" s="510">
        <v>2.0000000000000004E-2</v>
      </c>
    </row>
    <row r="297" spans="4:49" x14ac:dyDescent="0.2">
      <c r="D297" s="27" t="s">
        <v>143</v>
      </c>
      <c r="E297" s="39">
        <f>AVERAGEIF($C$36:$C$173,"=4",$F$36:$F$173)</f>
        <v>0.41285714285714292</v>
      </c>
      <c r="F297" s="39">
        <f>AVERAGEIF($C$36:$C$173,"=1",$G$36:$G$173)</f>
        <v>0.4611764705882353</v>
      </c>
      <c r="G297" s="39">
        <f>AVERAGEIF($C$36:$C$173,"=4",$H$36:$H$173)</f>
        <v>0.15928571428571428</v>
      </c>
      <c r="H297" s="39">
        <f>AVERAGEIF($C$36:$C$173,"=4",$I$36:$I$173)</f>
        <v>5.8571428571428573E-2</v>
      </c>
      <c r="I297" s="39">
        <f>AVERAGEIF($C$36:$C$173,"=4",$J$36:$J$173)</f>
        <v>7.1428571428571429E-4</v>
      </c>
      <c r="J297" s="39">
        <f>AVERAGEIF($C$36:$C$173,"=4",$M$36:$M$173)</f>
        <v>0.46666666666666667</v>
      </c>
      <c r="K297" s="39">
        <f>AVERAGEIF($C$36:$C$173,"=4",$N$36:$N$173)</f>
        <v>0.32333333333333331</v>
      </c>
      <c r="L297" s="39">
        <f>AVERAGEIF($C$36:$C$173,"=4",$O$36:$O$173)</f>
        <v>0.19533333333333333</v>
      </c>
      <c r="M297" s="39">
        <f>AVERAGEIF($C$36:$C$173,"=4",$P$36:$P$173)</f>
        <v>1.6E-2</v>
      </c>
      <c r="N297" s="39">
        <f>AVERAGEIF($C$36:$C$173,"=4",$Q$36:$Q$173)</f>
        <v>6.6666666666666664E-4</v>
      </c>
      <c r="O297" s="39">
        <f>AVERAGEIF($C$36:$C$173,"=4",$T$36:$T$173)</f>
        <v>0.35133333333333339</v>
      </c>
      <c r="P297" s="39">
        <f>AVERAGEIF($C$36:$C$173,"=4",$U$36:$U$173)</f>
        <v>0.37066666666666664</v>
      </c>
      <c r="Q297" s="39">
        <f>AVERAGEIF($C$36:$C$173,"=4",$V$36:$V$173)</f>
        <v>0.19400000000000001</v>
      </c>
      <c r="R297" s="39">
        <f>AVERAGEIF($C$36:$C$173,"=4",$W$36:$W$173)</f>
        <v>7.8666666666666676E-2</v>
      </c>
      <c r="S297" s="39">
        <f>AVERAGEIF($C$36:$C$173,"=4",$X$36:$X$173)</f>
        <v>4.6666666666666671E-3</v>
      </c>
      <c r="T297" s="39">
        <f>AVERAGEIF($C$36:$C$173,"=4",$AA$36:$AA$173)</f>
        <v>0.45857142857142863</v>
      </c>
      <c r="U297" s="39">
        <f>AVERAGEIF($C$36:$C$173,"=4",$AB$36:$AB$173)</f>
        <v>0.36857142857142861</v>
      </c>
      <c r="V297" s="39">
        <f>AVERAGEIF($C$36:$C$173,"=4",$AC$36:$AC$173)</f>
        <v>0.15071428571428572</v>
      </c>
      <c r="W297" s="39">
        <f>AVERAGEIF($C$36:$C$173,"=4",$AD$36:$AD$173)</f>
        <v>2.2142857142857141E-2</v>
      </c>
      <c r="X297" s="550">
        <f>AVERAGEIF($C$36:$C$173,"=4",$AE$36:$AE$173)</f>
        <v>1.4285714285714286E-3</v>
      </c>
      <c r="Y297" s="546">
        <f>AVERAGEIF($C$36:$C$173,"=4",$AH$36:$AH$173)</f>
        <v>0.57923076923076922</v>
      </c>
      <c r="Z297" s="475">
        <f>AVERAGEIF($C$36:$C$173,"=4",$AI$36:$AI$173)</f>
        <v>0.32692307692307693</v>
      </c>
      <c r="AA297" s="475">
        <f>AVERAGEIF($C$36:$C$173,"=4",$AJ$36:$AJ$173)</f>
        <v>8.3846153846153848E-2</v>
      </c>
      <c r="AB297" s="475">
        <f>AVERAGEIF($C$36:$C$173,"=4",$AK$36:$AK$173)</f>
        <v>1.0769230769230771E-2</v>
      </c>
      <c r="AC297" s="510">
        <f>AVERAGEIF($C$36:$C$173,"=4",$AL$36:$AL$173)</f>
        <v>0</v>
      </c>
      <c r="AD297" s="546">
        <f>AVERAGEIF($C$36:$C$173,"=4",$AQ$36:$AQ$173)</f>
        <v>0.42928571428571433</v>
      </c>
      <c r="AE297" s="475">
        <f>AVERAGEIF($C$36:$C$173,"=4",$AR$36:$AR$173)</f>
        <v>0.3978571428571428</v>
      </c>
      <c r="AF297" s="475">
        <f>AVERAGEIF($C$36:$C$173,"=4",$AS$36:$AS$173)</f>
        <v>0.1357142857142857</v>
      </c>
      <c r="AG297" s="475">
        <f>AVERAGEIF($C$36:$C$173,"=4",$AT$36:$AT$173)</f>
        <v>3.2857142857142856E-2</v>
      </c>
      <c r="AH297" s="510">
        <f>AVERAGEIF($C$36:$C$173,"=4",$AU$36:$AU$173)</f>
        <v>4.2857142857142859E-3</v>
      </c>
      <c r="AI297" s="546">
        <v>0.40571428571428575</v>
      </c>
      <c r="AJ297" s="475">
        <v>0.37499999999999994</v>
      </c>
      <c r="AK297" s="475">
        <v>0.17</v>
      </c>
      <c r="AL297" s="475">
        <v>4.9285714285714287E-2</v>
      </c>
      <c r="AM297" s="510">
        <v>0</v>
      </c>
      <c r="AN297" s="546">
        <v>0.4433333333333333</v>
      </c>
      <c r="AO297" s="475">
        <v>0.34933333333333327</v>
      </c>
      <c r="AP297" s="475">
        <v>0.16466666666666666</v>
      </c>
      <c r="AQ297" s="475">
        <v>3.8666666666666669E-2</v>
      </c>
      <c r="AR297" s="510">
        <v>2E-3</v>
      </c>
      <c r="AS297" s="342">
        <v>0.40538461538461534</v>
      </c>
      <c r="AT297" s="475">
        <v>0.34230769230769226</v>
      </c>
      <c r="AU297" s="475">
        <v>0.17076923076923078</v>
      </c>
      <c r="AV297" s="475">
        <v>7.3846153846153839E-2</v>
      </c>
      <c r="AW297" s="510">
        <v>5.3846153846153853E-3</v>
      </c>
    </row>
    <row r="298" spans="4:49" x14ac:dyDescent="0.2">
      <c r="D298" s="27" t="s">
        <v>144</v>
      </c>
      <c r="E298" s="39">
        <f>AVERAGEIF($C$36:$C$173,"=5",$F$36:$F$173)</f>
        <v>0.19411764705882351</v>
      </c>
      <c r="F298" s="39">
        <f>AVERAGEIF($C$36:$C$173,"=1",$G$36:$G$173)</f>
        <v>0.4611764705882353</v>
      </c>
      <c r="G298" s="39">
        <f>AVERAGEIF($C$36:$C$173,"=5",$H$36:$H$173)</f>
        <v>0.27352941176470591</v>
      </c>
      <c r="H298" s="39">
        <f>AVERAGEIF($C$36:$C$173,"=5",$I$36:$I$173)</f>
        <v>0.15882352941176472</v>
      </c>
      <c r="I298" s="39">
        <f>AVERAGEIF($C$36:$C$173,"=5",$J$36:$J$173)</f>
        <v>1.0588235294117647E-2</v>
      </c>
      <c r="J298" s="39">
        <f>AVERAGEIF($C$36:$C$173,"=5",$M$36:$M$173)</f>
        <v>0.22352941176470589</v>
      </c>
      <c r="K298" s="39">
        <f>AVERAGEIF($C$36:$C$173,"=5",$N$36:$N$173)</f>
        <v>0.34411764705882358</v>
      </c>
      <c r="L298" s="39">
        <f>AVERAGEIF($C$36:$C$173,"=5",$O$36:$O$173)</f>
        <v>0.33235294117647057</v>
      </c>
      <c r="M298" s="39">
        <f>AVERAGEIF($C$36:$C$173,"=5",$P$36:$P$173)</f>
        <v>8.529411764705884E-2</v>
      </c>
      <c r="N298" s="39">
        <f>AVERAGEIF($C$36:$C$173,"=5",$Q$36:$Q$173)</f>
        <v>1.5882352941176472E-2</v>
      </c>
      <c r="O298" s="39">
        <f>AVERAGEIF($C$36:$C$173,"=5",$T$36:$T$173)</f>
        <v>0.19166666666666665</v>
      </c>
      <c r="P298" s="39">
        <f>AVERAGEIF($C$36:$C$173,"=5",$U$36:$U$173)</f>
        <v>0.38500000000000001</v>
      </c>
      <c r="Q298" s="39">
        <f>AVERAGEIF($C$36:$C$173,"=5",$V$36:$V$173)</f>
        <v>0.27500000000000008</v>
      </c>
      <c r="R298" s="39">
        <f>AVERAGEIF($C$36:$C$173,"=5",$W$36:$W$173)</f>
        <v>0.13</v>
      </c>
      <c r="S298" s="39">
        <f>AVERAGEIF($C$36:$C$173,"=5",$X$36:$X$173)</f>
        <v>1.666666666666667E-2</v>
      </c>
      <c r="T298" s="39">
        <f>AVERAGEIF($C$36:$C$173,"=5",$AA$36:$AA$173)</f>
        <v>0.24526315789473685</v>
      </c>
      <c r="U298" s="39">
        <f>AVERAGEIF($C$36:$C$173,"=5",$AB$36:$AB$173)</f>
        <v>0.34789473684210526</v>
      </c>
      <c r="V298" s="39">
        <f>AVERAGEIF($C$36:$C$173,"=5",$AC$36:$AC$173)</f>
        <v>0.29842105263157898</v>
      </c>
      <c r="W298" s="39">
        <f>AVERAGEIF($C$36:$C$173,"=5",$AD$36:$AD$173)</f>
        <v>0.10894736842105264</v>
      </c>
      <c r="X298" s="550">
        <f>AVERAGEIF($C$36:$C$173,"=5",$AE$36:$AE$173)</f>
        <v>1.0526315789473684E-3</v>
      </c>
      <c r="Y298" s="546">
        <f>AVERAGEIF($C$36:$C$173,"=5",$AH$36:$AH$173)</f>
        <v>0.34555555555555556</v>
      </c>
      <c r="Z298" s="475">
        <f>AVERAGEIF($C$36:$C$173,"=5",$AI$36:$AI$173)</f>
        <v>0.41000000000000003</v>
      </c>
      <c r="AA298" s="475">
        <f>AVERAGEIF($C$36:$C$173,"=5",$AJ$36:$AJ$173)</f>
        <v>0.18277777777777779</v>
      </c>
      <c r="AB298" s="475">
        <f>AVERAGEIF($C$36:$C$173,"=5",$AK$36:$AK$173)</f>
        <v>6.2222222222222227E-2</v>
      </c>
      <c r="AC298" s="510">
        <f>AVERAGEIF($C$36:$C$173,"=5",$AL$36:$AL$173)</f>
        <v>5.5555555555555556E-4</v>
      </c>
      <c r="AD298" s="546">
        <f>AVERAGEIF($C$36:$C$173,"=5",$AQ$36:$AQ$173)</f>
        <v>0.20277777777777775</v>
      </c>
      <c r="AE298" s="475">
        <f>AVERAGEIF($C$36:$C$173,"=5",$AR$36:$AR$173)</f>
        <v>0.37888888888888883</v>
      </c>
      <c r="AF298" s="475">
        <f>AVERAGEIF($C$36:$C$173,"=5",$AS$36:$AS$173)</f>
        <v>0.27277777777777779</v>
      </c>
      <c r="AG298" s="475">
        <f>AVERAGEIF($C$36:$C$173,"=5",$AT$36:$AT$173)</f>
        <v>0.14000000000000001</v>
      </c>
      <c r="AH298" s="510">
        <f>AVERAGEIF($C$36:$C$173,"=5",$AU$36:$AU$173)</f>
        <v>5.5555555555555558E-3</v>
      </c>
      <c r="AI298" s="546">
        <v>0.15235294117647055</v>
      </c>
      <c r="AJ298" s="475">
        <v>0.36176470588235299</v>
      </c>
      <c r="AK298" s="475">
        <v>0.32470588235294118</v>
      </c>
      <c r="AL298" s="475">
        <v>0.14235294117647057</v>
      </c>
      <c r="AM298" s="510">
        <v>1.7058823529411765E-2</v>
      </c>
      <c r="AN298" s="546">
        <v>0.19000000000000006</v>
      </c>
      <c r="AO298" s="475">
        <v>0.30176470588235293</v>
      </c>
      <c r="AP298" s="475">
        <v>0.3294117647058824</v>
      </c>
      <c r="AQ298" s="475">
        <v>0.15647058823529411</v>
      </c>
      <c r="AR298" s="510">
        <v>2.2941176470588236E-2</v>
      </c>
      <c r="AS298" s="342">
        <v>0.21166666666666661</v>
      </c>
      <c r="AT298" s="475">
        <v>0.34277777777777785</v>
      </c>
      <c r="AU298" s="475">
        <v>0.28444444444444444</v>
      </c>
      <c r="AV298" s="475">
        <v>0.13666666666666666</v>
      </c>
      <c r="AW298" s="510">
        <v>2.6666666666666665E-2</v>
      </c>
    </row>
    <row r="299" spans="4:49" x14ac:dyDescent="0.2">
      <c r="D299" s="27" t="s">
        <v>145</v>
      </c>
      <c r="E299" s="39">
        <f>AVERAGEIF($C$36:$C$173,"=6",$F$36:$F$173)</f>
        <v>0.30066666666666664</v>
      </c>
      <c r="F299" s="39">
        <f>AVERAGEIF($C$36:$C$173,"=1",$G$36:$G$173)</f>
        <v>0.4611764705882353</v>
      </c>
      <c r="G299" s="39">
        <f>AVERAGEIF($C$36:$C$173,"=6",$H$36:$H$173)</f>
        <v>0.28066666666666668</v>
      </c>
      <c r="H299" s="39">
        <f>AVERAGEIF($C$36:$C$173,"=6",$I$36:$I$173)</f>
        <v>6.6666666666666666E-2</v>
      </c>
      <c r="I299" s="39">
        <f>AVERAGEIF($C$36:$C$173,"=6",$J$36:$J$173)</f>
        <v>4.0000000000000001E-3</v>
      </c>
      <c r="J299" s="39">
        <f>AVERAGEIF($C$36:$C$173,"=6",$M$36:$M$173)</f>
        <v>0.43199999999999988</v>
      </c>
      <c r="K299" s="39">
        <f>AVERAGEIF($C$36:$C$173,"=6",$N$36:$N$173)</f>
        <v>0.34466666666666668</v>
      </c>
      <c r="L299" s="39">
        <f>AVERAGEIF($C$36:$C$173,"=6",$O$36:$O$173)</f>
        <v>0.1566666666666667</v>
      </c>
      <c r="M299" s="39">
        <f>AVERAGEIF($C$36:$C$173,"=6",$P$36:$P$173)</f>
        <v>6.0666666666666674E-2</v>
      </c>
      <c r="N299" s="39">
        <f>AVERAGEIF($C$36:$C$173,"=6",$Q$36:$Q$173)</f>
        <v>7.3333333333333332E-3</v>
      </c>
      <c r="O299" s="39">
        <f>AVERAGEIF($C$36:$C$173,"=6",$T$36:$T$173)</f>
        <v>0.29928571428571432</v>
      </c>
      <c r="P299" s="39">
        <f>AVERAGEIF($C$36:$C$173,"=6",$U$36:$U$173)</f>
        <v>0.45714285714285713</v>
      </c>
      <c r="Q299" s="39">
        <f>AVERAGEIF($C$36:$C$173,"=6",$V$36:$V$173)</f>
        <v>0.17571428571428571</v>
      </c>
      <c r="R299" s="39">
        <f>AVERAGEIF($C$36:$C$173,"=6",$W$36:$W$173)</f>
        <v>6.2857142857142848E-2</v>
      </c>
      <c r="S299" s="39">
        <f>AVERAGEIF($C$36:$C$173,"=6",$X$36:$X$173)</f>
        <v>5.0000000000000001E-3</v>
      </c>
      <c r="T299" s="39">
        <f>AVERAGEIF($C$36:$C$173,"=6",$AA$36:$AA$173)</f>
        <v>0.35933333333333334</v>
      </c>
      <c r="U299" s="39">
        <f>AVERAGEIF($C$36:$C$173,"=6",$AB$36:$AB$173)</f>
        <v>0.36866666666666664</v>
      </c>
      <c r="V299" s="39">
        <f>AVERAGEIF($C$36:$C$173,"=6",$AC$36:$AC$173)</f>
        <v>0.19466666666666665</v>
      </c>
      <c r="W299" s="39">
        <f>AVERAGEIF($C$36:$C$173,"=6",$AD$36:$AD$173)</f>
        <v>7.2000000000000022E-2</v>
      </c>
      <c r="X299" s="550">
        <f>AVERAGEIF($C$36:$C$173,"=6",$AE$36:$AE$173)</f>
        <v>8.0000000000000002E-3</v>
      </c>
      <c r="Y299" s="547">
        <f>AVERAGEIF($C$36:$C$173,"=6",$AH$36:$AH$173)</f>
        <v>0.53941176470588237</v>
      </c>
      <c r="Z299" s="548">
        <f>AVERAGEIF($C$36:$C$173,"=6",$AI$36:$AI$173)</f>
        <v>0.30705882352941172</v>
      </c>
      <c r="AA299" s="548">
        <f>AVERAGEIF($C$36:$C$173,"=6",$AJ$36:$AJ$173)</f>
        <v>0.1123529411764706</v>
      </c>
      <c r="AB299" s="548">
        <f>AVERAGEIF($C$36:$C$173,"=6",$AK$36:$AK$173)</f>
        <v>3.9411764705882354E-2</v>
      </c>
      <c r="AC299" s="549">
        <f>AVERAGEIF($C$36:$C$173,"=6",$AL$36:$AL$173)</f>
        <v>2.9411764705882353E-3</v>
      </c>
      <c r="AD299" s="547">
        <f>AVERAGEIF($C$36:$C$173,"=6",$AQ$36:$AQ$173)</f>
        <v>0.25588235294117645</v>
      </c>
      <c r="AE299" s="548">
        <f>AVERAGEIF($C$36:$C$173,"=6",$AR$36:$AR$173)</f>
        <v>0.40705882352941175</v>
      </c>
      <c r="AF299" s="548">
        <f>AVERAGEIF($C$36:$C$173,"=6",$AS$36:$AS$173)</f>
        <v>0.24529411764705883</v>
      </c>
      <c r="AG299" s="548">
        <f>AVERAGEIF($C$36:$C$173,"=6",$AT$36:$AT$173)</f>
        <v>7.823529411764707E-2</v>
      </c>
      <c r="AH299" s="549">
        <f>AVERAGEIF($C$36:$C$173,"=6",$AU$36:$AU$173)</f>
        <v>1.5294117647058824E-2</v>
      </c>
      <c r="AI299" s="547">
        <v>0.28526315789473689</v>
      </c>
      <c r="AJ299" s="548">
        <v>0.37210526315789477</v>
      </c>
      <c r="AK299" s="548">
        <v>0.23684210526315788</v>
      </c>
      <c r="AL299" s="548">
        <v>9.736842105263159E-2</v>
      </c>
      <c r="AM299" s="549">
        <v>8.4210526315789454E-3</v>
      </c>
      <c r="AN299" s="547">
        <v>0.27999999999999997</v>
      </c>
      <c r="AO299" s="548">
        <v>0.38849999999999996</v>
      </c>
      <c r="AP299" s="548">
        <v>0.21300000000000002</v>
      </c>
      <c r="AQ299" s="548">
        <v>0.11150000000000002</v>
      </c>
      <c r="AR299" s="549">
        <v>6.5000000000000006E-3</v>
      </c>
      <c r="AS299" s="547">
        <v>0.27333333333333321</v>
      </c>
      <c r="AT299" s="548">
        <v>0.33722222222222226</v>
      </c>
      <c r="AU299" s="548">
        <v>0.26222222222222219</v>
      </c>
      <c r="AV299" s="548">
        <v>0.10944444444444448</v>
      </c>
      <c r="AW299" s="549">
        <v>2.2222222222222223E-2</v>
      </c>
    </row>
  </sheetData>
  <sheetProtection algorithmName="SHA-512" hashValue="rsxjoeUMltVsdbgdaUCKd8KzJJkXX5RlCyDN7QNKyFntlspwfEvJcNYR5iGLhzZd1URW5c+HZ6hsC6pehteMlA==" saltValue="khko60rWbXBsBqB647Z71g==" spinCount="100000" sheet="1" objects="1" scenarios="1"/>
  <autoFilter ref="A9:CO173" xr:uid="{0479607E-0613-4B17-A12F-E6E37878607E}"/>
  <sortState ref="A38:Z173">
    <sortCondition ref="A38:A173"/>
  </sortState>
  <mergeCells count="106">
    <mergeCell ref="AD189:AG189"/>
    <mergeCell ref="AD190:AE190"/>
    <mergeCell ref="AF190:AG190"/>
    <mergeCell ref="E177:W177"/>
    <mergeCell ref="BN7:BV7"/>
    <mergeCell ref="BN8:BN9"/>
    <mergeCell ref="BP8:BP9"/>
    <mergeCell ref="BE7:BM7"/>
    <mergeCell ref="BE8:BE9"/>
    <mergeCell ref="BG8:BG9"/>
    <mergeCell ref="BQ8:BQ9"/>
    <mergeCell ref="BO8:BO9"/>
    <mergeCell ref="BR8:BV8"/>
    <mergeCell ref="Y8:Y9"/>
    <mergeCell ref="Z8:Z9"/>
    <mergeCell ref="AA8:AE8"/>
    <mergeCell ref="T8:X8"/>
    <mergeCell ref="S8:S9"/>
    <mergeCell ref="R7:X7"/>
    <mergeCell ref="E178:E179"/>
    <mergeCell ref="F178:G178"/>
    <mergeCell ref="H178:I178"/>
    <mergeCell ref="J178:K178"/>
    <mergeCell ref="L178:M178"/>
    <mergeCell ref="A1:L1"/>
    <mergeCell ref="A3:L3"/>
    <mergeCell ref="A4:L4"/>
    <mergeCell ref="F8:J8"/>
    <mergeCell ref="D7:J7"/>
    <mergeCell ref="D8:D9"/>
    <mergeCell ref="E8:E9"/>
    <mergeCell ref="K7:Q7"/>
    <mergeCell ref="K8:K9"/>
    <mergeCell ref="L8:L9"/>
    <mergeCell ref="M8:Q8"/>
    <mergeCell ref="A7:A9"/>
    <mergeCell ref="B7:B9"/>
    <mergeCell ref="C7:C9"/>
    <mergeCell ref="E292:I292"/>
    <mergeCell ref="J292:N292"/>
    <mergeCell ref="O292:S292"/>
    <mergeCell ref="T292:X292"/>
    <mergeCell ref="F248:Z248"/>
    <mergeCell ref="G249:J249"/>
    <mergeCell ref="K249:N249"/>
    <mergeCell ref="O249:R249"/>
    <mergeCell ref="S249:V249"/>
    <mergeCell ref="W249:Z249"/>
    <mergeCell ref="X190:Y190"/>
    <mergeCell ref="F189:I189"/>
    <mergeCell ref="J189:M189"/>
    <mergeCell ref="N189:Q189"/>
    <mergeCell ref="R189:U189"/>
    <mergeCell ref="V190:W190"/>
    <mergeCell ref="V189:Y189"/>
    <mergeCell ref="P190:Q190"/>
    <mergeCell ref="F190:G190"/>
    <mergeCell ref="H190:I190"/>
    <mergeCell ref="Y177:AH177"/>
    <mergeCell ref="T178:U178"/>
    <mergeCell ref="AL189:AO189"/>
    <mergeCell ref="AL190:AM190"/>
    <mergeCell ref="AN190:AO190"/>
    <mergeCell ref="R8:R9"/>
    <mergeCell ref="AH190:AI190"/>
    <mergeCell ref="AJ190:AK190"/>
    <mergeCell ref="AI249:AL249"/>
    <mergeCell ref="AE249:AH249"/>
    <mergeCell ref="R190:S190"/>
    <mergeCell ref="T190:U190"/>
    <mergeCell ref="K200:T200"/>
    <mergeCell ref="P178:Q178"/>
    <mergeCell ref="AH189:AK189"/>
    <mergeCell ref="N178:O178"/>
    <mergeCell ref="Z189:AC189"/>
    <mergeCell ref="Z190:AA190"/>
    <mergeCell ref="AB190:AC190"/>
    <mergeCell ref="V178:W178"/>
    <mergeCell ref="X200:AG200"/>
    <mergeCell ref="J190:K190"/>
    <mergeCell ref="L190:M190"/>
    <mergeCell ref="N190:O190"/>
    <mergeCell ref="AM249:AP249"/>
    <mergeCell ref="R178:S178"/>
    <mergeCell ref="BW7:CE7"/>
    <mergeCell ref="BW8:BW9"/>
    <mergeCell ref="BX8:BX9"/>
    <mergeCell ref="BY8:BY9"/>
    <mergeCell ref="BZ8:BZ9"/>
    <mergeCell ref="CA8:CE8"/>
    <mergeCell ref="AD292:AH292"/>
    <mergeCell ref="Y292:AC292"/>
    <mergeCell ref="AI292:AM292"/>
    <mergeCell ref="AN292:AR292"/>
    <mergeCell ref="AS292:AW292"/>
    <mergeCell ref="Y7:AE7"/>
    <mergeCell ref="AV7:BD7"/>
    <mergeCell ref="AV8:AV9"/>
    <mergeCell ref="AX8:AX9"/>
    <mergeCell ref="AA249:AD249"/>
    <mergeCell ref="AM7:AU7"/>
    <mergeCell ref="AM8:AM9"/>
    <mergeCell ref="AO8:AO9"/>
    <mergeCell ref="AF7:AL7"/>
    <mergeCell ref="AF8:AF9"/>
    <mergeCell ref="AG8:AG9"/>
  </mergeCells>
  <pageMargins left="0.75" right="0.75" top="1" bottom="1" header="0.5" footer="0.5"/>
  <pageSetup orientation="portrait" horizontalDpi="300" verticalDpi="300"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19F7EE-09D3-465B-A518-281BF771CBEF}">
  <sheetPr codeName="Hoja11">
    <tabColor theme="4"/>
  </sheetPr>
  <dimension ref="A1:Q30"/>
  <sheetViews>
    <sheetView workbookViewId="0"/>
  </sheetViews>
  <sheetFormatPr baseColWidth="10" defaultColWidth="12.5703125" defaultRowHeight="15.75" x14ac:dyDescent="0.25"/>
  <cols>
    <col min="1" max="1" width="5.28515625" style="99" customWidth="1"/>
    <col min="2" max="2" width="12.5703125" style="99"/>
    <col min="3" max="3" width="13.7109375" style="99" customWidth="1"/>
    <col min="4" max="6" width="12.5703125" style="99"/>
    <col min="7" max="7" width="23.42578125" style="99" customWidth="1"/>
    <col min="8" max="8" width="18.5703125" style="99" customWidth="1"/>
    <col min="9" max="9" width="38.85546875" style="99" customWidth="1"/>
    <col min="10" max="10" width="53.7109375" style="99" customWidth="1"/>
    <col min="11" max="11" width="47.7109375" style="99" customWidth="1"/>
    <col min="12" max="16384" width="12.5703125" style="99"/>
  </cols>
  <sheetData>
    <row r="1" spans="1:12" x14ac:dyDescent="0.25">
      <c r="A1" s="98"/>
      <c r="B1" s="98"/>
      <c r="C1" s="98"/>
      <c r="D1" s="98"/>
      <c r="E1" s="98"/>
      <c r="F1" s="98"/>
      <c r="G1" s="98"/>
      <c r="H1" s="98"/>
      <c r="I1" s="98"/>
      <c r="J1" s="98"/>
      <c r="K1" s="98"/>
      <c r="L1" s="98"/>
    </row>
    <row r="2" spans="1:12" x14ac:dyDescent="0.25">
      <c r="A2" s="98"/>
      <c r="B2" s="98"/>
      <c r="C2" s="98"/>
      <c r="D2" s="98"/>
      <c r="E2" s="98"/>
      <c r="F2" s="98"/>
      <c r="G2" s="98"/>
      <c r="H2" s="98"/>
      <c r="I2" s="98"/>
      <c r="J2" s="98"/>
      <c r="K2" s="98"/>
      <c r="L2" s="98"/>
    </row>
    <row r="3" spans="1:12" x14ac:dyDescent="0.25">
      <c r="A3" s="98"/>
      <c r="B3" s="98"/>
      <c r="C3" s="98"/>
      <c r="D3" s="98"/>
      <c r="E3" s="98"/>
      <c r="F3" s="98"/>
      <c r="G3" s="98"/>
      <c r="H3" s="98"/>
      <c r="I3" s="98"/>
      <c r="J3" s="98"/>
      <c r="K3" s="98"/>
      <c r="L3" s="98"/>
    </row>
    <row r="4" spans="1:12" x14ac:dyDescent="0.25">
      <c r="A4" s="98"/>
      <c r="B4" s="98"/>
      <c r="C4" s="98"/>
      <c r="D4" s="98"/>
      <c r="E4" s="98"/>
      <c r="F4" s="98"/>
      <c r="G4" s="98"/>
      <c r="H4" s="98"/>
      <c r="I4" s="98"/>
      <c r="J4" s="98"/>
      <c r="K4" s="98"/>
      <c r="L4" s="98"/>
    </row>
    <row r="5" spans="1:12" ht="65.45" customHeight="1" x14ac:dyDescent="0.25">
      <c r="A5" s="98"/>
      <c r="B5" s="98"/>
      <c r="C5" s="98"/>
      <c r="D5" s="98"/>
      <c r="E5" s="98"/>
      <c r="F5" s="98"/>
      <c r="G5" s="98"/>
      <c r="H5" s="98"/>
      <c r="I5" s="98"/>
      <c r="J5" s="98"/>
      <c r="K5" s="98"/>
      <c r="L5" s="98"/>
    </row>
    <row r="6" spans="1:12" ht="44.25" customHeight="1" x14ac:dyDescent="0.25">
      <c r="A6" s="98"/>
      <c r="B6" s="1083" t="s">
        <v>744</v>
      </c>
      <c r="C6" s="1083"/>
      <c r="D6" s="1083"/>
      <c r="E6" s="1083"/>
      <c r="F6" s="1083"/>
      <c r="G6" s="1083"/>
      <c r="H6" s="1083"/>
      <c r="I6" s="1083"/>
      <c r="J6" s="1083"/>
      <c r="K6" s="1083"/>
      <c r="L6" s="98"/>
    </row>
    <row r="7" spans="1:12" x14ac:dyDescent="0.25">
      <c r="A7" s="98"/>
      <c r="B7" s="98"/>
      <c r="C7" s="98"/>
      <c r="D7" s="98"/>
      <c r="E7" s="98"/>
      <c r="F7" s="98"/>
      <c r="G7" s="98"/>
      <c r="H7" s="98"/>
      <c r="I7" s="98"/>
      <c r="J7" s="98"/>
      <c r="K7" s="98"/>
      <c r="L7" s="98"/>
    </row>
    <row r="8" spans="1:12" x14ac:dyDescent="0.25">
      <c r="A8" s="98"/>
      <c r="B8" s="98"/>
      <c r="C8" s="98"/>
      <c r="D8" s="98"/>
      <c r="E8" s="98"/>
      <c r="F8" s="98"/>
      <c r="G8" s="98"/>
      <c r="H8" s="98"/>
      <c r="I8" s="98"/>
      <c r="J8" s="98"/>
      <c r="K8" s="98"/>
      <c r="L8" s="98"/>
    </row>
    <row r="9" spans="1:12" ht="30.75" customHeight="1" x14ac:dyDescent="0.35">
      <c r="A9" s="98"/>
      <c r="B9" s="446" t="s">
        <v>743</v>
      </c>
      <c r="C9" s="446"/>
      <c r="D9" s="446"/>
      <c r="E9" s="1086" t="s">
        <v>10</v>
      </c>
      <c r="F9" s="1086"/>
      <c r="G9" s="1086"/>
      <c r="H9" s="1086"/>
      <c r="I9" s="1086"/>
      <c r="J9" s="1086"/>
      <c r="K9" s="1086"/>
      <c r="L9" s="98"/>
    </row>
    <row r="10" spans="1:12" ht="29.25" customHeight="1" x14ac:dyDescent="0.35">
      <c r="A10" s="98"/>
      <c r="B10" s="447"/>
      <c r="C10" s="447"/>
      <c r="D10" s="447"/>
      <c r="E10" s="447"/>
      <c r="F10" s="447"/>
      <c r="G10" s="447"/>
      <c r="H10" s="447"/>
      <c r="I10" s="447"/>
      <c r="J10" s="447"/>
      <c r="K10" s="447"/>
      <c r="L10" s="98"/>
    </row>
    <row r="11" spans="1:12" ht="18.75" x14ac:dyDescent="0.3">
      <c r="A11" s="98"/>
      <c r="B11" s="101"/>
      <c r="C11" s="101"/>
      <c r="D11" s="101"/>
      <c r="E11" s="101"/>
      <c r="F11" s="102"/>
      <c r="G11" s="102"/>
      <c r="H11" s="102"/>
      <c r="I11" s="102"/>
      <c r="J11" s="98"/>
      <c r="K11" s="98"/>
      <c r="L11" s="98"/>
    </row>
    <row r="12" spans="1:12" ht="38.25" customHeight="1" x14ac:dyDescent="0.3">
      <c r="A12" s="98"/>
      <c r="B12" s="98"/>
      <c r="C12" s="98"/>
      <c r="D12" s="101"/>
      <c r="E12" s="101"/>
      <c r="F12" s="102"/>
      <c r="G12" s="102"/>
      <c r="H12" s="1272" t="s">
        <v>738</v>
      </c>
      <c r="I12" s="1272"/>
      <c r="J12" s="1272"/>
      <c r="K12" s="1272"/>
      <c r="L12" s="98"/>
    </row>
    <row r="13" spans="1:12" ht="57" customHeight="1" x14ac:dyDescent="0.25">
      <c r="A13" s="98"/>
      <c r="B13" s="98"/>
      <c r="C13" s="98"/>
      <c r="D13" s="98"/>
      <c r="E13" s="98"/>
      <c r="F13" s="98"/>
      <c r="G13" s="98"/>
      <c r="H13" s="440" t="s">
        <v>739</v>
      </c>
      <c r="I13" s="440" t="s">
        <v>857</v>
      </c>
      <c r="J13" s="440" t="s">
        <v>858</v>
      </c>
      <c r="K13" s="440" t="s">
        <v>859</v>
      </c>
      <c r="L13" s="98"/>
    </row>
    <row r="14" spans="1:12" ht="121.9" customHeight="1" x14ac:dyDescent="0.25">
      <c r="A14" s="98"/>
      <c r="B14" s="98"/>
      <c r="C14" s="98"/>
      <c r="D14" s="98"/>
      <c r="E14" s="98"/>
      <c r="F14" s="98"/>
      <c r="G14" s="98"/>
      <c r="H14" s="441" t="s">
        <v>852</v>
      </c>
      <c r="I14" s="442" t="s">
        <v>855</v>
      </c>
      <c r="J14" s="443" t="s">
        <v>853</v>
      </c>
      <c r="K14" s="442" t="s">
        <v>854</v>
      </c>
      <c r="L14" s="98"/>
    </row>
    <row r="15" spans="1:12" ht="20.25" x14ac:dyDescent="0.25">
      <c r="A15" s="98"/>
      <c r="B15" s="98"/>
      <c r="C15" s="98"/>
      <c r="D15" s="98"/>
      <c r="E15" s="98"/>
      <c r="F15" s="98"/>
      <c r="G15" s="98"/>
      <c r="H15" s="104">
        <v>2016</v>
      </c>
      <c r="I15" s="105">
        <f>VLOOKUP($E$9,LC!$A$10:$AV$173,10,0)</f>
        <v>0.45</v>
      </c>
      <c r="J15" s="105">
        <f>VLOOKUP($E$9,LC!$A$10:$AV$173,11,0)</f>
        <v>0.5</v>
      </c>
      <c r="K15" s="105" t="str">
        <f>VLOOKUP($E$9,LC!$A$10:$AV$173,12,0)</f>
        <v>55%</v>
      </c>
      <c r="L15" s="98"/>
    </row>
    <row r="16" spans="1:12" ht="20.25" x14ac:dyDescent="0.25">
      <c r="A16" s="98"/>
      <c r="B16" s="98"/>
      <c r="C16" s="98"/>
      <c r="D16" s="98"/>
      <c r="E16" s="98"/>
      <c r="F16" s="98"/>
      <c r="G16" s="98"/>
      <c r="H16" s="104">
        <v>2017</v>
      </c>
      <c r="I16" s="105">
        <f>VLOOKUP($E$9,LC!$A$10:$AV$173,19,0)</f>
        <v>0.43</v>
      </c>
      <c r="J16" s="105">
        <f>VLOOKUP($E$9,LC!$A$10:$AV$173,20,0)</f>
        <v>0.47</v>
      </c>
      <c r="K16" s="105">
        <f>VLOOKUP($E$9,LC!$A$10:$AV$173,21,0)</f>
        <v>0.46</v>
      </c>
      <c r="L16" s="98"/>
    </row>
    <row r="17" spans="1:17" ht="20.25" x14ac:dyDescent="0.25">
      <c r="A17" s="98"/>
      <c r="B17" s="98"/>
      <c r="C17" s="98"/>
      <c r="D17" s="98"/>
      <c r="E17" s="98"/>
      <c r="F17" s="98"/>
      <c r="G17" s="98"/>
      <c r="H17" s="104">
        <v>2018</v>
      </c>
      <c r="I17" s="105">
        <f>VLOOKUP($E$9,LC!$A$10:$AV$173,29,0)</f>
        <v>0.47</v>
      </c>
      <c r="J17" s="105">
        <f>VLOOKUP($E$9,LC!$A$10:$AV$173,28,0)</f>
        <v>0.44</v>
      </c>
      <c r="K17" s="105">
        <f>VLOOKUP($E$9,LC!$A$10:$AV$173,30,0)</f>
        <v>0.51</v>
      </c>
      <c r="L17" s="98"/>
    </row>
    <row r="18" spans="1:17" ht="20.25" x14ac:dyDescent="0.25">
      <c r="A18" s="98"/>
      <c r="B18" s="98"/>
      <c r="C18" s="98"/>
      <c r="D18" s="98"/>
      <c r="E18" s="98"/>
      <c r="F18" s="98"/>
      <c r="G18" s="98"/>
      <c r="H18" s="104">
        <v>2019</v>
      </c>
      <c r="I18" s="105">
        <f>VLOOKUP($E$9,LC!$A$10:$AV$173,38,0)</f>
        <v>0.37</v>
      </c>
      <c r="J18" s="105">
        <f>VLOOKUP($E$9,LC!$A$10:$AV$173,37,0)</f>
        <v>0.43</v>
      </c>
      <c r="K18" s="105">
        <f>VLOOKUP($E$9,LC!$A$10:$AV$173,39,0)</f>
        <v>0.43</v>
      </c>
      <c r="L18" s="98"/>
    </row>
    <row r="19" spans="1:17" ht="20.25" x14ac:dyDescent="0.25">
      <c r="A19" s="98"/>
      <c r="B19" s="98"/>
      <c r="C19" s="98"/>
      <c r="D19" s="98"/>
      <c r="E19" s="98"/>
      <c r="F19" s="98"/>
      <c r="G19" s="98"/>
      <c r="H19" s="104">
        <v>2020</v>
      </c>
      <c r="I19" s="105">
        <f>VLOOKUP($E$9,LC!$A$10:$AV$173,48,0)</f>
        <v>0.43</v>
      </c>
      <c r="J19" s="105">
        <f>VLOOKUP($E$9,LC!$A$10:$AV$173,46,0)</f>
        <v>0.48</v>
      </c>
      <c r="K19" s="105">
        <f>VLOOKUP($E$9,LC!$A$10:$AV$173,47,0)</f>
        <v>0.39</v>
      </c>
      <c r="L19" s="98"/>
    </row>
    <row r="20" spans="1:17" ht="20.25" x14ac:dyDescent="0.25">
      <c r="A20" s="98"/>
      <c r="B20" s="98"/>
      <c r="C20" s="98"/>
      <c r="D20" s="98"/>
      <c r="E20" s="98"/>
      <c r="F20" s="98"/>
      <c r="G20" s="98"/>
      <c r="H20" s="104">
        <v>2021</v>
      </c>
      <c r="I20" s="105">
        <f>VLOOKUP($E$9,LC!$A$10:$BG$173,58,0)</f>
        <v>0.36</v>
      </c>
      <c r="J20" s="105">
        <f>VLOOKUP($E$9,LC!$A$10:$BG$173,57,0)</f>
        <v>0.45</v>
      </c>
      <c r="K20" s="105">
        <f>VLOOKUP($E$9,LC!$A$10:$BG$173,59,0)</f>
        <v>0.55000000000000004</v>
      </c>
      <c r="L20" s="98"/>
    </row>
    <row r="21" spans="1:17" ht="20.25" x14ac:dyDescent="0.3">
      <c r="A21" s="98"/>
      <c r="B21" s="98"/>
      <c r="C21" s="98"/>
      <c r="D21" s="101"/>
      <c r="E21" s="101"/>
      <c r="F21" s="102"/>
      <c r="G21" s="102"/>
      <c r="H21" s="104">
        <v>2022</v>
      </c>
      <c r="I21" s="105">
        <f>VLOOKUP($E$9,LC!$A$10:$BR$173,69,0)</f>
        <v>0.36</v>
      </c>
      <c r="J21" s="105">
        <f>VLOOKUP($E$9,LC!$A$10:$BR$173,68,0)</f>
        <v>0.47</v>
      </c>
      <c r="K21" s="105">
        <f>VLOOKUP($E$9,LC!$A$10:$BR$173,70,0)</f>
        <v>0.47</v>
      </c>
      <c r="L21" s="98"/>
    </row>
    <row r="22" spans="1:17" ht="20.25" x14ac:dyDescent="0.25">
      <c r="A22" s="98"/>
      <c r="B22" s="98"/>
      <c r="C22" s="98"/>
      <c r="D22" s="98"/>
      <c r="E22" s="98"/>
      <c r="F22" s="98"/>
      <c r="G22" s="98"/>
      <c r="H22" s="104">
        <v>2023</v>
      </c>
      <c r="I22" s="105">
        <f>VLOOKUP($E$9,LC!$A$10:$CC$173,79,0)</f>
        <v>0.37</v>
      </c>
      <c r="J22" s="105">
        <f>VLOOKUP($E$9,LC!$A$10:$CC$173,80,0)</f>
        <v>0.48</v>
      </c>
      <c r="K22" s="105">
        <f>VLOOKUP($E$9,LC!$A$10:$CC$173,81,0)</f>
        <v>0.5</v>
      </c>
      <c r="L22" s="98"/>
    </row>
    <row r="23" spans="1:17" ht="15.75" customHeight="1" x14ac:dyDescent="0.25">
      <c r="A23" s="98"/>
      <c r="B23" s="98"/>
      <c r="C23" s="98"/>
      <c r="D23" s="98"/>
      <c r="E23" s="98"/>
      <c r="F23" s="98"/>
      <c r="G23" s="98"/>
      <c r="H23" s="104">
        <v>2024</v>
      </c>
      <c r="I23" s="105">
        <f>VLOOKUP($E$9,LC!$A$10:$CN$173,91,0)</f>
        <v>0.44</v>
      </c>
      <c r="J23" s="105">
        <f>VLOOKUP($E$9,LC!$A$10:$CN$173,90,0)</f>
        <v>0.45</v>
      </c>
      <c r="K23" s="105">
        <f>VLOOKUP($E$9,LC!$A$10:$CN$173,92,0)</f>
        <v>0.35</v>
      </c>
      <c r="L23" s="98"/>
    </row>
    <row r="24" spans="1:17" ht="26.25" customHeight="1" x14ac:dyDescent="0.25">
      <c r="A24" s="98"/>
      <c r="B24" s="98"/>
      <c r="C24" s="98"/>
      <c r="D24" s="98"/>
      <c r="E24" s="98"/>
      <c r="F24" s="98"/>
      <c r="G24" s="98"/>
      <c r="H24" s="104">
        <v>2025</v>
      </c>
      <c r="I24" s="105">
        <f>VLOOKUP($E$9,LC!$A$10:$CY$173,102,0)</f>
        <v>0.44</v>
      </c>
      <c r="J24" s="105">
        <f>VLOOKUP($E$9,LC!$A$10:$EY$173,101,0)</f>
        <v>0.33</v>
      </c>
      <c r="K24" s="105">
        <f>VLOOKUP($E$9,LC!$A$10:$CY$173,103,0)</f>
        <v>0.51</v>
      </c>
      <c r="L24" s="444"/>
    </row>
    <row r="25" spans="1:17" ht="26.45" customHeight="1" x14ac:dyDescent="0.25">
      <c r="A25" s="98"/>
      <c r="B25" s="396" t="s">
        <v>856</v>
      </c>
      <c r="C25" s="394"/>
      <c r="D25" s="394"/>
      <c r="E25" s="394"/>
      <c r="F25" s="394"/>
      <c r="G25" s="394"/>
      <c r="H25" s="394"/>
      <c r="I25" s="394"/>
      <c r="J25" s="394"/>
      <c r="K25" s="394"/>
      <c r="L25" s="444"/>
    </row>
    <row r="26" spans="1:17" ht="186" customHeight="1" x14ac:dyDescent="0.25">
      <c r="A26" s="98"/>
      <c r="B26" s="1271" t="s">
        <v>866</v>
      </c>
      <c r="C26" s="1271"/>
      <c r="D26" s="1271"/>
      <c r="E26" s="1271"/>
      <c r="F26" s="1271"/>
      <c r="G26" s="1271"/>
      <c r="H26" s="1271"/>
      <c r="I26" s="1271"/>
      <c r="J26" s="1271"/>
      <c r="K26" s="1271"/>
      <c r="L26" s="444"/>
    </row>
    <row r="27" spans="1:17" ht="234.6" customHeight="1" x14ac:dyDescent="0.25">
      <c r="A27" s="98"/>
      <c r="B27" s="1271"/>
      <c r="C27" s="1271"/>
      <c r="D27" s="1271"/>
      <c r="E27" s="1271"/>
      <c r="F27" s="1271"/>
      <c r="G27" s="1271"/>
      <c r="H27" s="1271"/>
      <c r="I27" s="1271"/>
      <c r="J27" s="1271"/>
      <c r="K27" s="1271"/>
      <c r="L27" s="98"/>
    </row>
    <row r="28" spans="1:17" ht="46.9" customHeight="1" x14ac:dyDescent="0.25">
      <c r="A28" s="98"/>
      <c r="B28" s="445"/>
      <c r="C28" s="445"/>
      <c r="D28" s="445"/>
      <c r="E28" s="445"/>
      <c r="F28" s="445"/>
      <c r="G28" s="445"/>
      <c r="H28" s="445"/>
      <c r="I28" s="445"/>
      <c r="J28" s="445"/>
      <c r="K28" s="445"/>
      <c r="L28" s="98"/>
    </row>
    <row r="29" spans="1:17" x14ac:dyDescent="0.25">
      <c r="A29" s="98"/>
      <c r="B29" s="98"/>
      <c r="C29" s="98"/>
      <c r="D29" s="98"/>
      <c r="E29" s="98"/>
      <c r="F29" s="98"/>
      <c r="G29" s="98"/>
      <c r="H29" s="98"/>
      <c r="I29" s="98"/>
      <c r="J29" s="98"/>
      <c r="K29" s="98"/>
      <c r="L29" s="98"/>
    </row>
    <row r="30" spans="1:17" ht="15.75" customHeight="1" x14ac:dyDescent="0.25">
      <c r="A30" s="98"/>
      <c r="B30" s="1029" t="s">
        <v>809</v>
      </c>
      <c r="C30" s="1029"/>
      <c r="D30" s="1029"/>
      <c r="E30" s="1029"/>
      <c r="F30" s="1029"/>
      <c r="G30" s="1029"/>
      <c r="H30" s="1029"/>
      <c r="I30" s="1029"/>
      <c r="J30" s="1029"/>
      <c r="K30" s="1029"/>
      <c r="L30" s="1029"/>
      <c r="M30" s="448"/>
      <c r="N30" s="448"/>
      <c r="O30" s="448"/>
      <c r="P30" s="448"/>
      <c r="Q30" s="448"/>
    </row>
  </sheetData>
  <sheetProtection selectLockedCells="1" selectUnlockedCells="1"/>
  <mergeCells count="5">
    <mergeCell ref="B26:K27"/>
    <mergeCell ref="B6:K6"/>
    <mergeCell ref="H12:K12"/>
    <mergeCell ref="B30:L30"/>
    <mergeCell ref="E9:K9"/>
  </mergeCells>
  <conditionalFormatting sqref="I15:K24">
    <cfRule type="cellIs" dxfId="34" priority="1" operator="equal">
      <formula>0</formula>
    </cfRule>
    <cfRule type="cellIs" dxfId="33" priority="2" operator="between">
      <formula>0.7</formula>
      <formula>1</formula>
    </cfRule>
    <cfRule type="cellIs" dxfId="32" priority="3" operator="between">
      <formula>0.4</formula>
      <formula>0.69</formula>
    </cfRule>
    <cfRule type="cellIs" dxfId="31" priority="4" operator="between">
      <formula>0.2</formula>
      <formula>0.39</formula>
    </cfRule>
    <cfRule type="cellIs" dxfId="30" priority="5" operator="between">
      <formula>0.01</formula>
      <formula>0.19</formula>
    </cfRule>
  </conditionalFormatting>
  <pageMargins left="0.39370078740157483" right="0.39370078740157483" top="0.39370078740157483" bottom="0.39370078740157483" header="0.31496062992125984" footer="0.31496062992125984"/>
  <pageSetup paperSize="14" scale="60"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AEDF8F2D-C345-4E86-B018-D7423C554689}">
          <x14:formula1>
            <xm:f>PGLOBAL!$A$10:$A$173</xm:f>
          </x14:formula1>
          <xm:sqref>E9:K9</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22CB73-D5ED-4A39-8A96-F4627B2839AB}">
  <sheetPr codeName="Hoja12">
    <tabColor rgb="FF7030A0"/>
  </sheetPr>
  <dimension ref="A1:M30"/>
  <sheetViews>
    <sheetView workbookViewId="0">
      <selection activeCell="E9" sqref="E9:L9"/>
    </sheetView>
  </sheetViews>
  <sheetFormatPr baseColWidth="10" defaultColWidth="12.5703125" defaultRowHeight="15.75" x14ac:dyDescent="0.25"/>
  <cols>
    <col min="1" max="1" width="5.28515625" style="99" customWidth="1"/>
    <col min="2" max="2" width="12.5703125" style="99"/>
    <col min="3" max="3" width="13.7109375" style="99" customWidth="1"/>
    <col min="4" max="4" width="15.28515625" style="99" customWidth="1"/>
    <col min="5" max="7" width="12.5703125" style="99"/>
    <col min="8" max="8" width="20.28515625" style="99" customWidth="1"/>
    <col min="9" max="9" width="17.42578125" style="99" customWidth="1"/>
    <col min="10" max="12" width="40.7109375" style="99" customWidth="1"/>
    <col min="13" max="13" width="6.28515625" style="99" customWidth="1"/>
    <col min="14" max="16384" width="12.5703125" style="99"/>
  </cols>
  <sheetData>
    <row r="1" spans="1:13" x14ac:dyDescent="0.25">
      <c r="A1" s="98"/>
      <c r="B1" s="98"/>
      <c r="C1" s="98"/>
      <c r="D1" s="98"/>
      <c r="E1" s="98"/>
      <c r="F1" s="98"/>
      <c r="G1" s="98"/>
      <c r="H1" s="98"/>
      <c r="I1" s="98"/>
      <c r="J1" s="98"/>
      <c r="K1" s="98"/>
      <c r="L1" s="98"/>
      <c r="M1" s="98"/>
    </row>
    <row r="2" spans="1:13" x14ac:dyDescent="0.25">
      <c r="A2" s="98"/>
      <c r="B2" s="98"/>
      <c r="C2" s="98"/>
      <c r="D2" s="98"/>
      <c r="E2" s="98"/>
      <c r="F2" s="98"/>
      <c r="G2" s="98"/>
      <c r="H2" s="98"/>
      <c r="I2" s="98"/>
      <c r="J2" s="98"/>
      <c r="K2" s="98"/>
      <c r="L2" s="98"/>
      <c r="M2" s="98"/>
    </row>
    <row r="3" spans="1:13" x14ac:dyDescent="0.25">
      <c r="A3" s="98"/>
      <c r="B3" s="98"/>
      <c r="C3" s="98"/>
      <c r="D3" s="98"/>
      <c r="E3" s="98"/>
      <c r="F3" s="98"/>
      <c r="G3" s="98"/>
      <c r="H3" s="98"/>
      <c r="I3" s="98"/>
      <c r="J3" s="98"/>
      <c r="K3" s="98"/>
      <c r="L3" s="98"/>
      <c r="M3" s="98"/>
    </row>
    <row r="4" spans="1:13" x14ac:dyDescent="0.25">
      <c r="A4" s="98"/>
      <c r="B4" s="98"/>
      <c r="C4" s="98"/>
      <c r="D4" s="98"/>
      <c r="E4" s="98"/>
      <c r="F4" s="98"/>
      <c r="G4" s="98"/>
      <c r="H4" s="98"/>
      <c r="I4" s="98"/>
      <c r="J4" s="98"/>
      <c r="K4" s="98"/>
      <c r="L4" s="98"/>
      <c r="M4" s="98"/>
    </row>
    <row r="5" spans="1:13" ht="74.45" customHeight="1" x14ac:dyDescent="0.25">
      <c r="A5" s="98"/>
      <c r="B5" s="98"/>
      <c r="C5" s="98"/>
      <c r="D5" s="98"/>
      <c r="E5" s="98"/>
      <c r="F5" s="98"/>
      <c r="G5" s="98"/>
      <c r="H5" s="98"/>
      <c r="I5" s="98"/>
      <c r="J5" s="98"/>
      <c r="K5" s="98"/>
      <c r="L5" s="98"/>
      <c r="M5" s="98"/>
    </row>
    <row r="6" spans="1:13" ht="38.25" customHeight="1" x14ac:dyDescent="0.25">
      <c r="A6" s="98"/>
      <c r="B6" s="1083" t="s">
        <v>745</v>
      </c>
      <c r="C6" s="1083"/>
      <c r="D6" s="1083"/>
      <c r="E6" s="1083"/>
      <c r="F6" s="1083"/>
      <c r="G6" s="1083"/>
      <c r="H6" s="1083"/>
      <c r="I6" s="1083"/>
      <c r="J6" s="1083"/>
      <c r="K6" s="1083"/>
      <c r="L6" s="1083"/>
      <c r="M6" s="98"/>
    </row>
    <row r="7" spans="1:13" x14ac:dyDescent="0.25">
      <c r="A7" s="98"/>
      <c r="B7" s="98"/>
      <c r="C7" s="98"/>
      <c r="D7" s="98"/>
      <c r="E7" s="98"/>
      <c r="F7" s="98"/>
      <c r="G7" s="98"/>
      <c r="H7" s="98"/>
      <c r="I7" s="98"/>
      <c r="J7" s="98"/>
      <c r="K7" s="98"/>
      <c r="L7" s="98"/>
      <c r="M7" s="98"/>
    </row>
    <row r="8" spans="1:13" x14ac:dyDescent="0.25">
      <c r="A8" s="98"/>
      <c r="B8" s="98"/>
      <c r="C8" s="98"/>
      <c r="D8" s="98"/>
      <c r="E8" s="98"/>
      <c r="F8" s="98"/>
      <c r="G8" s="98"/>
      <c r="H8" s="98"/>
      <c r="I8" s="98"/>
      <c r="J8" s="98"/>
      <c r="K8" s="98"/>
      <c r="L8" s="98"/>
      <c r="M8" s="98"/>
    </row>
    <row r="9" spans="1:13" ht="36.75" customHeight="1" x14ac:dyDescent="0.3">
      <c r="A9" s="98"/>
      <c r="B9" s="235" t="s">
        <v>743</v>
      </c>
      <c r="C9" s="235"/>
      <c r="D9" s="235"/>
      <c r="E9" s="1086" t="s">
        <v>950</v>
      </c>
      <c r="F9" s="1086"/>
      <c r="G9" s="1086"/>
      <c r="H9" s="1086"/>
      <c r="I9" s="1086"/>
      <c r="J9" s="1086"/>
      <c r="K9" s="1086"/>
      <c r="L9" s="1086"/>
      <c r="M9" s="98"/>
    </row>
    <row r="10" spans="1:13" ht="18.75" x14ac:dyDescent="0.3">
      <c r="A10" s="98"/>
      <c r="B10" s="101"/>
      <c r="C10" s="101"/>
      <c r="D10" s="101"/>
      <c r="E10" s="101"/>
      <c r="F10" s="101"/>
      <c r="G10" s="102"/>
      <c r="H10" s="102"/>
      <c r="I10" s="102"/>
      <c r="J10" s="102"/>
      <c r="K10" s="98"/>
      <c r="L10" s="98"/>
      <c r="M10" s="98"/>
    </row>
    <row r="11" spans="1:13" ht="33.75" customHeight="1" x14ac:dyDescent="0.3">
      <c r="A11" s="98"/>
      <c r="B11" s="98"/>
      <c r="C11" s="98"/>
      <c r="D11" s="101"/>
      <c r="E11" s="101"/>
      <c r="F11" s="101"/>
      <c r="G11" s="102"/>
      <c r="H11" s="102"/>
      <c r="I11" s="1274" t="s">
        <v>740</v>
      </c>
      <c r="J11" s="1274"/>
      <c r="K11" s="1274"/>
      <c r="L11" s="1274"/>
      <c r="M11" s="98"/>
    </row>
    <row r="12" spans="1:13" ht="25.5" x14ac:dyDescent="0.3">
      <c r="A12" s="98"/>
      <c r="B12" s="98"/>
      <c r="C12" s="98"/>
      <c r="D12" s="101"/>
      <c r="E12" s="101"/>
      <c r="F12" s="101"/>
      <c r="G12" s="102"/>
      <c r="H12" s="102"/>
      <c r="I12" s="106" t="s">
        <v>251</v>
      </c>
      <c r="J12" s="106" t="s">
        <v>860</v>
      </c>
      <c r="K12" s="106" t="s">
        <v>861</v>
      </c>
      <c r="L12" s="106" t="s">
        <v>862</v>
      </c>
      <c r="M12" s="98"/>
    </row>
    <row r="13" spans="1:13" ht="38.25" x14ac:dyDescent="0.25">
      <c r="A13" s="98"/>
      <c r="B13" s="98"/>
      <c r="C13" s="98"/>
      <c r="D13" s="98"/>
      <c r="E13" s="98"/>
      <c r="F13" s="98"/>
      <c r="G13" s="98"/>
      <c r="H13" s="98"/>
      <c r="I13" s="297" t="s">
        <v>252</v>
      </c>
      <c r="J13" s="401" t="s">
        <v>253</v>
      </c>
      <c r="K13" s="401" t="s">
        <v>254</v>
      </c>
      <c r="L13" s="401" t="s">
        <v>255</v>
      </c>
      <c r="M13" s="98"/>
    </row>
    <row r="14" spans="1:13" ht="96" customHeight="1" x14ac:dyDescent="0.25">
      <c r="A14" s="98"/>
      <c r="B14" s="98"/>
      <c r="C14" s="98"/>
      <c r="D14" s="98"/>
      <c r="E14" s="98"/>
      <c r="F14" s="98"/>
      <c r="G14" s="98"/>
      <c r="H14" s="98"/>
      <c r="I14" s="377" t="s">
        <v>867</v>
      </c>
      <c r="J14" s="402" t="s">
        <v>863</v>
      </c>
      <c r="K14" s="402" t="s">
        <v>864</v>
      </c>
      <c r="L14" s="402" t="s">
        <v>865</v>
      </c>
      <c r="M14" s="98"/>
    </row>
    <row r="15" spans="1:13" ht="20.25" x14ac:dyDescent="0.25">
      <c r="A15" s="98"/>
      <c r="B15" s="98"/>
      <c r="C15" s="98"/>
      <c r="D15" s="98"/>
      <c r="E15" s="98"/>
      <c r="F15" s="98"/>
      <c r="G15" s="98"/>
      <c r="H15" s="98"/>
      <c r="I15" s="104">
        <v>2016</v>
      </c>
      <c r="J15" s="105">
        <f>VLOOKUP($E$9,MATE!$A$10:$AV$173,10,0)</f>
        <v>0</v>
      </c>
      <c r="K15" s="105">
        <f>VLOOKUP($E$9,MATE!$A$10:$AV$173,12,0)</f>
        <v>0</v>
      </c>
      <c r="L15" s="105">
        <f>VLOOKUP($E$9,MATE!$A$10:$AV$173,11,0)</f>
        <v>0</v>
      </c>
      <c r="M15" s="98"/>
    </row>
    <row r="16" spans="1:13" ht="20.25" x14ac:dyDescent="0.25">
      <c r="A16" s="98"/>
      <c r="B16" s="98"/>
      <c r="C16" s="98"/>
      <c r="D16" s="98"/>
      <c r="E16" s="98"/>
      <c r="F16" s="98"/>
      <c r="G16" s="98"/>
      <c r="H16" s="98"/>
      <c r="I16" s="104">
        <v>2017</v>
      </c>
      <c r="J16" s="105">
        <f>VLOOKUP($E$9,MATE!$A$10:$AV$173,21,0)</f>
        <v>0</v>
      </c>
      <c r="K16" s="105">
        <f>VLOOKUP($E$9,MATE!$A$10:$AV$173,20,0)</f>
        <v>0</v>
      </c>
      <c r="L16" s="105">
        <f>VLOOKUP($E$9,MATE!$A$10:$AV$173,19,0)</f>
        <v>0</v>
      </c>
      <c r="M16" s="98"/>
    </row>
    <row r="17" spans="1:13" ht="20.25" x14ac:dyDescent="0.25">
      <c r="A17" s="98"/>
      <c r="B17" s="98"/>
      <c r="C17" s="98"/>
      <c r="D17" s="98"/>
      <c r="E17" s="98"/>
      <c r="F17" s="98"/>
      <c r="G17" s="98"/>
      <c r="H17" s="98"/>
      <c r="I17" s="104">
        <v>2018</v>
      </c>
      <c r="J17" s="105">
        <f>VLOOKUP($E$9,MATE!$A$10:$AV$173,29,0)</f>
        <v>0</v>
      </c>
      <c r="K17" s="105">
        <f>VLOOKUP($E$9,MATE!$A$10:$AV$173,28,0)</f>
        <v>0</v>
      </c>
      <c r="L17" s="105">
        <f>VLOOKUP($E$9,MATE!$A$10:$AV$173,30,0)</f>
        <v>0</v>
      </c>
      <c r="M17" s="98"/>
    </row>
    <row r="18" spans="1:13" ht="20.25" x14ac:dyDescent="0.25">
      <c r="A18" s="98"/>
      <c r="B18" s="98"/>
      <c r="C18" s="98"/>
      <c r="D18" s="98"/>
      <c r="E18" s="98"/>
      <c r="F18" s="98"/>
      <c r="G18" s="98"/>
      <c r="H18" s="98"/>
      <c r="I18" s="104">
        <v>2019</v>
      </c>
      <c r="J18" s="105">
        <f>VLOOKUP($E$9,MATE!$A$10:$AV$173,39,0)</f>
        <v>0</v>
      </c>
      <c r="K18" s="105">
        <f>VLOOKUP($E$9,MATE!$A$10:$AV$173,37,0)</f>
        <v>0</v>
      </c>
      <c r="L18" s="105">
        <f>VLOOKUP($E$9,MATE!$A$10:$AV$173,38,0)</f>
        <v>0</v>
      </c>
      <c r="M18" s="98"/>
    </row>
    <row r="19" spans="1:13" ht="20.25" x14ac:dyDescent="0.25">
      <c r="A19" s="98"/>
      <c r="B19" s="98"/>
      <c r="C19" s="98"/>
      <c r="D19" s="98"/>
      <c r="E19" s="98"/>
      <c r="F19" s="98"/>
      <c r="G19" s="98"/>
      <c r="H19" s="98"/>
      <c r="I19" s="104">
        <v>2020</v>
      </c>
      <c r="J19" s="105">
        <f>VLOOKUP($E$9,MATE!$A$10:$AV$173,46,0)</f>
        <v>0</v>
      </c>
      <c r="K19" s="105">
        <f>VLOOKUP($E$9,MATE!$A$10:$AV$173,47,0)</f>
        <v>0</v>
      </c>
      <c r="L19" s="105">
        <f>VLOOKUP($E$9,MATE!$A$10:$AV$173,48,0)</f>
        <v>0</v>
      </c>
      <c r="M19" s="98"/>
    </row>
    <row r="20" spans="1:13" ht="20.25" x14ac:dyDescent="0.25">
      <c r="A20" s="98"/>
      <c r="B20" s="98"/>
      <c r="C20" s="98"/>
      <c r="D20" s="98"/>
      <c r="E20" s="98"/>
      <c r="F20" s="98"/>
      <c r="G20" s="98"/>
      <c r="H20" s="98"/>
      <c r="I20" s="104">
        <v>2021</v>
      </c>
      <c r="J20" s="105">
        <f>VLOOKUP($E$9,MATE!$A$10:$BG$173,57,0)</f>
        <v>0</v>
      </c>
      <c r="K20" s="105">
        <f>VLOOKUP($E$9,MATE!$A$10:$BG$173,58,0)</f>
        <v>0</v>
      </c>
      <c r="L20" s="105">
        <f>VLOOKUP($E$9,MATE!$A$10:$BG$173,59,0)</f>
        <v>0</v>
      </c>
      <c r="M20" s="98"/>
    </row>
    <row r="21" spans="1:13" ht="20.25" x14ac:dyDescent="0.25">
      <c r="A21" s="98"/>
      <c r="B21" s="98"/>
      <c r="C21" s="98"/>
      <c r="D21" s="98"/>
      <c r="E21" s="98"/>
      <c r="F21" s="98"/>
      <c r="G21" s="98"/>
      <c r="H21" s="98"/>
      <c r="I21" s="104">
        <v>2022</v>
      </c>
      <c r="J21" s="105">
        <f>VLOOKUP($E$9,MATE!$A$10:$BX$173,76,0)</f>
        <v>0</v>
      </c>
      <c r="K21" s="105">
        <f>VLOOKUP($E$9,MATE!$A$10:$BX$173,71,0)</f>
        <v>0</v>
      </c>
      <c r="L21" s="105">
        <f>VLOOKUP($E$9,MATE!$A$10:$BX$173,72,0)</f>
        <v>0</v>
      </c>
      <c r="M21" s="98"/>
    </row>
    <row r="22" spans="1:13" ht="20.25" x14ac:dyDescent="0.3">
      <c r="A22" s="98"/>
      <c r="B22" s="98"/>
      <c r="C22" s="98"/>
      <c r="D22" s="101"/>
      <c r="E22" s="101"/>
      <c r="F22" s="101"/>
      <c r="G22" s="102"/>
      <c r="H22" s="102"/>
      <c r="I22" s="104">
        <v>2023</v>
      </c>
      <c r="J22" s="105">
        <f>VLOOKUP($E$9,MATE!$A$10:$CI$173,86,0)</f>
        <v>0</v>
      </c>
      <c r="K22" s="105">
        <f>VLOOKUP($E$9,MATE!$A$10:$CI$173,87,0)</f>
        <v>0</v>
      </c>
      <c r="L22" s="105">
        <f>VLOOKUP($E$9,MATE!$A$10:$CI$173,85,0)</f>
        <v>0</v>
      </c>
      <c r="M22" s="98"/>
    </row>
    <row r="23" spans="1:13" ht="20.25" x14ac:dyDescent="0.25">
      <c r="A23" s="98"/>
      <c r="B23" s="98"/>
      <c r="C23" s="98"/>
      <c r="D23" s="98"/>
      <c r="E23" s="98"/>
      <c r="F23" s="98"/>
      <c r="G23" s="98"/>
      <c r="H23" s="98"/>
      <c r="I23" s="104">
        <v>2024</v>
      </c>
      <c r="J23" s="105">
        <f>VLOOKUP($E$9,MATE!$A$10:$CT$173,98,0)</f>
        <v>0.35</v>
      </c>
      <c r="K23" s="105">
        <f>VLOOKUP($E$9,MATE!$A$10:$CT$173,97,0)</f>
        <v>0.56000000000000005</v>
      </c>
      <c r="L23" s="105">
        <f>VLOOKUP($E$9,MATE!$A$10:$CT$173,96,0)</f>
        <v>0.45</v>
      </c>
      <c r="M23" s="98"/>
    </row>
    <row r="24" spans="1:13" ht="20.25" x14ac:dyDescent="0.25">
      <c r="A24" s="98"/>
      <c r="B24" s="98"/>
      <c r="C24" s="98"/>
      <c r="D24" s="98"/>
      <c r="E24" s="98"/>
      <c r="F24" s="98"/>
      <c r="G24" s="98"/>
      <c r="H24" s="98"/>
      <c r="I24" s="104">
        <v>2025</v>
      </c>
      <c r="J24" s="105">
        <f>VLOOKUP($E$9,MATE!$A$10:$DE$173,109,0)</f>
        <v>0.41</v>
      </c>
      <c r="K24" s="105">
        <f>VLOOKUP($E$9,MATE!$A$10:$DE$173,108,0)</f>
        <v>0.56000000000000005</v>
      </c>
      <c r="L24" s="105">
        <f>VLOOKUP($E$9,MATE!$A$10:$DE$173,107,0)</f>
        <v>0.68</v>
      </c>
      <c r="M24" s="98"/>
    </row>
    <row r="25" spans="1:13" ht="28.9" customHeight="1" x14ac:dyDescent="0.25">
      <c r="A25" s="98"/>
      <c r="B25" s="396" t="s">
        <v>856</v>
      </c>
      <c r="C25" s="394"/>
      <c r="D25" s="394"/>
      <c r="E25" s="394"/>
      <c r="F25" s="394"/>
      <c r="G25" s="394"/>
      <c r="H25" s="394"/>
      <c r="I25" s="394"/>
      <c r="J25" s="394"/>
      <c r="K25" s="394"/>
      <c r="L25" s="394"/>
      <c r="M25" s="98"/>
    </row>
    <row r="26" spans="1:13" ht="174.6" customHeight="1" x14ac:dyDescent="0.25">
      <c r="A26" s="98"/>
      <c r="B26" s="1271" t="s">
        <v>866</v>
      </c>
      <c r="C26" s="1271"/>
      <c r="D26" s="1271"/>
      <c r="E26" s="1271"/>
      <c r="F26" s="1271"/>
      <c r="G26" s="1271"/>
      <c r="H26" s="1271"/>
      <c r="I26" s="1271"/>
      <c r="J26" s="1271"/>
      <c r="K26" s="1271"/>
      <c r="L26" s="1271"/>
      <c r="M26" s="98"/>
    </row>
    <row r="27" spans="1:13" ht="238.9" customHeight="1" x14ac:dyDescent="0.25">
      <c r="A27" s="98"/>
      <c r="B27" s="1271"/>
      <c r="C27" s="1271"/>
      <c r="D27" s="1271"/>
      <c r="E27" s="1271"/>
      <c r="F27" s="1271"/>
      <c r="G27" s="1271"/>
      <c r="H27" s="1271"/>
      <c r="I27" s="1271"/>
      <c r="J27" s="1271"/>
      <c r="K27" s="1271"/>
      <c r="L27" s="1271"/>
      <c r="M27" s="98"/>
    </row>
    <row r="28" spans="1:13" ht="26.25" customHeight="1" x14ac:dyDescent="0.25">
      <c r="A28" s="98"/>
      <c r="B28" s="98"/>
      <c r="C28" s="98"/>
      <c r="D28" s="98"/>
      <c r="E28" s="98"/>
      <c r="F28" s="98"/>
      <c r="G28" s="98"/>
      <c r="H28" s="98"/>
      <c r="I28" s="98"/>
      <c r="J28" s="98"/>
      <c r="K28" s="98"/>
      <c r="L28" s="98"/>
      <c r="M28" s="98"/>
    </row>
    <row r="29" spans="1:13" x14ac:dyDescent="0.25">
      <c r="A29" s="98"/>
      <c r="B29" s="98"/>
      <c r="C29" s="98"/>
      <c r="D29" s="98"/>
      <c r="E29" s="98"/>
      <c r="F29" s="98"/>
      <c r="G29" s="98"/>
      <c r="H29" s="98"/>
      <c r="I29" s="98"/>
      <c r="J29" s="98"/>
      <c r="K29" s="98"/>
      <c r="L29" s="98"/>
      <c r="M29" s="98"/>
    </row>
    <row r="30" spans="1:13" ht="15.75" customHeight="1" x14ac:dyDescent="0.25">
      <c r="A30" s="98"/>
      <c r="B30" s="1273" t="s">
        <v>809</v>
      </c>
      <c r="C30" s="1273"/>
      <c r="D30" s="1273"/>
      <c r="E30" s="1273"/>
      <c r="F30" s="1273"/>
      <c r="G30" s="1273"/>
      <c r="H30" s="1273"/>
      <c r="I30" s="1273"/>
      <c r="J30" s="1273"/>
      <c r="K30" s="1273"/>
      <c r="L30" s="1273"/>
      <c r="M30" s="98"/>
    </row>
  </sheetData>
  <mergeCells count="5">
    <mergeCell ref="B30:L30"/>
    <mergeCell ref="I11:L11"/>
    <mergeCell ref="B6:L6"/>
    <mergeCell ref="E9:L9"/>
    <mergeCell ref="B26:L27"/>
  </mergeCells>
  <conditionalFormatting sqref="J15:L24">
    <cfRule type="cellIs" dxfId="29" priority="1" operator="equal">
      <formula>0</formula>
    </cfRule>
    <cfRule type="cellIs" dxfId="28" priority="2" operator="between">
      <formula>0.7</formula>
      <formula>1</formula>
    </cfRule>
    <cfRule type="cellIs" dxfId="27" priority="3" operator="between">
      <formula>0.4</formula>
      <formula>0.69</formula>
    </cfRule>
    <cfRule type="cellIs" dxfId="26" priority="4" operator="between">
      <formula>0.2</formula>
      <formula>0.39</formula>
    </cfRule>
    <cfRule type="cellIs" dxfId="25" priority="5" operator="between">
      <formula>0.01</formula>
      <formula>0.19</formula>
    </cfRule>
  </conditionalFormatting>
  <pageMargins left="0.39370078740157483" right="0.39370078740157483" top="0.39370078740157483" bottom="0.39370078740157483" header="0.31496062992125984" footer="0.31496062992125984"/>
  <pageSetup paperSize="14" scale="60"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70AD3115-D377-4F2D-9ABA-20909430440B}">
          <x14:formula1>
            <xm:f>PGLOBAL!$A$10:$A$173</xm:f>
          </x14:formula1>
          <xm:sqref>E9:L9</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82EF9C-4F94-4882-9CC7-6AC0262098CB}">
  <sheetPr codeName="Hoja13">
    <tabColor rgb="FFF16B2F"/>
    <pageSetUpPr fitToPage="1"/>
  </sheetPr>
  <dimension ref="A1:M111"/>
  <sheetViews>
    <sheetView topLeftCell="A13" workbookViewId="0">
      <selection activeCell="E9" sqref="E9:I9"/>
    </sheetView>
  </sheetViews>
  <sheetFormatPr baseColWidth="10" defaultColWidth="12.5703125" defaultRowHeight="15.75" x14ac:dyDescent="0.25"/>
  <cols>
    <col min="1" max="1" width="5.28515625" style="99" customWidth="1"/>
    <col min="2" max="2" width="12.5703125" style="99"/>
    <col min="3" max="3" width="15.42578125" style="99" customWidth="1"/>
    <col min="4" max="9" width="36.7109375" style="99" customWidth="1"/>
    <col min="10" max="10" width="5.85546875" style="99" customWidth="1"/>
    <col min="11" max="11" width="3.140625" style="99" customWidth="1"/>
    <col min="12" max="16384" width="12.5703125" style="99"/>
  </cols>
  <sheetData>
    <row r="1" spans="1:13" x14ac:dyDescent="0.25">
      <c r="A1" s="98"/>
      <c r="B1" s="98"/>
      <c r="C1" s="98"/>
      <c r="D1" s="98"/>
      <c r="E1" s="98"/>
      <c r="F1" s="98"/>
      <c r="G1" s="98"/>
      <c r="H1" s="98"/>
      <c r="I1" s="98"/>
      <c r="J1" s="98"/>
      <c r="K1" s="98"/>
      <c r="L1" s="98"/>
    </row>
    <row r="2" spans="1:13" x14ac:dyDescent="0.25">
      <c r="A2" s="98"/>
      <c r="B2" s="98"/>
      <c r="C2" s="98"/>
      <c r="D2" s="98"/>
      <c r="E2" s="98"/>
      <c r="F2" s="98"/>
      <c r="G2" s="98"/>
      <c r="H2" s="98"/>
      <c r="I2" s="98"/>
      <c r="J2" s="98"/>
      <c r="K2" s="98"/>
      <c r="L2" s="98"/>
    </row>
    <row r="3" spans="1:13" x14ac:dyDescent="0.25">
      <c r="A3" s="98"/>
      <c r="B3" s="98"/>
      <c r="C3" s="98"/>
      <c r="D3" s="98"/>
      <c r="E3" s="98"/>
      <c r="F3" s="98"/>
      <c r="G3" s="98"/>
      <c r="H3" s="98"/>
      <c r="I3" s="98"/>
      <c r="J3" s="98"/>
      <c r="K3" s="98"/>
      <c r="L3" s="98"/>
    </row>
    <row r="4" spans="1:13" x14ac:dyDescent="0.25">
      <c r="A4" s="98"/>
      <c r="B4" s="98"/>
      <c r="C4" s="98"/>
      <c r="D4" s="98"/>
      <c r="E4" s="98"/>
      <c r="F4" s="98"/>
      <c r="G4" s="98"/>
      <c r="H4" s="98"/>
      <c r="I4" s="98"/>
      <c r="J4" s="98"/>
      <c r="K4" s="98"/>
      <c r="L4" s="98"/>
    </row>
    <row r="5" spans="1:13" ht="58.15" customHeight="1" x14ac:dyDescent="0.25">
      <c r="A5" s="98"/>
      <c r="B5" s="98"/>
      <c r="C5" s="98"/>
      <c r="D5" s="98"/>
      <c r="E5" s="98"/>
      <c r="F5" s="98"/>
      <c r="G5" s="98"/>
      <c r="H5" s="98"/>
      <c r="I5" s="98"/>
      <c r="J5" s="98"/>
      <c r="K5" s="98"/>
      <c r="L5" s="98"/>
    </row>
    <row r="6" spans="1:13" ht="41.25" customHeight="1" x14ac:dyDescent="0.25">
      <c r="A6" s="98"/>
      <c r="B6" s="1083" t="s">
        <v>746</v>
      </c>
      <c r="C6" s="1083"/>
      <c r="D6" s="1083"/>
      <c r="E6" s="1083"/>
      <c r="F6" s="1083"/>
      <c r="G6" s="1083"/>
      <c r="H6" s="1083"/>
      <c r="I6" s="1083"/>
      <c r="J6" s="236"/>
      <c r="K6" s="236"/>
      <c r="L6" s="98"/>
    </row>
    <row r="7" spans="1:13" x14ac:dyDescent="0.25">
      <c r="A7" s="98"/>
      <c r="B7" s="98"/>
      <c r="C7" s="98"/>
      <c r="D7" s="98"/>
      <c r="E7" s="98"/>
      <c r="F7" s="98"/>
      <c r="G7" s="98"/>
      <c r="H7" s="98"/>
      <c r="I7" s="98"/>
      <c r="J7" s="98"/>
      <c r="K7" s="98"/>
      <c r="L7" s="98"/>
    </row>
    <row r="8" spans="1:13" ht="19.5" customHeight="1" x14ac:dyDescent="0.25">
      <c r="A8" s="98"/>
      <c r="B8" s="98"/>
      <c r="C8" s="98"/>
      <c r="D8" s="98"/>
      <c r="E8" s="98"/>
      <c r="F8" s="98"/>
      <c r="G8" s="98"/>
      <c r="H8" s="98"/>
      <c r="I8" s="98"/>
      <c r="J8" s="98"/>
      <c r="K8" s="98"/>
      <c r="L8" s="98"/>
    </row>
    <row r="9" spans="1:13" ht="40.5" customHeight="1" x14ac:dyDescent="0.25">
      <c r="A9" s="98"/>
      <c r="B9" s="233" t="s">
        <v>743</v>
      </c>
      <c r="C9" s="233"/>
      <c r="D9" s="233"/>
      <c r="E9" s="1086" t="s">
        <v>166</v>
      </c>
      <c r="F9" s="1086"/>
      <c r="G9" s="1086"/>
      <c r="H9" s="1086"/>
      <c r="I9" s="1086"/>
      <c r="J9" s="98"/>
      <c r="K9" s="98"/>
      <c r="L9" s="98"/>
    </row>
    <row r="10" spans="1:13" ht="18.75" x14ac:dyDescent="0.3">
      <c r="A10" s="98"/>
      <c r="B10" s="102"/>
      <c r="C10" s="102"/>
      <c r="D10" s="102"/>
      <c r="E10" s="102"/>
      <c r="F10" s="102"/>
      <c r="G10" s="98"/>
      <c r="H10" s="98"/>
      <c r="I10" s="98"/>
      <c r="J10" s="117"/>
      <c r="K10" s="117"/>
      <c r="L10" s="117"/>
      <c r="M10" s="232"/>
    </row>
    <row r="11" spans="1:13" ht="33" customHeight="1" x14ac:dyDescent="0.3">
      <c r="A11" s="98"/>
      <c r="B11" s="102"/>
      <c r="C11" s="1275" t="s">
        <v>747</v>
      </c>
      <c r="D11" s="1276"/>
      <c r="E11" s="1276"/>
      <c r="F11" s="1276"/>
      <c r="G11" s="1276"/>
      <c r="H11" s="1276"/>
      <c r="I11" s="1277"/>
      <c r="J11" s="117"/>
      <c r="K11" s="117"/>
      <c r="L11" s="117"/>
      <c r="M11" s="232"/>
    </row>
    <row r="12" spans="1:13" ht="27.95" customHeight="1" x14ac:dyDescent="0.3">
      <c r="A12" s="98"/>
      <c r="B12" s="102"/>
      <c r="C12" s="106" t="s">
        <v>741</v>
      </c>
      <c r="D12" s="1278" t="s">
        <v>924</v>
      </c>
      <c r="E12" s="1279"/>
      <c r="F12" s="1278" t="s">
        <v>925</v>
      </c>
      <c r="G12" s="1279"/>
      <c r="H12" s="1278" t="s">
        <v>926</v>
      </c>
      <c r="I12" s="1279"/>
      <c r="J12" s="117"/>
      <c r="K12" s="117"/>
      <c r="L12" s="117"/>
      <c r="M12" s="232"/>
    </row>
    <row r="13" spans="1:13" ht="51" x14ac:dyDescent="0.25">
      <c r="A13" s="98"/>
      <c r="B13" s="98"/>
      <c r="C13" s="103" t="s">
        <v>742</v>
      </c>
      <c r="D13" s="403" t="s">
        <v>256</v>
      </c>
      <c r="E13" s="403" t="s">
        <v>257</v>
      </c>
      <c r="F13" s="403" t="s">
        <v>258</v>
      </c>
      <c r="G13" s="403" t="s">
        <v>259</v>
      </c>
      <c r="H13" s="403" t="s">
        <v>260</v>
      </c>
      <c r="I13" s="403" t="s">
        <v>261</v>
      </c>
      <c r="J13" s="117"/>
      <c r="K13" s="117"/>
      <c r="L13" s="117"/>
      <c r="M13" s="232"/>
    </row>
    <row r="14" spans="1:13" ht="141" customHeight="1" x14ac:dyDescent="0.25">
      <c r="A14" s="98"/>
      <c r="B14" s="98"/>
      <c r="C14" s="383"/>
      <c r="D14" s="404" t="s">
        <v>868</v>
      </c>
      <c r="E14" s="404" t="s">
        <v>869</v>
      </c>
      <c r="F14" s="404" t="s">
        <v>870</v>
      </c>
      <c r="G14" s="404" t="s">
        <v>871</v>
      </c>
      <c r="H14" s="404" t="s">
        <v>872</v>
      </c>
      <c r="I14" s="404" t="s">
        <v>873</v>
      </c>
      <c r="J14" s="117"/>
      <c r="K14" s="117"/>
      <c r="L14" s="117"/>
      <c r="M14" s="232"/>
    </row>
    <row r="15" spans="1:13" ht="20.25" x14ac:dyDescent="0.25">
      <c r="A15" s="98"/>
      <c r="B15" s="98"/>
      <c r="C15" s="104">
        <v>2016</v>
      </c>
      <c r="D15" s="105">
        <f>VLOOKUP($E$9,SyC!$A$10:$BK$173,14,0)</f>
        <v>0</v>
      </c>
      <c r="E15" s="105">
        <f>VLOOKUP($E$9,SyC!$A$10:$BK$173,15,0)</f>
        <v>0</v>
      </c>
      <c r="F15" s="105">
        <f>VLOOKUP($E$9,SyC!$A$10:$BK$173,10,0)</f>
        <v>0</v>
      </c>
      <c r="G15" s="105">
        <f>VLOOKUP($E$9,SyC!$A$10:$BK$173,11,0)</f>
        <v>0</v>
      </c>
      <c r="H15" s="105">
        <f>VLOOKUP($E$9,SyC!$A$10:$BK$173,12,0)</f>
        <v>0</v>
      </c>
      <c r="I15" s="105">
        <f>VLOOKUP($E$9,SyC!$A$10:$BK$173,13,0)</f>
        <v>0</v>
      </c>
      <c r="J15" s="117"/>
      <c r="K15" s="117"/>
      <c r="L15" s="117"/>
      <c r="M15" s="232"/>
    </row>
    <row r="16" spans="1:13" ht="20.25" x14ac:dyDescent="0.3">
      <c r="A16" s="98"/>
      <c r="B16" s="102"/>
      <c r="C16" s="104">
        <v>2017</v>
      </c>
      <c r="D16" s="105">
        <f>VLOOKUP($E$9,SyC!$A$10:$BK$173,26,0)</f>
        <v>0</v>
      </c>
      <c r="E16" s="105">
        <f>VLOOKUP($E$9,SyC!$A$10:$BK$173,27,0)</f>
        <v>0</v>
      </c>
      <c r="F16" s="105">
        <f>VLOOKUP($E$9,SyC!$A$10:$BK$173,22,0)</f>
        <v>0</v>
      </c>
      <c r="G16" s="105">
        <f>VLOOKUP($E$9,SyC!$A$10:$BK$173,23,0)</f>
        <v>0</v>
      </c>
      <c r="H16" s="105">
        <f>VLOOKUP($E$9,SyC!$A$10:$BK$173,24,0)</f>
        <v>0</v>
      </c>
      <c r="I16" s="105">
        <f>VLOOKUP($E$9,SyC!$A$10:$BK$173,25,0)</f>
        <v>0</v>
      </c>
      <c r="J16" s="117"/>
      <c r="K16" s="117"/>
      <c r="L16" s="117"/>
      <c r="M16" s="232"/>
    </row>
    <row r="17" spans="1:12" ht="20.25" x14ac:dyDescent="0.25">
      <c r="A17" s="98"/>
      <c r="B17" s="98"/>
      <c r="C17" s="104">
        <v>2018</v>
      </c>
      <c r="D17" s="107">
        <f>VLOOKUP($E$9,SyC!$A$10:$BK$173,34,0)</f>
        <v>0</v>
      </c>
      <c r="E17" s="107">
        <f>VLOOKUP($E$9,SyC!$A$10:$BK$173,38,0)</f>
        <v>0</v>
      </c>
      <c r="F17" s="107">
        <f>VLOOKUP($E$9,SyC!$A$10:$BK$173,37,0)</f>
        <v>0</v>
      </c>
      <c r="G17" s="107">
        <f>VLOOKUP($E$9,SyC!$A$10:$BK$173,35,0)</f>
        <v>0</v>
      </c>
      <c r="H17" s="107">
        <f>VLOOKUP($E$9,SyC!$A$10:$BK$173,39,0)</f>
        <v>0</v>
      </c>
      <c r="I17" s="107">
        <f>VLOOKUP($E$9,SyC!$A$10:$BK$173,36,0)</f>
        <v>0</v>
      </c>
      <c r="J17" s="98"/>
      <c r="K17" s="98"/>
      <c r="L17" s="98"/>
    </row>
    <row r="18" spans="1:12" ht="20.25" x14ac:dyDescent="0.25">
      <c r="A18" s="98"/>
      <c r="B18" s="98"/>
      <c r="C18" s="104">
        <v>2019</v>
      </c>
      <c r="D18" s="107">
        <f>VLOOKUP($E$9,SyC!$A$10:$BK$173,48,0)</f>
        <v>0</v>
      </c>
      <c r="E18" s="107">
        <f>VLOOKUP($E$9,SyC!$A$10:$BK$173,47,0)</f>
        <v>0</v>
      </c>
      <c r="F18" s="107">
        <f>VLOOKUP($E$9,SyC!$A$10:$BK$173,50,0)</f>
        <v>0</v>
      </c>
      <c r="G18" s="107">
        <f>VLOOKUP($E$9,SyC!$A$10:$BK$173,51,0)</f>
        <v>0</v>
      </c>
      <c r="H18" s="107">
        <f>VLOOKUP($E$9,SyC!$A$10:$BK$173,46,0)</f>
        <v>0</v>
      </c>
      <c r="I18" s="107">
        <f>VLOOKUP($E$9,SyC!$A$10:$BK$173,49,0)</f>
        <v>0</v>
      </c>
      <c r="J18" s="98"/>
      <c r="K18" s="98"/>
      <c r="L18" s="98"/>
    </row>
    <row r="19" spans="1:12" ht="20.25" x14ac:dyDescent="0.25">
      <c r="A19" s="98"/>
      <c r="B19" s="98"/>
      <c r="C19" s="104">
        <v>2020</v>
      </c>
      <c r="D19" s="107">
        <f>VLOOKUP($E$9,SyC!$A$10:$BK$173,62,0)</f>
        <v>0.31</v>
      </c>
      <c r="E19" s="107">
        <f>VLOOKUP($E$9,SyC!$A$10:$BK$173,58,0)</f>
        <v>1</v>
      </c>
      <c r="F19" s="107">
        <f>VLOOKUP($E$9,SyC!$A$10:$BK$173,60,0)</f>
        <v>0.5</v>
      </c>
      <c r="G19" s="107">
        <f>VLOOKUP($E$9,SyC!$A$10:$BK$173,63,0)</f>
        <v>0.56000000000000005</v>
      </c>
      <c r="H19" s="107">
        <f>VLOOKUP($E$9,SyC!$A$10:$BK$173,61,0)</f>
        <v>0.5</v>
      </c>
      <c r="I19" s="107">
        <f>VLOOKUP($E$9,SyC!$A$10:$BK$173,59,0)</f>
        <v>0.42</v>
      </c>
      <c r="J19" s="98"/>
      <c r="K19" s="98"/>
      <c r="L19" s="98"/>
    </row>
    <row r="20" spans="1:12" ht="20.25" x14ac:dyDescent="0.25">
      <c r="A20" s="98"/>
      <c r="B20" s="98"/>
      <c r="C20" s="104">
        <v>2021</v>
      </c>
      <c r="D20" s="107">
        <f>VLOOKUP($E$9,SyC!$A$10:$BY$173,75,0)</f>
        <v>0.73</v>
      </c>
      <c r="E20" s="107">
        <f>VLOOKUP($E$9,SyC!$A$10:$BY$173,74,0)</f>
        <v>0.5</v>
      </c>
      <c r="F20" s="107">
        <f>VLOOKUP($E$9,SyC!$A$10:$BY$173,73,0)</f>
        <v>0.67</v>
      </c>
      <c r="G20" s="107">
        <f>VLOOKUP($E$9,SyC!$A$10:$BY$173,77,0)</f>
        <v>0.82</v>
      </c>
      <c r="H20" s="107">
        <f>VLOOKUP($E$9,SyC!$A$10:$BY$173,72,0)</f>
        <v>0.75</v>
      </c>
      <c r="I20" s="107">
        <f>VLOOKUP($E$9,SyC!$A$10:$BY$173,76,0)</f>
        <v>0.89</v>
      </c>
      <c r="J20" s="98"/>
      <c r="K20" s="98"/>
      <c r="L20" s="98"/>
    </row>
    <row r="21" spans="1:12" ht="20.25" x14ac:dyDescent="0.25">
      <c r="A21" s="98"/>
      <c r="B21" s="98"/>
      <c r="C21" s="104">
        <v>2022</v>
      </c>
      <c r="D21" s="107">
        <f>VLOOKUP($E$9,SyC!$A$10:$CM$173,90,0)</f>
        <v>0.67</v>
      </c>
      <c r="E21" s="107">
        <f>VLOOKUP($E$9,SyC!$A$10:$CM$173,89,0)</f>
        <v>0.74</v>
      </c>
      <c r="F21" s="107">
        <f>VLOOKUP($E$9,SyC!$A$10:$CM$173,88,0)</f>
        <v>0.64</v>
      </c>
      <c r="G21" s="107">
        <f>VLOOKUP($E$9,SyC!$A$10:$CM$173,87,0)</f>
        <v>0.71</v>
      </c>
      <c r="H21" s="107">
        <f>VLOOKUP($E$9,SyC!$A$10:$CM$173,91,0)</f>
        <v>0.7</v>
      </c>
      <c r="I21" s="107">
        <f>VLOOKUP($E$9,SyC!$A$10:$CM$173,86,0)</f>
        <v>0.67</v>
      </c>
      <c r="J21" s="98"/>
      <c r="K21" s="98"/>
      <c r="L21" s="98"/>
    </row>
    <row r="22" spans="1:12" ht="20.25" x14ac:dyDescent="0.25">
      <c r="A22" s="98"/>
      <c r="B22" s="98"/>
      <c r="C22" s="104">
        <v>2023</v>
      </c>
      <c r="D22" s="107">
        <f>VLOOKUP($E$9,SyC!$A$10:$DA$173,100,0)</f>
        <v>0.33</v>
      </c>
      <c r="E22" s="107">
        <f>VLOOKUP($E$9,SyC!$A$10:$DA$173,104,0)</f>
        <v>0.67</v>
      </c>
      <c r="F22" s="107">
        <f>VLOOKUP($E$9,SyC!$A$10:$DA$173,102,0)</f>
        <v>0.6</v>
      </c>
      <c r="G22" s="107">
        <f>VLOOKUP($E$9,SyC!$A$10:$DA$173,105,0)</f>
        <v>0</v>
      </c>
      <c r="H22" s="107">
        <f>VLOOKUP($E$9,SyC!$A$10:$DA$173,101,0)</f>
        <v>0.25</v>
      </c>
      <c r="I22" s="107" t="str">
        <f>VLOOKUP($E$9,SyC!$A$10:$DA$173,103,0)</f>
        <v>N.D.</v>
      </c>
      <c r="J22" s="98"/>
      <c r="K22" s="98"/>
      <c r="L22" s="98"/>
    </row>
    <row r="23" spans="1:12" ht="20.25" x14ac:dyDescent="0.25">
      <c r="A23" s="98"/>
      <c r="B23" s="98"/>
      <c r="C23" s="104">
        <v>2024</v>
      </c>
      <c r="D23" s="107">
        <f>VLOOKUP($E$9,SyC!$A$10:$DN$173,114,0)</f>
        <v>0.67</v>
      </c>
      <c r="E23" s="107">
        <f>VLOOKUP($E$9,SyC!$A$10:$DO$173,115,0)</f>
        <v>0</v>
      </c>
      <c r="F23" s="107">
        <f>VLOOKUP($E$9,SyC!$A$10:$DO$173,116,0)</f>
        <v>0.56000000000000005</v>
      </c>
      <c r="G23" s="107">
        <f>VLOOKUP($E$9,SyC!$A$10:$DO$173,117,0)</f>
        <v>0.75</v>
      </c>
      <c r="H23" s="107">
        <f>VLOOKUP($E$9,SyC!$A$10:$DO$173,118,0)</f>
        <v>0.86</v>
      </c>
      <c r="I23" s="107">
        <f>VLOOKUP($E$9,SyC!$A$10:$DO$173,119,0)</f>
        <v>0.5</v>
      </c>
      <c r="J23" s="98"/>
      <c r="K23" s="98"/>
      <c r="L23" s="98"/>
    </row>
    <row r="24" spans="1:12" ht="20.25" x14ac:dyDescent="0.25">
      <c r="A24" s="98"/>
      <c r="B24" s="98"/>
      <c r="C24" s="104">
        <v>2025</v>
      </c>
      <c r="D24" s="107">
        <f>VLOOKUP($E$9,SyC!$A$10:$EC$173,128,0)</f>
        <v>0.63</v>
      </c>
      <c r="E24" s="107">
        <f>VLOOKUP($E$9,SyC!$A$10:$EC$173,129,0)</f>
        <v>0.67</v>
      </c>
      <c r="F24" s="107">
        <f>VLOOKUP($E$9,SyC!$A$10:$EC$173,130,0)</f>
        <v>1</v>
      </c>
      <c r="G24" s="107">
        <f>VLOOKUP($E$9,SyC!$A$10:$EC$173,131,0)</f>
        <v>0.83</v>
      </c>
      <c r="H24" s="107">
        <f>VLOOKUP($E$9,SyC!$A$10:$EC$173,132,0)</f>
        <v>1</v>
      </c>
      <c r="I24" s="107">
        <f>VLOOKUP($E$9,SyC!$A$10:$EC$173,133,0)</f>
        <v>0.38</v>
      </c>
      <c r="J24" s="98"/>
      <c r="K24" s="98"/>
      <c r="L24" s="98"/>
    </row>
    <row r="25" spans="1:12" x14ac:dyDescent="0.25">
      <c r="A25" s="98"/>
      <c r="B25" s="98"/>
      <c r="C25" s="98"/>
      <c r="D25" s="98"/>
      <c r="E25" s="98"/>
      <c r="F25" s="98"/>
      <c r="G25" s="98"/>
      <c r="H25" s="98"/>
      <c r="I25" s="98"/>
      <c r="J25" s="98"/>
      <c r="K25" s="98"/>
      <c r="L25" s="98"/>
    </row>
    <row r="26" spans="1:12" ht="23.25" x14ac:dyDescent="0.35">
      <c r="A26" s="98"/>
      <c r="B26" s="1280" t="str">
        <f>D12</f>
        <v>1. PENSAMIENTO SOCIAL 
(30% de las preguntas)</v>
      </c>
      <c r="C26" s="1280"/>
      <c r="D26" s="1280"/>
      <c r="E26" s="1280"/>
      <c r="F26" s="98"/>
      <c r="G26" s="395" t="s">
        <v>856</v>
      </c>
      <c r="H26" s="397"/>
      <c r="I26" s="397"/>
      <c r="J26" s="98"/>
      <c r="K26" s="98"/>
      <c r="L26" s="98"/>
    </row>
    <row r="27" spans="1:12" ht="18" customHeight="1" x14ac:dyDescent="0.3">
      <c r="A27" s="98"/>
      <c r="B27" s="102"/>
      <c r="C27" s="102"/>
      <c r="D27" s="102"/>
      <c r="E27" s="108"/>
      <c r="F27" s="108"/>
      <c r="G27" s="1281" t="s">
        <v>866</v>
      </c>
      <c r="H27" s="1281"/>
      <c r="I27" s="1281"/>
      <c r="J27" s="384"/>
      <c r="K27" s="384"/>
      <c r="L27" s="384"/>
    </row>
    <row r="28" spans="1:12" ht="15.6" customHeight="1" x14ac:dyDescent="0.25">
      <c r="A28" s="98"/>
      <c r="B28" s="98"/>
      <c r="C28" s="98"/>
      <c r="D28" s="98"/>
      <c r="E28" s="98"/>
      <c r="F28" s="98"/>
      <c r="G28" s="1281"/>
      <c r="H28" s="1281"/>
      <c r="I28" s="1281"/>
      <c r="J28" s="384"/>
      <c r="K28" s="384"/>
      <c r="L28" s="384"/>
    </row>
    <row r="29" spans="1:12" ht="15.6" customHeight="1" x14ac:dyDescent="0.25">
      <c r="A29" s="98"/>
      <c r="B29" s="98"/>
      <c r="C29" s="98"/>
      <c r="D29" s="98"/>
      <c r="E29" s="98"/>
      <c r="F29" s="98"/>
      <c r="G29" s="1281"/>
      <c r="H29" s="1281"/>
      <c r="I29" s="1281"/>
      <c r="J29" s="98"/>
      <c r="K29" s="98"/>
      <c r="L29" s="98"/>
    </row>
    <row r="30" spans="1:12" ht="15.6" customHeight="1" x14ac:dyDescent="0.25">
      <c r="A30" s="98"/>
      <c r="B30" s="98"/>
      <c r="C30" s="98"/>
      <c r="D30" s="98"/>
      <c r="E30" s="98"/>
      <c r="F30" s="98"/>
      <c r="G30" s="1281"/>
      <c r="H30" s="1281"/>
      <c r="I30" s="1281"/>
      <c r="J30" s="98"/>
      <c r="K30" s="98"/>
      <c r="L30" s="98"/>
    </row>
    <row r="31" spans="1:12" ht="15.6" customHeight="1" x14ac:dyDescent="0.25">
      <c r="A31" s="98"/>
      <c r="B31" s="98"/>
      <c r="C31" s="98"/>
      <c r="D31" s="98"/>
      <c r="E31" s="98"/>
      <c r="F31" s="98"/>
      <c r="G31" s="1281"/>
      <c r="H31" s="1281"/>
      <c r="I31" s="1281"/>
      <c r="J31" s="98"/>
      <c r="K31" s="98"/>
      <c r="L31" s="98"/>
    </row>
    <row r="32" spans="1:12" ht="15.6" customHeight="1" x14ac:dyDescent="0.25">
      <c r="A32" s="98"/>
      <c r="B32" s="98"/>
      <c r="C32" s="98"/>
      <c r="D32" s="98"/>
      <c r="E32" s="98"/>
      <c r="F32" s="98"/>
      <c r="G32" s="1281"/>
      <c r="H32" s="1281"/>
      <c r="I32" s="1281"/>
      <c r="J32" s="98"/>
      <c r="K32" s="98"/>
      <c r="L32" s="98"/>
    </row>
    <row r="33" spans="1:12" ht="15.6" customHeight="1" x14ac:dyDescent="0.25">
      <c r="A33" s="98"/>
      <c r="B33" s="98"/>
      <c r="C33" s="98"/>
      <c r="D33" s="98"/>
      <c r="E33" s="98"/>
      <c r="F33" s="98"/>
      <c r="G33" s="1281"/>
      <c r="H33" s="1281"/>
      <c r="I33" s="1281"/>
      <c r="J33" s="98"/>
      <c r="K33" s="98"/>
      <c r="L33" s="98"/>
    </row>
    <row r="34" spans="1:12" ht="15.6" customHeight="1" x14ac:dyDescent="0.25">
      <c r="A34" s="98"/>
      <c r="B34" s="98"/>
      <c r="C34" s="98"/>
      <c r="D34" s="98"/>
      <c r="E34" s="98"/>
      <c r="F34" s="98"/>
      <c r="G34" s="1281"/>
      <c r="H34" s="1281"/>
      <c r="I34" s="1281"/>
      <c r="J34" s="98"/>
      <c r="K34" s="98"/>
      <c r="L34" s="98"/>
    </row>
    <row r="35" spans="1:12" ht="15.6" customHeight="1" x14ac:dyDescent="0.25">
      <c r="A35" s="98"/>
      <c r="B35" s="98"/>
      <c r="C35" s="98"/>
      <c r="D35" s="98"/>
      <c r="E35" s="98"/>
      <c r="F35" s="98"/>
      <c r="G35" s="1281"/>
      <c r="H35" s="1281"/>
      <c r="I35" s="1281"/>
      <c r="J35" s="98"/>
      <c r="K35" s="98"/>
      <c r="L35" s="98"/>
    </row>
    <row r="36" spans="1:12" ht="15.6" customHeight="1" x14ac:dyDescent="0.25">
      <c r="A36" s="98"/>
      <c r="B36" s="98"/>
      <c r="C36" s="98"/>
      <c r="D36" s="98"/>
      <c r="E36" s="98"/>
      <c r="F36" s="98"/>
      <c r="G36" s="1281"/>
      <c r="H36" s="1281"/>
      <c r="I36" s="1281"/>
      <c r="J36" s="98"/>
      <c r="K36" s="98"/>
      <c r="L36" s="98"/>
    </row>
    <row r="37" spans="1:12" ht="15.6" customHeight="1" x14ac:dyDescent="0.25">
      <c r="A37" s="98"/>
      <c r="B37" s="98"/>
      <c r="C37" s="98"/>
      <c r="D37" s="98"/>
      <c r="E37" s="98"/>
      <c r="F37" s="98"/>
      <c r="G37" s="1281"/>
      <c r="H37" s="1281"/>
      <c r="I37" s="1281"/>
      <c r="J37" s="98"/>
      <c r="K37" s="98"/>
      <c r="L37" s="98"/>
    </row>
    <row r="38" spans="1:12" ht="15.6" customHeight="1" x14ac:dyDescent="0.25">
      <c r="A38" s="98"/>
      <c r="B38" s="98"/>
      <c r="C38" s="98"/>
      <c r="D38" s="98"/>
      <c r="E38" s="98"/>
      <c r="F38" s="98"/>
      <c r="G38" s="1281"/>
      <c r="H38" s="1281"/>
      <c r="I38" s="1281"/>
      <c r="J38" s="98"/>
      <c r="K38" s="98"/>
      <c r="L38" s="98"/>
    </row>
    <row r="39" spans="1:12" ht="15.6" customHeight="1" x14ac:dyDescent="0.25">
      <c r="A39" s="98"/>
      <c r="B39" s="98"/>
      <c r="C39" s="98"/>
      <c r="D39" s="98"/>
      <c r="E39" s="98"/>
      <c r="F39" s="98"/>
      <c r="G39" s="1281"/>
      <c r="H39" s="1281"/>
      <c r="I39" s="1281"/>
      <c r="J39" s="98"/>
      <c r="K39" s="98"/>
      <c r="L39" s="98"/>
    </row>
    <row r="40" spans="1:12" ht="15.6" customHeight="1" x14ac:dyDescent="0.25">
      <c r="A40" s="98"/>
      <c r="B40" s="98"/>
      <c r="C40" s="98"/>
      <c r="D40" s="98"/>
      <c r="E40" s="98"/>
      <c r="F40" s="98"/>
      <c r="G40" s="1281"/>
      <c r="H40" s="1281"/>
      <c r="I40" s="1281"/>
      <c r="J40" s="98"/>
      <c r="K40" s="98"/>
      <c r="L40" s="98"/>
    </row>
    <row r="41" spans="1:12" ht="15.6" customHeight="1" x14ac:dyDescent="0.25">
      <c r="A41" s="98"/>
      <c r="B41" s="98"/>
      <c r="C41" s="98"/>
      <c r="D41" s="98"/>
      <c r="E41" s="98"/>
      <c r="F41" s="98"/>
      <c r="G41" s="1281"/>
      <c r="H41" s="1281"/>
      <c r="I41" s="1281"/>
      <c r="J41" s="98"/>
      <c r="K41" s="98"/>
      <c r="L41" s="98"/>
    </row>
    <row r="42" spans="1:12" ht="15.6" customHeight="1" x14ac:dyDescent="0.25">
      <c r="A42" s="98"/>
      <c r="B42" s="98"/>
      <c r="C42" s="98"/>
      <c r="D42" s="98"/>
      <c r="E42" s="98"/>
      <c r="F42" s="98"/>
      <c r="G42" s="1281"/>
      <c r="H42" s="1281"/>
      <c r="I42" s="1281"/>
      <c r="J42" s="98"/>
      <c r="K42" s="98"/>
      <c r="L42" s="98"/>
    </row>
    <row r="43" spans="1:12" ht="15.6" customHeight="1" x14ac:dyDescent="0.25">
      <c r="A43" s="98"/>
      <c r="B43" s="98"/>
      <c r="C43" s="98"/>
      <c r="D43" s="98"/>
      <c r="E43" s="98"/>
      <c r="F43" s="98"/>
      <c r="G43" s="1281"/>
      <c r="H43" s="1281"/>
      <c r="I43" s="1281"/>
      <c r="J43" s="98"/>
      <c r="K43" s="98"/>
      <c r="L43" s="98"/>
    </row>
    <row r="44" spans="1:12" ht="15.6" customHeight="1" x14ac:dyDescent="0.25">
      <c r="A44" s="98"/>
      <c r="B44" s="98"/>
      <c r="C44" s="98"/>
      <c r="D44" s="98"/>
      <c r="E44" s="98"/>
      <c r="F44" s="98"/>
      <c r="G44" s="1281"/>
      <c r="H44" s="1281"/>
      <c r="I44" s="1281"/>
      <c r="J44" s="98"/>
      <c r="K44" s="98"/>
      <c r="L44" s="98"/>
    </row>
    <row r="45" spans="1:12" ht="15.6" customHeight="1" x14ac:dyDescent="0.25">
      <c r="A45" s="98"/>
      <c r="B45" s="98"/>
      <c r="C45" s="98"/>
      <c r="D45" s="98"/>
      <c r="E45" s="98"/>
      <c r="F45" s="98"/>
      <c r="G45" s="1281"/>
      <c r="H45" s="1281"/>
      <c r="I45" s="1281"/>
      <c r="J45" s="98"/>
      <c r="K45" s="98"/>
      <c r="L45" s="98"/>
    </row>
    <row r="46" spans="1:12" ht="15.6" customHeight="1" x14ac:dyDescent="0.25">
      <c r="A46" s="98"/>
      <c r="B46" s="98"/>
      <c r="C46" s="98"/>
      <c r="D46" s="98"/>
      <c r="E46" s="98"/>
      <c r="F46" s="98"/>
      <c r="G46" s="1281"/>
      <c r="H46" s="1281"/>
      <c r="I46" s="1281"/>
      <c r="J46" s="98"/>
      <c r="K46" s="98"/>
      <c r="L46" s="98"/>
    </row>
    <row r="47" spans="1:12" ht="15.6" customHeight="1" x14ac:dyDescent="0.25">
      <c r="A47" s="98"/>
      <c r="B47" s="98"/>
      <c r="C47" s="98"/>
      <c r="D47" s="98"/>
      <c r="E47" s="98"/>
      <c r="F47" s="98"/>
      <c r="G47" s="1281"/>
      <c r="H47" s="1281"/>
      <c r="I47" s="1281"/>
      <c r="J47" s="98"/>
      <c r="K47" s="98"/>
      <c r="L47" s="98"/>
    </row>
    <row r="48" spans="1:12" ht="15.6" customHeight="1" x14ac:dyDescent="0.25">
      <c r="A48" s="98"/>
      <c r="B48" s="98"/>
      <c r="C48" s="98"/>
      <c r="D48" s="98"/>
      <c r="E48" s="98"/>
      <c r="F48" s="98"/>
      <c r="G48" s="1281"/>
      <c r="H48" s="1281"/>
      <c r="I48" s="1281"/>
      <c r="J48" s="98"/>
      <c r="K48" s="98"/>
      <c r="L48" s="98"/>
    </row>
    <row r="49" spans="1:12" ht="15.6" customHeight="1" x14ac:dyDescent="0.25">
      <c r="A49" s="98"/>
      <c r="B49" s="98"/>
      <c r="C49" s="98"/>
      <c r="D49" s="98"/>
      <c r="E49" s="98"/>
      <c r="F49" s="98"/>
      <c r="G49" s="1281"/>
      <c r="H49" s="1281"/>
      <c r="I49" s="1281"/>
      <c r="J49" s="98"/>
      <c r="K49" s="98"/>
      <c r="L49" s="98"/>
    </row>
    <row r="50" spans="1:12" ht="15.6" customHeight="1" x14ac:dyDescent="0.25">
      <c r="A50" s="98"/>
      <c r="B50" s="98"/>
      <c r="C50" s="98"/>
      <c r="D50" s="98"/>
      <c r="E50" s="98"/>
      <c r="F50" s="98"/>
      <c r="G50" s="1281"/>
      <c r="H50" s="1281"/>
      <c r="I50" s="1281"/>
      <c r="J50" s="98"/>
      <c r="K50" s="98"/>
      <c r="L50" s="98"/>
    </row>
    <row r="51" spans="1:12" ht="15.6" customHeight="1" x14ac:dyDescent="0.25">
      <c r="A51" s="98"/>
      <c r="B51" s="98"/>
      <c r="C51" s="98"/>
      <c r="D51" s="98"/>
      <c r="E51" s="98"/>
      <c r="F51" s="98"/>
      <c r="G51" s="1281"/>
      <c r="H51" s="1281"/>
      <c r="I51" s="1281"/>
      <c r="J51" s="98"/>
      <c r="K51" s="98"/>
      <c r="L51" s="98"/>
    </row>
    <row r="52" spans="1:12" ht="15.6" customHeight="1" x14ac:dyDescent="0.25">
      <c r="A52" s="98"/>
      <c r="B52" s="98"/>
      <c r="C52" s="98"/>
      <c r="D52" s="98"/>
      <c r="E52" s="98"/>
      <c r="F52" s="98"/>
      <c r="G52" s="1281"/>
      <c r="H52" s="1281"/>
      <c r="I52" s="1281"/>
      <c r="J52" s="98"/>
      <c r="K52" s="98"/>
      <c r="L52" s="98"/>
    </row>
    <row r="53" spans="1:12" ht="15.6" customHeight="1" x14ac:dyDescent="0.25">
      <c r="A53" s="98"/>
      <c r="B53" s="98"/>
      <c r="C53" s="98"/>
      <c r="D53" s="98"/>
      <c r="E53" s="98"/>
      <c r="F53" s="98"/>
      <c r="G53" s="1281"/>
      <c r="H53" s="1281"/>
      <c r="I53" s="1281"/>
      <c r="J53" s="98"/>
      <c r="K53" s="98"/>
      <c r="L53" s="98"/>
    </row>
    <row r="54" spans="1:12" ht="23.25" x14ac:dyDescent="0.35">
      <c r="A54" s="98"/>
      <c r="B54" s="1280" t="str">
        <f>F12</f>
        <v>2. INTERPRETACIÓN Y ANÁLISIS DE PERSPECTIVAS 
(40% de las preguntas)</v>
      </c>
      <c r="C54" s="1280"/>
      <c r="D54" s="1280"/>
      <c r="E54" s="1280"/>
      <c r="F54" s="98"/>
      <c r="G54" s="1281"/>
      <c r="H54" s="1281"/>
      <c r="I54" s="1281"/>
      <c r="J54" s="98"/>
      <c r="K54" s="98"/>
      <c r="L54" s="98"/>
    </row>
    <row r="55" spans="1:12" ht="15.6" customHeight="1" x14ac:dyDescent="0.25">
      <c r="A55" s="98"/>
      <c r="B55" s="98"/>
      <c r="C55" s="98"/>
      <c r="D55" s="98"/>
      <c r="E55" s="98"/>
      <c r="F55" s="98"/>
      <c r="G55" s="1281"/>
      <c r="H55" s="1281"/>
      <c r="I55" s="1281"/>
      <c r="J55" s="98"/>
      <c r="K55" s="98"/>
      <c r="L55" s="98"/>
    </row>
    <row r="56" spans="1:12" ht="15.6" customHeight="1" x14ac:dyDescent="0.25">
      <c r="A56" s="98"/>
      <c r="B56" s="98"/>
      <c r="C56" s="98"/>
      <c r="D56" s="98"/>
      <c r="E56" s="98"/>
      <c r="F56" s="98"/>
      <c r="G56" s="1281"/>
      <c r="H56" s="1281"/>
      <c r="I56" s="1281"/>
      <c r="J56" s="98"/>
      <c r="K56" s="98"/>
      <c r="L56" s="98"/>
    </row>
    <row r="57" spans="1:12" ht="15.6" customHeight="1" x14ac:dyDescent="0.25">
      <c r="A57" s="98"/>
      <c r="B57" s="98"/>
      <c r="C57" s="98"/>
      <c r="D57" s="98"/>
      <c r="E57" s="98"/>
      <c r="F57" s="98"/>
      <c r="G57" s="1281"/>
      <c r="H57" s="1281"/>
      <c r="I57" s="1281"/>
      <c r="J57" s="98"/>
      <c r="K57" s="98"/>
      <c r="L57" s="98"/>
    </row>
    <row r="58" spans="1:12" ht="15.6" customHeight="1" x14ac:dyDescent="0.25">
      <c r="A58" s="98"/>
      <c r="B58" s="98"/>
      <c r="C58" s="98"/>
      <c r="D58" s="98"/>
      <c r="E58" s="98"/>
      <c r="F58" s="98"/>
      <c r="G58" s="1281"/>
      <c r="H58" s="1281"/>
      <c r="I58" s="1281"/>
      <c r="J58" s="98"/>
      <c r="K58" s="98"/>
      <c r="L58" s="98"/>
    </row>
    <row r="59" spans="1:12" ht="15.6" customHeight="1" x14ac:dyDescent="0.25">
      <c r="A59" s="98"/>
      <c r="B59" s="98"/>
      <c r="C59" s="98"/>
      <c r="D59" s="98"/>
      <c r="E59" s="98"/>
      <c r="F59" s="98"/>
      <c r="G59" s="1281"/>
      <c r="H59" s="1281"/>
      <c r="I59" s="1281"/>
      <c r="J59" s="98"/>
      <c r="K59" s="98"/>
      <c r="L59" s="98"/>
    </row>
    <row r="60" spans="1:12" ht="15.6" customHeight="1" x14ac:dyDescent="0.25">
      <c r="A60" s="98"/>
      <c r="B60" s="98"/>
      <c r="C60" s="98"/>
      <c r="D60" s="98"/>
      <c r="E60" s="98"/>
      <c r="F60" s="98"/>
      <c r="G60" s="1281"/>
      <c r="H60" s="1281"/>
      <c r="I60" s="1281"/>
      <c r="J60" s="98"/>
      <c r="K60" s="98"/>
      <c r="L60" s="98"/>
    </row>
    <row r="61" spans="1:12" ht="15.6" customHeight="1" x14ac:dyDescent="0.25">
      <c r="A61" s="98"/>
      <c r="B61" s="98"/>
      <c r="C61" s="98"/>
      <c r="D61" s="98"/>
      <c r="E61" s="98"/>
      <c r="F61" s="98"/>
      <c r="G61" s="1281"/>
      <c r="H61" s="1281"/>
      <c r="I61" s="1281"/>
      <c r="J61" s="98"/>
      <c r="K61" s="98"/>
      <c r="L61" s="98"/>
    </row>
    <row r="62" spans="1:12" ht="15.6" customHeight="1" x14ac:dyDescent="0.25">
      <c r="A62" s="98"/>
      <c r="B62" s="98"/>
      <c r="C62" s="98"/>
      <c r="D62" s="98"/>
      <c r="E62" s="98"/>
      <c r="F62" s="98"/>
      <c r="G62" s="1281"/>
      <c r="H62" s="1281"/>
      <c r="I62" s="1281"/>
      <c r="J62" s="98"/>
      <c r="K62" s="98"/>
      <c r="L62" s="98"/>
    </row>
    <row r="63" spans="1:12" ht="15.6" customHeight="1" x14ac:dyDescent="0.25">
      <c r="A63" s="98"/>
      <c r="B63" s="98"/>
      <c r="C63" s="98"/>
      <c r="D63" s="98"/>
      <c r="E63" s="98"/>
      <c r="F63" s="98"/>
      <c r="G63" s="1281"/>
      <c r="H63" s="1281"/>
      <c r="I63" s="1281"/>
      <c r="J63" s="98"/>
      <c r="K63" s="98"/>
      <c r="L63" s="98"/>
    </row>
    <row r="64" spans="1:12" ht="15.6" customHeight="1" x14ac:dyDescent="0.25">
      <c r="A64" s="98"/>
      <c r="B64" s="98"/>
      <c r="C64" s="98"/>
      <c r="D64" s="98"/>
      <c r="E64" s="98"/>
      <c r="F64" s="98"/>
      <c r="G64" s="398"/>
      <c r="H64" s="398"/>
      <c r="I64" s="398"/>
      <c r="J64" s="98"/>
      <c r="K64" s="98"/>
      <c r="L64" s="98"/>
    </row>
    <row r="65" spans="1:12" ht="15.6" customHeight="1" x14ac:dyDescent="0.25">
      <c r="A65" s="98"/>
      <c r="B65" s="98"/>
      <c r="C65" s="98"/>
      <c r="D65" s="98"/>
      <c r="E65" s="98"/>
      <c r="F65" s="98"/>
      <c r="G65" s="398"/>
      <c r="H65" s="398"/>
      <c r="I65" s="398"/>
      <c r="J65" s="98"/>
      <c r="K65" s="98"/>
      <c r="L65" s="98"/>
    </row>
    <row r="66" spans="1:12" ht="15.6" customHeight="1" x14ac:dyDescent="0.25">
      <c r="A66" s="98"/>
      <c r="B66" s="98"/>
      <c r="C66" s="98"/>
      <c r="D66" s="98"/>
      <c r="E66" s="98"/>
      <c r="F66" s="98"/>
      <c r="G66" s="398"/>
      <c r="H66" s="398"/>
      <c r="I66" s="398"/>
      <c r="J66" s="98"/>
      <c r="K66" s="98"/>
      <c r="L66" s="98"/>
    </row>
    <row r="67" spans="1:12" ht="15.6" customHeight="1" x14ac:dyDescent="0.25">
      <c r="A67" s="98"/>
      <c r="B67" s="98"/>
      <c r="C67" s="98"/>
      <c r="D67" s="98"/>
      <c r="E67" s="98"/>
      <c r="F67" s="98"/>
      <c r="G67" s="398"/>
      <c r="H67" s="398"/>
      <c r="I67" s="398"/>
      <c r="J67" s="98"/>
      <c r="K67" s="98"/>
      <c r="L67" s="98"/>
    </row>
    <row r="68" spans="1:12" ht="15.6" customHeight="1" x14ac:dyDescent="0.25">
      <c r="A68" s="98"/>
      <c r="B68" s="98"/>
      <c r="C68" s="98"/>
      <c r="D68" s="98"/>
      <c r="E68" s="98"/>
      <c r="F68" s="98"/>
      <c r="G68" s="398"/>
      <c r="H68" s="398"/>
      <c r="I68" s="398"/>
      <c r="J68" s="98"/>
      <c r="K68" s="98"/>
      <c r="L68" s="98"/>
    </row>
    <row r="69" spans="1:12" ht="15.6" customHeight="1" x14ac:dyDescent="0.25">
      <c r="A69" s="98"/>
      <c r="B69" s="98"/>
      <c r="C69" s="98"/>
      <c r="D69" s="98"/>
      <c r="E69" s="98"/>
      <c r="F69" s="98"/>
      <c r="G69" s="398"/>
      <c r="H69" s="398"/>
      <c r="I69" s="398"/>
      <c r="J69" s="98"/>
      <c r="K69" s="98"/>
      <c r="L69" s="98"/>
    </row>
    <row r="70" spans="1:12" ht="15.6" customHeight="1" x14ac:dyDescent="0.25">
      <c r="A70" s="98"/>
      <c r="B70" s="98"/>
      <c r="C70" s="98"/>
      <c r="D70" s="98"/>
      <c r="E70" s="98"/>
      <c r="F70" s="98"/>
      <c r="G70" s="398"/>
      <c r="H70" s="398"/>
      <c r="I70" s="398"/>
      <c r="J70" s="98"/>
      <c r="K70" s="98"/>
      <c r="L70" s="98"/>
    </row>
    <row r="71" spans="1:12" ht="15.6" customHeight="1" x14ac:dyDescent="0.25">
      <c r="A71" s="98"/>
      <c r="B71" s="98"/>
      <c r="C71" s="98"/>
      <c r="D71" s="98"/>
      <c r="E71" s="98"/>
      <c r="F71" s="98"/>
      <c r="G71" s="398"/>
      <c r="H71" s="398"/>
      <c r="I71" s="398"/>
      <c r="J71" s="98"/>
      <c r="K71" s="98"/>
      <c r="L71" s="98"/>
    </row>
    <row r="72" spans="1:12" ht="15.6" customHeight="1" x14ac:dyDescent="0.25">
      <c r="A72" s="98"/>
      <c r="B72" s="98"/>
      <c r="C72" s="98"/>
      <c r="D72" s="98"/>
      <c r="E72" s="98"/>
      <c r="F72" s="98"/>
      <c r="G72" s="398"/>
      <c r="H72" s="398"/>
      <c r="I72" s="398"/>
      <c r="J72" s="98"/>
      <c r="K72" s="98"/>
      <c r="L72" s="98"/>
    </row>
    <row r="73" spans="1:12" ht="15.6" customHeight="1" x14ac:dyDescent="0.25">
      <c r="A73" s="98"/>
      <c r="B73" s="98"/>
      <c r="C73" s="98"/>
      <c r="D73" s="98"/>
      <c r="E73" s="98"/>
      <c r="F73" s="98"/>
      <c r="G73" s="398"/>
      <c r="H73" s="398"/>
      <c r="I73" s="398"/>
      <c r="J73" s="98"/>
      <c r="K73" s="98"/>
      <c r="L73" s="98"/>
    </row>
    <row r="74" spans="1:12" ht="15.6" customHeight="1" x14ac:dyDescent="0.25">
      <c r="A74" s="98"/>
      <c r="B74" s="98"/>
      <c r="C74" s="98"/>
      <c r="D74" s="98"/>
      <c r="E74" s="98"/>
      <c r="F74" s="98"/>
      <c r="G74" s="398"/>
      <c r="H74" s="398"/>
      <c r="I74" s="398"/>
      <c r="J74" s="98"/>
      <c r="K74" s="98"/>
      <c r="L74" s="98"/>
    </row>
    <row r="75" spans="1:12" ht="15.6" customHeight="1" x14ac:dyDescent="0.25">
      <c r="A75" s="98"/>
      <c r="B75" s="98"/>
      <c r="C75" s="98"/>
      <c r="D75" s="98"/>
      <c r="E75" s="98"/>
      <c r="F75" s="98"/>
      <c r="G75" s="398"/>
      <c r="H75" s="398"/>
      <c r="I75" s="398"/>
      <c r="J75" s="98"/>
      <c r="K75" s="98"/>
      <c r="L75" s="98"/>
    </row>
    <row r="76" spans="1:12" ht="15.6" customHeight="1" x14ac:dyDescent="0.25">
      <c r="A76" s="98"/>
      <c r="B76" s="98"/>
      <c r="C76" s="98"/>
      <c r="D76" s="98"/>
      <c r="E76" s="98"/>
      <c r="F76" s="98"/>
      <c r="G76" s="398"/>
      <c r="H76" s="398"/>
      <c r="I76" s="398"/>
      <c r="J76" s="98"/>
      <c r="K76" s="98"/>
      <c r="L76" s="98"/>
    </row>
    <row r="77" spans="1:12" ht="15.6" customHeight="1" x14ac:dyDescent="0.25">
      <c r="A77" s="98"/>
      <c r="B77" s="98"/>
      <c r="C77" s="98"/>
      <c r="D77" s="98"/>
      <c r="E77" s="98"/>
      <c r="F77" s="98"/>
      <c r="G77" s="398"/>
      <c r="H77" s="398"/>
      <c r="I77" s="398"/>
      <c r="J77" s="98"/>
      <c r="K77" s="98"/>
      <c r="L77" s="98"/>
    </row>
    <row r="78" spans="1:12" ht="15.6" customHeight="1" x14ac:dyDescent="0.25">
      <c r="A78" s="98"/>
      <c r="B78" s="98"/>
      <c r="C78" s="98"/>
      <c r="D78" s="98"/>
      <c r="E78" s="98"/>
      <c r="F78" s="98"/>
      <c r="G78" s="398"/>
      <c r="H78" s="398"/>
      <c r="I78" s="398"/>
      <c r="J78" s="98"/>
      <c r="K78" s="98"/>
      <c r="L78" s="98"/>
    </row>
    <row r="79" spans="1:12" ht="15.6" customHeight="1" x14ac:dyDescent="0.25">
      <c r="A79" s="98"/>
      <c r="B79" s="98"/>
      <c r="C79" s="98"/>
      <c r="D79" s="98"/>
      <c r="E79" s="98"/>
      <c r="F79" s="98"/>
      <c r="G79" s="398"/>
      <c r="H79" s="398"/>
      <c r="I79" s="398"/>
      <c r="J79" s="98"/>
      <c r="K79" s="98"/>
      <c r="L79" s="98"/>
    </row>
    <row r="80" spans="1:12" ht="15.6" customHeight="1" x14ac:dyDescent="0.25">
      <c r="A80" s="98"/>
      <c r="B80" s="98"/>
      <c r="C80" s="98"/>
      <c r="D80" s="98"/>
      <c r="E80" s="98"/>
      <c r="F80" s="98"/>
      <c r="G80" s="398"/>
      <c r="H80" s="398"/>
      <c r="I80" s="398"/>
      <c r="J80" s="98"/>
      <c r="K80" s="98"/>
      <c r="L80" s="98"/>
    </row>
    <row r="81" spans="1:12" ht="15.6" customHeight="1" x14ac:dyDescent="0.25">
      <c r="A81" s="98"/>
      <c r="B81" s="98"/>
      <c r="C81" s="98"/>
      <c r="D81" s="98"/>
      <c r="E81" s="98"/>
      <c r="F81" s="98"/>
      <c r="G81" s="398"/>
      <c r="H81" s="398"/>
      <c r="I81" s="398"/>
      <c r="J81" s="98"/>
      <c r="K81" s="98"/>
      <c r="L81" s="98"/>
    </row>
    <row r="82" spans="1:12" ht="23.25" x14ac:dyDescent="0.35">
      <c r="A82" s="98"/>
      <c r="B82" s="1280" t="str">
        <f>H12</f>
        <v>3. PENSAMIENTO REFLEXIVO Y SISTEMÁTICO 
(30% de las preguntas)</v>
      </c>
      <c r="C82" s="1280"/>
      <c r="D82" s="1280"/>
      <c r="E82" s="1280"/>
      <c r="F82" s="98"/>
      <c r="G82" s="398"/>
      <c r="H82" s="398"/>
      <c r="I82" s="398"/>
      <c r="J82" s="98"/>
      <c r="K82" s="98"/>
      <c r="L82" s="98"/>
    </row>
    <row r="83" spans="1:12" ht="15.6" customHeight="1" x14ac:dyDescent="0.25">
      <c r="A83" s="98"/>
      <c r="B83" s="98"/>
      <c r="C83" s="98"/>
      <c r="D83" s="98"/>
      <c r="E83" s="98"/>
      <c r="F83" s="98"/>
      <c r="G83" s="398"/>
      <c r="H83" s="398"/>
      <c r="I83" s="398"/>
      <c r="J83" s="98"/>
      <c r="K83" s="98"/>
      <c r="L83" s="98"/>
    </row>
    <row r="84" spans="1:12" ht="15.6" customHeight="1" x14ac:dyDescent="0.25">
      <c r="A84" s="98"/>
      <c r="B84" s="98"/>
      <c r="C84" s="98"/>
      <c r="D84" s="98"/>
      <c r="E84" s="98"/>
      <c r="F84" s="98"/>
      <c r="G84" s="398"/>
      <c r="H84" s="398"/>
      <c r="I84" s="398"/>
      <c r="J84" s="98"/>
      <c r="K84" s="98"/>
      <c r="L84" s="98"/>
    </row>
    <row r="85" spans="1:12" ht="15.6" customHeight="1" x14ac:dyDescent="0.25">
      <c r="A85" s="98"/>
      <c r="B85" s="98"/>
      <c r="C85" s="98"/>
      <c r="D85" s="98"/>
      <c r="E85" s="98"/>
      <c r="F85" s="98"/>
      <c r="G85" s="398"/>
      <c r="H85" s="398"/>
      <c r="I85" s="398"/>
      <c r="J85" s="98"/>
      <c r="K85" s="98"/>
      <c r="L85" s="98"/>
    </row>
    <row r="86" spans="1:12" ht="15.6" customHeight="1" x14ac:dyDescent="0.25">
      <c r="A86" s="98"/>
      <c r="B86" s="98"/>
      <c r="C86" s="98"/>
      <c r="D86" s="98"/>
      <c r="E86" s="98"/>
      <c r="F86" s="98"/>
      <c r="G86" s="398"/>
      <c r="H86" s="398"/>
      <c r="I86" s="398"/>
      <c r="J86" s="98"/>
      <c r="K86" s="98"/>
      <c r="L86" s="98"/>
    </row>
    <row r="87" spans="1:12" ht="15.6" customHeight="1" x14ac:dyDescent="0.25">
      <c r="A87" s="98"/>
      <c r="B87" s="98"/>
      <c r="C87" s="98"/>
      <c r="D87" s="98"/>
      <c r="E87" s="98"/>
      <c r="F87" s="98"/>
      <c r="G87" s="398"/>
      <c r="H87" s="398"/>
      <c r="I87" s="398"/>
      <c r="J87" s="98"/>
      <c r="K87" s="98"/>
      <c r="L87" s="98"/>
    </row>
    <row r="88" spans="1:12" ht="15.6" customHeight="1" x14ac:dyDescent="0.25">
      <c r="A88" s="98"/>
      <c r="B88" s="98"/>
      <c r="C88" s="98"/>
      <c r="D88" s="98"/>
      <c r="E88" s="98"/>
      <c r="F88" s="98"/>
      <c r="G88" s="398"/>
      <c r="H88" s="398"/>
      <c r="I88" s="398"/>
      <c r="J88" s="98"/>
      <c r="K88" s="98"/>
      <c r="L88" s="98"/>
    </row>
    <row r="89" spans="1:12" ht="15.6" customHeight="1" x14ac:dyDescent="0.25">
      <c r="A89" s="98"/>
      <c r="B89" s="98"/>
      <c r="C89" s="98"/>
      <c r="D89" s="98"/>
      <c r="E89" s="98"/>
      <c r="F89" s="98"/>
      <c r="G89" s="398"/>
      <c r="H89" s="398"/>
      <c r="I89" s="398"/>
      <c r="J89" s="98"/>
      <c r="K89" s="98"/>
      <c r="L89" s="98"/>
    </row>
    <row r="90" spans="1:12" ht="15.6" customHeight="1" x14ac:dyDescent="0.25">
      <c r="A90" s="98"/>
      <c r="B90" s="98"/>
      <c r="C90" s="98"/>
      <c r="D90" s="98"/>
      <c r="E90" s="98"/>
      <c r="F90" s="98"/>
      <c r="G90" s="398"/>
      <c r="H90" s="398"/>
      <c r="I90" s="398"/>
      <c r="J90" s="98"/>
      <c r="K90" s="98"/>
      <c r="L90" s="98"/>
    </row>
    <row r="91" spans="1:12" ht="15.6" customHeight="1" x14ac:dyDescent="0.25">
      <c r="A91" s="98"/>
      <c r="B91" s="98"/>
      <c r="C91" s="98"/>
      <c r="D91" s="98"/>
      <c r="E91" s="98"/>
      <c r="F91" s="98"/>
      <c r="G91" s="398"/>
      <c r="H91" s="398"/>
      <c r="I91" s="398"/>
      <c r="J91" s="98"/>
      <c r="K91" s="98"/>
      <c r="L91" s="98"/>
    </row>
    <row r="92" spans="1:12" ht="15.6" customHeight="1" x14ac:dyDescent="0.25">
      <c r="A92" s="98"/>
      <c r="B92" s="98"/>
      <c r="C92" s="98"/>
      <c r="D92" s="98"/>
      <c r="E92" s="98"/>
      <c r="F92" s="98"/>
      <c r="G92" s="398"/>
      <c r="H92" s="398"/>
      <c r="I92" s="398"/>
      <c r="J92" s="98"/>
      <c r="K92" s="98"/>
      <c r="L92" s="98"/>
    </row>
    <row r="93" spans="1:12" ht="15.6" customHeight="1" x14ac:dyDescent="0.25">
      <c r="A93" s="98"/>
      <c r="B93" s="98"/>
      <c r="C93" s="98"/>
      <c r="D93" s="98"/>
      <c r="E93" s="98"/>
      <c r="F93" s="98"/>
      <c r="G93" s="398"/>
      <c r="H93" s="398"/>
      <c r="I93" s="398"/>
      <c r="J93" s="98"/>
      <c r="K93" s="98"/>
      <c r="L93" s="98"/>
    </row>
    <row r="94" spans="1:12" ht="15.6" customHeight="1" x14ac:dyDescent="0.25">
      <c r="A94" s="98"/>
      <c r="B94" s="98"/>
      <c r="C94" s="98"/>
      <c r="D94" s="98"/>
      <c r="E94" s="98"/>
      <c r="F94" s="98"/>
      <c r="G94" s="398"/>
      <c r="H94" s="398"/>
      <c r="I94" s="398"/>
      <c r="J94" s="98"/>
      <c r="K94" s="98"/>
      <c r="L94" s="98"/>
    </row>
    <row r="95" spans="1:12" ht="15.6" customHeight="1" x14ac:dyDescent="0.25">
      <c r="A95" s="98"/>
      <c r="B95" s="98"/>
      <c r="C95" s="98"/>
      <c r="D95" s="98"/>
      <c r="E95" s="98"/>
      <c r="F95" s="98"/>
      <c r="G95" s="398"/>
      <c r="H95" s="398"/>
      <c r="I95" s="398"/>
      <c r="J95" s="98"/>
      <c r="K95" s="98"/>
      <c r="L95" s="98"/>
    </row>
    <row r="96" spans="1:12" ht="15.6" customHeight="1" x14ac:dyDescent="0.25">
      <c r="A96" s="98"/>
      <c r="B96" s="98"/>
      <c r="C96" s="98"/>
      <c r="D96" s="98"/>
      <c r="E96" s="98"/>
      <c r="F96" s="98"/>
      <c r="G96" s="398"/>
      <c r="H96" s="398"/>
      <c r="I96" s="398"/>
      <c r="J96" s="98"/>
      <c r="K96" s="98"/>
      <c r="L96" s="98"/>
    </row>
    <row r="97" spans="1:12" ht="15.6" customHeight="1" x14ac:dyDescent="0.25">
      <c r="A97" s="98"/>
      <c r="B97" s="98"/>
      <c r="C97" s="98"/>
      <c r="D97" s="98"/>
      <c r="E97" s="98"/>
      <c r="F97" s="98"/>
      <c r="G97" s="398"/>
      <c r="H97" s="398"/>
      <c r="I97" s="398"/>
      <c r="J97" s="98"/>
      <c r="K97" s="98"/>
      <c r="L97" s="98"/>
    </row>
    <row r="98" spans="1:12" ht="15.6" customHeight="1" x14ac:dyDescent="0.25">
      <c r="A98" s="98"/>
      <c r="B98" s="98"/>
      <c r="C98" s="98"/>
      <c r="D98" s="98"/>
      <c r="E98" s="98"/>
      <c r="F98" s="98"/>
      <c r="G98" s="398"/>
      <c r="H98" s="398"/>
      <c r="I98" s="398"/>
      <c r="J98" s="98"/>
      <c r="K98" s="98"/>
      <c r="L98" s="98"/>
    </row>
    <row r="99" spans="1:12" ht="15.6" customHeight="1" x14ac:dyDescent="0.25">
      <c r="A99" s="98"/>
      <c r="B99" s="98"/>
      <c r="C99" s="98"/>
      <c r="D99" s="98"/>
      <c r="E99" s="98"/>
      <c r="F99" s="98"/>
      <c r="G99" s="398"/>
      <c r="H99" s="398"/>
      <c r="I99" s="398"/>
      <c r="J99" s="98"/>
      <c r="K99" s="98"/>
      <c r="L99" s="98"/>
    </row>
    <row r="100" spans="1:12" ht="15.6" customHeight="1" x14ac:dyDescent="0.25">
      <c r="A100" s="98"/>
      <c r="B100" s="98"/>
      <c r="C100" s="98"/>
      <c r="D100" s="98"/>
      <c r="E100" s="98"/>
      <c r="F100" s="98"/>
      <c r="G100" s="398"/>
      <c r="H100" s="398"/>
      <c r="I100" s="398"/>
      <c r="J100" s="98"/>
      <c r="K100" s="98"/>
      <c r="L100" s="98"/>
    </row>
    <row r="101" spans="1:12" ht="15.6" customHeight="1" x14ac:dyDescent="0.25">
      <c r="A101" s="98"/>
      <c r="B101" s="98"/>
      <c r="C101" s="98"/>
      <c r="D101" s="98"/>
      <c r="E101" s="98"/>
      <c r="F101" s="98"/>
      <c r="G101" s="398"/>
      <c r="H101" s="398"/>
      <c r="I101" s="398"/>
      <c r="J101" s="98"/>
      <c r="K101" s="98"/>
      <c r="L101" s="98"/>
    </row>
    <row r="102" spans="1:12" ht="18" x14ac:dyDescent="0.25">
      <c r="A102" s="98"/>
      <c r="B102" s="98"/>
      <c r="C102" s="98"/>
      <c r="D102" s="98"/>
      <c r="E102" s="98"/>
      <c r="F102" s="98"/>
      <c r="G102" s="385"/>
      <c r="H102" s="385"/>
      <c r="I102" s="385"/>
      <c r="J102" s="98"/>
      <c r="K102" s="98"/>
      <c r="L102" s="98"/>
    </row>
    <row r="103" spans="1:12" ht="18" x14ac:dyDescent="0.25">
      <c r="A103" s="98"/>
      <c r="B103" s="98"/>
      <c r="C103" s="98"/>
      <c r="D103" s="98"/>
      <c r="E103" s="98"/>
      <c r="F103" s="98"/>
      <c r="G103" s="385"/>
      <c r="H103" s="385"/>
      <c r="I103" s="385"/>
      <c r="J103" s="98"/>
      <c r="K103" s="98"/>
      <c r="L103" s="98"/>
    </row>
    <row r="104" spans="1:12" ht="18" x14ac:dyDescent="0.25">
      <c r="A104" s="98"/>
      <c r="B104" s="98"/>
      <c r="C104" s="98"/>
      <c r="D104" s="98"/>
      <c r="E104" s="98"/>
      <c r="F104" s="98"/>
      <c r="G104" s="385"/>
      <c r="H104" s="385"/>
      <c r="I104" s="385"/>
      <c r="J104" s="98"/>
      <c r="K104" s="98"/>
      <c r="L104" s="98"/>
    </row>
    <row r="105" spans="1:12" x14ac:dyDescent="0.25">
      <c r="A105" s="98"/>
      <c r="B105" s="98"/>
      <c r="C105" s="98"/>
      <c r="D105" s="98"/>
      <c r="E105" s="98"/>
      <c r="F105" s="98"/>
      <c r="G105" s="98"/>
      <c r="H105" s="98"/>
      <c r="I105" s="98"/>
      <c r="J105" s="98"/>
      <c r="K105" s="98"/>
      <c r="L105" s="98"/>
    </row>
    <row r="106" spans="1:12" x14ac:dyDescent="0.25">
      <c r="A106" s="98"/>
      <c r="B106" s="98"/>
      <c r="C106" s="98"/>
      <c r="D106" s="98"/>
      <c r="E106" s="98"/>
      <c r="F106" s="98"/>
      <c r="G106" s="98"/>
      <c r="H106" s="98"/>
      <c r="I106" s="98"/>
      <c r="J106" s="98"/>
      <c r="K106" s="98"/>
      <c r="L106" s="98"/>
    </row>
    <row r="107" spans="1:12" x14ac:dyDescent="0.25">
      <c r="A107" s="98"/>
      <c r="B107" s="98"/>
      <c r="C107" s="98"/>
      <c r="D107" s="98"/>
      <c r="E107" s="98"/>
      <c r="F107" s="98"/>
      <c r="G107" s="98"/>
      <c r="H107" s="98"/>
      <c r="I107" s="98"/>
      <c r="J107" s="98"/>
      <c r="K107" s="98"/>
      <c r="L107" s="98"/>
    </row>
    <row r="108" spans="1:12" x14ac:dyDescent="0.25">
      <c r="A108" s="98"/>
      <c r="B108" s="98"/>
      <c r="C108" s="98"/>
      <c r="D108" s="98"/>
      <c r="E108" s="98"/>
      <c r="F108" s="98"/>
      <c r="G108" s="98"/>
      <c r="H108" s="98"/>
      <c r="I108" s="98"/>
      <c r="J108" s="98"/>
      <c r="K108" s="98"/>
      <c r="L108" s="98"/>
    </row>
    <row r="109" spans="1:12" x14ac:dyDescent="0.25">
      <c r="A109" s="98"/>
      <c r="B109" s="98"/>
      <c r="C109" s="98"/>
      <c r="D109" s="98"/>
      <c r="E109" s="98"/>
      <c r="F109" s="98"/>
      <c r="G109" s="98"/>
      <c r="H109" s="98"/>
      <c r="I109" s="98"/>
      <c r="J109" s="98"/>
      <c r="K109" s="98"/>
      <c r="L109" s="98"/>
    </row>
    <row r="110" spans="1:12" x14ac:dyDescent="0.25">
      <c r="A110" s="98"/>
      <c r="B110" s="98"/>
      <c r="C110" s="98"/>
      <c r="D110" s="98"/>
      <c r="E110" s="98"/>
      <c r="F110" s="98"/>
      <c r="G110" s="98"/>
      <c r="H110" s="98"/>
      <c r="I110" s="98"/>
      <c r="J110" s="98"/>
      <c r="K110" s="98"/>
      <c r="L110" s="98"/>
    </row>
    <row r="111" spans="1:12" ht="15.75" customHeight="1" x14ac:dyDescent="0.25">
      <c r="A111" s="98"/>
      <c r="B111" s="1273" t="s">
        <v>809</v>
      </c>
      <c r="C111" s="1273"/>
      <c r="D111" s="1273"/>
      <c r="E111" s="1273"/>
      <c r="F111" s="1273"/>
      <c r="G111" s="1273"/>
      <c r="H111" s="1273"/>
      <c r="I111" s="1273"/>
      <c r="J111" s="98"/>
      <c r="K111" s="98"/>
      <c r="L111" s="98"/>
    </row>
  </sheetData>
  <mergeCells count="11">
    <mergeCell ref="B6:I6"/>
    <mergeCell ref="B111:I111"/>
    <mergeCell ref="C11:I11"/>
    <mergeCell ref="D12:E12"/>
    <mergeCell ref="F12:G12"/>
    <mergeCell ref="H12:I12"/>
    <mergeCell ref="B54:E54"/>
    <mergeCell ref="B26:E26"/>
    <mergeCell ref="B82:E82"/>
    <mergeCell ref="E9:I9"/>
    <mergeCell ref="G27:I63"/>
  </mergeCells>
  <conditionalFormatting sqref="D15:I24">
    <cfRule type="cellIs" dxfId="24" priority="1" operator="equal">
      <formula>0</formula>
    </cfRule>
    <cfRule type="cellIs" dxfId="23" priority="2" operator="between">
      <formula>0.4</formula>
      <formula>0.69</formula>
    </cfRule>
    <cfRule type="cellIs" dxfId="22" priority="3" operator="between">
      <formula>0.2</formula>
      <formula>0.39</formula>
    </cfRule>
    <cfRule type="cellIs" dxfId="21" priority="4" operator="between">
      <formula>0.01</formula>
      <formula>0.19</formula>
    </cfRule>
    <cfRule type="cellIs" dxfId="20" priority="5" operator="between">
      <formula>0.7</formula>
      <formula>1</formula>
    </cfRule>
  </conditionalFormatting>
  <pageMargins left="0.25" right="0.25" top="0.75" bottom="0.75" header="0.3" footer="0.3"/>
  <pageSetup paperSize="14" scale="63" fitToHeight="0"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E42CA4EC-1A27-43FC-87E9-583110C1FF6F}">
          <x14:formula1>
            <xm:f>PGLOBAL!$A$10:$A$173</xm:f>
          </x14:formula1>
          <xm:sqref>E9:I9</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7A4F09-3762-4FA1-AA0B-3CF374E0AC16}">
  <sheetPr>
    <tabColor rgb="FF00B050"/>
    <pageSetUpPr fitToPage="1"/>
  </sheetPr>
  <dimension ref="A1:K100"/>
  <sheetViews>
    <sheetView topLeftCell="A19" workbookViewId="0">
      <selection activeCell="E10" sqref="E10:J10"/>
    </sheetView>
  </sheetViews>
  <sheetFormatPr baseColWidth="10" defaultColWidth="12.5703125" defaultRowHeight="15.75" x14ac:dyDescent="0.25"/>
  <cols>
    <col min="1" max="1" width="1.7109375" style="99" customWidth="1"/>
    <col min="2" max="2" width="17.85546875" style="99" customWidth="1"/>
    <col min="3" max="10" width="32.7109375" style="99" customWidth="1"/>
    <col min="11" max="11" width="5.85546875" style="99" customWidth="1"/>
    <col min="12" max="16384" width="12.5703125" style="99"/>
  </cols>
  <sheetData>
    <row r="1" spans="1:11" x14ac:dyDescent="0.25">
      <c r="A1" s="98"/>
      <c r="B1" s="98"/>
      <c r="C1" s="98"/>
      <c r="D1" s="98"/>
      <c r="E1" s="98"/>
      <c r="F1" s="98"/>
      <c r="G1" s="98"/>
      <c r="H1" s="98"/>
      <c r="I1" s="98"/>
      <c r="J1" s="98"/>
      <c r="K1" s="98"/>
    </row>
    <row r="2" spans="1:11" x14ac:dyDescent="0.25">
      <c r="A2" s="98"/>
      <c r="B2" s="98"/>
      <c r="C2" s="98"/>
      <c r="D2" s="98"/>
      <c r="E2" s="98"/>
      <c r="F2" s="98"/>
      <c r="G2" s="98"/>
      <c r="H2" s="98"/>
      <c r="I2" s="98"/>
      <c r="J2" s="98"/>
      <c r="K2" s="98"/>
    </row>
    <row r="3" spans="1:11" x14ac:dyDescent="0.25">
      <c r="A3" s="98"/>
      <c r="B3" s="98"/>
      <c r="C3" s="98"/>
      <c r="D3" s="98"/>
      <c r="E3" s="98"/>
      <c r="F3" s="98"/>
      <c r="G3" s="98"/>
      <c r="H3" s="98"/>
      <c r="I3" s="98"/>
      <c r="J3" s="98"/>
      <c r="K3" s="98"/>
    </row>
    <row r="4" spans="1:11" x14ac:dyDescent="0.25">
      <c r="A4" s="98"/>
      <c r="B4" s="98"/>
      <c r="C4" s="98"/>
      <c r="D4" s="98"/>
      <c r="E4" s="98"/>
      <c r="F4" s="98"/>
      <c r="G4" s="98"/>
      <c r="H4" s="98"/>
      <c r="I4" s="98"/>
      <c r="J4" s="98"/>
      <c r="K4" s="98"/>
    </row>
    <row r="5" spans="1:11" ht="51" customHeight="1" x14ac:dyDescent="0.25">
      <c r="A5" s="98"/>
      <c r="B5" s="98"/>
      <c r="C5" s="98"/>
      <c r="D5" s="98"/>
      <c r="E5" s="98"/>
      <c r="F5" s="98"/>
      <c r="G5" s="98"/>
      <c r="H5" s="98"/>
      <c r="I5" s="98"/>
      <c r="J5" s="98"/>
      <c r="K5" s="98"/>
    </row>
    <row r="6" spans="1:11" ht="59.25" customHeight="1" x14ac:dyDescent="0.25">
      <c r="A6" s="98"/>
      <c r="B6" s="1083" t="s">
        <v>748</v>
      </c>
      <c r="C6" s="1083"/>
      <c r="D6" s="1083"/>
      <c r="E6" s="1083"/>
      <c r="F6" s="1083"/>
      <c r="G6" s="1083"/>
      <c r="H6" s="1083"/>
      <c r="I6" s="1083"/>
      <c r="J6" s="1083"/>
      <c r="K6" s="98"/>
    </row>
    <row r="7" spans="1:11" x14ac:dyDescent="0.25">
      <c r="A7" s="98"/>
      <c r="B7" s="98"/>
      <c r="C7" s="98"/>
      <c r="D7" s="98"/>
      <c r="E7" s="98"/>
      <c r="F7" s="98"/>
      <c r="G7" s="98"/>
      <c r="H7" s="98"/>
      <c r="I7" s="98"/>
      <c r="J7" s="98"/>
      <c r="K7" s="98"/>
    </row>
    <row r="8" spans="1:11" x14ac:dyDescent="0.25">
      <c r="A8" s="98"/>
      <c r="B8" s="98"/>
      <c r="C8" s="98"/>
      <c r="D8" s="98"/>
      <c r="E8" s="98"/>
      <c r="F8" s="98"/>
      <c r="G8" s="98"/>
      <c r="H8" s="98"/>
      <c r="I8" s="109"/>
      <c r="J8" s="98"/>
      <c r="K8" s="98"/>
    </row>
    <row r="9" spans="1:11" x14ac:dyDescent="0.25">
      <c r="A9" s="98"/>
      <c r="B9" s="98"/>
      <c r="C9" s="98"/>
      <c r="D9" s="98"/>
      <c r="E9" s="98"/>
      <c r="F9" s="98"/>
      <c r="G9" s="98"/>
      <c r="H9" s="98"/>
      <c r="I9" s="98"/>
      <c r="J9" s="98"/>
      <c r="K9" s="98"/>
    </row>
    <row r="10" spans="1:11" ht="40.5" customHeight="1" x14ac:dyDescent="0.25">
      <c r="A10" s="98"/>
      <c r="B10" s="233" t="s">
        <v>743</v>
      </c>
      <c r="C10" s="233"/>
      <c r="D10" s="233"/>
      <c r="E10" s="1086" t="s">
        <v>0</v>
      </c>
      <c r="F10" s="1086"/>
      <c r="G10" s="1086"/>
      <c r="H10" s="1086"/>
      <c r="I10" s="1086"/>
      <c r="J10" s="1086"/>
      <c r="K10" s="98"/>
    </row>
    <row r="11" spans="1:11" ht="18.75" x14ac:dyDescent="0.3">
      <c r="A11" s="98"/>
      <c r="B11" s="102"/>
      <c r="C11" s="102"/>
      <c r="D11" s="102"/>
      <c r="E11" s="102"/>
      <c r="F11" s="98"/>
      <c r="G11" s="98"/>
      <c r="H11" s="98"/>
      <c r="I11" s="98"/>
      <c r="J11" s="98"/>
      <c r="K11" s="98"/>
    </row>
    <row r="12" spans="1:11" ht="57.6" customHeight="1" x14ac:dyDescent="0.25">
      <c r="A12" s="98"/>
      <c r="B12" s="1282" t="s">
        <v>927</v>
      </c>
      <c r="C12" s="1283"/>
      <c r="D12" s="1283"/>
      <c r="E12" s="1283"/>
      <c r="F12" s="1283"/>
      <c r="G12" s="1283"/>
      <c r="H12" s="1283"/>
      <c r="I12" s="1283"/>
      <c r="J12" s="1284"/>
      <c r="K12" s="98"/>
    </row>
    <row r="13" spans="1:11" ht="44.25" customHeight="1" x14ac:dyDescent="0.25">
      <c r="A13" s="98"/>
      <c r="B13" s="439" t="s">
        <v>739</v>
      </c>
      <c r="C13" s="1285" t="s">
        <v>930</v>
      </c>
      <c r="D13" s="1286"/>
      <c r="E13" s="1285" t="s">
        <v>929</v>
      </c>
      <c r="F13" s="1287"/>
      <c r="G13" s="1287"/>
      <c r="H13" s="1286"/>
      <c r="I13" s="1285" t="s">
        <v>928</v>
      </c>
      <c r="J13" s="1286"/>
      <c r="K13" s="98"/>
    </row>
    <row r="14" spans="1:11" ht="109.15" customHeight="1" x14ac:dyDescent="0.25">
      <c r="A14" s="98"/>
      <c r="B14" s="383" t="s">
        <v>752</v>
      </c>
      <c r="C14" s="406" t="s">
        <v>262</v>
      </c>
      <c r="D14" s="406" t="s">
        <v>263</v>
      </c>
      <c r="E14" s="406" t="s">
        <v>264</v>
      </c>
      <c r="F14" s="406" t="s">
        <v>265</v>
      </c>
      <c r="G14" s="406" t="s">
        <v>266</v>
      </c>
      <c r="H14" s="406" t="s">
        <v>267</v>
      </c>
      <c r="I14" s="406" t="s">
        <v>268</v>
      </c>
      <c r="J14" s="406" t="s">
        <v>269</v>
      </c>
      <c r="K14" s="98"/>
    </row>
    <row r="15" spans="1:11" ht="182.45" customHeight="1" x14ac:dyDescent="0.25">
      <c r="A15" s="98"/>
      <c r="B15" s="383" t="s">
        <v>852</v>
      </c>
      <c r="C15" s="407" t="s">
        <v>921</v>
      </c>
      <c r="D15" s="407" t="s">
        <v>906</v>
      </c>
      <c r="E15" s="407" t="s">
        <v>907</v>
      </c>
      <c r="F15" s="407" t="s">
        <v>908</v>
      </c>
      <c r="G15" s="407" t="s">
        <v>909</v>
      </c>
      <c r="H15" s="407" t="s">
        <v>910</v>
      </c>
      <c r="I15" s="407" t="s">
        <v>922</v>
      </c>
      <c r="J15" s="407" t="s">
        <v>923</v>
      </c>
      <c r="K15" s="98"/>
    </row>
    <row r="16" spans="1:11" ht="20.25" x14ac:dyDescent="0.25">
      <c r="A16" s="98"/>
      <c r="B16" s="104">
        <v>2016</v>
      </c>
      <c r="C16" s="105">
        <f>VLOOKUP($E$10,CN!$A$10:$FA$173,10,0)</f>
        <v>0.39</v>
      </c>
      <c r="D16" s="105">
        <f>VLOOKUP($E$10,CN!$A$10:$FA$173,11,0)</f>
        <v>0.37</v>
      </c>
      <c r="E16" s="105">
        <f>VLOOKUP($E$10,CN!$A$10:$FA$173,12,0)</f>
        <v>0.7</v>
      </c>
      <c r="F16" s="105">
        <f>VLOOKUP($E$10,CN!$A$10:$FA$173,13,0)</f>
        <v>0.21</v>
      </c>
      <c r="G16" s="105">
        <f>VLOOKUP($E$10,CN!$A$10:$FA$173,14,0)</f>
        <v>0.28999999999999998</v>
      </c>
      <c r="H16" s="105">
        <f>VLOOKUP($E$10,CN!$A$10:$FA$173,15,0)</f>
        <v>0.62</v>
      </c>
      <c r="I16" s="105">
        <f>VLOOKUP($E$10,CN!$A$10:$FA$173,16,0)</f>
        <v>0.31</v>
      </c>
      <c r="J16" s="105">
        <f>VLOOKUP($E$10,CN!$A$10:$FA$173,17,0)</f>
        <v>0.42</v>
      </c>
      <c r="K16" s="98"/>
    </row>
    <row r="17" spans="1:11" ht="20.25" x14ac:dyDescent="0.25">
      <c r="A17" s="98"/>
      <c r="B17" s="104">
        <v>2017</v>
      </c>
      <c r="C17" s="105">
        <f>VLOOKUP($E$10,CN!$A$10:$FA$173,40,0)</f>
        <v>0.27</v>
      </c>
      <c r="D17" s="105">
        <f>VLOOKUP($E$10,CN!$A$10:$FA$173,41,0)</f>
        <v>0.45</v>
      </c>
      <c r="E17" s="105">
        <f>VLOOKUP($E$10,CN!$A$10:$FA$173,42,0)</f>
        <v>0.56000000000000005</v>
      </c>
      <c r="F17" s="105">
        <f>VLOOKUP($E$10,CN!$A$10:$FA$173,43,0)</f>
        <v>0.37</v>
      </c>
      <c r="G17" s="105">
        <f>VLOOKUP($E$10,CN!$A$10:$FA$173,44,0)</f>
        <v>0.54</v>
      </c>
      <c r="H17" s="105" t="s">
        <v>288</v>
      </c>
      <c r="I17" s="105">
        <f>VLOOKUP($E$10,CN!$A$10:$FA$173,45,0)</f>
        <v>0.5</v>
      </c>
      <c r="J17" s="105">
        <f>VLOOKUP($E$10,CN!$A$10:$FA$173,46,0)</f>
        <v>0.5</v>
      </c>
      <c r="K17" s="98"/>
    </row>
    <row r="18" spans="1:11" ht="20.25" x14ac:dyDescent="0.25">
      <c r="A18" s="98"/>
      <c r="B18" s="104">
        <v>2018</v>
      </c>
      <c r="C18" s="105">
        <f>VLOOKUP($E$10,CN!$A$10:$FA$173,79,0)</f>
        <v>0.45</v>
      </c>
      <c r="D18" s="105">
        <f>VLOOKUP($E$10,CN!$A$10:$FA$173,94,0)</f>
        <v>0.35</v>
      </c>
      <c r="E18" s="105">
        <f>VLOOKUP($E$10,CN!$A$10:$FA$173,72,0)</f>
        <v>0.55000000000000004</v>
      </c>
      <c r="F18" s="105">
        <f>VLOOKUP($E$10,CN!$A$10:$FA$173,90,0)</f>
        <v>0.3</v>
      </c>
      <c r="G18" s="105">
        <f>VLOOKUP($E$10,CN!$A$10:$FA$173,76,0)</f>
        <v>0.35</v>
      </c>
      <c r="H18" s="105">
        <f>VLOOKUP($E$10,CN!$A$10:$FA$173,91,0)</f>
        <v>0.44</v>
      </c>
      <c r="I18" s="105">
        <f>VLOOKUP($E$10,CN!$A$10:$FA$173,86,0)</f>
        <v>0.44</v>
      </c>
      <c r="J18" s="105">
        <f>VLOOKUP($E$10,CN!$A$10:$FA$173,77,0)</f>
        <v>0.43</v>
      </c>
      <c r="K18" s="109"/>
    </row>
    <row r="19" spans="1:11" ht="20.25" x14ac:dyDescent="0.25">
      <c r="A19" s="98"/>
      <c r="B19" s="104">
        <v>2019</v>
      </c>
      <c r="C19" s="105">
        <f>VLOOKUP($E$10,CN!$A$10:$FA$173,117,0)</f>
        <v>0.51</v>
      </c>
      <c r="D19" s="105">
        <f>VLOOKUP($E$10,CN!$A$10:$FA$173,118,0)</f>
        <v>0.49</v>
      </c>
      <c r="E19" s="105">
        <f>VLOOKUP($E$10,CN!$A$10:$FA$173,109,0)</f>
        <v>0.46</v>
      </c>
      <c r="F19" s="105">
        <f>VLOOKUP($E$10,CN!$A$10:$FA$173,115,0)</f>
        <v>0.36</v>
      </c>
      <c r="G19" s="105">
        <f>VLOOKUP($E$10,CN!$A$10:$FA$173,104,0)</f>
        <v>0.28999999999999998</v>
      </c>
      <c r="H19" s="105">
        <f>VLOOKUP($E$10,CN!$A$10:$FA$173,125,0)</f>
        <v>0.5</v>
      </c>
      <c r="I19" s="105">
        <f>VLOOKUP($E$10,CN!$A$10:$FA$173,105,0)</f>
        <v>0.56999999999999995</v>
      </c>
      <c r="J19" s="105">
        <f>VLOOKUP($E$10,CN!$A$10:$FA$173,112,0)</f>
        <v>0.36</v>
      </c>
      <c r="K19" s="98"/>
    </row>
    <row r="20" spans="1:11" ht="20.25" x14ac:dyDescent="0.25">
      <c r="A20" s="98"/>
      <c r="B20" s="104">
        <v>2020</v>
      </c>
      <c r="C20" s="105">
        <f>VLOOKUP($E$10,CN!$A$10:$FA$173,135,0)</f>
        <v>0.46</v>
      </c>
      <c r="D20" s="105">
        <f>VLOOKUP($E$10,CN!$A$10:$FA$173,154,0)</f>
        <v>0.67</v>
      </c>
      <c r="E20" s="105">
        <f>VLOOKUP($E$10,CN!$A$10:$FA$173,149,0)</f>
        <v>0.46</v>
      </c>
      <c r="F20" s="105">
        <f>VLOOKUP($E$10,CN!$A$10:$FA$173,146,0)</f>
        <v>0.38</v>
      </c>
      <c r="G20" s="105">
        <f>VLOOKUP($E$10,CN!$A$10:$FA$173,142,0)</f>
        <v>0.45</v>
      </c>
      <c r="H20" s="105" t="s">
        <v>288</v>
      </c>
      <c r="I20" s="105">
        <f>VLOOKUP($E$10,CN!$A$10:$FA$173,134,0)</f>
        <v>0.48</v>
      </c>
      <c r="J20" s="105">
        <f>VLOOKUP($E$10,CN!$A$10:$FA$173,140,0)</f>
        <v>0.56999999999999995</v>
      </c>
      <c r="K20" s="109"/>
    </row>
    <row r="21" spans="1:11" ht="20.25" x14ac:dyDescent="0.25">
      <c r="A21" s="98"/>
      <c r="B21" s="104">
        <v>2021</v>
      </c>
      <c r="C21" s="105">
        <f>VLOOKUP($E$10,CN!$A$10:$GI$173,172,0)</f>
        <v>0.39</v>
      </c>
      <c r="D21" s="105">
        <f>VLOOKUP($E$10,CN!$A$10:$GI$173,168,0)</f>
        <v>0.49</v>
      </c>
      <c r="E21" s="105">
        <f>VLOOKUP($E$10,CN!$A$10:$GI$173,188,0)</f>
        <v>0.47</v>
      </c>
      <c r="F21" s="105">
        <f>VLOOKUP($E$10,CN!$A$10:$GI$173,180,0)</f>
        <v>0.46</v>
      </c>
      <c r="G21" s="105">
        <f>VLOOKUP($E$10,CN!$A$10:$GI$173,185,0)</f>
        <v>0.45</v>
      </c>
      <c r="H21" s="105">
        <f>VLOOKUP($E$10,CN!$A$10:$GI$173,184,0)</f>
        <v>0.53</v>
      </c>
      <c r="I21" s="105">
        <f>VLOOKUP($E$10,CN!$A$10:$GI$173,189,0)</f>
        <v>0.45</v>
      </c>
      <c r="J21" s="105">
        <f>VLOOKUP($E$10,CN!$A$10:$GI$173,191,0)</f>
        <v>0.28999999999999998</v>
      </c>
      <c r="K21" s="98"/>
    </row>
    <row r="22" spans="1:11" ht="20.25" x14ac:dyDescent="0.25">
      <c r="A22" s="98"/>
      <c r="B22" s="104">
        <v>2022</v>
      </c>
      <c r="C22" s="105">
        <f>VLOOKUP($E$10,CN!$A$10:$HQ$173,223,0)</f>
        <v>0.43</v>
      </c>
      <c r="D22" s="105">
        <f>VLOOKUP($E$10,CN!$A$10:$HQ$173,204,0)</f>
        <v>0.55000000000000004</v>
      </c>
      <c r="E22" s="105" t="str">
        <f>VLOOKUP($E$10,CN!$A$10:$HQ$173,224,0)</f>
        <v>N.D.</v>
      </c>
      <c r="F22" s="105">
        <f>VLOOKUP($E$10,CN!$A$10:$HQ$173,200,0)</f>
        <v>0.48</v>
      </c>
      <c r="G22" s="105">
        <f>VLOOKUP($E$10,CN!$A$10:$HQ$173,201,0)</f>
        <v>0.53</v>
      </c>
      <c r="H22" s="105">
        <f>VLOOKUP($E$10,CN!$A$10:$HQ$173,210,0)</f>
        <v>0.46</v>
      </c>
      <c r="I22" s="105">
        <f>VLOOKUP($E$10,CN!$A$10:$HQ$173,216,0)</f>
        <v>0.38</v>
      </c>
      <c r="J22" s="105">
        <f>VLOOKUP($E$10,CN!$A$10:$HQ$173,202,0)</f>
        <v>0.61</v>
      </c>
      <c r="K22" s="109"/>
    </row>
    <row r="23" spans="1:11" ht="20.25" x14ac:dyDescent="0.25">
      <c r="A23" s="98"/>
      <c r="B23" s="104">
        <v>2023</v>
      </c>
      <c r="C23" s="105">
        <f>VLOOKUP($E$10,CN!$A$10:$IY$173,259,0)</f>
        <v>0.51</v>
      </c>
      <c r="D23" s="105">
        <f>VLOOKUP($E$10,CN!$A$10:$IY$173,235,0)</f>
        <v>0.52</v>
      </c>
      <c r="E23" s="105">
        <f>VLOOKUP($E$10,CN!$A$10:$IY$173,236,0)</f>
        <v>0.34</v>
      </c>
      <c r="F23" s="105">
        <f>VLOOKUP($E$10,CN!$A$10:$IY$173,237,0)</f>
        <v>0.49</v>
      </c>
      <c r="G23" s="105">
        <f>VLOOKUP($E$10,CN!$A$10:$IY$173,240,0)</f>
        <v>0.4</v>
      </c>
      <c r="H23" s="105">
        <f>VLOOKUP($E$10,CN!$A$10:$IY$173,253,0)</f>
        <v>0.52</v>
      </c>
      <c r="I23" s="105">
        <f>VLOOKUP($E$10,CN!$A$10:$IY$173,250,0)</f>
        <v>0.41</v>
      </c>
      <c r="J23" s="105">
        <f>VLOOKUP($E$10,CN!$A$10:$IY$173,248,0)</f>
        <v>0.44</v>
      </c>
      <c r="K23" s="109"/>
    </row>
    <row r="24" spans="1:11" ht="20.25" x14ac:dyDescent="0.25">
      <c r="A24" s="98"/>
      <c r="B24" s="104">
        <v>2024</v>
      </c>
      <c r="C24" s="105">
        <f>VLOOKUP($E$10,CN!$A$10:$KG$173,268,0)</f>
        <v>0.46</v>
      </c>
      <c r="D24" s="105">
        <f>VLOOKUP($E$10,CN!$A$10:$KG$173,269,0)</f>
        <v>0.44</v>
      </c>
      <c r="E24" s="105">
        <f>VLOOKUP($E$10,CN!$A$10:$KG$173,270,0)</f>
        <v>0.42</v>
      </c>
      <c r="F24" s="105">
        <f>VLOOKUP($E$10,CN!$A$10:$KG$173,271,0)</f>
        <v>0.47</v>
      </c>
      <c r="G24" s="105">
        <f>VLOOKUP($E$10,CN!$A$10:$KG$173,272,0)</f>
        <v>0.48</v>
      </c>
      <c r="H24" s="105">
        <f>VLOOKUP($E$10,CN!$A$10:$KG$173,273,0)</f>
        <v>0.48</v>
      </c>
      <c r="I24" s="105">
        <f>VLOOKUP($E$10,CN!$A$10:$KG$173,274,0)</f>
        <v>0.41</v>
      </c>
      <c r="J24" s="105">
        <f>VLOOKUP($E$10,CN!$A$10:$KG$173,275,0)</f>
        <v>0.46</v>
      </c>
      <c r="K24" s="109"/>
    </row>
    <row r="25" spans="1:11" ht="20.25" x14ac:dyDescent="0.25">
      <c r="A25" s="98"/>
      <c r="B25" s="104">
        <v>2025</v>
      </c>
      <c r="C25" s="105">
        <f>VLOOKUP($E$10,CN!$A$10:$LO$173,302,0)</f>
        <v>0.49</v>
      </c>
      <c r="D25" s="105">
        <f>VLOOKUP($E$10,CN!$A$10:$LO$173,303,0)</f>
        <v>0.26</v>
      </c>
      <c r="E25" s="105">
        <f>VLOOKUP($E$10,CN!$A$10:$LO$173,304,0)</f>
        <v>0.56999999999999995</v>
      </c>
      <c r="F25" s="105">
        <f>VLOOKUP($E$10,CN!$A$10:$LO$173,305,0)</f>
        <v>0.46</v>
      </c>
      <c r="G25" s="105">
        <f>VLOOKUP($E$10,CN!$A$10:$LO$173,306,0)</f>
        <v>0.55000000000000004</v>
      </c>
      <c r="H25" s="105">
        <f>VLOOKUP($E$10,CN!$A$10:$LO$173,307,0)</f>
        <v>0.38</v>
      </c>
      <c r="I25" s="105">
        <f>VLOOKUP($E$10,CN!$A$10:$LO$173,308,0)</f>
        <v>0.57999999999999996</v>
      </c>
      <c r="J25" s="105">
        <f>VLOOKUP($E$10,CN!$A$10:$LO$173,309,0)</f>
        <v>0.34</v>
      </c>
      <c r="K25" s="98"/>
    </row>
    <row r="26" spans="1:11" ht="23.25" x14ac:dyDescent="0.35">
      <c r="A26" s="98"/>
      <c r="B26" s="1280" t="str">
        <f>C13</f>
        <v>Explicación de fenómenos 
(12% de las preguntas)</v>
      </c>
      <c r="C26" s="1280"/>
      <c r="D26" s="1280"/>
      <c r="E26" s="1280"/>
      <c r="F26" s="98"/>
      <c r="G26" s="1280" t="str">
        <f>I13</f>
        <v>Uso comprensivo del conocimiento científico 
(9% de las preguntas)</v>
      </c>
      <c r="H26" s="1280"/>
      <c r="I26" s="1280"/>
      <c r="J26" s="1280"/>
      <c r="K26" s="98"/>
    </row>
    <row r="27" spans="1:11" x14ac:dyDescent="0.25">
      <c r="A27" s="98"/>
      <c r="B27" s="98"/>
      <c r="C27" s="98"/>
      <c r="D27" s="98"/>
      <c r="E27" s="98"/>
      <c r="F27" s="98"/>
      <c r="G27" s="98"/>
      <c r="H27" s="98"/>
      <c r="I27" s="98"/>
      <c r="J27" s="98"/>
      <c r="K27" s="98"/>
    </row>
    <row r="28" spans="1:11" x14ac:dyDescent="0.25">
      <c r="A28" s="98"/>
      <c r="B28" s="98"/>
      <c r="C28" s="98"/>
      <c r="D28" s="98"/>
      <c r="E28" s="98"/>
      <c r="F28" s="98"/>
      <c r="G28" s="98"/>
      <c r="H28" s="98"/>
      <c r="I28" s="98"/>
      <c r="J28" s="98"/>
      <c r="K28" s="98"/>
    </row>
    <row r="29" spans="1:11" ht="15.75" customHeight="1" x14ac:dyDescent="0.25">
      <c r="A29" s="98"/>
      <c r="B29" s="98"/>
      <c r="C29" s="98"/>
      <c r="D29" s="98"/>
      <c r="E29" s="98"/>
      <c r="F29" s="98"/>
      <c r="G29" s="98"/>
      <c r="H29" s="98"/>
      <c r="I29" s="98"/>
      <c r="J29" s="98"/>
      <c r="K29" s="98"/>
    </row>
    <row r="30" spans="1:11" ht="26.25" customHeight="1" x14ac:dyDescent="0.25">
      <c r="A30" s="98"/>
      <c r="B30" s="98"/>
      <c r="C30" s="98"/>
      <c r="D30" s="98"/>
      <c r="E30" s="98"/>
      <c r="F30" s="98"/>
      <c r="G30" s="98"/>
      <c r="H30" s="98"/>
      <c r="I30" s="98"/>
      <c r="J30" s="98"/>
      <c r="K30" s="98"/>
    </row>
    <row r="31" spans="1:11" x14ac:dyDescent="0.25">
      <c r="A31" s="98"/>
      <c r="B31" s="98"/>
      <c r="C31" s="98"/>
      <c r="D31" s="98"/>
      <c r="E31" s="98"/>
      <c r="F31" s="98"/>
      <c r="G31" s="98"/>
      <c r="H31" s="98"/>
      <c r="I31" s="98"/>
      <c r="J31" s="98"/>
      <c r="K31" s="98"/>
    </row>
    <row r="32" spans="1:11" x14ac:dyDescent="0.25">
      <c r="A32" s="98"/>
      <c r="B32" s="98"/>
      <c r="C32" s="98"/>
      <c r="D32" s="98"/>
      <c r="E32" s="98"/>
      <c r="F32" s="98"/>
      <c r="G32" s="98"/>
      <c r="H32" s="98"/>
      <c r="I32" s="98"/>
      <c r="J32" s="98"/>
      <c r="K32" s="98"/>
    </row>
    <row r="33" spans="1:11" x14ac:dyDescent="0.25">
      <c r="A33" s="98"/>
      <c r="B33" s="98"/>
      <c r="C33" s="98"/>
      <c r="D33" s="98"/>
      <c r="E33" s="98"/>
      <c r="F33" s="98"/>
      <c r="G33" s="98"/>
      <c r="H33" s="98"/>
      <c r="I33" s="98"/>
      <c r="J33" s="98"/>
      <c r="K33" s="98"/>
    </row>
    <row r="34" spans="1:11" x14ac:dyDescent="0.25">
      <c r="A34" s="98"/>
      <c r="B34" s="98"/>
      <c r="C34" s="98"/>
      <c r="D34" s="98"/>
      <c r="E34" s="98"/>
      <c r="F34" s="98"/>
      <c r="G34" s="98"/>
      <c r="H34" s="98"/>
      <c r="I34" s="98"/>
      <c r="J34" s="98"/>
      <c r="K34" s="98"/>
    </row>
    <row r="35" spans="1:11" x14ac:dyDescent="0.25">
      <c r="A35" s="98"/>
      <c r="B35" s="98"/>
      <c r="C35" s="98"/>
      <c r="D35" s="98"/>
      <c r="E35" s="98"/>
      <c r="F35" s="98"/>
      <c r="G35" s="98"/>
      <c r="H35" s="98"/>
      <c r="I35" s="98"/>
      <c r="J35" s="98"/>
      <c r="K35" s="98"/>
    </row>
    <row r="36" spans="1:11" x14ac:dyDescent="0.25">
      <c r="A36" s="98"/>
      <c r="B36" s="98"/>
      <c r="C36" s="98"/>
      <c r="D36" s="98"/>
      <c r="E36" s="98"/>
      <c r="F36" s="98"/>
      <c r="G36" s="98"/>
      <c r="H36" s="98"/>
      <c r="I36" s="98"/>
      <c r="J36" s="98"/>
      <c r="K36" s="98"/>
    </row>
    <row r="37" spans="1:11" x14ac:dyDescent="0.25">
      <c r="A37" s="98"/>
      <c r="B37" s="98"/>
      <c r="C37" s="98"/>
      <c r="D37" s="98"/>
      <c r="E37" s="98"/>
      <c r="F37" s="98"/>
      <c r="G37" s="98"/>
      <c r="H37" s="98"/>
      <c r="I37" s="98"/>
      <c r="J37" s="98"/>
      <c r="K37" s="98"/>
    </row>
    <row r="38" spans="1:11" x14ac:dyDescent="0.25">
      <c r="A38" s="98"/>
      <c r="B38" s="98"/>
      <c r="C38" s="98"/>
      <c r="D38" s="98"/>
      <c r="E38" s="98"/>
      <c r="F38" s="98"/>
      <c r="G38" s="98"/>
      <c r="H38" s="98"/>
      <c r="I38" s="98"/>
      <c r="J38" s="98"/>
      <c r="K38" s="98"/>
    </row>
    <row r="39" spans="1:11" x14ac:dyDescent="0.25">
      <c r="A39" s="98"/>
      <c r="B39" s="98"/>
      <c r="C39" s="98"/>
      <c r="D39" s="98"/>
      <c r="E39" s="98"/>
      <c r="F39" s="98"/>
      <c r="G39" s="98"/>
      <c r="H39" s="98"/>
      <c r="I39" s="98"/>
      <c r="J39" s="98"/>
      <c r="K39" s="98"/>
    </row>
    <row r="40" spans="1:11" x14ac:dyDescent="0.25">
      <c r="A40" s="98"/>
      <c r="B40" s="98"/>
      <c r="C40" s="98"/>
      <c r="D40" s="98"/>
      <c r="E40" s="98"/>
      <c r="F40" s="98"/>
      <c r="G40" s="98"/>
      <c r="H40" s="98"/>
      <c r="I40" s="98"/>
      <c r="J40" s="98"/>
      <c r="K40" s="98"/>
    </row>
    <row r="41" spans="1:11" x14ac:dyDescent="0.25">
      <c r="A41" s="98"/>
      <c r="B41" s="98"/>
      <c r="C41" s="98"/>
      <c r="D41" s="98"/>
      <c r="E41" s="98"/>
      <c r="F41" s="98"/>
      <c r="G41" s="98"/>
      <c r="H41" s="98"/>
      <c r="I41" s="98"/>
      <c r="J41" s="98"/>
      <c r="K41" s="98"/>
    </row>
    <row r="42" spans="1:11" x14ac:dyDescent="0.25">
      <c r="A42" s="98"/>
      <c r="B42" s="98"/>
      <c r="C42" s="98"/>
      <c r="D42" s="98"/>
      <c r="E42" s="98"/>
      <c r="F42" s="98"/>
      <c r="G42" s="98"/>
      <c r="H42" s="98"/>
      <c r="I42" s="98"/>
      <c r="J42" s="98"/>
      <c r="K42" s="98"/>
    </row>
    <row r="43" spans="1:11" x14ac:dyDescent="0.25">
      <c r="A43" s="98"/>
      <c r="B43" s="98"/>
      <c r="C43" s="98"/>
      <c r="D43" s="98"/>
      <c r="E43" s="98"/>
      <c r="F43" s="98"/>
      <c r="G43" s="98"/>
      <c r="H43" s="98"/>
      <c r="I43" s="98"/>
      <c r="J43" s="98"/>
      <c r="K43" s="98"/>
    </row>
    <row r="44" spans="1:11" x14ac:dyDescent="0.25">
      <c r="A44" s="98"/>
      <c r="B44" s="98"/>
      <c r="C44" s="98"/>
      <c r="D44" s="98"/>
      <c r="E44" s="98"/>
      <c r="F44" s="98"/>
      <c r="G44" s="98"/>
      <c r="H44" s="98"/>
      <c r="I44" s="98"/>
      <c r="J44" s="98"/>
      <c r="K44" s="98"/>
    </row>
    <row r="45" spans="1:11" x14ac:dyDescent="0.25">
      <c r="A45" s="98"/>
      <c r="B45" s="98"/>
      <c r="C45" s="98"/>
      <c r="D45" s="98"/>
      <c r="E45" s="98"/>
      <c r="F45" s="98"/>
      <c r="G45" s="98"/>
      <c r="H45" s="98"/>
      <c r="I45" s="98"/>
      <c r="J45" s="98"/>
      <c r="K45" s="98"/>
    </row>
    <row r="46" spans="1:11" x14ac:dyDescent="0.25">
      <c r="A46" s="98"/>
      <c r="B46" s="98"/>
      <c r="C46" s="98"/>
      <c r="D46" s="98"/>
      <c r="E46" s="98"/>
      <c r="F46" s="98"/>
      <c r="G46" s="98"/>
      <c r="H46" s="98"/>
      <c r="I46" s="98"/>
      <c r="J46" s="98"/>
      <c r="K46" s="98"/>
    </row>
    <row r="47" spans="1:11" x14ac:dyDescent="0.25">
      <c r="A47" s="98"/>
      <c r="B47" s="98"/>
      <c r="C47" s="98"/>
      <c r="D47" s="98"/>
      <c r="E47" s="98"/>
      <c r="F47" s="98"/>
      <c r="G47" s="98"/>
      <c r="H47" s="98"/>
      <c r="I47" s="98"/>
      <c r="J47" s="98"/>
      <c r="K47" s="98"/>
    </row>
    <row r="48" spans="1:11" x14ac:dyDescent="0.25">
      <c r="A48" s="98"/>
      <c r="B48" s="98"/>
      <c r="C48" s="98"/>
      <c r="D48" s="98"/>
      <c r="E48" s="98"/>
      <c r="F48" s="98"/>
      <c r="G48" s="98"/>
      <c r="H48" s="98"/>
      <c r="I48" s="98"/>
      <c r="J48" s="98"/>
      <c r="K48" s="98"/>
    </row>
    <row r="49" spans="1:11" x14ac:dyDescent="0.25">
      <c r="A49" s="98"/>
      <c r="B49" s="98"/>
      <c r="C49" s="98"/>
      <c r="D49" s="98"/>
      <c r="E49" s="98"/>
      <c r="F49" s="98"/>
      <c r="G49" s="98"/>
      <c r="H49" s="98"/>
      <c r="I49" s="98"/>
      <c r="J49" s="98"/>
      <c r="K49" s="98"/>
    </row>
    <row r="50" spans="1:11" ht="18" customHeight="1" x14ac:dyDescent="0.25">
      <c r="A50" s="98"/>
      <c r="B50" s="98"/>
      <c r="C50" s="98"/>
      <c r="D50" s="98"/>
      <c r="E50" s="98"/>
      <c r="F50" s="98"/>
      <c r="G50" s="98"/>
      <c r="H50" s="98"/>
      <c r="I50" s="98"/>
      <c r="J50" s="98"/>
      <c r="K50" s="98"/>
    </row>
    <row r="51" spans="1:11" ht="23.25" x14ac:dyDescent="0.35">
      <c r="A51" s="98"/>
      <c r="B51" s="1280" t="str">
        <f>E13</f>
        <v>Indagar 
(9% de las preguntas)</v>
      </c>
      <c r="C51" s="1280"/>
      <c r="D51" s="1280"/>
      <c r="E51" s="1280"/>
      <c r="F51" s="98"/>
      <c r="G51" s="98"/>
      <c r="H51" s="98"/>
      <c r="I51" s="98"/>
      <c r="J51" s="98"/>
      <c r="K51" s="98"/>
    </row>
    <row r="52" spans="1:11" ht="18.75" x14ac:dyDescent="0.25">
      <c r="A52" s="98"/>
      <c r="B52" s="98"/>
      <c r="C52" s="98"/>
      <c r="D52" s="98"/>
      <c r="E52" s="98"/>
      <c r="F52" s="98"/>
      <c r="G52" s="399"/>
      <c r="H52" s="399"/>
      <c r="I52" s="399"/>
      <c r="J52" s="399"/>
      <c r="K52" s="109"/>
    </row>
    <row r="53" spans="1:11" ht="17.45" customHeight="1" x14ac:dyDescent="0.25">
      <c r="A53" s="98"/>
      <c r="B53" s="98"/>
      <c r="C53" s="98"/>
      <c r="D53" s="98"/>
      <c r="E53" s="98"/>
      <c r="F53" s="98"/>
      <c r="G53" s="1289" t="s">
        <v>856</v>
      </c>
      <c r="H53" s="1289"/>
      <c r="I53" s="1289"/>
      <c r="J53" s="1289"/>
      <c r="K53" s="98"/>
    </row>
    <row r="54" spans="1:11" ht="15.6" customHeight="1" x14ac:dyDescent="0.25">
      <c r="A54" s="98"/>
      <c r="B54" s="98"/>
      <c r="C54" s="98"/>
      <c r="D54" s="98"/>
      <c r="E54" s="98"/>
      <c r="F54" s="98"/>
      <c r="G54" s="1288" t="s">
        <v>866</v>
      </c>
      <c r="H54" s="1288"/>
      <c r="I54" s="1288"/>
      <c r="J54" s="1288"/>
      <c r="K54" s="400"/>
    </row>
    <row r="55" spans="1:11" ht="15.6" customHeight="1" x14ac:dyDescent="0.25">
      <c r="A55" s="98"/>
      <c r="B55" s="98"/>
      <c r="C55" s="98"/>
      <c r="D55" s="98"/>
      <c r="E55" s="98"/>
      <c r="F55" s="98"/>
      <c r="G55" s="1288"/>
      <c r="H55" s="1288"/>
      <c r="I55" s="1288"/>
      <c r="J55" s="1288"/>
      <c r="K55" s="400"/>
    </row>
    <row r="56" spans="1:11" ht="15.6" customHeight="1" x14ac:dyDescent="0.25">
      <c r="A56" s="98"/>
      <c r="B56" s="98"/>
      <c r="C56" s="98"/>
      <c r="D56" s="98"/>
      <c r="E56" s="98"/>
      <c r="F56" s="98"/>
      <c r="G56" s="1288"/>
      <c r="H56" s="1288"/>
      <c r="I56" s="1288"/>
      <c r="J56" s="1288"/>
      <c r="K56" s="400"/>
    </row>
    <row r="57" spans="1:11" ht="15.6" customHeight="1" x14ac:dyDescent="0.25">
      <c r="A57" s="98"/>
      <c r="B57" s="98"/>
      <c r="C57" s="98"/>
      <c r="D57" s="98"/>
      <c r="E57" s="98"/>
      <c r="F57" s="98"/>
      <c r="G57" s="1288"/>
      <c r="H57" s="1288"/>
      <c r="I57" s="1288"/>
      <c r="J57" s="1288"/>
      <c r="K57" s="400"/>
    </row>
    <row r="58" spans="1:11" ht="15.6" customHeight="1" x14ac:dyDescent="0.25">
      <c r="A58" s="98"/>
      <c r="B58" s="98"/>
      <c r="C58" s="98"/>
      <c r="D58" s="98"/>
      <c r="E58" s="98"/>
      <c r="F58" s="98"/>
      <c r="G58" s="1288"/>
      <c r="H58" s="1288"/>
      <c r="I58" s="1288"/>
      <c r="J58" s="1288"/>
      <c r="K58" s="400"/>
    </row>
    <row r="59" spans="1:11" ht="15.6" customHeight="1" x14ac:dyDescent="0.25">
      <c r="A59" s="98"/>
      <c r="B59" s="98"/>
      <c r="C59" s="98"/>
      <c r="D59" s="98"/>
      <c r="E59" s="98"/>
      <c r="F59" s="98"/>
      <c r="G59" s="1288"/>
      <c r="H59" s="1288"/>
      <c r="I59" s="1288"/>
      <c r="J59" s="1288"/>
      <c r="K59" s="400"/>
    </row>
    <row r="60" spans="1:11" ht="15.6" customHeight="1" x14ac:dyDescent="0.25">
      <c r="A60" s="98"/>
      <c r="B60" s="98"/>
      <c r="C60" s="98"/>
      <c r="D60" s="98"/>
      <c r="E60" s="98"/>
      <c r="F60" s="98"/>
      <c r="G60" s="1288"/>
      <c r="H60" s="1288"/>
      <c r="I60" s="1288"/>
      <c r="J60" s="1288"/>
      <c r="K60" s="400"/>
    </row>
    <row r="61" spans="1:11" ht="15.6" customHeight="1" x14ac:dyDescent="0.25">
      <c r="A61" s="98"/>
      <c r="B61" s="98"/>
      <c r="C61" s="98"/>
      <c r="D61" s="98"/>
      <c r="E61" s="98"/>
      <c r="F61" s="98"/>
      <c r="G61" s="1288"/>
      <c r="H61" s="1288"/>
      <c r="I61" s="1288"/>
      <c r="J61" s="1288"/>
      <c r="K61" s="400"/>
    </row>
    <row r="62" spans="1:11" ht="15.6" customHeight="1" x14ac:dyDescent="0.25">
      <c r="A62" s="98"/>
      <c r="B62" s="98"/>
      <c r="C62" s="98"/>
      <c r="D62" s="98"/>
      <c r="E62" s="98"/>
      <c r="F62" s="98"/>
      <c r="G62" s="1288"/>
      <c r="H62" s="1288"/>
      <c r="I62" s="1288"/>
      <c r="J62" s="1288"/>
      <c r="K62" s="400"/>
    </row>
    <row r="63" spans="1:11" ht="15.6" customHeight="1" x14ac:dyDescent="0.25">
      <c r="A63" s="98"/>
      <c r="B63" s="98"/>
      <c r="C63" s="98"/>
      <c r="D63" s="98"/>
      <c r="E63" s="98"/>
      <c r="F63" s="98"/>
      <c r="G63" s="1288"/>
      <c r="H63" s="1288"/>
      <c r="I63" s="1288"/>
      <c r="J63" s="1288"/>
      <c r="K63" s="400"/>
    </row>
    <row r="64" spans="1:11" ht="15.6" customHeight="1" x14ac:dyDescent="0.25">
      <c r="A64" s="98"/>
      <c r="B64" s="98"/>
      <c r="C64" s="98"/>
      <c r="D64" s="98"/>
      <c r="E64" s="98"/>
      <c r="F64" s="98"/>
      <c r="G64" s="1288"/>
      <c r="H64" s="1288"/>
      <c r="I64" s="1288"/>
      <c r="J64" s="1288"/>
      <c r="K64" s="400"/>
    </row>
    <row r="65" spans="1:11" ht="15.6" customHeight="1" x14ac:dyDescent="0.25">
      <c r="A65" s="98"/>
      <c r="B65" s="98"/>
      <c r="C65" s="98"/>
      <c r="D65" s="98"/>
      <c r="E65" s="98"/>
      <c r="F65" s="98"/>
      <c r="G65" s="1288"/>
      <c r="H65" s="1288"/>
      <c r="I65" s="1288"/>
      <c r="J65" s="1288"/>
      <c r="K65" s="400"/>
    </row>
    <row r="66" spans="1:11" ht="15.6" customHeight="1" x14ac:dyDescent="0.25">
      <c r="A66" s="98"/>
      <c r="B66" s="98"/>
      <c r="C66" s="98"/>
      <c r="D66" s="98"/>
      <c r="E66" s="98"/>
      <c r="F66" s="98"/>
      <c r="G66" s="1288"/>
      <c r="H66" s="1288"/>
      <c r="I66" s="1288"/>
      <c r="J66" s="1288"/>
      <c r="K66" s="400"/>
    </row>
    <row r="67" spans="1:11" ht="15.6" customHeight="1" x14ac:dyDescent="0.25">
      <c r="A67" s="98"/>
      <c r="B67" s="98"/>
      <c r="C67" s="98"/>
      <c r="D67" s="98"/>
      <c r="E67" s="98"/>
      <c r="F67" s="98"/>
      <c r="G67" s="1288"/>
      <c r="H67" s="1288"/>
      <c r="I67" s="1288"/>
      <c r="J67" s="1288"/>
      <c r="K67" s="400"/>
    </row>
    <row r="68" spans="1:11" ht="15.6" customHeight="1" x14ac:dyDescent="0.25">
      <c r="A68" s="98"/>
      <c r="B68" s="98"/>
      <c r="C68" s="98"/>
      <c r="D68" s="98"/>
      <c r="E68" s="98"/>
      <c r="F68" s="98"/>
      <c r="G68" s="1288"/>
      <c r="H68" s="1288"/>
      <c r="I68" s="1288"/>
      <c r="J68" s="1288"/>
      <c r="K68" s="400"/>
    </row>
    <row r="69" spans="1:11" ht="15.6" customHeight="1" x14ac:dyDescent="0.25">
      <c r="A69" s="98"/>
      <c r="B69" s="98"/>
      <c r="C69" s="98"/>
      <c r="D69" s="98"/>
      <c r="E69" s="98"/>
      <c r="F69" s="98"/>
      <c r="G69" s="1288"/>
      <c r="H69" s="1288"/>
      <c r="I69" s="1288"/>
      <c r="J69" s="1288"/>
      <c r="K69" s="400"/>
    </row>
    <row r="70" spans="1:11" ht="15.6" customHeight="1" x14ac:dyDescent="0.25">
      <c r="A70" s="98"/>
      <c r="B70" s="98"/>
      <c r="C70" s="98"/>
      <c r="D70" s="98"/>
      <c r="E70" s="98"/>
      <c r="F70" s="98"/>
      <c r="G70" s="1288"/>
      <c r="H70" s="1288"/>
      <c r="I70" s="1288"/>
      <c r="J70" s="1288"/>
      <c r="K70" s="400"/>
    </row>
    <row r="71" spans="1:11" ht="15.6" customHeight="1" x14ac:dyDescent="0.25">
      <c r="A71" s="98"/>
      <c r="B71" s="98"/>
      <c r="C71" s="98"/>
      <c r="D71" s="98"/>
      <c r="E71" s="98"/>
      <c r="F71" s="98"/>
      <c r="G71" s="1288"/>
      <c r="H71" s="1288"/>
      <c r="I71" s="1288"/>
      <c r="J71" s="1288"/>
      <c r="K71" s="400"/>
    </row>
    <row r="72" spans="1:11" ht="15.6" customHeight="1" x14ac:dyDescent="0.25">
      <c r="A72" s="98"/>
      <c r="B72" s="98"/>
      <c r="C72" s="98"/>
      <c r="D72" s="98"/>
      <c r="E72" s="98"/>
      <c r="F72" s="98"/>
      <c r="G72" s="1288"/>
      <c r="H72" s="1288"/>
      <c r="I72" s="1288"/>
      <c r="J72" s="1288"/>
      <c r="K72" s="400"/>
    </row>
    <row r="73" spans="1:11" ht="15.6" customHeight="1" x14ac:dyDescent="0.25">
      <c r="A73" s="98"/>
      <c r="B73" s="98"/>
      <c r="C73" s="98"/>
      <c r="D73" s="98"/>
      <c r="E73" s="98"/>
      <c r="F73" s="98"/>
      <c r="G73" s="1288"/>
      <c r="H73" s="1288"/>
      <c r="I73" s="1288"/>
      <c r="J73" s="1288"/>
      <c r="K73" s="400"/>
    </row>
    <row r="74" spans="1:11" ht="15.6" customHeight="1" x14ac:dyDescent="0.25">
      <c r="A74" s="98"/>
      <c r="B74" s="98"/>
      <c r="C74" s="98"/>
      <c r="D74" s="98"/>
      <c r="E74" s="98"/>
      <c r="F74" s="98"/>
      <c r="G74" s="1288"/>
      <c r="H74" s="1288"/>
      <c r="I74" s="1288"/>
      <c r="J74" s="1288"/>
      <c r="K74" s="400"/>
    </row>
    <row r="75" spans="1:11" ht="15.6" customHeight="1" x14ac:dyDescent="0.25">
      <c r="A75" s="98"/>
      <c r="B75" s="98"/>
      <c r="C75" s="98"/>
      <c r="D75" s="98"/>
      <c r="E75" s="98"/>
      <c r="F75" s="98"/>
      <c r="G75" s="1288"/>
      <c r="H75" s="1288"/>
      <c r="I75" s="1288"/>
      <c r="J75" s="1288"/>
      <c r="K75" s="400"/>
    </row>
    <row r="76" spans="1:11" ht="15.6" customHeight="1" x14ac:dyDescent="0.25">
      <c r="A76" s="98"/>
      <c r="B76" s="98"/>
      <c r="C76" s="98"/>
      <c r="D76" s="98"/>
      <c r="E76" s="98"/>
      <c r="F76" s="98"/>
      <c r="G76" s="1288"/>
      <c r="H76" s="1288"/>
      <c r="I76" s="1288"/>
      <c r="J76" s="1288"/>
      <c r="K76" s="400"/>
    </row>
    <row r="77" spans="1:11" ht="15.6" customHeight="1" x14ac:dyDescent="0.25">
      <c r="A77" s="98"/>
      <c r="B77" s="98"/>
      <c r="C77" s="98"/>
      <c r="D77" s="98"/>
      <c r="E77" s="98"/>
      <c r="F77" s="98"/>
      <c r="G77" s="1288"/>
      <c r="H77" s="1288"/>
      <c r="I77" s="1288"/>
      <c r="J77" s="1288"/>
      <c r="K77" s="400"/>
    </row>
    <row r="78" spans="1:11" ht="15.6" customHeight="1" x14ac:dyDescent="0.25">
      <c r="A78" s="98"/>
      <c r="B78" s="98"/>
      <c r="C78" s="98"/>
      <c r="D78" s="98"/>
      <c r="E78" s="98"/>
      <c r="F78" s="98"/>
      <c r="G78" s="1288"/>
      <c r="H78" s="1288"/>
      <c r="I78" s="1288"/>
      <c r="J78" s="1288"/>
      <c r="K78" s="400"/>
    </row>
    <row r="79" spans="1:11" ht="15.6" customHeight="1" x14ac:dyDescent="0.25">
      <c r="A79" s="98"/>
      <c r="B79" s="98"/>
      <c r="C79" s="98"/>
      <c r="D79" s="98"/>
      <c r="E79" s="98"/>
      <c r="F79" s="98"/>
      <c r="G79" s="1288"/>
      <c r="H79" s="1288"/>
      <c r="I79" s="1288"/>
      <c r="J79" s="1288"/>
      <c r="K79" s="400"/>
    </row>
    <row r="80" spans="1:11" ht="15.6" customHeight="1" x14ac:dyDescent="0.25">
      <c r="A80" s="98"/>
      <c r="B80" s="98"/>
      <c r="C80" s="98"/>
      <c r="D80" s="98"/>
      <c r="E80" s="98"/>
      <c r="F80" s="98"/>
      <c r="G80" s="1288"/>
      <c r="H80" s="1288"/>
      <c r="I80" s="1288"/>
      <c r="J80" s="1288"/>
      <c r="K80" s="400"/>
    </row>
    <row r="81" spans="1:11" ht="15.6" customHeight="1" x14ac:dyDescent="0.25">
      <c r="A81" s="98"/>
      <c r="B81" s="98"/>
      <c r="C81" s="98"/>
      <c r="D81" s="98"/>
      <c r="E81" s="98"/>
      <c r="F81" s="98"/>
      <c r="G81" s="1288"/>
      <c r="H81" s="1288"/>
      <c r="I81" s="1288"/>
      <c r="J81" s="1288"/>
      <c r="K81" s="400"/>
    </row>
    <row r="82" spans="1:11" ht="15.6" customHeight="1" x14ac:dyDescent="0.25">
      <c r="A82" s="98"/>
      <c r="B82" s="98"/>
      <c r="C82" s="98"/>
      <c r="D82" s="98"/>
      <c r="E82" s="98"/>
      <c r="F82" s="98"/>
      <c r="G82" s="1288"/>
      <c r="H82" s="1288"/>
      <c r="I82" s="1288"/>
      <c r="J82" s="1288"/>
      <c r="K82" s="400"/>
    </row>
    <row r="83" spans="1:11" ht="15.6" customHeight="1" x14ac:dyDescent="0.25">
      <c r="A83" s="98"/>
      <c r="B83" s="98"/>
      <c r="C83" s="98"/>
      <c r="D83" s="98"/>
      <c r="E83" s="98"/>
      <c r="F83" s="98"/>
      <c r="G83" s="1288"/>
      <c r="H83" s="1288"/>
      <c r="I83" s="1288"/>
      <c r="J83" s="1288"/>
      <c r="K83" s="400"/>
    </row>
    <row r="84" spans="1:11" ht="15.6" customHeight="1" x14ac:dyDescent="0.25">
      <c r="A84" s="98"/>
      <c r="B84" s="98"/>
      <c r="C84" s="98"/>
      <c r="D84" s="98"/>
      <c r="E84" s="98"/>
      <c r="F84" s="98"/>
      <c r="G84" s="1288"/>
      <c r="H84" s="1288"/>
      <c r="I84" s="1288"/>
      <c r="J84" s="1288"/>
      <c r="K84" s="400"/>
    </row>
    <row r="85" spans="1:11" ht="15.6" customHeight="1" x14ac:dyDescent="0.25">
      <c r="A85" s="98"/>
      <c r="B85" s="98"/>
      <c r="C85" s="98"/>
      <c r="D85" s="98"/>
      <c r="E85" s="98"/>
      <c r="F85" s="98"/>
      <c r="G85" s="1288"/>
      <c r="H85" s="1288"/>
      <c r="I85" s="1288"/>
      <c r="J85" s="1288"/>
      <c r="K85" s="400"/>
    </row>
    <row r="86" spans="1:11" ht="15.6" customHeight="1" x14ac:dyDescent="0.25">
      <c r="A86" s="98"/>
      <c r="B86" s="98"/>
      <c r="C86" s="98"/>
      <c r="D86" s="98"/>
      <c r="E86" s="98"/>
      <c r="F86" s="98"/>
      <c r="G86" s="1288"/>
      <c r="H86" s="1288"/>
      <c r="I86" s="1288"/>
      <c r="J86" s="1288"/>
      <c r="K86" s="400"/>
    </row>
    <row r="87" spans="1:11" ht="15.6" customHeight="1" x14ac:dyDescent="0.25">
      <c r="A87" s="98"/>
      <c r="B87" s="98"/>
      <c r="C87" s="98"/>
      <c r="D87" s="98"/>
      <c r="E87" s="98"/>
      <c r="F87" s="98"/>
      <c r="G87" s="1288"/>
      <c r="H87" s="1288"/>
      <c r="I87" s="1288"/>
      <c r="J87" s="1288"/>
      <c r="K87" s="400"/>
    </row>
    <row r="88" spans="1:11" ht="15.6" customHeight="1" x14ac:dyDescent="0.25">
      <c r="A88" s="98"/>
      <c r="B88" s="98"/>
      <c r="C88" s="98"/>
      <c r="D88" s="98"/>
      <c r="E88" s="98"/>
      <c r="F88" s="98"/>
      <c r="G88" s="399"/>
      <c r="H88" s="399"/>
      <c r="I88" s="399"/>
      <c r="J88" s="399"/>
      <c r="K88" s="400"/>
    </row>
    <row r="89" spans="1:11" ht="15.6" customHeight="1" x14ac:dyDescent="0.25">
      <c r="A89" s="98"/>
      <c r="B89" s="98"/>
      <c r="C89" s="98"/>
      <c r="D89" s="98"/>
      <c r="E89" s="98"/>
      <c r="F89" s="98"/>
      <c r="G89" s="399"/>
      <c r="H89" s="399"/>
      <c r="I89" s="399"/>
      <c r="J89" s="399"/>
      <c r="K89" s="400"/>
    </row>
    <row r="90" spans="1:11" ht="15.6" customHeight="1" x14ac:dyDescent="0.25">
      <c r="A90" s="98"/>
      <c r="B90" s="98"/>
      <c r="C90" s="98"/>
      <c r="D90" s="98"/>
      <c r="E90" s="98"/>
      <c r="F90" s="98"/>
      <c r="G90" s="399"/>
      <c r="H90" s="399"/>
      <c r="I90" s="399"/>
      <c r="J90" s="399"/>
      <c r="K90" s="400"/>
    </row>
    <row r="91" spans="1:11" ht="15.6" customHeight="1" x14ac:dyDescent="0.25">
      <c r="A91" s="98"/>
      <c r="B91" s="98"/>
      <c r="C91" s="98"/>
      <c r="D91" s="98"/>
      <c r="E91" s="98"/>
      <c r="F91" s="98"/>
      <c r="G91" s="399"/>
      <c r="H91" s="399"/>
      <c r="I91" s="399"/>
      <c r="J91" s="399"/>
      <c r="K91" s="400"/>
    </row>
    <row r="92" spans="1:11" ht="15.6" customHeight="1" x14ac:dyDescent="0.25">
      <c r="A92" s="98"/>
      <c r="B92" s="98"/>
      <c r="C92" s="98"/>
      <c r="D92" s="98"/>
      <c r="E92" s="98"/>
      <c r="F92" s="98"/>
      <c r="G92" s="399"/>
      <c r="H92" s="399"/>
      <c r="I92" s="399"/>
      <c r="J92" s="399"/>
      <c r="K92" s="400"/>
    </row>
    <row r="93" spans="1:11" ht="15.6" customHeight="1" x14ac:dyDescent="0.25">
      <c r="A93" s="98"/>
      <c r="B93" s="98"/>
      <c r="C93" s="98"/>
      <c r="D93" s="98"/>
      <c r="E93" s="98"/>
      <c r="F93" s="98"/>
      <c r="G93" s="399"/>
      <c r="H93" s="399"/>
      <c r="I93" s="399"/>
      <c r="J93" s="399"/>
      <c r="K93" s="400"/>
    </row>
    <row r="94" spans="1:11" ht="15.6" customHeight="1" x14ac:dyDescent="0.25">
      <c r="A94" s="98"/>
      <c r="B94" s="98"/>
      <c r="C94" s="98"/>
      <c r="D94" s="98"/>
      <c r="E94" s="98"/>
      <c r="F94" s="98"/>
      <c r="G94" s="399"/>
      <c r="H94" s="399"/>
      <c r="I94" s="399"/>
      <c r="J94" s="399"/>
      <c r="K94" s="400"/>
    </row>
    <row r="95" spans="1:11" ht="15.6" customHeight="1" x14ac:dyDescent="0.25">
      <c r="A95" s="98"/>
      <c r="B95" s="98"/>
      <c r="C95" s="98"/>
      <c r="D95" s="98"/>
      <c r="E95" s="98"/>
      <c r="F95" s="98"/>
      <c r="G95" s="399"/>
      <c r="H95" s="399"/>
      <c r="I95" s="399"/>
      <c r="J95" s="399"/>
      <c r="K95" s="400"/>
    </row>
    <row r="96" spans="1:11" ht="15.6" customHeight="1" x14ac:dyDescent="0.25">
      <c r="A96" s="98"/>
      <c r="B96" s="98"/>
      <c r="C96" s="98"/>
      <c r="D96" s="98"/>
      <c r="E96" s="98"/>
      <c r="F96" s="98"/>
      <c r="G96" s="399"/>
      <c r="H96" s="399"/>
      <c r="I96" s="399"/>
      <c r="J96" s="399"/>
      <c r="K96" s="400"/>
    </row>
    <row r="97" spans="1:11" ht="15.6" customHeight="1" x14ac:dyDescent="0.25">
      <c r="A97" s="98"/>
      <c r="B97" s="98"/>
      <c r="C97" s="98"/>
      <c r="D97" s="98"/>
      <c r="E97" s="98"/>
      <c r="F97" s="98"/>
      <c r="G97" s="400"/>
      <c r="H97" s="400"/>
      <c r="I97" s="400"/>
      <c r="J97" s="400"/>
      <c r="K97" s="400"/>
    </row>
    <row r="98" spans="1:11" x14ac:dyDescent="0.25">
      <c r="A98" s="98"/>
      <c r="B98" s="98"/>
      <c r="C98" s="98"/>
      <c r="D98" s="98"/>
      <c r="E98" s="98"/>
      <c r="F98" s="98"/>
      <c r="G98" s="98"/>
      <c r="H98" s="98"/>
      <c r="I98" s="98"/>
      <c r="J98" s="98"/>
      <c r="K98" s="98"/>
    </row>
    <row r="99" spans="1:11" x14ac:dyDescent="0.25">
      <c r="A99" s="98"/>
      <c r="B99" s="98"/>
      <c r="C99" s="98"/>
      <c r="D99" s="98"/>
      <c r="E99" s="98"/>
      <c r="F99" s="98"/>
      <c r="G99" s="98"/>
      <c r="H99" s="98"/>
      <c r="I99" s="98"/>
      <c r="J99" s="98"/>
      <c r="K99" s="98"/>
    </row>
    <row r="100" spans="1:11" ht="15.75" customHeight="1" x14ac:dyDescent="0.25">
      <c r="A100" s="98"/>
      <c r="B100" s="1273" t="s">
        <v>809</v>
      </c>
      <c r="C100" s="1273"/>
      <c r="D100" s="1273"/>
      <c r="E100" s="1273"/>
      <c r="F100" s="1273"/>
      <c r="G100" s="1273"/>
      <c r="H100" s="1273"/>
      <c r="I100" s="1273"/>
      <c r="J100" s="1273"/>
      <c r="K100" s="98"/>
    </row>
  </sheetData>
  <mergeCells count="12">
    <mergeCell ref="B26:E26"/>
    <mergeCell ref="G26:J26"/>
    <mergeCell ref="B51:E51"/>
    <mergeCell ref="B100:J100"/>
    <mergeCell ref="G54:J87"/>
    <mergeCell ref="G53:J53"/>
    <mergeCell ref="B6:J6"/>
    <mergeCell ref="E10:J10"/>
    <mergeCell ref="B12:J12"/>
    <mergeCell ref="C13:D13"/>
    <mergeCell ref="E13:H13"/>
    <mergeCell ref="I13:J13"/>
  </mergeCells>
  <conditionalFormatting sqref="C16:J25">
    <cfRule type="cellIs" dxfId="19" priority="1" operator="equal">
      <formula>0</formula>
    </cfRule>
    <cfRule type="cellIs" dxfId="18" priority="2" operator="between">
      <formula>0.4</formula>
      <formula>0.69</formula>
    </cfRule>
    <cfRule type="cellIs" dxfId="17" priority="3" operator="between">
      <formula>0.2</formula>
      <formula>0.39</formula>
    </cfRule>
    <cfRule type="cellIs" dxfId="16" priority="4" operator="between">
      <formula>0.01</formula>
      <formula>0.19</formula>
    </cfRule>
    <cfRule type="cellIs" dxfId="15" priority="5" operator="between">
      <formula>0.7</formula>
      <formula>1</formula>
    </cfRule>
  </conditionalFormatting>
  <pageMargins left="0.39370078740157483" right="0.39370078740157483" top="0.39370078740157483" bottom="0.39370078740157483" header="0.31496062992125984" footer="0.31496062992125984"/>
  <pageSetup paperSize="14" scale="52" fitToHeight="0"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944789A2-A1D3-4C75-A770-E1CDB55E9B29}">
          <x14:formula1>
            <xm:f>PGLOBAL!$A$10:$A$173</xm:f>
          </x14:formula1>
          <xm:sqref>E10:J10</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9FB0CF-D7C3-4B49-B2F8-F23EFE4AB100}">
  <sheetPr codeName="Hoja15">
    <tabColor rgb="FF00B050"/>
    <pageSetUpPr fitToPage="1"/>
  </sheetPr>
  <dimension ref="A1:L99"/>
  <sheetViews>
    <sheetView zoomScale="80" zoomScaleNormal="80" workbookViewId="0"/>
  </sheetViews>
  <sheetFormatPr baseColWidth="10" defaultColWidth="12.5703125" defaultRowHeight="15.75" x14ac:dyDescent="0.25"/>
  <cols>
    <col min="1" max="1" width="5.28515625" style="99" customWidth="1"/>
    <col min="2" max="2" width="16.42578125" style="99" customWidth="1"/>
    <col min="3" max="10" width="35.7109375" style="99" customWidth="1"/>
    <col min="11" max="11" width="5.85546875" style="99" customWidth="1"/>
    <col min="12" max="16384" width="12.5703125" style="99"/>
  </cols>
  <sheetData>
    <row r="1" spans="1:12" x14ac:dyDescent="0.25">
      <c r="A1" s="98"/>
      <c r="B1" s="98"/>
      <c r="C1" s="98"/>
      <c r="D1" s="98"/>
      <c r="E1" s="98"/>
      <c r="F1" s="98"/>
      <c r="G1" s="98"/>
      <c r="H1" s="98"/>
      <c r="I1" s="98"/>
      <c r="J1" s="98"/>
      <c r="K1" s="98"/>
    </row>
    <row r="2" spans="1:12" x14ac:dyDescent="0.25">
      <c r="A2" s="98"/>
      <c r="B2" s="98"/>
      <c r="C2" s="98"/>
      <c r="D2" s="98"/>
      <c r="E2" s="98"/>
      <c r="F2" s="98"/>
      <c r="G2" s="98"/>
      <c r="H2" s="98"/>
      <c r="I2" s="98"/>
      <c r="J2" s="98"/>
      <c r="K2" s="98"/>
    </row>
    <row r="3" spans="1:12" x14ac:dyDescent="0.25">
      <c r="A3" s="98"/>
      <c r="B3" s="98"/>
      <c r="C3" s="98"/>
      <c r="D3" s="98"/>
      <c r="E3" s="98"/>
      <c r="F3" s="98"/>
      <c r="G3" s="98"/>
      <c r="H3" s="98"/>
      <c r="I3" s="98"/>
      <c r="J3" s="98"/>
      <c r="K3" s="98"/>
    </row>
    <row r="4" spans="1:12" x14ac:dyDescent="0.25">
      <c r="A4" s="98"/>
      <c r="B4" s="98"/>
      <c r="C4" s="98"/>
      <c r="D4" s="98"/>
      <c r="E4" s="98"/>
      <c r="F4" s="98"/>
      <c r="G4" s="98"/>
      <c r="H4" s="98"/>
      <c r="I4" s="98"/>
      <c r="J4" s="98"/>
      <c r="K4" s="98"/>
    </row>
    <row r="5" spans="1:12" ht="58.9" customHeight="1" x14ac:dyDescent="0.25">
      <c r="A5" s="98"/>
      <c r="B5" s="98"/>
      <c r="C5" s="98"/>
      <c r="D5" s="98"/>
      <c r="E5" s="98"/>
      <c r="F5" s="98"/>
      <c r="G5" s="98"/>
      <c r="H5" s="98"/>
      <c r="I5" s="98"/>
      <c r="J5" s="98"/>
      <c r="K5" s="98"/>
    </row>
    <row r="6" spans="1:12" ht="62.25" customHeight="1" x14ac:dyDescent="0.25">
      <c r="A6" s="98"/>
      <c r="B6" s="1083" t="s">
        <v>749</v>
      </c>
      <c r="C6" s="1083"/>
      <c r="D6" s="1083"/>
      <c r="E6" s="1083"/>
      <c r="F6" s="1083"/>
      <c r="G6" s="1083"/>
      <c r="H6" s="1083"/>
      <c r="I6" s="1083"/>
      <c r="J6" s="1083"/>
      <c r="K6" s="98"/>
    </row>
    <row r="7" spans="1:12" x14ac:dyDescent="0.25">
      <c r="A7" s="98"/>
      <c r="B7" s="98"/>
      <c r="C7" s="98"/>
      <c r="D7" s="98"/>
      <c r="E7" s="98"/>
      <c r="F7" s="98"/>
      <c r="G7" s="98"/>
      <c r="H7" s="98"/>
      <c r="I7" s="98"/>
      <c r="J7" s="98"/>
      <c r="K7" s="98"/>
    </row>
    <row r="8" spans="1:12" x14ac:dyDescent="0.25">
      <c r="A8" s="98"/>
      <c r="B8" s="98"/>
      <c r="C8" s="98"/>
      <c r="D8" s="98"/>
      <c r="E8" s="98"/>
      <c r="F8" s="98"/>
      <c r="G8" s="98"/>
      <c r="H8" s="98"/>
      <c r="I8" s="98"/>
      <c r="J8" s="98"/>
      <c r="K8" s="98"/>
    </row>
    <row r="9" spans="1:12" ht="30.75" customHeight="1" x14ac:dyDescent="0.3">
      <c r="A9" s="98"/>
      <c r="B9" s="235" t="s">
        <v>743</v>
      </c>
      <c r="C9" s="235"/>
      <c r="D9" s="235"/>
      <c r="E9" s="1086" t="s">
        <v>950</v>
      </c>
      <c r="F9" s="1086"/>
      <c r="G9" s="1086"/>
      <c r="H9" s="1086"/>
      <c r="I9" s="1086"/>
      <c r="J9" s="1086"/>
      <c r="K9" s="98"/>
    </row>
    <row r="10" spans="1:12" ht="18.75" x14ac:dyDescent="0.3">
      <c r="A10" s="98"/>
      <c r="B10" s="102"/>
      <c r="C10" s="102"/>
      <c r="D10" s="102"/>
      <c r="E10" s="102"/>
      <c r="F10" s="98"/>
      <c r="G10" s="98"/>
      <c r="H10" s="98"/>
      <c r="I10" s="98"/>
      <c r="J10" s="98"/>
      <c r="K10" s="98"/>
    </row>
    <row r="11" spans="1:12" ht="55.9" customHeight="1" x14ac:dyDescent="0.25">
      <c r="A11" s="98"/>
      <c r="B11" s="1282" t="s">
        <v>931</v>
      </c>
      <c r="C11" s="1283"/>
      <c r="D11" s="1283"/>
      <c r="E11" s="1283"/>
      <c r="F11" s="1283"/>
      <c r="G11" s="1283"/>
      <c r="H11" s="1283"/>
      <c r="I11" s="1283"/>
      <c r="J11" s="1284"/>
      <c r="K11" s="98"/>
    </row>
    <row r="12" spans="1:12" ht="41.25" customHeight="1" x14ac:dyDescent="0.25">
      <c r="A12" s="98"/>
      <c r="B12" s="439" t="s">
        <v>739</v>
      </c>
      <c r="C12" s="1290" t="s">
        <v>932</v>
      </c>
      <c r="D12" s="1290"/>
      <c r="E12" s="1290" t="s">
        <v>933</v>
      </c>
      <c r="F12" s="1290"/>
      <c r="G12" s="1290"/>
      <c r="H12" s="1290"/>
      <c r="I12" s="1290" t="s">
        <v>928</v>
      </c>
      <c r="J12" s="1290"/>
      <c r="K12" s="98"/>
    </row>
    <row r="13" spans="1:12" ht="143.1" customHeight="1" x14ac:dyDescent="0.35">
      <c r="A13" s="98"/>
      <c r="B13" s="408" t="s">
        <v>752</v>
      </c>
      <c r="C13" s="409" t="s">
        <v>287</v>
      </c>
      <c r="D13" s="409" t="s">
        <v>286</v>
      </c>
      <c r="E13" s="409" t="s">
        <v>280</v>
      </c>
      <c r="F13" s="409" t="s">
        <v>281</v>
      </c>
      <c r="G13" s="409" t="s">
        <v>277</v>
      </c>
      <c r="H13" s="409" t="s">
        <v>271</v>
      </c>
      <c r="I13" s="409" t="s">
        <v>278</v>
      </c>
      <c r="J13" s="409" t="s">
        <v>272</v>
      </c>
      <c r="K13" s="98"/>
      <c r="L13" s="114"/>
    </row>
    <row r="14" spans="1:12" ht="201" customHeight="1" x14ac:dyDescent="0.35">
      <c r="A14" s="98"/>
      <c r="B14" s="410"/>
      <c r="C14" s="411" t="s">
        <v>917</v>
      </c>
      <c r="D14" s="412" t="s">
        <v>918</v>
      </c>
      <c r="E14" s="411" t="s">
        <v>907</v>
      </c>
      <c r="F14" s="411" t="s">
        <v>908</v>
      </c>
      <c r="G14" s="411" t="s">
        <v>909</v>
      </c>
      <c r="H14" s="411" t="s">
        <v>910</v>
      </c>
      <c r="I14" s="411" t="s">
        <v>919</v>
      </c>
      <c r="J14" s="411" t="s">
        <v>920</v>
      </c>
      <c r="K14" s="98"/>
      <c r="L14" s="114"/>
    </row>
    <row r="15" spans="1:12" ht="20.25" x14ac:dyDescent="0.25">
      <c r="A15" s="98"/>
      <c r="B15" s="104">
        <v>2016</v>
      </c>
      <c r="C15" s="105">
        <f>VLOOKUP($E$9,CN!$A$10:$FA$174,18,0)</f>
        <v>0</v>
      </c>
      <c r="D15" s="105">
        <f>VLOOKUP($E$9,CN!$A$10:$FA$173,19,0)</f>
        <v>0</v>
      </c>
      <c r="E15" s="105">
        <f>VLOOKUP($E$9,CN!$A$10:$FA$173,20,0)</f>
        <v>0</v>
      </c>
      <c r="F15" s="105">
        <f>VLOOKUP($E$9,CN!$A$10:$FA$173,21,0)</f>
        <v>0</v>
      </c>
      <c r="G15" s="105">
        <f>VLOOKUP($E$9,CN!$A$10:$FA$173,22,0)</f>
        <v>0</v>
      </c>
      <c r="H15" s="105">
        <f>VLOOKUP($E$9,CN!$A$10:$FA$173,23,0)</f>
        <v>0</v>
      </c>
      <c r="I15" s="105">
        <f>VLOOKUP($E$9,CN!$A$10:$FA$173,24,0)</f>
        <v>0</v>
      </c>
      <c r="J15" s="105">
        <f>VLOOKUP($E$9,CN!$A$10:$FA$173,25,0)</f>
        <v>0</v>
      </c>
      <c r="K15" s="98"/>
    </row>
    <row r="16" spans="1:12" ht="20.25" x14ac:dyDescent="0.25">
      <c r="A16" s="98"/>
      <c r="B16" s="104">
        <v>2017</v>
      </c>
      <c r="C16" s="105">
        <f>VLOOKUP($E$9,CN!$A$10:$FA$173,47,0)</f>
        <v>0</v>
      </c>
      <c r="D16" s="105">
        <f>VLOOKUP($E$9,CN!$A$10:$FA$173,48,0)</f>
        <v>0</v>
      </c>
      <c r="E16" s="105">
        <f>VLOOKUP($E$9,CN!$A$10:$FA$173,49,0)</f>
        <v>0</v>
      </c>
      <c r="F16" s="105">
        <f>VLOOKUP($E$9,CN!$A$10:$FA$173,50,0)</f>
        <v>0</v>
      </c>
      <c r="G16" s="105">
        <f>VLOOKUP($E$9,CN!$A$10:$FA$173,51,0)</f>
        <v>0</v>
      </c>
      <c r="H16" s="105">
        <f>VLOOKUP($E$9,CN!$A$10:$FA$173,52,0)</f>
        <v>0</v>
      </c>
      <c r="I16" s="105">
        <f>VLOOKUP($E$9,CN!$A$10:$FA$173,53,0)</f>
        <v>0</v>
      </c>
      <c r="J16" s="105">
        <f>VLOOKUP($E$9,CN!$A$10:$FA$173,54,0)</f>
        <v>0</v>
      </c>
      <c r="K16" s="98"/>
    </row>
    <row r="17" spans="1:11" ht="20.25" x14ac:dyDescent="0.25">
      <c r="A17" s="98"/>
      <c r="B17" s="104">
        <v>2018</v>
      </c>
      <c r="C17" s="105">
        <f>VLOOKUP($E$9,CN!$A$10:$FA$173,73,0)</f>
        <v>0</v>
      </c>
      <c r="D17" s="105">
        <f>VLOOKUP($E$9,CN!$A$10:$FA$173,95,0)</f>
        <v>0</v>
      </c>
      <c r="E17" s="105">
        <f>VLOOKUP($E$9,CN!$A$10:$FA$173,83,0)</f>
        <v>0</v>
      </c>
      <c r="F17" s="105">
        <f>VLOOKUP($E$9,CN!$A$10:$FA$173,80,0)</f>
        <v>0</v>
      </c>
      <c r="G17" s="105">
        <f>VLOOKUP($E$9,CN!$A$10:$FA$173,81,0)</f>
        <v>0</v>
      </c>
      <c r="H17" s="105">
        <f>VLOOKUP($E$9,CN!$A$10:$FA$173,84,0)</f>
        <v>0</v>
      </c>
      <c r="I17" s="105">
        <f>VLOOKUP($E$9,CN!$A$10:$FA$173,92,0)</f>
        <v>0</v>
      </c>
      <c r="J17" s="105">
        <f>VLOOKUP($E$9,CN!$A$10:$FA$173,93,0)</f>
        <v>0</v>
      </c>
      <c r="K17" s="109"/>
    </row>
    <row r="18" spans="1:11" ht="20.25" x14ac:dyDescent="0.25">
      <c r="A18" s="98"/>
      <c r="B18" s="104">
        <v>2019</v>
      </c>
      <c r="C18" s="105" t="s">
        <v>288</v>
      </c>
      <c r="D18" s="105">
        <f>VLOOKUP($E$9,CN!$A$10:$FA$173,121,0)</f>
        <v>0</v>
      </c>
      <c r="E18" s="105">
        <f>VLOOKUP($E$9,CN!$A$10:$FA$173,119,0)</f>
        <v>0</v>
      </c>
      <c r="F18" s="105">
        <f>VLOOKUP($E$9,CN!$A$10:$FA$173,106,0)</f>
        <v>0</v>
      </c>
      <c r="G18" s="105">
        <f>VLOOKUP($E$9,CN!$A$10:$FA$173,113,0)</f>
        <v>0</v>
      </c>
      <c r="H18" s="105">
        <f>VLOOKUP($E$9,CN!$A$10:$FA$173,122,0)</f>
        <v>0</v>
      </c>
      <c r="I18" s="105">
        <f>VLOOKUP($E$9,CN!$A$10:$FA$173,114,0)</f>
        <v>0</v>
      </c>
      <c r="J18" s="105">
        <f>VLOOKUP($E$9,CN!$A$10:$FA$173,123,0)</f>
        <v>0</v>
      </c>
      <c r="K18" s="98"/>
    </row>
    <row r="19" spans="1:11" ht="20.25" x14ac:dyDescent="0.25">
      <c r="A19" s="98"/>
      <c r="B19" s="104">
        <v>2020</v>
      </c>
      <c r="C19" s="105" t="s">
        <v>288</v>
      </c>
      <c r="D19" s="105">
        <f>VLOOKUP($E$9,CN!$A$10:$FA$173,155,0)</f>
        <v>0</v>
      </c>
      <c r="E19" s="105">
        <f>VLOOKUP($E$9,CN!$A$10:$FA$174,147,0)</f>
        <v>0</v>
      </c>
      <c r="F19" s="105">
        <f>VLOOKUP($E$9,CN!$A$10:$FA$173,150,0)</f>
        <v>0</v>
      </c>
      <c r="G19" s="105">
        <f>VLOOKUP($E$9,CN!$A$10:$FA$173,143,0)</f>
        <v>0</v>
      </c>
      <c r="H19" s="105">
        <f>VLOOKUP($E$9,CN!$A$10:$FA$173,156,0)</f>
        <v>0</v>
      </c>
      <c r="I19" s="105">
        <f>VLOOKUP($E$9,CN!$A$10:$FA$173,144,0)</f>
        <v>0</v>
      </c>
      <c r="J19" s="105">
        <f>VLOOKUP($E$9,CN!$A$10:$FA$173,136,0)</f>
        <v>0</v>
      </c>
      <c r="K19" s="98"/>
    </row>
    <row r="20" spans="1:11" ht="20.25" x14ac:dyDescent="0.25">
      <c r="A20" s="98"/>
      <c r="B20" s="104">
        <v>2021</v>
      </c>
      <c r="C20" s="105">
        <f>VLOOKUP($E$9,CN!$A$10:$GI$173,190,0)</f>
        <v>0</v>
      </c>
      <c r="D20" s="105">
        <f>VLOOKUP($E$9,CN!$A$10:$GI$173,186,0)</f>
        <v>0</v>
      </c>
      <c r="E20" s="105">
        <f>VLOOKUP($E$9,CN!$A$10:$GI$173,169,0)</f>
        <v>0</v>
      </c>
      <c r="F20" s="105">
        <f>VLOOKUP($E$9,CN!$A$10:$GI$173,177,0)</f>
        <v>0</v>
      </c>
      <c r="G20" s="105">
        <f>VLOOKUP($E$9,CN!$A$10:$GI$173,181,0)</f>
        <v>0</v>
      </c>
      <c r="H20" s="105">
        <f>VLOOKUP($E$9,CN!$A$10:$GI$173,173,0)</f>
        <v>0</v>
      </c>
      <c r="I20" s="105">
        <f>VLOOKUP($E$9,CN!$A$10:$GI$173,174,0)</f>
        <v>0</v>
      </c>
      <c r="J20" s="105">
        <f>VLOOKUP($E$9,CN!$A$10:$GI$173,182,0)</f>
        <v>0</v>
      </c>
      <c r="K20" s="98"/>
    </row>
    <row r="21" spans="1:11" ht="20.25" x14ac:dyDescent="0.25">
      <c r="A21" s="98"/>
      <c r="B21" s="437">
        <v>2022</v>
      </c>
      <c r="C21" s="438">
        <f>VLOOKUP($E$9,CN!$A$10:$HQ$173,211,0)</f>
        <v>0</v>
      </c>
      <c r="D21" s="438">
        <f>VLOOKUP($E$9,CN!$A$10:$HQ$173,212,0)</f>
        <v>0</v>
      </c>
      <c r="E21" s="438">
        <f>VLOOKUP($E$9,CN!$A$10:$HQ$173,205,0)</f>
        <v>0</v>
      </c>
      <c r="F21" s="438">
        <f>VLOOKUP($E$9,CN!$A$10:$HQ$173,209,0)</f>
        <v>0</v>
      </c>
      <c r="G21" s="438">
        <f>VLOOKUP($E$9,CN!$A$10:$HQ$173,203,0)</f>
        <v>0</v>
      </c>
      <c r="H21" s="438">
        <f>VLOOKUP($E$9,CN!$A$10:$HQ$173,214,0)</f>
        <v>0</v>
      </c>
      <c r="I21" s="438">
        <f>VLOOKUP($E$9,CN!$A$10:$HQ$173,213,0)</f>
        <v>0</v>
      </c>
      <c r="J21" s="438">
        <f>VLOOKUP($E$9,CN!$A$10:$HQ$173,221,0)</f>
        <v>0</v>
      </c>
      <c r="K21" s="98"/>
    </row>
    <row r="22" spans="1:11" ht="20.25" x14ac:dyDescent="0.25">
      <c r="A22" s="98"/>
      <c r="B22" s="437">
        <v>2023</v>
      </c>
      <c r="C22" s="438">
        <f>VLOOKUP($E$9,CN!$A$10:$IY$173,249,0)</f>
        <v>0</v>
      </c>
      <c r="D22" s="438">
        <f>VLOOKUP($E$9,CN!$A$10:$IY$173,251,0)</f>
        <v>0</v>
      </c>
      <c r="E22" s="438">
        <f>VLOOKUP($E$9,CN!$A$10:$IY$173,243,0)</f>
        <v>0</v>
      </c>
      <c r="F22" s="438">
        <f>VLOOKUP($E$9,CN!$A$10:$IY$173,244,0)</f>
        <v>0</v>
      </c>
      <c r="G22" s="438">
        <f>VLOOKUP($E$9,CN!$A$10:$IY$173,246,0)</f>
        <v>0</v>
      </c>
      <c r="H22" s="438">
        <f>VLOOKUP($E$9,CN!$A$10:$IY$173,241,0)</f>
        <v>0</v>
      </c>
      <c r="I22" s="438">
        <f>VLOOKUP($E$9,CN!$A$10:$IY$173,252,0)</f>
        <v>0</v>
      </c>
      <c r="J22" s="438">
        <f>VLOOKUP($E$9,CN!$A$10:$IY$173,254,0)</f>
        <v>0</v>
      </c>
      <c r="K22" s="98"/>
    </row>
    <row r="23" spans="1:11" ht="20.25" x14ac:dyDescent="0.25">
      <c r="A23" s="98"/>
      <c r="B23" s="437">
        <v>2024</v>
      </c>
      <c r="C23" s="438">
        <f>VLOOKUP($E$9,CN!$A$10:$KG$173,276,0)</f>
        <v>0.44</v>
      </c>
      <c r="D23" s="438">
        <f>VLOOKUP($E$9,CN!$A$10:$KG$173,277,0)</f>
        <v>0.62</v>
      </c>
      <c r="E23" s="438">
        <f>VLOOKUP($E$9,CN!$A$10:$KG$173,278,0)</f>
        <v>0.42</v>
      </c>
      <c r="F23" s="438">
        <f>VLOOKUP($E$9,CN!$A$10:$KG$173,279,0)</f>
        <v>0.55000000000000004</v>
      </c>
      <c r="G23" s="438">
        <f>VLOOKUP($E$9,CN!$A$10:$KG$173,280,0)</f>
        <v>0.38</v>
      </c>
      <c r="H23" s="438">
        <f>VLOOKUP($E$9,CN!$A$10:$KG$173,281,0)</f>
        <v>0.26</v>
      </c>
      <c r="I23" s="438">
        <f>VLOOKUP($E$9,CN!$A$10:$KG$173,282,0)</f>
        <v>0.45</v>
      </c>
      <c r="J23" s="438">
        <f>VLOOKUP($E$9,CN!$A$10:$KG$173,283,0)</f>
        <v>0.62</v>
      </c>
      <c r="K23" s="98"/>
    </row>
    <row r="24" spans="1:11" ht="20.25" x14ac:dyDescent="0.25">
      <c r="A24" s="98"/>
      <c r="B24" s="437">
        <v>2025</v>
      </c>
      <c r="C24" s="438">
        <f>VLOOKUP($E$9,CN!$A$10:$LO$173,310,0)</f>
        <v>0.46</v>
      </c>
      <c r="D24" s="438">
        <f>VLOOKUP($E$9,CN!$A$10:$LO$173,311,0)</f>
        <v>0.54</v>
      </c>
      <c r="E24" s="438">
        <f>VLOOKUP($E$9,CN!$A$10:$LO$173,312,0)</f>
        <v>0.39</v>
      </c>
      <c r="F24" s="438">
        <f>VLOOKUP($E$9,CN!$A$10:$LO$173,313,0)</f>
        <v>0.44</v>
      </c>
      <c r="G24" s="438">
        <f>VLOOKUP($E$9,CN!$A$10:$LO$173,314,0)</f>
        <v>0.43</v>
      </c>
      <c r="H24" s="438">
        <f>VLOOKUP($E$9,CN!$A$10:$LO$173,315,0)</f>
        <v>0.34</v>
      </c>
      <c r="I24" s="438">
        <f>VLOOKUP($E$9,CN!$A$10:$LO$173,316,0)</f>
        <v>0.57999999999999996</v>
      </c>
      <c r="J24" s="438">
        <f>VLOOKUP($E$9,CN!$A$10:$LO$173,317,0)</f>
        <v>0.49</v>
      </c>
      <c r="K24" s="98"/>
    </row>
    <row r="25" spans="1:11" ht="23.25" x14ac:dyDescent="0.35">
      <c r="A25" s="98"/>
      <c r="B25" s="1280" t="str">
        <f>C12</f>
        <v>Explicación de fenómenos 
(9% de las preguntas)</v>
      </c>
      <c r="C25" s="1280"/>
      <c r="D25" s="1280"/>
      <c r="E25" s="1280"/>
      <c r="F25" s="98"/>
      <c r="G25" s="1280" t="str">
        <f>I12</f>
        <v>Uso comprensivo del conocimiento científico 
(9% de las preguntas)</v>
      </c>
      <c r="H25" s="1280"/>
      <c r="I25" s="1280"/>
      <c r="J25" s="1280"/>
      <c r="K25" s="98"/>
    </row>
    <row r="26" spans="1:11" ht="21" x14ac:dyDescent="0.25">
      <c r="A26" s="98"/>
      <c r="B26" s="405"/>
      <c r="C26" s="98"/>
      <c r="D26" s="98"/>
      <c r="E26" s="98"/>
      <c r="F26" s="98"/>
      <c r="G26" s="98"/>
      <c r="H26" s="98"/>
      <c r="I26" s="98"/>
      <c r="J26" s="98"/>
      <c r="K26" s="98"/>
    </row>
    <row r="27" spans="1:11" ht="21" x14ac:dyDescent="0.25">
      <c r="A27" s="98"/>
      <c r="B27" s="405"/>
      <c r="C27" s="98"/>
      <c r="D27" s="98"/>
      <c r="E27" s="98"/>
      <c r="F27" s="98"/>
      <c r="G27" s="98"/>
      <c r="H27" s="98"/>
      <c r="I27" s="98"/>
      <c r="J27" s="98"/>
      <c r="K27" s="98"/>
    </row>
    <row r="28" spans="1:11" x14ac:dyDescent="0.25">
      <c r="A28" s="98"/>
      <c r="B28" s="98"/>
      <c r="C28" s="98"/>
      <c r="D28" s="98"/>
      <c r="E28" s="98"/>
      <c r="F28" s="98"/>
      <c r="G28" s="98"/>
      <c r="H28" s="98"/>
      <c r="I28" s="98"/>
      <c r="J28" s="98"/>
      <c r="K28" s="98"/>
    </row>
    <row r="29" spans="1:11" ht="18.75" x14ac:dyDescent="0.3">
      <c r="A29" s="98"/>
      <c r="B29" s="102"/>
      <c r="C29" s="102"/>
      <c r="D29" s="108"/>
      <c r="E29" s="108"/>
      <c r="F29" s="98"/>
      <c r="G29" s="98"/>
      <c r="H29" s="98"/>
      <c r="I29" s="98"/>
      <c r="J29" s="98"/>
      <c r="K29" s="98"/>
    </row>
    <row r="30" spans="1:11" x14ac:dyDescent="0.25">
      <c r="A30" s="98"/>
      <c r="B30" s="98"/>
      <c r="C30" s="98"/>
      <c r="D30" s="98"/>
      <c r="E30" s="98"/>
      <c r="F30" s="98"/>
      <c r="G30" s="98"/>
      <c r="H30" s="98"/>
      <c r="I30" s="98"/>
      <c r="J30" s="98"/>
      <c r="K30" s="98"/>
    </row>
    <row r="31" spans="1:11" x14ac:dyDescent="0.25">
      <c r="A31" s="98"/>
      <c r="B31" s="98"/>
      <c r="C31" s="98"/>
      <c r="D31" s="98"/>
      <c r="E31" s="98"/>
      <c r="F31" s="98"/>
      <c r="G31" s="98"/>
      <c r="H31" s="98"/>
      <c r="I31" s="98"/>
      <c r="J31" s="98"/>
      <c r="K31" s="98"/>
    </row>
    <row r="32" spans="1:11" x14ac:dyDescent="0.25">
      <c r="A32" s="98"/>
      <c r="B32" s="98"/>
      <c r="C32" s="98"/>
      <c r="D32" s="98"/>
      <c r="E32" s="98"/>
      <c r="F32" s="98"/>
      <c r="G32" s="98"/>
      <c r="H32" s="98"/>
      <c r="I32" s="98"/>
      <c r="J32" s="98"/>
      <c r="K32" s="98"/>
    </row>
    <row r="33" spans="1:11" ht="15.75" customHeight="1" x14ac:dyDescent="0.25">
      <c r="A33" s="98"/>
      <c r="B33" s="98"/>
      <c r="C33" s="98"/>
      <c r="D33" s="98"/>
      <c r="E33" s="98"/>
      <c r="F33" s="98"/>
      <c r="G33" s="98"/>
      <c r="H33" s="98"/>
      <c r="I33" s="98"/>
      <c r="J33" s="98"/>
      <c r="K33" s="98"/>
    </row>
    <row r="34" spans="1:11" ht="26.25" customHeight="1" x14ac:dyDescent="0.25">
      <c r="A34" s="98"/>
      <c r="B34" s="98"/>
      <c r="C34" s="98"/>
      <c r="D34" s="98"/>
      <c r="E34" s="98"/>
      <c r="F34" s="98"/>
      <c r="G34" s="98"/>
      <c r="H34" s="98"/>
      <c r="I34" s="98"/>
      <c r="J34" s="98"/>
      <c r="K34" s="98"/>
    </row>
    <row r="35" spans="1:11" x14ac:dyDescent="0.25">
      <c r="A35" s="98"/>
      <c r="B35" s="98"/>
      <c r="C35" s="98"/>
      <c r="D35" s="98"/>
      <c r="E35" s="98"/>
      <c r="F35" s="98"/>
      <c r="G35" s="98"/>
      <c r="H35" s="98"/>
      <c r="I35" s="98"/>
      <c r="J35" s="98"/>
      <c r="K35" s="98"/>
    </row>
    <row r="36" spans="1:11" x14ac:dyDescent="0.25">
      <c r="A36" s="98"/>
      <c r="B36" s="98"/>
      <c r="C36" s="98"/>
      <c r="D36" s="98"/>
      <c r="E36" s="98"/>
      <c r="F36" s="98"/>
      <c r="G36" s="98"/>
      <c r="H36" s="98"/>
      <c r="I36" s="98"/>
      <c r="J36" s="98"/>
      <c r="K36" s="98"/>
    </row>
    <row r="37" spans="1:11" x14ac:dyDescent="0.25">
      <c r="A37" s="98"/>
      <c r="B37" s="98"/>
      <c r="C37" s="98"/>
      <c r="D37" s="98"/>
      <c r="E37" s="98"/>
      <c r="F37" s="98"/>
      <c r="G37" s="98"/>
      <c r="H37" s="98"/>
      <c r="I37" s="98"/>
      <c r="J37" s="98"/>
      <c r="K37" s="98"/>
    </row>
    <row r="38" spans="1:11" x14ac:dyDescent="0.25">
      <c r="A38" s="98"/>
      <c r="B38" s="98"/>
      <c r="C38" s="98"/>
      <c r="D38" s="98"/>
      <c r="E38" s="98"/>
      <c r="F38" s="98"/>
      <c r="G38" s="98"/>
      <c r="H38" s="98"/>
      <c r="I38" s="98"/>
      <c r="J38" s="98"/>
      <c r="K38" s="98"/>
    </row>
    <row r="39" spans="1:11" x14ac:dyDescent="0.25">
      <c r="A39" s="98"/>
      <c r="B39" s="98"/>
      <c r="C39" s="98"/>
      <c r="D39" s="98"/>
      <c r="E39" s="98"/>
      <c r="F39" s="98"/>
      <c r="G39" s="98"/>
      <c r="H39" s="98"/>
      <c r="I39" s="98"/>
      <c r="J39" s="98"/>
      <c r="K39" s="98"/>
    </row>
    <row r="40" spans="1:11" x14ac:dyDescent="0.25">
      <c r="A40" s="98"/>
      <c r="B40" s="98"/>
      <c r="C40" s="98"/>
      <c r="D40" s="98"/>
      <c r="E40" s="98"/>
      <c r="F40" s="98"/>
      <c r="G40" s="98"/>
      <c r="H40" s="98"/>
      <c r="I40" s="98"/>
      <c r="J40" s="98"/>
      <c r="K40" s="98"/>
    </row>
    <row r="41" spans="1:11" x14ac:dyDescent="0.25">
      <c r="A41" s="98"/>
      <c r="B41" s="98"/>
      <c r="C41" s="98"/>
      <c r="D41" s="98"/>
      <c r="E41" s="98"/>
      <c r="F41" s="98"/>
      <c r="G41" s="98"/>
      <c r="H41" s="98"/>
      <c r="I41" s="98"/>
      <c r="J41" s="98"/>
      <c r="K41" s="98"/>
    </row>
    <row r="42" spans="1:11" x14ac:dyDescent="0.25">
      <c r="A42" s="98"/>
      <c r="B42" s="98"/>
      <c r="C42" s="98"/>
      <c r="D42" s="98"/>
      <c r="E42" s="98"/>
      <c r="F42" s="98"/>
      <c r="G42" s="98"/>
      <c r="H42" s="98"/>
      <c r="I42" s="98"/>
      <c r="J42" s="98"/>
      <c r="K42" s="98"/>
    </row>
    <row r="43" spans="1:11" x14ac:dyDescent="0.25">
      <c r="A43" s="98"/>
      <c r="B43" s="98"/>
      <c r="C43" s="98"/>
      <c r="D43" s="98"/>
      <c r="E43" s="98"/>
      <c r="F43" s="98"/>
      <c r="G43" s="98"/>
      <c r="H43" s="98"/>
      <c r="I43" s="98"/>
      <c r="J43" s="98"/>
      <c r="K43" s="98"/>
    </row>
    <row r="44" spans="1:11" x14ac:dyDescent="0.25">
      <c r="A44" s="98"/>
      <c r="B44" s="98"/>
      <c r="C44" s="98"/>
      <c r="D44" s="98"/>
      <c r="E44" s="98"/>
      <c r="F44" s="98"/>
      <c r="G44" s="98"/>
      <c r="H44" s="98"/>
      <c r="I44" s="98"/>
      <c r="J44" s="98"/>
      <c r="K44" s="98"/>
    </row>
    <row r="45" spans="1:11" x14ac:dyDescent="0.25">
      <c r="A45" s="98"/>
      <c r="B45" s="98"/>
      <c r="C45" s="98"/>
      <c r="D45" s="98"/>
      <c r="E45" s="98"/>
      <c r="F45" s="98"/>
      <c r="G45" s="98"/>
      <c r="H45" s="98"/>
      <c r="I45" s="98"/>
      <c r="J45" s="98"/>
      <c r="K45" s="98"/>
    </row>
    <row r="46" spans="1:11" x14ac:dyDescent="0.25">
      <c r="A46" s="98"/>
      <c r="B46" s="98"/>
      <c r="C46" s="98"/>
      <c r="D46" s="98"/>
      <c r="E46" s="98"/>
      <c r="F46" s="98"/>
      <c r="G46" s="98"/>
      <c r="H46" s="98"/>
      <c r="I46" s="98"/>
      <c r="J46" s="98"/>
      <c r="K46" s="98"/>
    </row>
    <row r="47" spans="1:11" ht="18" customHeight="1" x14ac:dyDescent="0.35">
      <c r="A47" s="98"/>
      <c r="B47" s="1280" t="str">
        <f>E12</f>
        <v>Indagar 
(12% de las preguntas)</v>
      </c>
      <c r="C47" s="1280"/>
      <c r="D47" s="1280"/>
      <c r="E47" s="1280"/>
      <c r="F47" s="98"/>
      <c r="G47" s="98"/>
      <c r="H47" s="98"/>
      <c r="I47" s="98"/>
      <c r="J47" s="98"/>
      <c r="K47" s="98"/>
    </row>
    <row r="48" spans="1:11" x14ac:dyDescent="0.25">
      <c r="A48" s="98"/>
      <c r="B48" s="98"/>
      <c r="C48" s="98"/>
      <c r="D48" s="98"/>
      <c r="E48" s="98"/>
      <c r="F48" s="98"/>
      <c r="G48" s="98"/>
      <c r="H48" s="98"/>
      <c r="I48" s="98"/>
      <c r="J48" s="98"/>
      <c r="K48" s="98"/>
    </row>
    <row r="49" spans="1:11" ht="18" x14ac:dyDescent="0.25">
      <c r="A49" s="98"/>
      <c r="B49" s="98"/>
      <c r="C49" s="98"/>
      <c r="D49" s="98"/>
      <c r="E49" s="98"/>
      <c r="F49" s="98"/>
      <c r="G49" s="414"/>
      <c r="H49" s="414"/>
      <c r="I49" s="414"/>
      <c r="J49" s="414"/>
      <c r="K49" s="98"/>
    </row>
    <row r="50" spans="1:11" ht="21.6" customHeight="1" x14ac:dyDescent="0.25">
      <c r="A50" s="98"/>
      <c r="B50" s="98"/>
      <c r="C50" s="98"/>
      <c r="D50" s="98"/>
      <c r="E50" s="98"/>
      <c r="F50" s="98"/>
      <c r="G50" s="414"/>
      <c r="H50" s="414"/>
      <c r="I50" s="414"/>
      <c r="J50" s="414"/>
      <c r="K50" s="98"/>
    </row>
    <row r="51" spans="1:11" ht="18" x14ac:dyDescent="0.25">
      <c r="A51" s="98"/>
      <c r="B51" s="98"/>
      <c r="C51" s="98"/>
      <c r="D51" s="98"/>
      <c r="E51" s="98"/>
      <c r="F51" s="98"/>
      <c r="G51" s="1291" t="s">
        <v>856</v>
      </c>
      <c r="H51" s="1291"/>
      <c r="I51" s="1291"/>
      <c r="J51" s="1291"/>
      <c r="K51" s="98"/>
    </row>
    <row r="52" spans="1:11" x14ac:dyDescent="0.25">
      <c r="A52" s="98"/>
      <c r="B52" s="98"/>
      <c r="C52" s="98"/>
      <c r="D52" s="98"/>
      <c r="E52" s="98"/>
      <c r="F52" s="98"/>
      <c r="G52" s="1288" t="s">
        <v>866</v>
      </c>
      <c r="H52" s="1288"/>
      <c r="I52" s="1288"/>
      <c r="J52" s="1288"/>
      <c r="K52" s="98"/>
    </row>
    <row r="53" spans="1:11" x14ac:dyDescent="0.25">
      <c r="A53" s="98"/>
      <c r="B53" s="98"/>
      <c r="C53" s="98"/>
      <c r="D53" s="98"/>
      <c r="E53" s="98"/>
      <c r="F53" s="98"/>
      <c r="G53" s="1288"/>
      <c r="H53" s="1288"/>
      <c r="I53" s="1288"/>
      <c r="J53" s="1288"/>
      <c r="K53" s="98"/>
    </row>
    <row r="54" spans="1:11" x14ac:dyDescent="0.25">
      <c r="A54" s="98"/>
      <c r="B54" s="98"/>
      <c r="C54" s="98"/>
      <c r="D54" s="98"/>
      <c r="E54" s="98"/>
      <c r="F54" s="98"/>
      <c r="G54" s="1288"/>
      <c r="H54" s="1288"/>
      <c r="I54" s="1288"/>
      <c r="J54" s="1288"/>
      <c r="K54" s="98"/>
    </row>
    <row r="55" spans="1:11" x14ac:dyDescent="0.25">
      <c r="A55" s="98"/>
      <c r="B55" s="98"/>
      <c r="C55" s="98"/>
      <c r="D55" s="98"/>
      <c r="E55" s="98"/>
      <c r="F55" s="98"/>
      <c r="G55" s="1288"/>
      <c r="H55" s="1288"/>
      <c r="I55" s="1288"/>
      <c r="J55" s="1288"/>
      <c r="K55" s="98"/>
    </row>
    <row r="56" spans="1:11" x14ac:dyDescent="0.25">
      <c r="A56" s="98"/>
      <c r="B56" s="98"/>
      <c r="C56" s="98"/>
      <c r="D56" s="98"/>
      <c r="E56" s="98"/>
      <c r="F56" s="98"/>
      <c r="G56" s="1288"/>
      <c r="H56" s="1288"/>
      <c r="I56" s="1288"/>
      <c r="J56" s="1288"/>
      <c r="K56" s="98"/>
    </row>
    <row r="57" spans="1:11" x14ac:dyDescent="0.25">
      <c r="A57" s="98"/>
      <c r="B57" s="98"/>
      <c r="C57" s="98"/>
      <c r="D57" s="98"/>
      <c r="E57" s="98"/>
      <c r="F57" s="98"/>
      <c r="G57" s="1288"/>
      <c r="H57" s="1288"/>
      <c r="I57" s="1288"/>
      <c r="J57" s="1288"/>
      <c r="K57" s="98"/>
    </row>
    <row r="58" spans="1:11" x14ac:dyDescent="0.25">
      <c r="A58" s="98"/>
      <c r="B58" s="98"/>
      <c r="C58" s="98"/>
      <c r="D58" s="98"/>
      <c r="E58" s="98"/>
      <c r="F58" s="98"/>
      <c r="G58" s="1288"/>
      <c r="H58" s="1288"/>
      <c r="I58" s="1288"/>
      <c r="J58" s="1288"/>
      <c r="K58" s="98"/>
    </row>
    <row r="59" spans="1:11" x14ac:dyDescent="0.25">
      <c r="A59" s="98"/>
      <c r="B59" s="98"/>
      <c r="C59" s="98"/>
      <c r="D59" s="98"/>
      <c r="E59" s="98"/>
      <c r="F59" s="98"/>
      <c r="G59" s="1288"/>
      <c r="H59" s="1288"/>
      <c r="I59" s="1288"/>
      <c r="J59" s="1288"/>
      <c r="K59" s="98"/>
    </row>
    <row r="60" spans="1:11" x14ac:dyDescent="0.25">
      <c r="A60" s="98"/>
      <c r="B60" s="98"/>
      <c r="C60" s="98"/>
      <c r="D60" s="98"/>
      <c r="E60" s="98"/>
      <c r="F60" s="98"/>
      <c r="G60" s="1288"/>
      <c r="H60" s="1288"/>
      <c r="I60" s="1288"/>
      <c r="J60" s="1288"/>
      <c r="K60" s="98"/>
    </row>
    <row r="61" spans="1:11" x14ac:dyDescent="0.25">
      <c r="A61" s="98"/>
      <c r="B61" s="98"/>
      <c r="C61" s="98"/>
      <c r="D61" s="98"/>
      <c r="E61" s="98"/>
      <c r="F61" s="98"/>
      <c r="G61" s="1288"/>
      <c r="H61" s="1288"/>
      <c r="I61" s="1288"/>
      <c r="J61" s="1288"/>
      <c r="K61" s="98"/>
    </row>
    <row r="62" spans="1:11" x14ac:dyDescent="0.25">
      <c r="A62" s="98"/>
      <c r="B62" s="98"/>
      <c r="C62" s="98"/>
      <c r="D62" s="98"/>
      <c r="E62" s="98"/>
      <c r="F62" s="98"/>
      <c r="G62" s="1288"/>
      <c r="H62" s="1288"/>
      <c r="I62" s="1288"/>
      <c r="J62" s="1288"/>
      <c r="K62" s="98"/>
    </row>
    <row r="63" spans="1:11" x14ac:dyDescent="0.25">
      <c r="A63" s="98"/>
      <c r="B63" s="98"/>
      <c r="C63" s="98"/>
      <c r="D63" s="98"/>
      <c r="E63" s="98"/>
      <c r="F63" s="98"/>
      <c r="G63" s="1288"/>
      <c r="H63" s="1288"/>
      <c r="I63" s="1288"/>
      <c r="J63" s="1288"/>
      <c r="K63" s="98"/>
    </row>
    <row r="64" spans="1:11" x14ac:dyDescent="0.25">
      <c r="A64" s="98"/>
      <c r="B64" s="98"/>
      <c r="C64" s="98"/>
      <c r="D64" s="98"/>
      <c r="E64" s="98"/>
      <c r="F64" s="98"/>
      <c r="G64" s="1288"/>
      <c r="H64" s="1288"/>
      <c r="I64" s="1288"/>
      <c r="J64" s="1288"/>
      <c r="K64" s="98"/>
    </row>
    <row r="65" spans="1:11" x14ac:dyDescent="0.25">
      <c r="A65" s="98"/>
      <c r="B65" s="98"/>
      <c r="C65" s="98"/>
      <c r="D65" s="98"/>
      <c r="E65" s="98"/>
      <c r="F65" s="98"/>
      <c r="G65" s="1288"/>
      <c r="H65" s="1288"/>
      <c r="I65" s="1288"/>
      <c r="J65" s="1288"/>
      <c r="K65" s="98"/>
    </row>
    <row r="66" spans="1:11" x14ac:dyDescent="0.25">
      <c r="A66" s="98"/>
      <c r="B66" s="98"/>
      <c r="C66" s="98"/>
      <c r="D66" s="98"/>
      <c r="E66" s="98"/>
      <c r="F66" s="98"/>
      <c r="G66" s="1288"/>
      <c r="H66" s="1288"/>
      <c r="I66" s="1288"/>
      <c r="J66" s="1288"/>
      <c r="K66" s="98"/>
    </row>
    <row r="67" spans="1:11" x14ac:dyDescent="0.25">
      <c r="A67" s="98"/>
      <c r="B67" s="98"/>
      <c r="C67" s="98"/>
      <c r="D67" s="98"/>
      <c r="E67" s="98"/>
      <c r="F67" s="98"/>
      <c r="G67" s="1288"/>
      <c r="H67" s="1288"/>
      <c r="I67" s="1288"/>
      <c r="J67" s="1288"/>
      <c r="K67" s="98"/>
    </row>
    <row r="68" spans="1:11" x14ac:dyDescent="0.25">
      <c r="A68" s="98"/>
      <c r="B68" s="98"/>
      <c r="C68" s="98"/>
      <c r="D68" s="98"/>
      <c r="E68" s="98"/>
      <c r="F68" s="98"/>
      <c r="G68" s="1288"/>
      <c r="H68" s="1288"/>
      <c r="I68" s="1288"/>
      <c r="J68" s="1288"/>
      <c r="K68" s="98"/>
    </row>
    <row r="69" spans="1:11" x14ac:dyDescent="0.25">
      <c r="A69" s="98"/>
      <c r="B69" s="98"/>
      <c r="C69" s="98"/>
      <c r="D69" s="98"/>
      <c r="E69" s="98"/>
      <c r="F69" s="98"/>
      <c r="G69" s="1288"/>
      <c r="H69" s="1288"/>
      <c r="I69" s="1288"/>
      <c r="J69" s="1288"/>
      <c r="K69" s="98"/>
    </row>
    <row r="70" spans="1:11" x14ac:dyDescent="0.25">
      <c r="A70" s="98"/>
      <c r="B70" s="98"/>
      <c r="C70" s="98"/>
      <c r="D70" s="98"/>
      <c r="E70" s="98"/>
      <c r="F70" s="98"/>
      <c r="G70" s="1288"/>
      <c r="H70" s="1288"/>
      <c r="I70" s="1288"/>
      <c r="J70" s="1288"/>
      <c r="K70" s="98"/>
    </row>
    <row r="71" spans="1:11" x14ac:dyDescent="0.25">
      <c r="A71" s="98"/>
      <c r="B71" s="98"/>
      <c r="C71" s="98"/>
      <c r="D71" s="98"/>
      <c r="E71" s="98"/>
      <c r="F71" s="98"/>
      <c r="G71" s="1288"/>
      <c r="H71" s="1288"/>
      <c r="I71" s="1288"/>
      <c r="J71" s="1288"/>
      <c r="K71" s="98"/>
    </row>
    <row r="72" spans="1:11" x14ac:dyDescent="0.25">
      <c r="A72" s="98"/>
      <c r="B72" s="98"/>
      <c r="C72" s="98"/>
      <c r="D72" s="98"/>
      <c r="E72" s="98"/>
      <c r="F72" s="98"/>
      <c r="G72" s="1288"/>
      <c r="H72" s="1288"/>
      <c r="I72" s="1288"/>
      <c r="J72" s="1288"/>
      <c r="K72" s="98"/>
    </row>
    <row r="73" spans="1:11" x14ac:dyDescent="0.25">
      <c r="A73" s="98"/>
      <c r="B73" s="98"/>
      <c r="C73" s="98"/>
      <c r="D73" s="98"/>
      <c r="E73" s="98"/>
      <c r="F73" s="98"/>
      <c r="G73" s="1288"/>
      <c r="H73" s="1288"/>
      <c r="I73" s="1288"/>
      <c r="J73" s="1288"/>
      <c r="K73" s="98"/>
    </row>
    <row r="74" spans="1:11" x14ac:dyDescent="0.25">
      <c r="A74" s="98"/>
      <c r="B74" s="98"/>
      <c r="C74" s="98"/>
      <c r="D74" s="98"/>
      <c r="E74" s="98"/>
      <c r="F74" s="98"/>
      <c r="G74" s="1288"/>
      <c r="H74" s="1288"/>
      <c r="I74" s="1288"/>
      <c r="J74" s="1288"/>
      <c r="K74" s="98"/>
    </row>
    <row r="75" spans="1:11" x14ac:dyDescent="0.25">
      <c r="A75" s="98"/>
      <c r="B75" s="98"/>
      <c r="C75" s="98"/>
      <c r="D75" s="98"/>
      <c r="E75" s="98"/>
      <c r="F75" s="98"/>
      <c r="G75" s="1288"/>
      <c r="H75" s="1288"/>
      <c r="I75" s="1288"/>
      <c r="J75" s="1288"/>
      <c r="K75" s="98"/>
    </row>
    <row r="76" spans="1:11" x14ac:dyDescent="0.25">
      <c r="A76" s="98"/>
      <c r="B76" s="98"/>
      <c r="C76" s="98"/>
      <c r="D76" s="98"/>
      <c r="E76" s="98"/>
      <c r="F76" s="98"/>
      <c r="G76" s="1288"/>
      <c r="H76" s="1288"/>
      <c r="I76" s="1288"/>
      <c r="J76" s="1288"/>
      <c r="K76" s="98"/>
    </row>
    <row r="77" spans="1:11" x14ac:dyDescent="0.25">
      <c r="A77" s="98"/>
      <c r="B77" s="98"/>
      <c r="C77" s="98"/>
      <c r="D77" s="98"/>
      <c r="E77" s="98"/>
      <c r="F77" s="98"/>
      <c r="G77" s="1288"/>
      <c r="H77" s="1288"/>
      <c r="I77" s="1288"/>
      <c r="J77" s="1288"/>
      <c r="K77" s="98"/>
    </row>
    <row r="78" spans="1:11" x14ac:dyDescent="0.25">
      <c r="A78" s="98"/>
      <c r="B78" s="98"/>
      <c r="C78" s="98"/>
      <c r="D78" s="98"/>
      <c r="E78" s="98"/>
      <c r="F78" s="98"/>
      <c r="G78" s="1288"/>
      <c r="H78" s="1288"/>
      <c r="I78" s="1288"/>
      <c r="J78" s="1288"/>
      <c r="K78" s="98"/>
    </row>
    <row r="79" spans="1:11" x14ac:dyDescent="0.25">
      <c r="A79" s="98"/>
      <c r="B79" s="98"/>
      <c r="C79" s="98"/>
      <c r="D79" s="98"/>
      <c r="E79" s="98"/>
      <c r="F79" s="98"/>
      <c r="G79" s="1288"/>
      <c r="H79" s="1288"/>
      <c r="I79" s="1288"/>
      <c r="J79" s="1288"/>
      <c r="K79" s="98"/>
    </row>
    <row r="80" spans="1:11" x14ac:dyDescent="0.25">
      <c r="A80" s="98"/>
      <c r="B80" s="98"/>
      <c r="C80" s="98"/>
      <c r="D80" s="98"/>
      <c r="E80" s="98"/>
      <c r="F80" s="98"/>
      <c r="G80" s="1288"/>
      <c r="H80" s="1288"/>
      <c r="I80" s="1288"/>
      <c r="J80" s="1288"/>
      <c r="K80" s="98"/>
    </row>
    <row r="81" spans="1:11" x14ac:dyDescent="0.25">
      <c r="A81" s="98"/>
      <c r="B81" s="98"/>
      <c r="C81" s="98"/>
      <c r="D81" s="98"/>
      <c r="E81" s="98"/>
      <c r="F81" s="98"/>
      <c r="G81" s="1288"/>
      <c r="H81" s="1288"/>
      <c r="I81" s="1288"/>
      <c r="J81" s="1288"/>
      <c r="K81" s="98"/>
    </row>
    <row r="82" spans="1:11" x14ac:dyDescent="0.25">
      <c r="A82" s="98"/>
      <c r="B82" s="98"/>
      <c r="C82" s="98"/>
      <c r="D82" s="98"/>
      <c r="E82" s="98"/>
      <c r="F82" s="98"/>
      <c r="G82" s="1288"/>
      <c r="H82" s="1288"/>
      <c r="I82" s="1288"/>
      <c r="J82" s="1288"/>
      <c r="K82" s="98"/>
    </row>
    <row r="83" spans="1:11" x14ac:dyDescent="0.25">
      <c r="A83" s="98"/>
      <c r="B83" s="98"/>
      <c r="C83" s="98"/>
      <c r="D83" s="98"/>
      <c r="E83" s="98"/>
      <c r="F83" s="98"/>
      <c r="G83" s="1288"/>
      <c r="H83" s="1288"/>
      <c r="I83" s="1288"/>
      <c r="J83" s="1288"/>
      <c r="K83" s="98"/>
    </row>
    <row r="84" spans="1:11" x14ac:dyDescent="0.25">
      <c r="A84" s="98"/>
      <c r="B84" s="98"/>
      <c r="C84" s="98"/>
      <c r="D84" s="98"/>
      <c r="E84" s="98"/>
      <c r="F84" s="98"/>
      <c r="G84" s="1288"/>
      <c r="H84" s="1288"/>
      <c r="I84" s="1288"/>
      <c r="J84" s="1288"/>
      <c r="K84" s="98"/>
    </row>
    <row r="85" spans="1:11" x14ac:dyDescent="0.25">
      <c r="A85" s="98"/>
      <c r="B85" s="98"/>
      <c r="C85" s="98"/>
      <c r="D85" s="98"/>
      <c r="E85" s="98"/>
      <c r="F85" s="98"/>
      <c r="G85" s="1288"/>
      <c r="H85" s="1288"/>
      <c r="I85" s="1288"/>
      <c r="J85" s="1288"/>
      <c r="K85" s="98"/>
    </row>
    <row r="86" spans="1:11" x14ac:dyDescent="0.25">
      <c r="A86" s="98"/>
      <c r="B86" s="98"/>
      <c r="C86" s="98"/>
      <c r="D86" s="98"/>
      <c r="E86" s="98"/>
      <c r="F86" s="98"/>
      <c r="G86" s="98"/>
      <c r="H86" s="98"/>
      <c r="I86" s="98"/>
      <c r="J86" s="98"/>
      <c r="K86" s="98"/>
    </row>
    <row r="87" spans="1:11" x14ac:dyDescent="0.25">
      <c r="A87" s="98"/>
      <c r="B87" s="98"/>
      <c r="C87" s="98"/>
      <c r="D87" s="98"/>
      <c r="E87" s="98"/>
      <c r="F87" s="98"/>
      <c r="G87" s="98"/>
      <c r="H87" s="98"/>
      <c r="I87" s="98"/>
      <c r="J87" s="98"/>
      <c r="K87" s="98"/>
    </row>
    <row r="88" spans="1:11" x14ac:dyDescent="0.25">
      <c r="A88" s="98"/>
      <c r="B88" s="98"/>
      <c r="C88" s="98"/>
      <c r="D88" s="98"/>
      <c r="E88" s="98"/>
      <c r="F88" s="98"/>
      <c r="G88" s="98"/>
      <c r="H88" s="98"/>
      <c r="I88" s="98"/>
      <c r="J88" s="98"/>
      <c r="K88" s="98"/>
    </row>
    <row r="89" spans="1:11" x14ac:dyDescent="0.25">
      <c r="A89" s="98"/>
      <c r="B89" s="98"/>
      <c r="C89" s="98"/>
      <c r="D89" s="98"/>
      <c r="E89" s="98"/>
      <c r="F89" s="98"/>
      <c r="G89" s="98"/>
      <c r="H89" s="98"/>
      <c r="I89" s="98"/>
      <c r="J89" s="98"/>
      <c r="K89" s="98"/>
    </row>
    <row r="90" spans="1:11" x14ac:dyDescent="0.25">
      <c r="A90" s="98"/>
      <c r="B90" s="98"/>
      <c r="C90" s="98"/>
      <c r="D90" s="98"/>
      <c r="E90" s="98"/>
      <c r="F90" s="98"/>
      <c r="G90" s="98"/>
      <c r="H90" s="98"/>
      <c r="I90" s="98"/>
      <c r="J90" s="98"/>
      <c r="K90" s="98"/>
    </row>
    <row r="91" spans="1:11" x14ac:dyDescent="0.25">
      <c r="A91" s="98"/>
      <c r="B91" s="98"/>
      <c r="C91" s="98"/>
      <c r="D91" s="98"/>
      <c r="E91" s="98"/>
      <c r="F91" s="98"/>
      <c r="G91" s="98"/>
      <c r="H91" s="98"/>
      <c r="I91" s="98"/>
      <c r="J91" s="98"/>
      <c r="K91" s="98"/>
    </row>
    <row r="92" spans="1:11" x14ac:dyDescent="0.25">
      <c r="A92" s="98"/>
      <c r="B92" s="98"/>
      <c r="C92" s="98"/>
      <c r="D92" s="98"/>
      <c r="E92" s="98"/>
      <c r="F92" s="98"/>
      <c r="G92" s="98"/>
      <c r="H92" s="98"/>
      <c r="I92" s="98"/>
      <c r="J92" s="98"/>
      <c r="K92" s="98"/>
    </row>
    <row r="93" spans="1:11" x14ac:dyDescent="0.25">
      <c r="A93" s="98"/>
      <c r="B93" s="98"/>
      <c r="C93" s="98"/>
      <c r="D93" s="98"/>
      <c r="E93" s="98"/>
      <c r="F93" s="98"/>
      <c r="G93" s="98"/>
      <c r="H93" s="98"/>
      <c r="I93" s="98"/>
      <c r="J93" s="98"/>
      <c r="K93" s="98"/>
    </row>
    <row r="94" spans="1:11" x14ac:dyDescent="0.25">
      <c r="A94" s="98"/>
      <c r="B94" s="98"/>
      <c r="C94" s="98"/>
      <c r="D94" s="98"/>
      <c r="E94" s="98"/>
      <c r="F94" s="98"/>
      <c r="G94" s="98"/>
      <c r="H94" s="98"/>
      <c r="I94" s="98"/>
      <c r="J94" s="98"/>
      <c r="K94" s="98"/>
    </row>
    <row r="95" spans="1:11" x14ac:dyDescent="0.25">
      <c r="A95" s="98"/>
      <c r="B95" s="98"/>
      <c r="C95" s="98"/>
      <c r="D95" s="98"/>
      <c r="E95" s="98"/>
      <c r="F95" s="98"/>
      <c r="G95" s="98"/>
      <c r="H95" s="98"/>
      <c r="I95" s="98"/>
      <c r="J95" s="98"/>
      <c r="K95" s="98"/>
    </row>
    <row r="96" spans="1:11" x14ac:dyDescent="0.25">
      <c r="A96" s="98"/>
      <c r="B96" s="98"/>
      <c r="C96" s="98"/>
      <c r="D96" s="98"/>
      <c r="E96" s="98"/>
      <c r="F96" s="98"/>
      <c r="G96" s="98"/>
      <c r="H96" s="98"/>
      <c r="I96" s="98"/>
      <c r="J96" s="98"/>
      <c r="K96" s="98"/>
    </row>
    <row r="97" spans="1:11" x14ac:dyDescent="0.25">
      <c r="A97" s="98"/>
      <c r="B97" s="98"/>
      <c r="C97" s="98"/>
      <c r="D97" s="98"/>
      <c r="E97" s="98"/>
      <c r="F97" s="98"/>
      <c r="G97" s="98"/>
      <c r="H97" s="98"/>
      <c r="I97" s="98"/>
      <c r="J97" s="98"/>
      <c r="K97" s="98"/>
    </row>
    <row r="98" spans="1:11" x14ac:dyDescent="0.25">
      <c r="A98" s="98"/>
      <c r="B98" s="98"/>
      <c r="C98" s="98"/>
      <c r="D98" s="98"/>
      <c r="E98" s="98"/>
      <c r="F98" s="98"/>
      <c r="G98" s="98"/>
      <c r="H98" s="98"/>
      <c r="I98" s="98"/>
      <c r="J98" s="98"/>
      <c r="K98" s="98"/>
    </row>
    <row r="99" spans="1:11" x14ac:dyDescent="0.25">
      <c r="A99" s="98"/>
      <c r="B99" s="1273" t="s">
        <v>809</v>
      </c>
      <c r="C99" s="1273"/>
      <c r="D99" s="1273"/>
      <c r="E99" s="1273"/>
      <c r="F99" s="1273"/>
      <c r="G99" s="1273"/>
      <c r="H99" s="1273"/>
      <c r="I99" s="1273"/>
      <c r="J99" s="1273"/>
      <c r="K99" s="98"/>
    </row>
  </sheetData>
  <mergeCells count="12">
    <mergeCell ref="B99:J99"/>
    <mergeCell ref="B11:J11"/>
    <mergeCell ref="B6:J6"/>
    <mergeCell ref="E9:J9"/>
    <mergeCell ref="C12:D12"/>
    <mergeCell ref="E12:H12"/>
    <mergeCell ref="I12:J12"/>
    <mergeCell ref="B25:E25"/>
    <mergeCell ref="G25:J25"/>
    <mergeCell ref="B47:E47"/>
    <mergeCell ref="G51:J51"/>
    <mergeCell ref="G52:J85"/>
  </mergeCells>
  <conditionalFormatting sqref="C15:J24">
    <cfRule type="cellIs" dxfId="14" priority="1" operator="equal">
      <formula>0</formula>
    </cfRule>
    <cfRule type="cellIs" dxfId="13" priority="2" operator="between">
      <formula>0.4</formula>
      <formula>0.69</formula>
    </cfRule>
    <cfRule type="cellIs" dxfId="12" priority="3" operator="between">
      <formula>0.2</formula>
      <formula>0.39</formula>
    </cfRule>
    <cfRule type="cellIs" dxfId="11" priority="4" operator="between">
      <formula>0.01</formula>
      <formula>0.19</formula>
    </cfRule>
    <cfRule type="cellIs" dxfId="10" priority="5" operator="between">
      <formula>0.7</formula>
      <formula>1</formula>
    </cfRule>
  </conditionalFormatting>
  <pageMargins left="0.39370078740157483" right="0.39370078740157483" top="0.39370078740157483" bottom="0.39370078740157483" header="0.31496062992125984" footer="0.31496062992125984"/>
  <pageSetup paperSize="14" scale="52" fitToHeight="0"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6D02C1D4-C99E-4094-A3E9-092B542732E5}">
          <x14:formula1>
            <xm:f>PGLOBAL!$A$10:$A$173</xm:f>
          </x14:formula1>
          <xm:sqref>E9:J9</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57D7BA-6CF0-4B07-A180-85D5BFA6C516}">
  <sheetPr codeName="Hoja16">
    <tabColor rgb="FF00B050"/>
    <pageSetUpPr fitToPage="1"/>
  </sheetPr>
  <dimension ref="A1:M91"/>
  <sheetViews>
    <sheetView zoomScale="90" zoomScaleNormal="90" workbookViewId="0"/>
  </sheetViews>
  <sheetFormatPr baseColWidth="10" defaultColWidth="12.5703125" defaultRowHeight="15.75" x14ac:dyDescent="0.25"/>
  <cols>
    <col min="1" max="1" width="5.28515625" style="99" customWidth="1"/>
    <col min="2" max="2" width="16.42578125" style="99" customWidth="1"/>
    <col min="3" max="3" width="35.7109375" style="99" customWidth="1"/>
    <col min="4" max="4" width="40.7109375" style="99" customWidth="1"/>
    <col min="5" max="10" width="35.7109375" style="99" customWidth="1"/>
    <col min="11" max="11" width="5.85546875" style="99" customWidth="1"/>
    <col min="12" max="16384" width="12.5703125" style="99"/>
  </cols>
  <sheetData>
    <row r="1" spans="1:12" x14ac:dyDescent="0.25">
      <c r="A1" s="98"/>
      <c r="B1" s="98"/>
      <c r="C1" s="98"/>
      <c r="D1" s="98"/>
      <c r="E1" s="98"/>
      <c r="F1" s="98"/>
      <c r="G1" s="98"/>
      <c r="H1" s="98"/>
      <c r="I1" s="98"/>
      <c r="J1" s="98"/>
      <c r="K1" s="98"/>
    </row>
    <row r="2" spans="1:12" x14ac:dyDescent="0.25">
      <c r="A2" s="98"/>
      <c r="B2" s="98"/>
      <c r="C2" s="98"/>
      <c r="D2" s="98"/>
      <c r="E2" s="98"/>
      <c r="F2" s="98"/>
      <c r="G2" s="98"/>
      <c r="H2" s="98"/>
      <c r="I2" s="98"/>
      <c r="J2" s="98"/>
      <c r="K2" s="98"/>
    </row>
    <row r="3" spans="1:12" x14ac:dyDescent="0.25">
      <c r="A3" s="98"/>
      <c r="B3" s="98"/>
      <c r="C3" s="98"/>
      <c r="D3" s="98"/>
      <c r="E3" s="98"/>
      <c r="F3" s="98"/>
      <c r="G3" s="98"/>
      <c r="H3" s="98"/>
      <c r="I3" s="98"/>
      <c r="J3" s="98"/>
      <c r="K3" s="98"/>
    </row>
    <row r="4" spans="1:12" x14ac:dyDescent="0.25">
      <c r="A4" s="98"/>
      <c r="B4" s="98"/>
      <c r="C4" s="98"/>
      <c r="D4" s="98"/>
      <c r="E4" s="98"/>
      <c r="F4" s="98"/>
      <c r="G4" s="98"/>
      <c r="H4" s="98"/>
      <c r="I4" s="98"/>
      <c r="J4" s="98"/>
      <c r="K4" s="98"/>
    </row>
    <row r="5" spans="1:12" x14ac:dyDescent="0.25">
      <c r="A5" s="98"/>
      <c r="B5" s="98"/>
      <c r="C5" s="98"/>
      <c r="D5" s="98"/>
      <c r="E5" s="98"/>
      <c r="F5" s="98"/>
      <c r="G5" s="98"/>
      <c r="H5" s="98"/>
      <c r="I5" s="98"/>
      <c r="J5" s="98"/>
      <c r="K5" s="98"/>
    </row>
    <row r="6" spans="1:12" ht="48.6" customHeight="1" x14ac:dyDescent="0.25">
      <c r="A6" s="98"/>
      <c r="B6" s="98"/>
      <c r="C6" s="98"/>
      <c r="D6" s="98"/>
      <c r="E6" s="98"/>
      <c r="F6" s="98"/>
      <c r="G6" s="98"/>
      <c r="H6" s="98"/>
      <c r="I6" s="98"/>
      <c r="J6" s="98"/>
      <c r="K6" s="98"/>
    </row>
    <row r="7" spans="1:12" ht="64.5" customHeight="1" x14ac:dyDescent="0.25">
      <c r="A7" s="98"/>
      <c r="B7" s="1083" t="s">
        <v>750</v>
      </c>
      <c r="C7" s="1083"/>
      <c r="D7" s="1083"/>
      <c r="E7" s="1083"/>
      <c r="F7" s="1083"/>
      <c r="G7" s="1083"/>
      <c r="H7" s="1083"/>
      <c r="I7" s="1083"/>
      <c r="J7" s="1083"/>
      <c r="K7" s="98"/>
    </row>
    <row r="8" spans="1:12" x14ac:dyDescent="0.25">
      <c r="A8" s="98"/>
      <c r="B8" s="98"/>
      <c r="C8" s="98"/>
      <c r="D8" s="98"/>
      <c r="E8" s="98"/>
      <c r="F8" s="98"/>
      <c r="G8" s="98"/>
      <c r="H8" s="98"/>
      <c r="I8" s="98"/>
      <c r="J8" s="98"/>
      <c r="K8" s="98"/>
    </row>
    <row r="9" spans="1:12" x14ac:dyDescent="0.25">
      <c r="A9" s="98"/>
      <c r="B9" s="98"/>
      <c r="C9" s="98"/>
      <c r="D9" s="98"/>
      <c r="E9" s="98"/>
      <c r="F9" s="98"/>
      <c r="G9" s="98"/>
      <c r="H9" s="98"/>
      <c r="I9" s="98"/>
      <c r="J9" s="98"/>
      <c r="K9" s="98"/>
    </row>
    <row r="10" spans="1:12" ht="20.25" x14ac:dyDescent="0.3">
      <c r="A10" s="98"/>
      <c r="B10" s="235" t="s">
        <v>743</v>
      </c>
      <c r="C10" s="235"/>
      <c r="D10" s="235"/>
      <c r="E10" s="1086" t="s">
        <v>950</v>
      </c>
      <c r="F10" s="1086"/>
      <c r="G10" s="1086"/>
      <c r="H10" s="1086"/>
      <c r="I10" s="1086"/>
      <c r="J10" s="1086"/>
      <c r="K10" s="98"/>
    </row>
    <row r="11" spans="1:12" ht="18.75" x14ac:dyDescent="0.3">
      <c r="A11" s="98"/>
      <c r="B11" s="102"/>
      <c r="C11" s="102"/>
      <c r="D11" s="102"/>
      <c r="E11" s="102"/>
      <c r="F11" s="98"/>
      <c r="G11" s="98"/>
      <c r="H11" s="98"/>
      <c r="I11" s="98"/>
      <c r="J11" s="98"/>
      <c r="K11" s="98"/>
    </row>
    <row r="12" spans="1:12" ht="60.6" customHeight="1" x14ac:dyDescent="0.25">
      <c r="A12" s="98"/>
      <c r="B12" s="1282" t="s">
        <v>938</v>
      </c>
      <c r="C12" s="1283"/>
      <c r="D12" s="1283"/>
      <c r="E12" s="1283"/>
      <c r="F12" s="1283"/>
      <c r="G12" s="1283"/>
      <c r="H12" s="1283"/>
      <c r="I12" s="1283"/>
      <c r="J12" s="1284"/>
      <c r="K12" s="98"/>
    </row>
    <row r="13" spans="1:12" ht="33.75" customHeight="1" x14ac:dyDescent="0.25">
      <c r="A13" s="98"/>
      <c r="B13" s="439" t="s">
        <v>739</v>
      </c>
      <c r="C13" s="1285" t="s">
        <v>932</v>
      </c>
      <c r="D13" s="1286"/>
      <c r="E13" s="1285" t="s">
        <v>933</v>
      </c>
      <c r="F13" s="1287"/>
      <c r="G13" s="1287"/>
      <c r="H13" s="1286"/>
      <c r="I13" s="1285" t="s">
        <v>928</v>
      </c>
      <c r="J13" s="1286"/>
      <c r="K13" s="98"/>
    </row>
    <row r="14" spans="1:12" ht="90.6" customHeight="1" x14ac:dyDescent="0.35">
      <c r="A14" s="98"/>
      <c r="B14" s="408" t="s">
        <v>752</v>
      </c>
      <c r="C14" s="415" t="s">
        <v>284</v>
      </c>
      <c r="D14" s="415" t="s">
        <v>273</v>
      </c>
      <c r="E14" s="415" t="s">
        <v>279</v>
      </c>
      <c r="F14" s="415" t="s">
        <v>275</v>
      </c>
      <c r="G14" s="415" t="s">
        <v>285</v>
      </c>
      <c r="H14" s="415" t="s">
        <v>282</v>
      </c>
      <c r="I14" s="415" t="s">
        <v>283</v>
      </c>
      <c r="J14" s="415" t="s">
        <v>276</v>
      </c>
      <c r="K14" s="98"/>
      <c r="L14" s="114"/>
    </row>
    <row r="15" spans="1:12" ht="225.6" customHeight="1" x14ac:dyDescent="0.35">
      <c r="A15" s="98"/>
      <c r="B15" s="410" t="s">
        <v>852</v>
      </c>
      <c r="C15" s="416" t="s">
        <v>915</v>
      </c>
      <c r="D15" s="416" t="s">
        <v>916</v>
      </c>
      <c r="E15" s="416" t="s">
        <v>907</v>
      </c>
      <c r="F15" s="416" t="s">
        <v>908</v>
      </c>
      <c r="G15" s="416" t="s">
        <v>909</v>
      </c>
      <c r="H15" s="416" t="s">
        <v>910</v>
      </c>
      <c r="I15" s="416" t="s">
        <v>913</v>
      </c>
      <c r="J15" s="407" t="s">
        <v>914</v>
      </c>
      <c r="K15" s="98"/>
      <c r="L15" s="114"/>
    </row>
    <row r="16" spans="1:12" ht="20.25" x14ac:dyDescent="0.25">
      <c r="A16" s="98"/>
      <c r="B16" s="104">
        <v>2016</v>
      </c>
      <c r="C16" s="105">
        <f>VLOOKUP($E$10,CN!$A$10:$FA$173,26,0)</f>
        <v>0</v>
      </c>
      <c r="D16" s="105">
        <f>VLOOKUP($E$10,CN!$A$10:$FA$173,27,0)</f>
        <v>0</v>
      </c>
      <c r="E16" s="105">
        <f>VLOOKUP($E$10,CN!$A$10:$FA$173,28,0)</f>
        <v>0</v>
      </c>
      <c r="F16" s="105" t="s">
        <v>288</v>
      </c>
      <c r="G16" s="105">
        <f>VLOOKUP($E$10,CN!$A$10:$FA$173,29,0)</f>
        <v>0</v>
      </c>
      <c r="H16" s="105">
        <f>VLOOKUP($E$10,CN!$A$10:$FA$173,30,0)</f>
        <v>0</v>
      </c>
      <c r="I16" s="105">
        <f>VLOOKUP($E$10,CN!$A$10:$FA$173,31,0)</f>
        <v>0</v>
      </c>
      <c r="J16" s="105">
        <f>VLOOKUP($E$10,CN!$A$10:$FA$173,32,0)</f>
        <v>0</v>
      </c>
      <c r="K16" s="98"/>
    </row>
    <row r="17" spans="1:13" ht="20.25" x14ac:dyDescent="0.25">
      <c r="A17" s="98"/>
      <c r="B17" s="104">
        <v>2017</v>
      </c>
      <c r="C17" s="105">
        <f>VLOOKUP($E$10,CN!$A$10:$FA$173,55,0)</f>
        <v>0</v>
      </c>
      <c r="D17" s="105">
        <f>VLOOKUP($E$10,CN!$A$10:$FA$173,56,0)</f>
        <v>0</v>
      </c>
      <c r="E17" s="105">
        <f>VLOOKUP($E$10,CN!$A$10:$FA$173,57,0)</f>
        <v>0</v>
      </c>
      <c r="F17" s="105">
        <f>VLOOKUP($E$10,CN!$A$10:$FA$173,58,0)</f>
        <v>0</v>
      </c>
      <c r="G17" s="105">
        <f>VLOOKUP($E$10,CN!$A$10:$FA$173,59,0)</f>
        <v>0</v>
      </c>
      <c r="H17" s="105">
        <f>VLOOKUP($E$10,CN!$A$10:$FA$173,60,0)</f>
        <v>0</v>
      </c>
      <c r="I17" s="105">
        <f>VLOOKUP($E$10,CN!$A$10:$FA$173,61,0)</f>
        <v>0</v>
      </c>
      <c r="J17" s="105">
        <f>VLOOKUP($E$10,CN!$A$10:$FA$173,62,0)</f>
        <v>0</v>
      </c>
      <c r="K17" s="98"/>
    </row>
    <row r="18" spans="1:13" ht="20.25" x14ac:dyDescent="0.25">
      <c r="A18" s="98"/>
      <c r="B18" s="104">
        <v>2018</v>
      </c>
      <c r="C18" s="105">
        <f>VLOOKUP($E$10,CN!$A$10:$FA$173,96,0)</f>
        <v>0</v>
      </c>
      <c r="D18" s="105">
        <f>VLOOKUP($E$10,CN!$A$10:$FA$173,87,0)</f>
        <v>0</v>
      </c>
      <c r="E18" s="105">
        <f>VLOOKUP($E$10,CN!$A$10:$FA$173,74,0)</f>
        <v>0</v>
      </c>
      <c r="F18" s="105">
        <f>VLOOKUP($E$10,CN!$A$10:$FA$173,88,0)</f>
        <v>0</v>
      </c>
      <c r="G18" s="105">
        <f>VLOOKUP($E$10,CN!$A$10:$FA$173,85,0)</f>
        <v>0</v>
      </c>
      <c r="H18" s="105">
        <f>VLOOKUP($E$10,CN!$A$10:$FA$173,89,0)</f>
        <v>0</v>
      </c>
      <c r="I18" s="105">
        <f>VLOOKUP($E$10,CN!$A$10:$FA$173,71,0)</f>
        <v>0</v>
      </c>
      <c r="J18" s="105">
        <f>VLOOKUP($E$10,CN!$A$10:$FA$173,78,0)</f>
        <v>0</v>
      </c>
      <c r="K18" s="109"/>
    </row>
    <row r="19" spans="1:13" ht="20.25" x14ac:dyDescent="0.25">
      <c r="A19" s="98"/>
      <c r="B19" s="104">
        <v>2019</v>
      </c>
      <c r="C19" s="105">
        <f>VLOOKUP($E$10,CN!$A$10:$FA$173,110,0)</f>
        <v>0</v>
      </c>
      <c r="D19" s="105">
        <f>VLOOKUP($E$10,CN!$A$10:$FA$173,124,0)</f>
        <v>0</v>
      </c>
      <c r="E19" s="105">
        <f>VLOOKUP($E$10,CN!$A$10:$FA$173,116,0)</f>
        <v>0</v>
      </c>
      <c r="F19" s="105">
        <f>VLOOKUP($E$10,CN!$A$10:$FA$173,127,0)</f>
        <v>0</v>
      </c>
      <c r="G19" s="105">
        <f>VLOOKUP($E$10,CN!$A$10:$FA$173,111,0)</f>
        <v>0</v>
      </c>
      <c r="H19" s="105">
        <f>VLOOKUP($E$10,CN!$A$10:$FA$173,107,0)</f>
        <v>0</v>
      </c>
      <c r="I19" s="105">
        <f>VLOOKUP($E$10,CN!$A$10:$FA$173,108,0)</f>
        <v>0</v>
      </c>
      <c r="J19" s="105">
        <f>VLOOKUP($E$10,CN!$A$10:$FA$173,103,0)</f>
        <v>0</v>
      </c>
      <c r="K19" s="98"/>
      <c r="M19" s="115"/>
    </row>
    <row r="20" spans="1:13" ht="20.25" x14ac:dyDescent="0.25">
      <c r="A20" s="98"/>
      <c r="B20" s="104">
        <v>2020</v>
      </c>
      <c r="C20" s="105">
        <f>VLOOKUP($E$10,CN!$A$10:$FA$173,157,0)</f>
        <v>0</v>
      </c>
      <c r="D20" s="105">
        <f>VLOOKUP($E$10,CN!$A$10:$FA$173,151,0)</f>
        <v>0</v>
      </c>
      <c r="E20" s="105">
        <f>VLOOKUP($E$10,CN!$A$10:$FA$173,137,0)</f>
        <v>0</v>
      </c>
      <c r="F20" s="105">
        <f>VLOOKUP($E$10,CN!$A$10:$FA$173,152,0)</f>
        <v>0</v>
      </c>
      <c r="G20" s="105">
        <f>VLOOKUP($E$10,CN!$A$10:$FA$173,138,0)</f>
        <v>0</v>
      </c>
      <c r="H20" s="105">
        <f>VLOOKUP($E$10,CN!$A$10:$FA$173,148,0)</f>
        <v>0</v>
      </c>
      <c r="I20" s="105">
        <f>VLOOKUP($E$10,CN!$A$10:$FA$173,141,0)</f>
        <v>0</v>
      </c>
      <c r="J20" s="105">
        <f>VLOOKUP($E$10,CN!$A$10:$FA$173,145,0)</f>
        <v>0</v>
      </c>
      <c r="K20" s="98"/>
      <c r="M20" s="115"/>
    </row>
    <row r="21" spans="1:13" ht="20.25" x14ac:dyDescent="0.25">
      <c r="A21" s="98"/>
      <c r="B21" s="104">
        <v>2021</v>
      </c>
      <c r="C21" s="105">
        <f>VLOOKUP($E$10,CN!$A$10:$GI$173,187,0)</f>
        <v>0</v>
      </c>
      <c r="D21" s="105">
        <f>VLOOKUP($E$10,CN!$A$10:$GI$173,175,0)</f>
        <v>0</v>
      </c>
      <c r="E21" s="105">
        <f>VLOOKUP($E$10,CN!$A$10:$GI$173,170,0)</f>
        <v>0</v>
      </c>
      <c r="F21" s="105">
        <f>VLOOKUP($E$10,CN!$A$10:$GI$173,178,0)</f>
        <v>0</v>
      </c>
      <c r="G21" s="105">
        <f>VLOOKUP($E$10,CN!$A$10:$GI$173,166,0)</f>
        <v>0</v>
      </c>
      <c r="H21" s="105">
        <f>VLOOKUP($E$10,CN!$A$10:$GI$173,171,0)</f>
        <v>0</v>
      </c>
      <c r="I21" s="105">
        <f>VLOOKUP($E$10,CN!$A$10:$GI$173,183,0)</f>
        <v>0</v>
      </c>
      <c r="J21" s="105">
        <f>VLOOKUP($E$10,CN!$A$10:$GI$173,167,0)</f>
        <v>0</v>
      </c>
      <c r="K21" s="98"/>
      <c r="M21" s="115"/>
    </row>
    <row r="22" spans="1:13" ht="20.25" x14ac:dyDescent="0.25">
      <c r="A22" s="98"/>
      <c r="B22" s="104">
        <v>2022</v>
      </c>
      <c r="C22" s="105">
        <f>VLOOKUP($E$10,CN!$A$10:$HQ$173,219,0)</f>
        <v>0</v>
      </c>
      <c r="D22" s="105">
        <f>VLOOKUP($E$10,CN!$A$10:$HQ$173,218,0)</f>
        <v>0</v>
      </c>
      <c r="E22" s="105">
        <f>VLOOKUP($E$10,CN!$A$10:$HQ$173,207,0)</f>
        <v>0</v>
      </c>
      <c r="F22" s="105">
        <f>VLOOKUP($E$10,CN!$A$10:$HQ$173,225,0)</f>
        <v>0</v>
      </c>
      <c r="G22" s="105">
        <f>VLOOKUP($E$10,CN!$A$10:$HQ$173,208,0)</f>
        <v>0</v>
      </c>
      <c r="H22" s="105">
        <f>VLOOKUP($E$10,CN!$A$10:$HQ$173,206,0)</f>
        <v>0</v>
      </c>
      <c r="I22" s="105">
        <f>VLOOKUP($E$10,CN!$A$10:$HQ$173,217,0)</f>
        <v>0</v>
      </c>
      <c r="J22" s="105">
        <f>VLOOKUP($E$10,CN!$A$10:$HQ$173,215,0)</f>
        <v>0</v>
      </c>
      <c r="K22" s="98"/>
      <c r="M22" s="115"/>
    </row>
    <row r="23" spans="1:13" ht="20.25" x14ac:dyDescent="0.25">
      <c r="A23" s="98"/>
      <c r="B23" s="104">
        <v>2023</v>
      </c>
      <c r="C23" s="105">
        <f>VLOOKUP($E$10,CN!$A$10:$IY$173,245,0)</f>
        <v>0</v>
      </c>
      <c r="D23" s="105">
        <f>VLOOKUP($E$10,CN!$A$10:$IY$173,242,0)</f>
        <v>0</v>
      </c>
      <c r="E23" s="105">
        <f>VLOOKUP($E$10,CN!$A$10:$IY$173,255,0)</f>
        <v>0</v>
      </c>
      <c r="F23" s="105">
        <f>VLOOKUP($E$10,CN!$A$10:$IY$173,257,0)</f>
        <v>0</v>
      </c>
      <c r="G23" s="105">
        <f>VLOOKUP($E$10,CN!$A$10:$IY$173,247,0)</f>
        <v>0</v>
      </c>
      <c r="H23" s="105">
        <f>VLOOKUP($E$10,CN!$A$10:$IY$173,258,0)</f>
        <v>0</v>
      </c>
      <c r="I23" s="105">
        <f>VLOOKUP($E$10,CN!$A$10:$IY$173,238,0)</f>
        <v>0</v>
      </c>
      <c r="J23" s="105">
        <f>VLOOKUP($E$10,CN!$A$10:$IY$173,256,0)</f>
        <v>0</v>
      </c>
      <c r="K23" s="98"/>
    </row>
    <row r="24" spans="1:13" ht="20.25" x14ac:dyDescent="0.25">
      <c r="A24" s="98"/>
      <c r="B24" s="104">
        <v>2024</v>
      </c>
      <c r="C24" s="105">
        <f>VLOOKUP($E$10,CN!$A$10:$KG$173,284,0)</f>
        <v>0.38</v>
      </c>
      <c r="D24" s="105">
        <f>VLOOKUP($E$10,CN!$A$10:$KG$173,285,0)</f>
        <v>0.28999999999999998</v>
      </c>
      <c r="E24" s="105">
        <f>VLOOKUP($E$10,CN!$A$10:$KG$173,286,0)</f>
        <v>0.42</v>
      </c>
      <c r="F24" s="105">
        <f>VLOOKUP($E$10,CN!$A$10:$KG$173,287,0)</f>
        <v>0.48</v>
      </c>
      <c r="G24" s="105">
        <f>VLOOKUP($E$10,CN!$A$10:$KG$173,288,0)</f>
        <v>0.42</v>
      </c>
      <c r="H24" s="105">
        <f>VLOOKUP($E$10,CN!$A$10:$KG$173,289,0)</f>
        <v>0.4</v>
      </c>
      <c r="I24" s="105">
        <f>VLOOKUP($E$10,CN!$A$10:$KG$173,290,0)</f>
        <v>0.51</v>
      </c>
      <c r="J24" s="105">
        <f>VLOOKUP($E$10,CN!$A$10:$KG$173,291,0)</f>
        <v>0.55000000000000004</v>
      </c>
      <c r="K24" s="98"/>
    </row>
    <row r="25" spans="1:13" ht="20.25" x14ac:dyDescent="0.25">
      <c r="A25" s="98"/>
      <c r="B25" s="104">
        <v>2025</v>
      </c>
      <c r="C25" s="105">
        <f>VLOOKUP($E$10,CN!$A$10:$LO$173,318,0)</f>
        <v>0.28999999999999998</v>
      </c>
      <c r="D25" s="105">
        <f>VLOOKUP($E$10,CN!$A$10:$LO$173,319,0)</f>
        <v>0.57999999999999996</v>
      </c>
      <c r="E25" s="105">
        <f>VLOOKUP($E$10,CN!$A$10:$LO$173,320,0)</f>
        <v>0.57999999999999996</v>
      </c>
      <c r="F25" s="105">
        <f>VLOOKUP($E$10,CN!$A$10:$LO$173,321,0)</f>
        <v>0.52</v>
      </c>
      <c r="G25" s="105">
        <f>VLOOKUP($E$10,CN!$A$10:$LO$173,322,0)</f>
        <v>0.33</v>
      </c>
      <c r="H25" s="105">
        <f>VLOOKUP($E$10,CN!$A$10:$LO$173,323,0)</f>
        <v>0.61</v>
      </c>
      <c r="I25" s="105" t="str">
        <f>VLOOKUP($E$10,CN!$A$10:$LO$173,324,0)</f>
        <v>N.D.</v>
      </c>
      <c r="J25" s="105">
        <f>VLOOKUP($E$10,CN!$A$10:$LO$173,325,0)</f>
        <v>0.59</v>
      </c>
      <c r="K25" s="98"/>
    </row>
    <row r="26" spans="1:13" ht="23.25" x14ac:dyDescent="0.35">
      <c r="A26" s="98"/>
      <c r="B26" s="1280" t="str">
        <f>C13</f>
        <v>Explicación de fenómenos 
(9% de las preguntas)</v>
      </c>
      <c r="C26" s="1280"/>
      <c r="D26" s="1280"/>
      <c r="E26" s="1280"/>
      <c r="F26" s="98"/>
      <c r="G26" s="1280" t="str">
        <f>I13</f>
        <v>Uso comprensivo del conocimiento científico 
(9% de las preguntas)</v>
      </c>
      <c r="H26" s="1280"/>
      <c r="I26" s="1280"/>
      <c r="J26" s="1280"/>
      <c r="K26" s="98"/>
    </row>
    <row r="27" spans="1:13" x14ac:dyDescent="0.25">
      <c r="A27" s="98"/>
      <c r="B27" s="98"/>
      <c r="C27" s="98"/>
      <c r="D27" s="98"/>
      <c r="E27" s="98"/>
      <c r="F27" s="98"/>
      <c r="G27" s="98"/>
      <c r="H27" s="98"/>
      <c r="I27" s="98"/>
      <c r="J27" s="98"/>
      <c r="K27" s="98"/>
    </row>
    <row r="28" spans="1:13" x14ac:dyDescent="0.25">
      <c r="A28" s="98"/>
      <c r="B28" s="98"/>
      <c r="C28" s="98"/>
      <c r="D28" s="98"/>
      <c r="E28" s="98"/>
      <c r="F28" s="98"/>
      <c r="G28" s="98"/>
      <c r="H28" s="98"/>
      <c r="I28" s="98"/>
      <c r="J28" s="98"/>
      <c r="K28" s="98"/>
    </row>
    <row r="29" spans="1:13" ht="15.75" customHeight="1" x14ac:dyDescent="0.25">
      <c r="A29" s="98"/>
      <c r="B29" s="98"/>
      <c r="C29" s="98"/>
      <c r="D29" s="98"/>
      <c r="E29" s="98"/>
      <c r="F29" s="98"/>
      <c r="G29" s="98"/>
      <c r="H29" s="98"/>
      <c r="I29" s="98"/>
      <c r="J29" s="98"/>
      <c r="K29" s="98"/>
    </row>
    <row r="30" spans="1:13" ht="26.25" customHeight="1" x14ac:dyDescent="0.25">
      <c r="A30" s="98"/>
      <c r="B30" s="98"/>
      <c r="C30" s="98"/>
      <c r="D30" s="98"/>
      <c r="E30" s="98"/>
      <c r="F30" s="98"/>
      <c r="G30" s="98"/>
      <c r="H30" s="98"/>
      <c r="I30" s="98"/>
      <c r="J30" s="98"/>
      <c r="K30" s="98"/>
    </row>
    <row r="31" spans="1:13" x14ac:dyDescent="0.25">
      <c r="A31" s="98"/>
      <c r="B31" s="98"/>
      <c r="C31" s="98"/>
      <c r="D31" s="98"/>
      <c r="E31" s="98"/>
      <c r="F31" s="98"/>
      <c r="G31" s="98"/>
      <c r="H31" s="98"/>
      <c r="I31" s="98"/>
      <c r="J31" s="98"/>
      <c r="K31" s="98"/>
    </row>
    <row r="32" spans="1:13" x14ac:dyDescent="0.25">
      <c r="A32" s="98"/>
      <c r="B32" s="98"/>
      <c r="C32" s="98"/>
      <c r="D32" s="98"/>
      <c r="E32" s="98"/>
      <c r="F32" s="98"/>
      <c r="G32" s="98"/>
      <c r="H32" s="98"/>
      <c r="I32" s="98"/>
      <c r="J32" s="98"/>
      <c r="K32" s="98"/>
    </row>
    <row r="33" spans="1:11" x14ac:dyDescent="0.25">
      <c r="A33" s="98"/>
      <c r="B33" s="98"/>
      <c r="C33" s="98"/>
      <c r="D33" s="98"/>
      <c r="E33" s="98"/>
      <c r="F33" s="98"/>
      <c r="G33" s="98"/>
      <c r="H33" s="98"/>
      <c r="I33" s="98"/>
      <c r="J33" s="98"/>
      <c r="K33" s="98"/>
    </row>
    <row r="34" spans="1:11" x14ac:dyDescent="0.25">
      <c r="A34" s="98"/>
      <c r="B34" s="98"/>
      <c r="C34" s="98"/>
      <c r="D34" s="98"/>
      <c r="E34" s="98"/>
      <c r="F34" s="98"/>
      <c r="G34" s="98"/>
      <c r="H34" s="98"/>
      <c r="I34" s="98"/>
      <c r="J34" s="98"/>
      <c r="K34" s="98"/>
    </row>
    <row r="35" spans="1:11" x14ac:dyDescent="0.25">
      <c r="A35" s="98"/>
      <c r="B35" s="98"/>
      <c r="C35" s="98"/>
      <c r="D35" s="98"/>
      <c r="E35" s="98"/>
      <c r="F35" s="98"/>
      <c r="G35" s="98"/>
      <c r="H35" s="98"/>
      <c r="I35" s="98"/>
      <c r="J35" s="98"/>
      <c r="K35" s="98"/>
    </row>
    <row r="36" spans="1:11" x14ac:dyDescent="0.25">
      <c r="A36" s="98"/>
      <c r="B36" s="98"/>
      <c r="C36" s="98"/>
      <c r="D36" s="98"/>
      <c r="E36" s="98"/>
      <c r="F36" s="98"/>
      <c r="G36" s="98"/>
      <c r="H36" s="98"/>
      <c r="I36" s="98"/>
      <c r="J36" s="98"/>
      <c r="K36" s="98"/>
    </row>
    <row r="37" spans="1:11" x14ac:dyDescent="0.25">
      <c r="A37" s="98"/>
      <c r="B37" s="98"/>
      <c r="C37" s="98"/>
      <c r="D37" s="98"/>
      <c r="E37" s="98"/>
      <c r="F37" s="98"/>
      <c r="G37" s="98"/>
      <c r="H37" s="98"/>
      <c r="I37" s="98"/>
      <c r="J37" s="98"/>
      <c r="K37" s="98"/>
    </row>
    <row r="38" spans="1:11" x14ac:dyDescent="0.25">
      <c r="A38" s="98"/>
      <c r="B38" s="98"/>
      <c r="C38" s="98"/>
      <c r="D38" s="98"/>
      <c r="E38" s="98"/>
      <c r="F38" s="98"/>
      <c r="G38" s="98"/>
      <c r="H38" s="98"/>
      <c r="I38" s="98"/>
      <c r="J38" s="98"/>
      <c r="K38" s="98"/>
    </row>
    <row r="39" spans="1:11" x14ac:dyDescent="0.25">
      <c r="A39" s="98"/>
      <c r="B39" s="98"/>
      <c r="C39" s="98"/>
      <c r="D39" s="98"/>
      <c r="E39" s="98"/>
      <c r="F39" s="98"/>
      <c r="G39" s="98"/>
      <c r="H39" s="98"/>
      <c r="I39" s="98"/>
      <c r="J39" s="98"/>
      <c r="K39" s="98"/>
    </row>
    <row r="40" spans="1:11" x14ac:dyDescent="0.25">
      <c r="A40" s="98"/>
      <c r="B40" s="98"/>
      <c r="C40" s="98"/>
      <c r="D40" s="98"/>
      <c r="E40" s="98"/>
      <c r="F40" s="98"/>
      <c r="G40" s="98"/>
      <c r="H40" s="98"/>
      <c r="I40" s="98"/>
      <c r="J40" s="98"/>
      <c r="K40" s="98"/>
    </row>
    <row r="41" spans="1:11" x14ac:dyDescent="0.25">
      <c r="A41" s="98"/>
      <c r="B41" s="98"/>
      <c r="C41" s="98"/>
      <c r="D41" s="98"/>
      <c r="E41" s="98"/>
      <c r="F41" s="98"/>
      <c r="G41" s="98"/>
      <c r="H41" s="98"/>
      <c r="I41" s="98"/>
      <c r="J41" s="98"/>
      <c r="K41" s="98"/>
    </row>
    <row r="42" spans="1:11" x14ac:dyDescent="0.25">
      <c r="A42" s="98"/>
      <c r="B42" s="98"/>
      <c r="C42" s="98"/>
      <c r="D42" s="98"/>
      <c r="E42" s="98"/>
      <c r="F42" s="98"/>
      <c r="G42" s="98"/>
      <c r="H42" s="98"/>
      <c r="I42" s="98"/>
      <c r="J42" s="98"/>
      <c r="K42" s="98"/>
    </row>
    <row r="43" spans="1:11" ht="18" customHeight="1" x14ac:dyDescent="0.25">
      <c r="A43" s="98"/>
      <c r="B43" s="98"/>
      <c r="C43" s="98"/>
      <c r="D43" s="98"/>
      <c r="E43" s="98"/>
      <c r="F43" s="98"/>
      <c r="G43" s="98"/>
      <c r="H43" s="98"/>
      <c r="I43" s="98"/>
      <c r="J43" s="98"/>
      <c r="K43" s="98"/>
    </row>
    <row r="44" spans="1:11" x14ac:dyDescent="0.25">
      <c r="A44" s="98"/>
      <c r="B44" s="98"/>
      <c r="C44" s="98"/>
      <c r="D44" s="98"/>
      <c r="E44" s="98"/>
      <c r="F44" s="98"/>
      <c r="G44" s="98"/>
      <c r="H44" s="98"/>
      <c r="I44" s="98"/>
      <c r="J44" s="98"/>
      <c r="K44" s="98"/>
    </row>
    <row r="45" spans="1:11" x14ac:dyDescent="0.25">
      <c r="A45" s="98"/>
      <c r="B45" s="98"/>
      <c r="C45" s="98"/>
      <c r="D45" s="98"/>
      <c r="E45" s="98"/>
      <c r="F45" s="98"/>
      <c r="G45" s="98"/>
      <c r="H45" s="98"/>
      <c r="I45" s="98"/>
      <c r="J45" s="98"/>
      <c r="K45" s="98"/>
    </row>
    <row r="46" spans="1:11" ht="23.25" x14ac:dyDescent="0.35">
      <c r="A46" s="98"/>
      <c r="B46" s="1280" t="str">
        <f>E13</f>
        <v>Indagar 
(12% de las preguntas)</v>
      </c>
      <c r="C46" s="1280"/>
      <c r="D46" s="1280"/>
      <c r="E46" s="1280"/>
      <c r="F46" s="98"/>
      <c r="G46" s="98"/>
      <c r="H46" s="98"/>
      <c r="I46" s="98"/>
      <c r="J46" s="98"/>
      <c r="K46" s="98"/>
    </row>
    <row r="47" spans="1:11" x14ac:dyDescent="0.25">
      <c r="A47" s="98"/>
      <c r="B47" s="98"/>
      <c r="C47" s="98"/>
      <c r="D47" s="98"/>
      <c r="E47" s="98"/>
      <c r="F47" s="98"/>
      <c r="G47" s="98"/>
      <c r="H47" s="98"/>
      <c r="I47" s="98"/>
      <c r="J47" s="98"/>
      <c r="K47" s="98"/>
    </row>
    <row r="48" spans="1:11" x14ac:dyDescent="0.25">
      <c r="A48" s="98"/>
      <c r="B48" s="98"/>
      <c r="C48" s="98"/>
      <c r="D48" s="98"/>
      <c r="E48" s="98"/>
      <c r="F48" s="98"/>
      <c r="G48" s="98"/>
      <c r="H48" s="98"/>
      <c r="I48" s="98"/>
      <c r="J48" s="98"/>
      <c r="K48" s="98"/>
    </row>
    <row r="49" spans="1:11" x14ac:dyDescent="0.25">
      <c r="A49" s="98"/>
      <c r="B49" s="98"/>
      <c r="C49" s="98"/>
      <c r="D49" s="98"/>
      <c r="E49" s="98"/>
      <c r="F49" s="98"/>
      <c r="G49" s="98"/>
      <c r="H49" s="98"/>
      <c r="I49" s="98"/>
      <c r="J49" s="98"/>
      <c r="K49" s="98"/>
    </row>
    <row r="50" spans="1:11" x14ac:dyDescent="0.25">
      <c r="A50" s="98"/>
      <c r="B50" s="98"/>
      <c r="C50" s="98"/>
      <c r="D50" s="98"/>
      <c r="E50" s="98"/>
      <c r="F50" s="98"/>
      <c r="G50" s="98"/>
      <c r="H50" s="98"/>
      <c r="I50" s="98"/>
      <c r="J50" s="98"/>
      <c r="K50" s="98"/>
    </row>
    <row r="51" spans="1:11" x14ac:dyDescent="0.25">
      <c r="A51" s="98"/>
      <c r="B51" s="98"/>
      <c r="C51" s="98"/>
      <c r="D51" s="98"/>
      <c r="E51" s="98"/>
      <c r="F51" s="98"/>
      <c r="G51" s="98"/>
      <c r="H51" s="98"/>
      <c r="I51" s="98"/>
      <c r="J51" s="98"/>
      <c r="K51" s="98"/>
    </row>
    <row r="52" spans="1:11" ht="26.45" customHeight="1" x14ac:dyDescent="0.25">
      <c r="A52" s="98"/>
      <c r="B52" s="98"/>
      <c r="C52" s="98"/>
      <c r="D52" s="98"/>
      <c r="E52" s="98"/>
      <c r="F52" s="98"/>
      <c r="G52" s="1291" t="s">
        <v>856</v>
      </c>
      <c r="H52" s="1291"/>
      <c r="I52" s="1291"/>
      <c r="J52" s="1291"/>
      <c r="K52" s="98"/>
    </row>
    <row r="53" spans="1:11" ht="15.6" customHeight="1" x14ac:dyDescent="0.25">
      <c r="A53" s="98"/>
      <c r="B53" s="98"/>
      <c r="C53" s="98"/>
      <c r="D53" s="98"/>
      <c r="E53" s="98"/>
      <c r="F53" s="98"/>
      <c r="G53" s="1288" t="s">
        <v>866</v>
      </c>
      <c r="H53" s="1288"/>
      <c r="I53" s="1288"/>
      <c r="J53" s="1288"/>
      <c r="K53" s="98"/>
    </row>
    <row r="54" spans="1:11" ht="15.6" customHeight="1" x14ac:dyDescent="0.25">
      <c r="A54" s="98"/>
      <c r="B54" s="98"/>
      <c r="C54" s="98"/>
      <c r="D54" s="98"/>
      <c r="E54" s="98"/>
      <c r="F54" s="98"/>
      <c r="G54" s="1288"/>
      <c r="H54" s="1288"/>
      <c r="I54" s="1288"/>
      <c r="J54" s="1288"/>
      <c r="K54" s="98"/>
    </row>
    <row r="55" spans="1:11" ht="15.6" customHeight="1" x14ac:dyDescent="0.25">
      <c r="A55" s="98"/>
      <c r="B55" s="98"/>
      <c r="C55" s="98"/>
      <c r="D55" s="98"/>
      <c r="E55" s="98"/>
      <c r="F55" s="98"/>
      <c r="G55" s="1288"/>
      <c r="H55" s="1288"/>
      <c r="I55" s="1288"/>
      <c r="J55" s="1288"/>
      <c r="K55" s="98"/>
    </row>
    <row r="56" spans="1:11" ht="15.6" customHeight="1" x14ac:dyDescent="0.25">
      <c r="A56" s="98"/>
      <c r="B56" s="98"/>
      <c r="C56" s="98"/>
      <c r="D56" s="98"/>
      <c r="E56" s="98"/>
      <c r="F56" s="98"/>
      <c r="G56" s="1288"/>
      <c r="H56" s="1288"/>
      <c r="I56" s="1288"/>
      <c r="J56" s="1288"/>
      <c r="K56" s="98"/>
    </row>
    <row r="57" spans="1:11" ht="15.6" customHeight="1" x14ac:dyDescent="0.25">
      <c r="A57" s="98"/>
      <c r="B57" s="98"/>
      <c r="C57" s="98"/>
      <c r="D57" s="98"/>
      <c r="E57" s="98"/>
      <c r="F57" s="98"/>
      <c r="G57" s="1288"/>
      <c r="H57" s="1288"/>
      <c r="I57" s="1288"/>
      <c r="J57" s="1288"/>
      <c r="K57" s="98"/>
    </row>
    <row r="58" spans="1:11" ht="15.6" customHeight="1" x14ac:dyDescent="0.25">
      <c r="A58" s="98"/>
      <c r="B58" s="98"/>
      <c r="C58" s="98"/>
      <c r="D58" s="98"/>
      <c r="E58" s="98"/>
      <c r="F58" s="98"/>
      <c r="G58" s="1288"/>
      <c r="H58" s="1288"/>
      <c r="I58" s="1288"/>
      <c r="J58" s="1288"/>
      <c r="K58" s="98"/>
    </row>
    <row r="59" spans="1:11" ht="15.6" customHeight="1" x14ac:dyDescent="0.25">
      <c r="A59" s="98"/>
      <c r="B59" s="98"/>
      <c r="C59" s="98"/>
      <c r="D59" s="98"/>
      <c r="E59" s="98"/>
      <c r="F59" s="98"/>
      <c r="G59" s="1288"/>
      <c r="H59" s="1288"/>
      <c r="I59" s="1288"/>
      <c r="J59" s="1288"/>
      <c r="K59" s="98"/>
    </row>
    <row r="60" spans="1:11" ht="15.6" customHeight="1" x14ac:dyDescent="0.25">
      <c r="A60" s="98"/>
      <c r="B60" s="98"/>
      <c r="C60" s="98"/>
      <c r="D60" s="98"/>
      <c r="E60" s="98"/>
      <c r="F60" s="98"/>
      <c r="G60" s="1288"/>
      <c r="H60" s="1288"/>
      <c r="I60" s="1288"/>
      <c r="J60" s="1288"/>
      <c r="K60" s="98"/>
    </row>
    <row r="61" spans="1:11" ht="15.6" customHeight="1" x14ac:dyDescent="0.25">
      <c r="A61" s="98"/>
      <c r="B61" s="98"/>
      <c r="C61" s="98"/>
      <c r="D61" s="98"/>
      <c r="E61" s="98"/>
      <c r="F61" s="98"/>
      <c r="G61" s="1288"/>
      <c r="H61" s="1288"/>
      <c r="I61" s="1288"/>
      <c r="J61" s="1288"/>
      <c r="K61" s="98"/>
    </row>
    <row r="62" spans="1:11" ht="15.6" customHeight="1" x14ac:dyDescent="0.25">
      <c r="A62" s="98"/>
      <c r="B62" s="98"/>
      <c r="C62" s="98"/>
      <c r="D62" s="98"/>
      <c r="E62" s="98"/>
      <c r="F62" s="98"/>
      <c r="G62" s="1288"/>
      <c r="H62" s="1288"/>
      <c r="I62" s="1288"/>
      <c r="J62" s="1288"/>
      <c r="K62" s="98"/>
    </row>
    <row r="63" spans="1:11" ht="15.6" customHeight="1" x14ac:dyDescent="0.25">
      <c r="A63" s="98"/>
      <c r="B63" s="98"/>
      <c r="C63" s="98"/>
      <c r="D63" s="98"/>
      <c r="E63" s="98"/>
      <c r="F63" s="98"/>
      <c r="G63" s="1288"/>
      <c r="H63" s="1288"/>
      <c r="I63" s="1288"/>
      <c r="J63" s="1288"/>
      <c r="K63" s="98"/>
    </row>
    <row r="64" spans="1:11" ht="15.6" customHeight="1" x14ac:dyDescent="0.25">
      <c r="A64" s="98"/>
      <c r="B64" s="98"/>
      <c r="C64" s="98"/>
      <c r="D64" s="98"/>
      <c r="E64" s="98"/>
      <c r="F64" s="98"/>
      <c r="G64" s="1288"/>
      <c r="H64" s="1288"/>
      <c r="I64" s="1288"/>
      <c r="J64" s="1288"/>
      <c r="K64" s="98"/>
    </row>
    <row r="65" spans="1:11" ht="15.6" customHeight="1" x14ac:dyDescent="0.25">
      <c r="A65" s="98"/>
      <c r="B65" s="98"/>
      <c r="C65" s="98"/>
      <c r="D65" s="98"/>
      <c r="E65" s="98"/>
      <c r="F65" s="98"/>
      <c r="G65" s="1288"/>
      <c r="H65" s="1288"/>
      <c r="I65" s="1288"/>
      <c r="J65" s="1288"/>
      <c r="K65" s="98"/>
    </row>
    <row r="66" spans="1:11" ht="15.6" customHeight="1" x14ac:dyDescent="0.25">
      <c r="A66" s="98"/>
      <c r="B66" s="98"/>
      <c r="C66" s="98"/>
      <c r="D66" s="98"/>
      <c r="E66" s="98"/>
      <c r="F66" s="98"/>
      <c r="G66" s="1288"/>
      <c r="H66" s="1288"/>
      <c r="I66" s="1288"/>
      <c r="J66" s="1288"/>
      <c r="K66" s="98"/>
    </row>
    <row r="67" spans="1:11" ht="15.6" customHeight="1" x14ac:dyDescent="0.25">
      <c r="A67" s="98"/>
      <c r="B67" s="98"/>
      <c r="C67" s="98"/>
      <c r="D67" s="98"/>
      <c r="E67" s="98"/>
      <c r="F67" s="98"/>
      <c r="G67" s="1288"/>
      <c r="H67" s="1288"/>
      <c r="I67" s="1288"/>
      <c r="J67" s="1288"/>
      <c r="K67" s="98"/>
    </row>
    <row r="68" spans="1:11" ht="15.6" customHeight="1" x14ac:dyDescent="0.25">
      <c r="A68" s="98"/>
      <c r="B68" s="98"/>
      <c r="C68" s="98"/>
      <c r="D68" s="98"/>
      <c r="E68" s="98"/>
      <c r="F68" s="98"/>
      <c r="G68" s="1288"/>
      <c r="H68" s="1288"/>
      <c r="I68" s="1288"/>
      <c r="J68" s="1288"/>
      <c r="K68" s="98"/>
    </row>
    <row r="69" spans="1:11" ht="15.6" customHeight="1" x14ac:dyDescent="0.25">
      <c r="A69" s="98"/>
      <c r="B69" s="98"/>
      <c r="C69" s="98"/>
      <c r="D69" s="98"/>
      <c r="E69" s="98"/>
      <c r="F69" s="98"/>
      <c r="G69" s="1288"/>
      <c r="H69" s="1288"/>
      <c r="I69" s="1288"/>
      <c r="J69" s="1288"/>
      <c r="K69" s="98"/>
    </row>
    <row r="70" spans="1:11" ht="15.6" customHeight="1" x14ac:dyDescent="0.25">
      <c r="A70" s="98"/>
      <c r="B70" s="98"/>
      <c r="C70" s="98"/>
      <c r="D70" s="98"/>
      <c r="E70" s="98"/>
      <c r="F70" s="98"/>
      <c r="G70" s="1288"/>
      <c r="H70" s="1288"/>
      <c r="I70" s="1288"/>
      <c r="J70" s="1288"/>
      <c r="K70" s="98"/>
    </row>
    <row r="71" spans="1:11" ht="15.6" customHeight="1" x14ac:dyDescent="0.25">
      <c r="A71" s="98"/>
      <c r="B71" s="98"/>
      <c r="C71" s="98"/>
      <c r="D71" s="98"/>
      <c r="E71" s="98"/>
      <c r="F71" s="98"/>
      <c r="G71" s="1288"/>
      <c r="H71" s="1288"/>
      <c r="I71" s="1288"/>
      <c r="J71" s="1288"/>
      <c r="K71" s="98"/>
    </row>
    <row r="72" spans="1:11" ht="15.6" customHeight="1" x14ac:dyDescent="0.25">
      <c r="A72" s="98"/>
      <c r="B72" s="98"/>
      <c r="C72" s="98"/>
      <c r="D72" s="98"/>
      <c r="E72" s="98"/>
      <c r="F72" s="98"/>
      <c r="G72" s="1288"/>
      <c r="H72" s="1288"/>
      <c r="I72" s="1288"/>
      <c r="J72" s="1288"/>
      <c r="K72" s="98"/>
    </row>
    <row r="73" spans="1:11" ht="15.6" customHeight="1" x14ac:dyDescent="0.25">
      <c r="A73" s="98"/>
      <c r="B73" s="98"/>
      <c r="C73" s="98"/>
      <c r="D73" s="98"/>
      <c r="E73" s="98"/>
      <c r="F73" s="98"/>
      <c r="G73" s="1288"/>
      <c r="H73" s="1288"/>
      <c r="I73" s="1288"/>
      <c r="J73" s="1288"/>
      <c r="K73" s="98"/>
    </row>
    <row r="74" spans="1:11" ht="15.6" customHeight="1" x14ac:dyDescent="0.25">
      <c r="A74" s="98"/>
      <c r="B74" s="98"/>
      <c r="C74" s="98"/>
      <c r="D74" s="98"/>
      <c r="E74" s="98"/>
      <c r="F74" s="98"/>
      <c r="G74" s="1288"/>
      <c r="H74" s="1288"/>
      <c r="I74" s="1288"/>
      <c r="J74" s="1288"/>
      <c r="K74" s="98"/>
    </row>
    <row r="75" spans="1:11" ht="15.6" customHeight="1" x14ac:dyDescent="0.25">
      <c r="A75" s="98"/>
      <c r="B75" s="98"/>
      <c r="C75" s="98"/>
      <c r="D75" s="98"/>
      <c r="E75" s="98"/>
      <c r="F75" s="98"/>
      <c r="G75" s="1288"/>
      <c r="H75" s="1288"/>
      <c r="I75" s="1288"/>
      <c r="J75" s="1288"/>
      <c r="K75" s="98"/>
    </row>
    <row r="76" spans="1:11" ht="15.6" customHeight="1" x14ac:dyDescent="0.25">
      <c r="A76" s="98"/>
      <c r="B76" s="98"/>
      <c r="C76" s="98"/>
      <c r="D76" s="98"/>
      <c r="E76" s="98"/>
      <c r="F76" s="98"/>
      <c r="G76" s="1288"/>
      <c r="H76" s="1288"/>
      <c r="I76" s="1288"/>
      <c r="J76" s="1288"/>
      <c r="K76" s="98"/>
    </row>
    <row r="77" spans="1:11" ht="15.6" customHeight="1" x14ac:dyDescent="0.25">
      <c r="A77" s="98"/>
      <c r="B77" s="98"/>
      <c r="C77" s="98"/>
      <c r="D77" s="98"/>
      <c r="E77" s="98"/>
      <c r="F77" s="98"/>
      <c r="G77" s="1288"/>
      <c r="H77" s="1288"/>
      <c r="I77" s="1288"/>
      <c r="J77" s="1288"/>
      <c r="K77" s="98"/>
    </row>
    <row r="78" spans="1:11" ht="15.6" customHeight="1" x14ac:dyDescent="0.25">
      <c r="A78" s="98"/>
      <c r="B78" s="98"/>
      <c r="C78" s="98"/>
      <c r="D78" s="98"/>
      <c r="E78" s="98"/>
      <c r="F78" s="98"/>
      <c r="G78" s="1288"/>
      <c r="H78" s="1288"/>
      <c r="I78" s="1288"/>
      <c r="J78" s="1288"/>
      <c r="K78" s="98"/>
    </row>
    <row r="79" spans="1:11" ht="15.6" customHeight="1" x14ac:dyDescent="0.25">
      <c r="A79" s="98"/>
      <c r="B79" s="98"/>
      <c r="C79" s="98"/>
      <c r="D79" s="98"/>
      <c r="E79" s="98"/>
      <c r="F79" s="98"/>
      <c r="G79" s="1288"/>
      <c r="H79" s="1288"/>
      <c r="I79" s="1288"/>
      <c r="J79" s="1288"/>
      <c r="K79" s="98"/>
    </row>
    <row r="80" spans="1:11" ht="15.6" customHeight="1" x14ac:dyDescent="0.25">
      <c r="A80" s="98"/>
      <c r="B80" s="98"/>
      <c r="C80" s="98"/>
      <c r="D80" s="98"/>
      <c r="E80" s="98"/>
      <c r="F80" s="98"/>
      <c r="G80" s="1288"/>
      <c r="H80" s="1288"/>
      <c r="I80" s="1288"/>
      <c r="J80" s="1288"/>
      <c r="K80" s="98"/>
    </row>
    <row r="81" spans="1:11" ht="15.6" customHeight="1" x14ac:dyDescent="0.25">
      <c r="A81" s="98"/>
      <c r="B81" s="98"/>
      <c r="C81" s="98"/>
      <c r="D81" s="98"/>
      <c r="E81" s="98"/>
      <c r="F81" s="98"/>
      <c r="G81" s="1288"/>
      <c r="H81" s="1288"/>
      <c r="I81" s="1288"/>
      <c r="J81" s="1288"/>
      <c r="K81" s="98"/>
    </row>
    <row r="82" spans="1:11" ht="15.6" customHeight="1" x14ac:dyDescent="0.25">
      <c r="A82" s="98"/>
      <c r="B82" s="98"/>
      <c r="C82" s="98"/>
      <c r="D82" s="98"/>
      <c r="E82" s="98"/>
      <c r="F82" s="98"/>
      <c r="G82" s="1288"/>
      <c r="H82" s="1288"/>
      <c r="I82" s="1288"/>
      <c r="J82" s="1288"/>
      <c r="K82" s="98"/>
    </row>
    <row r="83" spans="1:11" ht="15.6" customHeight="1" x14ac:dyDescent="0.25">
      <c r="A83" s="98"/>
      <c r="B83" s="98"/>
      <c r="C83" s="98"/>
      <c r="D83" s="98"/>
      <c r="E83" s="98"/>
      <c r="F83" s="98"/>
      <c r="G83" s="98"/>
      <c r="H83" s="98"/>
      <c r="I83" s="98"/>
      <c r="J83" s="98"/>
      <c r="K83" s="98"/>
    </row>
    <row r="84" spans="1:11" ht="15.6" customHeight="1" x14ac:dyDescent="0.25">
      <c r="A84" s="98"/>
      <c r="B84" s="98"/>
      <c r="C84" s="98"/>
      <c r="D84" s="98"/>
      <c r="E84" s="98"/>
      <c r="F84" s="98"/>
      <c r="G84" s="98"/>
      <c r="H84" s="98"/>
      <c r="I84" s="98"/>
      <c r="J84" s="98"/>
      <c r="K84" s="98"/>
    </row>
    <row r="85" spans="1:11" ht="15.6" customHeight="1" x14ac:dyDescent="0.25">
      <c r="A85" s="98"/>
      <c r="B85" s="98"/>
      <c r="C85" s="98"/>
      <c r="D85" s="98"/>
      <c r="E85" s="98"/>
      <c r="F85" s="98"/>
      <c r="G85" s="98"/>
      <c r="H85" s="98"/>
      <c r="I85" s="98"/>
      <c r="J85" s="98"/>
      <c r="K85" s="98"/>
    </row>
    <row r="86" spans="1:11" ht="15.6" customHeight="1" x14ac:dyDescent="0.25">
      <c r="A86" s="98"/>
      <c r="B86" s="98"/>
      <c r="C86" s="98"/>
      <c r="D86" s="98"/>
      <c r="E86" s="98"/>
      <c r="F86" s="98"/>
      <c r="G86" s="98"/>
      <c r="H86" s="98"/>
      <c r="I86" s="98"/>
      <c r="J86" s="98"/>
      <c r="K86" s="98"/>
    </row>
    <row r="87" spans="1:11" x14ac:dyDescent="0.25">
      <c r="A87" s="98"/>
      <c r="B87" s="98"/>
      <c r="C87" s="98"/>
      <c r="D87" s="98"/>
      <c r="E87" s="98"/>
      <c r="F87" s="98"/>
      <c r="G87" s="98"/>
      <c r="H87" s="98"/>
      <c r="I87" s="98"/>
      <c r="J87" s="98"/>
      <c r="K87" s="98"/>
    </row>
    <row r="88" spans="1:11" x14ac:dyDescent="0.25">
      <c r="A88" s="98"/>
      <c r="B88" s="98"/>
      <c r="C88" s="98"/>
      <c r="D88" s="98"/>
      <c r="E88" s="98"/>
      <c r="F88" s="98"/>
      <c r="G88" s="98"/>
      <c r="H88" s="98"/>
      <c r="I88" s="98"/>
      <c r="J88" s="98"/>
      <c r="K88" s="98"/>
    </row>
    <row r="89" spans="1:11" x14ac:dyDescent="0.25">
      <c r="A89" s="98"/>
      <c r="B89" s="98"/>
      <c r="C89" s="98"/>
      <c r="D89" s="98"/>
      <c r="E89" s="98"/>
      <c r="F89" s="98"/>
      <c r="G89" s="98"/>
      <c r="H89" s="98"/>
      <c r="I89" s="98"/>
      <c r="J89" s="98"/>
      <c r="K89" s="98"/>
    </row>
    <row r="90" spans="1:11" x14ac:dyDescent="0.25">
      <c r="A90" s="98"/>
      <c r="B90" s="98"/>
      <c r="C90" s="98"/>
      <c r="D90" s="98"/>
      <c r="E90" s="98"/>
      <c r="F90" s="98"/>
      <c r="G90" s="98"/>
      <c r="H90" s="98"/>
      <c r="I90" s="98"/>
      <c r="J90" s="98"/>
      <c r="K90" s="98"/>
    </row>
    <row r="91" spans="1:11" x14ac:dyDescent="0.25">
      <c r="A91" s="98"/>
      <c r="B91" s="1273" t="s">
        <v>809</v>
      </c>
      <c r="C91" s="1273"/>
      <c r="D91" s="1273"/>
      <c r="E91" s="1273"/>
      <c r="F91" s="1273"/>
      <c r="G91" s="1273"/>
      <c r="H91" s="1273"/>
      <c r="I91" s="1273"/>
      <c r="J91" s="1273"/>
      <c r="K91" s="98"/>
    </row>
  </sheetData>
  <mergeCells count="12">
    <mergeCell ref="B91:J91"/>
    <mergeCell ref="B12:J12"/>
    <mergeCell ref="B7:J7"/>
    <mergeCell ref="E10:J10"/>
    <mergeCell ref="C13:D13"/>
    <mergeCell ref="E13:H13"/>
    <mergeCell ref="I13:J13"/>
    <mergeCell ref="B26:E26"/>
    <mergeCell ref="G26:J26"/>
    <mergeCell ref="B46:E46"/>
    <mergeCell ref="G52:J52"/>
    <mergeCell ref="G53:J82"/>
  </mergeCells>
  <conditionalFormatting sqref="C16:J25">
    <cfRule type="cellIs" dxfId="9" priority="1" operator="equal">
      <formula>0</formula>
    </cfRule>
    <cfRule type="cellIs" dxfId="8" priority="2" operator="between">
      <formula>0.4</formula>
      <formula>0.69</formula>
    </cfRule>
    <cfRule type="cellIs" dxfId="7" priority="3" operator="between">
      <formula>0.2</formula>
      <formula>0.39</formula>
    </cfRule>
    <cfRule type="cellIs" dxfId="6" priority="4" operator="between">
      <formula>0.01</formula>
      <formula>0.19</formula>
    </cfRule>
    <cfRule type="cellIs" dxfId="5" priority="5" operator="between">
      <formula>0.7</formula>
      <formula>1</formula>
    </cfRule>
  </conditionalFormatting>
  <pageMargins left="0.39370078740157483" right="0.39370078740157483" top="0.39370078740157483" bottom="0.39370078740157483" header="0.31496062992125984" footer="0.31496062992125984"/>
  <pageSetup paperSize="14" scale="54" fitToHeight="0"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BA64E059-76A7-47F7-94EC-C753D7C6C9C1}">
          <x14:formula1>
            <xm:f>PGLOBAL!$A$10:$A$173</xm:f>
          </x14:formula1>
          <xm:sqref>E10:J10</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3466CD-05FC-436E-AAD0-A9BF1B6060C0}">
  <sheetPr codeName="Hoja17">
    <tabColor rgb="FF00B050"/>
  </sheetPr>
  <dimension ref="A1:I79"/>
  <sheetViews>
    <sheetView workbookViewId="0"/>
  </sheetViews>
  <sheetFormatPr baseColWidth="10" defaultColWidth="12.5703125" defaultRowHeight="15.75" x14ac:dyDescent="0.25"/>
  <cols>
    <col min="1" max="1" width="6" style="99" customWidth="1"/>
    <col min="2" max="3" width="21.28515625" style="99" customWidth="1"/>
    <col min="4" max="5" width="50.85546875" style="99" customWidth="1"/>
    <col min="6" max="6" width="21.42578125" style="99" customWidth="1"/>
    <col min="7" max="7" width="5.85546875" style="99" customWidth="1"/>
    <col min="8" max="16384" width="12.5703125" style="99"/>
  </cols>
  <sheetData>
    <row r="1" spans="1:8" x14ac:dyDescent="0.25">
      <c r="A1" s="98"/>
      <c r="B1" s="98"/>
      <c r="C1" s="98"/>
      <c r="D1" s="98"/>
      <c r="E1" s="98"/>
      <c r="F1" s="98"/>
      <c r="G1" s="98"/>
    </row>
    <row r="2" spans="1:8" x14ac:dyDescent="0.25">
      <c r="A2" s="98"/>
      <c r="B2" s="98"/>
      <c r="C2" s="98"/>
      <c r="D2" s="98"/>
      <c r="E2" s="98"/>
      <c r="F2" s="98"/>
      <c r="G2" s="98"/>
    </row>
    <row r="3" spans="1:8" x14ac:dyDescent="0.25">
      <c r="A3" s="98"/>
      <c r="B3" s="98"/>
      <c r="C3" s="98"/>
      <c r="D3" s="98"/>
      <c r="E3" s="98"/>
      <c r="F3" s="98"/>
      <c r="G3" s="98"/>
    </row>
    <row r="4" spans="1:8" x14ac:dyDescent="0.25">
      <c r="A4" s="98"/>
      <c r="B4" s="98"/>
      <c r="C4" s="98"/>
      <c r="D4" s="98"/>
      <c r="E4" s="98"/>
      <c r="F4" s="98"/>
      <c r="G4" s="98"/>
    </row>
    <row r="5" spans="1:8" x14ac:dyDescent="0.25">
      <c r="A5" s="98"/>
      <c r="B5" s="98"/>
      <c r="C5" s="98"/>
      <c r="D5" s="98"/>
      <c r="E5" s="98"/>
      <c r="F5" s="98"/>
      <c r="G5" s="98"/>
    </row>
    <row r="6" spans="1:8" x14ac:dyDescent="0.25">
      <c r="A6" s="98"/>
      <c r="B6" s="98"/>
      <c r="C6" s="98"/>
      <c r="D6" s="98"/>
      <c r="E6" s="98"/>
      <c r="F6" s="98"/>
      <c r="G6" s="98"/>
    </row>
    <row r="7" spans="1:8" ht="31.9" customHeight="1" x14ac:dyDescent="0.25">
      <c r="A7" s="98"/>
      <c r="B7" s="98"/>
      <c r="C7" s="98"/>
      <c r="D7" s="98"/>
      <c r="E7" s="98"/>
      <c r="F7" s="98"/>
      <c r="G7" s="98"/>
    </row>
    <row r="8" spans="1:8" ht="65.25" customHeight="1" x14ac:dyDescent="0.25">
      <c r="A8" s="98"/>
      <c r="B8" s="1083" t="s">
        <v>751</v>
      </c>
      <c r="C8" s="1083"/>
      <c r="D8" s="1083"/>
      <c r="E8" s="1083"/>
      <c r="F8" s="1083"/>
      <c r="G8" s="236"/>
      <c r="H8" s="237"/>
    </row>
    <row r="9" spans="1:8" x14ac:dyDescent="0.25">
      <c r="A9" s="98"/>
      <c r="B9" s="98"/>
      <c r="C9" s="98"/>
      <c r="D9" s="98"/>
      <c r="E9" s="98"/>
      <c r="F9" s="98"/>
      <c r="G9" s="98"/>
    </row>
    <row r="10" spans="1:8" x14ac:dyDescent="0.25">
      <c r="A10" s="98"/>
      <c r="B10" s="98"/>
      <c r="C10" s="98"/>
      <c r="D10" s="98"/>
      <c r="E10" s="98"/>
      <c r="F10" s="98"/>
      <c r="G10" s="98"/>
    </row>
    <row r="11" spans="1:8" ht="30" customHeight="1" x14ac:dyDescent="0.3">
      <c r="A11" s="98"/>
      <c r="B11" s="1296" t="s">
        <v>743</v>
      </c>
      <c r="C11" s="1296"/>
      <c r="D11" s="1086" t="s">
        <v>950</v>
      </c>
      <c r="E11" s="1086"/>
      <c r="F11" s="98"/>
      <c r="G11" s="98"/>
    </row>
    <row r="12" spans="1:8" ht="18.75" x14ac:dyDescent="0.3">
      <c r="A12" s="98"/>
      <c r="B12" s="102"/>
      <c r="C12" s="102"/>
      <c r="D12" s="98"/>
      <c r="E12" s="98"/>
      <c r="F12" s="98"/>
      <c r="G12" s="98"/>
    </row>
    <row r="13" spans="1:8" ht="58.5" customHeight="1" x14ac:dyDescent="0.25">
      <c r="A13" s="98"/>
      <c r="B13" s="98"/>
      <c r="C13" s="1295" t="s">
        <v>936</v>
      </c>
      <c r="D13" s="1295"/>
      <c r="E13" s="1295"/>
      <c r="F13" s="98"/>
      <c r="G13" s="98"/>
    </row>
    <row r="14" spans="1:8" ht="64.150000000000006" customHeight="1" x14ac:dyDescent="0.25">
      <c r="A14" s="98"/>
      <c r="B14" s="98"/>
      <c r="C14" s="383" t="s">
        <v>739</v>
      </c>
      <c r="D14" s="417" t="s">
        <v>934</v>
      </c>
      <c r="E14" s="393" t="s">
        <v>935</v>
      </c>
      <c r="F14" s="98"/>
      <c r="G14" s="98"/>
    </row>
    <row r="15" spans="1:8" ht="93.95" customHeight="1" x14ac:dyDescent="0.35">
      <c r="A15" s="98"/>
      <c r="B15" s="98"/>
      <c r="C15" s="383" t="s">
        <v>752</v>
      </c>
      <c r="D15" s="418" t="s">
        <v>274</v>
      </c>
      <c r="E15" s="418" t="s">
        <v>270</v>
      </c>
      <c r="F15" s="98"/>
      <c r="G15" s="98"/>
      <c r="H15" s="114"/>
    </row>
    <row r="16" spans="1:8" ht="116.45" customHeight="1" x14ac:dyDescent="0.35">
      <c r="A16" s="98"/>
      <c r="B16" s="98"/>
      <c r="C16" s="419" t="s">
        <v>912</v>
      </c>
      <c r="D16" s="416" t="s">
        <v>937</v>
      </c>
      <c r="E16" s="420" t="s">
        <v>911</v>
      </c>
      <c r="F16" s="98"/>
      <c r="G16" s="98"/>
      <c r="H16" s="114"/>
    </row>
    <row r="17" spans="1:9" ht="20.25" x14ac:dyDescent="0.25">
      <c r="A17" s="98"/>
      <c r="B17" s="98"/>
      <c r="C17" s="104">
        <v>2016</v>
      </c>
      <c r="D17" s="105" t="s">
        <v>288</v>
      </c>
      <c r="E17" s="413">
        <f>VLOOKUP($D$11,CN!$A$10:$FA$173,33,0)</f>
        <v>0</v>
      </c>
      <c r="F17" s="98"/>
      <c r="G17" s="98"/>
    </row>
    <row r="18" spans="1:9" ht="20.25" x14ac:dyDescent="0.25">
      <c r="A18" s="98"/>
      <c r="B18" s="98"/>
      <c r="C18" s="104">
        <v>2017</v>
      </c>
      <c r="D18" s="105">
        <f>VLOOKUP($D$11,CN!$A$10:$FA$173,64,0)</f>
        <v>0</v>
      </c>
      <c r="E18" s="105">
        <f>VLOOKUP($D$11,CN!$A$10:$FA$173,63,0)</f>
        <v>0</v>
      </c>
      <c r="F18" s="98"/>
      <c r="G18" s="98"/>
    </row>
    <row r="19" spans="1:9" ht="20.25" x14ac:dyDescent="0.25">
      <c r="A19" s="98"/>
      <c r="B19" s="98"/>
      <c r="C19" s="104">
        <v>2018</v>
      </c>
      <c r="D19" s="105">
        <f>VLOOKUP($D$11,CN!$A$10:$FA$173,75,0)</f>
        <v>0</v>
      </c>
      <c r="E19" s="105">
        <f>VLOOKUP($D$11,CN!$A$10:$FA$173,82,0)</f>
        <v>0</v>
      </c>
      <c r="F19" s="98"/>
      <c r="G19" s="98"/>
    </row>
    <row r="20" spans="1:9" ht="20.25" x14ac:dyDescent="0.25">
      <c r="A20" s="98"/>
      <c r="B20" s="98"/>
      <c r="C20" s="104">
        <v>2019</v>
      </c>
      <c r="D20" s="105">
        <f>VLOOKUP($D$11,CN!$A$10:$FA$173,126,0)</f>
        <v>0</v>
      </c>
      <c r="E20" s="105">
        <f>VLOOKUP($D$11,CN!$A$10:$FA$173,120,0)</f>
        <v>0</v>
      </c>
      <c r="F20" s="98"/>
      <c r="G20" s="109"/>
    </row>
    <row r="21" spans="1:9" ht="21" customHeight="1" x14ac:dyDescent="0.25">
      <c r="A21" s="98"/>
      <c r="B21" s="98"/>
      <c r="C21" s="104">
        <v>2020</v>
      </c>
      <c r="D21" s="105">
        <f>VLOOKUP($D$11,CN!$A$10:$FA$173,139,0)</f>
        <v>0</v>
      </c>
      <c r="E21" s="105">
        <f>VLOOKUP($D$11,CN!$A$10:$FA$173,153,0)</f>
        <v>0</v>
      </c>
      <c r="F21" s="98"/>
      <c r="G21" s="98"/>
      <c r="I21" s="115"/>
    </row>
    <row r="22" spans="1:9" ht="21" customHeight="1" x14ac:dyDescent="0.25">
      <c r="A22" s="98"/>
      <c r="B22" s="98"/>
      <c r="C22" s="104">
        <v>2021</v>
      </c>
      <c r="D22" s="105">
        <f>VLOOKUP($D$11,CN!$A$10:$GI$173,176,0)</f>
        <v>0</v>
      </c>
      <c r="E22" s="105">
        <f>VLOOKUP($D$11,CN!$A$10:$GI$173,179,0)</f>
        <v>0</v>
      </c>
      <c r="F22" s="98"/>
      <c r="G22" s="98"/>
      <c r="I22" s="115"/>
    </row>
    <row r="23" spans="1:9" ht="21" customHeight="1" x14ac:dyDescent="0.25">
      <c r="A23" s="98"/>
      <c r="B23" s="98"/>
      <c r="C23" s="104">
        <v>2022</v>
      </c>
      <c r="D23" s="105">
        <f>VLOOKUP($D$11,CN!$A$10:$HQ$173,220,0)</f>
        <v>0</v>
      </c>
      <c r="E23" s="105">
        <f>VLOOKUP($D$11,CN!$A$10:$HQ$173,222,0)</f>
        <v>0</v>
      </c>
      <c r="F23" s="98"/>
      <c r="G23" s="98"/>
      <c r="I23" s="115"/>
    </row>
    <row r="24" spans="1:9" ht="21" customHeight="1" x14ac:dyDescent="0.25">
      <c r="A24" s="98"/>
      <c r="B24" s="98"/>
      <c r="C24" s="104">
        <v>2023</v>
      </c>
      <c r="D24" s="105">
        <f>VLOOKUP($D$11,CN!$A$10:$IY$173,234,0)</f>
        <v>0</v>
      </c>
      <c r="E24" s="105">
        <f>VLOOKUP($D$11,CN!$A$10:$IY$173,239,0)</f>
        <v>0</v>
      </c>
      <c r="F24" s="98"/>
      <c r="G24" s="98"/>
      <c r="I24" s="115"/>
    </row>
    <row r="25" spans="1:9" ht="21" customHeight="1" x14ac:dyDescent="0.25">
      <c r="A25" s="98"/>
      <c r="B25" s="98"/>
      <c r="C25" s="104">
        <v>2024</v>
      </c>
      <c r="D25" s="105">
        <f>VLOOKUP($D$11,CN!$A$10:$KG$173,292,0)</f>
        <v>0.56000000000000005</v>
      </c>
      <c r="E25" s="105">
        <f>VLOOKUP($D$11,CN!$A$10:$KG$173,293,0)</f>
        <v>0.38</v>
      </c>
      <c r="F25" s="98"/>
      <c r="G25" s="98"/>
      <c r="I25" s="115"/>
    </row>
    <row r="26" spans="1:9" ht="21" customHeight="1" x14ac:dyDescent="0.25">
      <c r="A26" s="98"/>
      <c r="B26" s="98"/>
      <c r="C26" s="104">
        <v>2025</v>
      </c>
      <c r="D26" s="105">
        <f>VLOOKUP($D$11,CN!$A$10:$LO$173,326,0)</f>
        <v>0.72</v>
      </c>
      <c r="E26" s="105">
        <f>VLOOKUP($D$11,CN!$A$10:$LO$173,327,0)</f>
        <v>0.48</v>
      </c>
      <c r="F26" s="98"/>
      <c r="G26" s="98"/>
      <c r="I26" s="115"/>
    </row>
    <row r="27" spans="1:9" ht="21" customHeight="1" x14ac:dyDescent="0.25">
      <c r="A27" s="98"/>
      <c r="B27" s="98"/>
      <c r="C27" s="1293" t="str">
        <f>D14</f>
        <v>Uso comprensivo del conocimiento científico 
(3% de las preguntas)</v>
      </c>
      <c r="D27" s="1293"/>
      <c r="E27" s="1293"/>
      <c r="F27" s="98"/>
      <c r="G27" s="98"/>
      <c r="I27" s="115"/>
    </row>
    <row r="28" spans="1:9" ht="21" customHeight="1" x14ac:dyDescent="0.25">
      <c r="A28" s="98"/>
      <c r="B28" s="98"/>
      <c r="C28" s="98"/>
      <c r="D28" s="98"/>
      <c r="E28" s="98"/>
      <c r="F28" s="98"/>
      <c r="G28" s="98"/>
      <c r="I28" s="115"/>
    </row>
    <row r="29" spans="1:9" ht="21" customHeight="1" x14ac:dyDescent="0.25">
      <c r="A29" s="98"/>
      <c r="B29" s="98"/>
      <c r="C29" s="98"/>
      <c r="D29" s="98"/>
      <c r="E29" s="98"/>
      <c r="F29" s="98"/>
      <c r="G29" s="98"/>
      <c r="I29" s="115"/>
    </row>
    <row r="30" spans="1:9" ht="21" customHeight="1" x14ac:dyDescent="0.25">
      <c r="A30" s="98"/>
      <c r="B30" s="98"/>
      <c r="C30" s="98"/>
      <c r="D30" s="98"/>
      <c r="E30" s="98"/>
      <c r="F30" s="98"/>
      <c r="G30" s="98"/>
      <c r="I30" s="115"/>
    </row>
    <row r="31" spans="1:9" ht="21" customHeight="1" x14ac:dyDescent="0.25">
      <c r="A31" s="98"/>
      <c r="B31" s="98"/>
      <c r="C31" s="98"/>
      <c r="D31" s="98"/>
      <c r="E31" s="98"/>
      <c r="F31" s="98"/>
      <c r="G31" s="98"/>
      <c r="I31" s="115"/>
    </row>
    <row r="32" spans="1:9" ht="21" customHeight="1" x14ac:dyDescent="0.25">
      <c r="A32" s="98"/>
      <c r="B32" s="98"/>
      <c r="C32" s="98"/>
      <c r="D32" s="98"/>
      <c r="E32" s="98"/>
      <c r="F32" s="98"/>
      <c r="G32" s="98"/>
      <c r="I32" s="115"/>
    </row>
    <row r="33" spans="1:9" ht="21" customHeight="1" x14ac:dyDescent="0.25">
      <c r="A33" s="98"/>
      <c r="B33" s="98"/>
      <c r="C33" s="98"/>
      <c r="D33" s="98"/>
      <c r="E33" s="98"/>
      <c r="F33" s="98"/>
      <c r="G33" s="98"/>
      <c r="I33" s="115"/>
    </row>
    <row r="34" spans="1:9" ht="21" customHeight="1" x14ac:dyDescent="0.25">
      <c r="A34" s="98"/>
      <c r="B34" s="98"/>
      <c r="C34" s="98"/>
      <c r="D34" s="98"/>
      <c r="E34" s="98"/>
      <c r="F34" s="98"/>
      <c r="G34" s="98"/>
      <c r="I34" s="115"/>
    </row>
    <row r="35" spans="1:9" ht="21" customHeight="1" x14ac:dyDescent="0.25">
      <c r="A35" s="98"/>
      <c r="B35" s="98"/>
      <c r="C35" s="98"/>
      <c r="D35" s="98"/>
      <c r="E35" s="98"/>
      <c r="F35" s="98"/>
      <c r="G35" s="98"/>
      <c r="I35" s="115"/>
    </row>
    <row r="36" spans="1:9" ht="21" customHeight="1" x14ac:dyDescent="0.25">
      <c r="A36" s="98"/>
      <c r="B36" s="98"/>
      <c r="C36" s="98"/>
      <c r="D36" s="98"/>
      <c r="E36" s="98"/>
      <c r="F36" s="98"/>
      <c r="G36" s="98"/>
      <c r="I36" s="115"/>
    </row>
    <row r="37" spans="1:9" ht="21" customHeight="1" x14ac:dyDescent="0.25">
      <c r="A37" s="98"/>
      <c r="B37" s="98"/>
      <c r="C37" s="98"/>
      <c r="D37" s="98"/>
      <c r="E37" s="98"/>
      <c r="F37" s="98"/>
      <c r="G37" s="98"/>
      <c r="I37" s="115"/>
    </row>
    <row r="38" spans="1:9" ht="21" customHeight="1" x14ac:dyDescent="0.25">
      <c r="A38" s="98"/>
      <c r="B38" s="98"/>
      <c r="C38" s="98"/>
      <c r="D38" s="98"/>
      <c r="E38" s="98"/>
      <c r="F38" s="98"/>
      <c r="G38" s="98"/>
      <c r="I38" s="115"/>
    </row>
    <row r="39" spans="1:9" ht="21" customHeight="1" x14ac:dyDescent="0.25">
      <c r="A39" s="98"/>
      <c r="B39" s="98"/>
      <c r="C39" s="98"/>
      <c r="D39" s="98"/>
      <c r="E39" s="98"/>
      <c r="F39" s="98"/>
      <c r="G39" s="98"/>
      <c r="I39" s="115"/>
    </row>
    <row r="40" spans="1:9" ht="21" customHeight="1" x14ac:dyDescent="0.25">
      <c r="A40" s="98"/>
      <c r="B40" s="98"/>
      <c r="C40" s="98"/>
      <c r="D40" s="98"/>
      <c r="E40" s="98"/>
      <c r="F40" s="98"/>
      <c r="G40" s="98"/>
      <c r="I40" s="115"/>
    </row>
    <row r="41" spans="1:9" ht="21" customHeight="1" x14ac:dyDescent="0.25">
      <c r="A41" s="98"/>
      <c r="B41" s="98"/>
      <c r="C41" s="98"/>
      <c r="D41" s="98"/>
      <c r="E41" s="98"/>
      <c r="F41" s="98"/>
      <c r="G41" s="98"/>
      <c r="I41" s="115"/>
    </row>
    <row r="42" spans="1:9" ht="21" customHeight="1" x14ac:dyDescent="0.25">
      <c r="A42" s="98"/>
      <c r="B42" s="98"/>
      <c r="C42" s="98"/>
      <c r="D42" s="98"/>
      <c r="E42" s="98"/>
      <c r="F42" s="98"/>
      <c r="G42" s="98"/>
      <c r="I42" s="115"/>
    </row>
    <row r="43" spans="1:9" ht="23.25" x14ac:dyDescent="0.35">
      <c r="A43" s="98"/>
      <c r="B43" s="98"/>
      <c r="C43" s="1280" t="str">
        <f>E14</f>
        <v>Explicación de fenómenos
(3% de las preguntas)</v>
      </c>
      <c r="D43" s="1280"/>
      <c r="E43" s="1280"/>
      <c r="F43" s="98"/>
      <c r="G43" s="98"/>
    </row>
    <row r="44" spans="1:9" ht="15.6" customHeight="1" x14ac:dyDescent="0.25">
      <c r="A44" s="98"/>
      <c r="B44" s="98"/>
      <c r="C44" s="98"/>
      <c r="D44" s="98"/>
      <c r="E44" s="98"/>
      <c r="F44" s="98"/>
      <c r="G44" s="98"/>
    </row>
    <row r="45" spans="1:9" ht="15.6" customHeight="1" x14ac:dyDescent="0.25">
      <c r="A45" s="98"/>
      <c r="B45" s="98"/>
      <c r="C45" s="98"/>
      <c r="D45" s="98"/>
      <c r="E45" s="98"/>
      <c r="F45" s="98"/>
      <c r="G45" s="98"/>
    </row>
    <row r="46" spans="1:9" ht="15.6" customHeight="1" x14ac:dyDescent="0.25">
      <c r="A46" s="98"/>
      <c r="B46" s="98"/>
      <c r="C46" s="98"/>
      <c r="D46" s="98"/>
      <c r="E46" s="98"/>
      <c r="F46" s="98"/>
      <c r="G46" s="98"/>
    </row>
    <row r="47" spans="1:9" ht="15.6" customHeight="1" x14ac:dyDescent="0.25">
      <c r="A47" s="98"/>
      <c r="B47" s="98"/>
      <c r="C47" s="98"/>
      <c r="D47" s="98"/>
      <c r="E47" s="98"/>
      <c r="F47" s="98"/>
      <c r="G47" s="98"/>
    </row>
    <row r="48" spans="1:9" ht="15.6" customHeight="1" x14ac:dyDescent="0.25">
      <c r="A48" s="98"/>
      <c r="B48" s="98"/>
      <c r="C48" s="98"/>
      <c r="D48" s="98"/>
      <c r="E48" s="98"/>
      <c r="F48" s="98"/>
      <c r="G48" s="98"/>
    </row>
    <row r="49" spans="1:7" ht="15.6" customHeight="1" x14ac:dyDescent="0.25">
      <c r="A49" s="98"/>
      <c r="B49" s="98"/>
      <c r="C49" s="98"/>
      <c r="D49" s="98"/>
      <c r="E49" s="98"/>
      <c r="F49" s="98"/>
      <c r="G49" s="98"/>
    </row>
    <row r="50" spans="1:7" ht="15.6" customHeight="1" x14ac:dyDescent="0.25">
      <c r="A50" s="98"/>
      <c r="B50" s="98"/>
      <c r="C50" s="98"/>
      <c r="D50" s="98"/>
      <c r="E50" s="98"/>
      <c r="F50" s="98"/>
      <c r="G50" s="98"/>
    </row>
    <row r="51" spans="1:7" ht="15.6" customHeight="1" x14ac:dyDescent="0.25">
      <c r="A51" s="98"/>
      <c r="B51" s="98"/>
      <c r="C51" s="98"/>
      <c r="D51" s="98"/>
      <c r="E51" s="98"/>
      <c r="F51" s="98"/>
      <c r="G51" s="98"/>
    </row>
    <row r="52" spans="1:7" ht="15.6" customHeight="1" x14ac:dyDescent="0.25">
      <c r="A52" s="98"/>
      <c r="B52" s="98"/>
      <c r="C52" s="98"/>
      <c r="D52" s="98"/>
      <c r="E52" s="98"/>
      <c r="F52" s="98"/>
      <c r="G52" s="98"/>
    </row>
    <row r="53" spans="1:7" ht="15.6" customHeight="1" x14ac:dyDescent="0.25">
      <c r="A53" s="98"/>
      <c r="B53" s="98"/>
      <c r="C53" s="98"/>
      <c r="D53" s="98"/>
      <c r="E53" s="98"/>
      <c r="F53" s="98"/>
      <c r="G53" s="98"/>
    </row>
    <row r="54" spans="1:7" ht="15.75" customHeight="1" x14ac:dyDescent="0.25">
      <c r="A54" s="98"/>
      <c r="B54" s="98"/>
      <c r="C54" s="98"/>
      <c r="D54" s="98"/>
      <c r="E54" s="98"/>
      <c r="F54" s="98"/>
      <c r="G54" s="98"/>
    </row>
    <row r="55" spans="1:7" ht="26.25" customHeight="1" x14ac:dyDescent="0.25">
      <c r="A55" s="98"/>
      <c r="B55" s="98"/>
      <c r="C55" s="98"/>
      <c r="D55" s="98"/>
      <c r="E55" s="98"/>
      <c r="F55" s="98"/>
      <c r="G55" s="98"/>
    </row>
    <row r="56" spans="1:7" ht="15.6" customHeight="1" x14ac:dyDescent="0.25">
      <c r="A56" s="98"/>
      <c r="B56" s="98"/>
      <c r="C56" s="98"/>
      <c r="D56" s="98"/>
      <c r="E56" s="98"/>
      <c r="F56" s="98"/>
      <c r="G56" s="98"/>
    </row>
    <row r="57" spans="1:7" ht="15.6" customHeight="1" x14ac:dyDescent="0.25">
      <c r="A57" s="98"/>
      <c r="B57" s="98"/>
      <c r="C57" s="98"/>
      <c r="D57" s="98"/>
      <c r="E57" s="98"/>
      <c r="F57" s="98"/>
      <c r="G57" s="98"/>
    </row>
    <row r="58" spans="1:7" ht="15.6" customHeight="1" x14ac:dyDescent="0.25">
      <c r="A58" s="98"/>
      <c r="B58" s="98"/>
      <c r="C58" s="98"/>
      <c r="D58" s="98"/>
      <c r="E58" s="98"/>
      <c r="F58" s="98"/>
      <c r="G58" s="98"/>
    </row>
    <row r="59" spans="1:7" ht="15.6" customHeight="1" x14ac:dyDescent="0.25">
      <c r="A59" s="98"/>
      <c r="B59" s="98"/>
      <c r="C59" s="98"/>
      <c r="D59" s="98"/>
      <c r="E59" s="98"/>
      <c r="F59" s="98"/>
      <c r="G59" s="98"/>
    </row>
    <row r="60" spans="1:7" ht="15.6" customHeight="1" x14ac:dyDescent="0.25">
      <c r="A60" s="98"/>
      <c r="B60" s="98"/>
      <c r="C60" s="98"/>
      <c r="D60" s="98"/>
      <c r="E60" s="98"/>
      <c r="F60" s="98"/>
      <c r="G60" s="98"/>
    </row>
    <row r="61" spans="1:7" ht="15.6" customHeight="1" x14ac:dyDescent="0.25">
      <c r="A61" s="98"/>
      <c r="B61" s="98"/>
      <c r="C61" s="98"/>
      <c r="D61" s="98"/>
      <c r="E61" s="98"/>
      <c r="F61" s="98"/>
      <c r="G61" s="98"/>
    </row>
    <row r="62" spans="1:7" ht="15.6" customHeight="1" x14ac:dyDescent="0.25">
      <c r="A62" s="98"/>
      <c r="B62" s="98"/>
      <c r="C62" s="98"/>
      <c r="D62" s="98"/>
      <c r="E62" s="98"/>
      <c r="F62" s="98"/>
      <c r="G62" s="98"/>
    </row>
    <row r="63" spans="1:7" x14ac:dyDescent="0.25">
      <c r="A63" s="98"/>
      <c r="B63" s="98"/>
      <c r="C63" s="98"/>
      <c r="D63" s="98"/>
      <c r="E63" s="98"/>
      <c r="F63" s="98"/>
      <c r="G63" s="98"/>
    </row>
    <row r="64" spans="1:7" x14ac:dyDescent="0.25">
      <c r="A64" s="98"/>
      <c r="B64" s="98"/>
      <c r="C64" s="98"/>
      <c r="D64" s="98"/>
      <c r="E64" s="98"/>
      <c r="F64" s="98"/>
      <c r="G64" s="98"/>
    </row>
    <row r="65" spans="1:7" ht="18" x14ac:dyDescent="0.25">
      <c r="A65" s="98"/>
      <c r="B65" s="1292" t="s">
        <v>856</v>
      </c>
      <c r="C65" s="1292"/>
      <c r="D65" s="1292"/>
      <c r="E65" s="1292"/>
      <c r="F65" s="1292"/>
      <c r="G65" s="98"/>
    </row>
    <row r="66" spans="1:7" ht="409.6" customHeight="1" x14ac:dyDescent="0.25">
      <c r="A66" s="98"/>
      <c r="B66" s="1294" t="s">
        <v>866</v>
      </c>
      <c r="C66" s="1294"/>
      <c r="D66" s="1294"/>
      <c r="E66" s="1294"/>
      <c r="F66" s="1294"/>
      <c r="G66" s="98"/>
    </row>
    <row r="67" spans="1:7" ht="15.6" customHeight="1" x14ac:dyDescent="0.25">
      <c r="A67" s="98"/>
      <c r="B67" s="1294"/>
      <c r="C67" s="1294"/>
      <c r="D67" s="1294"/>
      <c r="E67" s="1294"/>
      <c r="F67" s="1294"/>
      <c r="G67" s="98"/>
    </row>
    <row r="68" spans="1:7" ht="15.6" customHeight="1" x14ac:dyDescent="0.25">
      <c r="A68" s="98"/>
      <c r="B68" s="1294"/>
      <c r="C68" s="1294"/>
      <c r="D68" s="1294"/>
      <c r="E68" s="1294"/>
      <c r="F68" s="1294"/>
      <c r="G68" s="98"/>
    </row>
    <row r="69" spans="1:7" ht="15.6" customHeight="1" x14ac:dyDescent="0.25">
      <c r="A69" s="98"/>
      <c r="B69" s="1294"/>
      <c r="C69" s="1294"/>
      <c r="D69" s="1294"/>
      <c r="E69" s="1294"/>
      <c r="F69" s="1294"/>
      <c r="G69" s="98"/>
    </row>
    <row r="70" spans="1:7" ht="15.6" customHeight="1" x14ac:dyDescent="0.25">
      <c r="A70" s="98"/>
      <c r="B70" s="1294"/>
      <c r="C70" s="1294"/>
      <c r="D70" s="1294"/>
      <c r="E70" s="1294"/>
      <c r="F70" s="1294"/>
      <c r="G70" s="98"/>
    </row>
    <row r="71" spans="1:7" ht="15.6" customHeight="1" x14ac:dyDescent="0.25">
      <c r="A71" s="98"/>
      <c r="B71" s="1294"/>
      <c r="C71" s="1294"/>
      <c r="D71" s="1294"/>
      <c r="E71" s="1294"/>
      <c r="F71" s="1294"/>
      <c r="G71" s="98"/>
    </row>
    <row r="72" spans="1:7" x14ac:dyDescent="0.25">
      <c r="A72" s="98"/>
      <c r="B72" s="1294"/>
      <c r="C72" s="1294"/>
      <c r="D72" s="1294"/>
      <c r="E72" s="1294"/>
      <c r="F72" s="1294"/>
      <c r="G72" s="98"/>
    </row>
    <row r="73" spans="1:7" x14ac:dyDescent="0.25">
      <c r="A73" s="98"/>
      <c r="B73" s="98"/>
      <c r="C73" s="98"/>
      <c r="D73" s="98"/>
      <c r="E73" s="98"/>
      <c r="F73" s="98"/>
      <c r="G73" s="98"/>
    </row>
    <row r="74" spans="1:7" x14ac:dyDescent="0.25">
      <c r="A74" s="98"/>
      <c r="B74" s="98"/>
      <c r="C74" s="98"/>
      <c r="D74" s="98"/>
      <c r="E74" s="98"/>
      <c r="F74" s="98"/>
      <c r="G74" s="98"/>
    </row>
    <row r="75" spans="1:7" x14ac:dyDescent="0.25">
      <c r="A75" s="98"/>
      <c r="B75" s="98"/>
      <c r="C75" s="98"/>
      <c r="D75" s="98"/>
      <c r="E75" s="98"/>
      <c r="F75" s="98"/>
      <c r="G75" s="98"/>
    </row>
    <row r="76" spans="1:7" x14ac:dyDescent="0.25">
      <c r="A76" s="98"/>
      <c r="B76" s="98"/>
      <c r="C76" s="98"/>
      <c r="D76" s="98"/>
      <c r="E76" s="98"/>
      <c r="F76" s="98"/>
      <c r="G76" s="98"/>
    </row>
    <row r="77" spans="1:7" x14ac:dyDescent="0.25">
      <c r="A77" s="98"/>
      <c r="B77" s="98"/>
      <c r="C77" s="98"/>
      <c r="D77" s="98"/>
      <c r="E77" s="98"/>
      <c r="F77" s="98"/>
      <c r="G77" s="98"/>
    </row>
    <row r="78" spans="1:7" x14ac:dyDescent="0.25">
      <c r="A78" s="98"/>
      <c r="B78" s="98"/>
      <c r="C78" s="98"/>
      <c r="D78" s="98"/>
      <c r="E78" s="98"/>
      <c r="F78" s="98"/>
      <c r="G78" s="98"/>
    </row>
    <row r="79" spans="1:7" x14ac:dyDescent="0.25">
      <c r="A79" s="98"/>
      <c r="B79" s="234" t="s">
        <v>809</v>
      </c>
      <c r="C79" s="98"/>
      <c r="D79" s="98"/>
      <c r="E79" s="98"/>
      <c r="F79" s="98"/>
      <c r="G79" s="98"/>
    </row>
  </sheetData>
  <mergeCells count="8">
    <mergeCell ref="B65:F65"/>
    <mergeCell ref="C27:E27"/>
    <mergeCell ref="C43:E43"/>
    <mergeCell ref="B66:F72"/>
    <mergeCell ref="B8:F8"/>
    <mergeCell ref="C13:E13"/>
    <mergeCell ref="B11:C11"/>
    <mergeCell ref="D11:E11"/>
  </mergeCells>
  <conditionalFormatting sqref="D17:E26">
    <cfRule type="cellIs" dxfId="4" priority="1" operator="equal">
      <formula>0</formula>
    </cfRule>
    <cfRule type="cellIs" dxfId="3" priority="2" operator="between">
      <formula>0.4</formula>
      <formula>0.69</formula>
    </cfRule>
    <cfRule type="cellIs" dxfId="2" priority="3" operator="between">
      <formula>0.2</formula>
      <formula>0.39</formula>
    </cfRule>
    <cfRule type="cellIs" dxfId="1" priority="4" operator="between">
      <formula>0.01</formula>
      <formula>0.19</formula>
    </cfRule>
    <cfRule type="cellIs" dxfId="0" priority="5" operator="between">
      <formula>0.7</formula>
      <formula>1</formula>
    </cfRule>
  </conditionalFormatting>
  <pageMargins left="0.39370078740157483" right="0.39370078740157483" top="0.39370078740157483" bottom="0.39370078740157483" header="0.31496062992125984" footer="0.31496062992125984"/>
  <pageSetup paperSize="14" scale="55"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1BB3AE25-30EE-4D92-AF35-9B6BE8EC3235}">
          <x14:formula1>
            <xm:f>PGLOBAL!$A$10:$A$173</xm:f>
          </x14:formula1>
          <xm:sqref>D11:E11</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1"/>
  <dimension ref="A1:AZ403"/>
  <sheetViews>
    <sheetView zoomScale="80" zoomScaleNormal="80" workbookViewId="0">
      <pane xSplit="1" topLeftCell="W1" activePane="topRight" state="frozen"/>
      <selection activeCell="K23" sqref="K23"/>
      <selection pane="topRight" activeCell="AK10" sqref="AK10:AK14"/>
    </sheetView>
  </sheetViews>
  <sheetFormatPr baseColWidth="10" defaultColWidth="9.140625" defaultRowHeight="12.75" x14ac:dyDescent="0.2"/>
  <cols>
    <col min="1" max="1" width="60.140625" customWidth="1"/>
    <col min="2" max="2" width="13.42578125" bestFit="1" customWidth="1"/>
    <col min="3" max="3" width="28.85546875" customWidth="1"/>
    <col min="4" max="4" width="11.140625" customWidth="1"/>
    <col min="5" max="5" width="17.42578125" customWidth="1"/>
    <col min="6" max="7" width="11.140625" customWidth="1"/>
    <col min="8" max="8" width="18.85546875" customWidth="1"/>
    <col min="9" max="9" width="16.42578125" customWidth="1"/>
    <col min="10" max="10" width="14.28515625" customWidth="1"/>
    <col min="11" max="11" width="15.140625" customWidth="1"/>
    <col min="12" max="12" width="11.7109375" customWidth="1"/>
    <col min="13" max="13" width="14.42578125" customWidth="1"/>
    <col min="14" max="14" width="14.7109375" customWidth="1"/>
    <col min="15" max="15" width="13.85546875" customWidth="1"/>
    <col min="16" max="16" width="12.42578125" customWidth="1"/>
    <col min="17" max="17" width="14.5703125" customWidth="1"/>
    <col min="18" max="18" width="13.28515625" customWidth="1"/>
    <col min="19" max="19" width="11.42578125" customWidth="1"/>
    <col min="20" max="20" width="18.7109375" customWidth="1"/>
    <col min="21" max="21" width="11.85546875" customWidth="1"/>
    <col min="22" max="22" width="10.42578125" customWidth="1"/>
    <col min="23" max="23" width="11.7109375" customWidth="1"/>
    <col min="24" max="24" width="10.42578125" customWidth="1"/>
    <col min="25" max="25" width="11.7109375" customWidth="1"/>
    <col min="28" max="28" width="10.5703125" customWidth="1"/>
    <col min="32" max="32" width="10.5703125" customWidth="1"/>
    <col min="34" max="34" width="16.140625" style="495" customWidth="1"/>
    <col min="35" max="35" width="9.140625" style="821"/>
    <col min="36" max="36" width="10.5703125" style="821" customWidth="1"/>
    <col min="37" max="37" width="9.140625" style="820"/>
    <col min="38" max="38" width="9.140625" style="1002"/>
    <col min="39" max="39" width="53.7109375" customWidth="1"/>
  </cols>
  <sheetData>
    <row r="1" spans="1:38" x14ac:dyDescent="0.2">
      <c r="A1" s="1057"/>
      <c r="B1" s="1057"/>
      <c r="C1" s="1057"/>
      <c r="D1" s="1057"/>
      <c r="E1" s="1057"/>
      <c r="F1" s="1057"/>
      <c r="G1" s="1057"/>
      <c r="H1" s="1057"/>
      <c r="I1" s="1057"/>
      <c r="J1" s="1057"/>
      <c r="K1" s="1057"/>
    </row>
    <row r="3" spans="1:38" x14ac:dyDescent="0.2">
      <c r="A3" s="1057"/>
      <c r="B3" s="1057"/>
      <c r="C3" s="1057"/>
      <c r="D3" s="1057"/>
      <c r="E3" s="1057"/>
      <c r="F3" s="1057"/>
      <c r="G3" s="1057"/>
      <c r="H3" s="1057"/>
      <c r="I3" s="1057"/>
      <c r="J3" s="1057"/>
      <c r="K3" s="1057"/>
    </row>
    <row r="4" spans="1:38" ht="6" customHeight="1" x14ac:dyDescent="0.2"/>
    <row r="5" spans="1:38" ht="12.75" hidden="1" customHeight="1" x14ac:dyDescent="0.2"/>
    <row r="6" spans="1:38" ht="12.75" hidden="1" customHeight="1" x14ac:dyDescent="0.2">
      <c r="A6">
        <v>1</v>
      </c>
      <c r="B6">
        <v>2</v>
      </c>
      <c r="C6">
        <v>3</v>
      </c>
      <c r="D6">
        <v>4</v>
      </c>
      <c r="E6">
        <v>5</v>
      </c>
      <c r="F6">
        <v>6</v>
      </c>
      <c r="G6">
        <v>7</v>
      </c>
      <c r="H6">
        <v>8</v>
      </c>
      <c r="I6">
        <v>9</v>
      </c>
      <c r="J6">
        <v>10</v>
      </c>
      <c r="K6">
        <v>11</v>
      </c>
      <c r="L6">
        <v>12</v>
      </c>
      <c r="M6">
        <v>13</v>
      </c>
      <c r="N6">
        <v>14</v>
      </c>
      <c r="O6">
        <v>15</v>
      </c>
      <c r="P6">
        <v>16</v>
      </c>
      <c r="Q6">
        <v>17</v>
      </c>
      <c r="R6">
        <v>18</v>
      </c>
      <c r="S6">
        <v>19</v>
      </c>
      <c r="T6">
        <v>20</v>
      </c>
      <c r="U6">
        <v>21</v>
      </c>
      <c r="V6">
        <v>22</v>
      </c>
      <c r="W6">
        <v>23</v>
      </c>
      <c r="X6">
        <v>24</v>
      </c>
      <c r="Y6">
        <v>25</v>
      </c>
      <c r="Z6">
        <v>26</v>
      </c>
      <c r="AA6">
        <v>27</v>
      </c>
      <c r="AB6">
        <v>28</v>
      </c>
      <c r="AC6">
        <v>29</v>
      </c>
      <c r="AD6">
        <v>30</v>
      </c>
      <c r="AE6">
        <v>31</v>
      </c>
      <c r="AF6">
        <v>32</v>
      </c>
      <c r="AG6">
        <v>33</v>
      </c>
      <c r="AH6" s="495">
        <v>30</v>
      </c>
      <c r="AI6" s="821">
        <v>31</v>
      </c>
      <c r="AJ6" s="821">
        <v>32</v>
      </c>
      <c r="AK6" s="820">
        <v>33</v>
      </c>
    </row>
    <row r="7" spans="1:38" ht="12.75" hidden="1" customHeight="1" x14ac:dyDescent="0.2"/>
    <row r="8" spans="1:38" x14ac:dyDescent="0.2">
      <c r="D8" s="1046">
        <v>2014</v>
      </c>
      <c r="E8" s="1047"/>
      <c r="F8" s="1046">
        <v>2015</v>
      </c>
      <c r="G8" s="1047"/>
      <c r="H8" s="1046">
        <v>2016</v>
      </c>
      <c r="I8" s="1047"/>
      <c r="J8" s="1046">
        <v>2017</v>
      </c>
      <c r="K8" s="1047"/>
      <c r="L8" s="1046">
        <v>2018</v>
      </c>
      <c r="M8" s="1047"/>
      <c r="N8" s="1046">
        <v>2019</v>
      </c>
      <c r="O8" s="1047"/>
      <c r="P8" s="1046">
        <v>2020</v>
      </c>
      <c r="Q8" s="1047"/>
      <c r="R8" s="1051">
        <v>2021</v>
      </c>
      <c r="S8" s="1052"/>
      <c r="T8" s="1052"/>
      <c r="U8" s="1052"/>
      <c r="V8" s="1051">
        <v>2022</v>
      </c>
      <c r="W8" s="1052"/>
      <c r="X8" s="1052"/>
      <c r="Y8" s="1052"/>
      <c r="Z8" s="1051">
        <v>2023</v>
      </c>
      <c r="AA8" s="1052"/>
      <c r="AB8" s="1052"/>
      <c r="AC8" s="1052"/>
      <c r="AD8" s="1051">
        <v>2024</v>
      </c>
      <c r="AE8" s="1052"/>
      <c r="AF8" s="1052"/>
      <c r="AG8" s="1052"/>
      <c r="AH8" s="1042">
        <v>2025</v>
      </c>
      <c r="AI8" s="1043"/>
      <c r="AJ8" s="1043"/>
      <c r="AK8" s="1043"/>
      <c r="AL8" s="1006"/>
    </row>
    <row r="9" spans="1:38" ht="87" customHeight="1" x14ac:dyDescent="0.2">
      <c r="A9" s="7" t="s">
        <v>5</v>
      </c>
      <c r="B9" s="7" t="s">
        <v>138</v>
      </c>
      <c r="C9" s="7" t="s">
        <v>139</v>
      </c>
      <c r="D9" s="7" t="s">
        <v>118</v>
      </c>
      <c r="E9" s="7" t="s">
        <v>119</v>
      </c>
      <c r="F9" s="7" t="s">
        <v>118</v>
      </c>
      <c r="G9" s="7" t="s">
        <v>119</v>
      </c>
      <c r="H9" s="7" t="s">
        <v>118</v>
      </c>
      <c r="I9" s="7" t="s">
        <v>119</v>
      </c>
      <c r="J9" s="7" t="s">
        <v>118</v>
      </c>
      <c r="K9" s="7" t="s">
        <v>119</v>
      </c>
      <c r="L9" s="7" t="s">
        <v>118</v>
      </c>
      <c r="M9" s="7" t="s">
        <v>119</v>
      </c>
      <c r="N9" s="7" t="s">
        <v>118</v>
      </c>
      <c r="O9" s="7" t="s">
        <v>119</v>
      </c>
      <c r="P9" s="7" t="s">
        <v>118</v>
      </c>
      <c r="Q9" s="7" t="s">
        <v>119</v>
      </c>
      <c r="R9" s="247" t="s">
        <v>118</v>
      </c>
      <c r="S9" s="247" t="s">
        <v>756</v>
      </c>
      <c r="T9" s="247" t="s">
        <v>119</v>
      </c>
      <c r="U9" s="247" t="s">
        <v>757</v>
      </c>
      <c r="V9" s="247" t="s">
        <v>118</v>
      </c>
      <c r="W9" s="247" t="s">
        <v>756</v>
      </c>
      <c r="X9" s="247" t="s">
        <v>119</v>
      </c>
      <c r="Y9" s="247" t="s">
        <v>757</v>
      </c>
      <c r="Z9" s="247" t="s">
        <v>118</v>
      </c>
      <c r="AA9" s="247" t="s">
        <v>756</v>
      </c>
      <c r="AB9" s="247" t="s">
        <v>119</v>
      </c>
      <c r="AC9" s="247" t="s">
        <v>757</v>
      </c>
      <c r="AD9" s="247" t="s">
        <v>118</v>
      </c>
      <c r="AE9" s="247" t="s">
        <v>756</v>
      </c>
      <c r="AF9" s="247" t="s">
        <v>119</v>
      </c>
      <c r="AG9" s="247" t="s">
        <v>757</v>
      </c>
      <c r="AH9" s="247" t="s">
        <v>118</v>
      </c>
      <c r="AI9" s="247" t="s">
        <v>756</v>
      </c>
      <c r="AJ9" s="247" t="s">
        <v>119</v>
      </c>
      <c r="AK9" s="832" t="s">
        <v>757</v>
      </c>
      <c r="AL9" s="1007"/>
    </row>
    <row r="10" spans="1:38" s="853" customFormat="1" ht="24.95" customHeight="1" x14ac:dyDescent="0.2">
      <c r="A10" s="857" t="s">
        <v>10</v>
      </c>
      <c r="B10" s="857"/>
      <c r="C10" s="857"/>
      <c r="D10" s="17">
        <v>255</v>
      </c>
      <c r="E10" s="17">
        <v>35</v>
      </c>
      <c r="F10" s="17">
        <v>256</v>
      </c>
      <c r="G10" s="17">
        <v>35</v>
      </c>
      <c r="H10" s="127">
        <v>264</v>
      </c>
      <c r="I10" s="127">
        <v>46</v>
      </c>
      <c r="J10" s="127">
        <v>262</v>
      </c>
      <c r="K10" s="127">
        <v>47</v>
      </c>
      <c r="L10" s="127">
        <v>258</v>
      </c>
      <c r="M10" s="127">
        <v>49</v>
      </c>
      <c r="N10" s="127">
        <v>253</v>
      </c>
      <c r="O10" s="127">
        <v>50</v>
      </c>
      <c r="P10" s="127">
        <v>252</v>
      </c>
      <c r="Q10" s="127">
        <v>48</v>
      </c>
      <c r="R10" s="568">
        <v>250</v>
      </c>
      <c r="S10" s="568" t="s">
        <v>758</v>
      </c>
      <c r="T10" s="568">
        <v>50</v>
      </c>
      <c r="U10" s="568" t="s">
        <v>759</v>
      </c>
      <c r="V10" s="569">
        <v>254</v>
      </c>
      <c r="W10" s="569" t="s">
        <v>758</v>
      </c>
      <c r="X10" s="569">
        <v>51</v>
      </c>
      <c r="Y10" s="569" t="s">
        <v>759</v>
      </c>
      <c r="Z10" s="570">
        <v>257</v>
      </c>
      <c r="AA10" s="570" t="s">
        <v>758</v>
      </c>
      <c r="AB10" s="570">
        <v>51</v>
      </c>
      <c r="AC10" s="570" t="s">
        <v>759</v>
      </c>
      <c r="AD10" s="571">
        <v>260</v>
      </c>
      <c r="AE10" s="571" t="s">
        <v>758</v>
      </c>
      <c r="AF10" s="571">
        <v>52</v>
      </c>
      <c r="AG10" s="571" t="s">
        <v>759</v>
      </c>
      <c r="AH10" s="1021">
        <v>261</v>
      </c>
      <c r="AI10" s="822" t="s">
        <v>758</v>
      </c>
      <c r="AJ10" s="1021">
        <v>53</v>
      </c>
      <c r="AK10" s="834" t="s">
        <v>759</v>
      </c>
      <c r="AL10" s="1008"/>
    </row>
    <row r="11" spans="1:38" ht="24.95" customHeight="1" x14ac:dyDescent="0.2">
      <c r="A11" s="4" t="s">
        <v>0</v>
      </c>
      <c r="B11" s="4"/>
      <c r="C11" s="4"/>
      <c r="D11" s="19">
        <v>253</v>
      </c>
      <c r="E11" s="19">
        <v>32</v>
      </c>
      <c r="F11" s="19">
        <v>255</v>
      </c>
      <c r="G11" s="19">
        <v>35</v>
      </c>
      <c r="H11" s="128">
        <v>266</v>
      </c>
      <c r="I11" s="128">
        <v>37</v>
      </c>
      <c r="J11" s="128">
        <v>263</v>
      </c>
      <c r="K11" s="128">
        <v>39</v>
      </c>
      <c r="L11" s="128">
        <v>260</v>
      </c>
      <c r="M11" s="128">
        <v>41</v>
      </c>
      <c r="N11" s="128">
        <v>257</v>
      </c>
      <c r="O11" s="128">
        <v>42</v>
      </c>
      <c r="P11" s="128">
        <v>258</v>
      </c>
      <c r="Q11" s="128">
        <v>40</v>
      </c>
      <c r="R11" s="243">
        <v>257</v>
      </c>
      <c r="S11" s="243" t="s">
        <v>11</v>
      </c>
      <c r="T11" s="243">
        <v>42</v>
      </c>
      <c r="U11" s="243" t="s">
        <v>11</v>
      </c>
      <c r="V11" s="314">
        <v>262</v>
      </c>
      <c r="W11" s="314" t="s">
        <v>11</v>
      </c>
      <c r="X11" s="314">
        <v>43</v>
      </c>
      <c r="Y11" s="314" t="s">
        <v>11</v>
      </c>
      <c r="Z11" s="422">
        <v>262</v>
      </c>
      <c r="AA11" s="422" t="s">
        <v>11</v>
      </c>
      <c r="AB11" s="422">
        <v>43</v>
      </c>
      <c r="AC11" s="422" t="s">
        <v>11</v>
      </c>
      <c r="AD11" s="462">
        <v>265</v>
      </c>
      <c r="AE11" s="462" t="s">
        <v>11</v>
      </c>
      <c r="AF11" s="462">
        <v>44</v>
      </c>
      <c r="AG11" s="462" t="s">
        <v>11</v>
      </c>
      <c r="AH11" s="1022">
        <v>267</v>
      </c>
      <c r="AI11" s="815" t="s">
        <v>11</v>
      </c>
      <c r="AJ11" s="1024">
        <v>45</v>
      </c>
      <c r="AK11" s="835" t="s">
        <v>11</v>
      </c>
      <c r="AL11" s="1009"/>
    </row>
    <row r="12" spans="1:38" ht="24.95" customHeight="1" x14ac:dyDescent="0.2">
      <c r="A12" s="6" t="s">
        <v>12</v>
      </c>
      <c r="B12" s="6"/>
      <c r="C12" s="6"/>
      <c r="D12" s="21">
        <v>250</v>
      </c>
      <c r="E12" s="21"/>
      <c r="F12" s="21">
        <v>248</v>
      </c>
      <c r="G12" s="21"/>
      <c r="H12" s="129">
        <v>260</v>
      </c>
      <c r="I12" s="129">
        <v>37</v>
      </c>
      <c r="J12" s="129">
        <v>257</v>
      </c>
      <c r="K12" s="129">
        <v>38</v>
      </c>
      <c r="L12" s="129">
        <v>252</v>
      </c>
      <c r="M12" s="129">
        <v>39</v>
      </c>
      <c r="N12" s="129">
        <v>249</v>
      </c>
      <c r="O12" s="129">
        <v>40</v>
      </c>
      <c r="P12" s="129">
        <v>251</v>
      </c>
      <c r="Q12" s="129">
        <v>38</v>
      </c>
      <c r="R12" s="244">
        <v>248</v>
      </c>
      <c r="S12" s="244" t="s">
        <v>758</v>
      </c>
      <c r="T12" s="244">
        <v>40</v>
      </c>
      <c r="U12" s="244" t="s">
        <v>758</v>
      </c>
      <c r="V12" s="316">
        <v>252</v>
      </c>
      <c r="W12" s="315" t="s">
        <v>758</v>
      </c>
      <c r="X12" s="316">
        <v>41</v>
      </c>
      <c r="Y12" s="315" t="s">
        <v>758</v>
      </c>
      <c r="Z12" s="423">
        <v>253</v>
      </c>
      <c r="AA12" s="423" t="s">
        <v>758</v>
      </c>
      <c r="AB12" s="423">
        <v>41</v>
      </c>
      <c r="AC12" s="423" t="s">
        <v>758</v>
      </c>
      <c r="AD12" s="463">
        <v>257</v>
      </c>
      <c r="AE12" s="463" t="s">
        <v>758</v>
      </c>
      <c r="AF12" s="463">
        <v>43</v>
      </c>
      <c r="AG12" s="463" t="s">
        <v>758</v>
      </c>
      <c r="AH12" s="1023">
        <v>258</v>
      </c>
      <c r="AI12" s="816" t="s">
        <v>758</v>
      </c>
      <c r="AJ12" s="1025">
        <v>43</v>
      </c>
      <c r="AK12" s="836" t="s">
        <v>758</v>
      </c>
      <c r="AL12" s="1010"/>
    </row>
    <row r="13" spans="1:38" ht="24.95" customHeight="1" x14ac:dyDescent="0.2">
      <c r="A13" s="6" t="s">
        <v>13</v>
      </c>
      <c r="B13" s="6"/>
      <c r="C13" s="6"/>
      <c r="D13" s="21"/>
      <c r="E13" s="21"/>
      <c r="F13" s="21"/>
      <c r="G13" s="21"/>
      <c r="H13" s="129">
        <v>260</v>
      </c>
      <c r="I13" s="129">
        <v>35</v>
      </c>
      <c r="J13" s="129">
        <v>249</v>
      </c>
      <c r="K13" s="129">
        <v>32</v>
      </c>
      <c r="L13" s="129">
        <v>248</v>
      </c>
      <c r="M13" s="129">
        <v>42</v>
      </c>
      <c r="N13" s="129">
        <v>249</v>
      </c>
      <c r="O13" s="129">
        <v>42</v>
      </c>
      <c r="P13" s="129">
        <v>248</v>
      </c>
      <c r="Q13" s="129">
        <v>45</v>
      </c>
      <c r="R13" s="244">
        <v>244</v>
      </c>
      <c r="S13" s="244" t="s">
        <v>758</v>
      </c>
      <c r="T13" s="244">
        <v>39</v>
      </c>
      <c r="U13" s="244" t="s">
        <v>758</v>
      </c>
      <c r="V13" s="316">
        <v>249</v>
      </c>
      <c r="W13" s="315" t="s">
        <v>758</v>
      </c>
      <c r="X13" s="316">
        <v>46</v>
      </c>
      <c r="Y13" s="315" t="s">
        <v>758</v>
      </c>
      <c r="Z13" s="423">
        <v>240</v>
      </c>
      <c r="AA13" s="423" t="s">
        <v>758</v>
      </c>
      <c r="AB13" s="423">
        <v>42</v>
      </c>
      <c r="AC13" s="423" t="s">
        <v>758</v>
      </c>
      <c r="AD13" s="480">
        <v>244</v>
      </c>
      <c r="AE13" s="463" t="s">
        <v>758</v>
      </c>
      <c r="AF13" s="463">
        <v>37</v>
      </c>
      <c r="AG13" s="463" t="s">
        <v>760</v>
      </c>
      <c r="AH13" s="1023">
        <v>255</v>
      </c>
      <c r="AI13" s="816" t="s">
        <v>758</v>
      </c>
      <c r="AJ13" s="1025">
        <v>43</v>
      </c>
      <c r="AK13" s="836" t="s">
        <v>758</v>
      </c>
      <c r="AL13" s="1010"/>
    </row>
    <row r="14" spans="1:38" ht="24.95" customHeight="1" x14ac:dyDescent="0.2">
      <c r="A14" s="6" t="s">
        <v>14</v>
      </c>
      <c r="B14" s="6"/>
      <c r="C14" s="6"/>
      <c r="D14" s="21">
        <v>257</v>
      </c>
      <c r="E14" s="21"/>
      <c r="F14" s="21">
        <v>256</v>
      </c>
      <c r="G14" s="21"/>
      <c r="H14" s="129">
        <v>272</v>
      </c>
      <c r="I14" s="129">
        <v>38</v>
      </c>
      <c r="J14" s="129">
        <v>270</v>
      </c>
      <c r="K14" s="129">
        <v>40</v>
      </c>
      <c r="L14" s="129">
        <v>269</v>
      </c>
      <c r="M14" s="129">
        <v>41</v>
      </c>
      <c r="N14" s="129">
        <v>266</v>
      </c>
      <c r="O14" s="129">
        <v>41</v>
      </c>
      <c r="P14" s="129">
        <v>265</v>
      </c>
      <c r="Q14" s="129">
        <v>41</v>
      </c>
      <c r="R14" s="244">
        <v>266</v>
      </c>
      <c r="S14" s="244" t="s">
        <v>758</v>
      </c>
      <c r="T14" s="244">
        <v>43</v>
      </c>
      <c r="U14" s="244" t="s">
        <v>758</v>
      </c>
      <c r="V14" s="316">
        <v>272</v>
      </c>
      <c r="W14" s="315" t="s">
        <v>758</v>
      </c>
      <c r="X14" s="316">
        <v>43</v>
      </c>
      <c r="Y14" s="315" t="s">
        <v>758</v>
      </c>
      <c r="Z14" s="423">
        <v>273</v>
      </c>
      <c r="AA14" s="423" t="s">
        <v>758</v>
      </c>
      <c r="AB14" s="423">
        <v>43</v>
      </c>
      <c r="AC14" s="423" t="s">
        <v>758</v>
      </c>
      <c r="AD14" s="480">
        <v>276</v>
      </c>
      <c r="AE14" s="463" t="s">
        <v>758</v>
      </c>
      <c r="AF14" s="463">
        <v>43</v>
      </c>
      <c r="AG14" s="463" t="s">
        <v>758</v>
      </c>
      <c r="AH14" s="1023">
        <v>277</v>
      </c>
      <c r="AI14" s="816" t="s">
        <v>758</v>
      </c>
      <c r="AJ14" s="1025">
        <v>45</v>
      </c>
      <c r="AK14" s="836" t="s">
        <v>758</v>
      </c>
      <c r="AL14" s="1010"/>
    </row>
    <row r="15" spans="1:38" ht="24.95" customHeight="1" x14ac:dyDescent="0.2">
      <c r="A15" s="6" t="s">
        <v>15</v>
      </c>
      <c r="B15" s="6"/>
      <c r="C15" s="6"/>
      <c r="D15" s="21"/>
      <c r="E15" s="21"/>
      <c r="F15" s="21"/>
      <c r="G15" s="21"/>
      <c r="H15" s="129">
        <v>256</v>
      </c>
      <c r="I15" s="129">
        <v>36</v>
      </c>
      <c r="J15" s="129">
        <v>256</v>
      </c>
      <c r="K15" s="129">
        <v>38</v>
      </c>
      <c r="L15" s="129">
        <v>251</v>
      </c>
      <c r="M15" s="129">
        <v>40</v>
      </c>
      <c r="N15" s="129">
        <v>248</v>
      </c>
      <c r="O15" s="129">
        <v>41</v>
      </c>
      <c r="P15" s="129">
        <v>247</v>
      </c>
      <c r="Q15" s="129">
        <v>38</v>
      </c>
      <c r="R15" s="244">
        <v>244</v>
      </c>
      <c r="S15" s="244" t="s">
        <v>758</v>
      </c>
      <c r="T15" s="244">
        <v>40</v>
      </c>
      <c r="U15" s="244" t="s">
        <v>758</v>
      </c>
      <c r="V15" s="316">
        <v>248</v>
      </c>
      <c r="W15" s="315" t="s">
        <v>758</v>
      </c>
      <c r="X15" s="316">
        <v>41</v>
      </c>
      <c r="Y15" s="315" t="s">
        <v>758</v>
      </c>
      <c r="Z15" s="423">
        <v>250</v>
      </c>
      <c r="AA15" s="423" t="s">
        <v>758</v>
      </c>
      <c r="AB15" s="423">
        <v>41</v>
      </c>
      <c r="AC15" s="423" t="s">
        <v>758</v>
      </c>
      <c r="AD15" s="480">
        <v>248</v>
      </c>
      <c r="AE15" s="463" t="s">
        <v>758</v>
      </c>
      <c r="AF15" s="463">
        <v>42</v>
      </c>
      <c r="AG15" s="463" t="s">
        <v>758</v>
      </c>
      <c r="AH15" s="480"/>
      <c r="AI15" s="463"/>
      <c r="AJ15" s="463"/>
      <c r="AK15" s="837"/>
      <c r="AL15" s="1011"/>
    </row>
    <row r="16" spans="1:38" ht="24.95" customHeight="1" x14ac:dyDescent="0.2">
      <c r="A16" s="6" t="s">
        <v>16</v>
      </c>
      <c r="B16" s="6"/>
      <c r="C16" s="6"/>
      <c r="D16" s="21"/>
      <c r="E16" s="21"/>
      <c r="F16" s="21"/>
      <c r="G16" s="21"/>
      <c r="H16" s="129">
        <v>270</v>
      </c>
      <c r="I16" s="129">
        <v>37</v>
      </c>
      <c r="J16" s="129">
        <v>269</v>
      </c>
      <c r="K16" s="129">
        <v>39</v>
      </c>
      <c r="L16" s="129">
        <v>265</v>
      </c>
      <c r="M16" s="129">
        <v>40</v>
      </c>
      <c r="N16" s="129">
        <v>262</v>
      </c>
      <c r="O16" s="129">
        <v>41</v>
      </c>
      <c r="P16" s="129">
        <v>262</v>
      </c>
      <c r="Q16" s="129">
        <v>40</v>
      </c>
      <c r="R16" s="244">
        <v>261</v>
      </c>
      <c r="S16" s="244" t="s">
        <v>758</v>
      </c>
      <c r="T16" s="244">
        <v>42</v>
      </c>
      <c r="U16" s="244" t="s">
        <v>758</v>
      </c>
      <c r="V16" s="316">
        <v>267</v>
      </c>
      <c r="W16" s="315" t="s">
        <v>758</v>
      </c>
      <c r="X16" s="316">
        <v>43</v>
      </c>
      <c r="Y16" s="315" t="s">
        <v>758</v>
      </c>
      <c r="Z16" s="423">
        <v>269</v>
      </c>
      <c r="AA16" s="423" t="s">
        <v>758</v>
      </c>
      <c r="AB16" s="423">
        <v>43</v>
      </c>
      <c r="AC16" s="423" t="s">
        <v>758</v>
      </c>
      <c r="AD16" s="480">
        <v>267</v>
      </c>
      <c r="AE16" s="463" t="s">
        <v>758</v>
      </c>
      <c r="AF16" s="463">
        <v>44</v>
      </c>
      <c r="AG16" s="463" t="s">
        <v>758</v>
      </c>
      <c r="AH16" s="480"/>
      <c r="AI16" s="463"/>
      <c r="AJ16" s="463"/>
      <c r="AK16" s="837"/>
      <c r="AL16" s="1011"/>
    </row>
    <row r="17" spans="1:38" ht="24.95" customHeight="1" x14ac:dyDescent="0.2">
      <c r="A17" s="6" t="s">
        <v>17</v>
      </c>
      <c r="B17" s="292"/>
      <c r="C17" s="292"/>
      <c r="D17" s="316"/>
      <c r="E17" s="316"/>
      <c r="F17" s="316"/>
      <c r="G17" s="316"/>
      <c r="H17" s="317"/>
      <c r="I17" s="317"/>
      <c r="J17" s="317"/>
      <c r="K17" s="317"/>
      <c r="L17" s="317"/>
      <c r="M17" s="317"/>
      <c r="N17" s="317"/>
      <c r="O17" s="317"/>
      <c r="P17" s="317"/>
      <c r="Q17" s="317"/>
      <c r="R17" s="318"/>
      <c r="S17" s="318"/>
      <c r="T17" s="318"/>
      <c r="U17" s="318"/>
      <c r="V17" s="316">
        <v>313</v>
      </c>
      <c r="W17" s="315" t="s">
        <v>759</v>
      </c>
      <c r="X17" s="316">
        <v>23</v>
      </c>
      <c r="Y17" s="315" t="s">
        <v>760</v>
      </c>
      <c r="Z17" s="318"/>
      <c r="AA17" s="318"/>
      <c r="AB17" s="318"/>
      <c r="AC17" s="318"/>
      <c r="AD17" s="480">
        <v>309</v>
      </c>
      <c r="AE17" s="463" t="s">
        <v>759</v>
      </c>
      <c r="AF17" s="463">
        <v>39</v>
      </c>
      <c r="AG17" s="463" t="s">
        <v>760</v>
      </c>
      <c r="AH17" s="480"/>
      <c r="AI17" s="463"/>
      <c r="AJ17" s="463"/>
      <c r="AK17" s="837"/>
      <c r="AL17" s="1011"/>
    </row>
    <row r="18" spans="1:38" ht="24.95" customHeight="1" x14ac:dyDescent="0.2">
      <c r="A18" s="197" t="s">
        <v>140</v>
      </c>
      <c r="B18" s="6"/>
      <c r="C18" s="6"/>
      <c r="D18" s="129">
        <f>AVERAGEIF($C$36:$C$172,"=1",D$36:D$172)</f>
        <v>255.1122596153846</v>
      </c>
      <c r="E18" s="129"/>
      <c r="F18" s="129">
        <f>AVERAGEIF($C$36:$C$172,"=1",F$36:F$172)</f>
        <v>250.52740384615385</v>
      </c>
      <c r="G18" s="21"/>
      <c r="H18" s="129">
        <f t="shared" ref="H18:R18" si="0">AVERAGEIF($C$36:$C$172,"=1",H$36:H$172)</f>
        <v>260.94117647058823</v>
      </c>
      <c r="I18" s="129">
        <f t="shared" si="0"/>
        <v>33.823529411764703</v>
      </c>
      <c r="J18" s="129">
        <f t="shared" si="0"/>
        <v>260.375</v>
      </c>
      <c r="K18" s="129">
        <f t="shared" si="0"/>
        <v>35.0625</v>
      </c>
      <c r="L18" s="129">
        <f t="shared" si="0"/>
        <v>257.1764705882353</v>
      </c>
      <c r="M18" s="129">
        <f t="shared" si="0"/>
        <v>37.235294117647058</v>
      </c>
      <c r="N18" s="129">
        <f t="shared" si="0"/>
        <v>252.8235294117647</v>
      </c>
      <c r="O18" s="129">
        <f t="shared" si="0"/>
        <v>37.764705882352942</v>
      </c>
      <c r="P18" s="129">
        <f t="shared" si="0"/>
        <v>257.29411764705884</v>
      </c>
      <c r="Q18" s="129">
        <f t="shared" si="0"/>
        <v>36.705882352941174</v>
      </c>
      <c r="R18" s="129">
        <f t="shared" si="0"/>
        <v>257.29411764705884</v>
      </c>
      <c r="S18" s="197"/>
      <c r="T18" s="129">
        <f>AVERAGEIF($C$36:$C$172,"=1",T$36:T$172)</f>
        <v>37.529411764705884</v>
      </c>
      <c r="U18" s="197"/>
      <c r="V18" s="129">
        <f>AVERAGEIF($C$36:$C$172,"=1",V$36:V$172)</f>
        <v>258.83333333333331</v>
      </c>
      <c r="W18" s="197"/>
      <c r="X18" s="129">
        <f>AVERAGEIF($C$36:$C$172,"=1",X$36:X$172)</f>
        <v>40.166666666666664</v>
      </c>
      <c r="Y18" s="197"/>
      <c r="Z18" s="129">
        <f>AVERAGEIF($C$36:$C$172,"=1",Z$36:Z$172)</f>
        <v>262.29411764705884</v>
      </c>
      <c r="AA18" s="197"/>
      <c r="AB18" s="129">
        <f>AVERAGEIF($C$36:$C$172,"=1",AB$36:AB$172)</f>
        <v>38.176470588235297</v>
      </c>
      <c r="AC18" s="197"/>
      <c r="AD18" s="129">
        <f>AVERAGEIF($C$36:$C$173,"=1",AD$36:AD$173)</f>
        <v>263.22222222222223</v>
      </c>
      <c r="AE18" s="129"/>
      <c r="AF18" s="129">
        <f>AVERAGEIF($C$36:$C$173,"=1",AF$36:AF$173)</f>
        <v>39.611111111111114</v>
      </c>
      <c r="AG18" s="197"/>
      <c r="AH18" s="129">
        <f>AVERAGEIF($C$36:$C$173,"=1",AH$36:AH$173)</f>
        <v>265.11111111111109</v>
      </c>
      <c r="AI18" s="129"/>
      <c r="AJ18" s="129">
        <f>AVERAGEIF($C$36:$C$173,"=1",AJ$36:AJ$173)</f>
        <v>40.277777777777779</v>
      </c>
      <c r="AK18" s="838"/>
      <c r="AL18" s="1012"/>
    </row>
    <row r="19" spans="1:38" ht="24.95" customHeight="1" x14ac:dyDescent="0.2">
      <c r="A19" s="197" t="s">
        <v>141</v>
      </c>
      <c r="B19" s="6"/>
      <c r="C19" s="6"/>
      <c r="D19" s="129">
        <f>AVERAGEIF($C$36:$C$172,"=2",D$36:D$172)</f>
        <v>259.49979757085015</v>
      </c>
      <c r="E19" s="129"/>
      <c r="F19" s="129">
        <f>AVERAGEIF($C$36:$C$172,"=2",F$36:F$172)</f>
        <v>256.02692307692308</v>
      </c>
      <c r="G19" s="21"/>
      <c r="H19" s="129">
        <f t="shared" ref="H19:R19" si="1">AVERAGEIF($C$36:$C$172,"=2",H$36:H$172)</f>
        <v>268.45</v>
      </c>
      <c r="I19" s="129">
        <f t="shared" si="1"/>
        <v>33.1</v>
      </c>
      <c r="J19" s="129">
        <f t="shared" si="1"/>
        <v>265.63157894736844</v>
      </c>
      <c r="K19" s="129">
        <f t="shared" si="1"/>
        <v>36</v>
      </c>
      <c r="L19" s="129">
        <f t="shared" si="1"/>
        <v>262.89473684210526</v>
      </c>
      <c r="M19" s="129">
        <f t="shared" si="1"/>
        <v>37.421052631578945</v>
      </c>
      <c r="N19" s="129">
        <f t="shared" si="1"/>
        <v>262.64999999999998</v>
      </c>
      <c r="O19" s="129">
        <f t="shared" si="1"/>
        <v>38.25</v>
      </c>
      <c r="P19" s="129">
        <f t="shared" si="1"/>
        <v>259.125</v>
      </c>
      <c r="Q19" s="129">
        <f t="shared" si="1"/>
        <v>32.083333333333336</v>
      </c>
      <c r="R19" s="129">
        <f t="shared" si="1"/>
        <v>257.45454545454544</v>
      </c>
      <c r="S19" s="197"/>
      <c r="T19" s="129">
        <f>AVERAGEIF($C$36:$C$172,"=2",T$36:T$172)</f>
        <v>35.863636363636367</v>
      </c>
      <c r="U19" s="197"/>
      <c r="V19" s="129">
        <f>AVERAGEIF($C$36:$C$172,"=2",V$36:V$172)</f>
        <v>266.72000000000003</v>
      </c>
      <c r="W19" s="197"/>
      <c r="X19" s="129">
        <f>AVERAGEIF($C$36:$C$172,"=2",X$36:X$172)</f>
        <v>37.880000000000003</v>
      </c>
      <c r="Y19" s="197"/>
      <c r="Z19" s="129">
        <f>AVERAGEIF($C$36:$C$172,"=2",Z$36:Z$172)</f>
        <v>265.03846153846155</v>
      </c>
      <c r="AA19" s="197"/>
      <c r="AB19" s="129">
        <f>AVERAGEIF($C$36:$C$172,"=2",AB$36:AB$172)</f>
        <v>37.730769230769234</v>
      </c>
      <c r="AC19" s="197"/>
      <c r="AD19" s="129">
        <f>AVERAGEIF($C$36:$C$173,"=2",AD$36:AD$173)</f>
        <v>270.91666666666669</v>
      </c>
      <c r="AE19" s="129"/>
      <c r="AF19" s="129">
        <f>AVERAGEIF($C$36:$C$173,"=2",AF$36:AF$173)</f>
        <v>39.791666666666664</v>
      </c>
      <c r="AG19" s="197"/>
      <c r="AH19" s="129">
        <f>AVERAGEIF($C$36:$C$173,"=2",AH$36:AH$173)</f>
        <v>267.40740740740739</v>
      </c>
      <c r="AI19" s="129"/>
      <c r="AJ19" s="129">
        <f>AVERAGEIF($C$36:$C$173,"=2",AJ$36:AJ$173)</f>
        <v>35.296296296296298</v>
      </c>
      <c r="AK19" s="838"/>
      <c r="AL19" s="1012"/>
    </row>
    <row r="20" spans="1:38" ht="25.5" customHeight="1" x14ac:dyDescent="0.2">
      <c r="A20" s="197" t="s">
        <v>142</v>
      </c>
      <c r="B20" s="6"/>
      <c r="C20" s="6"/>
      <c r="D20" s="129">
        <f>AVERAGEIF($C$36:$C$172,"=3",D$36:D$172)</f>
        <v>259.16615384615386</v>
      </c>
      <c r="E20" s="129"/>
      <c r="F20" s="129">
        <f>AVERAGEIF($C$36:$C$172,"=3",F$36:F$172)</f>
        <v>256.83769230769235</v>
      </c>
      <c r="G20" s="21"/>
      <c r="H20" s="129">
        <f t="shared" ref="H20:R20" si="2">AVERAGEIF($C$36:$C$172,"=3",H$36:H$172)</f>
        <v>268.22222222222223</v>
      </c>
      <c r="I20" s="129">
        <f t="shared" si="2"/>
        <v>35.5</v>
      </c>
      <c r="J20" s="129">
        <f t="shared" si="2"/>
        <v>265.26315789473682</v>
      </c>
      <c r="K20" s="129">
        <f t="shared" si="2"/>
        <v>36.789473684210527</v>
      </c>
      <c r="L20" s="129">
        <f t="shared" si="2"/>
        <v>264.57894736842104</v>
      </c>
      <c r="M20" s="129">
        <f t="shared" si="2"/>
        <v>38.10526315789474</v>
      </c>
      <c r="N20" s="129">
        <f t="shared" si="2"/>
        <v>258.73684210526318</v>
      </c>
      <c r="O20" s="129">
        <f t="shared" si="2"/>
        <v>38.736842105263158</v>
      </c>
      <c r="P20" s="129">
        <f t="shared" si="2"/>
        <v>262.75</v>
      </c>
      <c r="Q20" s="129">
        <f t="shared" si="2"/>
        <v>36.1</v>
      </c>
      <c r="R20" s="129">
        <f t="shared" si="2"/>
        <v>261.60000000000002</v>
      </c>
      <c r="S20" s="197"/>
      <c r="T20" s="129">
        <f>AVERAGEIF($C$36:$C$172,"=3",T$36:T$172)</f>
        <v>38.200000000000003</v>
      </c>
      <c r="U20" s="197"/>
      <c r="V20" s="129">
        <f>AVERAGEIF($C$36:$C$172,"=3",V$36:V$172)</f>
        <v>267.13636363636363</v>
      </c>
      <c r="W20" s="197"/>
      <c r="X20" s="129">
        <f>AVERAGEIF($C$36:$C$172,"=3",X$36:X$172)</f>
        <v>39.636363636363633</v>
      </c>
      <c r="Y20" s="197"/>
      <c r="Z20" s="129">
        <f>AVERAGEIF($C$36:$C$172,"=3",Z$36:Z$172)</f>
        <v>267.09090909090907</v>
      </c>
      <c r="AA20" s="197"/>
      <c r="AB20" s="129">
        <f>AVERAGEIF($C$36:$C$172,"=3",AB$36:AB$172)</f>
        <v>39.227272727272727</v>
      </c>
      <c r="AC20" s="197"/>
      <c r="AD20" s="129">
        <f>AVERAGEIF($C$36:$C$173,"=3",AD$36:AD$173)</f>
        <v>269.31818181818181</v>
      </c>
      <c r="AE20" s="129"/>
      <c r="AF20" s="129">
        <f>AVERAGEIF($C$36:$C$173,"=3",AF$36:AF$173)</f>
        <v>39.909090909090907</v>
      </c>
      <c r="AG20" s="197"/>
      <c r="AH20" s="129">
        <f>AVERAGEIF($C$36:$C$173,"=3",AH$36:AH$173)</f>
        <v>271.68181818181819</v>
      </c>
      <c r="AI20" s="129"/>
      <c r="AJ20" s="129">
        <f>AVERAGEIF($C$36:$C$173,"=3",AJ$36:AJ$173)</f>
        <v>41.18181818181818</v>
      </c>
      <c r="AK20" s="838"/>
      <c r="AL20" s="1012"/>
    </row>
    <row r="21" spans="1:38" ht="25.5" customHeight="1" x14ac:dyDescent="0.2">
      <c r="A21" s="197" t="s">
        <v>143</v>
      </c>
      <c r="B21" s="6"/>
      <c r="C21" s="6"/>
      <c r="D21" s="129">
        <f>AVERAGEIF($C$36:$C$172,"=4",D$36:D$172)</f>
        <v>237.49589743589743</v>
      </c>
      <c r="E21" s="129"/>
      <c r="F21" s="129">
        <f>AVERAGEIF($C$36:$C$172,"=4",F$36:F$172)</f>
        <v>241.06085972850676</v>
      </c>
      <c r="G21" s="21"/>
      <c r="H21" s="129">
        <f t="shared" ref="H21:R21" si="3">AVERAGEIF($C$36:$C$172,"=4",H$36:H$172)</f>
        <v>248.28571428571428</v>
      </c>
      <c r="I21" s="129">
        <f t="shared" si="3"/>
        <v>34</v>
      </c>
      <c r="J21" s="129">
        <f t="shared" si="3"/>
        <v>255.13333333333333</v>
      </c>
      <c r="K21" s="129">
        <f t="shared" si="3"/>
        <v>33.133333333333333</v>
      </c>
      <c r="L21" s="129">
        <f t="shared" si="3"/>
        <v>251.46666666666667</v>
      </c>
      <c r="M21" s="129">
        <f t="shared" si="3"/>
        <v>34.06666666666667</v>
      </c>
      <c r="N21" s="129">
        <f t="shared" si="3"/>
        <v>244.78571428571428</v>
      </c>
      <c r="O21" s="129">
        <f t="shared" si="3"/>
        <v>37.642857142857146</v>
      </c>
      <c r="P21" s="129">
        <f t="shared" si="3"/>
        <v>241.84615384615384</v>
      </c>
      <c r="Q21" s="129">
        <f t="shared" si="3"/>
        <v>36.46153846153846</v>
      </c>
      <c r="R21" s="129">
        <f t="shared" si="3"/>
        <v>243.85714285714286</v>
      </c>
      <c r="S21" s="197"/>
      <c r="T21" s="129">
        <f>AVERAGEIF($C$36:$C$172,"=4",T$36:T$172)</f>
        <v>36.142857142857146</v>
      </c>
      <c r="U21" s="197"/>
      <c r="V21" s="129">
        <f>AVERAGEIF($C$36:$C$172,"=4",V$36:V$172)</f>
        <v>249.64285714285714</v>
      </c>
      <c r="W21" s="197"/>
      <c r="X21" s="129">
        <f>AVERAGEIF($C$36:$C$172,"=4",X$36:X$172)</f>
        <v>39</v>
      </c>
      <c r="Y21" s="197"/>
      <c r="Z21" s="129">
        <f>AVERAGEIF($C$36:$C$172,"=4",Z$36:Z$172)</f>
        <v>245.2</v>
      </c>
      <c r="AA21" s="197"/>
      <c r="AB21" s="129">
        <f>AVERAGEIF($C$36:$C$172,"=4",AB$36:AB$172)</f>
        <v>38.133333333333333</v>
      </c>
      <c r="AC21" s="197"/>
      <c r="AD21" s="129">
        <f>AVERAGEIF($C$36:$C$173,"=4",AD$36:AD$173)</f>
        <v>254</v>
      </c>
      <c r="AE21" s="129"/>
      <c r="AF21" s="129">
        <f>AVERAGEIF($C$36:$C$173,"=4",AF$36:AF$173)</f>
        <v>39.53846153846154</v>
      </c>
      <c r="AG21" s="197"/>
      <c r="AH21" s="129">
        <f>AVERAGEIF($C$36:$C$173,"=4",AH$36:AH$173)</f>
        <v>260.46666666666664</v>
      </c>
      <c r="AI21" s="129"/>
      <c r="AJ21" s="129">
        <f>AVERAGEIF($C$36:$C$173,"=4",AJ$36:AJ$173)</f>
        <v>39.733333333333334</v>
      </c>
      <c r="AK21" s="838"/>
      <c r="AL21" s="1012"/>
    </row>
    <row r="22" spans="1:38" ht="24.95" customHeight="1" x14ac:dyDescent="0.2">
      <c r="A22" s="197" t="s">
        <v>144</v>
      </c>
      <c r="B22" s="6"/>
      <c r="C22" s="6"/>
      <c r="D22" s="129">
        <f>AVERAGEIF($C$36:$C$172,"=5",D$36:D$172)</f>
        <v>267.17564102564103</v>
      </c>
      <c r="E22" s="129"/>
      <c r="F22" s="129">
        <f>AVERAGEIF($C$36:$C$172,"=5",F$36:F$172)</f>
        <v>267.14663461538464</v>
      </c>
      <c r="G22" s="21"/>
      <c r="H22" s="129">
        <f t="shared" ref="H22:R22" si="4">AVERAGEIF($C$36:$C$172,"=5",H$36:H$172)</f>
        <v>276.1764705882353</v>
      </c>
      <c r="I22" s="129">
        <f t="shared" si="4"/>
        <v>33.941176470588232</v>
      </c>
      <c r="J22" s="129">
        <f t="shared" si="4"/>
        <v>275.47058823529414</v>
      </c>
      <c r="K22" s="129">
        <f t="shared" si="4"/>
        <v>35.705882352941174</v>
      </c>
      <c r="L22" s="129">
        <f t="shared" si="4"/>
        <v>271.5</v>
      </c>
      <c r="M22" s="129">
        <f t="shared" si="4"/>
        <v>36.277777777777779</v>
      </c>
      <c r="N22" s="129">
        <f t="shared" si="4"/>
        <v>268.31578947368422</v>
      </c>
      <c r="O22" s="129">
        <f t="shared" si="4"/>
        <v>37.05263157894737</v>
      </c>
      <c r="P22" s="129">
        <f t="shared" si="4"/>
        <v>272</v>
      </c>
      <c r="Q22" s="129">
        <f t="shared" si="4"/>
        <v>34.444444444444443</v>
      </c>
      <c r="R22" s="129">
        <f t="shared" si="4"/>
        <v>270.44444444444446</v>
      </c>
      <c r="S22" s="197"/>
      <c r="T22" s="129">
        <f>AVERAGEIF($C$36:$C$172,"=5",T$36:T$172)</f>
        <v>38.611111111111114</v>
      </c>
      <c r="U22" s="197"/>
      <c r="V22" s="129">
        <f>AVERAGEIF($C$36:$C$172,"=5",V$36:V$172)</f>
        <v>276.64705882352939</v>
      </c>
      <c r="W22" s="197"/>
      <c r="X22" s="129">
        <f>AVERAGEIF($C$36:$C$172,"=5",X$36:X$172)</f>
        <v>37.294117647058826</v>
      </c>
      <c r="Y22" s="197"/>
      <c r="Z22" s="129">
        <f>AVERAGEIF($C$36:$C$172,"=5",Z$36:Z$172)</f>
        <v>278.11764705882354</v>
      </c>
      <c r="AA22" s="197"/>
      <c r="AB22" s="129">
        <f>AVERAGEIF($C$36:$C$172,"=5",AB$36:AB$172)</f>
        <v>38.941176470588232</v>
      </c>
      <c r="AC22" s="197"/>
      <c r="AD22" s="129">
        <f>AVERAGEIF($C$36:$C$173,"=5",AD$36:AD$173)</f>
        <v>273.66666666666669</v>
      </c>
      <c r="AE22" s="129"/>
      <c r="AF22" s="129">
        <f>AVERAGEIF($C$36:$C$173,"=5",AF$36:AF$173)</f>
        <v>38.277777777777779</v>
      </c>
      <c r="AG22" s="197"/>
      <c r="AH22" s="129">
        <f>AVERAGEIF($C$36:$C$173,"=5",AH$36:AH$173)</f>
        <v>278</v>
      </c>
      <c r="AI22" s="129"/>
      <c r="AJ22" s="129">
        <f>AVERAGEIF($C$36:$C$173,"=5",AJ$36:AJ$173)</f>
        <v>41.222222222222221</v>
      </c>
      <c r="AK22" s="838"/>
      <c r="AL22" s="1012"/>
    </row>
    <row r="23" spans="1:38" ht="24.95" customHeight="1" x14ac:dyDescent="0.2">
      <c r="A23" s="197" t="s">
        <v>145</v>
      </c>
      <c r="B23" s="129"/>
      <c r="C23" s="129"/>
      <c r="D23" s="129">
        <f>AVERAGEIF($C$36:$C$172,"=6",D$36:D$172)</f>
        <v>256.91706730769238</v>
      </c>
      <c r="E23" s="129"/>
      <c r="F23" s="129">
        <f>AVERAGEIF($C$36:$C$172,"=6",F$36:F$172)</f>
        <v>256.44615384615383</v>
      </c>
      <c r="G23" s="129"/>
      <c r="H23" s="129">
        <f t="shared" ref="H23:R23" si="5">AVERAGEIF($C$36:$C$172,"=6",H$36:H$172)</f>
        <v>267.13333333333333</v>
      </c>
      <c r="I23" s="129">
        <f t="shared" si="5"/>
        <v>31.928571428571427</v>
      </c>
      <c r="J23" s="129">
        <f t="shared" si="5"/>
        <v>258.86666666666667</v>
      </c>
      <c r="K23" s="129">
        <f t="shared" si="5"/>
        <v>39</v>
      </c>
      <c r="L23" s="129">
        <f t="shared" si="5"/>
        <v>260.07142857142856</v>
      </c>
      <c r="M23" s="129">
        <f t="shared" si="5"/>
        <v>38.785714285714285</v>
      </c>
      <c r="N23" s="129">
        <f t="shared" si="5"/>
        <v>259</v>
      </c>
      <c r="O23" s="129">
        <f t="shared" si="5"/>
        <v>40.866666666666667</v>
      </c>
      <c r="P23" s="129">
        <f t="shared" si="5"/>
        <v>252.94117647058823</v>
      </c>
      <c r="Q23" s="129">
        <f t="shared" si="5"/>
        <v>35.117647058823529</v>
      </c>
      <c r="R23" s="129">
        <f t="shared" si="5"/>
        <v>255.58823529411765</v>
      </c>
      <c r="S23" s="197"/>
      <c r="T23" s="129">
        <f>AVERAGEIF($C$36:$C$172,"=6",T$36:T$172)</f>
        <v>34.411764705882355</v>
      </c>
      <c r="U23" s="197"/>
      <c r="V23" s="129">
        <f>AVERAGEIF($C$36:$C$172,"=6",V$36:V$172)</f>
        <v>258.31578947368422</v>
      </c>
      <c r="W23" s="197"/>
      <c r="X23" s="129">
        <f>AVERAGEIF($C$36:$C$172,"=6",X$36:X$172)</f>
        <v>41.368421052631582</v>
      </c>
      <c r="Y23" s="197"/>
      <c r="Z23" s="129">
        <f>AVERAGEIF($C$36:$C$172,"=6",Z$36:Z$172)</f>
        <v>264.3</v>
      </c>
      <c r="AA23" s="197"/>
      <c r="AB23" s="129">
        <f>AVERAGEIF($C$36:$C$172,"=6",AB$36:AB$172)</f>
        <v>36.15</v>
      </c>
      <c r="AC23" s="197"/>
      <c r="AD23" s="129">
        <f>AVERAGEIF($C$36:$C$173,"=6",AD$36:AD$173)</f>
        <v>264.83333333333331</v>
      </c>
      <c r="AE23" s="129"/>
      <c r="AF23" s="129">
        <f>AVERAGEIF($C$36:$C$173,"=6",AF$36:AF$173)</f>
        <v>41.055555555555557</v>
      </c>
      <c r="AG23" s="197"/>
      <c r="AH23" s="129">
        <f>AVERAGEIF($C$36:$C$173,"=6",AH$36:AH$173)</f>
        <v>269.73684210526318</v>
      </c>
      <c r="AI23" s="129"/>
      <c r="AJ23" s="129">
        <f>AVERAGEIF($C$36:$C$173,"=6",AJ$36:AJ$173)</f>
        <v>42.05263157894737</v>
      </c>
      <c r="AK23" s="838"/>
      <c r="AL23" s="1012"/>
    </row>
    <row r="24" spans="1:38" ht="24.95" customHeight="1" x14ac:dyDescent="0.2">
      <c r="A24" s="6" t="s">
        <v>776</v>
      </c>
      <c r="B24" s="300"/>
      <c r="C24" s="300"/>
      <c r="D24" s="300">
        <f>AVERAGEIFS(D$36:D$172,$C$36:$C$172,"=1", $B$36:$B$172,"OFICIAL")</f>
        <v>254.57596153846151</v>
      </c>
      <c r="E24" s="300"/>
      <c r="F24" s="300">
        <f>AVERAGEIFS(F$36:F$172,$C$36:$C$172,"=1", $B$36:$B$172,"OFICIAL")</f>
        <v>252.89038461538462</v>
      </c>
      <c r="G24" s="300"/>
      <c r="H24" s="300">
        <f t="shared" ref="H24:R24" si="6">AVERAGEIFS(H$36:H$172,$C$36:$C$172,"=1", $B$36:$B$172,"OFICIAL")</f>
        <v>262.5</v>
      </c>
      <c r="I24" s="300">
        <f t="shared" si="6"/>
        <v>35.75</v>
      </c>
      <c r="J24" s="300">
        <f t="shared" si="6"/>
        <v>263</v>
      </c>
      <c r="K24" s="300">
        <f t="shared" si="6"/>
        <v>34.75</v>
      </c>
      <c r="L24" s="300">
        <f t="shared" si="6"/>
        <v>255.75</v>
      </c>
      <c r="M24" s="300">
        <f t="shared" si="6"/>
        <v>36.75</v>
      </c>
      <c r="N24" s="300">
        <f t="shared" si="6"/>
        <v>253.75</v>
      </c>
      <c r="O24" s="300">
        <f t="shared" si="6"/>
        <v>40.25</v>
      </c>
      <c r="P24" s="300">
        <f t="shared" si="6"/>
        <v>255.5</v>
      </c>
      <c r="Q24" s="300">
        <f t="shared" si="6"/>
        <v>37.5</v>
      </c>
      <c r="R24" s="300">
        <f t="shared" si="6"/>
        <v>251.5</v>
      </c>
      <c r="S24" s="298"/>
      <c r="T24" s="300">
        <f>AVERAGEIFS(T$36:T$172,$C$36:$C$172,"=1", $B$36:$B$172,"OFICIAL")</f>
        <v>39.25</v>
      </c>
      <c r="U24" s="298"/>
      <c r="V24" s="300">
        <f>AVERAGEIFS(V$36:V$172,$C$36:$C$172,"=1", $B$36:$B$172,"OFICIAL")</f>
        <v>252.8</v>
      </c>
      <c r="W24" s="298"/>
      <c r="X24" s="300">
        <f>AVERAGEIFS(X$36:X$172,$C$36:$C$172,"=1", $B$36:$B$172,"OFICIAL")</f>
        <v>39</v>
      </c>
      <c r="Y24" s="298"/>
      <c r="Z24" s="300">
        <f>AVERAGEIFS(Z$36:Z$172,$C$36:$C$172,"=1", $B$36:$B$172,"OFICIAL")</f>
        <v>253.6</v>
      </c>
      <c r="AA24" s="298"/>
      <c r="AB24" s="300">
        <f>AVERAGEIFS(AB$36:AB$172,$C$36:$C$172,"=1", $B$36:$B$172,"OFICIAL")</f>
        <v>38.6</v>
      </c>
      <c r="AC24" s="298"/>
      <c r="AD24" s="481">
        <f>AVERAGEIFS(AD$36:AD$173,$C$36:$C$173,"=1", $B$36:$B$173,"OFICIAL")</f>
        <v>255.4</v>
      </c>
      <c r="AE24" s="481"/>
      <c r="AF24" s="481">
        <f>AVERAGEIFS(AF$36:AF$173,$C$36:$C$173,"=1", $B$36:$B$173,"OFICIAL")</f>
        <v>41.8</v>
      </c>
      <c r="AG24" s="298"/>
      <c r="AH24" s="300">
        <f>AVERAGEIFS(AH$36:AH$173,$C$36:$C$173,"=1", $B$36:$B$173,"OFICIAL")</f>
        <v>255.8</v>
      </c>
      <c r="AI24" s="481"/>
      <c r="AJ24" s="300">
        <f>AVERAGEIFS(AJ$36:AJ$173,$C$36:$C$173,"=1", $B$36:$B$173,"OFICIAL")</f>
        <v>41.2</v>
      </c>
      <c r="AK24" s="839"/>
      <c r="AL24" s="1012"/>
    </row>
    <row r="25" spans="1:38" ht="24.95" customHeight="1" x14ac:dyDescent="0.2">
      <c r="A25" s="6" t="s">
        <v>777</v>
      </c>
      <c r="B25" s="300"/>
      <c r="C25" s="300"/>
      <c r="D25" s="300">
        <f>AVERAGEIFS(D$36:D$172,$C$36:$C$172,"=2", $B$36:$B$172,"OFICIAL")</f>
        <v>255.5</v>
      </c>
      <c r="E25" s="300"/>
      <c r="F25" s="300">
        <f>AVERAGEIFS(F$36:F$172,$C$36:$C$172,"=2", $B$36:$B$172,"OFICIAL")</f>
        <v>252</v>
      </c>
      <c r="G25" s="300"/>
      <c r="H25" s="300">
        <f t="shared" ref="H25:R25" si="7">AVERAGEIFS(H$36:H$172,$C$36:$C$172,"=2", $B$36:$B$172,"OFICIAL")</f>
        <v>264.5</v>
      </c>
      <c r="I25" s="300">
        <f t="shared" si="7"/>
        <v>35</v>
      </c>
      <c r="J25" s="300">
        <f t="shared" si="7"/>
        <v>261.5</v>
      </c>
      <c r="K25" s="300">
        <f t="shared" si="7"/>
        <v>39</v>
      </c>
      <c r="L25" s="300">
        <f t="shared" si="7"/>
        <v>257.5</v>
      </c>
      <c r="M25" s="300">
        <f t="shared" si="7"/>
        <v>40.5</v>
      </c>
      <c r="N25" s="300">
        <f t="shared" si="7"/>
        <v>253.5</v>
      </c>
      <c r="O25" s="300">
        <f t="shared" si="7"/>
        <v>40.5</v>
      </c>
      <c r="P25" s="300">
        <f t="shared" si="7"/>
        <v>255.5</v>
      </c>
      <c r="Q25" s="300">
        <f t="shared" si="7"/>
        <v>37.5</v>
      </c>
      <c r="R25" s="300">
        <f t="shared" si="7"/>
        <v>250.5</v>
      </c>
      <c r="S25" s="298"/>
      <c r="T25" s="300">
        <f>AVERAGEIFS(T$36:T$172,$C$36:$C$172,"=2", $B$36:$B$172,"OFICIAL")</f>
        <v>39</v>
      </c>
      <c r="U25" s="298"/>
      <c r="V25" s="300">
        <f>AVERAGEIFS(V$36:V$172,$C$36:$C$172,"=2", $B$36:$B$172,"OFICIAL")</f>
        <v>253.25</v>
      </c>
      <c r="W25" s="298"/>
      <c r="X25" s="300">
        <f>AVERAGEIFS(X$36:X$172,$C$36:$C$172,"=2", $B$36:$B$172,"OFICIAL")</f>
        <v>39</v>
      </c>
      <c r="Y25" s="298"/>
      <c r="Z25" s="300">
        <f>AVERAGEIFS(Z$36:Z$172,$C$36:$C$172,"=2", $B$36:$B$172,"OFICIAL")</f>
        <v>255.5</v>
      </c>
      <c r="AA25" s="298"/>
      <c r="AB25" s="300">
        <f>AVERAGEIFS(AB$36:AB$172,$C$36:$C$172,"=2", $B$36:$B$172,"OFICIAL")</f>
        <v>39.5</v>
      </c>
      <c r="AC25" s="298"/>
      <c r="AD25" s="481">
        <f>AVERAGEIFS(AD$36:AD$173,$C$36:$C$173,"=2", $B$36:$B$173,"OFICIAL")</f>
        <v>262</v>
      </c>
      <c r="AE25" s="481"/>
      <c r="AF25" s="481">
        <f>AVERAGEIFS(AF$36:AF$173,$C$36:$C$173,"=2", $B$36:$B$173,"OFICIAL")</f>
        <v>41.75</v>
      </c>
      <c r="AG25" s="298"/>
      <c r="AH25" s="300">
        <f>AVERAGEIFS(AH$36:AH$173,$C$36:$C$173,"=2", $B$36:$B$173,"OFICIAL")</f>
        <v>262.75</v>
      </c>
      <c r="AI25" s="481"/>
      <c r="AJ25" s="300">
        <f>AVERAGEIFS(AJ$36:AJ$173,$C$36:$C$173,"=2", $B$36:$B$173,"OFICIAL")</f>
        <v>43</v>
      </c>
      <c r="AK25" s="839"/>
      <c r="AL25" s="1012"/>
    </row>
    <row r="26" spans="1:38" ht="24.95" customHeight="1" x14ac:dyDescent="0.2">
      <c r="A26" s="6" t="s">
        <v>778</v>
      </c>
      <c r="B26" s="300"/>
      <c r="C26" s="300"/>
      <c r="D26" s="300">
        <f>AVERAGEIFS(D$36:D$172,$C$36:$C$172,"=3", $B$36:$B$172,"OFICIAL")</f>
        <v>251.66923076923072</v>
      </c>
      <c r="E26" s="300"/>
      <c r="F26" s="300">
        <f>AVERAGEIFS(F$36:F$172,$C$36:$C$172,"=3", $B$36:$B$172,"OFICIAL")</f>
        <v>245.92307692307691</v>
      </c>
      <c r="G26" s="300"/>
      <c r="H26" s="300">
        <f t="shared" ref="H26:R26" si="8">AVERAGEIFS(H$36:H$172,$C$36:$C$172,"=3", $B$36:$B$172,"OFICIAL")</f>
        <v>259.39999999999998</v>
      </c>
      <c r="I26" s="300">
        <f t="shared" si="8"/>
        <v>36.6</v>
      </c>
      <c r="J26" s="300">
        <f t="shared" si="8"/>
        <v>258.5</v>
      </c>
      <c r="K26" s="300">
        <f t="shared" si="8"/>
        <v>37.5</v>
      </c>
      <c r="L26" s="300">
        <f t="shared" si="8"/>
        <v>255.66666666666666</v>
      </c>
      <c r="M26" s="300">
        <f t="shared" si="8"/>
        <v>38.5</v>
      </c>
      <c r="N26" s="300">
        <f t="shared" si="8"/>
        <v>249.66666666666666</v>
      </c>
      <c r="O26" s="300">
        <f t="shared" si="8"/>
        <v>39.166666666666664</v>
      </c>
      <c r="P26" s="300">
        <f t="shared" si="8"/>
        <v>251.83333333333334</v>
      </c>
      <c r="Q26" s="300">
        <f t="shared" si="8"/>
        <v>38.166666666666664</v>
      </c>
      <c r="R26" s="300">
        <f t="shared" si="8"/>
        <v>248.66666666666666</v>
      </c>
      <c r="S26" s="298"/>
      <c r="T26" s="300">
        <f>AVERAGEIFS(T$36:T$172,$C$36:$C$172,"=3", $B$36:$B$172,"OFICIAL")</f>
        <v>38.333333333333336</v>
      </c>
      <c r="U26" s="298"/>
      <c r="V26" s="300">
        <f>AVERAGEIFS(V$36:V$172,$C$36:$C$172,"=3", $B$36:$B$172,"OFICIAL")</f>
        <v>254.71428571428572</v>
      </c>
      <c r="W26" s="298"/>
      <c r="X26" s="300">
        <f>AVERAGEIFS(X$36:X$172,$C$36:$C$172,"=3", $B$36:$B$172,"OFICIAL")</f>
        <v>40</v>
      </c>
      <c r="Y26" s="298"/>
      <c r="Z26" s="300">
        <f>AVERAGEIFS(Z$36:Z$172,$C$36:$C$172,"=3", $B$36:$B$172,"OFICIAL")</f>
        <v>256.42857142857144</v>
      </c>
      <c r="AA26" s="298"/>
      <c r="AB26" s="300">
        <f>AVERAGEIFS(AB$36:AB$172,$C$36:$C$172,"=3", $B$36:$B$172,"OFICIAL")</f>
        <v>40</v>
      </c>
      <c r="AC26" s="298"/>
      <c r="AD26" s="481">
        <f>AVERAGEIFS(AD$36:AD$173,$C$36:$C$173,"=3", $B$36:$B$173,"OFICIAL")</f>
        <v>259</v>
      </c>
      <c r="AE26" s="481"/>
      <c r="AF26" s="481">
        <f>AVERAGEIFS(AF$36:AF$173,$C$36:$C$173,"=3", $B$36:$B$173,"OFICIAL")</f>
        <v>42.714285714285715</v>
      </c>
      <c r="AG26" s="298"/>
      <c r="AH26" s="300">
        <f>AVERAGEIFS(AH$36:AH$173,$C$36:$C$173,"=3", $B$36:$B$173,"OFICIAL")</f>
        <v>258.42857142857144</v>
      </c>
      <c r="AI26" s="481"/>
      <c r="AJ26" s="300">
        <f>AVERAGEIFS(AJ$36:AJ$173,$C$36:$C$173,"=3", $B$36:$B$173,"OFICIAL")</f>
        <v>41</v>
      </c>
      <c r="AK26" s="839"/>
      <c r="AL26" s="1012"/>
    </row>
    <row r="27" spans="1:38" ht="24.95" customHeight="1" x14ac:dyDescent="0.2">
      <c r="A27" s="6" t="s">
        <v>779</v>
      </c>
      <c r="B27" s="300"/>
      <c r="C27" s="300"/>
      <c r="D27" s="300">
        <f>AVERAGEIFS(D$36:D$172,$C$36:$C$172,"=4", $B$36:$B$172,"OFICIAL")</f>
        <v>244.03717948717949</v>
      </c>
      <c r="E27" s="300"/>
      <c r="F27" s="300">
        <f>AVERAGEIFS(F$36:F$172,$C$36:$C$172,"=4", $B$36:$B$172,"OFICIAL")</f>
        <v>241.96089743589744</v>
      </c>
      <c r="G27" s="300"/>
      <c r="H27" s="300">
        <f t="shared" ref="H27:R27" si="9">AVERAGEIFS(H$36:H$172,$C$36:$C$172,"=4", $B$36:$B$172,"OFICIAL")</f>
        <v>243.83333333333334</v>
      </c>
      <c r="I27" s="300">
        <f t="shared" si="9"/>
        <v>35</v>
      </c>
      <c r="J27" s="300">
        <f t="shared" si="9"/>
        <v>244.33333333333334</v>
      </c>
      <c r="K27" s="300">
        <f t="shared" si="9"/>
        <v>37.333333333333336</v>
      </c>
      <c r="L27" s="300">
        <f t="shared" si="9"/>
        <v>237</v>
      </c>
      <c r="M27" s="300">
        <f t="shared" si="9"/>
        <v>38.833333333333336</v>
      </c>
      <c r="N27" s="300">
        <f t="shared" si="9"/>
        <v>232.5</v>
      </c>
      <c r="O27" s="300">
        <f t="shared" si="9"/>
        <v>39.333333333333336</v>
      </c>
      <c r="P27" s="300">
        <f t="shared" si="9"/>
        <v>234.5</v>
      </c>
      <c r="Q27" s="300">
        <f t="shared" si="9"/>
        <v>35.5</v>
      </c>
      <c r="R27" s="300">
        <f t="shared" si="9"/>
        <v>233.66666666666666</v>
      </c>
      <c r="S27" s="298"/>
      <c r="T27" s="300">
        <f>AVERAGEIFS(T$36:T$172,$C$36:$C$172,"=4", $B$36:$B$172,"OFICIAL")</f>
        <v>37.333333333333336</v>
      </c>
      <c r="U27" s="298"/>
      <c r="V27" s="300">
        <f>AVERAGEIFS(V$36:V$172,$C$36:$C$172,"=4", $B$36:$B$172,"OFICIAL")</f>
        <v>238.33333333333334</v>
      </c>
      <c r="W27" s="298"/>
      <c r="X27" s="300">
        <f>AVERAGEIFS(X$36:X$172,$C$36:$C$172,"=4", $B$36:$B$172,"OFICIAL")</f>
        <v>39.666666666666664</v>
      </c>
      <c r="Y27" s="298"/>
      <c r="Z27" s="300">
        <f>AVERAGEIFS(Z$36:Z$172,$C$36:$C$172,"=4", $B$36:$B$172,"OFICIAL")</f>
        <v>237.66666666666666</v>
      </c>
      <c r="AA27" s="298"/>
      <c r="AB27" s="300">
        <f>AVERAGEIFS(AB$36:AB$172,$C$36:$C$172,"=4", $B$36:$B$172,"OFICIAL")</f>
        <v>41.166666666666664</v>
      </c>
      <c r="AC27" s="298"/>
      <c r="AD27" s="481">
        <f>AVERAGEIFS(AD$36:AD$173,$C$36:$C$173,"=4", $B$36:$B$173,"OFICIAL")</f>
        <v>238.16666666666666</v>
      </c>
      <c r="AE27" s="481"/>
      <c r="AF27" s="481">
        <f>AVERAGEIFS(AF$36:AF$173,$C$36:$C$173,"=4", $B$36:$B$173,"OFICIAL")</f>
        <v>40.833333333333336</v>
      </c>
      <c r="AG27" s="298"/>
      <c r="AH27" s="300">
        <f>AVERAGEIFS(AH$36:AH$173,$C$36:$C$173,"=4", $B$36:$B$173,"OFICIAL")</f>
        <v>242.33333333333334</v>
      </c>
      <c r="AI27" s="481"/>
      <c r="AJ27" s="300">
        <f>AVERAGEIFS(AJ$36:AJ$173,$C$36:$C$173,"=4", $B$36:$B$173,"OFICIAL")</f>
        <v>42.166666666666664</v>
      </c>
      <c r="AK27" s="839"/>
      <c r="AL27" s="1012"/>
    </row>
    <row r="28" spans="1:38" ht="24.95" customHeight="1" x14ac:dyDescent="0.2">
      <c r="A28" s="6" t="s">
        <v>780</v>
      </c>
      <c r="B28" s="300"/>
      <c r="C28" s="300"/>
      <c r="D28" s="300">
        <f>AVERAGEIFS(D$36:D$172,$C$36:$C$172,"=5", $B$36:$B$172,"OFICIAL")</f>
        <v>257.79230769230776</v>
      </c>
      <c r="E28" s="300"/>
      <c r="F28" s="300">
        <f>AVERAGEIFS(F$36:F$172,$C$36:$C$172,"=5", $B$36:$B$172,"OFICIAL")</f>
        <v>257.5</v>
      </c>
      <c r="G28" s="300"/>
      <c r="H28" s="300">
        <f t="shared" ref="H28:R28" si="10">AVERAGEIFS(H$36:H$172,$C$36:$C$172,"=5", $B$36:$B$172,"OFICIAL")</f>
        <v>264.5</v>
      </c>
      <c r="I28" s="300">
        <f t="shared" si="10"/>
        <v>34</v>
      </c>
      <c r="J28" s="300">
        <f t="shared" si="10"/>
        <v>257.5</v>
      </c>
      <c r="K28" s="300">
        <f t="shared" si="10"/>
        <v>38</v>
      </c>
      <c r="L28" s="300">
        <f t="shared" si="10"/>
        <v>251</v>
      </c>
      <c r="M28" s="300">
        <f t="shared" si="10"/>
        <v>37</v>
      </c>
      <c r="N28" s="300">
        <f t="shared" si="10"/>
        <v>252.5</v>
      </c>
      <c r="O28" s="300">
        <f t="shared" si="10"/>
        <v>37.5</v>
      </c>
      <c r="P28" s="300">
        <f t="shared" si="10"/>
        <v>252.5</v>
      </c>
      <c r="Q28" s="300">
        <f t="shared" si="10"/>
        <v>36</v>
      </c>
      <c r="R28" s="300">
        <f t="shared" si="10"/>
        <v>251</v>
      </c>
      <c r="S28" s="298"/>
      <c r="T28" s="300">
        <f>AVERAGEIFS(T$36:T$172,$C$36:$C$172,"=5", $B$36:$B$172,"OFICIAL")</f>
        <v>41</v>
      </c>
      <c r="U28" s="298"/>
      <c r="V28" s="300">
        <f>AVERAGEIFS(V$36:V$172,$C$36:$C$172,"=5", $B$36:$B$172,"OFICIAL")</f>
        <v>259.5</v>
      </c>
      <c r="W28" s="298"/>
      <c r="X28" s="300">
        <f>AVERAGEIFS(X$36:X$172,$C$36:$C$172,"=5", $B$36:$B$172,"OFICIAL")</f>
        <v>40</v>
      </c>
      <c r="Y28" s="298"/>
      <c r="Z28" s="300">
        <f>AVERAGEIFS(Z$36:Z$172,$C$36:$C$172,"=5", $B$36:$B$172,"OFICIAL")</f>
        <v>256.5</v>
      </c>
      <c r="AA28" s="298"/>
      <c r="AB28" s="300">
        <f>AVERAGEIFS(AB$36:AB$172,$C$36:$C$172,"=5", $B$36:$B$172,"OFICIAL")</f>
        <v>41.5</v>
      </c>
      <c r="AC28" s="298"/>
      <c r="AD28" s="481">
        <f>AVERAGEIFS(AD$36:AD$173,$C$36:$C$173,"=5", $B$36:$B$173,"OFICIAL")</f>
        <v>262.5</v>
      </c>
      <c r="AE28" s="481"/>
      <c r="AF28" s="481">
        <f>AVERAGEIFS(AF$36:AF$173,$C$36:$C$173,"=5", $B$36:$B$173,"OFICIAL")</f>
        <v>42</v>
      </c>
      <c r="AG28" s="298"/>
      <c r="AH28" s="300">
        <f>AVERAGEIFS(AH$36:AH$173,$C$36:$C$173,"=5", $B$36:$B$173,"OFICIAL")</f>
        <v>262.5</v>
      </c>
      <c r="AI28" s="481"/>
      <c r="AJ28" s="300">
        <f>AVERAGEIFS(AJ$36:AJ$173,$C$36:$C$173,"=5", $B$36:$B$173,"OFICIAL")</f>
        <v>43.5</v>
      </c>
      <c r="AK28" s="839"/>
      <c r="AL28" s="1012"/>
    </row>
    <row r="29" spans="1:38" ht="24.95" customHeight="1" x14ac:dyDescent="0.2">
      <c r="A29" s="6" t="s">
        <v>781</v>
      </c>
      <c r="B29" s="300"/>
      <c r="C29" s="300"/>
      <c r="D29" s="300">
        <f>AVERAGEIFS(D$36:D$172,$C$36:$C$172,"=6", $B$36:$B$172,"OFICIAL")</f>
        <v>250.58076923076925</v>
      </c>
      <c r="E29" s="300"/>
      <c r="F29" s="300">
        <f>AVERAGEIFS(F$36:F$172,$C$36:$C$172,"=6", $B$36:$B$172,"OFICIAL")</f>
        <v>249.93173076923077</v>
      </c>
      <c r="G29" s="300"/>
      <c r="H29" s="300">
        <f t="shared" ref="H29:R29" si="11">AVERAGEIFS(H$36:H$172,$C$36:$C$172,"=6", $B$36:$B$172,"OFICIAL")</f>
        <v>259.25</v>
      </c>
      <c r="I29" s="300">
        <f t="shared" si="11"/>
        <v>35.25</v>
      </c>
      <c r="J29" s="300">
        <f t="shared" si="11"/>
        <v>256.75</v>
      </c>
      <c r="K29" s="300">
        <f t="shared" si="11"/>
        <v>37.75</v>
      </c>
      <c r="L29" s="300">
        <f t="shared" si="11"/>
        <v>252</v>
      </c>
      <c r="M29" s="300">
        <f t="shared" si="11"/>
        <v>39</v>
      </c>
      <c r="N29" s="300">
        <f t="shared" si="11"/>
        <v>249.25</v>
      </c>
      <c r="O29" s="300">
        <f t="shared" si="11"/>
        <v>38</v>
      </c>
      <c r="P29" s="300">
        <f t="shared" si="11"/>
        <v>251.25</v>
      </c>
      <c r="Q29" s="300">
        <f t="shared" si="11"/>
        <v>37.5</v>
      </c>
      <c r="R29" s="300">
        <f t="shared" si="11"/>
        <v>245.75</v>
      </c>
      <c r="S29" s="298"/>
      <c r="T29" s="300">
        <f>AVERAGEIFS(T$36:T$172,$C$36:$C$172,"=6", $B$36:$B$172,"OFICIAL")</f>
        <v>38.75</v>
      </c>
      <c r="U29" s="298"/>
      <c r="V29" s="300">
        <f>AVERAGEIFS(V$36:V$172,$C$36:$C$172,"=6", $B$36:$B$172,"OFICIAL")</f>
        <v>248.25</v>
      </c>
      <c r="W29" s="298"/>
      <c r="X29" s="300">
        <f>AVERAGEIFS(X$36:X$172,$C$36:$C$172,"=6", $B$36:$B$172,"OFICIAL")</f>
        <v>41</v>
      </c>
      <c r="Y29" s="298"/>
      <c r="Z29" s="300">
        <f>AVERAGEIFS(Z$36:Z$172,$C$36:$C$172,"=6", $B$36:$B$172,"OFICIAL")</f>
        <v>249.25</v>
      </c>
      <c r="AA29" s="298"/>
      <c r="AB29" s="300">
        <f>AVERAGEIFS(AB$36:AB$172,$C$36:$C$172,"=6", $B$36:$B$172,"OFICIAL")</f>
        <v>40</v>
      </c>
      <c r="AC29" s="298"/>
      <c r="AD29" s="481">
        <f>AVERAGEIFS(AD$36:AD$173,$C$36:$C$173,"=6", $B$36:$B$173,"OFICIAL")</f>
        <v>253.5</v>
      </c>
      <c r="AE29" s="481"/>
      <c r="AF29" s="481">
        <f>AVERAGEIFS(AF$36:AF$173,$C$36:$C$173,"=6", $B$36:$B$173,"OFICIAL")</f>
        <v>41.5</v>
      </c>
      <c r="AG29" s="298"/>
      <c r="AH29" s="300">
        <f>AVERAGEIFS(AH$36:AH$173,$C$36:$C$173,"=6", $B$36:$B$173,"OFICIAL")</f>
        <v>258.75</v>
      </c>
      <c r="AI29" s="481"/>
      <c r="AJ29" s="300">
        <f>AVERAGEIFS(AJ$36:AJ$173,$C$36:$C$173,"=6", $B$36:$B$173,"OFICIAL")</f>
        <v>43.5</v>
      </c>
      <c r="AK29" s="839"/>
      <c r="AL29" s="1012"/>
    </row>
    <row r="30" spans="1:38" ht="24.95" customHeight="1" x14ac:dyDescent="0.2">
      <c r="A30" s="6" t="s">
        <v>782</v>
      </c>
      <c r="B30" s="300"/>
      <c r="C30" s="300"/>
      <c r="D30" s="300">
        <f>AVERAGEIFS(D$36:D$172,$C$36:$C$172,"=1", $B$36:$B$172,"NO OFICIAL")</f>
        <v>255.29102564102564</v>
      </c>
      <c r="E30" s="300"/>
      <c r="F30" s="300">
        <f>AVERAGEIFS(F$36:F$172,$C$36:$C$172,"=1", $B$36:$B$172,"NO OFICIAL")</f>
        <v>249.7397435897436</v>
      </c>
      <c r="G30" s="300"/>
      <c r="H30" s="300">
        <f t="shared" ref="H30:R30" si="12">AVERAGEIFS(H$36:H$172,$C$36:$C$172,"=1", $B$36:$B$172,"NO OFICIAL")</f>
        <v>260.46153846153845</v>
      </c>
      <c r="I30" s="300">
        <f t="shared" si="12"/>
        <v>33.230769230769234</v>
      </c>
      <c r="J30" s="300">
        <f t="shared" si="12"/>
        <v>259.5</v>
      </c>
      <c r="K30" s="300">
        <f t="shared" si="12"/>
        <v>35.166666666666664</v>
      </c>
      <c r="L30" s="300">
        <f t="shared" si="12"/>
        <v>257.61538461538464</v>
      </c>
      <c r="M30" s="300">
        <f t="shared" si="12"/>
        <v>37.384615384615387</v>
      </c>
      <c r="N30" s="300">
        <f t="shared" si="12"/>
        <v>252.53846153846155</v>
      </c>
      <c r="O30" s="300">
        <f t="shared" si="12"/>
        <v>37</v>
      </c>
      <c r="P30" s="300">
        <f t="shared" si="12"/>
        <v>257.84615384615387</v>
      </c>
      <c r="Q30" s="300">
        <f t="shared" si="12"/>
        <v>36.46153846153846</v>
      </c>
      <c r="R30" s="300">
        <f t="shared" si="12"/>
        <v>259.07692307692309</v>
      </c>
      <c r="S30" s="298"/>
      <c r="T30" s="300">
        <f>AVERAGEIFS(T$36:T$172,$C$36:$C$172,"=1", $B$36:$B$172,"NO OFICIAL")</f>
        <v>37</v>
      </c>
      <c r="U30" s="298"/>
      <c r="V30" s="300">
        <f>AVERAGEIFS(V$36:V$172,$C$36:$C$172,"=1", $B$36:$B$172,"NO OFICIAL")</f>
        <v>261.15384615384613</v>
      </c>
      <c r="W30" s="298"/>
      <c r="X30" s="300">
        <f>AVERAGEIFS(X$36:X$172,$C$36:$C$172,"=1", $B$36:$B$172,"NO OFICIAL")</f>
        <v>40.615384615384613</v>
      </c>
      <c r="Y30" s="298"/>
      <c r="Z30" s="300">
        <f>AVERAGEIFS(Z$36:Z$172,$C$36:$C$172,"=1", $B$36:$B$172,"NO OFICIAL")</f>
        <v>265.91666666666669</v>
      </c>
      <c r="AA30" s="298"/>
      <c r="AB30" s="300">
        <f>AVERAGEIFS(AB$36:AB$172,$C$36:$C$172,"=1", $B$36:$B$172,"NO OFICIAL")</f>
        <v>38</v>
      </c>
      <c r="AC30" s="298"/>
      <c r="AD30" s="481">
        <f>AVERAGEIFS(AD$36:AD$173,$C$36:$C$173,"=1", $B$36:$B$173,"NO OFICIAL")</f>
        <v>266.23076923076923</v>
      </c>
      <c r="AE30" s="481"/>
      <c r="AF30" s="481">
        <f>AVERAGEIFS(AF$36:AF$173,$C$36:$C$173,"=1", $B$36:$B$173,"NO OFICIAL")</f>
        <v>38.769230769230766</v>
      </c>
      <c r="AG30" s="298"/>
      <c r="AH30" s="300">
        <f>AVERAGEIFS(AH$36:AH$173,$C$36:$C$173,"=1", $B$36:$B$173,"NO OFICIAL")</f>
        <v>268.69230769230768</v>
      </c>
      <c r="AI30" s="481"/>
      <c r="AJ30" s="300">
        <f>AVERAGEIFS(AJ$36:AJ$173,$C$36:$C$173,"=1", $B$36:$B$173,"NO OFICIAL")</f>
        <v>39.92307692307692</v>
      </c>
      <c r="AK30" s="839"/>
      <c r="AL30" s="1012"/>
    </row>
    <row r="31" spans="1:38" ht="24.95" customHeight="1" x14ac:dyDescent="0.2">
      <c r="A31" s="6" t="s">
        <v>783</v>
      </c>
      <c r="B31" s="300"/>
      <c r="C31" s="300"/>
      <c r="D31" s="300">
        <f>AVERAGEIFS(D$36:D$172,$C$36:$C$172,"=2", $B$36:$B$172,"NO OFICIAL")</f>
        <v>259.97036199095021</v>
      </c>
      <c r="E31" s="300"/>
      <c r="F31" s="300">
        <f>AVERAGEIFS(F$36:F$172,$C$36:$C$172,"=2", $B$36:$B$172,"NO OFICIAL")</f>
        <v>256.50067873303169</v>
      </c>
      <c r="G31" s="300"/>
      <c r="H31" s="300">
        <f t="shared" ref="H31:R31" si="13">AVERAGEIFS(H$36:H$172,$C$36:$C$172,"=2", $B$36:$B$172,"NO OFICIAL")</f>
        <v>268.88888888888891</v>
      </c>
      <c r="I31" s="300">
        <f t="shared" si="13"/>
        <v>32.888888888888886</v>
      </c>
      <c r="J31" s="300">
        <f t="shared" si="13"/>
        <v>266.11764705882354</v>
      </c>
      <c r="K31" s="300">
        <f t="shared" si="13"/>
        <v>35.647058823529413</v>
      </c>
      <c r="L31" s="300">
        <f t="shared" si="13"/>
        <v>263.52941176470586</v>
      </c>
      <c r="M31" s="300">
        <f t="shared" si="13"/>
        <v>37.058823529411768</v>
      </c>
      <c r="N31" s="300">
        <f t="shared" si="13"/>
        <v>263.66666666666669</v>
      </c>
      <c r="O31" s="300">
        <f t="shared" si="13"/>
        <v>38</v>
      </c>
      <c r="P31" s="300">
        <f t="shared" si="13"/>
        <v>259.45454545454544</v>
      </c>
      <c r="Q31" s="300">
        <f t="shared" si="13"/>
        <v>31.59090909090909</v>
      </c>
      <c r="R31" s="300">
        <f t="shared" si="13"/>
        <v>258.14999999999998</v>
      </c>
      <c r="S31" s="298"/>
      <c r="T31" s="300">
        <f>AVERAGEIFS(T$36:T$172,$C$36:$C$172,"=2", $B$36:$B$172,"NO OFICIAL")</f>
        <v>35.549999999999997</v>
      </c>
      <c r="U31" s="298"/>
      <c r="V31" s="300">
        <f>AVERAGEIFS(V$36:V$172,$C$36:$C$172,"=2", $B$36:$B$172,"NO OFICIAL")</f>
        <v>269.28571428571428</v>
      </c>
      <c r="W31" s="298"/>
      <c r="X31" s="300">
        <f>AVERAGEIFS(X$36:X$172,$C$36:$C$172,"=2", $B$36:$B$172,"NO OFICIAL")</f>
        <v>37.666666666666664</v>
      </c>
      <c r="Y31" s="298"/>
      <c r="Z31" s="300">
        <f>AVERAGEIFS(Z$36:Z$172,$C$36:$C$172,"=2", $B$36:$B$172,"NO OFICIAL")</f>
        <v>266.77272727272725</v>
      </c>
      <c r="AA31" s="298"/>
      <c r="AB31" s="300">
        <f>AVERAGEIFS(AB$36:AB$172,$C$36:$C$172,"=2", $B$36:$B$172,"NO OFICIAL")</f>
        <v>37.409090909090907</v>
      </c>
      <c r="AC31" s="298"/>
      <c r="AD31" s="481">
        <f>AVERAGEIFS(AD$36:AD$173,$C$36:$C$173,"=2", $B$36:$B$173,"NO OFICIAL")</f>
        <v>272.7</v>
      </c>
      <c r="AE31" s="481"/>
      <c r="AF31" s="481">
        <f>AVERAGEIFS(AF$36:AF$173,$C$36:$C$173,"=2", $B$36:$B$173,"NO OFICIAL")</f>
        <v>39.4</v>
      </c>
      <c r="AG31" s="298"/>
      <c r="AH31" s="300">
        <f>AVERAGEIFS(AH$36:AH$173,$C$36:$C$173,"=2", $B$36:$B$173,"NO OFICIAL")</f>
        <v>268.21739130434781</v>
      </c>
      <c r="AI31" s="481"/>
      <c r="AJ31" s="300">
        <f>AVERAGEIFS(AJ$36:AJ$173,$C$36:$C$173,"=2", $B$36:$B$173,"NO OFICIAL")</f>
        <v>33.956521739130437</v>
      </c>
      <c r="AK31" s="839"/>
      <c r="AL31" s="1012"/>
    </row>
    <row r="32" spans="1:38" ht="24.95" customHeight="1" x14ac:dyDescent="0.2">
      <c r="A32" s="6" t="s">
        <v>784</v>
      </c>
      <c r="B32" s="300"/>
      <c r="C32" s="300"/>
      <c r="D32" s="300">
        <f>AVERAGEIFS(D$36:D$172,$C$36:$C$172,"=3", $B$36:$B$172,"NO OFICIAL")</f>
        <v>261.04038461538465</v>
      </c>
      <c r="E32" s="300"/>
      <c r="F32" s="300">
        <f>AVERAGEIFS(F$36:F$172,$C$36:$C$172,"=3", $B$36:$B$172,"NO OFICIAL")</f>
        <v>259.56634615384615</v>
      </c>
      <c r="G32" s="300"/>
      <c r="H32" s="300">
        <f t="shared" ref="H32:R32" si="14">AVERAGEIFS(H$36:H$172,$C$36:$C$172,"=3", $B$36:$B$172,"NO OFICIAL")</f>
        <v>271.61538461538464</v>
      </c>
      <c r="I32" s="300">
        <f t="shared" si="14"/>
        <v>35.07692307692308</v>
      </c>
      <c r="J32" s="300">
        <f t="shared" si="14"/>
        <v>268.38461538461536</v>
      </c>
      <c r="K32" s="300">
        <f t="shared" si="14"/>
        <v>36.46153846153846</v>
      </c>
      <c r="L32" s="300">
        <f t="shared" si="14"/>
        <v>268.69230769230768</v>
      </c>
      <c r="M32" s="300">
        <f t="shared" si="14"/>
        <v>37.92307692307692</v>
      </c>
      <c r="N32" s="300">
        <f t="shared" si="14"/>
        <v>262.92307692307691</v>
      </c>
      <c r="O32" s="300">
        <f t="shared" si="14"/>
        <v>38.53846153846154</v>
      </c>
      <c r="P32" s="300">
        <f t="shared" si="14"/>
        <v>267.42857142857144</v>
      </c>
      <c r="Q32" s="300">
        <f t="shared" si="14"/>
        <v>35.214285714285715</v>
      </c>
      <c r="R32" s="300">
        <f t="shared" si="14"/>
        <v>267.14285714285717</v>
      </c>
      <c r="S32" s="298"/>
      <c r="T32" s="300">
        <f>AVERAGEIFS(T$36:T$172,$C$36:$C$172,"=3", $B$36:$B$172,"NO OFICIAL")</f>
        <v>38.142857142857146</v>
      </c>
      <c r="U32" s="298"/>
      <c r="V32" s="300">
        <f>AVERAGEIFS(V$36:V$172,$C$36:$C$172,"=3", $B$36:$B$172,"NO OFICIAL")</f>
        <v>272.93333333333334</v>
      </c>
      <c r="W32" s="298"/>
      <c r="X32" s="300">
        <f>AVERAGEIFS(X$36:X$172,$C$36:$C$172,"=3", $B$36:$B$172,"NO OFICIAL")</f>
        <v>39.466666666666669</v>
      </c>
      <c r="Y32" s="298"/>
      <c r="Z32" s="300">
        <f>AVERAGEIFS(Z$36:Z$172,$C$36:$C$172,"=3", $B$36:$B$172,"NO OFICIAL")</f>
        <v>272.06666666666666</v>
      </c>
      <c r="AA32" s="298"/>
      <c r="AB32" s="300">
        <f>AVERAGEIFS(AB$36:AB$172,$C$36:$C$172,"=3", $B$36:$B$172,"NO OFICIAL")</f>
        <v>38.866666666666667</v>
      </c>
      <c r="AC32" s="298"/>
      <c r="AD32" s="481">
        <f>AVERAGEIFS(AD$36:AD$173,$C$36:$C$173,"=3", $B$36:$B$173,"NO OFICIAL")</f>
        <v>274.13333333333333</v>
      </c>
      <c r="AE32" s="481"/>
      <c r="AF32" s="481">
        <f>AVERAGEIFS(AF$36:AF$173,$C$36:$C$173,"=3", $B$36:$B$173,"NO OFICIAL")</f>
        <v>38.6</v>
      </c>
      <c r="AG32" s="298"/>
      <c r="AH32" s="300">
        <f>AVERAGEIFS(AH$36:AH$173,$C$36:$C$173,"=3", $B$36:$B$173,"NO OFICIAL")</f>
        <v>277.86666666666667</v>
      </c>
      <c r="AI32" s="481"/>
      <c r="AJ32" s="300">
        <f>AVERAGEIFS(AJ$36:AJ$173,$C$36:$C$173,"=3", $B$36:$B$173,"NO OFICIAL")</f>
        <v>41.266666666666666</v>
      </c>
      <c r="AK32" s="839"/>
      <c r="AL32" s="1012"/>
    </row>
    <row r="33" spans="1:41" ht="24.95" customHeight="1" x14ac:dyDescent="0.2">
      <c r="A33" s="6" t="s">
        <v>785</v>
      </c>
      <c r="B33" s="300"/>
      <c r="C33" s="300"/>
      <c r="D33" s="300">
        <f>AVERAGEIFS(D$36:D$172,$C$36:$C$172,"=4", $B$36:$B$172,"NO OFICIAL")</f>
        <v>233.13504273504273</v>
      </c>
      <c r="E33" s="300"/>
      <c r="F33" s="300">
        <f>AVERAGEIFS(F$36:F$172,$C$36:$C$172,"=4", $B$36:$B$172,"NO OFICIAL")</f>
        <v>240.56993006993008</v>
      </c>
      <c r="G33" s="300"/>
      <c r="H33" s="300">
        <f t="shared" ref="H33:R33" si="15">AVERAGEIFS(H$36:H$172,$C$36:$C$172,"=4", $B$36:$B$172,"NO OFICIAL")</f>
        <v>251.625</v>
      </c>
      <c r="I33" s="300">
        <f t="shared" si="15"/>
        <v>33.25</v>
      </c>
      <c r="J33" s="300">
        <f t="shared" si="15"/>
        <v>262.33333333333331</v>
      </c>
      <c r="K33" s="300">
        <f t="shared" si="15"/>
        <v>30.333333333333332</v>
      </c>
      <c r="L33" s="300">
        <f t="shared" si="15"/>
        <v>261.11111111111109</v>
      </c>
      <c r="M33" s="300">
        <f t="shared" si="15"/>
        <v>30.888888888888889</v>
      </c>
      <c r="N33" s="300">
        <f t="shared" si="15"/>
        <v>254</v>
      </c>
      <c r="O33" s="300">
        <f t="shared" si="15"/>
        <v>36.375</v>
      </c>
      <c r="P33" s="300">
        <f t="shared" si="15"/>
        <v>248.14285714285714</v>
      </c>
      <c r="Q33" s="300">
        <f t="shared" si="15"/>
        <v>37.285714285714285</v>
      </c>
      <c r="R33" s="300">
        <f t="shared" si="15"/>
        <v>251.5</v>
      </c>
      <c r="S33" s="298"/>
      <c r="T33" s="300">
        <f>AVERAGEIFS(T$36:T$172,$C$36:$C$172,"=4", $B$36:$B$172,"NO OFICIAL")</f>
        <v>35.25</v>
      </c>
      <c r="U33" s="298"/>
      <c r="V33" s="300">
        <f>AVERAGEIFS(V$36:V$172,$C$36:$C$172,"=4", $B$36:$B$172,"NO OFICIAL")</f>
        <v>258.125</v>
      </c>
      <c r="W33" s="298"/>
      <c r="X33" s="300">
        <f>AVERAGEIFS(X$36:X$172,$C$36:$C$172,"=4", $B$36:$B$172,"NO OFICIAL")</f>
        <v>38.5</v>
      </c>
      <c r="Y33" s="298"/>
      <c r="Z33" s="300">
        <f>AVERAGEIFS(Z$36:Z$172,$C$36:$C$172,"=4", $B$36:$B$172,"NO OFICIAL")</f>
        <v>250.22222222222223</v>
      </c>
      <c r="AA33" s="298"/>
      <c r="AB33" s="300">
        <f>AVERAGEIFS(AB$36:AB$172,$C$36:$C$172,"=4", $B$36:$B$172,"NO OFICIAL")</f>
        <v>36.111111111111114</v>
      </c>
      <c r="AC33" s="298"/>
      <c r="AD33" s="481">
        <f>AVERAGEIFS(AD$36:AD$173,$C$36:$C$173,"=4", $B$36:$B$173,"NO OFICIAL")</f>
        <v>267.57142857142856</v>
      </c>
      <c r="AE33" s="481"/>
      <c r="AF33" s="481">
        <f>AVERAGEIFS(AF$36:AF$173,$C$36:$C$173,"=4", $B$36:$B$173,"NO OFICIAL")</f>
        <v>38.428571428571431</v>
      </c>
      <c r="AG33" s="298"/>
      <c r="AH33" s="300">
        <f>AVERAGEIFS(AH$36:AH$173,$C$36:$C$173,"=4", $B$36:$B$173,"NO OFICIAL")</f>
        <v>272.55555555555554</v>
      </c>
      <c r="AI33" s="481"/>
      <c r="AJ33" s="300">
        <f>AVERAGEIFS(AJ$36:AJ$173,$C$36:$C$173,"=4", $B$36:$B$173,"NO OFICIAL")</f>
        <v>38.111111111111114</v>
      </c>
      <c r="AK33" s="839"/>
      <c r="AL33" s="1012"/>
    </row>
    <row r="34" spans="1:41" ht="24.95" customHeight="1" x14ac:dyDescent="0.2">
      <c r="A34" s="6" t="s">
        <v>786</v>
      </c>
      <c r="B34" s="300"/>
      <c r="C34" s="300"/>
      <c r="D34" s="300">
        <f>AVERAGEIFS(D$36:D$172,$C$36:$C$172,"=5", $B$36:$B$172,"NO OFICIAL")</f>
        <v>268.6192307692308</v>
      </c>
      <c r="E34" s="300"/>
      <c r="F34" s="300">
        <f>AVERAGEIFS(F$36:F$172,$C$36:$C$172,"=5", $B$36:$B$172,"NO OFICIAL")</f>
        <v>268.52472527472526</v>
      </c>
      <c r="G34" s="300"/>
      <c r="H34" s="300">
        <f t="shared" ref="H34:R34" si="16">AVERAGEIFS(H$36:H$172,$C$36:$C$172,"=5", $B$36:$B$172,"NO OFICIAL")</f>
        <v>277.73333333333335</v>
      </c>
      <c r="I34" s="300">
        <f t="shared" si="16"/>
        <v>33.93333333333333</v>
      </c>
      <c r="J34" s="300">
        <f t="shared" si="16"/>
        <v>277.86666666666667</v>
      </c>
      <c r="K34" s="300">
        <f t="shared" si="16"/>
        <v>35.4</v>
      </c>
      <c r="L34" s="300">
        <f t="shared" si="16"/>
        <v>274.0625</v>
      </c>
      <c r="M34" s="300">
        <f t="shared" si="16"/>
        <v>36.1875</v>
      </c>
      <c r="N34" s="300">
        <f t="shared" si="16"/>
        <v>270.1764705882353</v>
      </c>
      <c r="O34" s="300">
        <f t="shared" si="16"/>
        <v>37</v>
      </c>
      <c r="P34" s="300">
        <f t="shared" si="16"/>
        <v>274.4375</v>
      </c>
      <c r="Q34" s="300">
        <f t="shared" si="16"/>
        <v>34.25</v>
      </c>
      <c r="R34" s="300">
        <f t="shared" si="16"/>
        <v>272.875</v>
      </c>
      <c r="S34" s="298"/>
      <c r="T34" s="300">
        <f>AVERAGEIFS(T$36:T$172,$C$36:$C$172,"=5", $B$36:$B$172,"NO OFICIAL")</f>
        <v>38.3125</v>
      </c>
      <c r="U34" s="298"/>
      <c r="V34" s="300">
        <f>AVERAGEIFS(V$36:V$172,$C$36:$C$172,"=5", $B$36:$B$172,"NO OFICIAL")</f>
        <v>278.93333333333334</v>
      </c>
      <c r="W34" s="298"/>
      <c r="X34" s="300">
        <f>AVERAGEIFS(X$36:X$172,$C$36:$C$172,"=5", $B$36:$B$172,"NO OFICIAL")</f>
        <v>36.93333333333333</v>
      </c>
      <c r="Y34" s="298"/>
      <c r="Z34" s="300">
        <f>AVERAGEIFS(Z$36:Z$172,$C$36:$C$172,"=5", $B$36:$B$172,"NO OFICIAL")</f>
        <v>281</v>
      </c>
      <c r="AA34" s="298"/>
      <c r="AB34" s="300">
        <f>AVERAGEIFS(AB$36:AB$172,$C$36:$C$172,"=5", $B$36:$B$172,"NO OFICIAL")</f>
        <v>38.6</v>
      </c>
      <c r="AC34" s="298"/>
      <c r="AD34" s="481">
        <f>AVERAGEIFS(AD$36:AD$173,$C$36:$C$173,"=5", $B$36:$B$173,"NO OFICIAL")</f>
        <v>275.0625</v>
      </c>
      <c r="AE34" s="481"/>
      <c r="AF34" s="481">
        <f>AVERAGEIFS(AF$36:AF$173,$C$36:$C$173,"=5", $B$36:$B$173,"NO OFICIAL")</f>
        <v>37.8125</v>
      </c>
      <c r="AG34" s="298"/>
      <c r="AH34" s="300">
        <f>AVERAGEIFS(AH$36:AH$173,$C$36:$C$173,"=5", $B$36:$B$173,"NO OFICIAL")</f>
        <v>279.9375</v>
      </c>
      <c r="AI34" s="481"/>
      <c r="AJ34" s="300">
        <f>AVERAGEIFS(AJ$36:AJ$173,$C$36:$C$173,"=5", $B$36:$B$173,"NO OFICIAL")</f>
        <v>40.9375</v>
      </c>
      <c r="AK34" s="839"/>
      <c r="AL34" s="1012"/>
    </row>
    <row r="35" spans="1:41" ht="24.95" customHeight="1" x14ac:dyDescent="0.2">
      <c r="A35" s="6" t="s">
        <v>787</v>
      </c>
      <c r="B35" s="300"/>
      <c r="C35" s="300"/>
      <c r="D35" s="300">
        <f>AVERAGEIFS(D$36:D$172,$C$36:$C$172,"=6", $B$36:$B$172,"NO OFICIAL")</f>
        <v>259.0291666666667</v>
      </c>
      <c r="E35" s="300"/>
      <c r="F35" s="300">
        <f>AVERAGEIFS(F$36:F$172,$C$36:$C$172,"=6", $B$36:$B$172,"NO OFICIAL")</f>
        <v>258.6176282051282</v>
      </c>
      <c r="G35" s="300"/>
      <c r="H35" s="300">
        <f t="shared" ref="H35:R35" si="17">AVERAGEIFS(H$36:H$172,$C$36:$C$172,"=6", $B$36:$B$172,"NO OFICIAL")</f>
        <v>270</v>
      </c>
      <c r="I35" s="300">
        <f t="shared" si="17"/>
        <v>30.6</v>
      </c>
      <c r="J35" s="300">
        <f t="shared" si="17"/>
        <v>259.63636363636363</v>
      </c>
      <c r="K35" s="300">
        <f t="shared" si="17"/>
        <v>39.454545454545453</v>
      </c>
      <c r="L35" s="300">
        <f t="shared" si="17"/>
        <v>263.3</v>
      </c>
      <c r="M35" s="300">
        <f t="shared" si="17"/>
        <v>38.700000000000003</v>
      </c>
      <c r="N35" s="300">
        <f t="shared" si="17"/>
        <v>262.54545454545456</v>
      </c>
      <c r="O35" s="300">
        <f t="shared" si="17"/>
        <v>41.909090909090907</v>
      </c>
      <c r="P35" s="300">
        <f t="shared" si="17"/>
        <v>253.46153846153845</v>
      </c>
      <c r="Q35" s="300">
        <f t="shared" si="17"/>
        <v>34.384615384615387</v>
      </c>
      <c r="R35" s="300">
        <f t="shared" si="17"/>
        <v>258.61538461538464</v>
      </c>
      <c r="S35" s="298"/>
      <c r="T35" s="300">
        <f>AVERAGEIFS(T$36:T$172,$C$36:$C$172,"=6", $B$36:$B$172,"NO OFICIAL")</f>
        <v>33.07692307692308</v>
      </c>
      <c r="U35" s="298"/>
      <c r="V35" s="300">
        <f>AVERAGEIFS(V$36:V$172,$C$36:$C$172,"=6", $B$36:$B$172,"NO OFICIAL")</f>
        <v>261</v>
      </c>
      <c r="W35" s="298"/>
      <c r="X35" s="300">
        <f>AVERAGEIFS(X$36:X$172,$C$36:$C$172,"=6", $B$36:$B$172,"NO OFICIAL")</f>
        <v>41.466666666666669</v>
      </c>
      <c r="Y35" s="298"/>
      <c r="Z35" s="300">
        <f>AVERAGEIFS(Z$36:Z$172,$C$36:$C$172,"=6", $B$36:$B$172,"NO OFICIAL")</f>
        <v>268.0625</v>
      </c>
      <c r="AA35" s="298"/>
      <c r="AB35" s="300">
        <f>AVERAGEIFS(AB$36:AB$172,$C$36:$C$172,"=6", $B$36:$B$172,"NO OFICIAL")</f>
        <v>35.1875</v>
      </c>
      <c r="AC35" s="298"/>
      <c r="AD35" s="481">
        <f>AVERAGEIFS(AD$36:AD$173,$C$36:$C$173,"=6", $B$36:$B$173,"NO OFICIAL")</f>
        <v>268.07142857142856</v>
      </c>
      <c r="AE35" s="481"/>
      <c r="AF35" s="481">
        <f>AVERAGEIFS(AF$36:AF$173,$C$36:$C$173,"=6", $B$36:$B$173,"NO OFICIAL")</f>
        <v>40.928571428571431</v>
      </c>
      <c r="AG35" s="298"/>
      <c r="AH35" s="300">
        <f>AVERAGEIFS(AH$36:AH$173,$C$36:$C$173,"=6", $B$36:$B$173,"NO OFICIAL")</f>
        <v>272.66666666666669</v>
      </c>
      <c r="AI35" s="481"/>
      <c r="AJ35" s="300">
        <f>AVERAGEIFS(AJ$36:AJ$173,$C$36:$C$173,"=6", $B$36:$B$173,"NO OFICIAL")</f>
        <v>41.666666666666664</v>
      </c>
      <c r="AK35" s="839"/>
      <c r="AL35" s="1012"/>
    </row>
    <row r="36" spans="1:41" ht="21.95" customHeight="1" x14ac:dyDescent="0.2">
      <c r="A36" s="465" t="s">
        <v>23</v>
      </c>
      <c r="B36" s="1" t="s">
        <v>123</v>
      </c>
      <c r="C36" s="12">
        <v>2</v>
      </c>
      <c r="D36" s="27">
        <v>256.93461538461537</v>
      </c>
      <c r="E36" s="2"/>
      <c r="F36" s="2">
        <v>254</v>
      </c>
      <c r="G36" s="2"/>
      <c r="H36" s="33">
        <v>261</v>
      </c>
      <c r="I36" s="33">
        <v>38</v>
      </c>
      <c r="J36" s="33">
        <v>261</v>
      </c>
      <c r="K36" s="33">
        <v>36</v>
      </c>
      <c r="L36" s="33">
        <v>256</v>
      </c>
      <c r="M36" s="33">
        <v>38</v>
      </c>
      <c r="N36" s="33">
        <v>257</v>
      </c>
      <c r="O36" s="33">
        <v>45</v>
      </c>
      <c r="P36" s="130">
        <v>257</v>
      </c>
      <c r="Q36" s="130">
        <v>43</v>
      </c>
      <c r="R36" s="246">
        <v>260</v>
      </c>
      <c r="S36" s="246" t="s">
        <v>758</v>
      </c>
      <c r="T36" s="246">
        <v>40</v>
      </c>
      <c r="U36" s="246" t="s">
        <v>758</v>
      </c>
      <c r="AM36" s="818"/>
    </row>
    <row r="37" spans="1:41" ht="21.95" customHeight="1" x14ac:dyDescent="0.2">
      <c r="A37" s="739" t="s">
        <v>952</v>
      </c>
      <c r="B37" s="14" t="s">
        <v>123</v>
      </c>
      <c r="C37" s="524">
        <v>2</v>
      </c>
      <c r="D37" s="504"/>
      <c r="E37" s="464"/>
      <c r="F37" s="464"/>
      <c r="G37" s="464"/>
      <c r="H37" s="666"/>
      <c r="I37" s="666"/>
      <c r="J37" s="666"/>
      <c r="K37" s="666"/>
      <c r="L37" s="666"/>
      <c r="M37" s="666"/>
      <c r="N37" s="666"/>
      <c r="O37" s="666"/>
      <c r="P37" s="710"/>
      <c r="Q37" s="710"/>
      <c r="R37" s="639"/>
      <c r="S37" s="639"/>
      <c r="T37" s="639"/>
      <c r="U37" s="639"/>
      <c r="AH37" s="847">
        <v>289</v>
      </c>
      <c r="AI37" s="821" t="s">
        <v>759</v>
      </c>
      <c r="AJ37" s="821">
        <v>0</v>
      </c>
      <c r="AK37" s="818" t="s">
        <v>760</v>
      </c>
      <c r="AL37" s="1001"/>
      <c r="AM37" s="855" t="s">
        <v>952</v>
      </c>
      <c r="AN37" s="850">
        <v>289</v>
      </c>
      <c r="AO37">
        <f>AH37-AN37</f>
        <v>0</v>
      </c>
    </row>
    <row r="38" spans="1:41" ht="21.95" customHeight="1" x14ac:dyDescent="0.2">
      <c r="A38" s="467" t="s">
        <v>166</v>
      </c>
      <c r="B38" s="14" t="s">
        <v>123</v>
      </c>
      <c r="C38" s="12">
        <v>2</v>
      </c>
      <c r="D38" s="27">
        <v>245.73076923076923</v>
      </c>
      <c r="E38" s="2"/>
      <c r="F38" s="2">
        <v>233</v>
      </c>
      <c r="G38" s="2"/>
      <c r="H38" s="33" t="s">
        <v>152</v>
      </c>
      <c r="I38" s="33" t="s">
        <v>152</v>
      </c>
      <c r="J38" s="33" t="s">
        <v>152</v>
      </c>
      <c r="K38" s="33" t="s">
        <v>152</v>
      </c>
      <c r="L38" s="33" t="s">
        <v>152</v>
      </c>
      <c r="M38" s="33" t="s">
        <v>152</v>
      </c>
      <c r="N38" s="33" t="s">
        <v>152</v>
      </c>
      <c r="O38" s="33" t="s">
        <v>152</v>
      </c>
      <c r="P38" s="130">
        <v>223</v>
      </c>
      <c r="Q38" s="130">
        <v>25</v>
      </c>
      <c r="R38" s="246">
        <v>220</v>
      </c>
      <c r="S38" s="246" t="s">
        <v>760</v>
      </c>
      <c r="T38" s="246">
        <v>0</v>
      </c>
      <c r="U38" s="246" t="s">
        <v>760</v>
      </c>
      <c r="V38" s="309">
        <v>215</v>
      </c>
      <c r="W38" s="309" t="s">
        <v>760</v>
      </c>
      <c r="X38" s="309">
        <v>80</v>
      </c>
      <c r="Y38" s="309" t="s">
        <v>759</v>
      </c>
      <c r="Z38" s="424">
        <v>250</v>
      </c>
      <c r="AA38" s="424" t="s">
        <v>760</v>
      </c>
      <c r="AB38" s="424">
        <v>0</v>
      </c>
      <c r="AC38" s="424" t="s">
        <v>760</v>
      </c>
      <c r="AD38" s="464">
        <v>202</v>
      </c>
      <c r="AE38" s="464" t="s">
        <v>760</v>
      </c>
      <c r="AF38" s="464">
        <v>25</v>
      </c>
      <c r="AG38" s="464" t="s">
        <v>760</v>
      </c>
      <c r="AH38" s="848">
        <v>245</v>
      </c>
      <c r="AI38" s="464" t="s">
        <v>760</v>
      </c>
      <c r="AJ38" s="464">
        <v>30</v>
      </c>
      <c r="AK38" s="464" t="s">
        <v>760</v>
      </c>
      <c r="AL38" s="917"/>
      <c r="AM38" s="855" t="s">
        <v>166</v>
      </c>
      <c r="AN38" s="970">
        <v>245</v>
      </c>
      <c r="AO38" s="970">
        <f t="shared" ref="AO38:AO101" si="18">AH38-AN38</f>
        <v>0</v>
      </c>
    </row>
    <row r="39" spans="1:41" ht="21.95" customHeight="1" x14ac:dyDescent="0.2">
      <c r="A39" s="467" t="s">
        <v>796</v>
      </c>
      <c r="B39" s="14" t="s">
        <v>123</v>
      </c>
      <c r="C39" s="328">
        <v>2</v>
      </c>
      <c r="D39" s="319"/>
      <c r="E39" s="309"/>
      <c r="F39" s="309"/>
      <c r="G39" s="309"/>
      <c r="H39" s="320"/>
      <c r="I39" s="320"/>
      <c r="J39" s="320"/>
      <c r="K39" s="320"/>
      <c r="L39" s="320"/>
      <c r="M39" s="320"/>
      <c r="N39" s="320"/>
      <c r="O39" s="320"/>
      <c r="P39" s="321"/>
      <c r="Q39" s="321"/>
      <c r="R39" s="312"/>
      <c r="S39" s="312"/>
      <c r="T39" s="312"/>
      <c r="U39" s="312"/>
      <c r="V39" s="309">
        <v>214</v>
      </c>
      <c r="W39" s="309" t="s">
        <v>760</v>
      </c>
      <c r="X39" s="309">
        <v>34</v>
      </c>
      <c r="Y39" s="309" t="s">
        <v>760</v>
      </c>
      <c r="Z39" s="424">
        <v>209</v>
      </c>
      <c r="AA39" s="424" t="s">
        <v>760</v>
      </c>
      <c r="AB39" s="424">
        <v>41</v>
      </c>
      <c r="AC39" s="424" t="s">
        <v>758</v>
      </c>
      <c r="AD39" s="424"/>
      <c r="AE39" s="424"/>
      <c r="AF39" s="424"/>
      <c r="AG39" s="424"/>
      <c r="AH39" s="846"/>
      <c r="AI39" s="424"/>
      <c r="AJ39" s="424"/>
      <c r="AK39" s="424"/>
      <c r="AL39" s="919"/>
      <c r="AM39" s="855"/>
      <c r="AN39" s="970"/>
      <c r="AO39" s="970"/>
    </row>
    <row r="40" spans="1:41" ht="21.95" customHeight="1" x14ac:dyDescent="0.2">
      <c r="A40" s="467" t="s">
        <v>26</v>
      </c>
      <c r="B40" s="1" t="s">
        <v>123</v>
      </c>
      <c r="C40" s="12">
        <v>3</v>
      </c>
      <c r="D40" s="27">
        <v>254.59615384615387</v>
      </c>
      <c r="E40" s="2"/>
      <c r="F40" s="2">
        <v>255</v>
      </c>
      <c r="G40" s="2"/>
      <c r="H40" s="33">
        <v>263</v>
      </c>
      <c r="I40" s="33">
        <v>25</v>
      </c>
      <c r="J40" s="33">
        <v>255</v>
      </c>
      <c r="K40" s="33">
        <v>40</v>
      </c>
      <c r="L40" s="33">
        <v>244</v>
      </c>
      <c r="M40" s="33">
        <v>35</v>
      </c>
      <c r="N40" s="33">
        <v>242</v>
      </c>
      <c r="O40" s="33">
        <v>30</v>
      </c>
      <c r="P40" s="130">
        <v>250</v>
      </c>
      <c r="Q40" s="130">
        <v>37</v>
      </c>
      <c r="R40" s="246">
        <v>260</v>
      </c>
      <c r="S40" s="246" t="s">
        <v>758</v>
      </c>
      <c r="T40" s="246">
        <v>40</v>
      </c>
      <c r="U40" s="246" t="s">
        <v>758</v>
      </c>
      <c r="V40" s="309">
        <v>257</v>
      </c>
      <c r="W40" s="309" t="s">
        <v>760</v>
      </c>
      <c r="X40" s="309">
        <v>38</v>
      </c>
      <c r="Y40" s="309" t="s">
        <v>758</v>
      </c>
      <c r="Z40" s="424">
        <v>262</v>
      </c>
      <c r="AA40" s="424" t="s">
        <v>758</v>
      </c>
      <c r="AB40" s="424">
        <v>41</v>
      </c>
      <c r="AC40" s="424" t="s">
        <v>758</v>
      </c>
      <c r="AD40" s="464">
        <v>260</v>
      </c>
      <c r="AE40" s="464" t="s">
        <v>760</v>
      </c>
      <c r="AF40" s="464">
        <v>35</v>
      </c>
      <c r="AG40" s="464" t="s">
        <v>760</v>
      </c>
      <c r="AH40" s="848">
        <v>269</v>
      </c>
      <c r="AI40" s="464" t="s">
        <v>758</v>
      </c>
      <c r="AJ40" s="464">
        <v>39</v>
      </c>
      <c r="AK40" s="464" t="s">
        <v>758</v>
      </c>
      <c r="AL40" s="917"/>
      <c r="AM40" s="855" t="s">
        <v>26</v>
      </c>
      <c r="AN40" s="970">
        <v>269</v>
      </c>
      <c r="AO40" s="970">
        <f t="shared" si="18"/>
        <v>0</v>
      </c>
    </row>
    <row r="41" spans="1:41" ht="21.95" customHeight="1" x14ac:dyDescent="0.2">
      <c r="A41" s="467" t="s">
        <v>167</v>
      </c>
      <c r="B41" s="1" t="s">
        <v>123</v>
      </c>
      <c r="C41" s="12">
        <v>4</v>
      </c>
      <c r="D41" s="27">
        <v>236.44615384615383</v>
      </c>
      <c r="E41" s="2"/>
      <c r="F41" s="2">
        <v>244</v>
      </c>
      <c r="G41" s="2"/>
      <c r="H41" s="33">
        <v>245</v>
      </c>
      <c r="I41" s="33">
        <v>36</v>
      </c>
      <c r="J41" s="33">
        <v>240</v>
      </c>
      <c r="K41" s="33">
        <v>38</v>
      </c>
      <c r="L41" s="33">
        <v>234</v>
      </c>
      <c r="M41" s="33">
        <v>35</v>
      </c>
      <c r="N41" s="33">
        <v>240</v>
      </c>
      <c r="O41" s="33">
        <v>38</v>
      </c>
      <c r="P41" s="130">
        <v>236</v>
      </c>
      <c r="Q41" s="130">
        <v>36</v>
      </c>
      <c r="R41" s="246">
        <v>239</v>
      </c>
      <c r="S41" s="246" t="s">
        <v>760</v>
      </c>
      <c r="T41" s="246">
        <v>43</v>
      </c>
      <c r="U41" s="246" t="s">
        <v>758</v>
      </c>
      <c r="V41" s="309">
        <v>238</v>
      </c>
      <c r="W41" s="309" t="s">
        <v>760</v>
      </c>
      <c r="X41" s="309">
        <v>38</v>
      </c>
      <c r="Y41" s="309" t="s">
        <v>758</v>
      </c>
      <c r="Z41" s="424">
        <v>253</v>
      </c>
      <c r="AA41" s="424" t="s">
        <v>760</v>
      </c>
      <c r="AB41" s="424">
        <v>33</v>
      </c>
      <c r="AC41" s="424" t="s">
        <v>760</v>
      </c>
      <c r="AD41" s="464">
        <v>261</v>
      </c>
      <c r="AE41" s="464" t="s">
        <v>760</v>
      </c>
      <c r="AF41" s="464">
        <v>37</v>
      </c>
      <c r="AG41" s="464" t="s">
        <v>760</v>
      </c>
      <c r="AH41" s="848">
        <v>274</v>
      </c>
      <c r="AI41" s="464" t="s">
        <v>759</v>
      </c>
      <c r="AJ41" s="464">
        <v>42</v>
      </c>
      <c r="AK41" s="464" t="s">
        <v>758</v>
      </c>
      <c r="AL41" s="917"/>
      <c r="AM41" s="855" t="s">
        <v>167</v>
      </c>
      <c r="AN41" s="970">
        <v>274</v>
      </c>
      <c r="AO41" s="970">
        <f t="shared" si="18"/>
        <v>0</v>
      </c>
    </row>
    <row r="42" spans="1:41" ht="21.95" customHeight="1" x14ac:dyDescent="0.2">
      <c r="A42" s="467" t="s">
        <v>181</v>
      </c>
      <c r="B42" s="1" t="s">
        <v>123</v>
      </c>
      <c r="C42" s="12">
        <v>5</v>
      </c>
      <c r="D42" s="27"/>
      <c r="E42" s="2"/>
      <c r="F42" s="2"/>
      <c r="G42" s="2"/>
      <c r="H42" s="33" t="s">
        <v>152</v>
      </c>
      <c r="I42" s="33" t="s">
        <v>152</v>
      </c>
      <c r="J42" s="33" t="s">
        <v>152</v>
      </c>
      <c r="K42" s="33" t="s">
        <v>152</v>
      </c>
      <c r="L42" s="33">
        <v>261</v>
      </c>
      <c r="M42" s="33">
        <v>31</v>
      </c>
      <c r="N42" s="33">
        <v>242</v>
      </c>
      <c r="O42" s="33">
        <v>34</v>
      </c>
      <c r="P42" s="130">
        <v>244</v>
      </c>
      <c r="Q42" s="130">
        <v>45</v>
      </c>
      <c r="R42" s="246">
        <v>256</v>
      </c>
      <c r="S42" s="246" t="s">
        <v>758</v>
      </c>
      <c r="T42" s="246">
        <v>40</v>
      </c>
      <c r="U42" s="246" t="s">
        <v>758</v>
      </c>
      <c r="V42" s="309">
        <v>270</v>
      </c>
      <c r="W42" s="309" t="s">
        <v>759</v>
      </c>
      <c r="X42" s="309">
        <v>44</v>
      </c>
      <c r="Y42" s="309" t="s">
        <v>758</v>
      </c>
      <c r="Z42" s="424">
        <v>267</v>
      </c>
      <c r="AA42" s="424" t="s">
        <v>759</v>
      </c>
      <c r="AB42" s="424">
        <v>41</v>
      </c>
      <c r="AC42" s="424" t="s">
        <v>758</v>
      </c>
      <c r="AD42" s="464">
        <v>259</v>
      </c>
      <c r="AE42" s="464" t="s">
        <v>760</v>
      </c>
      <c r="AF42" s="464">
        <v>31</v>
      </c>
      <c r="AG42" s="464" t="s">
        <v>760</v>
      </c>
      <c r="AH42" s="848">
        <v>286</v>
      </c>
      <c r="AI42" s="464" t="s">
        <v>759</v>
      </c>
      <c r="AJ42" s="464">
        <v>56</v>
      </c>
      <c r="AK42" s="464" t="s">
        <v>759</v>
      </c>
      <c r="AL42" s="917"/>
      <c r="AM42" s="855" t="s">
        <v>181</v>
      </c>
      <c r="AN42" s="970">
        <v>286</v>
      </c>
      <c r="AO42" s="970">
        <f t="shared" si="18"/>
        <v>0</v>
      </c>
    </row>
    <row r="43" spans="1:41" ht="21.95" customHeight="1" x14ac:dyDescent="0.2">
      <c r="A43" s="467" t="s">
        <v>163</v>
      </c>
      <c r="B43" s="14" t="s">
        <v>123</v>
      </c>
      <c r="C43" s="12">
        <v>6</v>
      </c>
      <c r="D43" s="27">
        <v>220</v>
      </c>
      <c r="E43" s="2"/>
      <c r="F43" s="2">
        <v>231</v>
      </c>
      <c r="G43" s="2"/>
      <c r="H43" s="33"/>
      <c r="I43" s="33"/>
      <c r="J43" s="33"/>
      <c r="K43" s="33"/>
      <c r="L43" s="33"/>
      <c r="M43" s="33"/>
      <c r="N43" s="33"/>
      <c r="O43" s="33"/>
      <c r="P43" s="130">
        <v>285</v>
      </c>
      <c r="Q43" s="130">
        <v>30</v>
      </c>
      <c r="R43" s="246">
        <v>237</v>
      </c>
      <c r="S43" s="246" t="s">
        <v>760</v>
      </c>
      <c r="T43" s="246">
        <v>0</v>
      </c>
      <c r="U43" s="246" t="s">
        <v>760</v>
      </c>
      <c r="V43" s="309">
        <v>270</v>
      </c>
      <c r="W43" s="309" t="s">
        <v>759</v>
      </c>
      <c r="X43" s="309">
        <v>57</v>
      </c>
      <c r="Y43" s="309" t="s">
        <v>759</v>
      </c>
      <c r="Z43" s="424">
        <v>264</v>
      </c>
      <c r="AA43" s="424" t="s">
        <v>758</v>
      </c>
      <c r="AB43" s="424">
        <v>26</v>
      </c>
      <c r="AC43" s="424" t="s">
        <v>760</v>
      </c>
      <c r="AD43" s="464">
        <v>283</v>
      </c>
      <c r="AE43" s="464" t="s">
        <v>759</v>
      </c>
      <c r="AF43" s="464">
        <v>45</v>
      </c>
      <c r="AG43" s="464" t="s">
        <v>758</v>
      </c>
      <c r="AH43" s="848">
        <v>261</v>
      </c>
      <c r="AI43" s="464" t="s">
        <v>760</v>
      </c>
      <c r="AJ43" s="464">
        <v>46</v>
      </c>
      <c r="AK43" s="464" t="s">
        <v>758</v>
      </c>
      <c r="AL43" s="917"/>
      <c r="AM43" s="855" t="s">
        <v>163</v>
      </c>
      <c r="AN43" s="970">
        <v>261</v>
      </c>
      <c r="AO43" s="970">
        <f t="shared" si="18"/>
        <v>0</v>
      </c>
    </row>
    <row r="44" spans="1:41" ht="21.95" customHeight="1" x14ac:dyDescent="0.2">
      <c r="A44" s="465" t="s">
        <v>104</v>
      </c>
      <c r="B44" s="1" t="s">
        <v>123</v>
      </c>
      <c r="C44" s="12">
        <v>2</v>
      </c>
      <c r="D44" s="27"/>
      <c r="E44" s="2"/>
      <c r="F44" s="2"/>
      <c r="G44" s="2"/>
      <c r="H44" s="33">
        <v>308</v>
      </c>
      <c r="I44" s="33">
        <v>0</v>
      </c>
      <c r="J44" s="33" t="s">
        <v>152</v>
      </c>
      <c r="K44" s="33" t="s">
        <v>152</v>
      </c>
      <c r="L44" s="33" t="s">
        <v>152</v>
      </c>
      <c r="M44" s="33" t="s">
        <v>152</v>
      </c>
      <c r="N44" s="33" t="s">
        <v>152</v>
      </c>
      <c r="O44" s="33" t="s">
        <v>152</v>
      </c>
      <c r="P44" s="130">
        <v>197</v>
      </c>
      <c r="Q44" s="130">
        <v>0</v>
      </c>
      <c r="S44" s="36"/>
      <c r="AH44" s="847">
        <v>217</v>
      </c>
      <c r="AI44" s="821" t="s">
        <v>760</v>
      </c>
      <c r="AJ44" s="821">
        <v>17</v>
      </c>
      <c r="AK44" s="818" t="s">
        <v>760</v>
      </c>
      <c r="AL44" s="1001"/>
      <c r="AM44" s="855" t="s">
        <v>104</v>
      </c>
      <c r="AN44" s="970">
        <v>217</v>
      </c>
      <c r="AO44" s="970">
        <f t="shared" si="18"/>
        <v>0</v>
      </c>
    </row>
    <row r="45" spans="1:41" ht="21.95" customHeight="1" x14ac:dyDescent="0.2">
      <c r="A45" s="467" t="s">
        <v>797</v>
      </c>
      <c r="B45" s="14" t="s">
        <v>123</v>
      </c>
      <c r="C45" s="328">
        <v>2</v>
      </c>
      <c r="D45" s="319"/>
      <c r="E45" s="309"/>
      <c r="F45" s="309"/>
      <c r="G45" s="309"/>
      <c r="H45" s="320"/>
      <c r="I45" s="320"/>
      <c r="J45" s="320"/>
      <c r="K45" s="320"/>
      <c r="L45" s="320"/>
      <c r="M45" s="320"/>
      <c r="N45" s="320"/>
      <c r="O45" s="320"/>
      <c r="P45" s="321"/>
      <c r="Q45" s="321"/>
      <c r="S45" s="322"/>
      <c r="V45" s="309">
        <v>313</v>
      </c>
      <c r="W45" s="309" t="s">
        <v>759</v>
      </c>
      <c r="X45" s="309">
        <v>23</v>
      </c>
      <c r="Y45" s="309" t="s">
        <v>760</v>
      </c>
      <c r="Z45" s="424">
        <v>263</v>
      </c>
      <c r="AA45" s="424" t="s">
        <v>758</v>
      </c>
      <c r="AB45" s="424">
        <v>39</v>
      </c>
      <c r="AC45" s="424" t="s">
        <v>758</v>
      </c>
      <c r="AD45" s="424"/>
      <c r="AE45" s="424"/>
      <c r="AF45" s="424"/>
      <c r="AG45" s="424"/>
      <c r="AH45" s="848">
        <v>298</v>
      </c>
      <c r="AI45" s="424" t="s">
        <v>759</v>
      </c>
      <c r="AJ45" s="424">
        <v>38</v>
      </c>
      <c r="AK45" s="424" t="s">
        <v>760</v>
      </c>
      <c r="AL45" s="919"/>
      <c r="AM45" s="855" t="s">
        <v>797</v>
      </c>
      <c r="AN45" s="970">
        <v>298</v>
      </c>
      <c r="AO45" s="970">
        <f t="shared" si="18"/>
        <v>0</v>
      </c>
    </row>
    <row r="46" spans="1:41" ht="21.95" customHeight="1" x14ac:dyDescent="0.2">
      <c r="A46" s="465" t="s">
        <v>40</v>
      </c>
      <c r="B46" s="1" t="s">
        <v>123</v>
      </c>
      <c r="C46" s="12">
        <v>4</v>
      </c>
      <c r="D46" s="27">
        <v>238.64230769230767</v>
      </c>
      <c r="E46" s="2"/>
      <c r="F46" s="2">
        <v>231</v>
      </c>
      <c r="G46" s="2"/>
      <c r="H46" s="33">
        <v>247</v>
      </c>
      <c r="I46" s="33">
        <v>42</v>
      </c>
      <c r="J46" s="33">
        <v>263</v>
      </c>
      <c r="K46" s="33">
        <v>39</v>
      </c>
      <c r="L46" s="33">
        <v>270</v>
      </c>
      <c r="M46" s="33">
        <v>50</v>
      </c>
      <c r="N46" s="33">
        <v>286</v>
      </c>
      <c r="O46" s="33">
        <v>36</v>
      </c>
      <c r="P46" s="130">
        <v>239</v>
      </c>
      <c r="Q46" s="130">
        <v>34</v>
      </c>
      <c r="R46" s="246">
        <v>262</v>
      </c>
      <c r="S46" s="246" t="s">
        <v>759</v>
      </c>
      <c r="T46" s="246">
        <v>41</v>
      </c>
      <c r="U46" s="246" t="s">
        <v>758</v>
      </c>
      <c r="V46" s="309">
        <v>253</v>
      </c>
      <c r="W46" s="309" t="s">
        <v>760</v>
      </c>
      <c r="X46" s="309">
        <v>38</v>
      </c>
      <c r="Y46" s="309" t="s">
        <v>758</v>
      </c>
      <c r="Z46" s="424">
        <v>251</v>
      </c>
      <c r="AA46" s="424" t="s">
        <v>760</v>
      </c>
      <c r="AB46" s="424">
        <v>41</v>
      </c>
      <c r="AC46" s="424" t="s">
        <v>758</v>
      </c>
      <c r="AD46" s="464">
        <v>237</v>
      </c>
      <c r="AE46" s="464" t="s">
        <v>760</v>
      </c>
      <c r="AF46" s="464">
        <v>41</v>
      </c>
      <c r="AG46" s="464" t="s">
        <v>758</v>
      </c>
      <c r="AH46" s="848">
        <v>258</v>
      </c>
      <c r="AI46" s="464" t="s">
        <v>760</v>
      </c>
      <c r="AJ46" s="464">
        <v>49</v>
      </c>
      <c r="AK46" s="464" t="s">
        <v>758</v>
      </c>
      <c r="AL46" s="917"/>
      <c r="AM46" s="855" t="s">
        <v>40</v>
      </c>
      <c r="AN46" s="970">
        <v>258</v>
      </c>
      <c r="AO46" s="970">
        <f t="shared" si="18"/>
        <v>0</v>
      </c>
    </row>
    <row r="47" spans="1:41" ht="21.95" customHeight="1" x14ac:dyDescent="0.2">
      <c r="A47" s="465" t="s">
        <v>31</v>
      </c>
      <c r="B47" s="1" t="s">
        <v>123</v>
      </c>
      <c r="C47" s="12">
        <v>1</v>
      </c>
      <c r="D47" s="27">
        <v>246.30769230769229</v>
      </c>
      <c r="E47" s="2"/>
      <c r="F47" s="2">
        <v>247</v>
      </c>
      <c r="G47" s="2"/>
      <c r="H47" s="33">
        <v>250</v>
      </c>
      <c r="I47" s="33">
        <v>36</v>
      </c>
      <c r="J47" s="33" t="s">
        <v>152</v>
      </c>
      <c r="K47" s="33" t="s">
        <v>152</v>
      </c>
      <c r="L47" s="33" t="s">
        <v>152</v>
      </c>
      <c r="M47" s="33" t="s">
        <v>152</v>
      </c>
      <c r="N47" s="33" t="s">
        <v>152</v>
      </c>
      <c r="O47" s="33" t="s">
        <v>152</v>
      </c>
      <c r="P47" s="33" t="s">
        <v>152</v>
      </c>
      <c r="Q47" s="33" t="s">
        <v>152</v>
      </c>
      <c r="S47" s="36"/>
      <c r="AH47" s="845"/>
      <c r="AK47" s="818"/>
      <c r="AL47" s="1001"/>
      <c r="AM47" s="855"/>
      <c r="AN47" s="970"/>
      <c r="AO47" s="970"/>
    </row>
    <row r="48" spans="1:41" ht="21.95" customHeight="1" x14ac:dyDescent="0.2">
      <c r="A48" s="465" t="s">
        <v>43</v>
      </c>
      <c r="B48" s="1" t="s">
        <v>123</v>
      </c>
      <c r="C48" s="12">
        <v>2</v>
      </c>
      <c r="D48" s="27">
        <v>243.70384615384614</v>
      </c>
      <c r="E48" s="2"/>
      <c r="F48" s="2">
        <v>229</v>
      </c>
      <c r="G48" s="2"/>
      <c r="H48" s="33">
        <v>233</v>
      </c>
      <c r="I48" s="33">
        <v>34</v>
      </c>
      <c r="J48" s="33" t="s">
        <v>152</v>
      </c>
      <c r="K48" s="33" t="s">
        <v>152</v>
      </c>
      <c r="L48" s="33">
        <v>223</v>
      </c>
      <c r="M48" s="33">
        <v>33</v>
      </c>
      <c r="N48" s="33">
        <v>250</v>
      </c>
      <c r="O48" s="33">
        <v>30</v>
      </c>
      <c r="P48" s="130">
        <v>271</v>
      </c>
      <c r="Q48" s="130">
        <v>33</v>
      </c>
      <c r="R48" s="246">
        <v>237</v>
      </c>
      <c r="S48" s="246" t="s">
        <v>760</v>
      </c>
      <c r="T48" s="246">
        <v>52</v>
      </c>
      <c r="U48" s="246" t="s">
        <v>759</v>
      </c>
      <c r="Z48" s="424">
        <v>265</v>
      </c>
      <c r="AA48" s="424" t="s">
        <v>758</v>
      </c>
      <c r="AB48" s="424">
        <v>37</v>
      </c>
      <c r="AC48" s="424" t="s">
        <v>758</v>
      </c>
      <c r="AD48" s="464">
        <v>287</v>
      </c>
      <c r="AE48" s="464" t="s">
        <v>759</v>
      </c>
      <c r="AF48" s="464">
        <v>39</v>
      </c>
      <c r="AG48" s="464" t="s">
        <v>758</v>
      </c>
      <c r="AH48" s="848">
        <v>237</v>
      </c>
      <c r="AI48" s="464" t="s">
        <v>760</v>
      </c>
      <c r="AJ48" s="464">
        <v>31</v>
      </c>
      <c r="AK48" s="464" t="s">
        <v>760</v>
      </c>
      <c r="AL48" s="917"/>
      <c r="AM48" s="855" t="s">
        <v>43</v>
      </c>
      <c r="AN48" s="970">
        <v>237</v>
      </c>
      <c r="AO48" s="970">
        <f t="shared" si="18"/>
        <v>0</v>
      </c>
    </row>
    <row r="49" spans="1:41" ht="21.95" customHeight="1" x14ac:dyDescent="0.2">
      <c r="A49" s="466" t="s">
        <v>164</v>
      </c>
      <c r="B49" s="1" t="s">
        <v>123</v>
      </c>
      <c r="C49" s="12">
        <v>6</v>
      </c>
      <c r="D49" s="27"/>
      <c r="E49" s="2"/>
      <c r="F49" s="2"/>
      <c r="G49" s="2"/>
      <c r="H49" s="33"/>
      <c r="I49" s="33"/>
      <c r="J49" s="33"/>
      <c r="K49" s="33"/>
      <c r="L49" s="33"/>
      <c r="M49" s="33"/>
      <c r="N49" s="33"/>
      <c r="O49" s="33"/>
      <c r="P49" s="130">
        <v>242</v>
      </c>
      <c r="Q49" s="130">
        <v>34</v>
      </c>
      <c r="R49" s="246">
        <v>262</v>
      </c>
      <c r="S49" s="246" t="s">
        <v>759</v>
      </c>
      <c r="T49" s="246">
        <v>42</v>
      </c>
      <c r="U49" s="246" t="s">
        <v>758</v>
      </c>
      <c r="V49" s="309">
        <v>232</v>
      </c>
      <c r="W49" s="309" t="s">
        <v>760</v>
      </c>
      <c r="X49" s="309">
        <v>45</v>
      </c>
      <c r="Y49" s="309" t="s">
        <v>758</v>
      </c>
      <c r="Z49" s="424">
        <v>260</v>
      </c>
      <c r="AA49" s="424" t="s">
        <v>758</v>
      </c>
      <c r="AB49" s="424">
        <v>49</v>
      </c>
      <c r="AC49" s="424" t="s">
        <v>758</v>
      </c>
      <c r="AD49" s="464">
        <v>257</v>
      </c>
      <c r="AE49" s="464" t="s">
        <v>760</v>
      </c>
      <c r="AF49" s="464">
        <v>37</v>
      </c>
      <c r="AG49" s="464" t="s">
        <v>760</v>
      </c>
      <c r="AH49" s="849">
        <v>273</v>
      </c>
      <c r="AI49" s="464" t="s">
        <v>759</v>
      </c>
      <c r="AJ49" s="464">
        <v>39</v>
      </c>
      <c r="AK49" s="464" t="s">
        <v>758</v>
      </c>
      <c r="AL49" s="917"/>
      <c r="AM49" s="855" t="s">
        <v>164</v>
      </c>
      <c r="AN49" s="970">
        <v>273</v>
      </c>
      <c r="AO49" s="970">
        <f t="shared" si="18"/>
        <v>0</v>
      </c>
    </row>
    <row r="50" spans="1:41" ht="21.95" customHeight="1" x14ac:dyDescent="0.2">
      <c r="A50" s="465" t="s">
        <v>125</v>
      </c>
      <c r="B50" s="1" t="s">
        <v>121</v>
      </c>
      <c r="C50" s="12">
        <v>3</v>
      </c>
      <c r="D50" s="27"/>
      <c r="E50" s="2"/>
      <c r="F50" s="2"/>
      <c r="G50" s="2"/>
      <c r="H50" s="33" t="s">
        <v>152</v>
      </c>
      <c r="I50" s="33" t="s">
        <v>152</v>
      </c>
      <c r="J50" s="33">
        <v>257</v>
      </c>
      <c r="K50" s="33">
        <v>37</v>
      </c>
      <c r="L50" s="33">
        <v>246</v>
      </c>
      <c r="M50" s="33">
        <v>36</v>
      </c>
      <c r="N50" s="33">
        <v>246</v>
      </c>
      <c r="O50" s="33">
        <v>41</v>
      </c>
      <c r="P50" s="130">
        <v>238</v>
      </c>
      <c r="Q50" s="130">
        <v>42</v>
      </c>
      <c r="R50" s="246">
        <v>240</v>
      </c>
      <c r="S50" s="246" t="s">
        <v>760</v>
      </c>
      <c r="T50" s="246">
        <v>39</v>
      </c>
      <c r="U50" s="246" t="s">
        <v>758</v>
      </c>
      <c r="V50" s="309">
        <v>241</v>
      </c>
      <c r="W50" s="309" t="s">
        <v>760</v>
      </c>
      <c r="X50" s="309">
        <v>36</v>
      </c>
      <c r="Y50" s="309" t="s">
        <v>760</v>
      </c>
      <c r="Z50" s="424">
        <v>253</v>
      </c>
      <c r="AA50" s="424" t="s">
        <v>760</v>
      </c>
      <c r="AB50" s="424">
        <v>39</v>
      </c>
      <c r="AC50" s="424" t="s">
        <v>758</v>
      </c>
      <c r="AD50" s="464">
        <v>248</v>
      </c>
      <c r="AE50" s="464" t="s">
        <v>760</v>
      </c>
      <c r="AF50" s="464">
        <v>42</v>
      </c>
      <c r="AG50" s="464" t="s">
        <v>758</v>
      </c>
      <c r="AH50" s="848">
        <v>255</v>
      </c>
      <c r="AI50" s="464" t="s">
        <v>760</v>
      </c>
      <c r="AJ50" s="464">
        <v>42</v>
      </c>
      <c r="AK50" s="464" t="s">
        <v>758</v>
      </c>
      <c r="AL50" s="917"/>
      <c r="AM50" s="855" t="s">
        <v>125</v>
      </c>
      <c r="AN50" s="970">
        <v>255</v>
      </c>
      <c r="AO50" s="970">
        <f t="shared" si="18"/>
        <v>0</v>
      </c>
    </row>
    <row r="51" spans="1:41" ht="21.95" customHeight="1" x14ac:dyDescent="0.2">
      <c r="A51" s="465" t="s">
        <v>72</v>
      </c>
      <c r="B51" s="1" t="s">
        <v>123</v>
      </c>
      <c r="C51" s="12">
        <v>2</v>
      </c>
      <c r="D51" s="27">
        <v>286.25769230769225</v>
      </c>
      <c r="E51" s="2"/>
      <c r="F51" s="2">
        <v>277</v>
      </c>
      <c r="G51" s="2"/>
      <c r="H51" s="33">
        <v>299</v>
      </c>
      <c r="I51" s="33">
        <v>35</v>
      </c>
      <c r="J51" s="33">
        <v>293</v>
      </c>
      <c r="K51" s="33">
        <v>36</v>
      </c>
      <c r="L51" s="33">
        <v>292</v>
      </c>
      <c r="M51" s="33">
        <v>33</v>
      </c>
      <c r="N51" s="33">
        <v>292</v>
      </c>
      <c r="O51" s="33">
        <v>37</v>
      </c>
      <c r="P51" s="130">
        <v>298</v>
      </c>
      <c r="Q51" s="130">
        <v>37</v>
      </c>
      <c r="R51" s="246">
        <v>288</v>
      </c>
      <c r="S51" s="246" t="s">
        <v>759</v>
      </c>
      <c r="T51" s="246">
        <v>39</v>
      </c>
      <c r="U51" s="246" t="s">
        <v>758</v>
      </c>
      <c r="V51" s="309">
        <v>296</v>
      </c>
      <c r="W51" s="309" t="s">
        <v>759</v>
      </c>
      <c r="X51" s="309">
        <v>36</v>
      </c>
      <c r="Y51" s="309" t="s">
        <v>760</v>
      </c>
      <c r="Z51" s="424">
        <v>295</v>
      </c>
      <c r="AA51" s="424" t="s">
        <v>759</v>
      </c>
      <c r="AB51" s="424">
        <v>36</v>
      </c>
      <c r="AC51" s="424" t="s">
        <v>760</v>
      </c>
      <c r="AD51" s="464">
        <v>301</v>
      </c>
      <c r="AE51" s="464" t="s">
        <v>759</v>
      </c>
      <c r="AF51" s="464">
        <v>37</v>
      </c>
      <c r="AG51" s="464" t="s">
        <v>760</v>
      </c>
      <c r="AH51" s="848">
        <v>295</v>
      </c>
      <c r="AI51" s="464" t="s">
        <v>759</v>
      </c>
      <c r="AJ51" s="464">
        <v>41</v>
      </c>
      <c r="AK51" s="464" t="s">
        <v>758</v>
      </c>
      <c r="AL51" s="917"/>
      <c r="AM51" s="855" t="s">
        <v>72</v>
      </c>
      <c r="AN51" s="970">
        <v>295</v>
      </c>
      <c r="AO51" s="970">
        <f t="shared" si="18"/>
        <v>0</v>
      </c>
    </row>
    <row r="52" spans="1:41" ht="21.95" customHeight="1" x14ac:dyDescent="0.2">
      <c r="A52" s="466" t="s">
        <v>165</v>
      </c>
      <c r="B52" s="1" t="s">
        <v>123</v>
      </c>
      <c r="C52" s="12">
        <v>2</v>
      </c>
      <c r="D52" s="27"/>
      <c r="E52" s="2"/>
      <c r="F52" s="2">
        <v>249</v>
      </c>
      <c r="G52" s="2"/>
      <c r="H52" s="33"/>
      <c r="I52" s="33"/>
      <c r="J52" s="33"/>
      <c r="K52" s="33"/>
      <c r="L52" s="33"/>
      <c r="M52" s="33"/>
      <c r="N52" s="33"/>
      <c r="O52" s="33"/>
      <c r="P52" s="130">
        <v>252</v>
      </c>
      <c r="Q52" s="130">
        <v>0</v>
      </c>
      <c r="AH52" s="847">
        <v>249</v>
      </c>
      <c r="AI52" s="821" t="s">
        <v>760</v>
      </c>
      <c r="AJ52" s="821">
        <v>40</v>
      </c>
      <c r="AK52" s="818" t="s">
        <v>758</v>
      </c>
      <c r="AL52" s="1001"/>
      <c r="AM52" s="855" t="s">
        <v>165</v>
      </c>
      <c r="AN52" s="970">
        <v>249</v>
      </c>
      <c r="AO52" s="970">
        <f t="shared" si="18"/>
        <v>0</v>
      </c>
    </row>
    <row r="53" spans="1:41" ht="21.95" customHeight="1" x14ac:dyDescent="0.2">
      <c r="A53" s="465" t="s">
        <v>76</v>
      </c>
      <c r="B53" s="1" t="s">
        <v>123</v>
      </c>
      <c r="C53" s="12">
        <v>5</v>
      </c>
      <c r="D53" s="27">
        <v>263.62692307692311</v>
      </c>
      <c r="E53" s="2"/>
      <c r="F53" s="2">
        <v>258</v>
      </c>
      <c r="G53" s="2"/>
      <c r="H53" s="33">
        <v>273</v>
      </c>
      <c r="I53" s="33">
        <v>28</v>
      </c>
      <c r="J53" s="33">
        <v>276</v>
      </c>
      <c r="K53" s="33">
        <v>32</v>
      </c>
      <c r="L53" s="33">
        <v>272</v>
      </c>
      <c r="M53" s="33">
        <v>39</v>
      </c>
      <c r="N53" s="33">
        <v>283</v>
      </c>
      <c r="O53" s="33">
        <v>39</v>
      </c>
      <c r="P53" s="130">
        <v>285</v>
      </c>
      <c r="Q53" s="130">
        <v>39</v>
      </c>
      <c r="R53" s="246">
        <v>298</v>
      </c>
      <c r="S53" s="246" t="s">
        <v>759</v>
      </c>
      <c r="T53" s="246">
        <v>45</v>
      </c>
      <c r="U53" s="246" t="s">
        <v>758</v>
      </c>
      <c r="V53" s="309">
        <v>287</v>
      </c>
      <c r="W53" s="309" t="s">
        <v>759</v>
      </c>
      <c r="X53" s="309">
        <v>25</v>
      </c>
      <c r="Y53" s="309" t="s">
        <v>760</v>
      </c>
      <c r="Z53" s="424">
        <v>284</v>
      </c>
      <c r="AA53" s="424" t="s">
        <v>759</v>
      </c>
      <c r="AB53" s="424">
        <v>30</v>
      </c>
      <c r="AC53" s="424" t="s">
        <v>760</v>
      </c>
      <c r="AD53" s="464">
        <v>287</v>
      </c>
      <c r="AE53" s="464" t="s">
        <v>759</v>
      </c>
      <c r="AF53" s="464">
        <v>34</v>
      </c>
      <c r="AG53" s="464" t="s">
        <v>760</v>
      </c>
      <c r="AH53" s="848">
        <v>291</v>
      </c>
      <c r="AI53" s="464" t="s">
        <v>759</v>
      </c>
      <c r="AJ53" s="464">
        <v>40</v>
      </c>
      <c r="AK53" s="464" t="s">
        <v>758</v>
      </c>
      <c r="AL53" s="917"/>
      <c r="AM53" s="855" t="s">
        <v>76</v>
      </c>
      <c r="AN53" s="970">
        <v>291</v>
      </c>
      <c r="AO53" s="970">
        <f t="shared" si="18"/>
        <v>0</v>
      </c>
    </row>
    <row r="54" spans="1:41" ht="21.95" customHeight="1" x14ac:dyDescent="0.2">
      <c r="A54" s="467" t="s">
        <v>798</v>
      </c>
      <c r="B54" s="14" t="s">
        <v>123</v>
      </c>
      <c r="C54" s="328">
        <v>6</v>
      </c>
      <c r="D54" s="319"/>
      <c r="E54" s="309"/>
      <c r="F54" s="309"/>
      <c r="G54" s="309"/>
      <c r="H54" s="320"/>
      <c r="I54" s="320"/>
      <c r="J54" s="320"/>
      <c r="K54" s="320"/>
      <c r="L54" s="320"/>
      <c r="M54" s="320"/>
      <c r="N54" s="320"/>
      <c r="O54" s="320"/>
      <c r="P54" s="321"/>
      <c r="Q54" s="321"/>
      <c r="R54" s="312"/>
      <c r="S54" s="312"/>
      <c r="T54" s="312"/>
      <c r="U54" s="312"/>
      <c r="V54" s="309">
        <v>308</v>
      </c>
      <c r="W54" s="309" t="s">
        <v>759</v>
      </c>
      <c r="X54" s="309">
        <v>44</v>
      </c>
      <c r="Y54" s="309" t="s">
        <v>758</v>
      </c>
      <c r="Z54" s="424">
        <v>304</v>
      </c>
      <c r="AA54" s="424" t="s">
        <v>759</v>
      </c>
      <c r="AB54" s="424">
        <v>33</v>
      </c>
      <c r="AC54" s="424" t="s">
        <v>760</v>
      </c>
      <c r="AD54" s="464">
        <v>320</v>
      </c>
      <c r="AE54" s="464" t="s">
        <v>759</v>
      </c>
      <c r="AF54" s="464">
        <v>49</v>
      </c>
      <c r="AG54" s="464" t="s">
        <v>758</v>
      </c>
      <c r="AH54" s="848">
        <v>321</v>
      </c>
      <c r="AI54" s="464" t="s">
        <v>759</v>
      </c>
      <c r="AJ54" s="464">
        <v>34</v>
      </c>
      <c r="AK54" s="464" t="s">
        <v>760</v>
      </c>
      <c r="AL54" s="917"/>
      <c r="AM54" s="855" t="s">
        <v>798</v>
      </c>
      <c r="AN54" s="970">
        <v>321</v>
      </c>
      <c r="AO54" s="970">
        <f t="shared" si="18"/>
        <v>0</v>
      </c>
    </row>
    <row r="55" spans="1:41" ht="21.95" customHeight="1" x14ac:dyDescent="0.2">
      <c r="A55" s="465" t="s">
        <v>60</v>
      </c>
      <c r="B55" s="1" t="s">
        <v>123</v>
      </c>
      <c r="C55" s="12">
        <v>1</v>
      </c>
      <c r="D55" s="27">
        <v>256</v>
      </c>
      <c r="E55" s="2"/>
      <c r="F55" s="2">
        <v>260</v>
      </c>
      <c r="G55" s="2"/>
      <c r="H55" s="33">
        <v>271</v>
      </c>
      <c r="I55" s="33">
        <v>39</v>
      </c>
      <c r="J55" s="33">
        <v>270</v>
      </c>
      <c r="K55" s="33">
        <v>37</v>
      </c>
      <c r="L55" s="33">
        <v>275</v>
      </c>
      <c r="M55" s="33">
        <v>37</v>
      </c>
      <c r="N55" s="33">
        <v>270</v>
      </c>
      <c r="O55" s="33">
        <v>37</v>
      </c>
      <c r="P55" s="130">
        <v>266</v>
      </c>
      <c r="Q55" s="130">
        <v>40</v>
      </c>
      <c r="R55" s="246">
        <v>267</v>
      </c>
      <c r="S55" s="246" t="s">
        <v>759</v>
      </c>
      <c r="T55" s="246">
        <v>36</v>
      </c>
      <c r="U55" s="246" t="s">
        <v>758</v>
      </c>
      <c r="V55" s="309">
        <v>269</v>
      </c>
      <c r="W55" s="309" t="s">
        <v>759</v>
      </c>
      <c r="X55" s="309">
        <v>34</v>
      </c>
      <c r="Y55" s="309" t="s">
        <v>760</v>
      </c>
      <c r="Z55" s="424">
        <v>271</v>
      </c>
      <c r="AA55" s="424" t="s">
        <v>759</v>
      </c>
      <c r="AB55" s="424">
        <v>44</v>
      </c>
      <c r="AC55" s="424" t="s">
        <v>758</v>
      </c>
      <c r="AD55" s="464">
        <v>276</v>
      </c>
      <c r="AE55" s="464" t="s">
        <v>759</v>
      </c>
      <c r="AF55" s="464">
        <v>41</v>
      </c>
      <c r="AG55" s="464" t="s">
        <v>758</v>
      </c>
      <c r="AH55" s="848">
        <v>285</v>
      </c>
      <c r="AI55" s="464" t="s">
        <v>759</v>
      </c>
      <c r="AJ55" s="464">
        <v>36</v>
      </c>
      <c r="AK55" s="464" t="s">
        <v>760</v>
      </c>
      <c r="AL55" s="917"/>
      <c r="AM55" s="855" t="s">
        <v>60</v>
      </c>
      <c r="AN55" s="970">
        <v>285</v>
      </c>
      <c r="AO55" s="970">
        <f t="shared" si="18"/>
        <v>0</v>
      </c>
    </row>
    <row r="56" spans="1:41" ht="21.95" customHeight="1" x14ac:dyDescent="0.2">
      <c r="A56" s="465" t="s">
        <v>131</v>
      </c>
      <c r="B56" s="1" t="s">
        <v>123</v>
      </c>
      <c r="C56" s="12">
        <v>1</v>
      </c>
      <c r="D56" s="27"/>
      <c r="E56" s="2"/>
      <c r="F56" s="2"/>
      <c r="G56" s="2"/>
      <c r="H56" s="33" t="s">
        <v>152</v>
      </c>
      <c r="I56" s="33" t="s">
        <v>152</v>
      </c>
      <c r="J56" s="33" t="s">
        <v>152</v>
      </c>
      <c r="K56" s="33" t="s">
        <v>152</v>
      </c>
      <c r="L56" s="33">
        <v>269</v>
      </c>
      <c r="M56" s="33">
        <v>36</v>
      </c>
      <c r="N56" s="33">
        <v>250</v>
      </c>
      <c r="O56" s="33">
        <v>38</v>
      </c>
      <c r="P56" s="130">
        <v>259</v>
      </c>
      <c r="Q56" s="130">
        <v>25</v>
      </c>
      <c r="R56" s="246">
        <v>279</v>
      </c>
      <c r="S56" s="246" t="s">
        <v>759</v>
      </c>
      <c r="T56" s="246">
        <v>8</v>
      </c>
      <c r="U56" s="246" t="s">
        <v>760</v>
      </c>
      <c r="V56" s="309">
        <v>274</v>
      </c>
      <c r="W56" s="309" t="s">
        <v>759</v>
      </c>
      <c r="X56" s="309">
        <v>40</v>
      </c>
      <c r="Y56" s="309" t="s">
        <v>758</v>
      </c>
      <c r="Z56" s="424">
        <v>279</v>
      </c>
      <c r="AA56" s="424" t="s">
        <v>759</v>
      </c>
      <c r="AB56" s="424">
        <v>41</v>
      </c>
      <c r="AC56" s="424" t="s">
        <v>758</v>
      </c>
      <c r="AD56" s="464">
        <v>241</v>
      </c>
      <c r="AE56" s="464" t="s">
        <v>760</v>
      </c>
      <c r="AF56" s="464">
        <v>39</v>
      </c>
      <c r="AG56" s="464" t="s">
        <v>758</v>
      </c>
      <c r="AH56" s="849">
        <v>266</v>
      </c>
      <c r="AI56" s="464" t="s">
        <v>758</v>
      </c>
      <c r="AJ56" s="464">
        <v>36</v>
      </c>
      <c r="AK56" s="464" t="s">
        <v>760</v>
      </c>
      <c r="AL56" s="917"/>
      <c r="AM56" s="855" t="s">
        <v>131</v>
      </c>
      <c r="AN56" s="970">
        <v>266</v>
      </c>
      <c r="AO56" s="970">
        <f t="shared" si="18"/>
        <v>0</v>
      </c>
    </row>
    <row r="57" spans="1:41" ht="21.95" customHeight="1" x14ac:dyDescent="0.2">
      <c r="A57" s="465" t="s">
        <v>67</v>
      </c>
      <c r="B57" s="1" t="s">
        <v>123</v>
      </c>
      <c r="C57" s="12">
        <v>2</v>
      </c>
      <c r="D57" s="27">
        <v>259.35769230769228</v>
      </c>
      <c r="E57" s="2"/>
      <c r="F57" s="2">
        <v>262</v>
      </c>
      <c r="G57" s="2"/>
      <c r="H57" s="33">
        <v>269</v>
      </c>
      <c r="I57" s="33">
        <v>32</v>
      </c>
      <c r="J57" s="33">
        <v>269</v>
      </c>
      <c r="K57" s="33">
        <v>40</v>
      </c>
      <c r="L57" s="33">
        <v>261</v>
      </c>
      <c r="M57" s="33">
        <v>41</v>
      </c>
      <c r="N57" s="33">
        <v>271</v>
      </c>
      <c r="O57" s="33">
        <v>40</v>
      </c>
      <c r="P57" s="130">
        <v>257</v>
      </c>
      <c r="Q57" s="130">
        <v>35</v>
      </c>
      <c r="R57" s="246">
        <v>276</v>
      </c>
      <c r="S57" s="246" t="s">
        <v>759</v>
      </c>
      <c r="T57" s="246">
        <v>37</v>
      </c>
      <c r="U57" s="246" t="s">
        <v>758</v>
      </c>
      <c r="V57" s="309">
        <v>279</v>
      </c>
      <c r="W57" s="309" t="s">
        <v>759</v>
      </c>
      <c r="X57" s="309">
        <v>44</v>
      </c>
      <c r="Y57" s="309" t="s">
        <v>758</v>
      </c>
      <c r="Z57" s="424">
        <v>276</v>
      </c>
      <c r="AA57" s="424" t="s">
        <v>759</v>
      </c>
      <c r="AB57" s="424">
        <v>43</v>
      </c>
      <c r="AC57" s="424" t="s">
        <v>758</v>
      </c>
      <c r="AD57" s="464">
        <v>283</v>
      </c>
      <c r="AE57" s="464" t="s">
        <v>759</v>
      </c>
      <c r="AF57" s="464">
        <v>42</v>
      </c>
      <c r="AG57" s="464" t="s">
        <v>758</v>
      </c>
      <c r="AH57" s="849">
        <v>281</v>
      </c>
      <c r="AI57" s="464" t="s">
        <v>759</v>
      </c>
      <c r="AJ57" s="464">
        <v>41</v>
      </c>
      <c r="AK57" s="464" t="s">
        <v>758</v>
      </c>
      <c r="AL57" s="917"/>
      <c r="AM57" s="855" t="s">
        <v>67</v>
      </c>
      <c r="AN57" s="970">
        <v>281</v>
      </c>
      <c r="AO57" s="970">
        <f t="shared" si="18"/>
        <v>0</v>
      </c>
    </row>
    <row r="58" spans="1:41" ht="21.95" customHeight="1" x14ac:dyDescent="0.2">
      <c r="A58" s="465" t="s">
        <v>85</v>
      </c>
      <c r="B58" s="1" t="s">
        <v>123</v>
      </c>
      <c r="C58" s="12">
        <v>3</v>
      </c>
      <c r="D58" s="27">
        <v>245.42692307692309</v>
      </c>
      <c r="E58" s="2"/>
      <c r="F58" s="2">
        <v>266</v>
      </c>
      <c r="G58" s="2"/>
      <c r="H58" s="33">
        <v>276</v>
      </c>
      <c r="I58" s="33">
        <v>37</v>
      </c>
      <c r="J58" s="33">
        <v>253</v>
      </c>
      <c r="K58" s="33">
        <v>39</v>
      </c>
      <c r="L58" s="33">
        <v>266</v>
      </c>
      <c r="M58" s="33">
        <v>31</v>
      </c>
      <c r="N58" s="33">
        <v>248</v>
      </c>
      <c r="O58" s="33">
        <v>39</v>
      </c>
      <c r="P58" s="130">
        <v>268</v>
      </c>
      <c r="Q58" s="130">
        <v>35</v>
      </c>
      <c r="R58" s="246">
        <v>260</v>
      </c>
      <c r="S58" s="246" t="s">
        <v>758</v>
      </c>
      <c r="T58" s="246">
        <v>40</v>
      </c>
      <c r="U58" s="246" t="s">
        <v>758</v>
      </c>
      <c r="V58" s="309">
        <v>243</v>
      </c>
      <c r="W58" s="309" t="s">
        <v>760</v>
      </c>
      <c r="X58" s="309">
        <v>41</v>
      </c>
      <c r="Y58" s="309" t="s">
        <v>758</v>
      </c>
      <c r="Z58" s="424">
        <v>253</v>
      </c>
      <c r="AA58" s="424" t="s">
        <v>760</v>
      </c>
      <c r="AB58" s="424">
        <v>40</v>
      </c>
      <c r="AC58" s="424" t="s">
        <v>758</v>
      </c>
      <c r="AD58" s="464">
        <v>258</v>
      </c>
      <c r="AE58" s="464" t="s">
        <v>760</v>
      </c>
      <c r="AF58" s="464">
        <v>48</v>
      </c>
      <c r="AG58" s="464" t="s">
        <v>758</v>
      </c>
      <c r="AH58" s="849">
        <v>253</v>
      </c>
      <c r="AI58" s="464" t="s">
        <v>760</v>
      </c>
      <c r="AJ58" s="464">
        <v>46</v>
      </c>
      <c r="AK58" s="464" t="s">
        <v>758</v>
      </c>
      <c r="AL58" s="917"/>
      <c r="AM58" s="855" t="s">
        <v>85</v>
      </c>
      <c r="AN58" s="970">
        <v>253</v>
      </c>
      <c r="AO58" s="970">
        <f t="shared" si="18"/>
        <v>0</v>
      </c>
    </row>
    <row r="59" spans="1:41" ht="21.95" customHeight="1" x14ac:dyDescent="0.2">
      <c r="A59" s="465" t="s">
        <v>727</v>
      </c>
      <c r="B59" s="1" t="s">
        <v>123</v>
      </c>
      <c r="C59" s="12">
        <v>4</v>
      </c>
      <c r="D59" s="27">
        <v>211</v>
      </c>
      <c r="E59" s="2"/>
      <c r="F59" s="2">
        <v>222</v>
      </c>
      <c r="G59" s="2"/>
      <c r="H59" s="33"/>
      <c r="I59" s="33"/>
      <c r="J59" s="33"/>
      <c r="K59" s="33"/>
      <c r="L59" s="33"/>
      <c r="M59" s="33"/>
      <c r="N59" s="33"/>
      <c r="O59" s="33"/>
      <c r="P59" s="130"/>
      <c r="Q59" s="130"/>
      <c r="AH59" s="845"/>
      <c r="AK59" s="818"/>
      <c r="AL59" s="1001"/>
      <c r="AM59" s="855"/>
      <c r="AN59" s="970"/>
      <c r="AO59" s="970"/>
    </row>
    <row r="60" spans="1:41" ht="21.95" customHeight="1" x14ac:dyDescent="0.2">
      <c r="A60" s="465" t="s">
        <v>109</v>
      </c>
      <c r="B60" s="1" t="s">
        <v>123</v>
      </c>
      <c r="C60" s="12">
        <v>3</v>
      </c>
      <c r="D60" s="27">
        <v>265</v>
      </c>
      <c r="E60" s="2"/>
      <c r="F60" s="2">
        <v>272</v>
      </c>
      <c r="G60" s="2"/>
      <c r="H60" s="33">
        <v>280</v>
      </c>
      <c r="I60" s="33">
        <v>36</v>
      </c>
      <c r="J60" s="33">
        <v>285</v>
      </c>
      <c r="K60" s="33">
        <v>34</v>
      </c>
      <c r="L60" s="33">
        <v>279</v>
      </c>
      <c r="M60" s="33">
        <v>36</v>
      </c>
      <c r="N60" s="33">
        <v>282</v>
      </c>
      <c r="O60" s="33">
        <v>38</v>
      </c>
      <c r="P60" s="130">
        <v>281</v>
      </c>
      <c r="Q60" s="130">
        <v>38</v>
      </c>
      <c r="R60" s="246">
        <v>283</v>
      </c>
      <c r="S60" s="246" t="s">
        <v>759</v>
      </c>
      <c r="T60" s="246">
        <v>41</v>
      </c>
      <c r="U60" s="246" t="s">
        <v>758</v>
      </c>
      <c r="V60" s="309">
        <v>296</v>
      </c>
      <c r="W60" s="309" t="s">
        <v>759</v>
      </c>
      <c r="X60" s="309">
        <v>43</v>
      </c>
      <c r="Y60" s="309" t="s">
        <v>758</v>
      </c>
      <c r="Z60" s="424">
        <v>286</v>
      </c>
      <c r="AA60" s="424" t="s">
        <v>759</v>
      </c>
      <c r="AB60" s="424">
        <v>40</v>
      </c>
      <c r="AC60" s="424" t="s">
        <v>758</v>
      </c>
      <c r="AD60" s="464">
        <v>293</v>
      </c>
      <c r="AE60" s="464" t="s">
        <v>759</v>
      </c>
      <c r="AF60" s="464">
        <v>42</v>
      </c>
      <c r="AG60" s="464" t="s">
        <v>758</v>
      </c>
      <c r="AH60" s="849">
        <v>293</v>
      </c>
      <c r="AI60" s="464" t="s">
        <v>759</v>
      </c>
      <c r="AJ60" s="464">
        <v>42</v>
      </c>
      <c r="AK60" s="464" t="s">
        <v>758</v>
      </c>
      <c r="AL60" s="917"/>
      <c r="AM60" s="855" t="s">
        <v>109</v>
      </c>
      <c r="AN60" s="970">
        <v>293</v>
      </c>
      <c r="AO60" s="970">
        <f t="shared" si="18"/>
        <v>0</v>
      </c>
    </row>
    <row r="61" spans="1:41" s="818" customFormat="1" ht="21.95" customHeight="1" x14ac:dyDescent="0.2">
      <c r="A61" s="824" t="s">
        <v>960</v>
      </c>
      <c r="B61" s="1" t="s">
        <v>123</v>
      </c>
      <c r="C61" s="825">
        <v>6</v>
      </c>
      <c r="D61" s="826"/>
      <c r="E61" s="827"/>
      <c r="F61" s="827"/>
      <c r="G61" s="827"/>
      <c r="H61" s="828"/>
      <c r="I61" s="828"/>
      <c r="J61" s="828"/>
      <c r="K61" s="828"/>
      <c r="L61" s="828"/>
      <c r="M61" s="828"/>
      <c r="N61" s="828"/>
      <c r="O61" s="828"/>
      <c r="P61" s="829"/>
      <c r="Q61" s="829"/>
      <c r="R61" s="830"/>
      <c r="S61" s="830"/>
      <c r="T61" s="830"/>
      <c r="U61" s="830"/>
      <c r="V61" s="827"/>
      <c r="W61" s="827"/>
      <c r="X61" s="827"/>
      <c r="Y61" s="827"/>
      <c r="Z61" s="831"/>
      <c r="AA61" s="831"/>
      <c r="AB61" s="831"/>
      <c r="AC61" s="831"/>
      <c r="AD61" s="827"/>
      <c r="AE61" s="827"/>
      <c r="AF61" s="827"/>
      <c r="AG61" s="827"/>
      <c r="AH61" s="863">
        <v>233</v>
      </c>
      <c r="AI61" s="827" t="s">
        <v>760</v>
      </c>
      <c r="AJ61" s="827">
        <v>40</v>
      </c>
      <c r="AK61" s="827" t="s">
        <v>758</v>
      </c>
      <c r="AL61" s="917"/>
      <c r="AM61" s="855" t="s">
        <v>960</v>
      </c>
      <c r="AN61" s="970">
        <v>233</v>
      </c>
      <c r="AO61" s="970">
        <f t="shared" si="18"/>
        <v>0</v>
      </c>
    </row>
    <row r="62" spans="1:41" ht="21.95" customHeight="1" x14ac:dyDescent="0.2">
      <c r="A62" s="465" t="s">
        <v>97</v>
      </c>
      <c r="B62" s="1" t="s">
        <v>123</v>
      </c>
      <c r="C62" s="12">
        <v>2</v>
      </c>
      <c r="D62" s="27">
        <v>249.47307692307692</v>
      </c>
      <c r="E62" s="2"/>
      <c r="F62" s="2"/>
      <c r="G62" s="2"/>
      <c r="H62" s="33">
        <v>261</v>
      </c>
      <c r="I62" s="33">
        <v>32</v>
      </c>
      <c r="J62" s="33">
        <v>246</v>
      </c>
      <c r="K62" s="33">
        <v>38</v>
      </c>
      <c r="L62" s="33">
        <v>257</v>
      </c>
      <c r="M62" s="33">
        <v>41</v>
      </c>
      <c r="N62" s="33">
        <v>273</v>
      </c>
      <c r="O62" s="33">
        <v>37</v>
      </c>
      <c r="P62" s="130">
        <v>253</v>
      </c>
      <c r="Q62" s="130">
        <v>37</v>
      </c>
      <c r="R62" s="246">
        <v>261</v>
      </c>
      <c r="S62" s="246" t="s">
        <v>759</v>
      </c>
      <c r="T62" s="246">
        <v>41</v>
      </c>
      <c r="U62" s="246" t="s">
        <v>758</v>
      </c>
      <c r="V62" s="309">
        <v>280</v>
      </c>
      <c r="W62" s="309" t="s">
        <v>759</v>
      </c>
      <c r="X62" s="309">
        <v>38</v>
      </c>
      <c r="Y62" s="309" t="s">
        <v>758</v>
      </c>
      <c r="Z62" s="424">
        <v>273</v>
      </c>
      <c r="AA62" s="424" t="s">
        <v>759</v>
      </c>
      <c r="AB62" s="424">
        <v>41</v>
      </c>
      <c r="AC62" s="424" t="s">
        <v>758</v>
      </c>
      <c r="AD62" s="464">
        <v>261</v>
      </c>
      <c r="AE62" s="464" t="s">
        <v>760</v>
      </c>
      <c r="AF62" s="464">
        <v>42</v>
      </c>
      <c r="AG62" s="464" t="s">
        <v>758</v>
      </c>
      <c r="AH62" s="849">
        <v>275</v>
      </c>
      <c r="AI62" s="464" t="s">
        <v>759</v>
      </c>
      <c r="AJ62" s="464">
        <v>44</v>
      </c>
      <c r="AK62" s="464" t="s">
        <v>758</v>
      </c>
      <c r="AL62" s="917"/>
      <c r="AM62" s="855" t="s">
        <v>97</v>
      </c>
      <c r="AN62" s="970">
        <v>275</v>
      </c>
      <c r="AO62" s="970">
        <f t="shared" si="18"/>
        <v>0</v>
      </c>
    </row>
    <row r="63" spans="1:41" ht="21.95" customHeight="1" x14ac:dyDescent="0.2">
      <c r="A63" s="465" t="s">
        <v>51</v>
      </c>
      <c r="B63" s="1" t="s">
        <v>123</v>
      </c>
      <c r="C63" s="12">
        <v>2</v>
      </c>
      <c r="D63" s="27">
        <v>285.52307692307687</v>
      </c>
      <c r="E63" s="2"/>
      <c r="F63" s="2">
        <v>266</v>
      </c>
      <c r="G63" s="2"/>
      <c r="H63" s="33">
        <v>291</v>
      </c>
      <c r="I63" s="33">
        <v>19</v>
      </c>
      <c r="J63" s="33">
        <v>298</v>
      </c>
      <c r="K63" s="33">
        <v>19</v>
      </c>
      <c r="L63" s="33">
        <v>307</v>
      </c>
      <c r="M63" s="33">
        <v>28</v>
      </c>
      <c r="N63" s="33">
        <v>282</v>
      </c>
      <c r="O63" s="33">
        <v>37</v>
      </c>
      <c r="P63" s="130">
        <v>288</v>
      </c>
      <c r="Q63" s="130">
        <v>29</v>
      </c>
      <c r="R63" s="246">
        <v>286</v>
      </c>
      <c r="S63" s="246" t="s">
        <v>759</v>
      </c>
      <c r="T63" s="246">
        <v>35</v>
      </c>
      <c r="U63" s="246" t="s">
        <v>760</v>
      </c>
      <c r="V63" s="309">
        <v>289</v>
      </c>
      <c r="W63" s="309" t="s">
        <v>759</v>
      </c>
      <c r="X63" s="309">
        <v>34</v>
      </c>
      <c r="Y63" s="309" t="s">
        <v>760</v>
      </c>
      <c r="Z63" s="424">
        <v>299</v>
      </c>
      <c r="AA63" s="424" t="s">
        <v>759</v>
      </c>
      <c r="AB63" s="424">
        <v>41</v>
      </c>
      <c r="AC63" s="424" t="s">
        <v>758</v>
      </c>
      <c r="AD63" s="464">
        <v>294</v>
      </c>
      <c r="AE63" s="464" t="s">
        <v>759</v>
      </c>
      <c r="AF63" s="464">
        <v>35</v>
      </c>
      <c r="AG63" s="464" t="s">
        <v>760</v>
      </c>
      <c r="AH63" s="849">
        <v>284</v>
      </c>
      <c r="AI63" s="464" t="s">
        <v>759</v>
      </c>
      <c r="AJ63" s="464">
        <v>31</v>
      </c>
      <c r="AK63" s="464" t="s">
        <v>760</v>
      </c>
      <c r="AL63" s="917"/>
      <c r="AM63" s="855" t="s">
        <v>51</v>
      </c>
      <c r="AN63" s="970">
        <v>284</v>
      </c>
      <c r="AO63" s="970">
        <f t="shared" si="18"/>
        <v>0</v>
      </c>
    </row>
    <row r="64" spans="1:41" ht="21.95" customHeight="1" x14ac:dyDescent="0.2">
      <c r="A64" s="465" t="s">
        <v>102</v>
      </c>
      <c r="B64" s="1" t="s">
        <v>123</v>
      </c>
      <c r="C64" s="12">
        <v>1</v>
      </c>
      <c r="D64" s="27">
        <v>246.70384615384614</v>
      </c>
      <c r="E64" s="2"/>
      <c r="F64" s="2">
        <v>246</v>
      </c>
      <c r="G64" s="2"/>
      <c r="H64" s="33">
        <v>238</v>
      </c>
      <c r="I64" s="33">
        <v>34</v>
      </c>
      <c r="J64" s="33">
        <v>239</v>
      </c>
      <c r="K64" s="33">
        <v>17</v>
      </c>
      <c r="L64" s="33">
        <v>244</v>
      </c>
      <c r="M64" s="33">
        <v>39</v>
      </c>
      <c r="N64" s="33">
        <v>215</v>
      </c>
      <c r="O64" s="33">
        <v>35</v>
      </c>
      <c r="P64" s="130">
        <v>228</v>
      </c>
      <c r="Q64" s="130">
        <v>30</v>
      </c>
      <c r="R64" s="246">
        <v>235</v>
      </c>
      <c r="S64" s="246" t="s">
        <v>760</v>
      </c>
      <c r="T64" s="246">
        <v>25</v>
      </c>
      <c r="U64" s="246" t="s">
        <v>760</v>
      </c>
      <c r="V64" s="309">
        <v>226</v>
      </c>
      <c r="W64" s="309" t="s">
        <v>760</v>
      </c>
      <c r="X64" s="309">
        <v>35</v>
      </c>
      <c r="Y64" s="309" t="s">
        <v>760</v>
      </c>
      <c r="Z64" s="424">
        <v>248</v>
      </c>
      <c r="AA64" s="424" t="s">
        <v>760</v>
      </c>
      <c r="AB64" s="424">
        <v>13</v>
      </c>
      <c r="AC64" s="424" t="s">
        <v>760</v>
      </c>
      <c r="AD64" s="464">
        <v>259</v>
      </c>
      <c r="AE64" s="464" t="s">
        <v>760</v>
      </c>
      <c r="AF64" s="464">
        <v>42</v>
      </c>
      <c r="AG64" s="464" t="s">
        <v>758</v>
      </c>
      <c r="AH64" s="849">
        <v>250</v>
      </c>
      <c r="AI64" s="464" t="s">
        <v>760</v>
      </c>
      <c r="AJ64" s="464">
        <v>30</v>
      </c>
      <c r="AK64" s="464" t="s">
        <v>760</v>
      </c>
      <c r="AL64" s="917"/>
      <c r="AM64" s="855" t="s">
        <v>102</v>
      </c>
      <c r="AN64" s="970">
        <v>250</v>
      </c>
      <c r="AO64" s="970">
        <f t="shared" si="18"/>
        <v>0</v>
      </c>
    </row>
    <row r="65" spans="1:41" ht="21.95" customHeight="1" x14ac:dyDescent="0.2">
      <c r="A65" s="465" t="s">
        <v>90</v>
      </c>
      <c r="B65" s="1" t="s">
        <v>123</v>
      </c>
      <c r="C65" s="12">
        <v>4</v>
      </c>
      <c r="D65" s="27">
        <v>240.85000000000002</v>
      </c>
      <c r="E65" s="2"/>
      <c r="F65" s="2">
        <v>253</v>
      </c>
      <c r="G65" s="2"/>
      <c r="H65" s="33">
        <v>269</v>
      </c>
      <c r="I65" s="33">
        <v>42</v>
      </c>
      <c r="J65" s="33">
        <v>257</v>
      </c>
      <c r="K65" s="33">
        <v>30</v>
      </c>
      <c r="L65" s="33">
        <v>261</v>
      </c>
      <c r="M65" s="33">
        <v>37</v>
      </c>
      <c r="N65" s="33">
        <v>255</v>
      </c>
      <c r="O65" s="33">
        <v>39</v>
      </c>
      <c r="P65" s="130">
        <v>264</v>
      </c>
      <c r="Q65" s="130">
        <v>44</v>
      </c>
      <c r="R65" s="246">
        <v>262</v>
      </c>
      <c r="S65" s="246" t="s">
        <v>759</v>
      </c>
      <c r="T65" s="246">
        <v>40</v>
      </c>
      <c r="U65" s="246" t="s">
        <v>758</v>
      </c>
      <c r="V65" s="309">
        <v>262</v>
      </c>
      <c r="W65" s="309" t="s">
        <v>758</v>
      </c>
      <c r="X65" s="309">
        <v>43</v>
      </c>
      <c r="Y65" s="309" t="s">
        <v>758</v>
      </c>
      <c r="Z65" s="424">
        <v>265</v>
      </c>
      <c r="AA65" s="424" t="s">
        <v>758</v>
      </c>
      <c r="AB65" s="424">
        <v>33</v>
      </c>
      <c r="AC65" s="424" t="s">
        <v>760</v>
      </c>
      <c r="AD65" s="464">
        <v>272</v>
      </c>
      <c r="AE65" s="464" t="s">
        <v>759</v>
      </c>
      <c r="AF65" s="464">
        <v>39</v>
      </c>
      <c r="AG65" s="464" t="s">
        <v>758</v>
      </c>
      <c r="AH65" s="849">
        <v>269</v>
      </c>
      <c r="AI65" s="464" t="s">
        <v>758</v>
      </c>
      <c r="AJ65" s="464">
        <v>38</v>
      </c>
      <c r="AK65" s="464" t="s">
        <v>760</v>
      </c>
      <c r="AL65" s="917"/>
      <c r="AM65" s="855" t="s">
        <v>90</v>
      </c>
      <c r="AN65" s="970">
        <v>269</v>
      </c>
      <c r="AO65" s="970">
        <f t="shared" si="18"/>
        <v>0</v>
      </c>
    </row>
    <row r="66" spans="1:41" ht="21.95" customHeight="1" x14ac:dyDescent="0.2">
      <c r="A66" s="465" t="s">
        <v>66</v>
      </c>
      <c r="B66" s="1" t="s">
        <v>123</v>
      </c>
      <c r="C66" s="12">
        <v>3</v>
      </c>
      <c r="D66" s="27">
        <v>258.7961538461538</v>
      </c>
      <c r="E66" s="2"/>
      <c r="F66" s="2">
        <v>276</v>
      </c>
      <c r="G66" s="2"/>
      <c r="H66" s="33">
        <v>276</v>
      </c>
      <c r="I66" s="33">
        <v>32</v>
      </c>
      <c r="J66" s="33">
        <v>286</v>
      </c>
      <c r="K66" s="33">
        <v>37</v>
      </c>
      <c r="L66" s="33">
        <v>278</v>
      </c>
      <c r="M66" s="33">
        <v>38</v>
      </c>
      <c r="N66" s="33">
        <v>274</v>
      </c>
      <c r="O66" s="33">
        <v>38</v>
      </c>
      <c r="P66" s="130">
        <v>281</v>
      </c>
      <c r="Q66" s="130">
        <v>38</v>
      </c>
      <c r="R66" s="246">
        <v>279</v>
      </c>
      <c r="S66" s="246" t="s">
        <v>759</v>
      </c>
      <c r="T66" s="246">
        <v>46</v>
      </c>
      <c r="U66" s="246" t="s">
        <v>758</v>
      </c>
      <c r="V66" s="309">
        <v>288</v>
      </c>
      <c r="W66" s="309" t="s">
        <v>759</v>
      </c>
      <c r="X66" s="309">
        <v>39</v>
      </c>
      <c r="Y66" s="309" t="s">
        <v>758</v>
      </c>
      <c r="Z66" s="424">
        <v>287</v>
      </c>
      <c r="AA66" s="424" t="s">
        <v>759</v>
      </c>
      <c r="AB66" s="424">
        <v>40</v>
      </c>
      <c r="AC66" s="424" t="s">
        <v>758</v>
      </c>
      <c r="AD66" s="464">
        <v>286</v>
      </c>
      <c r="AE66" s="464" t="s">
        <v>759</v>
      </c>
      <c r="AF66" s="464">
        <v>34</v>
      </c>
      <c r="AG66" s="464" t="s">
        <v>760</v>
      </c>
      <c r="AH66" s="849">
        <v>296</v>
      </c>
      <c r="AI66" s="464" t="s">
        <v>759</v>
      </c>
      <c r="AJ66" s="464">
        <v>41</v>
      </c>
      <c r="AK66" s="464" t="s">
        <v>758</v>
      </c>
      <c r="AL66" s="917"/>
      <c r="AM66" s="855" t="s">
        <v>66</v>
      </c>
      <c r="AN66" s="970">
        <v>296</v>
      </c>
      <c r="AO66" s="970">
        <f t="shared" si="18"/>
        <v>0</v>
      </c>
    </row>
    <row r="67" spans="1:41" ht="21.95" customHeight="1" x14ac:dyDescent="0.2">
      <c r="A67" s="465" t="s">
        <v>73</v>
      </c>
      <c r="B67" s="1" t="s">
        <v>123</v>
      </c>
      <c r="C67" s="12">
        <v>5</v>
      </c>
      <c r="D67" s="27">
        <v>265.18076923076927</v>
      </c>
      <c r="E67" s="2"/>
      <c r="F67" s="2">
        <v>272</v>
      </c>
      <c r="G67" s="2"/>
      <c r="H67" s="33">
        <v>278</v>
      </c>
      <c r="I67" s="33">
        <v>37</v>
      </c>
      <c r="J67" s="33">
        <v>278</v>
      </c>
      <c r="K67" s="33">
        <v>29</v>
      </c>
      <c r="L67" s="33">
        <v>278</v>
      </c>
      <c r="M67" s="33">
        <v>38</v>
      </c>
      <c r="N67" s="33">
        <v>283</v>
      </c>
      <c r="O67" s="33">
        <v>41</v>
      </c>
      <c r="P67" s="130">
        <v>275</v>
      </c>
      <c r="Q67" s="130">
        <v>34</v>
      </c>
      <c r="R67" s="246">
        <v>272</v>
      </c>
      <c r="S67" s="246" t="s">
        <v>759</v>
      </c>
      <c r="T67" s="246">
        <v>49</v>
      </c>
      <c r="U67" s="246" t="s">
        <v>759</v>
      </c>
      <c r="V67" s="309">
        <v>276</v>
      </c>
      <c r="W67" s="309" t="s">
        <v>759</v>
      </c>
      <c r="X67" s="309">
        <v>37</v>
      </c>
      <c r="Y67" s="309" t="s">
        <v>758</v>
      </c>
      <c r="Z67" s="424">
        <v>280</v>
      </c>
      <c r="AA67" s="424" t="s">
        <v>759</v>
      </c>
      <c r="AB67" s="424">
        <v>32</v>
      </c>
      <c r="AC67" s="424" t="s">
        <v>760</v>
      </c>
      <c r="AD67" s="464">
        <v>271</v>
      </c>
      <c r="AE67" s="464" t="s">
        <v>759</v>
      </c>
      <c r="AF67" s="464">
        <v>22</v>
      </c>
      <c r="AG67" s="464" t="s">
        <v>760</v>
      </c>
      <c r="AH67" s="849">
        <v>262</v>
      </c>
      <c r="AI67" s="464" t="s">
        <v>760</v>
      </c>
      <c r="AJ67" s="464">
        <v>45</v>
      </c>
      <c r="AK67" s="464" t="s">
        <v>758</v>
      </c>
      <c r="AL67" s="917"/>
      <c r="AM67" s="855" t="s">
        <v>73</v>
      </c>
      <c r="AN67" s="970">
        <v>262</v>
      </c>
      <c r="AO67" s="970">
        <f t="shared" si="18"/>
        <v>0</v>
      </c>
    </row>
    <row r="68" spans="1:41" ht="21.95" customHeight="1" x14ac:dyDescent="0.2">
      <c r="A68" s="465" t="s">
        <v>89</v>
      </c>
      <c r="B68" s="1" t="s">
        <v>123</v>
      </c>
      <c r="C68" s="12">
        <v>3</v>
      </c>
      <c r="D68" s="27">
        <v>256.37692307692305</v>
      </c>
      <c r="E68" s="2"/>
      <c r="F68" s="2">
        <v>246</v>
      </c>
      <c r="G68" s="2"/>
      <c r="H68" s="33">
        <v>273</v>
      </c>
      <c r="I68" s="33">
        <v>37</v>
      </c>
      <c r="J68" s="33">
        <v>278</v>
      </c>
      <c r="K68" s="33">
        <v>36</v>
      </c>
      <c r="L68" s="33">
        <v>309</v>
      </c>
      <c r="M68" s="33">
        <v>31</v>
      </c>
      <c r="N68" s="33">
        <v>283</v>
      </c>
      <c r="O68" s="33">
        <v>37</v>
      </c>
      <c r="P68" s="130">
        <v>288</v>
      </c>
      <c r="Q68" s="130">
        <v>24</v>
      </c>
      <c r="R68" s="246">
        <v>287</v>
      </c>
      <c r="S68" s="246" t="s">
        <v>759</v>
      </c>
      <c r="T68" s="246">
        <v>42</v>
      </c>
      <c r="U68" s="246" t="s">
        <v>758</v>
      </c>
      <c r="V68" s="309">
        <v>298</v>
      </c>
      <c r="W68" s="309" t="s">
        <v>759</v>
      </c>
      <c r="X68" s="309">
        <v>37</v>
      </c>
      <c r="Y68" s="309" t="s">
        <v>758</v>
      </c>
      <c r="Z68" s="424">
        <v>294</v>
      </c>
      <c r="AA68" s="424" t="s">
        <v>759</v>
      </c>
      <c r="AB68" s="424">
        <v>33</v>
      </c>
      <c r="AC68" s="424" t="s">
        <v>760</v>
      </c>
      <c r="AD68" s="464">
        <v>316</v>
      </c>
      <c r="AE68" s="464" t="s">
        <v>759</v>
      </c>
      <c r="AF68" s="464">
        <v>29</v>
      </c>
      <c r="AG68" s="464" t="s">
        <v>760</v>
      </c>
      <c r="AH68" s="849">
        <v>297</v>
      </c>
      <c r="AI68" s="464" t="s">
        <v>759</v>
      </c>
      <c r="AJ68" s="464">
        <v>40</v>
      </c>
      <c r="AK68" s="464" t="s">
        <v>758</v>
      </c>
      <c r="AL68" s="917"/>
      <c r="AM68" s="855" t="s">
        <v>89</v>
      </c>
      <c r="AN68" s="970">
        <v>297</v>
      </c>
      <c r="AO68" s="970">
        <f t="shared" si="18"/>
        <v>0</v>
      </c>
    </row>
    <row r="69" spans="1:41" ht="21.95" customHeight="1" x14ac:dyDescent="0.2">
      <c r="A69" s="465" t="s">
        <v>38</v>
      </c>
      <c r="B69" s="1" t="s">
        <v>123</v>
      </c>
      <c r="C69" s="12">
        <v>1</v>
      </c>
      <c r="D69" s="27">
        <v>270.34230769230766</v>
      </c>
      <c r="E69" s="2"/>
      <c r="F69" s="2">
        <v>245</v>
      </c>
      <c r="G69" s="2"/>
      <c r="H69" s="33">
        <v>267</v>
      </c>
      <c r="I69" s="33">
        <v>26</v>
      </c>
      <c r="J69" s="33">
        <v>246</v>
      </c>
      <c r="K69" s="33">
        <v>27</v>
      </c>
      <c r="L69" s="33">
        <v>240</v>
      </c>
      <c r="M69" s="33">
        <v>28</v>
      </c>
      <c r="N69" s="33">
        <v>249</v>
      </c>
      <c r="O69" s="33">
        <v>41</v>
      </c>
      <c r="P69" s="130">
        <v>231</v>
      </c>
      <c r="Q69" s="130">
        <v>38</v>
      </c>
      <c r="R69" s="246">
        <v>247</v>
      </c>
      <c r="S69" s="246" t="s">
        <v>760</v>
      </c>
      <c r="T69" s="246">
        <v>48</v>
      </c>
      <c r="U69" s="246" t="s">
        <v>758</v>
      </c>
      <c r="V69" s="309">
        <v>243</v>
      </c>
      <c r="W69" s="309" t="s">
        <v>760</v>
      </c>
      <c r="X69" s="309">
        <v>44</v>
      </c>
      <c r="Y69" s="309" t="s">
        <v>758</v>
      </c>
      <c r="Z69" s="424">
        <v>245</v>
      </c>
      <c r="AA69" s="424" t="s">
        <v>760</v>
      </c>
      <c r="AB69" s="424">
        <v>41</v>
      </c>
      <c r="AC69" s="424" t="s">
        <v>758</v>
      </c>
      <c r="AD69" s="464">
        <v>245</v>
      </c>
      <c r="AE69" s="464" t="s">
        <v>760</v>
      </c>
      <c r="AF69" s="464">
        <v>42</v>
      </c>
      <c r="AG69" s="464" t="s">
        <v>758</v>
      </c>
      <c r="AH69" s="849">
        <v>244</v>
      </c>
      <c r="AI69" s="464" t="s">
        <v>760</v>
      </c>
      <c r="AJ69" s="464">
        <v>20</v>
      </c>
      <c r="AK69" s="464" t="s">
        <v>760</v>
      </c>
      <c r="AL69" s="917"/>
      <c r="AM69" s="855" t="s">
        <v>38</v>
      </c>
      <c r="AN69" s="970">
        <v>244</v>
      </c>
      <c r="AO69" s="970">
        <f t="shared" si="18"/>
        <v>0</v>
      </c>
    </row>
    <row r="70" spans="1:41" ht="21.95" customHeight="1" x14ac:dyDescent="0.2">
      <c r="A70" s="465" t="s">
        <v>75</v>
      </c>
      <c r="B70" s="1" t="s">
        <v>123</v>
      </c>
      <c r="C70" s="12">
        <v>3</v>
      </c>
      <c r="D70" s="27">
        <v>285.78076923076924</v>
      </c>
      <c r="E70" s="2"/>
      <c r="F70" s="2">
        <v>276</v>
      </c>
      <c r="G70" s="2"/>
      <c r="H70" s="33">
        <v>290</v>
      </c>
      <c r="I70" s="33">
        <v>35</v>
      </c>
      <c r="J70" s="33">
        <v>284</v>
      </c>
      <c r="K70" s="33">
        <v>40</v>
      </c>
      <c r="L70" s="33">
        <v>280</v>
      </c>
      <c r="M70" s="33">
        <v>38</v>
      </c>
      <c r="N70" s="33">
        <v>271</v>
      </c>
      <c r="O70" s="33">
        <v>33</v>
      </c>
      <c r="P70" s="130">
        <v>274</v>
      </c>
      <c r="Q70" s="130">
        <v>36</v>
      </c>
      <c r="R70" s="246">
        <v>279</v>
      </c>
      <c r="S70" s="246" t="s">
        <v>759</v>
      </c>
      <c r="T70" s="246">
        <v>41</v>
      </c>
      <c r="U70" s="246" t="s">
        <v>758</v>
      </c>
      <c r="V70" s="309">
        <v>293</v>
      </c>
      <c r="W70" s="309" t="s">
        <v>759</v>
      </c>
      <c r="X70" s="309">
        <v>34</v>
      </c>
      <c r="Y70" s="309" t="s">
        <v>760</v>
      </c>
      <c r="Z70" s="424">
        <v>291</v>
      </c>
      <c r="AA70" s="424" t="s">
        <v>759</v>
      </c>
      <c r="AB70" s="424">
        <v>34</v>
      </c>
      <c r="AC70" s="424" t="s">
        <v>760</v>
      </c>
      <c r="AD70" s="464">
        <v>295</v>
      </c>
      <c r="AE70" s="464" t="s">
        <v>759</v>
      </c>
      <c r="AF70" s="464">
        <v>34</v>
      </c>
      <c r="AG70" s="464" t="s">
        <v>760</v>
      </c>
      <c r="AH70" s="849">
        <v>298</v>
      </c>
      <c r="AI70" s="464" t="s">
        <v>759</v>
      </c>
      <c r="AJ70" s="464">
        <v>50</v>
      </c>
      <c r="AK70" s="464" t="s">
        <v>758</v>
      </c>
      <c r="AL70" s="917"/>
      <c r="AM70" s="855" t="s">
        <v>75</v>
      </c>
      <c r="AN70" s="970">
        <v>298</v>
      </c>
      <c r="AO70" s="970">
        <f t="shared" si="18"/>
        <v>0</v>
      </c>
    </row>
    <row r="71" spans="1:41" ht="21.95" customHeight="1" x14ac:dyDescent="0.2">
      <c r="A71" s="465" t="s">
        <v>99</v>
      </c>
      <c r="B71" s="1" t="s">
        <v>123</v>
      </c>
      <c r="C71" s="12">
        <v>5</v>
      </c>
      <c r="D71" s="27">
        <v>263.38461538461536</v>
      </c>
      <c r="E71" s="2"/>
      <c r="F71" s="2">
        <v>271</v>
      </c>
      <c r="G71" s="2"/>
      <c r="H71" s="33">
        <v>276</v>
      </c>
      <c r="I71" s="33">
        <v>33</v>
      </c>
      <c r="J71" s="33">
        <v>274</v>
      </c>
      <c r="K71" s="33">
        <v>36</v>
      </c>
      <c r="L71" s="33">
        <v>271</v>
      </c>
      <c r="M71" s="33">
        <v>38</v>
      </c>
      <c r="N71" s="33">
        <v>271</v>
      </c>
      <c r="O71" s="33">
        <v>40</v>
      </c>
      <c r="P71" s="130">
        <v>270</v>
      </c>
      <c r="Q71" s="130">
        <v>33</v>
      </c>
      <c r="R71" s="246">
        <v>263</v>
      </c>
      <c r="S71" s="246" t="s">
        <v>759</v>
      </c>
      <c r="T71" s="246">
        <v>44</v>
      </c>
      <c r="U71" s="246" t="s">
        <v>758</v>
      </c>
      <c r="V71" s="309">
        <v>268</v>
      </c>
      <c r="W71" s="309" t="s">
        <v>759</v>
      </c>
      <c r="X71" s="309">
        <v>39</v>
      </c>
      <c r="Y71" s="309" t="s">
        <v>758</v>
      </c>
      <c r="Z71" s="424">
        <v>273</v>
      </c>
      <c r="AA71" s="424" t="s">
        <v>759</v>
      </c>
      <c r="AB71" s="424">
        <v>46</v>
      </c>
      <c r="AC71" s="424" t="s">
        <v>758</v>
      </c>
      <c r="AD71" s="464">
        <v>269</v>
      </c>
      <c r="AE71" s="464" t="s">
        <v>759</v>
      </c>
      <c r="AF71" s="464">
        <v>39</v>
      </c>
      <c r="AG71" s="464" t="s">
        <v>758</v>
      </c>
      <c r="AH71" s="849">
        <v>274</v>
      </c>
      <c r="AI71" s="464" t="s">
        <v>759</v>
      </c>
      <c r="AJ71" s="464">
        <v>41</v>
      </c>
      <c r="AK71" s="464" t="s">
        <v>758</v>
      </c>
      <c r="AL71" s="917"/>
      <c r="AM71" s="855" t="s">
        <v>99</v>
      </c>
      <c r="AN71" s="970">
        <v>274</v>
      </c>
      <c r="AO71" s="970">
        <f t="shared" si="18"/>
        <v>0</v>
      </c>
    </row>
    <row r="72" spans="1:41" ht="21.95" customHeight="1" x14ac:dyDescent="0.2">
      <c r="A72" s="465" t="s">
        <v>46</v>
      </c>
      <c r="B72" s="1" t="s">
        <v>123</v>
      </c>
      <c r="C72" s="12">
        <v>1</v>
      </c>
      <c r="D72" s="27">
        <v>262.03076923076924</v>
      </c>
      <c r="E72" s="2"/>
      <c r="F72" s="2">
        <v>249</v>
      </c>
      <c r="G72" s="2"/>
      <c r="H72" s="33">
        <v>247</v>
      </c>
      <c r="I72" s="33">
        <v>29</v>
      </c>
      <c r="J72" s="33">
        <v>260</v>
      </c>
      <c r="K72" s="33">
        <v>34</v>
      </c>
      <c r="L72" s="33">
        <v>257</v>
      </c>
      <c r="M72" s="33">
        <v>39</v>
      </c>
      <c r="N72" s="33">
        <v>244</v>
      </c>
      <c r="O72" s="33">
        <v>38</v>
      </c>
      <c r="P72" s="130">
        <v>264</v>
      </c>
      <c r="Q72" s="130">
        <v>39</v>
      </c>
      <c r="R72" s="246">
        <v>265</v>
      </c>
      <c r="S72" s="246" t="s">
        <v>759</v>
      </c>
      <c r="T72" s="246">
        <v>40</v>
      </c>
      <c r="U72" s="246" t="s">
        <v>758</v>
      </c>
      <c r="V72" s="309">
        <v>250</v>
      </c>
      <c r="W72" s="309" t="s">
        <v>760</v>
      </c>
      <c r="X72" s="309">
        <v>41</v>
      </c>
      <c r="Y72" s="309" t="s">
        <v>758</v>
      </c>
      <c r="Z72" s="424">
        <v>248</v>
      </c>
      <c r="AA72" s="424" t="s">
        <v>760</v>
      </c>
      <c r="AB72" s="424">
        <v>41</v>
      </c>
      <c r="AC72" s="424" t="s">
        <v>758</v>
      </c>
      <c r="AD72" s="464">
        <v>268</v>
      </c>
      <c r="AE72" s="464" t="s">
        <v>758</v>
      </c>
      <c r="AF72" s="464">
        <v>42</v>
      </c>
      <c r="AG72" s="464" t="s">
        <v>758</v>
      </c>
      <c r="AH72" s="849">
        <v>266</v>
      </c>
      <c r="AI72" s="464" t="s">
        <v>758</v>
      </c>
      <c r="AJ72" s="464">
        <v>42</v>
      </c>
      <c r="AK72" s="464" t="s">
        <v>758</v>
      </c>
      <c r="AL72" s="917"/>
      <c r="AM72" s="855" t="s">
        <v>46</v>
      </c>
      <c r="AN72" s="970">
        <v>266</v>
      </c>
      <c r="AO72" s="970">
        <f t="shared" si="18"/>
        <v>0</v>
      </c>
    </row>
    <row r="73" spans="1:41" ht="21.95" customHeight="1" x14ac:dyDescent="0.2">
      <c r="A73" s="465" t="s">
        <v>21</v>
      </c>
      <c r="B73" s="1" t="s">
        <v>123</v>
      </c>
      <c r="C73" s="12">
        <v>3</v>
      </c>
      <c r="D73" s="27">
        <v>259.69615384615383</v>
      </c>
      <c r="E73" s="2"/>
      <c r="F73" s="2">
        <v>258</v>
      </c>
      <c r="G73" s="2"/>
      <c r="H73" s="33">
        <v>275</v>
      </c>
      <c r="I73" s="33">
        <v>35</v>
      </c>
      <c r="J73" s="33">
        <v>275</v>
      </c>
      <c r="K73" s="33">
        <v>39</v>
      </c>
      <c r="L73" s="33">
        <v>254</v>
      </c>
      <c r="M73" s="33">
        <v>39</v>
      </c>
      <c r="N73" s="33">
        <v>269</v>
      </c>
      <c r="O73" s="33">
        <v>38</v>
      </c>
      <c r="P73" s="130">
        <v>267</v>
      </c>
      <c r="Q73" s="130">
        <v>42</v>
      </c>
      <c r="R73" s="246">
        <v>267</v>
      </c>
      <c r="S73" s="246" t="s">
        <v>759</v>
      </c>
      <c r="T73" s="246">
        <v>35</v>
      </c>
      <c r="U73" s="246" t="s">
        <v>760</v>
      </c>
      <c r="V73" s="309">
        <v>275</v>
      </c>
      <c r="W73" s="309" t="s">
        <v>759</v>
      </c>
      <c r="X73" s="309">
        <v>31</v>
      </c>
      <c r="Y73" s="309" t="s">
        <v>760</v>
      </c>
      <c r="Z73" s="424">
        <v>268</v>
      </c>
      <c r="AA73" s="424" t="s">
        <v>759</v>
      </c>
      <c r="AB73" s="424">
        <v>37</v>
      </c>
      <c r="AC73" s="424" t="s">
        <v>758</v>
      </c>
      <c r="AD73" s="464">
        <v>280</v>
      </c>
      <c r="AE73" s="464" t="s">
        <v>759</v>
      </c>
      <c r="AF73" s="464">
        <v>34</v>
      </c>
      <c r="AG73" s="464" t="s">
        <v>760</v>
      </c>
      <c r="AH73" s="849">
        <v>271</v>
      </c>
      <c r="AI73" s="464" t="s">
        <v>759</v>
      </c>
      <c r="AJ73" s="464">
        <v>47</v>
      </c>
      <c r="AK73" s="464" t="s">
        <v>758</v>
      </c>
      <c r="AL73" s="917"/>
      <c r="AM73" s="855" t="s">
        <v>21</v>
      </c>
      <c r="AN73" s="970">
        <v>271</v>
      </c>
      <c r="AO73" s="970">
        <f t="shared" si="18"/>
        <v>0</v>
      </c>
    </row>
    <row r="74" spans="1:41" ht="21.95" customHeight="1" x14ac:dyDescent="0.2">
      <c r="A74" s="468" t="s">
        <v>761</v>
      </c>
      <c r="B74" s="1" t="s">
        <v>123</v>
      </c>
      <c r="C74" s="254">
        <v>6</v>
      </c>
      <c r="D74" s="251"/>
      <c r="E74" s="249"/>
      <c r="F74" s="249"/>
      <c r="G74" s="249"/>
      <c r="H74" s="252"/>
      <c r="I74" s="252"/>
      <c r="J74" s="252"/>
      <c r="K74" s="252"/>
      <c r="L74" s="252"/>
      <c r="M74" s="252"/>
      <c r="N74" s="252"/>
      <c r="O74" s="252"/>
      <c r="P74" s="253"/>
      <c r="Q74" s="253"/>
      <c r="R74" s="246">
        <v>249</v>
      </c>
      <c r="S74" s="246" t="s">
        <v>760</v>
      </c>
      <c r="T74" s="246">
        <v>37</v>
      </c>
      <c r="U74" s="246" t="s">
        <v>758</v>
      </c>
      <c r="V74" s="309">
        <v>242</v>
      </c>
      <c r="W74" s="309" t="s">
        <v>760</v>
      </c>
      <c r="X74" s="309">
        <v>41</v>
      </c>
      <c r="Y74" s="309" t="s">
        <v>758</v>
      </c>
      <c r="Z74" s="424">
        <v>262</v>
      </c>
      <c r="AA74" s="424" t="s">
        <v>758</v>
      </c>
      <c r="AB74" s="424">
        <v>40</v>
      </c>
      <c r="AC74" s="424" t="s">
        <v>758</v>
      </c>
      <c r="AD74" s="464">
        <v>270</v>
      </c>
      <c r="AE74" s="464" t="s">
        <v>759</v>
      </c>
      <c r="AF74" s="464">
        <v>39</v>
      </c>
      <c r="AG74" s="464" t="s">
        <v>758</v>
      </c>
      <c r="AH74" s="849">
        <v>296</v>
      </c>
      <c r="AI74" s="464" t="s">
        <v>759</v>
      </c>
      <c r="AJ74" s="464">
        <v>50</v>
      </c>
      <c r="AK74" s="464" t="s">
        <v>758</v>
      </c>
      <c r="AL74" s="917"/>
      <c r="AM74" s="855" t="s">
        <v>761</v>
      </c>
      <c r="AN74" s="970">
        <v>296</v>
      </c>
      <c r="AO74" s="970">
        <f t="shared" si="18"/>
        <v>0</v>
      </c>
    </row>
    <row r="75" spans="1:41" ht="21.95" customHeight="1" x14ac:dyDescent="0.2">
      <c r="A75" s="465" t="s">
        <v>56</v>
      </c>
      <c r="B75" s="1" t="s">
        <v>123</v>
      </c>
      <c r="C75" s="12">
        <v>6</v>
      </c>
      <c r="D75" s="27">
        <v>233.09615384615384</v>
      </c>
      <c r="E75" s="2"/>
      <c r="F75" s="2">
        <v>238</v>
      </c>
      <c r="G75" s="2"/>
      <c r="H75" s="33">
        <v>269</v>
      </c>
      <c r="I75" s="33">
        <v>14</v>
      </c>
      <c r="J75" s="33">
        <v>257</v>
      </c>
      <c r="K75" s="33">
        <v>40</v>
      </c>
      <c r="L75" s="33" t="s">
        <v>152</v>
      </c>
      <c r="M75" s="33"/>
      <c r="N75" s="33">
        <v>231</v>
      </c>
      <c r="O75" s="33">
        <v>59</v>
      </c>
      <c r="P75" s="130">
        <v>232</v>
      </c>
      <c r="Q75" s="130">
        <v>51</v>
      </c>
      <c r="Z75" s="424">
        <v>277</v>
      </c>
      <c r="AA75" s="424" t="s">
        <v>759</v>
      </c>
      <c r="AB75" s="424">
        <v>51</v>
      </c>
      <c r="AC75" s="424" t="s">
        <v>759</v>
      </c>
      <c r="AD75" s="464">
        <v>257</v>
      </c>
      <c r="AE75" s="464" t="s">
        <v>760</v>
      </c>
      <c r="AF75" s="464">
        <v>43</v>
      </c>
      <c r="AG75" s="464" t="s">
        <v>758</v>
      </c>
      <c r="AH75" s="849">
        <v>274</v>
      </c>
      <c r="AI75" s="464" t="s">
        <v>759</v>
      </c>
      <c r="AJ75" s="464">
        <v>54</v>
      </c>
      <c r="AK75" s="464" t="s">
        <v>759</v>
      </c>
      <c r="AL75" s="917"/>
      <c r="AM75" s="855" t="s">
        <v>56</v>
      </c>
      <c r="AN75" s="970">
        <v>274</v>
      </c>
      <c r="AO75" s="970">
        <f t="shared" si="18"/>
        <v>0</v>
      </c>
    </row>
    <row r="76" spans="1:41" ht="21.95" customHeight="1" x14ac:dyDescent="0.2">
      <c r="A76" s="465" t="s">
        <v>93</v>
      </c>
      <c r="B76" s="1" t="s">
        <v>123</v>
      </c>
      <c r="C76" s="12">
        <v>3</v>
      </c>
      <c r="D76" s="27">
        <v>235.58461538461543</v>
      </c>
      <c r="E76" s="2"/>
      <c r="F76" s="2">
        <v>233</v>
      </c>
      <c r="G76" s="2"/>
      <c r="H76" s="33">
        <v>240</v>
      </c>
      <c r="I76" s="33">
        <v>28</v>
      </c>
      <c r="J76" s="33">
        <v>254</v>
      </c>
      <c r="K76" s="33">
        <v>39</v>
      </c>
      <c r="L76" s="33">
        <v>278</v>
      </c>
      <c r="M76" s="33">
        <v>49</v>
      </c>
      <c r="N76" s="33">
        <v>265</v>
      </c>
      <c r="O76" s="33">
        <v>41</v>
      </c>
      <c r="P76" s="130">
        <v>251</v>
      </c>
      <c r="Q76" s="130">
        <v>36</v>
      </c>
      <c r="R76" s="246">
        <v>237</v>
      </c>
      <c r="S76" s="246" t="s">
        <v>760</v>
      </c>
      <c r="T76" s="246">
        <v>38</v>
      </c>
      <c r="U76" s="246" t="s">
        <v>758</v>
      </c>
      <c r="V76" s="309">
        <v>268</v>
      </c>
      <c r="W76" s="309" t="s">
        <v>759</v>
      </c>
      <c r="X76" s="309">
        <v>45</v>
      </c>
      <c r="Y76" s="309" t="s">
        <v>758</v>
      </c>
      <c r="Z76" s="424">
        <v>289</v>
      </c>
      <c r="AA76" s="424" t="s">
        <v>759</v>
      </c>
      <c r="AB76" s="424">
        <v>44</v>
      </c>
      <c r="AC76" s="424" t="s">
        <v>758</v>
      </c>
      <c r="AD76" s="464">
        <v>284</v>
      </c>
      <c r="AE76" s="464" t="s">
        <v>759</v>
      </c>
      <c r="AF76" s="464">
        <v>48</v>
      </c>
      <c r="AG76" s="464" t="s">
        <v>758</v>
      </c>
      <c r="AH76" s="849">
        <v>290</v>
      </c>
      <c r="AI76" s="464" t="s">
        <v>759</v>
      </c>
      <c r="AJ76" s="464">
        <v>36</v>
      </c>
      <c r="AK76" s="464" t="s">
        <v>760</v>
      </c>
      <c r="AL76" s="917"/>
      <c r="AM76" s="855" t="s">
        <v>93</v>
      </c>
      <c r="AN76" s="970">
        <v>290</v>
      </c>
      <c r="AO76" s="970">
        <f t="shared" si="18"/>
        <v>0</v>
      </c>
    </row>
    <row r="77" spans="1:41" ht="21.95" customHeight="1" x14ac:dyDescent="0.2">
      <c r="A77" s="465" t="s">
        <v>111</v>
      </c>
      <c r="B77" s="1" t="s">
        <v>123</v>
      </c>
      <c r="C77" s="12">
        <v>1</v>
      </c>
      <c r="D77" s="27">
        <v>238.84615384615384</v>
      </c>
      <c r="E77" s="2"/>
      <c r="F77" s="2">
        <v>229</v>
      </c>
      <c r="G77" s="2"/>
      <c r="H77" s="33">
        <v>269</v>
      </c>
      <c r="I77" s="33">
        <v>31</v>
      </c>
      <c r="J77" s="33">
        <v>248</v>
      </c>
      <c r="K77" s="33">
        <v>43</v>
      </c>
      <c r="L77" s="33">
        <v>253</v>
      </c>
      <c r="M77" s="33">
        <v>39</v>
      </c>
      <c r="N77" s="33">
        <v>255</v>
      </c>
      <c r="O77" s="33">
        <v>39</v>
      </c>
      <c r="P77" s="130">
        <v>255</v>
      </c>
      <c r="Q77" s="130">
        <v>39</v>
      </c>
      <c r="R77" s="246">
        <v>268</v>
      </c>
      <c r="S77" s="246" t="s">
        <v>759</v>
      </c>
      <c r="T77" s="246">
        <v>31</v>
      </c>
      <c r="U77" s="246" t="s">
        <v>760</v>
      </c>
      <c r="V77" s="309">
        <v>258</v>
      </c>
      <c r="W77" s="309" t="s">
        <v>760</v>
      </c>
      <c r="X77" s="309">
        <v>44</v>
      </c>
      <c r="Y77" s="309" t="s">
        <v>758</v>
      </c>
      <c r="Z77" s="424">
        <v>264</v>
      </c>
      <c r="AA77" s="424" t="s">
        <v>758</v>
      </c>
      <c r="AB77" s="424">
        <v>37</v>
      </c>
      <c r="AC77" s="424" t="s">
        <v>758</v>
      </c>
      <c r="AD77" s="464">
        <v>282</v>
      </c>
      <c r="AE77" s="464" t="s">
        <v>759</v>
      </c>
      <c r="AF77" s="464">
        <v>34</v>
      </c>
      <c r="AG77" s="464" t="s">
        <v>760</v>
      </c>
      <c r="AH77" s="849">
        <v>274</v>
      </c>
      <c r="AI77" s="464" t="s">
        <v>759</v>
      </c>
      <c r="AJ77" s="464">
        <v>37</v>
      </c>
      <c r="AK77" s="464" t="s">
        <v>760</v>
      </c>
      <c r="AL77" s="917"/>
      <c r="AM77" s="855" t="s">
        <v>111</v>
      </c>
      <c r="AN77" s="970">
        <v>274</v>
      </c>
      <c r="AO77" s="970">
        <f t="shared" si="18"/>
        <v>0</v>
      </c>
    </row>
    <row r="78" spans="1:41" ht="21.95" customHeight="1" x14ac:dyDescent="0.2">
      <c r="A78" s="126" t="s">
        <v>799</v>
      </c>
      <c r="B78" s="14" t="s">
        <v>123</v>
      </c>
      <c r="C78" s="328">
        <v>2</v>
      </c>
      <c r="D78" s="319"/>
      <c r="E78" s="309"/>
      <c r="F78" s="309"/>
      <c r="G78" s="309"/>
      <c r="H78" s="320"/>
      <c r="I78" s="320"/>
      <c r="J78" s="320"/>
      <c r="K78" s="320"/>
      <c r="L78" s="320"/>
      <c r="M78" s="320"/>
      <c r="N78" s="320"/>
      <c r="O78" s="320"/>
      <c r="P78" s="321"/>
      <c r="Q78" s="321"/>
      <c r="R78" s="312"/>
      <c r="S78" s="312"/>
      <c r="T78" s="312"/>
      <c r="U78" s="312"/>
      <c r="V78" s="309">
        <v>261</v>
      </c>
      <c r="W78" s="309" t="s">
        <v>758</v>
      </c>
      <c r="X78" s="309">
        <v>33</v>
      </c>
      <c r="Y78" s="309" t="s">
        <v>760</v>
      </c>
      <c r="Z78" s="424">
        <v>256</v>
      </c>
      <c r="AA78" s="424" t="s">
        <v>760</v>
      </c>
      <c r="AB78" s="424">
        <v>36</v>
      </c>
      <c r="AC78" s="424" t="s">
        <v>760</v>
      </c>
      <c r="AD78" s="464">
        <v>251</v>
      </c>
      <c r="AE78" s="464" t="s">
        <v>760</v>
      </c>
      <c r="AF78" s="464">
        <v>48</v>
      </c>
      <c r="AG78" s="464" t="s">
        <v>758</v>
      </c>
      <c r="AH78" s="849">
        <v>270</v>
      </c>
      <c r="AI78" s="464" t="s">
        <v>758</v>
      </c>
      <c r="AJ78" s="464">
        <v>36</v>
      </c>
      <c r="AK78" s="464" t="s">
        <v>760</v>
      </c>
      <c r="AL78" s="917"/>
      <c r="AM78" s="855" t="s">
        <v>799</v>
      </c>
      <c r="AN78" s="970">
        <v>270</v>
      </c>
      <c r="AO78" s="970">
        <f t="shared" si="18"/>
        <v>0</v>
      </c>
    </row>
    <row r="79" spans="1:41" ht="21.95" customHeight="1" x14ac:dyDescent="0.2">
      <c r="A79" s="465" t="s">
        <v>959</v>
      </c>
      <c r="B79" s="1" t="s">
        <v>123</v>
      </c>
      <c r="C79" s="12">
        <v>4</v>
      </c>
      <c r="D79" s="27"/>
      <c r="E79" s="2"/>
      <c r="F79" s="2">
        <v>229</v>
      </c>
      <c r="G79" s="2"/>
      <c r="H79" s="33">
        <v>236</v>
      </c>
      <c r="I79" s="33">
        <v>37</v>
      </c>
      <c r="J79" s="33">
        <v>240</v>
      </c>
      <c r="K79" s="33">
        <v>40</v>
      </c>
      <c r="L79" s="33">
        <v>258</v>
      </c>
      <c r="M79" s="33">
        <v>41</v>
      </c>
      <c r="N79" s="33">
        <v>227</v>
      </c>
      <c r="O79" s="33">
        <v>39</v>
      </c>
      <c r="P79" s="33" t="s">
        <v>152</v>
      </c>
      <c r="Q79" s="33" t="s">
        <v>152</v>
      </c>
      <c r="R79" s="246">
        <v>231</v>
      </c>
      <c r="S79" s="246" t="s">
        <v>760</v>
      </c>
      <c r="T79" s="246">
        <v>0</v>
      </c>
      <c r="U79" s="246" t="s">
        <v>760</v>
      </c>
      <c r="AH79" s="15">
        <v>253</v>
      </c>
      <c r="AI79" s="821" t="s">
        <v>760</v>
      </c>
      <c r="AJ79" s="821">
        <v>0</v>
      </c>
      <c r="AK79" s="818" t="s">
        <v>760</v>
      </c>
      <c r="AL79" s="1001"/>
      <c r="AM79" s="855" t="s">
        <v>959</v>
      </c>
      <c r="AN79" s="970">
        <v>253</v>
      </c>
      <c r="AO79" s="970">
        <f t="shared" si="18"/>
        <v>0</v>
      </c>
    </row>
    <row r="80" spans="1:41" ht="21.95" customHeight="1" x14ac:dyDescent="0.2">
      <c r="A80" s="465" t="s">
        <v>94</v>
      </c>
      <c r="B80" s="1" t="s">
        <v>123</v>
      </c>
      <c r="C80" s="12">
        <v>6</v>
      </c>
      <c r="D80" s="27">
        <v>256.1653846153846</v>
      </c>
      <c r="E80" s="2"/>
      <c r="F80" s="2">
        <v>239</v>
      </c>
      <c r="G80" s="2"/>
      <c r="H80" s="33">
        <v>250</v>
      </c>
      <c r="I80" s="33">
        <v>30</v>
      </c>
      <c r="J80" s="33">
        <v>238</v>
      </c>
      <c r="K80" s="33">
        <v>28</v>
      </c>
      <c r="L80" s="33">
        <v>237</v>
      </c>
      <c r="M80" s="33">
        <v>28</v>
      </c>
      <c r="N80" s="33">
        <v>256</v>
      </c>
      <c r="O80" s="33">
        <v>52</v>
      </c>
      <c r="P80" s="130">
        <v>234</v>
      </c>
      <c r="Q80" s="130">
        <v>28</v>
      </c>
      <c r="R80" s="246">
        <v>244</v>
      </c>
      <c r="S80" s="246" t="s">
        <v>760</v>
      </c>
      <c r="T80" s="246">
        <v>42</v>
      </c>
      <c r="U80" s="246" t="s">
        <v>758</v>
      </c>
      <c r="V80" s="309">
        <v>242</v>
      </c>
      <c r="W80" s="309" t="s">
        <v>760</v>
      </c>
      <c r="X80" s="309">
        <v>45</v>
      </c>
      <c r="Y80" s="309" t="s">
        <v>758</v>
      </c>
      <c r="Z80" s="424">
        <v>228</v>
      </c>
      <c r="AA80" s="424" t="s">
        <v>760</v>
      </c>
      <c r="AB80" s="424">
        <v>27</v>
      </c>
      <c r="AC80" s="424" t="s">
        <v>760</v>
      </c>
      <c r="AD80" s="464">
        <v>229</v>
      </c>
      <c r="AE80" s="464" t="s">
        <v>760</v>
      </c>
      <c r="AF80" s="464">
        <v>42</v>
      </c>
      <c r="AG80" s="464" t="s">
        <v>758</v>
      </c>
      <c r="AH80" s="849">
        <v>247</v>
      </c>
      <c r="AI80" s="464" t="s">
        <v>760</v>
      </c>
      <c r="AJ80" s="464">
        <v>44</v>
      </c>
      <c r="AK80" s="464" t="s">
        <v>758</v>
      </c>
      <c r="AL80" s="917"/>
      <c r="AM80" s="855" t="s">
        <v>94</v>
      </c>
      <c r="AN80" s="970">
        <v>247</v>
      </c>
      <c r="AO80" s="970">
        <f t="shared" si="18"/>
        <v>0</v>
      </c>
    </row>
    <row r="81" spans="1:41" ht="21.95" customHeight="1" x14ac:dyDescent="0.2">
      <c r="A81" s="465" t="s">
        <v>132</v>
      </c>
      <c r="B81" s="1" t="s">
        <v>123</v>
      </c>
      <c r="C81" s="12">
        <v>2</v>
      </c>
      <c r="D81" s="27"/>
      <c r="E81" s="2"/>
      <c r="F81" s="2"/>
      <c r="G81" s="2"/>
      <c r="H81" s="33" t="s">
        <v>152</v>
      </c>
      <c r="I81" s="33" t="s">
        <v>152</v>
      </c>
      <c r="J81" s="33">
        <v>291</v>
      </c>
      <c r="K81" s="33">
        <v>37</v>
      </c>
      <c r="L81" s="33">
        <v>286</v>
      </c>
      <c r="M81" s="33">
        <v>43</v>
      </c>
      <c r="N81" s="33">
        <v>289</v>
      </c>
      <c r="O81" s="33">
        <v>42</v>
      </c>
      <c r="P81" s="130">
        <v>312</v>
      </c>
      <c r="Q81" s="130">
        <v>32</v>
      </c>
      <c r="R81" s="246">
        <v>317</v>
      </c>
      <c r="S81" s="246" t="s">
        <v>759</v>
      </c>
      <c r="T81" s="246">
        <v>34</v>
      </c>
      <c r="U81" s="246" t="s">
        <v>760</v>
      </c>
      <c r="V81" s="309">
        <v>308</v>
      </c>
      <c r="W81" s="309" t="s">
        <v>759</v>
      </c>
      <c r="X81" s="309">
        <v>29</v>
      </c>
      <c r="Y81" s="309" t="s">
        <v>760</v>
      </c>
      <c r="Z81" s="424">
        <v>307</v>
      </c>
      <c r="AA81" s="424" t="s">
        <v>759</v>
      </c>
      <c r="AB81" s="424">
        <v>31</v>
      </c>
      <c r="AC81" s="424" t="s">
        <v>760</v>
      </c>
      <c r="AD81" s="464">
        <v>321</v>
      </c>
      <c r="AE81" s="464" t="s">
        <v>759</v>
      </c>
      <c r="AF81" s="464">
        <v>22</v>
      </c>
      <c r="AG81" s="464" t="s">
        <v>760</v>
      </c>
      <c r="AH81" s="849">
        <v>315</v>
      </c>
      <c r="AI81" s="464" t="s">
        <v>759</v>
      </c>
      <c r="AJ81" s="464">
        <v>31</v>
      </c>
      <c r="AK81" s="464" t="s">
        <v>760</v>
      </c>
      <c r="AL81" s="917"/>
      <c r="AM81" s="855" t="s">
        <v>132</v>
      </c>
      <c r="AN81" s="970">
        <v>315</v>
      </c>
      <c r="AO81" s="970">
        <f t="shared" si="18"/>
        <v>0</v>
      </c>
    </row>
    <row r="82" spans="1:41" ht="21.95" customHeight="1" x14ac:dyDescent="0.2">
      <c r="A82" s="465" t="s">
        <v>30</v>
      </c>
      <c r="B82" s="1" t="s">
        <v>123</v>
      </c>
      <c r="C82" s="12">
        <v>6</v>
      </c>
      <c r="D82" s="27">
        <v>258.10769230769233</v>
      </c>
      <c r="E82" s="2"/>
      <c r="F82" s="2">
        <v>276</v>
      </c>
      <c r="G82" s="2"/>
      <c r="H82" s="33">
        <v>287</v>
      </c>
      <c r="I82" s="33">
        <v>30</v>
      </c>
      <c r="J82" s="33">
        <v>273</v>
      </c>
      <c r="K82" s="33">
        <v>44</v>
      </c>
      <c r="L82" s="33">
        <v>278</v>
      </c>
      <c r="M82" s="33">
        <v>43</v>
      </c>
      <c r="N82" s="33">
        <v>281</v>
      </c>
      <c r="O82" s="33">
        <v>39</v>
      </c>
      <c r="P82" s="130">
        <v>281</v>
      </c>
      <c r="Q82" s="130">
        <v>32</v>
      </c>
      <c r="R82" s="246">
        <v>270</v>
      </c>
      <c r="S82" s="246" t="s">
        <v>759</v>
      </c>
      <c r="T82" s="246">
        <v>33</v>
      </c>
      <c r="U82" s="246" t="s">
        <v>760</v>
      </c>
      <c r="V82" s="309">
        <v>299</v>
      </c>
      <c r="W82" s="309" t="s">
        <v>759</v>
      </c>
      <c r="X82" s="309">
        <v>34</v>
      </c>
      <c r="Y82" s="309" t="s">
        <v>760</v>
      </c>
      <c r="Z82" s="424">
        <v>291</v>
      </c>
      <c r="AA82" s="424" t="s">
        <v>759</v>
      </c>
      <c r="AB82" s="424">
        <v>33</v>
      </c>
      <c r="AC82" s="424" t="s">
        <v>760</v>
      </c>
      <c r="AD82" s="464">
        <v>287</v>
      </c>
      <c r="AE82" s="464" t="s">
        <v>759</v>
      </c>
      <c r="AF82" s="464">
        <v>36</v>
      </c>
      <c r="AG82" s="464" t="s">
        <v>760</v>
      </c>
      <c r="AH82" s="849">
        <v>293</v>
      </c>
      <c r="AI82" s="464" t="s">
        <v>759</v>
      </c>
      <c r="AJ82" s="464">
        <v>29</v>
      </c>
      <c r="AK82" s="464" t="s">
        <v>760</v>
      </c>
      <c r="AL82" s="917"/>
      <c r="AM82" s="855" t="s">
        <v>30</v>
      </c>
      <c r="AN82" s="970">
        <v>293</v>
      </c>
      <c r="AO82" s="970">
        <f t="shared" si="18"/>
        <v>0</v>
      </c>
    </row>
    <row r="83" spans="1:41" ht="21.95" customHeight="1" x14ac:dyDescent="0.2">
      <c r="A83" s="467" t="s">
        <v>800</v>
      </c>
      <c r="B83" s="14" t="s">
        <v>123</v>
      </c>
      <c r="C83" s="328">
        <v>3</v>
      </c>
      <c r="D83" s="319"/>
      <c r="E83" s="309"/>
      <c r="F83" s="309"/>
      <c r="G83" s="309"/>
      <c r="H83" s="320"/>
      <c r="I83" s="320"/>
      <c r="J83" s="320"/>
      <c r="K83" s="320"/>
      <c r="L83" s="320"/>
      <c r="M83" s="320"/>
      <c r="N83" s="320"/>
      <c r="O83" s="320"/>
      <c r="P83" s="321"/>
      <c r="Q83" s="321"/>
      <c r="R83" s="312"/>
      <c r="S83" s="312"/>
      <c r="T83" s="312"/>
      <c r="U83" s="312"/>
      <c r="V83" s="309">
        <v>281</v>
      </c>
      <c r="W83" s="309" t="s">
        <v>759</v>
      </c>
      <c r="X83" s="309">
        <v>43</v>
      </c>
      <c r="Y83" s="309" t="s">
        <v>758</v>
      </c>
      <c r="Z83" s="424">
        <v>242</v>
      </c>
      <c r="AA83" s="424" t="s">
        <v>760</v>
      </c>
      <c r="AB83" s="424">
        <v>46</v>
      </c>
      <c r="AC83" s="424" t="s">
        <v>758</v>
      </c>
      <c r="AD83" s="464">
        <v>269</v>
      </c>
      <c r="AE83" s="464" t="s">
        <v>759</v>
      </c>
      <c r="AF83" s="464">
        <v>50</v>
      </c>
      <c r="AG83" s="464" t="s">
        <v>758</v>
      </c>
      <c r="AH83" s="849">
        <v>265</v>
      </c>
      <c r="AI83" s="464" t="s">
        <v>758</v>
      </c>
      <c r="AJ83" s="464">
        <v>38</v>
      </c>
      <c r="AK83" s="464" t="s">
        <v>760</v>
      </c>
      <c r="AL83" s="917"/>
      <c r="AM83" s="855" t="s">
        <v>800</v>
      </c>
      <c r="AN83" s="970">
        <v>265</v>
      </c>
      <c r="AO83" s="970">
        <f t="shared" si="18"/>
        <v>0</v>
      </c>
    </row>
    <row r="84" spans="1:41" ht="21.95" customHeight="1" x14ac:dyDescent="0.2">
      <c r="A84" s="467" t="s">
        <v>956</v>
      </c>
      <c r="B84" s="14" t="s">
        <v>123</v>
      </c>
      <c r="C84" s="812">
        <v>4</v>
      </c>
      <c r="D84" s="812"/>
      <c r="E84" s="812"/>
      <c r="F84" s="812"/>
      <c r="G84" s="812"/>
      <c r="H84" s="812"/>
      <c r="I84" s="812"/>
      <c r="J84" s="812"/>
      <c r="K84" s="812"/>
      <c r="L84" s="812"/>
      <c r="M84" s="812"/>
      <c r="N84" s="812"/>
      <c r="O84" s="812"/>
      <c r="P84" s="812"/>
      <c r="Q84" s="812"/>
      <c r="R84" s="812"/>
      <c r="S84" s="812"/>
      <c r="T84" s="812"/>
      <c r="U84" s="812"/>
      <c r="V84" s="812"/>
      <c r="W84" s="812"/>
      <c r="X84" s="812"/>
      <c r="Y84" s="812"/>
      <c r="Z84" s="812"/>
      <c r="AA84" s="812"/>
      <c r="AB84" s="812"/>
      <c r="AC84" s="812"/>
      <c r="AD84" s="812"/>
      <c r="AE84" s="812"/>
      <c r="AF84" s="812"/>
      <c r="AG84" s="812"/>
      <c r="AH84" s="864"/>
      <c r="AI84" s="812"/>
      <c r="AJ84" s="812"/>
      <c r="AK84" s="812"/>
      <c r="AL84" s="928"/>
      <c r="AM84" s="855"/>
      <c r="AN84" s="970"/>
      <c r="AO84" s="970"/>
    </row>
    <row r="85" spans="1:41" ht="21.95" customHeight="1" x14ac:dyDescent="0.2">
      <c r="A85" s="465" t="s">
        <v>63</v>
      </c>
      <c r="B85" s="14" t="s">
        <v>123</v>
      </c>
      <c r="C85" s="12">
        <v>6</v>
      </c>
      <c r="D85" s="27">
        <v>277.05384615384617</v>
      </c>
      <c r="E85" s="2"/>
      <c r="F85" s="2">
        <v>261</v>
      </c>
      <c r="G85" s="2"/>
      <c r="H85" s="33">
        <v>281</v>
      </c>
      <c r="I85" s="33">
        <v>25</v>
      </c>
      <c r="J85" s="33">
        <v>250</v>
      </c>
      <c r="K85" s="33">
        <v>31</v>
      </c>
      <c r="L85" s="33">
        <v>263</v>
      </c>
      <c r="M85" s="33">
        <v>31</v>
      </c>
      <c r="N85" s="33">
        <v>276</v>
      </c>
      <c r="O85" s="33">
        <v>39</v>
      </c>
      <c r="P85" s="130">
        <v>259</v>
      </c>
      <c r="Q85" s="130">
        <v>44</v>
      </c>
      <c r="R85" s="246">
        <v>266</v>
      </c>
      <c r="S85" s="246" t="s">
        <v>759</v>
      </c>
      <c r="T85" s="246">
        <v>45</v>
      </c>
      <c r="U85" s="246" t="s">
        <v>758</v>
      </c>
      <c r="V85" s="309">
        <v>249</v>
      </c>
      <c r="W85" s="309" t="s">
        <v>760</v>
      </c>
      <c r="X85" s="309">
        <v>50</v>
      </c>
      <c r="Y85" s="309" t="s">
        <v>759</v>
      </c>
      <c r="Z85" s="424">
        <v>293</v>
      </c>
      <c r="AA85" s="424" t="s">
        <v>759</v>
      </c>
      <c r="AB85" s="424">
        <v>33</v>
      </c>
      <c r="AC85" s="424" t="s">
        <v>760</v>
      </c>
      <c r="AD85" s="424"/>
      <c r="AE85" s="424"/>
      <c r="AF85" s="424"/>
      <c r="AG85" s="424"/>
      <c r="AH85" s="849"/>
      <c r="AI85" s="424"/>
      <c r="AJ85" s="424"/>
      <c r="AK85" s="424"/>
      <c r="AL85" s="919"/>
      <c r="AM85" s="855"/>
      <c r="AN85" s="970"/>
      <c r="AO85" s="970"/>
    </row>
    <row r="86" spans="1:41" ht="21.95" customHeight="1" x14ac:dyDescent="0.2">
      <c r="A86" s="465" t="s">
        <v>949</v>
      </c>
      <c r="B86" s="1" t="s">
        <v>123</v>
      </c>
      <c r="C86" s="524">
        <v>5</v>
      </c>
      <c r="D86" s="464"/>
      <c r="E86" s="464"/>
      <c r="F86" s="464"/>
      <c r="G86" s="464"/>
      <c r="H86" s="464"/>
      <c r="I86" s="464"/>
      <c r="J86" s="464"/>
      <c r="K86" s="464"/>
      <c r="L86" s="464"/>
      <c r="M86" s="464"/>
      <c r="N86" s="464"/>
      <c r="O86" s="464"/>
      <c r="P86" s="464"/>
      <c r="Q86" s="464"/>
      <c r="R86" s="464"/>
      <c r="S86" s="464"/>
      <c r="T86" s="464"/>
      <c r="U86" s="464"/>
      <c r="V86" s="464"/>
      <c r="W86" s="464"/>
      <c r="X86" s="464"/>
      <c r="Y86" s="464"/>
      <c r="Z86" s="464"/>
      <c r="AA86" s="464"/>
      <c r="AB86" s="464"/>
      <c r="AC86" s="464"/>
      <c r="AD86" s="464">
        <v>223</v>
      </c>
      <c r="AE86" s="464" t="s">
        <v>760</v>
      </c>
      <c r="AF86" s="464">
        <v>43</v>
      </c>
      <c r="AG86" s="464" t="s">
        <v>758</v>
      </c>
      <c r="AH86" s="504"/>
      <c r="AI86" s="464"/>
      <c r="AJ86" s="464"/>
      <c r="AK86" s="464"/>
      <c r="AL86" s="917"/>
      <c r="AM86" s="855"/>
      <c r="AN86" s="970"/>
      <c r="AO86" s="970"/>
    </row>
    <row r="87" spans="1:41" ht="21.95" customHeight="1" x14ac:dyDescent="0.2">
      <c r="A87" s="465" t="s">
        <v>28</v>
      </c>
      <c r="B87" s="1" t="s">
        <v>123</v>
      </c>
      <c r="C87" s="12">
        <v>6</v>
      </c>
      <c r="D87" s="27">
        <v>270.68846153846152</v>
      </c>
      <c r="E87" s="2"/>
      <c r="F87" s="2">
        <v>270</v>
      </c>
      <c r="G87" s="2"/>
      <c r="H87" s="33">
        <v>285</v>
      </c>
      <c r="I87" s="33">
        <v>35</v>
      </c>
      <c r="J87" s="33">
        <v>251</v>
      </c>
      <c r="K87" s="33">
        <v>47</v>
      </c>
      <c r="L87" s="33">
        <v>261</v>
      </c>
      <c r="M87" s="33">
        <v>40</v>
      </c>
      <c r="N87" s="33">
        <v>266</v>
      </c>
      <c r="O87" s="33">
        <v>46</v>
      </c>
      <c r="P87" s="130">
        <v>253</v>
      </c>
      <c r="Q87" s="130">
        <v>38</v>
      </c>
      <c r="R87" s="246">
        <v>248</v>
      </c>
      <c r="S87" s="246" t="s">
        <v>760</v>
      </c>
      <c r="T87" s="246">
        <v>46</v>
      </c>
      <c r="U87" s="246" t="s">
        <v>758</v>
      </c>
      <c r="V87" s="309">
        <v>257</v>
      </c>
      <c r="W87" s="309" t="s">
        <v>760</v>
      </c>
      <c r="X87" s="309">
        <v>38</v>
      </c>
      <c r="Y87" s="309" t="s">
        <v>758</v>
      </c>
      <c r="Z87" s="424">
        <v>258</v>
      </c>
      <c r="AA87" s="424" t="s">
        <v>760</v>
      </c>
      <c r="AB87" s="424">
        <v>43</v>
      </c>
      <c r="AC87" s="424" t="s">
        <v>758</v>
      </c>
      <c r="AD87" s="464">
        <v>253</v>
      </c>
      <c r="AE87" s="464" t="s">
        <v>760</v>
      </c>
      <c r="AF87" s="464">
        <v>40</v>
      </c>
      <c r="AG87" s="464" t="s">
        <v>758</v>
      </c>
      <c r="AH87" s="849">
        <v>257</v>
      </c>
      <c r="AI87" s="464" t="s">
        <v>760</v>
      </c>
      <c r="AJ87" s="464">
        <v>46</v>
      </c>
      <c r="AK87" s="464" t="s">
        <v>758</v>
      </c>
      <c r="AL87" s="917"/>
      <c r="AM87" s="855" t="s">
        <v>28</v>
      </c>
      <c r="AN87" s="970">
        <v>257</v>
      </c>
      <c r="AO87" s="970">
        <f t="shared" si="18"/>
        <v>0</v>
      </c>
    </row>
    <row r="88" spans="1:41" ht="21.95" customHeight="1" x14ac:dyDescent="0.2">
      <c r="A88" s="465" t="s">
        <v>101</v>
      </c>
      <c r="B88" s="1" t="s">
        <v>123</v>
      </c>
      <c r="C88" s="12">
        <v>3</v>
      </c>
      <c r="D88" s="27">
        <v>272.0846153846154</v>
      </c>
      <c r="E88" s="2"/>
      <c r="F88" s="2">
        <v>252</v>
      </c>
      <c r="G88" s="2"/>
      <c r="H88" s="33">
        <v>265</v>
      </c>
      <c r="I88" s="33">
        <v>43</v>
      </c>
      <c r="J88" s="33">
        <v>257</v>
      </c>
      <c r="K88" s="33">
        <v>43</v>
      </c>
      <c r="L88" s="33">
        <v>260</v>
      </c>
      <c r="M88" s="33">
        <v>41</v>
      </c>
      <c r="N88" s="33">
        <v>248</v>
      </c>
      <c r="O88" s="33">
        <v>38</v>
      </c>
      <c r="P88" s="130">
        <v>282</v>
      </c>
      <c r="Q88" s="130">
        <v>43</v>
      </c>
      <c r="R88" s="246">
        <v>251</v>
      </c>
      <c r="S88" s="246" t="s">
        <v>760</v>
      </c>
      <c r="T88" s="246">
        <v>33</v>
      </c>
      <c r="U88" s="246" t="s">
        <v>760</v>
      </c>
      <c r="V88" s="309">
        <v>251</v>
      </c>
      <c r="W88" s="309" t="s">
        <v>760</v>
      </c>
      <c r="X88" s="309">
        <v>39</v>
      </c>
      <c r="Y88" s="309" t="s">
        <v>758</v>
      </c>
      <c r="Z88" s="424">
        <v>255</v>
      </c>
      <c r="AA88" s="424" t="s">
        <v>760</v>
      </c>
      <c r="AB88" s="424">
        <v>44</v>
      </c>
      <c r="AC88" s="424" t="s">
        <v>758</v>
      </c>
      <c r="AD88" s="464">
        <v>249</v>
      </c>
      <c r="AE88" s="464" t="s">
        <v>760</v>
      </c>
      <c r="AF88" s="464">
        <v>44</v>
      </c>
      <c r="AG88" s="464" t="s">
        <v>758</v>
      </c>
      <c r="AH88" s="849">
        <v>273</v>
      </c>
      <c r="AI88" s="464" t="s">
        <v>759</v>
      </c>
      <c r="AJ88" s="464">
        <v>41</v>
      </c>
      <c r="AK88" s="464" t="s">
        <v>758</v>
      </c>
      <c r="AL88" s="917"/>
      <c r="AM88" s="855" t="s">
        <v>101</v>
      </c>
      <c r="AN88" s="970">
        <v>273</v>
      </c>
      <c r="AO88" s="970">
        <f t="shared" si="18"/>
        <v>0</v>
      </c>
    </row>
    <row r="89" spans="1:41" ht="21.95" customHeight="1" x14ac:dyDescent="0.2">
      <c r="A89" s="465" t="s">
        <v>64</v>
      </c>
      <c r="B89" s="1" t="s">
        <v>123</v>
      </c>
      <c r="C89" s="12">
        <v>2</v>
      </c>
      <c r="D89" s="27">
        <v>289.9615384615384</v>
      </c>
      <c r="E89" s="2"/>
      <c r="F89" s="2">
        <v>296</v>
      </c>
      <c r="G89" s="2"/>
      <c r="H89" s="33">
        <v>298</v>
      </c>
      <c r="I89" s="33">
        <v>31</v>
      </c>
      <c r="J89" s="33">
        <v>291</v>
      </c>
      <c r="K89" s="33">
        <v>30</v>
      </c>
      <c r="L89" s="33">
        <v>294</v>
      </c>
      <c r="M89" s="33">
        <v>33</v>
      </c>
      <c r="N89" s="33">
        <v>300</v>
      </c>
      <c r="O89" s="33">
        <v>28</v>
      </c>
      <c r="P89" s="130">
        <v>305</v>
      </c>
      <c r="Q89" s="130">
        <v>31</v>
      </c>
      <c r="R89" s="246">
        <v>294</v>
      </c>
      <c r="S89" s="246" t="s">
        <v>759</v>
      </c>
      <c r="T89" s="246">
        <v>39</v>
      </c>
      <c r="U89" s="246" t="s">
        <v>758</v>
      </c>
      <c r="V89" s="309">
        <v>314</v>
      </c>
      <c r="W89" s="309" t="s">
        <v>759</v>
      </c>
      <c r="X89" s="309">
        <v>32</v>
      </c>
      <c r="Y89" s="309" t="s">
        <v>760</v>
      </c>
      <c r="Z89" s="424">
        <v>325</v>
      </c>
      <c r="AA89" s="424" t="s">
        <v>759</v>
      </c>
      <c r="AB89" s="424">
        <v>35</v>
      </c>
      <c r="AC89" s="424" t="s">
        <v>760</v>
      </c>
      <c r="AD89" s="464">
        <v>316</v>
      </c>
      <c r="AE89" s="464" t="s">
        <v>759</v>
      </c>
      <c r="AF89" s="464">
        <v>35</v>
      </c>
      <c r="AG89" s="464" t="s">
        <v>760</v>
      </c>
      <c r="AH89" s="849">
        <v>305</v>
      </c>
      <c r="AI89" s="464" t="s">
        <v>759</v>
      </c>
      <c r="AJ89" s="464">
        <v>32</v>
      </c>
      <c r="AK89" s="464" t="s">
        <v>760</v>
      </c>
      <c r="AL89" s="917"/>
      <c r="AM89" s="855" t="s">
        <v>64</v>
      </c>
      <c r="AN89" s="970">
        <v>305</v>
      </c>
      <c r="AO89" s="970">
        <f t="shared" si="18"/>
        <v>0</v>
      </c>
    </row>
    <row r="90" spans="1:41" ht="21.95" customHeight="1" x14ac:dyDescent="0.2">
      <c r="A90" s="467" t="s">
        <v>801</v>
      </c>
      <c r="B90" s="14" t="s">
        <v>123</v>
      </c>
      <c r="C90" s="328">
        <v>6</v>
      </c>
      <c r="D90" s="319"/>
      <c r="E90" s="309"/>
      <c r="F90" s="309"/>
      <c r="G90" s="309"/>
      <c r="H90" s="320"/>
      <c r="I90" s="320"/>
      <c r="J90" s="320"/>
      <c r="K90" s="320"/>
      <c r="L90" s="320"/>
      <c r="M90" s="320"/>
      <c r="N90" s="320"/>
      <c r="O90" s="320"/>
      <c r="P90" s="321"/>
      <c r="Q90" s="321"/>
      <c r="R90" s="312"/>
      <c r="S90" s="312"/>
      <c r="T90" s="312"/>
      <c r="U90" s="312"/>
      <c r="V90" s="309">
        <v>221</v>
      </c>
      <c r="W90" s="309" t="s">
        <v>760</v>
      </c>
      <c r="X90" s="309">
        <v>42</v>
      </c>
      <c r="Y90" s="309" t="s">
        <v>758</v>
      </c>
      <c r="Z90" s="424">
        <v>253</v>
      </c>
      <c r="AA90" s="424" t="s">
        <v>760</v>
      </c>
      <c r="AB90" s="424">
        <v>0</v>
      </c>
      <c r="AC90" s="424" t="s">
        <v>760</v>
      </c>
      <c r="AD90" s="424"/>
      <c r="AE90" s="424"/>
      <c r="AF90" s="424"/>
      <c r="AG90" s="424"/>
      <c r="AH90" s="849"/>
      <c r="AI90" s="424"/>
      <c r="AJ90" s="424"/>
      <c r="AK90" s="424"/>
      <c r="AL90" s="919"/>
      <c r="AM90" s="855"/>
      <c r="AN90" s="970"/>
      <c r="AO90" s="970"/>
    </row>
    <row r="91" spans="1:41" ht="21.95" customHeight="1" x14ac:dyDescent="0.2">
      <c r="A91" s="466" t="s">
        <v>162</v>
      </c>
      <c r="B91" s="1" t="s">
        <v>123</v>
      </c>
      <c r="C91" s="12">
        <v>3</v>
      </c>
      <c r="D91" s="27"/>
      <c r="E91" s="2"/>
      <c r="F91" s="2"/>
      <c r="G91" s="2"/>
      <c r="H91" s="33" t="s">
        <v>152</v>
      </c>
      <c r="I91" s="33" t="s">
        <v>152</v>
      </c>
      <c r="J91" s="33" t="s">
        <v>152</v>
      </c>
      <c r="K91" s="33" t="s">
        <v>152</v>
      </c>
      <c r="L91" s="33" t="s">
        <v>152</v>
      </c>
      <c r="M91" s="33" t="s">
        <v>152</v>
      </c>
      <c r="N91" s="33" t="s">
        <v>152</v>
      </c>
      <c r="O91" s="33" t="s">
        <v>152</v>
      </c>
      <c r="P91" s="130">
        <v>281</v>
      </c>
      <c r="Q91" s="130">
        <v>19</v>
      </c>
      <c r="R91" s="246">
        <v>294</v>
      </c>
      <c r="S91" s="246" t="s">
        <v>759</v>
      </c>
      <c r="T91" s="246">
        <v>27</v>
      </c>
      <c r="U91" s="246" t="s">
        <v>760</v>
      </c>
      <c r="V91" s="309">
        <v>297</v>
      </c>
      <c r="W91" s="309" t="s">
        <v>759</v>
      </c>
      <c r="X91" s="309">
        <v>37</v>
      </c>
      <c r="Y91" s="309" t="s">
        <v>758</v>
      </c>
      <c r="Z91" s="424">
        <v>298</v>
      </c>
      <c r="AA91" s="424" t="s">
        <v>759</v>
      </c>
      <c r="AB91" s="424">
        <v>37</v>
      </c>
      <c r="AC91" s="424" t="s">
        <v>758</v>
      </c>
      <c r="AD91" s="464">
        <v>296</v>
      </c>
      <c r="AE91" s="464" t="s">
        <v>759</v>
      </c>
      <c r="AF91" s="464">
        <v>37</v>
      </c>
      <c r="AG91" s="464" t="s">
        <v>760</v>
      </c>
      <c r="AH91" s="849">
        <v>296</v>
      </c>
      <c r="AI91" s="464" t="s">
        <v>759</v>
      </c>
      <c r="AJ91" s="464">
        <v>30</v>
      </c>
      <c r="AK91" s="464" t="s">
        <v>760</v>
      </c>
      <c r="AL91" s="917"/>
      <c r="AM91" s="855" t="s">
        <v>162</v>
      </c>
      <c r="AN91" s="970">
        <v>296</v>
      </c>
      <c r="AO91" s="970">
        <f t="shared" si="18"/>
        <v>0</v>
      </c>
    </row>
    <row r="92" spans="1:41" ht="21.95" customHeight="1" x14ac:dyDescent="0.2">
      <c r="A92" s="465" t="s">
        <v>134</v>
      </c>
      <c r="B92" s="1" t="s">
        <v>123</v>
      </c>
      <c r="C92" s="12">
        <v>5</v>
      </c>
      <c r="D92" s="27"/>
      <c r="E92" s="2"/>
      <c r="F92" s="2"/>
      <c r="G92" s="2"/>
      <c r="H92" s="33" t="s">
        <v>152</v>
      </c>
      <c r="I92" s="33" t="s">
        <v>152</v>
      </c>
      <c r="J92" s="33" t="s">
        <v>152</v>
      </c>
      <c r="K92" s="33" t="s">
        <v>152</v>
      </c>
      <c r="L92" s="33" t="s">
        <v>152</v>
      </c>
      <c r="M92" s="33" t="s">
        <v>152</v>
      </c>
      <c r="N92" s="33">
        <v>242</v>
      </c>
      <c r="O92" s="33">
        <v>34</v>
      </c>
      <c r="P92" s="33" t="s">
        <v>152</v>
      </c>
      <c r="Q92" s="33" t="s">
        <v>152</v>
      </c>
      <c r="S92" s="36"/>
      <c r="AH92" s="15"/>
      <c r="AK92" s="818"/>
      <c r="AL92" s="1001"/>
      <c r="AM92" s="855"/>
      <c r="AN92" s="970"/>
      <c r="AO92" s="970"/>
    </row>
    <row r="93" spans="1:41" ht="21.95" customHeight="1" x14ac:dyDescent="0.2">
      <c r="A93" s="466" t="s">
        <v>86</v>
      </c>
      <c r="B93" s="1" t="s">
        <v>123</v>
      </c>
      <c r="C93" s="12">
        <v>2</v>
      </c>
      <c r="D93" s="27">
        <v>266.23461538461538</v>
      </c>
      <c r="E93" s="2"/>
      <c r="F93" s="27">
        <v>267.30769230769232</v>
      </c>
      <c r="G93" s="2"/>
      <c r="H93" s="33">
        <v>283</v>
      </c>
      <c r="I93" s="33">
        <v>35</v>
      </c>
      <c r="J93" s="33">
        <v>280</v>
      </c>
      <c r="K93" s="33">
        <v>34</v>
      </c>
      <c r="L93" s="33">
        <v>269</v>
      </c>
      <c r="M93" s="33">
        <v>41</v>
      </c>
      <c r="N93" s="33">
        <v>278</v>
      </c>
      <c r="O93" s="33">
        <v>38</v>
      </c>
      <c r="P93" s="130">
        <v>272</v>
      </c>
      <c r="Q93" s="130">
        <v>33</v>
      </c>
      <c r="R93" s="246">
        <v>265</v>
      </c>
      <c r="S93" s="246" t="s">
        <v>759</v>
      </c>
      <c r="T93" s="246">
        <v>37</v>
      </c>
      <c r="U93" s="246" t="s">
        <v>758</v>
      </c>
      <c r="V93" s="309">
        <v>268</v>
      </c>
      <c r="W93" s="309" t="s">
        <v>759</v>
      </c>
      <c r="X93" s="309">
        <v>38</v>
      </c>
      <c r="Y93" s="309" t="s">
        <v>758</v>
      </c>
      <c r="Z93" s="424">
        <v>274</v>
      </c>
      <c r="AA93" s="424" t="s">
        <v>759</v>
      </c>
      <c r="AB93" s="424">
        <v>35</v>
      </c>
      <c r="AC93" s="424" t="s">
        <v>760</v>
      </c>
      <c r="AD93" s="464">
        <v>268</v>
      </c>
      <c r="AE93" s="464" t="s">
        <v>758</v>
      </c>
      <c r="AF93" s="464">
        <v>39</v>
      </c>
      <c r="AG93" s="464" t="s">
        <v>758</v>
      </c>
      <c r="AH93" s="849">
        <v>273</v>
      </c>
      <c r="AI93" s="464" t="s">
        <v>759</v>
      </c>
      <c r="AJ93" s="464">
        <v>36</v>
      </c>
      <c r="AK93" s="464" t="s">
        <v>760</v>
      </c>
      <c r="AL93" s="917"/>
      <c r="AM93" s="855" t="s">
        <v>86</v>
      </c>
      <c r="AN93" s="970">
        <v>273</v>
      </c>
      <c r="AO93" s="970">
        <v>0</v>
      </c>
    </row>
    <row r="94" spans="1:41" ht="21.95" customHeight="1" x14ac:dyDescent="0.2">
      <c r="A94" s="465" t="s">
        <v>77</v>
      </c>
      <c r="B94" s="1" t="s">
        <v>123</v>
      </c>
      <c r="C94" s="12">
        <v>4</v>
      </c>
      <c r="D94" s="27">
        <v>247.21538461538461</v>
      </c>
      <c r="E94" s="2"/>
      <c r="F94" s="27">
        <v>243.2</v>
      </c>
      <c r="G94" s="2"/>
      <c r="H94" s="33">
        <v>248</v>
      </c>
      <c r="I94" s="33">
        <v>24</v>
      </c>
      <c r="J94" s="33">
        <v>268</v>
      </c>
      <c r="K94" s="33">
        <v>39</v>
      </c>
      <c r="L94" s="33">
        <v>255</v>
      </c>
      <c r="M94" s="33">
        <v>35</v>
      </c>
      <c r="N94" s="33">
        <v>249</v>
      </c>
      <c r="O94" s="33">
        <v>43</v>
      </c>
      <c r="P94" s="130">
        <v>267</v>
      </c>
      <c r="Q94" s="130">
        <v>38</v>
      </c>
      <c r="R94" s="246">
        <v>255</v>
      </c>
      <c r="S94" s="246" t="s">
        <v>758</v>
      </c>
      <c r="T94" s="246">
        <v>45</v>
      </c>
      <c r="U94" s="246" t="s">
        <v>758</v>
      </c>
      <c r="V94" s="309">
        <v>268</v>
      </c>
      <c r="W94" s="309" t="s">
        <v>759</v>
      </c>
      <c r="X94" s="309">
        <v>45</v>
      </c>
      <c r="Y94" s="309" t="s">
        <v>758</v>
      </c>
      <c r="Z94" s="424">
        <v>251</v>
      </c>
      <c r="AA94" s="424" t="s">
        <v>760</v>
      </c>
      <c r="AB94" s="424">
        <v>45</v>
      </c>
      <c r="AC94" s="424" t="s">
        <v>758</v>
      </c>
      <c r="AD94" s="464">
        <v>268</v>
      </c>
      <c r="AE94" s="464" t="s">
        <v>758</v>
      </c>
      <c r="AF94" s="464">
        <v>43</v>
      </c>
      <c r="AG94" s="464" t="s">
        <v>758</v>
      </c>
      <c r="AH94" s="849">
        <v>271</v>
      </c>
      <c r="AI94" s="464" t="s">
        <v>759</v>
      </c>
      <c r="AJ94" s="464">
        <v>38</v>
      </c>
      <c r="AK94" s="464" t="s">
        <v>760</v>
      </c>
      <c r="AL94" s="917"/>
      <c r="AM94" s="855" t="s">
        <v>77</v>
      </c>
      <c r="AN94" s="970">
        <v>271</v>
      </c>
      <c r="AO94" s="970">
        <f t="shared" si="18"/>
        <v>0</v>
      </c>
    </row>
    <row r="95" spans="1:41" ht="21.95" customHeight="1" x14ac:dyDescent="0.2">
      <c r="A95" s="465" t="s">
        <v>58</v>
      </c>
      <c r="B95" s="1" t="s">
        <v>123</v>
      </c>
      <c r="C95" s="12">
        <v>2</v>
      </c>
      <c r="D95" s="27">
        <v>257.78846153846155</v>
      </c>
      <c r="E95" s="2"/>
      <c r="F95" s="27">
        <v>266.26153846153846</v>
      </c>
      <c r="G95" s="2"/>
      <c r="H95" s="33">
        <v>301</v>
      </c>
      <c r="I95" s="33">
        <v>30</v>
      </c>
      <c r="J95" s="33">
        <v>226</v>
      </c>
      <c r="K95" s="33">
        <v>34</v>
      </c>
      <c r="L95" s="33">
        <v>222</v>
      </c>
      <c r="M95" s="33">
        <v>34</v>
      </c>
      <c r="N95" s="33">
        <v>238</v>
      </c>
      <c r="O95" s="33">
        <v>38</v>
      </c>
      <c r="P95" s="130">
        <v>229</v>
      </c>
      <c r="Q95" s="130">
        <v>29</v>
      </c>
      <c r="R95" s="246">
        <v>235</v>
      </c>
      <c r="S95" s="246" t="s">
        <v>760</v>
      </c>
      <c r="T95" s="246">
        <v>22</v>
      </c>
      <c r="U95" s="246" t="s">
        <v>760</v>
      </c>
      <c r="V95" s="309">
        <v>247</v>
      </c>
      <c r="W95" s="309" t="s">
        <v>760</v>
      </c>
      <c r="X95" s="309">
        <v>73</v>
      </c>
      <c r="Y95" s="309" t="s">
        <v>759</v>
      </c>
      <c r="Z95" s="424">
        <v>267</v>
      </c>
      <c r="AA95" s="424" t="s">
        <v>759</v>
      </c>
      <c r="AB95" s="424">
        <v>41</v>
      </c>
      <c r="AC95" s="424" t="s">
        <v>758</v>
      </c>
      <c r="AD95" s="464">
        <v>279</v>
      </c>
      <c r="AE95" s="464" t="s">
        <v>759</v>
      </c>
      <c r="AF95" s="464">
        <v>19</v>
      </c>
      <c r="AG95" s="464" t="s">
        <v>760</v>
      </c>
      <c r="AH95" s="849">
        <v>250</v>
      </c>
      <c r="AI95" s="464" t="s">
        <v>760</v>
      </c>
      <c r="AJ95" s="464">
        <v>32</v>
      </c>
      <c r="AK95" s="464" t="s">
        <v>760</v>
      </c>
      <c r="AL95" s="917"/>
      <c r="AM95" s="855" t="s">
        <v>58</v>
      </c>
      <c r="AN95" s="970">
        <v>250</v>
      </c>
      <c r="AO95" s="970">
        <f t="shared" si="18"/>
        <v>0</v>
      </c>
    </row>
    <row r="96" spans="1:41" ht="21.95" customHeight="1" x14ac:dyDescent="0.2">
      <c r="A96" s="465" t="s">
        <v>100</v>
      </c>
      <c r="B96" s="1" t="s">
        <v>123</v>
      </c>
      <c r="C96" s="12">
        <v>3</v>
      </c>
      <c r="D96" s="27">
        <v>283.08076923076919</v>
      </c>
      <c r="E96" s="2"/>
      <c r="F96" s="27">
        <v>274.79615384615386</v>
      </c>
      <c r="G96" s="2"/>
      <c r="H96" s="33">
        <v>288</v>
      </c>
      <c r="I96" s="33">
        <v>24</v>
      </c>
      <c r="J96" s="33">
        <v>293</v>
      </c>
      <c r="K96" s="33">
        <v>38</v>
      </c>
      <c r="L96" s="33">
        <v>283</v>
      </c>
      <c r="M96" s="33">
        <v>40</v>
      </c>
      <c r="N96" s="33">
        <v>265</v>
      </c>
      <c r="O96" s="33">
        <v>42</v>
      </c>
      <c r="P96" s="130">
        <v>272</v>
      </c>
      <c r="Q96" s="130">
        <v>42</v>
      </c>
      <c r="R96" s="246">
        <v>280</v>
      </c>
      <c r="S96" s="246" t="s">
        <v>759</v>
      </c>
      <c r="T96" s="246">
        <v>33</v>
      </c>
      <c r="U96" s="246" t="s">
        <v>760</v>
      </c>
      <c r="V96" s="309">
        <v>274</v>
      </c>
      <c r="W96" s="309" t="s">
        <v>759</v>
      </c>
      <c r="X96" s="309">
        <v>38</v>
      </c>
      <c r="Y96" s="309" t="s">
        <v>758</v>
      </c>
      <c r="Z96" s="424">
        <v>280</v>
      </c>
      <c r="AA96" s="424" t="s">
        <v>759</v>
      </c>
      <c r="AB96" s="424">
        <v>35</v>
      </c>
      <c r="AC96" s="424" t="s">
        <v>760</v>
      </c>
      <c r="AD96" s="464">
        <v>272</v>
      </c>
      <c r="AE96" s="464" t="s">
        <v>759</v>
      </c>
      <c r="AF96" s="464">
        <v>37</v>
      </c>
      <c r="AG96" s="464" t="s">
        <v>760</v>
      </c>
      <c r="AH96" s="849">
        <v>283</v>
      </c>
      <c r="AI96" s="464" t="s">
        <v>759</v>
      </c>
      <c r="AJ96" s="464">
        <v>39</v>
      </c>
      <c r="AK96" s="464" t="s">
        <v>758</v>
      </c>
      <c r="AL96" s="917"/>
      <c r="AM96" s="855" t="s">
        <v>100</v>
      </c>
      <c r="AN96" s="970">
        <v>283</v>
      </c>
      <c r="AO96" s="970">
        <f t="shared" si="18"/>
        <v>0</v>
      </c>
    </row>
    <row r="97" spans="1:41" ht="21.95" customHeight="1" x14ac:dyDescent="0.2">
      <c r="A97" s="465" t="s">
        <v>95</v>
      </c>
      <c r="B97" s="1" t="s">
        <v>123</v>
      </c>
      <c r="C97" s="12">
        <v>2</v>
      </c>
      <c r="D97" s="27">
        <v>267.74230769230769</v>
      </c>
      <c r="E97" s="2"/>
      <c r="F97" s="2">
        <v>269</v>
      </c>
      <c r="G97" s="2"/>
      <c r="H97" s="33">
        <v>280</v>
      </c>
      <c r="I97" s="33">
        <v>32</v>
      </c>
      <c r="J97" s="33">
        <v>274</v>
      </c>
      <c r="K97" s="33">
        <v>37</v>
      </c>
      <c r="L97" s="33">
        <v>266</v>
      </c>
      <c r="M97" s="33">
        <v>32</v>
      </c>
      <c r="N97" s="33">
        <v>262</v>
      </c>
      <c r="O97" s="33">
        <v>42</v>
      </c>
      <c r="P97" s="130">
        <v>268</v>
      </c>
      <c r="Q97" s="130">
        <v>36</v>
      </c>
      <c r="R97" s="246">
        <v>275</v>
      </c>
      <c r="S97" s="246" t="s">
        <v>759</v>
      </c>
      <c r="T97" s="246">
        <v>47</v>
      </c>
      <c r="U97" s="246" t="s">
        <v>758</v>
      </c>
      <c r="V97" s="309">
        <v>281</v>
      </c>
      <c r="W97" s="309" t="s">
        <v>759</v>
      </c>
      <c r="X97" s="309">
        <v>39</v>
      </c>
      <c r="Y97" s="309" t="s">
        <v>758</v>
      </c>
      <c r="Z97" s="424">
        <v>275</v>
      </c>
      <c r="AA97" s="424" t="s">
        <v>759</v>
      </c>
      <c r="AB97" s="424">
        <v>43</v>
      </c>
      <c r="AC97" s="424" t="s">
        <v>758</v>
      </c>
      <c r="AD97" s="464">
        <v>271</v>
      </c>
      <c r="AE97" s="464" t="s">
        <v>759</v>
      </c>
      <c r="AF97" s="464">
        <v>38</v>
      </c>
      <c r="AG97" s="464" t="s">
        <v>758</v>
      </c>
      <c r="AH97" s="849">
        <v>257</v>
      </c>
      <c r="AI97" s="464" t="s">
        <v>760</v>
      </c>
      <c r="AJ97" s="464">
        <v>39</v>
      </c>
      <c r="AK97" s="464" t="s">
        <v>758</v>
      </c>
      <c r="AL97" s="917"/>
      <c r="AM97" s="855" t="s">
        <v>95</v>
      </c>
      <c r="AN97" s="970">
        <v>257</v>
      </c>
      <c r="AO97" s="970">
        <f t="shared" si="18"/>
        <v>0</v>
      </c>
    </row>
    <row r="98" spans="1:41" ht="21.95" customHeight="1" x14ac:dyDescent="0.2">
      <c r="A98" s="465" t="s">
        <v>47</v>
      </c>
      <c r="B98" s="1" t="s">
        <v>123</v>
      </c>
      <c r="C98" s="12">
        <v>2</v>
      </c>
      <c r="D98" s="27">
        <v>248.50769230769231</v>
      </c>
      <c r="E98" s="2"/>
      <c r="F98" s="2">
        <v>242</v>
      </c>
      <c r="G98" s="2"/>
      <c r="H98" s="33">
        <v>260</v>
      </c>
      <c r="I98" s="33">
        <v>47</v>
      </c>
      <c r="J98" s="33">
        <v>230</v>
      </c>
      <c r="K98" s="33">
        <v>37</v>
      </c>
      <c r="L98" s="33">
        <v>250</v>
      </c>
      <c r="M98" s="33">
        <v>41</v>
      </c>
      <c r="N98" s="33">
        <v>247</v>
      </c>
      <c r="O98" s="33">
        <v>35</v>
      </c>
      <c r="P98" s="130">
        <v>265</v>
      </c>
      <c r="Q98" s="130">
        <v>37</v>
      </c>
      <c r="R98" s="246">
        <v>238</v>
      </c>
      <c r="S98" s="246" t="s">
        <v>760</v>
      </c>
      <c r="T98" s="246">
        <v>36</v>
      </c>
      <c r="U98" s="246" t="s">
        <v>758</v>
      </c>
      <c r="V98" s="309">
        <v>260</v>
      </c>
      <c r="W98" s="309" t="s">
        <v>758</v>
      </c>
      <c r="X98" s="309">
        <v>46</v>
      </c>
      <c r="Y98" s="309" t="s">
        <v>758</v>
      </c>
      <c r="Z98" s="424">
        <v>257</v>
      </c>
      <c r="AA98" s="424" t="s">
        <v>760</v>
      </c>
      <c r="AB98" s="424">
        <v>40</v>
      </c>
      <c r="AC98" s="424" t="s">
        <v>758</v>
      </c>
      <c r="AD98" s="464">
        <v>280</v>
      </c>
      <c r="AE98" s="464" t="s">
        <v>759</v>
      </c>
      <c r="AF98" s="464">
        <v>35</v>
      </c>
      <c r="AG98" s="464" t="s">
        <v>760</v>
      </c>
      <c r="AH98" s="849">
        <v>261</v>
      </c>
      <c r="AI98" s="464" t="s">
        <v>760</v>
      </c>
      <c r="AJ98" s="464">
        <v>27</v>
      </c>
      <c r="AK98" s="464" t="s">
        <v>760</v>
      </c>
      <c r="AL98" s="917"/>
      <c r="AM98" s="855" t="s">
        <v>47</v>
      </c>
      <c r="AN98" s="970">
        <v>261</v>
      </c>
      <c r="AO98" s="970">
        <f t="shared" si="18"/>
        <v>0</v>
      </c>
    </row>
    <row r="99" spans="1:41" ht="21.95" customHeight="1" x14ac:dyDescent="0.2">
      <c r="A99" s="465" t="s">
        <v>27</v>
      </c>
      <c r="B99" s="1" t="s">
        <v>121</v>
      </c>
      <c r="C99" s="12">
        <v>7</v>
      </c>
      <c r="D99" s="27">
        <v>245.58076923076922</v>
      </c>
      <c r="E99" s="2"/>
      <c r="F99" s="2">
        <v>241</v>
      </c>
      <c r="G99" s="2"/>
      <c r="H99" s="33">
        <v>260</v>
      </c>
      <c r="I99" s="33">
        <v>35</v>
      </c>
      <c r="J99" s="33">
        <v>249</v>
      </c>
      <c r="K99" s="33">
        <v>32</v>
      </c>
      <c r="L99" s="33">
        <v>248</v>
      </c>
      <c r="M99" s="33">
        <v>42</v>
      </c>
      <c r="N99" s="33">
        <v>249</v>
      </c>
      <c r="O99" s="33">
        <v>42</v>
      </c>
      <c r="P99" s="130">
        <v>248</v>
      </c>
      <c r="Q99" s="130">
        <v>45</v>
      </c>
      <c r="R99" s="246">
        <v>244</v>
      </c>
      <c r="S99" s="246" t="s">
        <v>760</v>
      </c>
      <c r="T99" s="246">
        <v>39</v>
      </c>
      <c r="U99" s="246" t="s">
        <v>758</v>
      </c>
      <c r="V99" s="309">
        <v>249</v>
      </c>
      <c r="W99" s="309" t="s">
        <v>760</v>
      </c>
      <c r="X99" s="309">
        <v>46</v>
      </c>
      <c r="Y99" s="309" t="s">
        <v>758</v>
      </c>
      <c r="Z99" s="424">
        <v>240</v>
      </c>
      <c r="AA99" s="424" t="s">
        <v>760</v>
      </c>
      <c r="AB99" s="424">
        <v>42</v>
      </c>
      <c r="AC99" s="424" t="s">
        <v>758</v>
      </c>
      <c r="AD99" s="464">
        <v>244</v>
      </c>
      <c r="AE99" s="464" t="s">
        <v>760</v>
      </c>
      <c r="AF99" s="464">
        <v>37</v>
      </c>
      <c r="AG99" s="464" t="s">
        <v>760</v>
      </c>
      <c r="AH99" s="849">
        <v>255</v>
      </c>
      <c r="AI99" s="464" t="s">
        <v>760</v>
      </c>
      <c r="AJ99" s="464">
        <v>43</v>
      </c>
      <c r="AK99" s="464" t="s">
        <v>758</v>
      </c>
      <c r="AL99" s="917"/>
      <c r="AM99" s="855" t="s">
        <v>27</v>
      </c>
      <c r="AN99" s="970">
        <v>255</v>
      </c>
      <c r="AO99" s="970">
        <f t="shared" si="18"/>
        <v>0</v>
      </c>
    </row>
    <row r="100" spans="1:41" ht="21.95" customHeight="1" x14ac:dyDescent="0.2">
      <c r="A100" s="465" t="s">
        <v>127</v>
      </c>
      <c r="B100" s="1" t="s">
        <v>123</v>
      </c>
      <c r="C100" s="12">
        <v>4</v>
      </c>
      <c r="D100" s="27"/>
      <c r="E100" s="2"/>
      <c r="F100" s="2"/>
      <c r="G100" s="2"/>
      <c r="H100" s="33" t="s">
        <v>152</v>
      </c>
      <c r="I100" s="33" t="s">
        <v>152</v>
      </c>
      <c r="J100" s="33">
        <v>314</v>
      </c>
      <c r="K100" s="33">
        <v>0</v>
      </c>
      <c r="L100" s="33" t="s">
        <v>152</v>
      </c>
      <c r="M100" s="33" t="s">
        <v>152</v>
      </c>
      <c r="N100" s="33" t="s">
        <v>152</v>
      </c>
      <c r="O100" s="33" t="s">
        <v>152</v>
      </c>
      <c r="P100" s="33" t="s">
        <v>152</v>
      </c>
      <c r="Q100" s="33" t="s">
        <v>152</v>
      </c>
      <c r="AH100" s="15"/>
      <c r="AK100" s="818"/>
      <c r="AL100" s="1001"/>
      <c r="AM100" s="855"/>
      <c r="AN100" s="970"/>
      <c r="AO100" s="970"/>
    </row>
    <row r="101" spans="1:41" ht="21.95" customHeight="1" x14ac:dyDescent="0.2">
      <c r="A101" s="465" t="s">
        <v>55</v>
      </c>
      <c r="B101" s="1" t="s">
        <v>121</v>
      </c>
      <c r="C101" s="12">
        <v>1</v>
      </c>
      <c r="D101" s="27">
        <v>249</v>
      </c>
      <c r="E101" s="2"/>
      <c r="F101" s="2">
        <v>252</v>
      </c>
      <c r="G101" s="2"/>
      <c r="H101" s="33">
        <v>255</v>
      </c>
      <c r="I101" s="33">
        <v>36</v>
      </c>
      <c r="J101" s="33">
        <v>263</v>
      </c>
      <c r="K101" s="33">
        <v>37</v>
      </c>
      <c r="L101" s="33">
        <v>254</v>
      </c>
      <c r="M101" s="33">
        <v>36</v>
      </c>
      <c r="N101" s="33">
        <v>254</v>
      </c>
      <c r="O101" s="33">
        <v>41</v>
      </c>
      <c r="P101" s="130">
        <v>253</v>
      </c>
      <c r="Q101" s="130">
        <v>40</v>
      </c>
      <c r="R101" s="246">
        <v>254</v>
      </c>
      <c r="S101" s="246" t="s">
        <v>758</v>
      </c>
      <c r="T101" s="246">
        <v>37</v>
      </c>
      <c r="U101" s="246" t="s">
        <v>758</v>
      </c>
      <c r="V101" s="309">
        <v>248</v>
      </c>
      <c r="W101" s="309" t="s">
        <v>760</v>
      </c>
      <c r="X101" s="309">
        <v>40</v>
      </c>
      <c r="Y101" s="309" t="s">
        <v>758</v>
      </c>
      <c r="Z101" s="424">
        <v>246</v>
      </c>
      <c r="AA101" s="424" t="s">
        <v>760</v>
      </c>
      <c r="AB101" s="424">
        <v>41</v>
      </c>
      <c r="AC101" s="424" t="s">
        <v>758</v>
      </c>
      <c r="AD101" s="464">
        <v>254</v>
      </c>
      <c r="AE101" s="464" t="s">
        <v>760</v>
      </c>
      <c r="AF101" s="464">
        <v>44</v>
      </c>
      <c r="AG101" s="464" t="s">
        <v>758</v>
      </c>
      <c r="AH101" s="849">
        <v>261</v>
      </c>
      <c r="AI101" s="464" t="s">
        <v>760</v>
      </c>
      <c r="AJ101" s="464">
        <v>39</v>
      </c>
      <c r="AK101" s="464" t="s">
        <v>758</v>
      </c>
      <c r="AL101" s="917"/>
      <c r="AM101" s="855" t="s">
        <v>55</v>
      </c>
      <c r="AN101" s="970">
        <v>261</v>
      </c>
      <c r="AO101" s="970">
        <f t="shared" si="18"/>
        <v>0</v>
      </c>
    </row>
    <row r="102" spans="1:41" ht="21.95" customHeight="1" x14ac:dyDescent="0.2">
      <c r="A102" s="465" t="s">
        <v>22</v>
      </c>
      <c r="B102" s="1" t="s">
        <v>121</v>
      </c>
      <c r="C102" s="12">
        <v>6</v>
      </c>
      <c r="D102" s="27">
        <v>257.52692307692308</v>
      </c>
      <c r="E102" s="2"/>
      <c r="F102" s="2">
        <v>255</v>
      </c>
      <c r="G102" s="2"/>
      <c r="H102" s="33">
        <v>260</v>
      </c>
      <c r="I102" s="33">
        <v>35</v>
      </c>
      <c r="J102" s="33">
        <v>251</v>
      </c>
      <c r="K102" s="33">
        <v>38</v>
      </c>
      <c r="L102" s="33">
        <v>244</v>
      </c>
      <c r="M102" s="33">
        <v>38</v>
      </c>
      <c r="N102" s="33">
        <v>249</v>
      </c>
      <c r="O102" s="33">
        <v>41</v>
      </c>
      <c r="P102" s="130">
        <v>249</v>
      </c>
      <c r="Q102" s="130">
        <v>37</v>
      </c>
      <c r="R102" s="246">
        <v>244</v>
      </c>
      <c r="S102" s="246" t="s">
        <v>760</v>
      </c>
      <c r="T102" s="246">
        <v>39</v>
      </c>
      <c r="U102" s="246" t="s">
        <v>758</v>
      </c>
      <c r="V102" s="309">
        <v>247</v>
      </c>
      <c r="W102" s="309" t="s">
        <v>760</v>
      </c>
      <c r="X102" s="309">
        <v>39</v>
      </c>
      <c r="Y102" s="309" t="s">
        <v>758</v>
      </c>
      <c r="Z102" s="424">
        <v>246</v>
      </c>
      <c r="AA102" s="424" t="s">
        <v>760</v>
      </c>
      <c r="AB102" s="424">
        <v>40</v>
      </c>
      <c r="AC102" s="424" t="s">
        <v>758</v>
      </c>
      <c r="AD102" s="464">
        <v>249</v>
      </c>
      <c r="AE102" s="464" t="s">
        <v>760</v>
      </c>
      <c r="AF102" s="464">
        <v>39</v>
      </c>
      <c r="AG102" s="464" t="s">
        <v>758</v>
      </c>
      <c r="AH102" s="849">
        <v>260</v>
      </c>
      <c r="AI102" s="464" t="s">
        <v>760</v>
      </c>
      <c r="AJ102" s="464">
        <v>44</v>
      </c>
      <c r="AK102" s="464" t="s">
        <v>758</v>
      </c>
      <c r="AL102" s="917"/>
      <c r="AM102" s="855" t="s">
        <v>22</v>
      </c>
      <c r="AN102" s="970">
        <v>260</v>
      </c>
      <c r="AO102" s="970">
        <f t="shared" ref="AO102:AO165" si="19">AH102-AN102</f>
        <v>0</v>
      </c>
    </row>
    <row r="103" spans="1:41" ht="21.95" customHeight="1" x14ac:dyDescent="0.2">
      <c r="A103" s="465" t="s">
        <v>83</v>
      </c>
      <c r="B103" s="1" t="s">
        <v>121</v>
      </c>
      <c r="C103" s="12">
        <v>5</v>
      </c>
      <c r="D103" s="27">
        <v>261.96153846153851</v>
      </c>
      <c r="E103" s="2"/>
      <c r="F103" s="2">
        <v>267</v>
      </c>
      <c r="G103" s="2"/>
      <c r="H103" s="33">
        <v>270</v>
      </c>
      <c r="I103" s="33">
        <v>36</v>
      </c>
      <c r="J103" s="33">
        <v>264</v>
      </c>
      <c r="K103" s="33">
        <v>39</v>
      </c>
      <c r="L103" s="33">
        <v>255</v>
      </c>
      <c r="M103" s="33">
        <v>39</v>
      </c>
      <c r="N103" s="33">
        <v>256</v>
      </c>
      <c r="O103" s="33">
        <v>37</v>
      </c>
      <c r="P103" s="130">
        <v>255</v>
      </c>
      <c r="Q103" s="130">
        <v>35</v>
      </c>
      <c r="R103" s="246">
        <v>254</v>
      </c>
      <c r="S103" s="246" t="s">
        <v>758</v>
      </c>
      <c r="T103" s="246">
        <v>43</v>
      </c>
      <c r="U103" s="246" t="s">
        <v>758</v>
      </c>
      <c r="V103" s="309">
        <v>259</v>
      </c>
      <c r="W103" s="309" t="s">
        <v>758</v>
      </c>
      <c r="X103" s="309">
        <v>40</v>
      </c>
      <c r="Y103" s="309" t="s">
        <v>758</v>
      </c>
      <c r="Z103" s="424">
        <v>264</v>
      </c>
      <c r="AA103" s="424" t="s">
        <v>758</v>
      </c>
      <c r="AB103" s="424">
        <v>43</v>
      </c>
      <c r="AC103" s="424" t="s">
        <v>758</v>
      </c>
      <c r="AD103" s="464">
        <v>266</v>
      </c>
      <c r="AE103" s="464" t="s">
        <v>758</v>
      </c>
      <c r="AF103" s="464">
        <v>42</v>
      </c>
      <c r="AG103" s="464" t="s">
        <v>758</v>
      </c>
      <c r="AH103" s="849">
        <v>266</v>
      </c>
      <c r="AI103" s="464" t="s">
        <v>758</v>
      </c>
      <c r="AJ103" s="464">
        <v>42</v>
      </c>
      <c r="AK103" s="464" t="s">
        <v>758</v>
      </c>
      <c r="AL103" s="917"/>
      <c r="AM103" s="855" t="s">
        <v>83</v>
      </c>
      <c r="AN103" s="970">
        <v>266</v>
      </c>
      <c r="AO103" s="970">
        <f t="shared" si="19"/>
        <v>0</v>
      </c>
    </row>
    <row r="104" spans="1:41" ht="21.95" customHeight="1" x14ac:dyDescent="0.2">
      <c r="A104" s="465" t="s">
        <v>65</v>
      </c>
      <c r="B104" s="1" t="s">
        <v>121</v>
      </c>
      <c r="C104" s="12">
        <v>4</v>
      </c>
      <c r="D104" s="27">
        <v>239.65384615384613</v>
      </c>
      <c r="E104" s="2"/>
      <c r="F104" s="27">
        <v>240.77307692307693</v>
      </c>
      <c r="G104" s="2"/>
      <c r="H104" s="33">
        <v>239</v>
      </c>
      <c r="I104" s="33">
        <v>34</v>
      </c>
      <c r="J104" s="33">
        <v>247</v>
      </c>
      <c r="K104" s="33">
        <v>41</v>
      </c>
      <c r="L104" s="33">
        <v>237</v>
      </c>
      <c r="M104" s="33">
        <v>43</v>
      </c>
      <c r="N104" s="33">
        <v>223</v>
      </c>
      <c r="O104" s="33">
        <v>42</v>
      </c>
      <c r="P104" s="130">
        <v>232</v>
      </c>
      <c r="Q104" s="130">
        <v>37</v>
      </c>
      <c r="R104" s="246">
        <v>231</v>
      </c>
      <c r="S104" s="246" t="s">
        <v>760</v>
      </c>
      <c r="T104" s="246">
        <v>39</v>
      </c>
      <c r="U104" s="246" t="s">
        <v>758</v>
      </c>
      <c r="V104" s="309">
        <v>233</v>
      </c>
      <c r="W104" s="309" t="s">
        <v>760</v>
      </c>
      <c r="X104" s="309">
        <v>40</v>
      </c>
      <c r="Y104" s="309" t="s">
        <v>758</v>
      </c>
      <c r="Z104" s="424">
        <v>227</v>
      </c>
      <c r="AA104" s="424" t="s">
        <v>760</v>
      </c>
      <c r="AB104" s="424">
        <v>37</v>
      </c>
      <c r="AC104" s="424" t="s">
        <v>758</v>
      </c>
      <c r="AD104" s="464">
        <v>236</v>
      </c>
      <c r="AE104" s="464" t="s">
        <v>760</v>
      </c>
      <c r="AF104" s="464">
        <v>39</v>
      </c>
      <c r="AG104" s="464" t="s">
        <v>758</v>
      </c>
      <c r="AH104" s="849">
        <v>235</v>
      </c>
      <c r="AI104" s="464" t="s">
        <v>760</v>
      </c>
      <c r="AJ104" s="464">
        <v>43</v>
      </c>
      <c r="AK104" s="464" t="s">
        <v>758</v>
      </c>
      <c r="AL104" s="917"/>
      <c r="AM104" s="855" t="s">
        <v>65</v>
      </c>
      <c r="AN104" s="970">
        <v>235</v>
      </c>
      <c r="AO104" s="970">
        <f t="shared" si="19"/>
        <v>0</v>
      </c>
    </row>
    <row r="105" spans="1:41" ht="21.95" customHeight="1" x14ac:dyDescent="0.2">
      <c r="A105" s="465" t="s">
        <v>33</v>
      </c>
      <c r="B105" s="1" t="s">
        <v>121</v>
      </c>
      <c r="C105" s="12">
        <v>4</v>
      </c>
      <c r="D105" s="27">
        <v>240.46153846153842</v>
      </c>
      <c r="E105" s="2"/>
      <c r="F105" s="27">
        <v>235.61538461538458</v>
      </c>
      <c r="G105" s="2"/>
      <c r="H105" s="33">
        <v>246</v>
      </c>
      <c r="I105" s="33">
        <v>31</v>
      </c>
      <c r="J105" s="33">
        <v>241</v>
      </c>
      <c r="K105" s="33">
        <v>37</v>
      </c>
      <c r="L105" s="33">
        <v>249</v>
      </c>
      <c r="M105" s="33">
        <v>43</v>
      </c>
      <c r="N105" s="33">
        <v>241</v>
      </c>
      <c r="O105" s="33">
        <v>33</v>
      </c>
      <c r="P105" s="130">
        <v>230</v>
      </c>
      <c r="Q105" s="130">
        <v>35</v>
      </c>
      <c r="R105" s="246">
        <v>231</v>
      </c>
      <c r="S105" s="246" t="s">
        <v>760</v>
      </c>
      <c r="T105" s="246">
        <v>32</v>
      </c>
      <c r="U105" s="246" t="s">
        <v>760</v>
      </c>
      <c r="V105" s="309">
        <v>241</v>
      </c>
      <c r="W105" s="309" t="s">
        <v>760</v>
      </c>
      <c r="X105" s="309">
        <v>33</v>
      </c>
      <c r="Y105" s="309" t="s">
        <v>760</v>
      </c>
      <c r="Z105" s="424">
        <v>241</v>
      </c>
      <c r="AA105" s="424" t="s">
        <v>760</v>
      </c>
      <c r="AB105" s="424">
        <v>41</v>
      </c>
      <c r="AC105" s="424" t="s">
        <v>758</v>
      </c>
      <c r="AD105" s="464">
        <v>246</v>
      </c>
      <c r="AE105" s="464" t="s">
        <v>760</v>
      </c>
      <c r="AF105" s="464">
        <v>39</v>
      </c>
      <c r="AG105" s="464" t="s">
        <v>758</v>
      </c>
      <c r="AH105" s="849">
        <v>255</v>
      </c>
      <c r="AI105" s="464" t="s">
        <v>760</v>
      </c>
      <c r="AJ105" s="464">
        <v>43</v>
      </c>
      <c r="AK105" s="464" t="s">
        <v>758</v>
      </c>
      <c r="AL105" s="917"/>
      <c r="AM105" s="855" t="s">
        <v>33</v>
      </c>
      <c r="AN105" s="970">
        <v>255</v>
      </c>
      <c r="AO105" s="970">
        <f t="shared" si="19"/>
        <v>0</v>
      </c>
    </row>
    <row r="106" spans="1:41" ht="21.95" customHeight="1" x14ac:dyDescent="0.2">
      <c r="A106" s="465" t="s">
        <v>773</v>
      </c>
      <c r="B106" s="1" t="s">
        <v>121</v>
      </c>
      <c r="C106" s="12">
        <v>3</v>
      </c>
      <c r="D106" s="27"/>
      <c r="E106" s="2"/>
      <c r="G106" s="2"/>
      <c r="H106" s="33">
        <v>262</v>
      </c>
      <c r="I106" s="33">
        <v>34</v>
      </c>
      <c r="J106" s="33">
        <v>265</v>
      </c>
      <c r="K106" s="33">
        <v>39</v>
      </c>
      <c r="L106" s="33">
        <v>260</v>
      </c>
      <c r="M106" s="33">
        <v>37</v>
      </c>
      <c r="N106" s="33">
        <v>254</v>
      </c>
      <c r="O106" s="33">
        <v>42</v>
      </c>
      <c r="P106" s="130">
        <v>262</v>
      </c>
      <c r="Q106" s="130">
        <v>39</v>
      </c>
      <c r="R106" s="246">
        <v>252</v>
      </c>
      <c r="S106" s="246" t="s">
        <v>760</v>
      </c>
      <c r="T106" s="246">
        <v>39</v>
      </c>
      <c r="U106" s="246" t="s">
        <v>758</v>
      </c>
      <c r="V106" s="309">
        <v>264</v>
      </c>
      <c r="W106" s="309" t="s">
        <v>758</v>
      </c>
      <c r="X106" s="309">
        <v>42</v>
      </c>
      <c r="Y106" s="309" t="s">
        <v>758</v>
      </c>
      <c r="Z106" s="424">
        <v>267</v>
      </c>
      <c r="AA106" s="424" t="s">
        <v>759</v>
      </c>
      <c r="AB106" s="424">
        <v>43</v>
      </c>
      <c r="AC106" s="424" t="s">
        <v>758</v>
      </c>
      <c r="AD106" s="464">
        <v>266</v>
      </c>
      <c r="AE106" s="464" t="s">
        <v>758</v>
      </c>
      <c r="AF106" s="464">
        <v>41</v>
      </c>
      <c r="AG106" s="464" t="s">
        <v>758</v>
      </c>
      <c r="AH106" s="849">
        <v>269</v>
      </c>
      <c r="AI106" s="464" t="s">
        <v>758</v>
      </c>
      <c r="AJ106" s="464">
        <v>43</v>
      </c>
      <c r="AK106" s="464" t="s">
        <v>758</v>
      </c>
      <c r="AL106" s="917"/>
      <c r="AM106" s="855" t="s">
        <v>773</v>
      </c>
      <c r="AN106" s="970">
        <v>269</v>
      </c>
      <c r="AO106" s="970">
        <f t="shared" si="19"/>
        <v>0</v>
      </c>
    </row>
    <row r="107" spans="1:41" ht="21.95" customHeight="1" x14ac:dyDescent="0.2">
      <c r="A107" s="465" t="s">
        <v>78</v>
      </c>
      <c r="B107" s="1" t="s">
        <v>121</v>
      </c>
      <c r="C107" s="12">
        <v>1</v>
      </c>
      <c r="D107" s="27">
        <v>253.51923076923075</v>
      </c>
      <c r="E107" s="2"/>
      <c r="F107" s="27">
        <v>244.56153846153848</v>
      </c>
      <c r="G107" s="2"/>
      <c r="H107" s="33">
        <v>263</v>
      </c>
      <c r="I107" s="33">
        <v>38</v>
      </c>
      <c r="J107" s="33">
        <v>259</v>
      </c>
      <c r="K107" s="33">
        <v>34</v>
      </c>
      <c r="L107" s="33">
        <v>247</v>
      </c>
      <c r="M107" s="33">
        <v>37</v>
      </c>
      <c r="N107" s="33">
        <v>249</v>
      </c>
      <c r="O107" s="33">
        <v>38</v>
      </c>
      <c r="P107" s="130">
        <v>254</v>
      </c>
      <c r="Q107" s="130">
        <v>37</v>
      </c>
      <c r="R107" s="246">
        <v>251</v>
      </c>
      <c r="S107" s="246" t="s">
        <v>760</v>
      </c>
      <c r="T107" s="246">
        <v>36</v>
      </c>
      <c r="U107" s="246" t="s">
        <v>758</v>
      </c>
      <c r="V107" s="309">
        <v>252</v>
      </c>
      <c r="W107" s="309" t="s">
        <v>760</v>
      </c>
      <c r="X107" s="309">
        <v>39</v>
      </c>
      <c r="Y107" s="309" t="s">
        <v>758</v>
      </c>
      <c r="Z107" s="424">
        <v>250</v>
      </c>
      <c r="AA107" s="424" t="s">
        <v>760</v>
      </c>
      <c r="AB107" s="424">
        <v>40</v>
      </c>
      <c r="AC107" s="424" t="s">
        <v>758</v>
      </c>
      <c r="AD107" s="464">
        <v>250</v>
      </c>
      <c r="AE107" s="464" t="s">
        <v>760</v>
      </c>
      <c r="AF107" s="464">
        <v>40</v>
      </c>
      <c r="AG107" s="464" t="s">
        <v>758</v>
      </c>
      <c r="AH107" s="849">
        <v>237</v>
      </c>
      <c r="AI107" s="464" t="s">
        <v>760</v>
      </c>
      <c r="AJ107" s="464">
        <v>40</v>
      </c>
      <c r="AK107" s="464" t="s">
        <v>758</v>
      </c>
      <c r="AL107" s="917"/>
      <c r="AM107" s="855" t="s">
        <v>78</v>
      </c>
      <c r="AN107" s="970">
        <v>237</v>
      </c>
      <c r="AO107" s="970">
        <f t="shared" si="19"/>
        <v>0</v>
      </c>
    </row>
    <row r="108" spans="1:41" ht="21.95" customHeight="1" x14ac:dyDescent="0.2">
      <c r="A108" s="466" t="s">
        <v>177</v>
      </c>
      <c r="B108" s="14" t="s">
        <v>121</v>
      </c>
      <c r="C108" s="12">
        <v>3</v>
      </c>
      <c r="D108" s="27"/>
      <c r="E108" s="2"/>
      <c r="F108" s="2"/>
      <c r="G108" s="2"/>
      <c r="H108" s="130">
        <v>255</v>
      </c>
      <c r="I108" s="130">
        <v>37</v>
      </c>
      <c r="J108" s="130">
        <v>259</v>
      </c>
      <c r="K108" s="130">
        <v>37</v>
      </c>
      <c r="L108" s="130">
        <v>260</v>
      </c>
      <c r="M108" s="130">
        <v>40</v>
      </c>
      <c r="N108" s="130">
        <v>252</v>
      </c>
      <c r="O108" s="130">
        <v>38</v>
      </c>
      <c r="P108" s="130">
        <v>264</v>
      </c>
      <c r="Q108" s="130">
        <v>37</v>
      </c>
      <c r="R108" s="246">
        <v>260</v>
      </c>
      <c r="S108" s="246" t="s">
        <v>758</v>
      </c>
      <c r="T108" s="246">
        <v>39</v>
      </c>
      <c r="U108" s="246" t="s">
        <v>758</v>
      </c>
      <c r="V108" s="309">
        <v>265</v>
      </c>
      <c r="W108" s="309" t="s">
        <v>758</v>
      </c>
      <c r="X108" s="309">
        <v>41</v>
      </c>
      <c r="Y108" s="309" t="s">
        <v>758</v>
      </c>
      <c r="Z108" s="424">
        <v>265</v>
      </c>
      <c r="AA108" s="424" t="s">
        <v>758</v>
      </c>
      <c r="AB108" s="424">
        <v>42</v>
      </c>
      <c r="AC108" s="424" t="s">
        <v>758</v>
      </c>
      <c r="AD108" s="464">
        <v>269</v>
      </c>
      <c r="AE108" s="464" t="s">
        <v>759</v>
      </c>
      <c r="AF108" s="464">
        <v>42</v>
      </c>
      <c r="AG108" s="464" t="s">
        <v>758</v>
      </c>
      <c r="AH108" s="849">
        <v>268</v>
      </c>
      <c r="AI108" s="464" t="s">
        <v>758</v>
      </c>
      <c r="AJ108" s="464">
        <v>39</v>
      </c>
      <c r="AK108" s="464" t="s">
        <v>758</v>
      </c>
      <c r="AL108" s="917"/>
      <c r="AM108" s="855" t="s">
        <v>177</v>
      </c>
      <c r="AN108" s="970">
        <v>268</v>
      </c>
      <c r="AO108" s="970">
        <f t="shared" si="19"/>
        <v>0</v>
      </c>
    </row>
    <row r="109" spans="1:41" ht="21.95" customHeight="1" x14ac:dyDescent="0.2">
      <c r="A109" s="465" t="s">
        <v>61</v>
      </c>
      <c r="B109" s="1" t="s">
        <v>121</v>
      </c>
      <c r="C109" s="12">
        <v>4</v>
      </c>
      <c r="D109" s="27">
        <v>238.13846153846154</v>
      </c>
      <c r="E109" s="2"/>
      <c r="F109" s="2">
        <v>238</v>
      </c>
      <c r="G109" s="2"/>
      <c r="H109" s="33">
        <v>245</v>
      </c>
      <c r="I109" s="33">
        <v>36</v>
      </c>
      <c r="J109" s="33">
        <v>240</v>
      </c>
      <c r="K109" s="33">
        <v>36</v>
      </c>
      <c r="L109" s="33">
        <v>236</v>
      </c>
      <c r="M109" s="33">
        <v>39</v>
      </c>
      <c r="N109" s="33">
        <v>226</v>
      </c>
      <c r="O109" s="33">
        <v>38</v>
      </c>
      <c r="P109" s="130">
        <v>238</v>
      </c>
      <c r="Q109" s="130">
        <v>36</v>
      </c>
      <c r="R109" s="246">
        <v>227</v>
      </c>
      <c r="S109" s="246" t="s">
        <v>760</v>
      </c>
      <c r="T109" s="246">
        <v>41</v>
      </c>
      <c r="U109" s="246" t="s">
        <v>758</v>
      </c>
      <c r="V109" s="309">
        <v>237</v>
      </c>
      <c r="W109" s="309" t="s">
        <v>760</v>
      </c>
      <c r="X109" s="309">
        <v>41</v>
      </c>
      <c r="Y109" s="309" t="s">
        <v>758</v>
      </c>
      <c r="Z109" s="424">
        <v>231</v>
      </c>
      <c r="AA109" s="424" t="s">
        <v>760</v>
      </c>
      <c r="AB109" s="424">
        <v>42</v>
      </c>
      <c r="AC109" s="424" t="s">
        <v>758</v>
      </c>
      <c r="AD109" s="464">
        <v>233</v>
      </c>
      <c r="AE109" s="464" t="s">
        <v>760</v>
      </c>
      <c r="AF109" s="464">
        <v>45</v>
      </c>
      <c r="AG109" s="464" t="s">
        <v>758</v>
      </c>
      <c r="AH109" s="849">
        <v>238</v>
      </c>
      <c r="AI109" s="464" t="s">
        <v>760</v>
      </c>
      <c r="AJ109" s="464">
        <v>42</v>
      </c>
      <c r="AK109" s="464" t="s">
        <v>758</v>
      </c>
      <c r="AL109" s="917"/>
      <c r="AM109" s="855" t="s">
        <v>61</v>
      </c>
      <c r="AN109" s="970">
        <v>238</v>
      </c>
      <c r="AO109" s="970">
        <f t="shared" si="19"/>
        <v>0</v>
      </c>
    </row>
    <row r="110" spans="1:41" ht="21.95" customHeight="1" x14ac:dyDescent="0.2">
      <c r="A110" s="465" t="s">
        <v>52</v>
      </c>
      <c r="B110" s="1" t="s">
        <v>121</v>
      </c>
      <c r="C110" s="12">
        <v>1</v>
      </c>
      <c r="D110" s="27">
        <v>252</v>
      </c>
      <c r="E110" s="2"/>
      <c r="F110" s="2">
        <v>254</v>
      </c>
      <c r="G110" s="2"/>
      <c r="H110" s="33">
        <v>260</v>
      </c>
      <c r="I110" s="33">
        <v>35</v>
      </c>
      <c r="J110" s="33">
        <v>251</v>
      </c>
      <c r="K110" s="33">
        <v>36</v>
      </c>
      <c r="L110" s="33">
        <v>253</v>
      </c>
      <c r="M110" s="33">
        <v>40</v>
      </c>
      <c r="N110" s="33">
        <v>248</v>
      </c>
      <c r="O110" s="33">
        <v>41</v>
      </c>
      <c r="P110" s="130">
        <v>246</v>
      </c>
      <c r="Q110" s="130">
        <v>36</v>
      </c>
      <c r="R110" s="246">
        <v>245</v>
      </c>
      <c r="S110" s="246" t="s">
        <v>760</v>
      </c>
      <c r="T110" s="246">
        <v>42</v>
      </c>
      <c r="U110" s="246" t="s">
        <v>758</v>
      </c>
      <c r="V110" s="309">
        <v>255</v>
      </c>
      <c r="W110" s="309" t="s">
        <v>760</v>
      </c>
      <c r="X110" s="309">
        <v>41</v>
      </c>
      <c r="Y110" s="309" t="s">
        <v>758</v>
      </c>
      <c r="Z110" s="424">
        <v>253</v>
      </c>
      <c r="AA110" s="424" t="s">
        <v>760</v>
      </c>
      <c r="AB110" s="424">
        <v>40</v>
      </c>
      <c r="AC110" s="424" t="s">
        <v>758</v>
      </c>
      <c r="AD110" s="464">
        <v>260</v>
      </c>
      <c r="AE110" s="464" t="s">
        <v>760</v>
      </c>
      <c r="AF110" s="464">
        <v>42</v>
      </c>
      <c r="AG110" s="464" t="s">
        <v>758</v>
      </c>
      <c r="AH110" s="849">
        <v>260</v>
      </c>
      <c r="AI110" s="464" t="s">
        <v>760</v>
      </c>
      <c r="AJ110" s="464">
        <v>44</v>
      </c>
      <c r="AK110" s="464" t="s">
        <v>758</v>
      </c>
      <c r="AL110" s="917"/>
      <c r="AM110" s="855" t="s">
        <v>52</v>
      </c>
      <c r="AN110" s="970">
        <v>260</v>
      </c>
      <c r="AO110" s="970">
        <f t="shared" si="19"/>
        <v>0</v>
      </c>
    </row>
    <row r="111" spans="1:41" ht="21.95" customHeight="1" x14ac:dyDescent="0.2">
      <c r="A111" s="465" t="s">
        <v>32</v>
      </c>
      <c r="B111" s="1" t="s">
        <v>123</v>
      </c>
      <c r="C111" s="12">
        <v>5</v>
      </c>
      <c r="D111" s="27">
        <v>265.23846153846154</v>
      </c>
      <c r="E111" s="2"/>
      <c r="F111" s="2">
        <v>258</v>
      </c>
      <c r="G111" s="2"/>
      <c r="H111" s="33">
        <v>279</v>
      </c>
      <c r="I111" s="33">
        <v>36</v>
      </c>
      <c r="J111" s="33">
        <v>256</v>
      </c>
      <c r="K111" s="33">
        <v>34</v>
      </c>
      <c r="L111" s="33">
        <v>249</v>
      </c>
      <c r="M111" s="33">
        <v>47</v>
      </c>
      <c r="N111" s="33">
        <v>263</v>
      </c>
      <c r="O111" s="33">
        <v>36</v>
      </c>
      <c r="P111" s="130">
        <v>259</v>
      </c>
      <c r="Q111" s="130">
        <v>36</v>
      </c>
      <c r="R111" s="246">
        <v>271</v>
      </c>
      <c r="S111" s="246" t="s">
        <v>759</v>
      </c>
      <c r="T111" s="246">
        <v>38</v>
      </c>
      <c r="U111" s="246" t="s">
        <v>758</v>
      </c>
      <c r="AH111" s="15"/>
      <c r="AK111" s="818"/>
      <c r="AL111" s="1001"/>
      <c r="AM111" s="855"/>
      <c r="AN111" s="970"/>
      <c r="AO111" s="970"/>
    </row>
    <row r="112" spans="1:41" ht="21.95" customHeight="1" x14ac:dyDescent="0.2">
      <c r="A112" s="465" t="s">
        <v>39</v>
      </c>
      <c r="B112" s="1" t="s">
        <v>121</v>
      </c>
      <c r="C112" s="12">
        <v>6</v>
      </c>
      <c r="D112" s="27">
        <v>245.02307692307696</v>
      </c>
      <c r="E112" s="2"/>
      <c r="F112" s="2">
        <v>247</v>
      </c>
      <c r="G112" s="2"/>
      <c r="H112" s="33">
        <v>261</v>
      </c>
      <c r="I112" s="33">
        <v>35</v>
      </c>
      <c r="J112" s="33">
        <v>258</v>
      </c>
      <c r="K112" s="33">
        <v>36</v>
      </c>
      <c r="L112" s="33">
        <v>248</v>
      </c>
      <c r="M112" s="33">
        <v>41</v>
      </c>
      <c r="N112" s="33">
        <v>250</v>
      </c>
      <c r="O112" s="33">
        <v>36</v>
      </c>
      <c r="P112" s="130">
        <v>250</v>
      </c>
      <c r="Q112" s="130">
        <v>40</v>
      </c>
      <c r="R112" s="246">
        <v>250</v>
      </c>
      <c r="S112" s="246" t="s">
        <v>760</v>
      </c>
      <c r="T112" s="246">
        <v>41</v>
      </c>
      <c r="U112" s="246" t="s">
        <v>758</v>
      </c>
      <c r="V112" s="309">
        <v>256</v>
      </c>
      <c r="W112" s="309" t="s">
        <v>760</v>
      </c>
      <c r="X112" s="309">
        <v>42</v>
      </c>
      <c r="Y112" s="309" t="s">
        <v>758</v>
      </c>
      <c r="Z112" s="424">
        <v>253</v>
      </c>
      <c r="AA112" s="424" t="s">
        <v>760</v>
      </c>
      <c r="AB112" s="424">
        <v>36</v>
      </c>
      <c r="AC112" s="424" t="s">
        <v>760</v>
      </c>
      <c r="AD112" s="464">
        <v>257</v>
      </c>
      <c r="AE112" s="464" t="s">
        <v>760</v>
      </c>
      <c r="AF112" s="464">
        <v>39</v>
      </c>
      <c r="AG112" s="464" t="s">
        <v>758</v>
      </c>
      <c r="AH112" s="849">
        <v>259</v>
      </c>
      <c r="AI112" s="464" t="s">
        <v>760</v>
      </c>
      <c r="AJ112" s="464">
        <v>43</v>
      </c>
      <c r="AK112" s="464" t="s">
        <v>758</v>
      </c>
      <c r="AL112" s="917"/>
      <c r="AM112" s="855" t="s">
        <v>39</v>
      </c>
      <c r="AN112" s="970">
        <v>259</v>
      </c>
      <c r="AO112" s="970">
        <f t="shared" si="19"/>
        <v>0</v>
      </c>
    </row>
    <row r="113" spans="1:41" ht="21.95" customHeight="1" x14ac:dyDescent="0.2">
      <c r="A113" s="465" t="s">
        <v>19</v>
      </c>
      <c r="B113" s="1" t="s">
        <v>121</v>
      </c>
      <c r="C113" s="12">
        <v>5</v>
      </c>
      <c r="D113" s="27">
        <v>253.62307692307695</v>
      </c>
      <c r="E113" s="2"/>
      <c r="F113" s="2">
        <v>248</v>
      </c>
      <c r="G113" s="2"/>
      <c r="H113" s="33">
        <v>259</v>
      </c>
      <c r="I113" s="33">
        <v>32</v>
      </c>
      <c r="J113" s="33">
        <v>251</v>
      </c>
      <c r="K113" s="33">
        <v>37</v>
      </c>
      <c r="L113" s="33">
        <v>247</v>
      </c>
      <c r="M113" s="33">
        <v>35</v>
      </c>
      <c r="N113" s="33">
        <v>249</v>
      </c>
      <c r="O113" s="33">
        <v>38</v>
      </c>
      <c r="P113" s="130">
        <v>250</v>
      </c>
      <c r="Q113" s="130">
        <v>37</v>
      </c>
      <c r="R113" s="246">
        <v>248</v>
      </c>
      <c r="S113" s="246" t="s">
        <v>760</v>
      </c>
      <c r="T113" s="246">
        <v>39</v>
      </c>
      <c r="U113" s="246" t="s">
        <v>758</v>
      </c>
      <c r="V113" s="309">
        <v>260</v>
      </c>
      <c r="W113" s="309" t="s">
        <v>758</v>
      </c>
      <c r="X113" s="309">
        <v>40</v>
      </c>
      <c r="Y113" s="309" t="s">
        <v>758</v>
      </c>
      <c r="Z113" s="424">
        <v>249</v>
      </c>
      <c r="AA113" s="424" t="s">
        <v>760</v>
      </c>
      <c r="AB113" s="424">
        <v>40</v>
      </c>
      <c r="AC113" s="424" t="s">
        <v>758</v>
      </c>
      <c r="AD113" s="464">
        <v>259</v>
      </c>
      <c r="AE113" s="464" t="s">
        <v>760</v>
      </c>
      <c r="AF113" s="464">
        <v>42</v>
      </c>
      <c r="AG113" s="464" t="s">
        <v>758</v>
      </c>
      <c r="AH113" s="849">
        <v>259</v>
      </c>
      <c r="AI113" s="464" t="s">
        <v>760</v>
      </c>
      <c r="AJ113" s="464">
        <v>45</v>
      </c>
      <c r="AK113" s="464" t="s">
        <v>758</v>
      </c>
      <c r="AL113" s="917"/>
      <c r="AM113" s="855" t="s">
        <v>19</v>
      </c>
      <c r="AN113" s="970">
        <v>259</v>
      </c>
      <c r="AO113" s="970">
        <f t="shared" si="19"/>
        <v>0</v>
      </c>
    </row>
    <row r="114" spans="1:41" ht="21.95" customHeight="1" x14ac:dyDescent="0.2">
      <c r="A114" s="465" t="s">
        <v>71</v>
      </c>
      <c r="B114" s="1" t="s">
        <v>121</v>
      </c>
      <c r="C114" s="12">
        <v>4</v>
      </c>
      <c r="D114" s="27">
        <v>250.57692307692307</v>
      </c>
      <c r="E114" s="2"/>
      <c r="F114" s="2">
        <v>241</v>
      </c>
      <c r="G114" s="2"/>
      <c r="H114" s="33">
        <v>228</v>
      </c>
      <c r="I114" s="33">
        <v>33</v>
      </c>
      <c r="J114" s="33">
        <v>229</v>
      </c>
      <c r="K114" s="33">
        <v>29</v>
      </c>
      <c r="L114" s="33">
        <v>224</v>
      </c>
      <c r="M114" s="33">
        <v>38</v>
      </c>
      <c r="N114" s="33">
        <v>224</v>
      </c>
      <c r="O114" s="33">
        <v>41</v>
      </c>
      <c r="P114" s="130">
        <v>229</v>
      </c>
      <c r="Q114" s="130">
        <v>34</v>
      </c>
      <c r="R114" s="246">
        <v>231</v>
      </c>
      <c r="S114" s="246" t="s">
        <v>760</v>
      </c>
      <c r="T114" s="246">
        <v>30</v>
      </c>
      <c r="U114" s="246" t="s">
        <v>760</v>
      </c>
      <c r="V114" s="309">
        <v>235</v>
      </c>
      <c r="W114" s="309" t="s">
        <v>760</v>
      </c>
      <c r="X114" s="309">
        <v>45</v>
      </c>
      <c r="Y114" s="309" t="s">
        <v>758</v>
      </c>
      <c r="Z114" s="424">
        <v>236</v>
      </c>
      <c r="AA114" s="424" t="s">
        <v>760</v>
      </c>
      <c r="AB114" s="424">
        <v>42</v>
      </c>
      <c r="AC114" s="424" t="s">
        <v>758</v>
      </c>
      <c r="AD114" s="464">
        <v>229</v>
      </c>
      <c r="AE114" s="464" t="s">
        <v>760</v>
      </c>
      <c r="AF114" s="464">
        <v>40</v>
      </c>
      <c r="AG114" s="464" t="s">
        <v>758</v>
      </c>
      <c r="AH114" s="849">
        <v>235</v>
      </c>
      <c r="AI114" s="464" t="s">
        <v>760</v>
      </c>
      <c r="AJ114" s="464">
        <v>42</v>
      </c>
      <c r="AK114" s="464" t="s">
        <v>758</v>
      </c>
      <c r="AL114" s="917"/>
      <c r="AM114" s="855" t="s">
        <v>71</v>
      </c>
      <c r="AN114" s="970">
        <v>235</v>
      </c>
      <c r="AO114" s="970">
        <f t="shared" si="19"/>
        <v>0</v>
      </c>
    </row>
    <row r="115" spans="1:41" ht="21.95" customHeight="1" x14ac:dyDescent="0.2">
      <c r="A115" s="465" t="s">
        <v>20</v>
      </c>
      <c r="B115" s="1" t="s">
        <v>121</v>
      </c>
      <c r="C115" s="12">
        <v>2</v>
      </c>
      <c r="D115" s="27">
        <v>256</v>
      </c>
      <c r="E115" s="2"/>
      <c r="F115" s="2">
        <v>258</v>
      </c>
      <c r="G115" s="2"/>
      <c r="H115" s="33">
        <v>269</v>
      </c>
      <c r="I115" s="33">
        <v>38</v>
      </c>
      <c r="J115" s="33">
        <v>264</v>
      </c>
      <c r="K115" s="33">
        <v>39</v>
      </c>
      <c r="L115" s="33">
        <v>260</v>
      </c>
      <c r="M115" s="33">
        <v>40</v>
      </c>
      <c r="N115" s="33">
        <v>254</v>
      </c>
      <c r="O115" s="33">
        <v>40</v>
      </c>
      <c r="P115" s="130">
        <v>257</v>
      </c>
      <c r="Q115" s="130">
        <v>39</v>
      </c>
      <c r="R115" s="246">
        <v>253</v>
      </c>
      <c r="S115" s="246" t="s">
        <v>760</v>
      </c>
      <c r="T115" s="246">
        <v>41</v>
      </c>
      <c r="U115" s="246" t="s">
        <v>758</v>
      </c>
      <c r="V115" s="309">
        <v>261</v>
      </c>
      <c r="W115" s="309" t="s">
        <v>758</v>
      </c>
      <c r="X115" s="309">
        <v>41</v>
      </c>
      <c r="Y115" s="309" t="s">
        <v>758</v>
      </c>
      <c r="Z115" s="424">
        <v>261</v>
      </c>
      <c r="AA115" s="424" t="s">
        <v>758</v>
      </c>
      <c r="AB115" s="424">
        <v>41</v>
      </c>
      <c r="AC115" s="424" t="s">
        <v>758</v>
      </c>
      <c r="AD115" s="464">
        <v>260</v>
      </c>
      <c r="AE115" s="464" t="s">
        <v>760</v>
      </c>
      <c r="AF115" s="464">
        <v>42</v>
      </c>
      <c r="AG115" s="464" t="s">
        <v>758</v>
      </c>
      <c r="AH115" s="849">
        <v>261</v>
      </c>
      <c r="AI115" s="464" t="s">
        <v>760</v>
      </c>
      <c r="AJ115" s="464">
        <v>46</v>
      </c>
      <c r="AK115" s="464" t="s">
        <v>758</v>
      </c>
      <c r="AL115" s="917"/>
      <c r="AM115" s="855" t="s">
        <v>20</v>
      </c>
      <c r="AN115" s="970">
        <v>261</v>
      </c>
      <c r="AO115" s="970">
        <f t="shared" si="19"/>
        <v>0</v>
      </c>
    </row>
    <row r="116" spans="1:41" ht="21.95" customHeight="1" x14ac:dyDescent="0.2">
      <c r="A116" s="465" t="s">
        <v>124</v>
      </c>
      <c r="B116" s="1" t="s">
        <v>123</v>
      </c>
      <c r="C116" s="12">
        <v>1</v>
      </c>
      <c r="D116" s="27">
        <v>247.17307692307696</v>
      </c>
      <c r="F116" s="2">
        <v>253</v>
      </c>
      <c r="G116" s="2"/>
      <c r="H116" s="33">
        <v>253</v>
      </c>
      <c r="I116" s="33">
        <v>33</v>
      </c>
      <c r="J116" s="33">
        <v>274</v>
      </c>
      <c r="K116" s="33">
        <v>35</v>
      </c>
      <c r="L116" s="33">
        <v>271</v>
      </c>
      <c r="M116" s="33">
        <v>35</v>
      </c>
      <c r="N116" s="33">
        <v>271</v>
      </c>
      <c r="O116" s="33">
        <v>36</v>
      </c>
      <c r="P116" s="130">
        <v>274</v>
      </c>
      <c r="Q116" s="130">
        <v>38</v>
      </c>
      <c r="R116" s="246">
        <v>274</v>
      </c>
      <c r="S116" s="246" t="s">
        <v>759</v>
      </c>
      <c r="T116" s="246">
        <v>37</v>
      </c>
      <c r="U116" s="246" t="s">
        <v>758</v>
      </c>
      <c r="V116" s="309">
        <v>266</v>
      </c>
      <c r="W116" s="309" t="s">
        <v>759</v>
      </c>
      <c r="X116" s="309">
        <v>44</v>
      </c>
      <c r="Y116" s="309" t="s">
        <v>758</v>
      </c>
      <c r="Z116" s="424">
        <v>283</v>
      </c>
      <c r="AA116" s="424" t="s">
        <v>759</v>
      </c>
      <c r="AB116" s="424">
        <v>43</v>
      </c>
      <c r="AC116" s="424" t="s">
        <v>758</v>
      </c>
      <c r="AD116" s="464">
        <v>271</v>
      </c>
      <c r="AE116" s="464" t="s">
        <v>759</v>
      </c>
      <c r="AF116" s="464">
        <v>38</v>
      </c>
      <c r="AG116" s="464" t="s">
        <v>758</v>
      </c>
      <c r="AH116" s="849">
        <v>283</v>
      </c>
      <c r="AI116" s="464" t="s">
        <v>759</v>
      </c>
      <c r="AJ116" s="464">
        <v>43</v>
      </c>
      <c r="AK116" s="464" t="s">
        <v>758</v>
      </c>
      <c r="AL116" s="917"/>
      <c r="AM116" s="855" t="s">
        <v>124</v>
      </c>
      <c r="AN116" s="970">
        <v>283</v>
      </c>
      <c r="AO116" s="970">
        <f t="shared" si="19"/>
        <v>0</v>
      </c>
    </row>
    <row r="117" spans="1:41" ht="21.95" customHeight="1" x14ac:dyDescent="0.2">
      <c r="A117" s="465" t="s">
        <v>53</v>
      </c>
      <c r="B117" s="1" t="s">
        <v>121</v>
      </c>
      <c r="C117" s="12">
        <v>2</v>
      </c>
      <c r="D117" s="27">
        <v>255</v>
      </c>
      <c r="E117" s="2"/>
      <c r="F117" s="2">
        <v>246</v>
      </c>
      <c r="G117" s="2"/>
      <c r="H117" s="33">
        <v>260</v>
      </c>
      <c r="I117" s="33">
        <v>32</v>
      </c>
      <c r="J117" s="33">
        <v>259</v>
      </c>
      <c r="K117" s="33">
        <v>39</v>
      </c>
      <c r="L117" s="33">
        <v>255</v>
      </c>
      <c r="M117" s="33">
        <v>41</v>
      </c>
      <c r="N117" s="33">
        <v>253</v>
      </c>
      <c r="O117" s="33">
        <v>41</v>
      </c>
      <c r="P117" s="130">
        <v>254</v>
      </c>
      <c r="Q117" s="130">
        <v>36</v>
      </c>
      <c r="R117" s="246">
        <v>248</v>
      </c>
      <c r="S117" s="246" t="s">
        <v>760</v>
      </c>
      <c r="T117" s="246">
        <v>37</v>
      </c>
      <c r="U117" s="246" t="s">
        <v>758</v>
      </c>
      <c r="V117" s="309">
        <v>246</v>
      </c>
      <c r="W117" s="309" t="s">
        <v>760</v>
      </c>
      <c r="X117" s="309">
        <v>41</v>
      </c>
      <c r="Y117" s="309" t="s">
        <v>758</v>
      </c>
      <c r="Z117" s="424">
        <v>256</v>
      </c>
      <c r="AA117" s="424" t="s">
        <v>760</v>
      </c>
      <c r="AB117" s="424">
        <v>37</v>
      </c>
      <c r="AC117" s="424" t="s">
        <v>758</v>
      </c>
      <c r="AD117" s="464">
        <v>263</v>
      </c>
      <c r="AE117" s="464" t="s">
        <v>758</v>
      </c>
      <c r="AF117" s="464">
        <v>39</v>
      </c>
      <c r="AG117" s="464" t="s">
        <v>758</v>
      </c>
      <c r="AH117" s="849">
        <v>258</v>
      </c>
      <c r="AI117" s="464" t="s">
        <v>760</v>
      </c>
      <c r="AJ117" s="464">
        <v>43</v>
      </c>
      <c r="AK117" s="464" t="s">
        <v>758</v>
      </c>
      <c r="AL117" s="917"/>
      <c r="AM117" s="855" t="s">
        <v>53</v>
      </c>
      <c r="AN117" s="970">
        <v>258</v>
      </c>
      <c r="AO117" s="970">
        <f t="shared" si="19"/>
        <v>0</v>
      </c>
    </row>
    <row r="118" spans="1:41" ht="21.95" customHeight="1" x14ac:dyDescent="0.2">
      <c r="A118" s="465" t="s">
        <v>953</v>
      </c>
      <c r="B118" s="1" t="s">
        <v>121</v>
      </c>
      <c r="C118" s="12">
        <v>4</v>
      </c>
      <c r="D118" s="27">
        <v>257.81153846153848</v>
      </c>
      <c r="E118" s="2"/>
      <c r="F118" s="27">
        <v>257.31153846153848</v>
      </c>
      <c r="G118" s="2"/>
      <c r="H118" s="33">
        <v>266</v>
      </c>
      <c r="I118" s="33">
        <v>39</v>
      </c>
      <c r="J118" s="33">
        <v>269</v>
      </c>
      <c r="K118" s="33">
        <v>43</v>
      </c>
      <c r="L118" s="33">
        <v>248</v>
      </c>
      <c r="M118" s="33">
        <v>36</v>
      </c>
      <c r="N118" s="33">
        <v>247</v>
      </c>
      <c r="O118" s="33">
        <v>40</v>
      </c>
      <c r="P118" s="130">
        <v>248</v>
      </c>
      <c r="Q118" s="130">
        <v>36</v>
      </c>
      <c r="R118" s="246">
        <v>243</v>
      </c>
      <c r="S118" s="246" t="s">
        <v>760</v>
      </c>
      <c r="T118" s="246">
        <v>39</v>
      </c>
      <c r="U118" s="246" t="s">
        <v>758</v>
      </c>
      <c r="V118" s="309">
        <v>245</v>
      </c>
      <c r="W118" s="309" t="s">
        <v>760</v>
      </c>
      <c r="X118" s="309">
        <v>39</v>
      </c>
      <c r="Y118" s="309" t="s">
        <v>758</v>
      </c>
      <c r="Z118" s="424">
        <v>252</v>
      </c>
      <c r="AA118" s="424" t="s">
        <v>760</v>
      </c>
      <c r="AB118" s="424">
        <v>42</v>
      </c>
      <c r="AC118" s="424" t="s">
        <v>758</v>
      </c>
      <c r="AD118" s="464">
        <v>251</v>
      </c>
      <c r="AE118" s="464" t="s">
        <v>760</v>
      </c>
      <c r="AF118" s="464">
        <v>41</v>
      </c>
      <c r="AG118" s="464" t="s">
        <v>758</v>
      </c>
      <c r="AH118" s="849">
        <v>250</v>
      </c>
      <c r="AI118" s="464" t="s">
        <v>760</v>
      </c>
      <c r="AJ118" s="464">
        <v>41</v>
      </c>
      <c r="AK118" s="464" t="s">
        <v>758</v>
      </c>
      <c r="AL118" s="917"/>
      <c r="AM118" s="855" t="s">
        <v>953</v>
      </c>
      <c r="AN118" s="970">
        <v>250</v>
      </c>
      <c r="AO118" s="970">
        <f t="shared" si="19"/>
        <v>0</v>
      </c>
    </row>
    <row r="119" spans="1:41" ht="21.95" customHeight="1" x14ac:dyDescent="0.2">
      <c r="A119" s="465" t="s">
        <v>954</v>
      </c>
      <c r="B119" s="1" t="s">
        <v>123</v>
      </c>
      <c r="C119" s="12">
        <v>1</v>
      </c>
      <c r="D119" s="27">
        <v>238.6615384615385</v>
      </c>
      <c r="E119" s="2"/>
      <c r="F119" s="27">
        <v>240.52692307692308</v>
      </c>
      <c r="G119" s="2"/>
      <c r="H119" s="33">
        <v>243</v>
      </c>
      <c r="I119" s="33">
        <v>37</v>
      </c>
      <c r="J119" s="33">
        <v>235</v>
      </c>
      <c r="K119" s="33">
        <v>44</v>
      </c>
      <c r="L119" s="33">
        <v>229</v>
      </c>
      <c r="M119" s="33">
        <v>32</v>
      </c>
      <c r="N119" s="33">
        <v>236</v>
      </c>
      <c r="O119" s="33">
        <v>38</v>
      </c>
      <c r="P119" s="130">
        <v>255</v>
      </c>
      <c r="Q119" s="130">
        <v>34</v>
      </c>
      <c r="R119" s="246">
        <v>253</v>
      </c>
      <c r="S119" s="246" t="s">
        <v>760</v>
      </c>
      <c r="T119" s="246">
        <v>45</v>
      </c>
      <c r="U119" s="246" t="s">
        <v>758</v>
      </c>
      <c r="V119" s="309">
        <v>258</v>
      </c>
      <c r="W119" s="309" t="s">
        <v>760</v>
      </c>
      <c r="X119" s="309">
        <v>42</v>
      </c>
      <c r="Y119" s="309" t="s">
        <v>758</v>
      </c>
      <c r="Z119" s="424">
        <v>260</v>
      </c>
      <c r="AA119" s="424" t="s">
        <v>758</v>
      </c>
      <c r="AB119" s="424">
        <v>36</v>
      </c>
      <c r="AC119" s="424" t="s">
        <v>760</v>
      </c>
      <c r="AD119" s="464">
        <v>277</v>
      </c>
      <c r="AE119" s="464" t="s">
        <v>759</v>
      </c>
      <c r="AF119" s="464">
        <v>30</v>
      </c>
      <c r="AG119" s="464" t="s">
        <v>760</v>
      </c>
      <c r="AH119" s="849">
        <v>265</v>
      </c>
      <c r="AI119" s="464" t="s">
        <v>758</v>
      </c>
      <c r="AJ119" s="464">
        <v>45</v>
      </c>
      <c r="AK119" s="464" t="s">
        <v>758</v>
      </c>
      <c r="AL119" s="917"/>
      <c r="AM119" s="855" t="s">
        <v>954</v>
      </c>
      <c r="AN119" s="970">
        <v>265</v>
      </c>
      <c r="AO119" s="970">
        <f t="shared" si="19"/>
        <v>0</v>
      </c>
    </row>
    <row r="120" spans="1:41" ht="21.95" customHeight="1" x14ac:dyDescent="0.2">
      <c r="A120" s="465" t="s">
        <v>96</v>
      </c>
      <c r="B120" s="1" t="s">
        <v>121</v>
      </c>
      <c r="C120" s="12">
        <v>3</v>
      </c>
      <c r="D120" s="27">
        <v>251</v>
      </c>
      <c r="E120" s="2"/>
      <c r="F120" s="2">
        <v>243</v>
      </c>
      <c r="G120" s="2"/>
      <c r="H120" s="33">
        <v>255</v>
      </c>
      <c r="I120" s="33">
        <v>38</v>
      </c>
      <c r="J120" s="33">
        <v>254</v>
      </c>
      <c r="K120" s="33">
        <v>36</v>
      </c>
      <c r="L120" s="33">
        <v>256</v>
      </c>
      <c r="M120" s="33">
        <v>40</v>
      </c>
      <c r="N120" s="33">
        <v>249</v>
      </c>
      <c r="O120" s="33">
        <v>37</v>
      </c>
      <c r="P120" s="130">
        <v>243</v>
      </c>
      <c r="Q120" s="130">
        <v>36</v>
      </c>
      <c r="R120" s="246">
        <v>245</v>
      </c>
      <c r="S120" s="246" t="s">
        <v>760</v>
      </c>
      <c r="T120" s="246">
        <v>35</v>
      </c>
      <c r="U120" s="246" t="s">
        <v>760</v>
      </c>
      <c r="V120" s="309">
        <v>251</v>
      </c>
      <c r="W120" s="309" t="s">
        <v>760</v>
      </c>
      <c r="X120" s="309">
        <v>39</v>
      </c>
      <c r="Y120" s="309" t="s">
        <v>758</v>
      </c>
      <c r="Z120" s="424">
        <v>247</v>
      </c>
      <c r="AA120" s="424" t="s">
        <v>760</v>
      </c>
      <c r="AB120" s="424">
        <v>37</v>
      </c>
      <c r="AC120" s="424" t="s">
        <v>758</v>
      </c>
      <c r="AD120" s="464">
        <v>250</v>
      </c>
      <c r="AE120" s="464" t="s">
        <v>760</v>
      </c>
      <c r="AF120" s="464">
        <v>42</v>
      </c>
      <c r="AG120" s="464" t="s">
        <v>758</v>
      </c>
      <c r="AH120" s="849">
        <v>249</v>
      </c>
      <c r="AI120" s="464" t="s">
        <v>760</v>
      </c>
      <c r="AJ120" s="464">
        <v>39</v>
      </c>
      <c r="AK120" s="464" t="s">
        <v>758</v>
      </c>
      <c r="AL120" s="917"/>
      <c r="AM120" s="855" t="s">
        <v>96</v>
      </c>
      <c r="AN120" s="970">
        <v>249</v>
      </c>
      <c r="AO120" s="970">
        <f t="shared" si="19"/>
        <v>0</v>
      </c>
    </row>
    <row r="121" spans="1:41" ht="21.95" customHeight="1" x14ac:dyDescent="0.2">
      <c r="A121" s="465" t="s">
        <v>25</v>
      </c>
      <c r="B121" s="1" t="s">
        <v>121</v>
      </c>
      <c r="C121" s="12">
        <v>6</v>
      </c>
      <c r="D121" s="27">
        <v>247</v>
      </c>
      <c r="E121" s="2"/>
      <c r="F121" s="2">
        <v>245</v>
      </c>
      <c r="G121" s="2"/>
      <c r="H121" s="33">
        <v>257</v>
      </c>
      <c r="I121" s="33">
        <v>34</v>
      </c>
      <c r="J121" s="33">
        <v>262</v>
      </c>
      <c r="K121" s="33">
        <v>37</v>
      </c>
      <c r="L121" s="33">
        <v>265</v>
      </c>
      <c r="M121" s="33">
        <v>42</v>
      </c>
      <c r="N121" s="33">
        <v>251</v>
      </c>
      <c r="O121" s="33">
        <v>41</v>
      </c>
      <c r="P121" s="130">
        <v>255</v>
      </c>
      <c r="Q121" s="130">
        <v>36</v>
      </c>
      <c r="R121" s="246">
        <v>245</v>
      </c>
      <c r="S121" s="246" t="s">
        <v>760</v>
      </c>
      <c r="T121" s="246">
        <v>37</v>
      </c>
      <c r="U121" s="246" t="s">
        <v>758</v>
      </c>
      <c r="V121" s="309">
        <v>250</v>
      </c>
      <c r="W121" s="309" t="s">
        <v>760</v>
      </c>
      <c r="X121" s="309">
        <v>41</v>
      </c>
      <c r="Y121" s="309" t="s">
        <v>758</v>
      </c>
      <c r="Z121" s="424">
        <v>249</v>
      </c>
      <c r="AA121" s="424" t="s">
        <v>760</v>
      </c>
      <c r="AB121" s="424">
        <v>44</v>
      </c>
      <c r="AC121" s="424" t="s">
        <v>758</v>
      </c>
      <c r="AD121" s="464">
        <v>246</v>
      </c>
      <c r="AE121" s="464" t="s">
        <v>760</v>
      </c>
      <c r="AF121" s="464">
        <v>44</v>
      </c>
      <c r="AG121" s="464" t="s">
        <v>758</v>
      </c>
      <c r="AH121" s="849">
        <v>254</v>
      </c>
      <c r="AI121" s="464" t="s">
        <v>760</v>
      </c>
      <c r="AJ121" s="464">
        <v>45</v>
      </c>
      <c r="AK121" s="464" t="s">
        <v>758</v>
      </c>
      <c r="AL121" s="917"/>
      <c r="AM121" s="855" t="s">
        <v>25</v>
      </c>
      <c r="AN121" s="970">
        <v>254</v>
      </c>
      <c r="AO121" s="970">
        <f t="shared" si="19"/>
        <v>0</v>
      </c>
    </row>
    <row r="122" spans="1:41" ht="21.95" customHeight="1" x14ac:dyDescent="0.2">
      <c r="A122" s="465" t="s">
        <v>41</v>
      </c>
      <c r="B122" s="1" t="s">
        <v>121</v>
      </c>
      <c r="C122" s="12">
        <v>3</v>
      </c>
      <c r="D122" s="27">
        <v>256</v>
      </c>
      <c r="E122" s="2"/>
      <c r="F122" s="2">
        <v>248</v>
      </c>
      <c r="G122" s="2"/>
      <c r="H122" s="33">
        <v>262</v>
      </c>
      <c r="I122" s="33">
        <v>34</v>
      </c>
      <c r="J122" s="33">
        <v>258</v>
      </c>
      <c r="K122" s="33">
        <v>38</v>
      </c>
      <c r="L122" s="33">
        <v>255</v>
      </c>
      <c r="M122" s="33">
        <v>38</v>
      </c>
      <c r="N122" s="33">
        <v>253</v>
      </c>
      <c r="O122" s="33">
        <v>40</v>
      </c>
      <c r="P122" s="130">
        <v>257</v>
      </c>
      <c r="Q122" s="130">
        <v>39</v>
      </c>
      <c r="R122" s="246">
        <v>245</v>
      </c>
      <c r="S122" s="246" t="s">
        <v>760</v>
      </c>
      <c r="T122" s="246">
        <v>38</v>
      </c>
      <c r="U122" s="246" t="s">
        <v>758</v>
      </c>
      <c r="V122" s="309">
        <v>247</v>
      </c>
      <c r="W122" s="309" t="s">
        <v>760</v>
      </c>
      <c r="X122" s="309">
        <v>37</v>
      </c>
      <c r="Y122" s="309" t="s">
        <v>758</v>
      </c>
      <c r="Z122" s="424">
        <v>245</v>
      </c>
      <c r="AA122" s="424" t="s">
        <v>760</v>
      </c>
      <c r="AB122" s="424">
        <v>39</v>
      </c>
      <c r="AC122" s="424" t="s">
        <v>758</v>
      </c>
      <c r="AD122" s="464">
        <v>256</v>
      </c>
      <c r="AE122" s="464" t="s">
        <v>760</v>
      </c>
      <c r="AF122" s="464">
        <v>45</v>
      </c>
      <c r="AG122" s="464" t="s">
        <v>758</v>
      </c>
      <c r="AH122" s="849">
        <v>248</v>
      </c>
      <c r="AI122" s="464" t="s">
        <v>760</v>
      </c>
      <c r="AJ122" s="464">
        <v>41</v>
      </c>
      <c r="AK122" s="464" t="s">
        <v>758</v>
      </c>
      <c r="AL122" s="917"/>
      <c r="AM122" s="855" t="s">
        <v>41</v>
      </c>
      <c r="AN122" s="970">
        <v>248</v>
      </c>
      <c r="AO122" s="970">
        <f t="shared" si="19"/>
        <v>0</v>
      </c>
    </row>
    <row r="123" spans="1:41" ht="21.95" customHeight="1" x14ac:dyDescent="0.2">
      <c r="A123" s="465" t="s">
        <v>62</v>
      </c>
      <c r="B123" s="1" t="s">
        <v>123</v>
      </c>
      <c r="C123" s="12">
        <v>1</v>
      </c>
      <c r="D123" s="27">
        <v>266.73461538461538</v>
      </c>
      <c r="E123" s="2"/>
      <c r="F123" s="27">
        <v>269.34999999999997</v>
      </c>
      <c r="G123" s="2"/>
      <c r="H123" s="33">
        <v>282</v>
      </c>
      <c r="I123" s="33">
        <v>37</v>
      </c>
      <c r="J123" s="33">
        <v>278</v>
      </c>
      <c r="K123" s="33">
        <v>38</v>
      </c>
      <c r="L123" s="33">
        <v>263</v>
      </c>
      <c r="M123" s="33">
        <v>43</v>
      </c>
      <c r="N123" s="33">
        <v>248</v>
      </c>
      <c r="O123" s="33">
        <v>44</v>
      </c>
      <c r="P123" s="130">
        <v>261</v>
      </c>
      <c r="Q123" s="130">
        <v>37</v>
      </c>
      <c r="R123" s="246">
        <v>253</v>
      </c>
      <c r="S123" s="246" t="s">
        <v>760</v>
      </c>
      <c r="T123" s="246">
        <v>39</v>
      </c>
      <c r="U123" s="246" t="s">
        <v>758</v>
      </c>
      <c r="V123" s="309">
        <v>280</v>
      </c>
      <c r="W123" s="309" t="s">
        <v>759</v>
      </c>
      <c r="X123" s="309">
        <v>35</v>
      </c>
      <c r="Y123" s="309" t="s">
        <v>760</v>
      </c>
      <c r="Z123" s="424">
        <v>280</v>
      </c>
      <c r="AA123" s="424" t="s">
        <v>759</v>
      </c>
      <c r="AB123" s="424">
        <v>41</v>
      </c>
      <c r="AC123" s="424" t="s">
        <v>758</v>
      </c>
      <c r="AD123" s="464">
        <v>268</v>
      </c>
      <c r="AE123" s="464" t="s">
        <v>758</v>
      </c>
      <c r="AF123" s="464">
        <v>45</v>
      </c>
      <c r="AG123" s="464" t="s">
        <v>758</v>
      </c>
      <c r="AH123" s="849">
        <v>294</v>
      </c>
      <c r="AI123" s="464" t="s">
        <v>759</v>
      </c>
      <c r="AJ123" s="464">
        <v>45</v>
      </c>
      <c r="AK123" s="464" t="s">
        <v>758</v>
      </c>
      <c r="AL123" s="917"/>
      <c r="AM123" s="855" t="s">
        <v>62</v>
      </c>
      <c r="AN123" s="970">
        <v>294</v>
      </c>
      <c r="AO123" s="970">
        <f t="shared" si="19"/>
        <v>0</v>
      </c>
    </row>
    <row r="124" spans="1:41" ht="21.95" customHeight="1" x14ac:dyDescent="0.2">
      <c r="A124" s="465" t="s">
        <v>103</v>
      </c>
      <c r="B124" s="1" t="s">
        <v>121</v>
      </c>
      <c r="C124" s="12">
        <v>4</v>
      </c>
      <c r="D124" s="27">
        <v>237.58076923076925</v>
      </c>
      <c r="E124" s="2"/>
      <c r="F124" s="27">
        <v>239.06538461538463</v>
      </c>
      <c r="G124" s="2"/>
      <c r="H124" s="33">
        <v>239</v>
      </c>
      <c r="I124" s="33">
        <v>37</v>
      </c>
      <c r="J124" s="33">
        <v>240</v>
      </c>
      <c r="K124" s="33">
        <v>38</v>
      </c>
      <c r="L124" s="33">
        <v>228</v>
      </c>
      <c r="M124" s="33">
        <v>34</v>
      </c>
      <c r="N124" s="33">
        <v>234</v>
      </c>
      <c r="O124" s="33">
        <v>42</v>
      </c>
      <c r="P124" s="130">
        <v>230</v>
      </c>
      <c r="Q124" s="130">
        <v>35</v>
      </c>
      <c r="R124" s="246">
        <v>239</v>
      </c>
      <c r="S124" s="246" t="s">
        <v>760</v>
      </c>
      <c r="T124" s="246">
        <v>43</v>
      </c>
      <c r="U124" s="246" t="s">
        <v>758</v>
      </c>
      <c r="V124" s="309">
        <v>239</v>
      </c>
      <c r="W124" s="309" t="s">
        <v>760</v>
      </c>
      <c r="X124" s="309">
        <v>40</v>
      </c>
      <c r="Y124" s="309" t="s">
        <v>758</v>
      </c>
      <c r="Z124" s="424">
        <v>239</v>
      </c>
      <c r="AA124" s="424" t="s">
        <v>760</v>
      </c>
      <c r="AB124" s="424">
        <v>43</v>
      </c>
      <c r="AC124" s="424" t="s">
        <v>758</v>
      </c>
      <c r="AD124" s="464">
        <v>234</v>
      </c>
      <c r="AE124" s="464" t="s">
        <v>760</v>
      </c>
      <c r="AF124" s="464">
        <v>41</v>
      </c>
      <c r="AG124" s="464" t="s">
        <v>758</v>
      </c>
      <c r="AH124" s="849">
        <v>241</v>
      </c>
      <c r="AI124" s="464" t="s">
        <v>760</v>
      </c>
      <c r="AJ124" s="464">
        <v>42</v>
      </c>
      <c r="AK124" s="464" t="s">
        <v>758</v>
      </c>
      <c r="AL124" s="917"/>
      <c r="AM124" s="855" t="s">
        <v>103</v>
      </c>
      <c r="AN124" s="970">
        <v>241</v>
      </c>
      <c r="AO124" s="970">
        <f t="shared" si="19"/>
        <v>0</v>
      </c>
    </row>
    <row r="125" spans="1:41" ht="21.95" customHeight="1" x14ac:dyDescent="0.2">
      <c r="A125" s="467" t="s">
        <v>802</v>
      </c>
      <c r="B125" s="1" t="s">
        <v>121</v>
      </c>
      <c r="C125" s="328">
        <v>2</v>
      </c>
      <c r="D125" s="319"/>
      <c r="E125" s="309"/>
      <c r="F125" s="319"/>
      <c r="G125" s="309"/>
      <c r="H125" s="320"/>
      <c r="I125" s="320"/>
      <c r="J125" s="320"/>
      <c r="K125" s="320"/>
      <c r="L125" s="320"/>
      <c r="M125" s="320"/>
      <c r="N125" s="320"/>
      <c r="O125" s="320"/>
      <c r="P125" s="321"/>
      <c r="Q125" s="321"/>
      <c r="R125" s="312"/>
      <c r="S125" s="312"/>
      <c r="T125" s="312"/>
      <c r="U125" s="312"/>
      <c r="V125" s="309">
        <v>260</v>
      </c>
      <c r="W125" s="309" t="s">
        <v>758</v>
      </c>
      <c r="X125" s="309">
        <v>36</v>
      </c>
      <c r="Y125" s="309" t="s">
        <v>760</v>
      </c>
      <c r="Z125" s="424">
        <v>253</v>
      </c>
      <c r="AA125" s="424" t="s">
        <v>760</v>
      </c>
      <c r="AB125" s="424">
        <v>41</v>
      </c>
      <c r="AC125" s="424" t="s">
        <v>758</v>
      </c>
      <c r="AD125" s="464">
        <v>255</v>
      </c>
      <c r="AE125" s="464" t="s">
        <v>760</v>
      </c>
      <c r="AF125" s="464">
        <v>40</v>
      </c>
      <c r="AG125" s="464" t="s">
        <v>758</v>
      </c>
      <c r="AH125" s="849">
        <v>261</v>
      </c>
      <c r="AI125" s="464" t="s">
        <v>760</v>
      </c>
      <c r="AJ125" s="464">
        <v>40</v>
      </c>
      <c r="AK125" s="464" t="s">
        <v>758</v>
      </c>
      <c r="AL125" s="917"/>
      <c r="AM125" s="855" t="s">
        <v>802</v>
      </c>
      <c r="AN125" s="970">
        <v>261</v>
      </c>
      <c r="AO125" s="970">
        <f t="shared" si="19"/>
        <v>0</v>
      </c>
    </row>
    <row r="126" spans="1:41" ht="21.95" customHeight="1" x14ac:dyDescent="0.2">
      <c r="A126" s="465" t="s">
        <v>74</v>
      </c>
      <c r="B126" s="1" t="s">
        <v>121</v>
      </c>
      <c r="C126" s="12">
        <v>3</v>
      </c>
      <c r="D126" s="27">
        <v>248.00769230769225</v>
      </c>
      <c r="E126" s="2"/>
      <c r="F126" s="27">
        <v>246.76923076923077</v>
      </c>
      <c r="G126" s="2"/>
      <c r="H126" s="33">
        <v>263</v>
      </c>
      <c r="I126" s="33">
        <v>40</v>
      </c>
      <c r="J126" s="33">
        <v>258</v>
      </c>
      <c r="K126" s="33">
        <v>38</v>
      </c>
      <c r="L126" s="33">
        <v>257</v>
      </c>
      <c r="M126" s="33">
        <v>40</v>
      </c>
      <c r="N126" s="33">
        <v>244</v>
      </c>
      <c r="O126" s="33">
        <v>37</v>
      </c>
      <c r="P126" s="130">
        <v>247</v>
      </c>
      <c r="Q126" s="130">
        <v>36</v>
      </c>
      <c r="R126" s="246">
        <v>250</v>
      </c>
      <c r="S126" s="246" t="s">
        <v>760</v>
      </c>
      <c r="T126" s="246">
        <v>40</v>
      </c>
      <c r="U126" s="246" t="s">
        <v>758</v>
      </c>
      <c r="V126" s="309">
        <v>258</v>
      </c>
      <c r="W126" s="309" t="s">
        <v>760</v>
      </c>
      <c r="X126" s="309">
        <v>43</v>
      </c>
      <c r="Y126" s="309" t="s">
        <v>758</v>
      </c>
      <c r="Z126" s="424">
        <v>256</v>
      </c>
      <c r="AA126" s="424" t="s">
        <v>760</v>
      </c>
      <c r="AB126" s="424">
        <v>39</v>
      </c>
      <c r="AC126" s="424" t="s">
        <v>758</v>
      </c>
      <c r="AD126" s="464">
        <v>255</v>
      </c>
      <c r="AE126" s="464" t="s">
        <v>760</v>
      </c>
      <c r="AF126" s="464">
        <v>44</v>
      </c>
      <c r="AG126" s="464" t="s">
        <v>758</v>
      </c>
      <c r="AH126" s="849">
        <v>250</v>
      </c>
      <c r="AI126" s="464" t="s">
        <v>760</v>
      </c>
      <c r="AJ126" s="464">
        <v>41</v>
      </c>
      <c r="AK126" s="464" t="s">
        <v>758</v>
      </c>
      <c r="AL126" s="917"/>
      <c r="AM126" s="855" t="s">
        <v>74</v>
      </c>
      <c r="AN126" s="970">
        <v>250</v>
      </c>
      <c r="AO126" s="970">
        <f t="shared" si="19"/>
        <v>0</v>
      </c>
    </row>
    <row r="127" spans="1:41" ht="21.95" customHeight="1" x14ac:dyDescent="0.2">
      <c r="A127" s="467" t="s">
        <v>803</v>
      </c>
      <c r="B127" s="1" t="s">
        <v>121</v>
      </c>
      <c r="C127" s="328">
        <v>1</v>
      </c>
      <c r="D127" s="319"/>
      <c r="E127" s="309"/>
      <c r="F127" s="319"/>
      <c r="G127" s="309"/>
      <c r="H127" s="320"/>
      <c r="I127" s="320"/>
      <c r="J127" s="320"/>
      <c r="K127" s="320"/>
      <c r="L127" s="320"/>
      <c r="M127" s="320"/>
      <c r="N127" s="320"/>
      <c r="O127" s="320"/>
      <c r="P127" s="321"/>
      <c r="Q127" s="321"/>
      <c r="R127" s="312"/>
      <c r="S127" s="312"/>
      <c r="T127" s="312"/>
      <c r="U127" s="312"/>
      <c r="V127" s="309">
        <v>252</v>
      </c>
      <c r="W127" s="309" t="s">
        <v>760</v>
      </c>
      <c r="X127" s="309">
        <v>38</v>
      </c>
      <c r="Y127" s="309" t="s">
        <v>758</v>
      </c>
      <c r="Z127" s="424">
        <v>260</v>
      </c>
      <c r="AA127" s="424" t="s">
        <v>758</v>
      </c>
      <c r="AB127" s="424">
        <v>35</v>
      </c>
      <c r="AC127" s="424" t="s">
        <v>760</v>
      </c>
      <c r="AD127" s="464">
        <v>249</v>
      </c>
      <c r="AE127" s="464" t="s">
        <v>760</v>
      </c>
      <c r="AF127" s="464">
        <v>44</v>
      </c>
      <c r="AG127" s="464" t="s">
        <v>758</v>
      </c>
      <c r="AH127" s="849">
        <v>260</v>
      </c>
      <c r="AI127" s="464" t="s">
        <v>760</v>
      </c>
      <c r="AJ127" s="464">
        <v>46</v>
      </c>
      <c r="AK127" s="464" t="s">
        <v>758</v>
      </c>
      <c r="AL127" s="917"/>
      <c r="AM127" s="855" t="s">
        <v>803</v>
      </c>
      <c r="AN127" s="970">
        <v>260</v>
      </c>
      <c r="AO127" s="970">
        <f t="shared" si="19"/>
        <v>0</v>
      </c>
    </row>
    <row r="128" spans="1:41" ht="21.95" customHeight="1" x14ac:dyDescent="0.2">
      <c r="A128" s="465" t="s">
        <v>54</v>
      </c>
      <c r="B128" s="1" t="s">
        <v>121</v>
      </c>
      <c r="C128" s="12">
        <v>1</v>
      </c>
      <c r="D128" s="27">
        <v>263.78461538461534</v>
      </c>
      <c r="E128" s="2"/>
      <c r="F128" s="2">
        <v>261</v>
      </c>
      <c r="G128" s="2"/>
      <c r="H128" s="33">
        <v>272</v>
      </c>
      <c r="I128" s="33">
        <v>34</v>
      </c>
      <c r="J128" s="33">
        <v>279</v>
      </c>
      <c r="K128" s="33">
        <v>32</v>
      </c>
      <c r="L128" s="33">
        <v>269</v>
      </c>
      <c r="M128" s="33">
        <v>34</v>
      </c>
      <c r="N128" s="33">
        <v>264</v>
      </c>
      <c r="O128" s="33">
        <v>41</v>
      </c>
      <c r="P128" s="130">
        <v>269</v>
      </c>
      <c r="Q128" s="130">
        <v>37</v>
      </c>
      <c r="R128" s="246">
        <v>256</v>
      </c>
      <c r="S128" s="246" t="s">
        <v>758</v>
      </c>
      <c r="T128" s="246">
        <v>42</v>
      </c>
      <c r="U128" s="246" t="s">
        <v>758</v>
      </c>
      <c r="V128" s="309">
        <v>257</v>
      </c>
      <c r="W128" s="309" t="s">
        <v>760</v>
      </c>
      <c r="X128" s="309">
        <v>37</v>
      </c>
      <c r="Y128" s="309" t="s">
        <v>758</v>
      </c>
      <c r="Z128" s="424">
        <v>259</v>
      </c>
      <c r="AA128" s="424" t="s">
        <v>758</v>
      </c>
      <c r="AB128" s="424">
        <v>37</v>
      </c>
      <c r="AC128" s="424" t="s">
        <v>758</v>
      </c>
      <c r="AD128" s="464">
        <v>264</v>
      </c>
      <c r="AE128" s="464" t="s">
        <v>758</v>
      </c>
      <c r="AF128" s="464">
        <v>39</v>
      </c>
      <c r="AG128" s="464" t="s">
        <v>758</v>
      </c>
      <c r="AH128" s="849">
        <v>261</v>
      </c>
      <c r="AI128" s="464" t="s">
        <v>760</v>
      </c>
      <c r="AJ128" s="464">
        <v>37</v>
      </c>
      <c r="AK128" s="464" t="s">
        <v>760</v>
      </c>
      <c r="AL128" s="917"/>
      <c r="AM128" s="855" t="s">
        <v>54</v>
      </c>
      <c r="AN128" s="970">
        <v>261</v>
      </c>
      <c r="AO128" s="970">
        <f t="shared" si="19"/>
        <v>0</v>
      </c>
    </row>
    <row r="129" spans="1:41" ht="21.95" customHeight="1" x14ac:dyDescent="0.2">
      <c r="A129" s="465" t="s">
        <v>34</v>
      </c>
      <c r="B129" s="1" t="s">
        <v>123</v>
      </c>
      <c r="C129" s="12">
        <v>1</v>
      </c>
      <c r="D129" s="27">
        <v>258.75</v>
      </c>
      <c r="E129" s="2"/>
      <c r="F129" s="2">
        <v>253</v>
      </c>
      <c r="G129" s="2"/>
      <c r="H129" s="33">
        <v>266</v>
      </c>
      <c r="I129" s="33">
        <v>37</v>
      </c>
      <c r="J129" s="33">
        <v>258</v>
      </c>
      <c r="K129" s="33">
        <v>39</v>
      </c>
      <c r="L129" s="33">
        <v>264</v>
      </c>
      <c r="M129" s="33">
        <v>41</v>
      </c>
      <c r="N129" s="33">
        <v>254</v>
      </c>
      <c r="O129" s="33">
        <v>31</v>
      </c>
      <c r="P129" s="130">
        <v>261</v>
      </c>
      <c r="Q129" s="130">
        <v>34</v>
      </c>
      <c r="R129" s="246">
        <v>252</v>
      </c>
      <c r="S129" s="246" t="s">
        <v>760</v>
      </c>
      <c r="T129" s="246">
        <v>48</v>
      </c>
      <c r="U129" s="246" t="s">
        <v>758</v>
      </c>
      <c r="V129" s="309">
        <v>261</v>
      </c>
      <c r="W129" s="309" t="s">
        <v>758</v>
      </c>
      <c r="X129" s="309">
        <v>40</v>
      </c>
      <c r="Y129" s="309" t="s">
        <v>758</v>
      </c>
      <c r="AH129" s="845"/>
      <c r="AK129" s="818"/>
      <c r="AL129" s="1001"/>
      <c r="AM129" s="855"/>
      <c r="AN129" s="970"/>
      <c r="AO129" s="970"/>
    </row>
    <row r="130" spans="1:41" ht="21.95" customHeight="1" x14ac:dyDescent="0.2">
      <c r="A130" s="467" t="s">
        <v>804</v>
      </c>
      <c r="B130" s="1" t="s">
        <v>121</v>
      </c>
      <c r="C130" s="328">
        <v>3</v>
      </c>
      <c r="D130" s="319"/>
      <c r="E130" s="309"/>
      <c r="F130" s="309"/>
      <c r="G130" s="309"/>
      <c r="H130" s="320"/>
      <c r="I130" s="320"/>
      <c r="J130" s="320"/>
      <c r="K130" s="320"/>
      <c r="L130" s="320"/>
      <c r="M130" s="320"/>
      <c r="N130" s="320"/>
      <c r="O130" s="320"/>
      <c r="P130" s="321"/>
      <c r="Q130" s="321"/>
      <c r="R130" s="312"/>
      <c r="S130" s="312"/>
      <c r="T130" s="312"/>
      <c r="U130" s="312"/>
      <c r="V130" s="309">
        <v>257</v>
      </c>
      <c r="W130" s="309" t="s">
        <v>760</v>
      </c>
      <c r="X130" s="309">
        <v>42</v>
      </c>
      <c r="Y130" s="309" t="s">
        <v>758</v>
      </c>
      <c r="Z130" s="424">
        <v>262</v>
      </c>
      <c r="AA130" s="424" t="s">
        <v>758</v>
      </c>
      <c r="AB130" s="424">
        <v>41</v>
      </c>
      <c r="AC130" s="424" t="s">
        <v>758</v>
      </c>
      <c r="AD130" s="464">
        <v>269</v>
      </c>
      <c r="AE130" s="464" t="s">
        <v>759</v>
      </c>
      <c r="AF130" s="464">
        <v>43</v>
      </c>
      <c r="AG130" s="464" t="s">
        <v>758</v>
      </c>
      <c r="AH130" s="849">
        <v>270</v>
      </c>
      <c r="AI130" s="464" t="s">
        <v>758</v>
      </c>
      <c r="AJ130" s="464">
        <v>42</v>
      </c>
      <c r="AK130" s="464" t="s">
        <v>758</v>
      </c>
      <c r="AL130" s="917"/>
      <c r="AM130" s="855" t="s">
        <v>804</v>
      </c>
      <c r="AN130" s="970">
        <v>270</v>
      </c>
      <c r="AO130" s="970">
        <f t="shared" si="19"/>
        <v>0</v>
      </c>
    </row>
    <row r="131" spans="1:41" ht="21.95" customHeight="1" x14ac:dyDescent="0.2">
      <c r="A131" s="467" t="s">
        <v>176</v>
      </c>
      <c r="B131" s="1" t="s">
        <v>121</v>
      </c>
      <c r="C131" s="12">
        <v>6</v>
      </c>
      <c r="D131" s="27">
        <v>252.77307692307693</v>
      </c>
      <c r="E131" s="2"/>
      <c r="F131" s="27">
        <v>252.7269230769231</v>
      </c>
      <c r="G131" s="2"/>
      <c r="H131" s="33">
        <v>259</v>
      </c>
      <c r="I131" s="33">
        <v>37</v>
      </c>
      <c r="J131" s="33">
        <v>256</v>
      </c>
      <c r="K131" s="33">
        <v>40</v>
      </c>
      <c r="L131" s="33">
        <v>251</v>
      </c>
      <c r="M131" s="33">
        <v>35</v>
      </c>
      <c r="N131" s="33">
        <v>247</v>
      </c>
      <c r="O131" s="33">
        <v>34</v>
      </c>
      <c r="P131" s="130">
        <v>251</v>
      </c>
      <c r="Q131" s="130">
        <v>37</v>
      </c>
      <c r="R131" s="246">
        <v>244</v>
      </c>
      <c r="S131" s="246" t="s">
        <v>760</v>
      </c>
      <c r="T131" s="246">
        <v>38</v>
      </c>
      <c r="U131" s="246" t="s">
        <v>758</v>
      </c>
      <c r="V131" s="309">
        <v>240</v>
      </c>
      <c r="W131" s="309" t="s">
        <v>760</v>
      </c>
      <c r="X131" s="309">
        <v>42</v>
      </c>
      <c r="Y131" s="309" t="s">
        <v>758</v>
      </c>
      <c r="Z131" s="424">
        <v>249</v>
      </c>
      <c r="AA131" s="424" t="s">
        <v>760</v>
      </c>
      <c r="AB131" s="424">
        <v>40</v>
      </c>
      <c r="AC131" s="424" t="s">
        <v>758</v>
      </c>
      <c r="AD131" s="464">
        <v>262</v>
      </c>
      <c r="AE131" s="464" t="s">
        <v>758</v>
      </c>
      <c r="AF131" s="464">
        <v>44</v>
      </c>
      <c r="AG131" s="464" t="s">
        <v>758</v>
      </c>
      <c r="AH131" s="849">
        <v>262</v>
      </c>
      <c r="AI131" s="464" t="s">
        <v>760</v>
      </c>
      <c r="AJ131" s="464">
        <v>42</v>
      </c>
      <c r="AK131" s="464" t="s">
        <v>758</v>
      </c>
      <c r="AL131" s="917"/>
      <c r="AM131" s="855" t="s">
        <v>176</v>
      </c>
      <c r="AN131" s="970">
        <v>262</v>
      </c>
      <c r="AO131" s="970">
        <f t="shared" si="19"/>
        <v>0</v>
      </c>
    </row>
    <row r="132" spans="1:41" ht="21.95" customHeight="1" x14ac:dyDescent="0.2">
      <c r="A132" s="467" t="s">
        <v>805</v>
      </c>
      <c r="B132" s="1" t="s">
        <v>121</v>
      </c>
      <c r="C132" s="328">
        <v>2</v>
      </c>
      <c r="D132" s="319"/>
      <c r="E132" s="309"/>
      <c r="F132" s="319"/>
      <c r="G132" s="309"/>
      <c r="H132" s="320"/>
      <c r="I132" s="320"/>
      <c r="J132" s="320"/>
      <c r="K132" s="320"/>
      <c r="L132" s="320"/>
      <c r="M132" s="320"/>
      <c r="N132" s="320"/>
      <c r="O132" s="320"/>
      <c r="P132" s="321"/>
      <c r="Q132" s="321"/>
      <c r="R132" s="312"/>
      <c r="S132" s="312"/>
      <c r="T132" s="312"/>
      <c r="U132" s="312"/>
      <c r="V132" s="309">
        <v>246</v>
      </c>
      <c r="W132" s="309" t="s">
        <v>760</v>
      </c>
      <c r="X132" s="309">
        <v>38</v>
      </c>
      <c r="Y132" s="309" t="s">
        <v>758</v>
      </c>
      <c r="Z132" s="424">
        <v>252</v>
      </c>
      <c r="AA132" s="424" t="s">
        <v>760</v>
      </c>
      <c r="AB132" s="424">
        <v>39</v>
      </c>
      <c r="AC132" s="424" t="s">
        <v>758</v>
      </c>
      <c r="AD132" s="464">
        <v>270</v>
      </c>
      <c r="AE132" s="464" t="s">
        <v>759</v>
      </c>
      <c r="AF132" s="464">
        <v>46</v>
      </c>
      <c r="AG132" s="464" t="s">
        <v>758</v>
      </c>
      <c r="AH132" s="849">
        <v>271</v>
      </c>
      <c r="AI132" s="464" t="s">
        <v>759</v>
      </c>
      <c r="AJ132" s="464">
        <v>43</v>
      </c>
      <c r="AK132" s="464" t="s">
        <v>758</v>
      </c>
      <c r="AL132" s="917"/>
      <c r="AM132" s="855" t="s">
        <v>805</v>
      </c>
      <c r="AN132" s="970">
        <v>271</v>
      </c>
      <c r="AO132" s="970">
        <f t="shared" si="19"/>
        <v>0</v>
      </c>
    </row>
    <row r="133" spans="1:41" ht="21.95" customHeight="1" x14ac:dyDescent="0.2">
      <c r="A133" s="465" t="s">
        <v>106</v>
      </c>
      <c r="B133" s="1" t="s">
        <v>123</v>
      </c>
      <c r="C133" s="12">
        <v>2</v>
      </c>
      <c r="D133" s="27"/>
      <c r="E133" s="2"/>
      <c r="F133" s="2"/>
      <c r="G133" s="2"/>
      <c r="H133" s="33">
        <v>241</v>
      </c>
      <c r="I133" s="33">
        <v>37</v>
      </c>
      <c r="J133" s="33" t="s">
        <v>152</v>
      </c>
      <c r="K133" s="33" t="s">
        <v>152</v>
      </c>
      <c r="L133" s="33" t="s">
        <v>152</v>
      </c>
      <c r="M133" s="33" t="s">
        <v>152</v>
      </c>
      <c r="N133" s="33" t="s">
        <v>152</v>
      </c>
      <c r="O133" s="33" t="s">
        <v>152</v>
      </c>
      <c r="P133" s="130">
        <v>235</v>
      </c>
      <c r="Q133" s="130">
        <v>36</v>
      </c>
      <c r="R133" s="246">
        <v>185</v>
      </c>
      <c r="S133" s="246" t="s">
        <v>760</v>
      </c>
      <c r="T133" s="246">
        <v>16</v>
      </c>
      <c r="U133" s="246" t="s">
        <v>760</v>
      </c>
      <c r="AD133" s="464">
        <v>267</v>
      </c>
      <c r="AE133" s="464" t="s">
        <v>758</v>
      </c>
      <c r="AF133" s="464">
        <v>87</v>
      </c>
      <c r="AG133" s="464" t="s">
        <v>759</v>
      </c>
      <c r="AH133" s="15">
        <v>236</v>
      </c>
      <c r="AI133" s="464" t="s">
        <v>760</v>
      </c>
      <c r="AJ133" s="464">
        <v>41</v>
      </c>
      <c r="AK133" s="464" t="s">
        <v>758</v>
      </c>
      <c r="AL133" s="917"/>
      <c r="AM133" s="855" t="s">
        <v>106</v>
      </c>
      <c r="AN133" s="970">
        <v>236</v>
      </c>
      <c r="AO133" s="970">
        <f t="shared" si="19"/>
        <v>0</v>
      </c>
    </row>
    <row r="134" spans="1:41" ht="21.95" customHeight="1" x14ac:dyDescent="0.2">
      <c r="A134" s="465" t="s">
        <v>133</v>
      </c>
      <c r="B134" s="1" t="s">
        <v>123</v>
      </c>
      <c r="C134" s="12">
        <v>4</v>
      </c>
      <c r="D134" s="27">
        <v>229.35</v>
      </c>
      <c r="E134" s="2"/>
      <c r="F134" s="2">
        <v>227</v>
      </c>
      <c r="G134" s="2"/>
      <c r="H134" s="33" t="s">
        <v>152</v>
      </c>
      <c r="I134" s="33" t="s">
        <v>152</v>
      </c>
      <c r="J134" s="33" t="s">
        <v>152</v>
      </c>
      <c r="K134" s="33" t="s">
        <v>152</v>
      </c>
      <c r="L134" s="33">
        <v>283</v>
      </c>
      <c r="M134" s="33">
        <v>15</v>
      </c>
      <c r="N134" s="33" t="s">
        <v>152</v>
      </c>
      <c r="O134" s="33" t="s">
        <v>152</v>
      </c>
      <c r="P134" s="33" t="s">
        <v>152</v>
      </c>
      <c r="Q134" s="33" t="s">
        <v>152</v>
      </c>
      <c r="AH134" s="15"/>
      <c r="AK134" s="818"/>
      <c r="AL134" s="1001"/>
      <c r="AM134" s="855"/>
      <c r="AN134" s="970"/>
      <c r="AO134" s="970"/>
    </row>
    <row r="135" spans="1:41" ht="21.95" customHeight="1" x14ac:dyDescent="0.2">
      <c r="A135" s="465" t="s">
        <v>955</v>
      </c>
      <c r="B135" s="1" t="s">
        <v>123</v>
      </c>
      <c r="C135" s="12">
        <v>5</v>
      </c>
      <c r="D135" s="27">
        <v>272.06153846153842</v>
      </c>
      <c r="E135" s="2"/>
      <c r="F135" s="27">
        <v>269.34615384615381</v>
      </c>
      <c r="G135" s="2"/>
      <c r="H135" s="33">
        <v>272</v>
      </c>
      <c r="I135" s="33">
        <v>39</v>
      </c>
      <c r="J135" s="33">
        <v>275</v>
      </c>
      <c r="K135" s="33">
        <v>36</v>
      </c>
      <c r="L135" s="33">
        <v>261</v>
      </c>
      <c r="M135" s="33">
        <v>37</v>
      </c>
      <c r="N135" s="33">
        <v>257</v>
      </c>
      <c r="O135" s="33">
        <v>34</v>
      </c>
      <c r="P135" s="130">
        <v>274</v>
      </c>
      <c r="Q135" s="130">
        <v>43</v>
      </c>
      <c r="R135" s="246">
        <v>258</v>
      </c>
      <c r="S135" s="246" t="s">
        <v>758</v>
      </c>
      <c r="T135" s="246">
        <v>43</v>
      </c>
      <c r="U135" s="246" t="s">
        <v>758</v>
      </c>
      <c r="V135" s="309">
        <v>262</v>
      </c>
      <c r="W135" s="309" t="s">
        <v>758</v>
      </c>
      <c r="X135" s="309">
        <v>43</v>
      </c>
      <c r="Y135" s="309" t="s">
        <v>758</v>
      </c>
      <c r="Z135" s="424">
        <v>274</v>
      </c>
      <c r="AA135" s="424" t="s">
        <v>759</v>
      </c>
      <c r="AB135" s="424">
        <v>43</v>
      </c>
      <c r="AC135" s="424" t="s">
        <v>758</v>
      </c>
      <c r="AD135" s="464">
        <v>259</v>
      </c>
      <c r="AE135" s="464" t="s">
        <v>760</v>
      </c>
      <c r="AF135" s="464">
        <v>43</v>
      </c>
      <c r="AG135" s="464" t="s">
        <v>758</v>
      </c>
      <c r="AH135" s="849">
        <v>265</v>
      </c>
      <c r="AI135" s="464" t="s">
        <v>758</v>
      </c>
      <c r="AJ135" s="464">
        <v>39</v>
      </c>
      <c r="AK135" s="464" t="s">
        <v>758</v>
      </c>
      <c r="AL135" s="917"/>
      <c r="AM135" s="855" t="s">
        <v>955</v>
      </c>
      <c r="AN135" s="970">
        <v>265</v>
      </c>
      <c r="AO135" s="970">
        <f t="shared" si="19"/>
        <v>0</v>
      </c>
    </row>
    <row r="136" spans="1:41" ht="21.95" customHeight="1" x14ac:dyDescent="0.2">
      <c r="A136" s="465" t="s">
        <v>117</v>
      </c>
      <c r="B136" s="1" t="s">
        <v>123</v>
      </c>
      <c r="C136" s="12">
        <v>6</v>
      </c>
      <c r="D136" s="27"/>
      <c r="E136" s="2"/>
      <c r="G136" s="2"/>
      <c r="H136" s="33">
        <v>205</v>
      </c>
      <c r="I136" s="33"/>
      <c r="J136" s="33"/>
      <c r="K136" s="33"/>
      <c r="L136" s="33" t="s">
        <v>152</v>
      </c>
      <c r="M136" s="33" t="s">
        <v>152</v>
      </c>
      <c r="N136" s="33" t="s">
        <v>152</v>
      </c>
      <c r="O136" s="33" t="s">
        <v>152</v>
      </c>
      <c r="P136" s="33" t="s">
        <v>152</v>
      </c>
      <c r="Q136" s="33" t="s">
        <v>152</v>
      </c>
      <c r="R136" s="246">
        <v>235</v>
      </c>
      <c r="S136" s="246" t="s">
        <v>760</v>
      </c>
      <c r="T136" s="246">
        <v>0</v>
      </c>
      <c r="U136" s="246" t="s">
        <v>760</v>
      </c>
      <c r="AH136" s="15"/>
      <c r="AK136" s="818"/>
      <c r="AL136" s="1001"/>
      <c r="AM136" s="855"/>
      <c r="AN136" s="970"/>
      <c r="AO136" s="970"/>
    </row>
    <row r="137" spans="1:41" ht="21.95" customHeight="1" x14ac:dyDescent="0.2">
      <c r="A137" s="465" t="s">
        <v>69</v>
      </c>
      <c r="B137" s="1" t="s">
        <v>123</v>
      </c>
      <c r="C137" s="12">
        <v>4</v>
      </c>
      <c r="D137" s="27">
        <v>250.71153846153848</v>
      </c>
      <c r="E137" s="2"/>
      <c r="F137" s="27">
        <v>236.06923076923081</v>
      </c>
      <c r="G137" s="2"/>
      <c r="H137" s="33">
        <v>278</v>
      </c>
      <c r="I137" s="33">
        <v>31</v>
      </c>
      <c r="J137" s="33">
        <v>274</v>
      </c>
      <c r="K137" s="33">
        <v>29</v>
      </c>
      <c r="L137" s="33">
        <v>293</v>
      </c>
      <c r="M137" s="33">
        <v>23</v>
      </c>
      <c r="N137" s="33">
        <v>271</v>
      </c>
      <c r="O137" s="33">
        <v>33</v>
      </c>
      <c r="P137" s="130">
        <v>275</v>
      </c>
      <c r="Q137" s="130">
        <v>33</v>
      </c>
      <c r="R137" s="246">
        <v>256</v>
      </c>
      <c r="S137" s="246" t="s">
        <v>758</v>
      </c>
      <c r="T137" s="246">
        <v>42</v>
      </c>
      <c r="U137" s="246" t="s">
        <v>758</v>
      </c>
      <c r="V137" s="309">
        <v>295</v>
      </c>
      <c r="W137" s="309" t="s">
        <v>759</v>
      </c>
      <c r="X137" s="309">
        <v>38</v>
      </c>
      <c r="Y137" s="309" t="s">
        <v>758</v>
      </c>
      <c r="Z137" s="424">
        <v>256</v>
      </c>
      <c r="AA137" s="424" t="s">
        <v>760</v>
      </c>
      <c r="AB137" s="424">
        <v>36</v>
      </c>
      <c r="AC137" s="424" t="s">
        <v>760</v>
      </c>
      <c r="AD137" s="464">
        <v>290</v>
      </c>
      <c r="AE137" s="464" t="s">
        <v>759</v>
      </c>
      <c r="AF137" s="464">
        <v>37</v>
      </c>
      <c r="AG137" s="464" t="s">
        <v>760</v>
      </c>
      <c r="AH137" s="849">
        <v>274</v>
      </c>
      <c r="AI137" s="464" t="s">
        <v>759</v>
      </c>
      <c r="AJ137" s="464">
        <v>53</v>
      </c>
      <c r="AK137" s="464" t="s">
        <v>759</v>
      </c>
      <c r="AL137" s="917"/>
      <c r="AM137" s="855" t="s">
        <v>69</v>
      </c>
      <c r="AN137" s="970">
        <v>274</v>
      </c>
      <c r="AO137" s="970">
        <f t="shared" si="19"/>
        <v>0</v>
      </c>
    </row>
    <row r="138" spans="1:41" ht="21.95" customHeight="1" x14ac:dyDescent="0.2">
      <c r="A138" s="465" t="s">
        <v>35</v>
      </c>
      <c r="B138" s="1" t="s">
        <v>123</v>
      </c>
      <c r="C138" s="12">
        <v>6</v>
      </c>
      <c r="D138" s="27">
        <v>251.51538461538465</v>
      </c>
      <c r="E138" s="2"/>
      <c r="F138" s="27">
        <v>252.41153846153847</v>
      </c>
      <c r="G138" s="2"/>
      <c r="H138" s="33">
        <v>272</v>
      </c>
      <c r="I138" s="33">
        <v>36</v>
      </c>
      <c r="J138" s="33">
        <v>271</v>
      </c>
      <c r="K138" s="33">
        <v>39</v>
      </c>
      <c r="L138" s="33">
        <v>268</v>
      </c>
      <c r="M138" s="33">
        <v>39</v>
      </c>
      <c r="N138" s="33">
        <v>266</v>
      </c>
      <c r="O138" s="33">
        <v>47</v>
      </c>
      <c r="P138" s="130">
        <v>267</v>
      </c>
      <c r="Q138" s="130">
        <v>38</v>
      </c>
      <c r="R138" s="246">
        <v>263</v>
      </c>
      <c r="S138" s="246" t="s">
        <v>759</v>
      </c>
      <c r="T138" s="246">
        <v>40</v>
      </c>
      <c r="U138" s="246" t="s">
        <v>758</v>
      </c>
      <c r="V138" s="309">
        <v>279</v>
      </c>
      <c r="W138" s="309" t="s">
        <v>759</v>
      </c>
      <c r="X138" s="309">
        <v>38</v>
      </c>
      <c r="Y138" s="309" t="s">
        <v>758</v>
      </c>
      <c r="Z138" s="424">
        <v>272</v>
      </c>
      <c r="AA138" s="424" t="s">
        <v>759</v>
      </c>
      <c r="AB138" s="424">
        <v>40</v>
      </c>
      <c r="AC138" s="424" t="s">
        <v>758</v>
      </c>
      <c r="AD138" s="464">
        <v>284</v>
      </c>
      <c r="AE138" s="464" t="s">
        <v>759</v>
      </c>
      <c r="AF138" s="464">
        <v>40</v>
      </c>
      <c r="AG138" s="464" t="s">
        <v>758</v>
      </c>
      <c r="AH138" s="849">
        <v>291</v>
      </c>
      <c r="AI138" s="464" t="s">
        <v>759</v>
      </c>
      <c r="AJ138" s="464">
        <v>41</v>
      </c>
      <c r="AK138" s="464" t="s">
        <v>758</v>
      </c>
      <c r="AL138" s="917"/>
      <c r="AM138" s="855" t="s">
        <v>35</v>
      </c>
      <c r="AN138" s="970">
        <v>291</v>
      </c>
      <c r="AO138" s="970">
        <f t="shared" si="19"/>
        <v>0</v>
      </c>
    </row>
    <row r="139" spans="1:41" ht="21.95" customHeight="1" x14ac:dyDescent="0.2">
      <c r="A139" s="465" t="s">
        <v>29</v>
      </c>
      <c r="B139" s="1" t="s">
        <v>123</v>
      </c>
      <c r="C139" s="12">
        <v>2</v>
      </c>
      <c r="D139" s="27">
        <v>240.51923076923075</v>
      </c>
      <c r="E139" s="2"/>
      <c r="F139" s="27">
        <v>245.94230769230768</v>
      </c>
      <c r="G139" s="2"/>
      <c r="H139" s="33">
        <v>258</v>
      </c>
      <c r="I139" s="33">
        <v>32</v>
      </c>
      <c r="J139" s="33">
        <v>257</v>
      </c>
      <c r="K139" s="33">
        <v>37</v>
      </c>
      <c r="L139" s="33">
        <v>249</v>
      </c>
      <c r="M139" s="33">
        <v>35</v>
      </c>
      <c r="N139" s="33">
        <v>254</v>
      </c>
      <c r="O139" s="33">
        <v>42</v>
      </c>
      <c r="P139" s="130">
        <v>256</v>
      </c>
      <c r="Q139" s="130">
        <v>41</v>
      </c>
      <c r="R139" s="246">
        <v>252</v>
      </c>
      <c r="S139" s="246" t="s">
        <v>760</v>
      </c>
      <c r="T139" s="246">
        <v>40</v>
      </c>
      <c r="U139" s="246" t="s">
        <v>758</v>
      </c>
      <c r="V139" s="309">
        <v>248</v>
      </c>
      <c r="W139" s="309" t="s">
        <v>760</v>
      </c>
      <c r="X139" s="309">
        <v>40</v>
      </c>
      <c r="Y139" s="309" t="s">
        <v>758</v>
      </c>
      <c r="Z139" s="424">
        <v>262</v>
      </c>
      <c r="AA139" s="424" t="s">
        <v>758</v>
      </c>
      <c r="AB139" s="424">
        <v>40</v>
      </c>
      <c r="AC139" s="424" t="s">
        <v>758</v>
      </c>
      <c r="AD139" s="464">
        <v>272</v>
      </c>
      <c r="AE139" s="464" t="s">
        <v>759</v>
      </c>
      <c r="AF139" s="464">
        <v>42</v>
      </c>
      <c r="AG139" s="464" t="s">
        <v>758</v>
      </c>
      <c r="AH139" s="849">
        <v>276</v>
      </c>
      <c r="AI139" s="464" t="s">
        <v>759</v>
      </c>
      <c r="AJ139" s="464">
        <v>45</v>
      </c>
      <c r="AK139" s="464" t="s">
        <v>758</v>
      </c>
      <c r="AL139" s="917"/>
      <c r="AM139" s="855" t="s">
        <v>29</v>
      </c>
      <c r="AN139" s="970">
        <v>276</v>
      </c>
      <c r="AO139" s="970">
        <f t="shared" si="19"/>
        <v>0</v>
      </c>
    </row>
    <row r="140" spans="1:41" ht="21.95" customHeight="1" x14ac:dyDescent="0.2">
      <c r="A140" s="465" t="s">
        <v>129</v>
      </c>
      <c r="B140" s="1" t="s">
        <v>123</v>
      </c>
      <c r="C140" s="12">
        <v>2</v>
      </c>
      <c r="D140" s="27"/>
      <c r="E140" s="2"/>
      <c r="F140" s="2"/>
      <c r="G140" s="2"/>
      <c r="H140" s="33" t="s">
        <v>152</v>
      </c>
      <c r="I140" s="33" t="s">
        <v>152</v>
      </c>
      <c r="J140" s="33">
        <v>220</v>
      </c>
      <c r="K140" s="33">
        <v>45</v>
      </c>
      <c r="L140" s="33" t="s">
        <v>152</v>
      </c>
      <c r="M140" s="33" t="s">
        <v>152</v>
      </c>
      <c r="N140" s="33" t="s">
        <v>152</v>
      </c>
      <c r="O140" s="33" t="s">
        <v>152</v>
      </c>
      <c r="P140" s="33" t="s">
        <v>152</v>
      </c>
      <c r="Q140" s="33" t="s">
        <v>152</v>
      </c>
      <c r="V140" s="309">
        <v>267</v>
      </c>
      <c r="W140" s="309" t="s">
        <v>759</v>
      </c>
      <c r="X140" s="309">
        <v>0</v>
      </c>
      <c r="Y140" s="309" t="s">
        <v>760</v>
      </c>
      <c r="Z140" s="424">
        <v>211</v>
      </c>
      <c r="AA140" s="424" t="s">
        <v>760</v>
      </c>
      <c r="AB140" s="424">
        <v>33</v>
      </c>
      <c r="AC140" s="424" t="s">
        <v>760</v>
      </c>
      <c r="AD140" s="424"/>
      <c r="AE140" s="424"/>
      <c r="AF140" s="424"/>
      <c r="AG140" s="424"/>
      <c r="AH140" s="849"/>
      <c r="AI140" s="424"/>
      <c r="AJ140" s="424"/>
      <c r="AK140" s="424"/>
      <c r="AL140" s="919"/>
      <c r="AM140" s="855"/>
      <c r="AN140" s="970"/>
      <c r="AO140" s="970"/>
    </row>
    <row r="141" spans="1:41" ht="21.95" customHeight="1" x14ac:dyDescent="0.2">
      <c r="A141" s="467" t="s">
        <v>806</v>
      </c>
      <c r="B141" s="1" t="s">
        <v>123</v>
      </c>
      <c r="C141" s="328">
        <v>4</v>
      </c>
      <c r="D141" s="319"/>
      <c r="E141" s="309"/>
      <c r="F141" s="309"/>
      <c r="G141" s="309"/>
      <c r="H141" s="320"/>
      <c r="I141" s="320"/>
      <c r="J141" s="320"/>
      <c r="K141" s="320"/>
      <c r="L141" s="320"/>
      <c r="M141" s="320"/>
      <c r="N141" s="320"/>
      <c r="O141" s="320"/>
      <c r="P141" s="320"/>
      <c r="Q141" s="320"/>
      <c r="V141" s="309">
        <v>229</v>
      </c>
      <c r="W141" s="309" t="s">
        <v>760</v>
      </c>
      <c r="X141" s="309">
        <v>37</v>
      </c>
      <c r="Y141" s="309" t="s">
        <v>758</v>
      </c>
      <c r="Z141" s="424">
        <v>207</v>
      </c>
      <c r="AA141" s="424" t="s">
        <v>760</v>
      </c>
      <c r="AB141" s="424">
        <v>28</v>
      </c>
      <c r="AC141" s="424" t="s">
        <v>760</v>
      </c>
      <c r="AD141" s="424"/>
      <c r="AE141" s="424"/>
      <c r="AF141" s="424"/>
      <c r="AG141" s="424"/>
      <c r="AH141" s="849"/>
      <c r="AI141" s="424"/>
      <c r="AJ141" s="424"/>
      <c r="AK141" s="424"/>
      <c r="AL141" s="919"/>
      <c r="AM141" s="855"/>
      <c r="AN141" s="970"/>
      <c r="AO141" s="970"/>
    </row>
    <row r="142" spans="1:41" ht="21.95" customHeight="1" x14ac:dyDescent="0.2">
      <c r="A142" s="465" t="s">
        <v>87</v>
      </c>
      <c r="B142" s="1" t="s">
        <v>123</v>
      </c>
      <c r="C142" s="12">
        <v>5</v>
      </c>
      <c r="D142" s="27">
        <v>255.32307692307694</v>
      </c>
      <c r="E142" s="2"/>
      <c r="F142" s="2">
        <v>295</v>
      </c>
      <c r="G142" s="2"/>
      <c r="H142" s="33">
        <v>260</v>
      </c>
      <c r="I142" s="33">
        <v>28</v>
      </c>
      <c r="J142" s="33">
        <v>267</v>
      </c>
      <c r="K142" s="33">
        <v>46</v>
      </c>
      <c r="L142" s="33">
        <v>251</v>
      </c>
      <c r="M142" s="33">
        <v>29</v>
      </c>
      <c r="N142" s="33">
        <v>236</v>
      </c>
      <c r="O142" s="33">
        <v>38</v>
      </c>
      <c r="P142" s="130">
        <v>268</v>
      </c>
      <c r="Q142" s="130">
        <v>24</v>
      </c>
      <c r="R142" s="246">
        <v>272</v>
      </c>
      <c r="S142" s="246" t="s">
        <v>759</v>
      </c>
      <c r="T142" s="246">
        <v>15</v>
      </c>
      <c r="U142" s="246" t="s">
        <v>760</v>
      </c>
      <c r="V142" s="309">
        <v>256</v>
      </c>
      <c r="W142" s="309" t="s">
        <v>760</v>
      </c>
      <c r="X142" s="309">
        <v>26</v>
      </c>
      <c r="Y142" s="309" t="s">
        <v>760</v>
      </c>
      <c r="Z142" s="424">
        <v>271</v>
      </c>
      <c r="AA142" s="424" t="s">
        <v>759</v>
      </c>
      <c r="AB142" s="424">
        <v>37</v>
      </c>
      <c r="AC142" s="424" t="s">
        <v>758</v>
      </c>
      <c r="AD142" s="464">
        <v>256</v>
      </c>
      <c r="AE142" s="464" t="s">
        <v>760</v>
      </c>
      <c r="AF142" s="464">
        <v>36</v>
      </c>
      <c r="AG142" s="464" t="s">
        <v>760</v>
      </c>
      <c r="AH142" s="849">
        <v>251</v>
      </c>
      <c r="AI142" s="464" t="s">
        <v>760</v>
      </c>
      <c r="AJ142" s="464">
        <v>34</v>
      </c>
      <c r="AK142" s="464" t="s">
        <v>760</v>
      </c>
      <c r="AL142" s="917"/>
      <c r="AM142" s="855" t="s">
        <v>87</v>
      </c>
      <c r="AN142" s="970">
        <v>251</v>
      </c>
      <c r="AO142" s="970">
        <f t="shared" si="19"/>
        <v>0</v>
      </c>
    </row>
    <row r="143" spans="1:41" ht="21.95" customHeight="1" x14ac:dyDescent="0.2">
      <c r="A143" s="465" t="s">
        <v>135</v>
      </c>
      <c r="B143" s="1" t="s">
        <v>123</v>
      </c>
      <c r="C143" s="12">
        <v>2</v>
      </c>
      <c r="D143" s="27"/>
      <c r="E143" s="2"/>
      <c r="F143" s="2"/>
      <c r="G143" s="2"/>
      <c r="H143" s="33" t="s">
        <v>152</v>
      </c>
      <c r="I143" s="33" t="s">
        <v>152</v>
      </c>
      <c r="J143" s="33" t="s">
        <v>152</v>
      </c>
      <c r="K143" s="33" t="s">
        <v>152</v>
      </c>
      <c r="L143" s="33" t="s">
        <v>152</v>
      </c>
      <c r="M143" s="33" t="s">
        <v>152</v>
      </c>
      <c r="N143" s="33">
        <v>258</v>
      </c>
      <c r="O143" s="33">
        <v>34</v>
      </c>
      <c r="P143" s="130">
        <v>253</v>
      </c>
      <c r="Q143" s="130">
        <v>32</v>
      </c>
      <c r="R143" s="246">
        <v>244</v>
      </c>
      <c r="S143" s="246" t="s">
        <v>760</v>
      </c>
      <c r="T143" s="246">
        <v>52</v>
      </c>
      <c r="U143" s="246" t="s">
        <v>759</v>
      </c>
      <c r="V143" s="309">
        <v>251</v>
      </c>
      <c r="W143" s="309" t="s">
        <v>760</v>
      </c>
      <c r="X143" s="309">
        <v>33</v>
      </c>
      <c r="Y143" s="309" t="s">
        <v>760</v>
      </c>
      <c r="Z143" s="424">
        <v>235</v>
      </c>
      <c r="AA143" s="424" t="s">
        <v>760</v>
      </c>
      <c r="AB143" s="424">
        <v>45</v>
      </c>
      <c r="AC143" s="424" t="s">
        <v>758</v>
      </c>
      <c r="AD143" s="464">
        <v>236</v>
      </c>
      <c r="AE143" s="464" t="s">
        <v>760</v>
      </c>
      <c r="AF143" s="464">
        <v>27</v>
      </c>
      <c r="AG143" s="464" t="s">
        <v>760</v>
      </c>
      <c r="AH143" s="849">
        <v>232</v>
      </c>
      <c r="AI143" s="464" t="s">
        <v>760</v>
      </c>
      <c r="AJ143" s="464">
        <v>27</v>
      </c>
      <c r="AK143" s="464" t="s">
        <v>760</v>
      </c>
      <c r="AL143" s="917"/>
      <c r="AM143" s="855" t="s">
        <v>135</v>
      </c>
      <c r="AN143" s="970">
        <v>232</v>
      </c>
      <c r="AO143" s="970">
        <f t="shared" si="19"/>
        <v>0</v>
      </c>
    </row>
    <row r="144" spans="1:41" ht="21.95" customHeight="1" x14ac:dyDescent="0.2">
      <c r="A144" s="465" t="s">
        <v>81</v>
      </c>
      <c r="B144" s="1" t="s">
        <v>123</v>
      </c>
      <c r="C144" s="12">
        <v>2</v>
      </c>
      <c r="D144" s="27">
        <v>277.83076923076925</v>
      </c>
      <c r="E144" s="2"/>
      <c r="F144" s="2">
        <v>257</v>
      </c>
      <c r="G144" s="2"/>
      <c r="H144" s="33">
        <v>256</v>
      </c>
      <c r="I144" s="33">
        <v>40</v>
      </c>
      <c r="J144" s="33">
        <v>280</v>
      </c>
      <c r="K144" s="33">
        <v>36</v>
      </c>
      <c r="L144" s="33">
        <v>267</v>
      </c>
      <c r="M144" s="33">
        <v>47</v>
      </c>
      <c r="N144" s="33">
        <v>268</v>
      </c>
      <c r="O144" s="33">
        <v>35</v>
      </c>
      <c r="P144" s="130">
        <v>278</v>
      </c>
      <c r="Q144" s="130">
        <v>45</v>
      </c>
      <c r="R144" s="246">
        <v>272</v>
      </c>
      <c r="S144" s="246" t="s">
        <v>759</v>
      </c>
      <c r="T144" s="246">
        <v>38</v>
      </c>
      <c r="U144" s="246" t="s">
        <v>758</v>
      </c>
      <c r="V144" s="309">
        <v>264</v>
      </c>
      <c r="W144" s="309" t="s">
        <v>758</v>
      </c>
      <c r="X144" s="309">
        <v>41</v>
      </c>
      <c r="Y144" s="309" t="s">
        <v>758</v>
      </c>
      <c r="Z144" s="424">
        <v>267</v>
      </c>
      <c r="AA144" s="424" t="s">
        <v>759</v>
      </c>
      <c r="AB144" s="424">
        <v>41</v>
      </c>
      <c r="AC144" s="424" t="s">
        <v>758</v>
      </c>
      <c r="AD144" s="464">
        <v>271</v>
      </c>
      <c r="AE144" s="464" t="s">
        <v>759</v>
      </c>
      <c r="AF144" s="464">
        <v>42</v>
      </c>
      <c r="AG144" s="464" t="s">
        <v>758</v>
      </c>
      <c r="AH144" s="849">
        <v>276</v>
      </c>
      <c r="AI144" s="464" t="s">
        <v>759</v>
      </c>
      <c r="AJ144" s="464">
        <v>40</v>
      </c>
      <c r="AK144" s="464" t="s">
        <v>758</v>
      </c>
      <c r="AL144" s="917"/>
      <c r="AM144" s="855" t="s">
        <v>81</v>
      </c>
      <c r="AN144" s="970">
        <v>276</v>
      </c>
      <c r="AO144" s="970">
        <f t="shared" si="19"/>
        <v>0</v>
      </c>
    </row>
    <row r="145" spans="1:41" ht="21.95" customHeight="1" x14ac:dyDescent="0.2">
      <c r="A145" s="465" t="s">
        <v>114</v>
      </c>
      <c r="B145" s="1" t="s">
        <v>123</v>
      </c>
      <c r="C145" s="12">
        <v>1</v>
      </c>
      <c r="D145" s="27"/>
      <c r="E145" s="2"/>
      <c r="F145" s="2"/>
      <c r="G145" s="2"/>
      <c r="H145" s="33">
        <v>268</v>
      </c>
      <c r="I145" s="33">
        <v>19</v>
      </c>
      <c r="J145" s="33">
        <v>269</v>
      </c>
      <c r="K145" s="33">
        <v>33</v>
      </c>
      <c r="L145" s="33">
        <v>268</v>
      </c>
      <c r="M145" s="33">
        <v>43</v>
      </c>
      <c r="N145" s="33">
        <v>267</v>
      </c>
      <c r="O145" s="33">
        <v>26</v>
      </c>
      <c r="P145" s="130">
        <v>273</v>
      </c>
      <c r="Q145" s="130">
        <v>41</v>
      </c>
      <c r="R145" s="246">
        <v>256</v>
      </c>
      <c r="S145" s="246" t="s">
        <v>758</v>
      </c>
      <c r="T145" s="246">
        <v>37</v>
      </c>
      <c r="U145" s="246" t="s">
        <v>758</v>
      </c>
      <c r="V145" s="309">
        <v>273</v>
      </c>
      <c r="W145" s="309" t="s">
        <v>759</v>
      </c>
      <c r="X145" s="309">
        <v>44</v>
      </c>
      <c r="Y145" s="309" t="s">
        <v>758</v>
      </c>
      <c r="Z145" s="424">
        <v>269</v>
      </c>
      <c r="AA145" s="424" t="s">
        <v>759</v>
      </c>
      <c r="AB145" s="424">
        <v>38</v>
      </c>
      <c r="AC145" s="424" t="s">
        <v>758</v>
      </c>
      <c r="AD145" s="464">
        <v>269</v>
      </c>
      <c r="AE145" s="464" t="s">
        <v>759</v>
      </c>
      <c r="AF145" s="464">
        <v>34</v>
      </c>
      <c r="AG145" s="464" t="s">
        <v>760</v>
      </c>
      <c r="AH145" s="849">
        <v>266</v>
      </c>
      <c r="AI145" s="464" t="s">
        <v>758</v>
      </c>
      <c r="AJ145" s="464">
        <v>40</v>
      </c>
      <c r="AK145" s="464" t="s">
        <v>758</v>
      </c>
      <c r="AL145" s="917"/>
      <c r="AM145" s="855" t="s">
        <v>114</v>
      </c>
      <c r="AN145" s="970">
        <v>266</v>
      </c>
      <c r="AO145" s="970">
        <f t="shared" si="19"/>
        <v>0</v>
      </c>
    </row>
    <row r="146" spans="1:41" ht="21.95" customHeight="1" x14ac:dyDescent="0.2">
      <c r="A146" s="465" t="s">
        <v>42</v>
      </c>
      <c r="B146" s="1" t="s">
        <v>123</v>
      </c>
      <c r="C146" s="12">
        <v>1</v>
      </c>
      <c r="D146" s="27">
        <v>271.53076923076918</v>
      </c>
      <c r="E146" s="2"/>
      <c r="F146" s="2">
        <v>265</v>
      </c>
      <c r="G146" s="2"/>
      <c r="H146" s="33">
        <v>269</v>
      </c>
      <c r="I146" s="33">
        <v>34</v>
      </c>
      <c r="J146" s="33">
        <v>280</v>
      </c>
      <c r="K146" s="33">
        <v>39</v>
      </c>
      <c r="L146" s="33">
        <v>266</v>
      </c>
      <c r="M146" s="33">
        <v>36</v>
      </c>
      <c r="N146" s="33">
        <v>268</v>
      </c>
      <c r="O146" s="33">
        <v>38</v>
      </c>
      <c r="P146" s="130">
        <v>276</v>
      </c>
      <c r="Q146" s="130">
        <v>38</v>
      </c>
      <c r="R146" s="246">
        <v>274</v>
      </c>
      <c r="S146" s="246" t="s">
        <v>759</v>
      </c>
      <c r="T146" s="246">
        <v>44</v>
      </c>
      <c r="U146" s="246" t="s">
        <v>758</v>
      </c>
      <c r="V146" s="309">
        <v>282</v>
      </c>
      <c r="W146" s="309" t="s">
        <v>759</v>
      </c>
      <c r="X146" s="309">
        <v>42</v>
      </c>
      <c r="Y146" s="309" t="s">
        <v>758</v>
      </c>
      <c r="Z146" s="424">
        <v>286</v>
      </c>
      <c r="AA146" s="424" t="s">
        <v>759</v>
      </c>
      <c r="AB146" s="424">
        <v>41</v>
      </c>
      <c r="AC146" s="424" t="s">
        <v>758</v>
      </c>
      <c r="AD146" s="464">
        <v>274</v>
      </c>
      <c r="AE146" s="464" t="s">
        <v>759</v>
      </c>
      <c r="AF146" s="464">
        <v>48</v>
      </c>
      <c r="AG146" s="464" t="s">
        <v>758</v>
      </c>
      <c r="AH146" s="849">
        <v>282</v>
      </c>
      <c r="AI146" s="464" t="s">
        <v>759</v>
      </c>
      <c r="AJ146" s="464">
        <v>44</v>
      </c>
      <c r="AK146" s="464" t="s">
        <v>758</v>
      </c>
      <c r="AL146" s="917"/>
      <c r="AM146" s="855" t="s">
        <v>42</v>
      </c>
      <c r="AN146" s="970">
        <v>282</v>
      </c>
      <c r="AO146" s="970">
        <f t="shared" si="19"/>
        <v>0</v>
      </c>
    </row>
    <row r="147" spans="1:41" ht="21.95" customHeight="1" x14ac:dyDescent="0.2">
      <c r="A147" s="467" t="s">
        <v>774</v>
      </c>
      <c r="B147" s="1" t="s">
        <v>123</v>
      </c>
      <c r="C147" s="328">
        <v>6</v>
      </c>
      <c r="D147" s="319"/>
      <c r="E147" s="309"/>
      <c r="F147" s="309"/>
      <c r="G147" s="309"/>
      <c r="H147" s="320"/>
      <c r="I147" s="320"/>
      <c r="J147" s="320"/>
      <c r="K147" s="320"/>
      <c r="L147" s="320"/>
      <c r="M147" s="320"/>
      <c r="N147" s="320"/>
      <c r="O147" s="320"/>
      <c r="P147" s="321"/>
      <c r="Q147" s="321"/>
      <c r="R147" s="312"/>
      <c r="S147" s="312"/>
      <c r="T147" s="312"/>
      <c r="U147" s="312"/>
      <c r="V147" s="309">
        <v>235</v>
      </c>
      <c r="W147" s="309" t="s">
        <v>760</v>
      </c>
      <c r="X147" s="309">
        <v>38</v>
      </c>
      <c r="Y147" s="309" t="s">
        <v>758</v>
      </c>
      <c r="Z147" s="424">
        <v>209</v>
      </c>
      <c r="AA147" s="424" t="s">
        <v>760</v>
      </c>
      <c r="AB147" s="424">
        <v>34</v>
      </c>
      <c r="AC147" s="424" t="s">
        <v>760</v>
      </c>
      <c r="AD147" s="464">
        <v>222</v>
      </c>
      <c r="AE147" s="464" t="s">
        <v>760</v>
      </c>
      <c r="AF147" s="464">
        <v>44</v>
      </c>
      <c r="AG147" s="464" t="s">
        <v>758</v>
      </c>
      <c r="AH147" s="849">
        <v>224</v>
      </c>
      <c r="AI147" s="464" t="s">
        <v>760</v>
      </c>
      <c r="AJ147" s="464">
        <v>37</v>
      </c>
      <c r="AK147" s="464" t="s">
        <v>760</v>
      </c>
      <c r="AL147" s="917"/>
      <c r="AM147" s="855" t="s">
        <v>774</v>
      </c>
      <c r="AN147" s="970">
        <v>224</v>
      </c>
      <c r="AO147" s="970">
        <f t="shared" si="19"/>
        <v>0</v>
      </c>
    </row>
    <row r="148" spans="1:41" ht="21.95" customHeight="1" x14ac:dyDescent="0.2">
      <c r="A148" s="465" t="s">
        <v>24</v>
      </c>
      <c r="B148" s="1" t="s">
        <v>123</v>
      </c>
      <c r="C148" s="12">
        <v>6</v>
      </c>
      <c r="D148" s="27">
        <v>259.62307692307695</v>
      </c>
      <c r="E148" s="2"/>
      <c r="F148" s="2">
        <v>255</v>
      </c>
      <c r="G148" s="2"/>
      <c r="H148" s="33">
        <v>276</v>
      </c>
      <c r="I148" s="33">
        <v>42</v>
      </c>
      <c r="J148" s="33">
        <v>232</v>
      </c>
      <c r="K148" s="33">
        <v>36</v>
      </c>
      <c r="L148" s="33">
        <v>257</v>
      </c>
      <c r="M148" s="33">
        <v>57</v>
      </c>
      <c r="N148" s="33">
        <v>246</v>
      </c>
      <c r="O148" s="33">
        <v>24</v>
      </c>
      <c r="P148" s="130">
        <v>256</v>
      </c>
      <c r="Q148" s="130">
        <v>21</v>
      </c>
      <c r="R148" s="246">
        <v>273</v>
      </c>
      <c r="S148" s="246" t="s">
        <v>759</v>
      </c>
      <c r="T148" s="246">
        <v>36</v>
      </c>
      <c r="U148" s="246" t="s">
        <v>758</v>
      </c>
      <c r="V148" s="309">
        <v>248</v>
      </c>
      <c r="W148" s="309" t="s">
        <v>760</v>
      </c>
      <c r="X148" s="309">
        <v>34</v>
      </c>
      <c r="Y148" s="309" t="s">
        <v>760</v>
      </c>
      <c r="Z148" s="424">
        <v>266</v>
      </c>
      <c r="AA148" s="424" t="s">
        <v>759</v>
      </c>
      <c r="AB148" s="424">
        <v>28</v>
      </c>
      <c r="AC148" s="424" t="s">
        <v>760</v>
      </c>
      <c r="AD148" s="464">
        <v>248</v>
      </c>
      <c r="AE148" s="464" t="s">
        <v>760</v>
      </c>
      <c r="AF148" s="464">
        <v>37</v>
      </c>
      <c r="AG148" s="464" t="s">
        <v>760</v>
      </c>
      <c r="AH148" s="849">
        <v>272</v>
      </c>
      <c r="AI148" s="464" t="s">
        <v>759</v>
      </c>
      <c r="AJ148" s="464">
        <v>41</v>
      </c>
      <c r="AK148" s="464" t="s">
        <v>758</v>
      </c>
      <c r="AL148" s="917"/>
      <c r="AM148" s="855" t="s">
        <v>24</v>
      </c>
      <c r="AN148" s="970">
        <v>272</v>
      </c>
      <c r="AO148" s="970">
        <f t="shared" si="19"/>
        <v>0</v>
      </c>
    </row>
    <row r="149" spans="1:41" ht="21.95" customHeight="1" x14ac:dyDescent="0.2">
      <c r="A149" s="465" t="s">
        <v>36</v>
      </c>
      <c r="B149" s="1" t="s">
        <v>123</v>
      </c>
      <c r="C149" s="12">
        <v>6</v>
      </c>
      <c r="D149" s="27">
        <v>278.14615384615388</v>
      </c>
      <c r="E149" s="2"/>
      <c r="F149" s="2">
        <v>274</v>
      </c>
      <c r="G149" s="2"/>
      <c r="H149" s="33">
        <v>293</v>
      </c>
      <c r="I149" s="33">
        <v>30</v>
      </c>
      <c r="J149" s="33">
        <v>296</v>
      </c>
      <c r="K149" s="33">
        <v>38</v>
      </c>
      <c r="L149" s="33">
        <v>285</v>
      </c>
      <c r="M149" s="33">
        <v>29</v>
      </c>
      <c r="N149" s="33">
        <v>291</v>
      </c>
      <c r="O149" s="33">
        <v>41</v>
      </c>
      <c r="P149" s="130">
        <v>280</v>
      </c>
      <c r="Q149" s="130">
        <v>42</v>
      </c>
      <c r="R149" s="246">
        <v>287</v>
      </c>
      <c r="S149" s="246" t="s">
        <v>759</v>
      </c>
      <c r="T149" s="246">
        <v>29</v>
      </c>
      <c r="U149" s="246" t="s">
        <v>760</v>
      </c>
      <c r="V149" s="309">
        <v>293</v>
      </c>
      <c r="W149" s="309" t="s">
        <v>759</v>
      </c>
      <c r="X149" s="309">
        <v>34</v>
      </c>
      <c r="Y149" s="309" t="s">
        <v>760</v>
      </c>
      <c r="Z149" s="424">
        <v>307</v>
      </c>
      <c r="AA149" s="424" t="s">
        <v>759</v>
      </c>
      <c r="AB149" s="424">
        <v>36</v>
      </c>
      <c r="AC149" s="424" t="s">
        <v>760</v>
      </c>
      <c r="AD149" s="464">
        <v>288</v>
      </c>
      <c r="AE149" s="464" t="s">
        <v>759</v>
      </c>
      <c r="AF149" s="464">
        <v>34</v>
      </c>
      <c r="AG149" s="464" t="s">
        <v>760</v>
      </c>
      <c r="AH149" s="849">
        <v>291</v>
      </c>
      <c r="AI149" s="464" t="s">
        <v>759</v>
      </c>
      <c r="AJ149" s="464">
        <v>35</v>
      </c>
      <c r="AK149" s="464" t="s">
        <v>760</v>
      </c>
      <c r="AL149" s="917"/>
      <c r="AM149" s="855" t="s">
        <v>36</v>
      </c>
      <c r="AN149" s="970">
        <v>291</v>
      </c>
      <c r="AO149" s="970">
        <f t="shared" si="19"/>
        <v>0</v>
      </c>
    </row>
    <row r="150" spans="1:41" ht="21.95" customHeight="1" x14ac:dyDescent="0.2">
      <c r="A150" s="465" t="s">
        <v>728</v>
      </c>
      <c r="B150" s="1" t="s">
        <v>123</v>
      </c>
      <c r="C150" s="12">
        <v>4</v>
      </c>
      <c r="D150" s="27">
        <v>219</v>
      </c>
      <c r="E150" s="2"/>
      <c r="F150" s="2">
        <v>241</v>
      </c>
      <c r="G150" s="2"/>
      <c r="H150" s="33"/>
      <c r="I150" s="33"/>
      <c r="J150" s="33"/>
      <c r="K150" s="33"/>
      <c r="L150" s="33"/>
      <c r="M150" s="33"/>
      <c r="N150" s="33"/>
      <c r="O150" s="33"/>
      <c r="P150" s="130"/>
      <c r="Q150" s="130"/>
      <c r="Z150" s="424">
        <v>264</v>
      </c>
      <c r="AA150" s="424" t="s">
        <v>758</v>
      </c>
      <c r="AB150" s="424">
        <v>24</v>
      </c>
      <c r="AC150" s="424" t="s">
        <v>760</v>
      </c>
      <c r="AD150" s="424"/>
      <c r="AE150" s="424"/>
      <c r="AF150" s="424"/>
      <c r="AG150" s="424"/>
      <c r="AH150" s="849">
        <v>279</v>
      </c>
      <c r="AI150" s="424" t="s">
        <v>759</v>
      </c>
      <c r="AJ150" s="424">
        <v>49</v>
      </c>
      <c r="AK150" s="424" t="s">
        <v>758</v>
      </c>
      <c r="AL150" s="919"/>
      <c r="AM150" s="855" t="s">
        <v>728</v>
      </c>
      <c r="AN150" s="970">
        <v>279</v>
      </c>
      <c r="AO150" s="970">
        <f t="shared" si="19"/>
        <v>0</v>
      </c>
    </row>
    <row r="151" spans="1:41" ht="21.95" customHeight="1" x14ac:dyDescent="0.2">
      <c r="A151" s="465" t="s">
        <v>80</v>
      </c>
      <c r="B151" s="1" t="s">
        <v>123</v>
      </c>
      <c r="C151" s="12">
        <v>2</v>
      </c>
      <c r="D151" s="27">
        <v>238</v>
      </c>
      <c r="E151" s="2"/>
      <c r="F151" s="2">
        <v>247</v>
      </c>
      <c r="G151" s="2"/>
      <c r="H151" s="33">
        <v>234</v>
      </c>
      <c r="I151" s="33">
        <v>37</v>
      </c>
      <c r="J151" s="33">
        <v>268</v>
      </c>
      <c r="K151" s="33">
        <v>40</v>
      </c>
      <c r="L151" s="33">
        <v>254</v>
      </c>
      <c r="M151" s="33">
        <v>34</v>
      </c>
      <c r="N151" s="33">
        <v>212</v>
      </c>
      <c r="O151" s="33">
        <v>46</v>
      </c>
      <c r="P151" s="130">
        <v>240</v>
      </c>
      <c r="Q151" s="130">
        <v>43</v>
      </c>
      <c r="R151" s="246">
        <v>259</v>
      </c>
      <c r="S151" s="246" t="s">
        <v>758</v>
      </c>
      <c r="T151" s="246">
        <v>31</v>
      </c>
      <c r="U151" s="246" t="s">
        <v>760</v>
      </c>
      <c r="V151" s="309">
        <v>272</v>
      </c>
      <c r="W151" s="309" t="s">
        <v>759</v>
      </c>
      <c r="X151" s="309">
        <v>19</v>
      </c>
      <c r="Y151" s="309" t="s">
        <v>760</v>
      </c>
      <c r="Z151" s="424">
        <v>269</v>
      </c>
      <c r="AA151" s="424" t="s">
        <v>759</v>
      </c>
      <c r="AB151" s="424">
        <v>35</v>
      </c>
      <c r="AC151" s="424" t="s">
        <v>760</v>
      </c>
      <c r="AD151" s="464">
        <v>283</v>
      </c>
      <c r="AE151" s="464" t="s">
        <v>759</v>
      </c>
      <c r="AF151" s="464">
        <v>45</v>
      </c>
      <c r="AG151" s="464" t="s">
        <v>758</v>
      </c>
      <c r="AH151" s="849"/>
      <c r="AI151" s="464"/>
      <c r="AJ151" s="464"/>
      <c r="AK151" s="464"/>
      <c r="AL151" s="917"/>
      <c r="AM151" s="855"/>
      <c r="AN151" s="970"/>
      <c r="AO151" s="970"/>
    </row>
    <row r="152" spans="1:41" ht="21.95" customHeight="1" x14ac:dyDescent="0.2">
      <c r="A152" s="465" t="s">
        <v>84</v>
      </c>
      <c r="B152" s="1" t="s">
        <v>123</v>
      </c>
      <c r="C152" s="12">
        <v>5</v>
      </c>
      <c r="D152" s="27">
        <v>241.33076923076919</v>
      </c>
      <c r="E152" s="2"/>
      <c r="F152" s="2">
        <v>229</v>
      </c>
      <c r="G152" s="2"/>
      <c r="H152" s="33">
        <v>257</v>
      </c>
      <c r="I152" s="33">
        <v>37</v>
      </c>
      <c r="J152" s="33">
        <v>243</v>
      </c>
      <c r="K152" s="33">
        <v>44</v>
      </c>
      <c r="L152" s="33">
        <v>235</v>
      </c>
      <c r="M152" s="33">
        <v>36</v>
      </c>
      <c r="N152" s="33">
        <v>252</v>
      </c>
      <c r="O152" s="33">
        <v>37</v>
      </c>
      <c r="P152" s="130">
        <v>237</v>
      </c>
      <c r="Q152" s="130">
        <v>41</v>
      </c>
      <c r="R152" s="246">
        <v>236</v>
      </c>
      <c r="S152" s="246" t="s">
        <v>760</v>
      </c>
      <c r="T152" s="246">
        <v>35</v>
      </c>
      <c r="U152" s="246" t="s">
        <v>760</v>
      </c>
      <c r="V152" s="309">
        <v>243</v>
      </c>
      <c r="W152" s="309" t="s">
        <v>760</v>
      </c>
      <c r="X152" s="309">
        <v>39</v>
      </c>
      <c r="Y152" s="309" t="s">
        <v>758</v>
      </c>
      <c r="Z152" s="424">
        <v>248</v>
      </c>
      <c r="AA152" s="424" t="s">
        <v>760</v>
      </c>
      <c r="AB152" s="424">
        <v>38</v>
      </c>
      <c r="AC152" s="424" t="s">
        <v>758</v>
      </c>
      <c r="AD152" s="464">
        <v>257</v>
      </c>
      <c r="AE152" s="464" t="s">
        <v>760</v>
      </c>
      <c r="AF152" s="464">
        <v>33</v>
      </c>
      <c r="AG152" s="464" t="s">
        <v>760</v>
      </c>
      <c r="AH152" s="849">
        <v>244</v>
      </c>
      <c r="AI152" s="464" t="s">
        <v>760</v>
      </c>
      <c r="AJ152" s="464">
        <v>39</v>
      </c>
      <c r="AK152" s="464" t="s">
        <v>758</v>
      </c>
      <c r="AL152" s="917"/>
      <c r="AM152" s="855" t="s">
        <v>84</v>
      </c>
      <c r="AN152" s="970">
        <v>244</v>
      </c>
      <c r="AO152" s="970">
        <f t="shared" si="19"/>
        <v>0</v>
      </c>
    </row>
    <row r="153" spans="1:41" ht="21.95" customHeight="1" x14ac:dyDescent="0.2">
      <c r="A153" s="465" t="s">
        <v>79</v>
      </c>
      <c r="B153" s="1" t="s">
        <v>123</v>
      </c>
      <c r="C153" s="12">
        <v>2</v>
      </c>
      <c r="D153" s="27">
        <v>258.21923076923076</v>
      </c>
      <c r="E153" s="2"/>
      <c r="F153" s="2">
        <v>251</v>
      </c>
      <c r="G153" s="2"/>
      <c r="H153" s="33">
        <v>251</v>
      </c>
      <c r="I153" s="33">
        <v>45</v>
      </c>
      <c r="J153" s="33">
        <v>278</v>
      </c>
      <c r="K153" s="33">
        <v>32</v>
      </c>
      <c r="L153" s="33">
        <v>271</v>
      </c>
      <c r="M153" s="33">
        <v>36</v>
      </c>
      <c r="N153" s="33">
        <v>262</v>
      </c>
      <c r="O153" s="33">
        <v>35</v>
      </c>
      <c r="P153" s="130">
        <v>255</v>
      </c>
      <c r="Q153" s="130">
        <v>32</v>
      </c>
      <c r="R153" s="246">
        <v>246</v>
      </c>
      <c r="S153" s="246" t="s">
        <v>760</v>
      </c>
      <c r="T153" s="246">
        <v>34</v>
      </c>
      <c r="U153" s="246" t="s">
        <v>760</v>
      </c>
      <c r="V153" s="309">
        <v>256</v>
      </c>
      <c r="W153" s="309" t="s">
        <v>760</v>
      </c>
      <c r="X153" s="309">
        <v>40</v>
      </c>
      <c r="Y153" s="309" t="s">
        <v>758</v>
      </c>
      <c r="Z153" s="424">
        <v>258</v>
      </c>
      <c r="AA153" s="424" t="s">
        <v>760</v>
      </c>
      <c r="AB153" s="424">
        <v>46</v>
      </c>
      <c r="AC153" s="424" t="s">
        <v>758</v>
      </c>
      <c r="AD153" s="464">
        <v>251</v>
      </c>
      <c r="AE153" s="464" t="s">
        <v>760</v>
      </c>
      <c r="AF153" s="464">
        <v>43</v>
      </c>
      <c r="AG153" s="464" t="s">
        <v>758</v>
      </c>
      <c r="AH153" s="849">
        <v>272</v>
      </c>
      <c r="AI153" s="464" t="s">
        <v>759</v>
      </c>
      <c r="AJ153" s="464">
        <v>39</v>
      </c>
      <c r="AK153" s="464" t="s">
        <v>758</v>
      </c>
      <c r="AL153" s="917"/>
      <c r="AM153" s="855" t="s">
        <v>79</v>
      </c>
      <c r="AN153" s="970">
        <v>272</v>
      </c>
      <c r="AO153" s="970">
        <f t="shared" si="19"/>
        <v>0</v>
      </c>
    </row>
    <row r="154" spans="1:41" ht="21.95" customHeight="1" x14ac:dyDescent="0.2">
      <c r="A154" s="465" t="s">
        <v>70</v>
      </c>
      <c r="B154" s="1" t="s">
        <v>123</v>
      </c>
      <c r="C154" s="12">
        <v>6</v>
      </c>
      <c r="D154" s="27">
        <v>261.97307692307692</v>
      </c>
      <c r="E154" s="2"/>
      <c r="F154" s="2">
        <v>277</v>
      </c>
      <c r="G154" s="2"/>
      <c r="H154" s="33">
        <v>278</v>
      </c>
      <c r="I154" s="33">
        <v>33</v>
      </c>
      <c r="J154" s="33">
        <v>273</v>
      </c>
      <c r="K154" s="33">
        <v>35</v>
      </c>
      <c r="L154" s="33">
        <v>272</v>
      </c>
      <c r="M154" s="33">
        <v>39</v>
      </c>
      <c r="N154" s="33">
        <v>264</v>
      </c>
      <c r="O154" s="33">
        <v>42</v>
      </c>
      <c r="P154" s="130">
        <v>254</v>
      </c>
      <c r="Q154" s="130">
        <v>40</v>
      </c>
      <c r="R154" s="246">
        <v>258</v>
      </c>
      <c r="S154" s="246" t="s">
        <v>758</v>
      </c>
      <c r="T154" s="246">
        <v>44</v>
      </c>
      <c r="U154" s="246" t="s">
        <v>758</v>
      </c>
      <c r="V154" s="309">
        <v>266</v>
      </c>
      <c r="W154" s="309" t="s">
        <v>759</v>
      </c>
      <c r="X154" s="309">
        <v>46</v>
      </c>
      <c r="Y154" s="309" t="s">
        <v>758</v>
      </c>
      <c r="Z154" s="424">
        <v>270</v>
      </c>
      <c r="AA154" s="424" t="s">
        <v>759</v>
      </c>
      <c r="AB154" s="424">
        <v>47</v>
      </c>
      <c r="AC154" s="424" t="s">
        <v>758</v>
      </c>
      <c r="AD154" s="464">
        <v>270</v>
      </c>
      <c r="AE154" s="464" t="s">
        <v>759</v>
      </c>
      <c r="AF154" s="464">
        <v>44</v>
      </c>
      <c r="AG154" s="464" t="s">
        <v>758</v>
      </c>
      <c r="AH154" s="849">
        <v>278</v>
      </c>
      <c r="AI154" s="464" t="s">
        <v>759</v>
      </c>
      <c r="AJ154" s="464">
        <v>48</v>
      </c>
      <c r="AK154" s="464" t="s">
        <v>758</v>
      </c>
      <c r="AL154" s="917"/>
      <c r="AM154" s="855" t="s">
        <v>70</v>
      </c>
      <c r="AN154" s="970">
        <v>278</v>
      </c>
      <c r="AO154" s="970">
        <f t="shared" si="19"/>
        <v>0</v>
      </c>
    </row>
    <row r="155" spans="1:41" ht="21.95" customHeight="1" x14ac:dyDescent="0.2">
      <c r="A155" s="465" t="s">
        <v>108</v>
      </c>
      <c r="B155" s="1" t="s">
        <v>123</v>
      </c>
      <c r="C155" s="12">
        <v>5</v>
      </c>
      <c r="D155" s="27">
        <v>273.59615384615387</v>
      </c>
      <c r="E155" s="2"/>
      <c r="F155" s="2">
        <v>279</v>
      </c>
      <c r="G155" s="2"/>
      <c r="H155" s="33">
        <v>305</v>
      </c>
      <c r="I155" s="33">
        <v>36</v>
      </c>
      <c r="J155" s="33">
        <v>297</v>
      </c>
      <c r="K155" s="33">
        <v>30</v>
      </c>
      <c r="L155" s="33">
        <v>301</v>
      </c>
      <c r="M155" s="33">
        <v>43</v>
      </c>
      <c r="N155" s="33">
        <v>280</v>
      </c>
      <c r="O155" s="33">
        <v>44</v>
      </c>
      <c r="P155" s="130">
        <v>278</v>
      </c>
      <c r="Q155" s="130">
        <v>37</v>
      </c>
      <c r="R155" s="246">
        <v>280</v>
      </c>
      <c r="S155" s="246" t="s">
        <v>759</v>
      </c>
      <c r="T155" s="246">
        <v>42</v>
      </c>
      <c r="U155" s="246" t="s">
        <v>758</v>
      </c>
      <c r="V155" s="309">
        <v>294</v>
      </c>
      <c r="W155" s="309" t="s">
        <v>759</v>
      </c>
      <c r="X155" s="309">
        <v>39</v>
      </c>
      <c r="Y155" s="309" t="s">
        <v>758</v>
      </c>
      <c r="Z155" s="424">
        <v>296</v>
      </c>
      <c r="AA155" s="424" t="s">
        <v>759</v>
      </c>
      <c r="AB155" s="424">
        <v>40</v>
      </c>
      <c r="AC155" s="424" t="s">
        <v>758</v>
      </c>
      <c r="AD155" s="464">
        <v>300</v>
      </c>
      <c r="AE155" s="464" t="s">
        <v>759</v>
      </c>
      <c r="AF155" s="464">
        <v>41</v>
      </c>
      <c r="AG155" s="464" t="s">
        <v>758</v>
      </c>
      <c r="AH155" s="849">
        <v>290</v>
      </c>
      <c r="AI155" s="464" t="s">
        <v>759</v>
      </c>
      <c r="AJ155" s="464">
        <v>44</v>
      </c>
      <c r="AK155" s="464" t="s">
        <v>758</v>
      </c>
      <c r="AL155" s="917"/>
      <c r="AM155" s="855" t="s">
        <v>108</v>
      </c>
      <c r="AN155" s="970">
        <v>290</v>
      </c>
      <c r="AO155" s="970">
        <f t="shared" si="19"/>
        <v>0</v>
      </c>
    </row>
    <row r="156" spans="1:41" ht="21.95" customHeight="1" x14ac:dyDescent="0.2">
      <c r="A156" s="465" t="s">
        <v>92</v>
      </c>
      <c r="B156" s="1" t="s">
        <v>123</v>
      </c>
      <c r="C156" s="12">
        <v>1</v>
      </c>
      <c r="D156" s="27">
        <v>260.4115384615385</v>
      </c>
      <c r="E156" s="2"/>
      <c r="F156" s="2">
        <v>240</v>
      </c>
      <c r="G156" s="2"/>
      <c r="H156" s="33">
        <v>263</v>
      </c>
      <c r="I156" s="33">
        <v>40</v>
      </c>
      <c r="J156" s="33">
        <v>257</v>
      </c>
      <c r="K156" s="33">
        <v>36</v>
      </c>
      <c r="L156" s="33">
        <v>250</v>
      </c>
      <c r="M156" s="33">
        <v>38</v>
      </c>
      <c r="N156" s="33">
        <v>256</v>
      </c>
      <c r="O156" s="33">
        <v>40</v>
      </c>
      <c r="P156" s="130">
        <v>249</v>
      </c>
      <c r="Q156" s="130">
        <v>41</v>
      </c>
      <c r="R156" s="246">
        <v>245</v>
      </c>
      <c r="S156" s="246" t="s">
        <v>760</v>
      </c>
      <c r="T156" s="246">
        <v>43</v>
      </c>
      <c r="U156" s="246" t="s">
        <v>758</v>
      </c>
      <c r="V156" s="309">
        <v>255</v>
      </c>
      <c r="W156" s="309" t="s">
        <v>760</v>
      </c>
      <c r="X156" s="309">
        <v>43</v>
      </c>
      <c r="Y156" s="309" t="s">
        <v>758</v>
      </c>
      <c r="Z156" s="424">
        <v>258</v>
      </c>
      <c r="AA156" s="424" t="s">
        <v>760</v>
      </c>
      <c r="AB156" s="424">
        <v>40</v>
      </c>
      <c r="AC156" s="424" t="s">
        <v>758</v>
      </c>
      <c r="AD156" s="464">
        <v>258</v>
      </c>
      <c r="AE156" s="464" t="s">
        <v>760</v>
      </c>
      <c r="AF156" s="464">
        <v>35</v>
      </c>
      <c r="AG156" s="464" t="s">
        <v>760</v>
      </c>
      <c r="AH156" s="849">
        <v>264</v>
      </c>
      <c r="AI156" s="464" t="s">
        <v>758</v>
      </c>
      <c r="AJ156" s="464">
        <v>44</v>
      </c>
      <c r="AK156" s="464" t="s">
        <v>758</v>
      </c>
      <c r="AL156" s="917"/>
      <c r="AM156" s="855" t="s">
        <v>92</v>
      </c>
      <c r="AN156" s="970">
        <v>264</v>
      </c>
      <c r="AO156" s="970">
        <f t="shared" si="19"/>
        <v>0</v>
      </c>
    </row>
    <row r="157" spans="1:41" ht="21.95" customHeight="1" x14ac:dyDescent="0.2">
      <c r="A157" s="465" t="s">
        <v>130</v>
      </c>
      <c r="B157" s="1" t="s">
        <v>123</v>
      </c>
      <c r="C157" s="12">
        <v>6</v>
      </c>
      <c r="D157" s="27">
        <v>275.76923076923077</v>
      </c>
      <c r="E157" s="2"/>
      <c r="F157" s="2">
        <v>271</v>
      </c>
      <c r="G157" s="2"/>
      <c r="H157" s="33" t="s">
        <v>152</v>
      </c>
      <c r="I157" s="33" t="s">
        <v>152</v>
      </c>
      <c r="J157" s="33">
        <v>243</v>
      </c>
      <c r="K157" s="33">
        <v>61</v>
      </c>
      <c r="L157" s="33">
        <v>238</v>
      </c>
      <c r="M157" s="33">
        <v>40</v>
      </c>
      <c r="N157" s="33">
        <v>241</v>
      </c>
      <c r="O157" s="33">
        <v>33</v>
      </c>
      <c r="P157" s="130">
        <v>184</v>
      </c>
      <c r="Q157" s="130">
        <v>13</v>
      </c>
      <c r="AH157" s="15"/>
      <c r="AK157" s="818"/>
      <c r="AL157" s="1001"/>
      <c r="AM157" s="855"/>
      <c r="AN157" s="970"/>
      <c r="AO157" s="970"/>
    </row>
    <row r="158" spans="1:41" ht="21.95" customHeight="1" x14ac:dyDescent="0.2">
      <c r="A158" s="465" t="s">
        <v>115</v>
      </c>
      <c r="B158" s="1" t="s">
        <v>123</v>
      </c>
      <c r="C158" s="12">
        <v>3</v>
      </c>
      <c r="D158" s="27"/>
      <c r="E158" s="2"/>
      <c r="F158" s="2"/>
      <c r="G158" s="2"/>
      <c r="H158" s="33">
        <v>279</v>
      </c>
      <c r="I158" s="33">
        <v>43</v>
      </c>
      <c r="J158" s="33">
        <v>251</v>
      </c>
      <c r="K158" s="33">
        <v>19</v>
      </c>
      <c r="L158" s="33">
        <v>256</v>
      </c>
      <c r="M158" s="33">
        <v>41</v>
      </c>
      <c r="N158" s="33">
        <v>259</v>
      </c>
      <c r="O158" s="33">
        <v>41</v>
      </c>
      <c r="P158" s="130">
        <v>258</v>
      </c>
      <c r="Q158" s="130">
        <v>38</v>
      </c>
      <c r="R158" s="246">
        <v>255</v>
      </c>
      <c r="S158" s="246" t="s">
        <v>758</v>
      </c>
      <c r="T158" s="246">
        <v>39</v>
      </c>
      <c r="U158" s="246" t="s">
        <v>758</v>
      </c>
      <c r="V158" s="309">
        <v>241</v>
      </c>
      <c r="W158" s="309" t="s">
        <v>760</v>
      </c>
      <c r="X158" s="309">
        <v>46</v>
      </c>
      <c r="Y158" s="309" t="s">
        <v>758</v>
      </c>
      <c r="Z158" s="424">
        <v>257</v>
      </c>
      <c r="AA158" s="424" t="s">
        <v>760</v>
      </c>
      <c r="AB158" s="424">
        <v>35</v>
      </c>
      <c r="AC158" s="424" t="s">
        <v>760</v>
      </c>
      <c r="AD158" s="464">
        <v>262</v>
      </c>
      <c r="AE158" s="464" t="s">
        <v>758</v>
      </c>
      <c r="AF158" s="464">
        <v>37</v>
      </c>
      <c r="AG158" s="464" t="s">
        <v>760</v>
      </c>
      <c r="AH158" s="849">
        <v>271</v>
      </c>
      <c r="AI158" s="464" t="s">
        <v>759</v>
      </c>
      <c r="AJ158" s="464">
        <v>42</v>
      </c>
      <c r="AK158" s="464" t="s">
        <v>758</v>
      </c>
      <c r="AL158" s="917"/>
      <c r="AM158" s="855" t="s">
        <v>115</v>
      </c>
      <c r="AN158" s="970">
        <v>271</v>
      </c>
      <c r="AO158" s="970">
        <f t="shared" si="19"/>
        <v>0</v>
      </c>
    </row>
    <row r="159" spans="1:41" ht="21.95" customHeight="1" x14ac:dyDescent="0.2">
      <c r="A159" s="465" t="s">
        <v>37</v>
      </c>
      <c r="B159" s="1" t="s">
        <v>123</v>
      </c>
      <c r="C159" s="12">
        <v>3</v>
      </c>
      <c r="D159" s="27">
        <v>257.47307692307692</v>
      </c>
      <c r="E159" s="2"/>
      <c r="F159" s="2">
        <v>244</v>
      </c>
      <c r="G159" s="2"/>
      <c r="H159" s="33">
        <v>253</v>
      </c>
      <c r="I159" s="33">
        <v>39</v>
      </c>
      <c r="J159" s="33">
        <v>259</v>
      </c>
      <c r="K159" s="33">
        <v>40</v>
      </c>
      <c r="L159" s="33">
        <v>246</v>
      </c>
      <c r="M159" s="33">
        <v>41</v>
      </c>
      <c r="N159" s="33">
        <v>247</v>
      </c>
      <c r="O159" s="33">
        <v>47</v>
      </c>
      <c r="P159" s="130">
        <v>251</v>
      </c>
      <c r="Q159" s="130">
        <v>28</v>
      </c>
      <c r="R159" s="246">
        <v>241</v>
      </c>
      <c r="S159" s="246" t="s">
        <v>760</v>
      </c>
      <c r="T159" s="246">
        <v>42</v>
      </c>
      <c r="U159" s="246" t="s">
        <v>758</v>
      </c>
      <c r="V159" s="309">
        <v>261</v>
      </c>
      <c r="W159" s="309" t="s">
        <v>758</v>
      </c>
      <c r="X159" s="309">
        <v>37</v>
      </c>
      <c r="Y159" s="309" t="s">
        <v>758</v>
      </c>
      <c r="Z159" s="424">
        <v>257</v>
      </c>
      <c r="AA159" s="424" t="s">
        <v>760</v>
      </c>
      <c r="AB159" s="424">
        <v>41</v>
      </c>
      <c r="AC159" s="424" t="s">
        <v>758</v>
      </c>
      <c r="AD159" s="464">
        <v>253</v>
      </c>
      <c r="AE159" s="464" t="s">
        <v>760</v>
      </c>
      <c r="AF159" s="464">
        <v>32</v>
      </c>
      <c r="AG159" s="464" t="s">
        <v>760</v>
      </c>
      <c r="AH159" s="849">
        <v>256</v>
      </c>
      <c r="AI159" s="464" t="s">
        <v>760</v>
      </c>
      <c r="AJ159" s="464">
        <v>39</v>
      </c>
      <c r="AK159" s="464" t="s">
        <v>758</v>
      </c>
      <c r="AL159" s="917"/>
      <c r="AM159" s="855" t="s">
        <v>37</v>
      </c>
      <c r="AN159" s="970">
        <v>256</v>
      </c>
      <c r="AO159" s="970">
        <f t="shared" si="19"/>
        <v>0</v>
      </c>
    </row>
    <row r="160" spans="1:41" ht="21.95" customHeight="1" x14ac:dyDescent="0.2">
      <c r="A160" s="465" t="s">
        <v>107</v>
      </c>
      <c r="B160" s="1" t="s">
        <v>123</v>
      </c>
      <c r="C160" s="12">
        <v>5</v>
      </c>
      <c r="D160" s="27">
        <v>290.36153846153843</v>
      </c>
      <c r="E160" s="2"/>
      <c r="F160" s="2">
        <v>277</v>
      </c>
      <c r="G160" s="2"/>
      <c r="H160" s="33">
        <v>294</v>
      </c>
      <c r="I160" s="33">
        <v>31</v>
      </c>
      <c r="J160" s="33">
        <v>294</v>
      </c>
      <c r="K160" s="33">
        <v>32</v>
      </c>
      <c r="L160" s="33">
        <v>307</v>
      </c>
      <c r="M160" s="33">
        <v>38</v>
      </c>
      <c r="N160" s="33">
        <v>299</v>
      </c>
      <c r="O160" s="33">
        <v>34</v>
      </c>
      <c r="P160" s="130">
        <v>292</v>
      </c>
      <c r="Q160" s="130">
        <v>26</v>
      </c>
      <c r="R160" s="246">
        <v>302</v>
      </c>
      <c r="S160" s="246" t="s">
        <v>759</v>
      </c>
      <c r="T160" s="246">
        <v>36</v>
      </c>
      <c r="U160" s="246" t="s">
        <v>758</v>
      </c>
      <c r="V160" s="309">
        <v>292</v>
      </c>
      <c r="W160" s="309" t="s">
        <v>759</v>
      </c>
      <c r="X160" s="309">
        <v>49</v>
      </c>
      <c r="Y160" s="309" t="s">
        <v>758</v>
      </c>
      <c r="Z160" s="424">
        <v>317</v>
      </c>
      <c r="AA160" s="424" t="s">
        <v>759</v>
      </c>
      <c r="AB160" s="424">
        <v>31</v>
      </c>
      <c r="AC160" s="424" t="s">
        <v>760</v>
      </c>
      <c r="AD160" s="464">
        <v>316</v>
      </c>
      <c r="AE160" s="464" t="s">
        <v>759</v>
      </c>
      <c r="AF160" s="464">
        <v>39</v>
      </c>
      <c r="AG160" s="464" t="s">
        <v>758</v>
      </c>
      <c r="AH160" s="849">
        <v>309</v>
      </c>
      <c r="AI160" s="464" t="s">
        <v>759</v>
      </c>
      <c r="AJ160" s="464">
        <v>40</v>
      </c>
      <c r="AK160" s="464" t="s">
        <v>758</v>
      </c>
      <c r="AL160" s="917"/>
      <c r="AM160" s="855" t="s">
        <v>107</v>
      </c>
      <c r="AN160" s="970">
        <v>309</v>
      </c>
      <c r="AO160" s="970">
        <f t="shared" si="19"/>
        <v>0</v>
      </c>
    </row>
    <row r="161" spans="1:45" ht="21.95" customHeight="1" x14ac:dyDescent="0.2">
      <c r="A161" s="465" t="s">
        <v>18</v>
      </c>
      <c r="B161" s="1" t="s">
        <v>123</v>
      </c>
      <c r="C161" s="12">
        <v>5</v>
      </c>
      <c r="D161" s="27">
        <v>285.77307692307687</v>
      </c>
      <c r="E161" s="2"/>
      <c r="F161" s="2">
        <v>284</v>
      </c>
      <c r="G161" s="2"/>
      <c r="H161" s="33">
        <v>289</v>
      </c>
      <c r="I161" s="33">
        <v>30</v>
      </c>
      <c r="J161" s="33">
        <v>293</v>
      </c>
      <c r="K161" s="33">
        <v>37</v>
      </c>
      <c r="L161" s="33">
        <v>289</v>
      </c>
      <c r="M161" s="33">
        <v>38</v>
      </c>
      <c r="N161" s="33">
        <v>288</v>
      </c>
      <c r="O161" s="33">
        <v>33</v>
      </c>
      <c r="P161" s="130">
        <v>283</v>
      </c>
      <c r="Q161" s="130">
        <v>34</v>
      </c>
      <c r="R161" s="246">
        <v>285</v>
      </c>
      <c r="S161" s="246" t="s">
        <v>759</v>
      </c>
      <c r="T161" s="246">
        <v>40</v>
      </c>
      <c r="U161" s="246" t="s">
        <v>758</v>
      </c>
      <c r="V161" s="309">
        <v>280</v>
      </c>
      <c r="W161" s="309" t="s">
        <v>759</v>
      </c>
      <c r="X161" s="309">
        <v>41</v>
      </c>
      <c r="Y161" s="309" t="s">
        <v>758</v>
      </c>
      <c r="Z161" s="424">
        <v>289</v>
      </c>
      <c r="AA161" s="424" t="s">
        <v>759</v>
      </c>
      <c r="AB161" s="424">
        <v>42</v>
      </c>
      <c r="AC161" s="424" t="s">
        <v>758</v>
      </c>
      <c r="AD161" s="464">
        <v>285</v>
      </c>
      <c r="AE161" s="464" t="s">
        <v>759</v>
      </c>
      <c r="AF161" s="464">
        <v>41</v>
      </c>
      <c r="AG161" s="464" t="s">
        <v>758</v>
      </c>
      <c r="AH161" s="849">
        <v>287</v>
      </c>
      <c r="AI161" s="464" t="s">
        <v>759</v>
      </c>
      <c r="AJ161" s="464">
        <v>43</v>
      </c>
      <c r="AK161" s="464" t="s">
        <v>758</v>
      </c>
      <c r="AL161" s="917"/>
      <c r="AM161" s="855" t="s">
        <v>18</v>
      </c>
      <c r="AN161" s="970">
        <v>287</v>
      </c>
      <c r="AO161" s="970">
        <f t="shared" si="19"/>
        <v>0</v>
      </c>
    </row>
    <row r="162" spans="1:45" ht="21.95" customHeight="1" x14ac:dyDescent="0.2">
      <c r="A162" s="465" t="s">
        <v>68</v>
      </c>
      <c r="B162" s="1" t="s">
        <v>123</v>
      </c>
      <c r="C162" s="12">
        <v>3</v>
      </c>
      <c r="D162" s="27">
        <v>258.5884615384615</v>
      </c>
      <c r="E162" s="2"/>
      <c r="F162" s="2">
        <v>262</v>
      </c>
      <c r="G162" s="2"/>
      <c r="H162" s="33">
        <v>273</v>
      </c>
      <c r="I162" s="33">
        <v>42</v>
      </c>
      <c r="J162" s="33">
        <v>259</v>
      </c>
      <c r="K162" s="33">
        <v>30</v>
      </c>
      <c r="L162" s="33">
        <v>260</v>
      </c>
      <c r="M162" s="33">
        <v>33</v>
      </c>
      <c r="N162" s="33">
        <v>265</v>
      </c>
      <c r="O162" s="33">
        <v>39</v>
      </c>
      <c r="P162" s="130">
        <v>240</v>
      </c>
      <c r="Q162" s="130">
        <v>37</v>
      </c>
      <c r="R162" s="246">
        <v>267</v>
      </c>
      <c r="S162" s="246" t="s">
        <v>759</v>
      </c>
      <c r="T162" s="246">
        <v>37</v>
      </c>
      <c r="U162" s="246" t="s">
        <v>758</v>
      </c>
      <c r="V162" s="309">
        <v>271</v>
      </c>
      <c r="W162" s="309" t="s">
        <v>759</v>
      </c>
      <c r="X162" s="309">
        <v>44</v>
      </c>
      <c r="Y162" s="309" t="s">
        <v>758</v>
      </c>
      <c r="Z162" s="424">
        <v>262</v>
      </c>
      <c r="AA162" s="424" t="s">
        <v>758</v>
      </c>
      <c r="AB162" s="424">
        <v>36</v>
      </c>
      <c r="AC162" s="424" t="s">
        <v>760</v>
      </c>
      <c r="AD162" s="464">
        <v>239</v>
      </c>
      <c r="AE162" s="464" t="s">
        <v>760</v>
      </c>
      <c r="AF162" s="464">
        <v>38</v>
      </c>
      <c r="AG162" s="464" t="s">
        <v>758</v>
      </c>
      <c r="AH162" s="849">
        <v>257</v>
      </c>
      <c r="AI162" s="464" t="s">
        <v>760</v>
      </c>
      <c r="AJ162" s="464">
        <v>49</v>
      </c>
      <c r="AK162" s="464" t="s">
        <v>758</v>
      </c>
      <c r="AL162" s="917"/>
      <c r="AM162" s="855" t="s">
        <v>68</v>
      </c>
      <c r="AN162" s="970">
        <v>257</v>
      </c>
      <c r="AO162" s="970">
        <f t="shared" si="19"/>
        <v>0</v>
      </c>
    </row>
    <row r="163" spans="1:45" ht="21.95" customHeight="1" x14ac:dyDescent="0.2">
      <c r="A163" s="465" t="s">
        <v>112</v>
      </c>
      <c r="B163" s="1" t="s">
        <v>123</v>
      </c>
      <c r="C163" s="12">
        <v>5</v>
      </c>
      <c r="D163" s="27"/>
      <c r="E163" s="2"/>
      <c r="F163" s="2">
        <v>255</v>
      </c>
      <c r="G163" s="2"/>
      <c r="H163" s="33">
        <v>259</v>
      </c>
      <c r="I163" s="33">
        <v>40</v>
      </c>
      <c r="J163" s="33">
        <v>277</v>
      </c>
      <c r="K163" s="33">
        <v>41</v>
      </c>
      <c r="L163" s="33">
        <v>271</v>
      </c>
      <c r="M163" s="33">
        <v>40</v>
      </c>
      <c r="N163" s="33">
        <v>270</v>
      </c>
      <c r="O163" s="33">
        <v>40</v>
      </c>
      <c r="P163" s="130">
        <v>281</v>
      </c>
      <c r="Q163" s="130">
        <v>32</v>
      </c>
      <c r="R163" s="246">
        <v>269</v>
      </c>
      <c r="S163" s="246" t="s">
        <v>759</v>
      </c>
      <c r="T163" s="246">
        <v>37</v>
      </c>
      <c r="U163" s="246" t="s">
        <v>758</v>
      </c>
      <c r="V163" s="309">
        <v>286</v>
      </c>
      <c r="W163" s="309" t="s">
        <v>759</v>
      </c>
      <c r="X163" s="309">
        <v>40</v>
      </c>
      <c r="Y163" s="309" t="s">
        <v>758</v>
      </c>
      <c r="Z163" s="424">
        <v>277</v>
      </c>
      <c r="AA163" s="424" t="s">
        <v>759</v>
      </c>
      <c r="AB163" s="424">
        <v>38</v>
      </c>
      <c r="AC163" s="424" t="s">
        <v>758</v>
      </c>
      <c r="AD163" s="464">
        <v>276</v>
      </c>
      <c r="AE163" s="464" t="s">
        <v>759</v>
      </c>
      <c r="AF163" s="464">
        <v>38</v>
      </c>
      <c r="AG163" s="464" t="s">
        <v>758</v>
      </c>
      <c r="AH163" s="849">
        <v>280</v>
      </c>
      <c r="AI163" s="464" t="s">
        <v>759</v>
      </c>
      <c r="AJ163" s="464">
        <v>38</v>
      </c>
      <c r="AK163" s="464" t="s">
        <v>760</v>
      </c>
      <c r="AL163" s="917"/>
      <c r="AM163" s="855" t="s">
        <v>112</v>
      </c>
      <c r="AN163" s="970">
        <v>280</v>
      </c>
      <c r="AO163" s="970">
        <f t="shared" si="19"/>
        <v>0</v>
      </c>
    </row>
    <row r="164" spans="1:45" ht="21.95" customHeight="1" x14ac:dyDescent="0.2">
      <c r="A164" s="465" t="s">
        <v>110</v>
      </c>
      <c r="B164" s="1" t="s">
        <v>123</v>
      </c>
      <c r="C164" s="12">
        <v>5</v>
      </c>
      <c r="D164" s="27">
        <v>262.74615384615379</v>
      </c>
      <c r="E164" s="2"/>
      <c r="F164" s="2">
        <v>262</v>
      </c>
      <c r="G164" s="2"/>
      <c r="H164" s="33">
        <v>271</v>
      </c>
      <c r="I164" s="33">
        <v>35</v>
      </c>
      <c r="J164" s="33">
        <v>284</v>
      </c>
      <c r="K164" s="33">
        <v>35</v>
      </c>
      <c r="L164" s="33">
        <v>276</v>
      </c>
      <c r="M164" s="33">
        <v>37</v>
      </c>
      <c r="N164" s="33">
        <v>283</v>
      </c>
      <c r="O164" s="33">
        <v>33</v>
      </c>
      <c r="P164" s="130">
        <v>290</v>
      </c>
      <c r="Q164" s="130">
        <v>34</v>
      </c>
      <c r="R164" s="246">
        <v>280</v>
      </c>
      <c r="S164" s="246" t="s">
        <v>759</v>
      </c>
      <c r="T164" s="246">
        <v>35</v>
      </c>
      <c r="U164" s="246" t="s">
        <v>760</v>
      </c>
      <c r="V164" s="309">
        <v>292</v>
      </c>
      <c r="W164" s="309" t="s">
        <v>759</v>
      </c>
      <c r="X164" s="309">
        <v>37</v>
      </c>
      <c r="Y164" s="309" t="s">
        <v>758</v>
      </c>
      <c r="Z164" s="424">
        <v>282</v>
      </c>
      <c r="AA164" s="424" t="s">
        <v>759</v>
      </c>
      <c r="AB164" s="424">
        <v>37</v>
      </c>
      <c r="AC164" s="424" t="s">
        <v>758</v>
      </c>
      <c r="AD164" s="464">
        <v>287</v>
      </c>
      <c r="AE164" s="464" t="s">
        <v>759</v>
      </c>
      <c r="AF164" s="464">
        <v>42</v>
      </c>
      <c r="AG164" s="464" t="s">
        <v>758</v>
      </c>
      <c r="AH164" s="849">
        <v>291</v>
      </c>
      <c r="AI164" s="464" t="s">
        <v>759</v>
      </c>
      <c r="AJ164" s="464">
        <v>45</v>
      </c>
      <c r="AK164" s="464" t="s">
        <v>758</v>
      </c>
      <c r="AL164" s="917"/>
      <c r="AM164" s="855" t="s">
        <v>110</v>
      </c>
      <c r="AN164" s="970">
        <v>291</v>
      </c>
      <c r="AO164" s="970">
        <f t="shared" si="19"/>
        <v>0</v>
      </c>
    </row>
    <row r="165" spans="1:45" ht="21.95" customHeight="1" x14ac:dyDescent="0.2">
      <c r="A165" s="465" t="s">
        <v>116</v>
      </c>
      <c r="B165" s="1" t="s">
        <v>123</v>
      </c>
      <c r="C165" s="12">
        <v>5</v>
      </c>
      <c r="D165" s="27"/>
      <c r="E165" s="2"/>
      <c r="F165" s="2"/>
      <c r="G165" s="2"/>
      <c r="H165" s="33">
        <v>290</v>
      </c>
      <c r="I165" s="33">
        <v>25</v>
      </c>
      <c r="J165" s="33">
        <v>298</v>
      </c>
      <c r="K165" s="33">
        <v>28</v>
      </c>
      <c r="L165" s="33">
        <v>297</v>
      </c>
      <c r="M165" s="33">
        <v>39</v>
      </c>
      <c r="N165" s="33">
        <v>285</v>
      </c>
      <c r="O165" s="33">
        <v>30</v>
      </c>
      <c r="P165" s="130">
        <v>282</v>
      </c>
      <c r="Q165" s="130">
        <v>28</v>
      </c>
      <c r="R165" s="246">
        <v>281</v>
      </c>
      <c r="S165" s="246" t="s">
        <v>759</v>
      </c>
      <c r="T165" s="246">
        <v>43</v>
      </c>
      <c r="U165" s="246" t="s">
        <v>758</v>
      </c>
      <c r="V165" s="309">
        <v>289</v>
      </c>
      <c r="W165" s="309" t="s">
        <v>759</v>
      </c>
      <c r="X165" s="309">
        <v>43</v>
      </c>
      <c r="Y165" s="309" t="s">
        <v>758</v>
      </c>
      <c r="Z165" s="424">
        <v>294</v>
      </c>
      <c r="AA165" s="424" t="s">
        <v>759</v>
      </c>
      <c r="AB165" s="424">
        <v>37</v>
      </c>
      <c r="AC165" s="424" t="s">
        <v>758</v>
      </c>
      <c r="AD165" s="464">
        <v>295</v>
      </c>
      <c r="AE165" s="464" t="s">
        <v>759</v>
      </c>
      <c r="AF165" s="464">
        <v>38</v>
      </c>
      <c r="AG165" s="464" t="s">
        <v>758</v>
      </c>
      <c r="AH165" s="849">
        <v>301</v>
      </c>
      <c r="AI165" s="464" t="s">
        <v>759</v>
      </c>
      <c r="AJ165" s="464">
        <v>43</v>
      </c>
      <c r="AK165" s="464" t="s">
        <v>758</v>
      </c>
      <c r="AL165" s="917"/>
      <c r="AM165" s="855" t="s">
        <v>116</v>
      </c>
      <c r="AN165" s="970">
        <v>301</v>
      </c>
      <c r="AO165" s="970">
        <f t="shared" si="19"/>
        <v>0</v>
      </c>
    </row>
    <row r="166" spans="1:45" ht="21.95" customHeight="1" x14ac:dyDescent="0.2">
      <c r="A166" s="465" t="s">
        <v>98</v>
      </c>
      <c r="B166" s="1" t="s">
        <v>123</v>
      </c>
      <c r="C166" s="12">
        <v>5</v>
      </c>
      <c r="D166" s="27">
        <v>274.79230769230765</v>
      </c>
      <c r="E166" s="2"/>
      <c r="F166" s="2">
        <v>284</v>
      </c>
      <c r="G166" s="2"/>
      <c r="H166" s="33">
        <v>276</v>
      </c>
      <c r="I166" s="33">
        <v>31</v>
      </c>
      <c r="J166" s="33">
        <v>279</v>
      </c>
      <c r="K166" s="33">
        <v>33</v>
      </c>
      <c r="L166" s="33">
        <v>292</v>
      </c>
      <c r="M166" s="33">
        <v>22</v>
      </c>
      <c r="N166" s="33">
        <v>281</v>
      </c>
      <c r="O166" s="33">
        <v>37</v>
      </c>
      <c r="P166" s="130">
        <v>286</v>
      </c>
      <c r="Q166" s="130">
        <v>23</v>
      </c>
      <c r="R166" s="246">
        <v>279</v>
      </c>
      <c r="S166" s="246" t="s">
        <v>759</v>
      </c>
      <c r="T166" s="246">
        <v>39</v>
      </c>
      <c r="U166" s="246" t="s">
        <v>758</v>
      </c>
      <c r="V166" s="309">
        <v>299</v>
      </c>
      <c r="W166" s="309" t="s">
        <v>759</v>
      </c>
      <c r="X166" s="309">
        <v>26</v>
      </c>
      <c r="Y166" s="309" t="s">
        <v>760</v>
      </c>
      <c r="Z166" s="424">
        <v>281</v>
      </c>
      <c r="AA166" s="424" t="s">
        <v>759</v>
      </c>
      <c r="AB166" s="424">
        <v>40</v>
      </c>
      <c r="AC166" s="424" t="s">
        <v>758</v>
      </c>
      <c r="AD166" s="464">
        <v>288</v>
      </c>
      <c r="AE166" s="464" t="s">
        <v>759</v>
      </c>
      <c r="AF166" s="464">
        <v>34</v>
      </c>
      <c r="AG166" s="464" t="s">
        <v>760</v>
      </c>
      <c r="AH166" s="849">
        <v>291</v>
      </c>
      <c r="AI166" s="464" t="s">
        <v>759</v>
      </c>
      <c r="AJ166" s="464">
        <v>35</v>
      </c>
      <c r="AK166" s="464" t="s">
        <v>760</v>
      </c>
      <c r="AL166" s="917"/>
      <c r="AM166" s="855" t="s">
        <v>98</v>
      </c>
      <c r="AN166" s="970">
        <v>291</v>
      </c>
      <c r="AO166" s="970">
        <f t="shared" ref="AO166:AO173" si="20">AH166-AN166</f>
        <v>0</v>
      </c>
    </row>
    <row r="167" spans="1:45" ht="21.95" customHeight="1" x14ac:dyDescent="0.2">
      <c r="A167" s="465" t="s">
        <v>175</v>
      </c>
      <c r="B167" s="1" t="s">
        <v>123</v>
      </c>
      <c r="C167" s="12">
        <v>4</v>
      </c>
      <c r="D167" s="27">
        <v>225</v>
      </c>
      <c r="E167" s="2"/>
      <c r="F167" s="2">
        <v>250</v>
      </c>
      <c r="G167" s="2"/>
      <c r="H167" s="33">
        <v>209</v>
      </c>
      <c r="I167" s="33">
        <v>23</v>
      </c>
      <c r="J167" s="33">
        <v>217</v>
      </c>
      <c r="K167" s="33">
        <v>26</v>
      </c>
      <c r="L167" s="33">
        <v>223</v>
      </c>
      <c r="M167" s="33">
        <v>22</v>
      </c>
      <c r="N167" s="33">
        <v>221</v>
      </c>
      <c r="O167" s="33">
        <v>27</v>
      </c>
      <c r="P167" s="130">
        <v>201</v>
      </c>
      <c r="Q167" s="130">
        <v>28</v>
      </c>
      <c r="R167" s="246">
        <v>231</v>
      </c>
      <c r="S167" s="246" t="s">
        <v>760</v>
      </c>
      <c r="T167" s="246">
        <v>36</v>
      </c>
      <c r="U167" s="246" t="s">
        <v>758</v>
      </c>
      <c r="V167" s="309">
        <v>244</v>
      </c>
      <c r="W167" s="309" t="s">
        <v>760</v>
      </c>
      <c r="X167" s="309">
        <v>30</v>
      </c>
      <c r="Y167" s="309" t="s">
        <v>760</v>
      </c>
      <c r="Z167" s="424">
        <v>232</v>
      </c>
      <c r="AA167" s="424" t="s">
        <v>760</v>
      </c>
      <c r="AB167" s="424">
        <v>37</v>
      </c>
      <c r="AC167" s="424" t="s">
        <v>758</v>
      </c>
      <c r="AD167" s="464">
        <v>245</v>
      </c>
      <c r="AE167" s="464" t="s">
        <v>760</v>
      </c>
      <c r="AF167" s="464">
        <v>32</v>
      </c>
      <c r="AG167" s="464" t="s">
        <v>760</v>
      </c>
      <c r="AH167" s="849">
        <v>259</v>
      </c>
      <c r="AI167" s="464" t="s">
        <v>760</v>
      </c>
      <c r="AJ167" s="464">
        <v>46</v>
      </c>
      <c r="AK167" s="464" t="s">
        <v>758</v>
      </c>
      <c r="AL167" s="917"/>
      <c r="AM167" s="855" t="s">
        <v>175</v>
      </c>
      <c r="AN167" s="970">
        <v>259</v>
      </c>
      <c r="AO167" s="970">
        <f t="shared" si="20"/>
        <v>0</v>
      </c>
    </row>
    <row r="168" spans="1:45" ht="21.95" customHeight="1" x14ac:dyDescent="0.2">
      <c r="A168" s="465" t="s">
        <v>44</v>
      </c>
      <c r="B168" s="1" t="s">
        <v>123</v>
      </c>
      <c r="C168" s="12">
        <v>6</v>
      </c>
      <c r="D168" s="27">
        <v>266.21153846153845</v>
      </c>
      <c r="E168" s="2"/>
      <c r="F168" s="2">
        <v>259</v>
      </c>
      <c r="G168" s="2"/>
      <c r="H168" s="33">
        <v>274</v>
      </c>
      <c r="I168" s="33">
        <v>31</v>
      </c>
      <c r="J168" s="33">
        <v>272</v>
      </c>
      <c r="K168" s="33">
        <v>35</v>
      </c>
      <c r="L168" s="33">
        <v>274</v>
      </c>
      <c r="M168" s="33">
        <v>41</v>
      </c>
      <c r="N168" s="33">
        <v>270</v>
      </c>
      <c r="O168" s="33">
        <v>39</v>
      </c>
      <c r="P168" s="130">
        <v>268</v>
      </c>
      <c r="Q168" s="130">
        <v>36</v>
      </c>
      <c r="R168" s="246">
        <v>270</v>
      </c>
      <c r="S168" s="246" t="s">
        <v>759</v>
      </c>
      <c r="T168" s="246">
        <v>36</v>
      </c>
      <c r="U168" s="246" t="s">
        <v>758</v>
      </c>
      <c r="V168" s="309">
        <v>274</v>
      </c>
      <c r="W168" s="309" t="s">
        <v>759</v>
      </c>
      <c r="X168" s="309">
        <v>36</v>
      </c>
      <c r="Y168" s="309" t="s">
        <v>760</v>
      </c>
      <c r="Z168" s="424">
        <v>275</v>
      </c>
      <c r="AA168" s="424" t="s">
        <v>759</v>
      </c>
      <c r="AB168" s="424">
        <v>43</v>
      </c>
      <c r="AC168" s="424" t="s">
        <v>758</v>
      </c>
      <c r="AD168" s="464">
        <v>285</v>
      </c>
      <c r="AE168" s="464" t="s">
        <v>759</v>
      </c>
      <c r="AF168" s="464">
        <v>43</v>
      </c>
      <c r="AG168" s="464" t="s">
        <v>758</v>
      </c>
      <c r="AH168" s="849">
        <v>279</v>
      </c>
      <c r="AI168" s="464" t="s">
        <v>759</v>
      </c>
      <c r="AJ168" s="464">
        <v>41</v>
      </c>
      <c r="AK168" s="464" t="s">
        <v>758</v>
      </c>
      <c r="AL168" s="917"/>
      <c r="AM168" s="855" t="s">
        <v>44</v>
      </c>
      <c r="AN168" s="970">
        <v>279</v>
      </c>
      <c r="AO168" s="970">
        <f t="shared" si="20"/>
        <v>0</v>
      </c>
    </row>
    <row r="169" spans="1:45" s="818" customFormat="1" ht="21.95" customHeight="1" x14ac:dyDescent="0.2">
      <c r="A169" s="824" t="s">
        <v>961</v>
      </c>
      <c r="B169" s="1" t="s">
        <v>123</v>
      </c>
      <c r="C169" s="825">
        <v>5</v>
      </c>
      <c r="D169" s="826"/>
      <c r="E169" s="827"/>
      <c r="F169" s="827"/>
      <c r="G169" s="827"/>
      <c r="H169" s="828"/>
      <c r="I169" s="828"/>
      <c r="J169" s="828"/>
      <c r="K169" s="828"/>
      <c r="L169" s="828"/>
      <c r="M169" s="828"/>
      <c r="N169" s="828"/>
      <c r="O169" s="828"/>
      <c r="P169" s="829"/>
      <c r="Q169" s="829"/>
      <c r="R169" s="830"/>
      <c r="S169" s="830"/>
      <c r="T169" s="830"/>
      <c r="U169" s="830"/>
      <c r="V169" s="827"/>
      <c r="W169" s="827"/>
      <c r="X169" s="827"/>
      <c r="Y169" s="827"/>
      <c r="Z169" s="831"/>
      <c r="AA169" s="831"/>
      <c r="AB169" s="831"/>
      <c r="AC169" s="831"/>
      <c r="AD169" s="827"/>
      <c r="AE169" s="827"/>
      <c r="AF169" s="827"/>
      <c r="AG169" s="827"/>
      <c r="AH169" s="863">
        <v>279</v>
      </c>
      <c r="AI169" s="827" t="s">
        <v>759</v>
      </c>
      <c r="AJ169" s="827">
        <v>32</v>
      </c>
      <c r="AK169" s="827" t="s">
        <v>760</v>
      </c>
      <c r="AL169" s="917"/>
      <c r="AM169" s="855" t="s">
        <v>961</v>
      </c>
      <c r="AN169" s="970">
        <v>279</v>
      </c>
      <c r="AO169" s="970">
        <f t="shared" si="20"/>
        <v>0</v>
      </c>
    </row>
    <row r="170" spans="1:45" ht="21.95" customHeight="1" x14ac:dyDescent="0.2">
      <c r="A170" s="465" t="s">
        <v>113</v>
      </c>
      <c r="B170" s="1" t="s">
        <v>123</v>
      </c>
      <c r="C170" s="12">
        <v>4</v>
      </c>
      <c r="D170" s="27"/>
      <c r="E170" s="2"/>
      <c r="F170" s="2">
        <v>270</v>
      </c>
      <c r="G170" s="2"/>
      <c r="H170" s="33">
        <v>281</v>
      </c>
      <c r="I170" s="33">
        <v>31</v>
      </c>
      <c r="J170" s="33">
        <v>288</v>
      </c>
      <c r="K170" s="33">
        <v>32</v>
      </c>
      <c r="L170" s="33">
        <v>273</v>
      </c>
      <c r="M170" s="33">
        <v>20</v>
      </c>
      <c r="N170" s="33">
        <v>283</v>
      </c>
      <c r="O170" s="33">
        <v>36</v>
      </c>
      <c r="P170" s="130">
        <v>255</v>
      </c>
      <c r="Q170" s="130">
        <v>48</v>
      </c>
      <c r="R170" s="246">
        <v>276</v>
      </c>
      <c r="S170" s="246" t="s">
        <v>759</v>
      </c>
      <c r="T170" s="246">
        <v>35</v>
      </c>
      <c r="U170" s="246" t="s">
        <v>760</v>
      </c>
      <c r="V170" s="309">
        <v>276</v>
      </c>
      <c r="W170" s="309" t="s">
        <v>759</v>
      </c>
      <c r="X170" s="309">
        <v>39</v>
      </c>
      <c r="Y170" s="309" t="s">
        <v>758</v>
      </c>
      <c r="Z170" s="424">
        <v>273</v>
      </c>
      <c r="AA170" s="424" t="s">
        <v>759</v>
      </c>
      <c r="AB170" s="424">
        <v>48</v>
      </c>
      <c r="AC170" s="424" t="s">
        <v>758</v>
      </c>
      <c r="AD170" s="464">
        <v>300</v>
      </c>
      <c r="AE170" s="464" t="s">
        <v>759</v>
      </c>
      <c r="AF170" s="464">
        <v>40</v>
      </c>
      <c r="AG170" s="464" t="s">
        <v>758</v>
      </c>
      <c r="AH170" s="849">
        <v>316</v>
      </c>
      <c r="AI170" s="464" t="s">
        <v>759</v>
      </c>
      <c r="AJ170" s="464">
        <v>28</v>
      </c>
      <c r="AK170" s="464" t="s">
        <v>760</v>
      </c>
      <c r="AL170" s="917"/>
      <c r="AM170" s="855" t="s">
        <v>113</v>
      </c>
      <c r="AN170" s="970">
        <v>316</v>
      </c>
      <c r="AO170" s="970">
        <f t="shared" si="20"/>
        <v>0</v>
      </c>
    </row>
    <row r="171" spans="1:45" ht="21.95" customHeight="1" x14ac:dyDescent="0.2">
      <c r="A171" s="465" t="s">
        <v>59</v>
      </c>
      <c r="B171" s="1" t="s">
        <v>123</v>
      </c>
      <c r="C171" s="12">
        <v>5</v>
      </c>
      <c r="D171" s="27">
        <v>278.63461538461542</v>
      </c>
      <c r="E171" s="2"/>
      <c r="F171" s="2">
        <v>266</v>
      </c>
      <c r="G171" s="2"/>
      <c r="H171" s="33">
        <v>287</v>
      </c>
      <c r="I171" s="33">
        <v>43</v>
      </c>
      <c r="J171" s="33">
        <v>277</v>
      </c>
      <c r="K171" s="33">
        <v>38</v>
      </c>
      <c r="L171" s="33">
        <v>274</v>
      </c>
      <c r="M171" s="33">
        <v>27</v>
      </c>
      <c r="N171" s="33">
        <v>278</v>
      </c>
      <c r="O171" s="33">
        <v>45</v>
      </c>
      <c r="P171" s="130">
        <v>287</v>
      </c>
      <c r="Q171" s="130">
        <v>39</v>
      </c>
      <c r="R171" s="246">
        <v>264</v>
      </c>
      <c r="S171" s="246" t="s">
        <v>759</v>
      </c>
      <c r="T171" s="246">
        <v>32</v>
      </c>
      <c r="U171" s="246" t="s">
        <v>760</v>
      </c>
      <c r="V171" s="309">
        <v>290</v>
      </c>
      <c r="W171" s="309" t="s">
        <v>759</v>
      </c>
      <c r="X171" s="309">
        <v>26</v>
      </c>
      <c r="Y171" s="309" t="s">
        <v>760</v>
      </c>
      <c r="Z171" s="424">
        <v>282</v>
      </c>
      <c r="AA171" s="424" t="s">
        <v>759</v>
      </c>
      <c r="AB171" s="424">
        <v>47</v>
      </c>
      <c r="AC171" s="424" t="s">
        <v>758</v>
      </c>
      <c r="AD171" s="464">
        <v>273</v>
      </c>
      <c r="AE171" s="464" t="s">
        <v>759</v>
      </c>
      <c r="AF171" s="464">
        <v>51</v>
      </c>
      <c r="AG171" s="464" t="s">
        <v>759</v>
      </c>
      <c r="AH171" s="849">
        <v>278</v>
      </c>
      <c r="AI171" s="464" t="s">
        <v>759</v>
      </c>
      <c r="AJ171" s="464">
        <v>41</v>
      </c>
      <c r="AK171" s="464" t="s">
        <v>758</v>
      </c>
      <c r="AL171" s="917"/>
      <c r="AM171" s="855" t="s">
        <v>59</v>
      </c>
      <c r="AN171" s="970">
        <v>278</v>
      </c>
      <c r="AO171" s="970">
        <f t="shared" si="20"/>
        <v>0</v>
      </c>
    </row>
    <row r="172" spans="1:45" ht="21.95" customHeight="1" x14ac:dyDescent="0.2">
      <c r="A172" s="465" t="s">
        <v>45</v>
      </c>
      <c r="B172" s="1" t="s">
        <v>123</v>
      </c>
      <c r="C172" s="580">
        <v>2</v>
      </c>
      <c r="D172" s="27">
        <v>247.71153846153845</v>
      </c>
      <c r="E172" s="44"/>
      <c r="F172" s="44">
        <v>249</v>
      </c>
      <c r="G172" s="44"/>
      <c r="H172" s="131">
        <v>256</v>
      </c>
      <c r="I172" s="131">
        <v>36</v>
      </c>
      <c r="J172" s="131">
        <v>262</v>
      </c>
      <c r="K172" s="131">
        <v>38</v>
      </c>
      <c r="L172" s="131">
        <v>256</v>
      </c>
      <c r="M172" s="131">
        <v>40</v>
      </c>
      <c r="N172" s="131">
        <v>253</v>
      </c>
      <c r="O172" s="131">
        <v>43</v>
      </c>
      <c r="P172" s="130">
        <v>244</v>
      </c>
      <c r="Q172" s="130">
        <v>29</v>
      </c>
      <c r="R172" s="246">
        <v>253</v>
      </c>
      <c r="S172" s="246" t="s">
        <v>760</v>
      </c>
      <c r="T172" s="246">
        <v>41</v>
      </c>
      <c r="U172" s="246" t="s">
        <v>758</v>
      </c>
      <c r="V172" s="309">
        <v>272</v>
      </c>
      <c r="W172" s="309" t="s">
        <v>759</v>
      </c>
      <c r="X172" s="309">
        <v>39</v>
      </c>
      <c r="Y172" s="309" t="s">
        <v>758</v>
      </c>
      <c r="Z172" s="424">
        <v>276</v>
      </c>
      <c r="AA172" s="424" t="s">
        <v>759</v>
      </c>
      <c r="AB172" s="424">
        <v>44</v>
      </c>
      <c r="AC172" s="424" t="s">
        <v>758</v>
      </c>
      <c r="AD172" s="464">
        <v>260</v>
      </c>
      <c r="AE172" s="464" t="s">
        <v>760</v>
      </c>
      <c r="AF172" s="464">
        <v>46</v>
      </c>
      <c r="AG172" s="464" t="s">
        <v>758</v>
      </c>
      <c r="AH172" s="849">
        <v>276</v>
      </c>
      <c r="AI172" s="464" t="s">
        <v>759</v>
      </c>
      <c r="AJ172" s="464">
        <v>43</v>
      </c>
      <c r="AK172" s="464" t="s">
        <v>758</v>
      </c>
      <c r="AL172" s="917"/>
      <c r="AM172" s="855" t="s">
        <v>45</v>
      </c>
      <c r="AN172" s="970">
        <v>276</v>
      </c>
      <c r="AO172" s="970">
        <f t="shared" si="20"/>
        <v>0</v>
      </c>
    </row>
    <row r="173" spans="1:45" ht="21.95" customHeight="1" x14ac:dyDescent="0.2">
      <c r="A173" s="465" t="s">
        <v>950</v>
      </c>
      <c r="B173" s="1" t="s">
        <v>123</v>
      </c>
      <c r="C173" s="524">
        <v>1</v>
      </c>
      <c r="D173" s="464">
        <v>0</v>
      </c>
      <c r="E173" s="464">
        <v>0</v>
      </c>
      <c r="F173" s="464">
        <v>0</v>
      </c>
      <c r="G173" s="464">
        <v>0</v>
      </c>
      <c r="H173" s="464">
        <v>0</v>
      </c>
      <c r="I173" s="464">
        <v>0</v>
      </c>
      <c r="J173" s="464">
        <v>0</v>
      </c>
      <c r="K173" s="464">
        <v>0</v>
      </c>
      <c r="L173" s="464">
        <v>0</v>
      </c>
      <c r="M173" s="464">
        <v>0</v>
      </c>
      <c r="N173" s="464"/>
      <c r="O173" s="464"/>
      <c r="P173" s="464"/>
      <c r="Q173" s="464"/>
      <c r="R173" s="464"/>
      <c r="S173" s="464"/>
      <c r="T173" s="464"/>
      <c r="U173" s="464"/>
      <c r="V173" s="464"/>
      <c r="W173" s="464"/>
      <c r="X173" s="464"/>
      <c r="Y173" s="464"/>
      <c r="Z173" s="464"/>
      <c r="AA173" s="464"/>
      <c r="AB173" s="464"/>
      <c r="AC173" s="464"/>
      <c r="AD173" s="464">
        <v>273</v>
      </c>
      <c r="AE173" s="464" t="s">
        <v>759</v>
      </c>
      <c r="AF173" s="464">
        <v>34</v>
      </c>
      <c r="AG173" s="464" t="s">
        <v>760</v>
      </c>
      <c r="AH173" s="504">
        <v>254</v>
      </c>
      <c r="AI173" s="464" t="s">
        <v>760</v>
      </c>
      <c r="AJ173" s="464">
        <v>57</v>
      </c>
      <c r="AK173" s="464" t="s">
        <v>759</v>
      </c>
      <c r="AL173" s="917"/>
      <c r="AM173" s="855" t="s">
        <v>950</v>
      </c>
      <c r="AN173" s="970">
        <v>254</v>
      </c>
      <c r="AO173" s="970">
        <f t="shared" si="20"/>
        <v>0</v>
      </c>
    </row>
    <row r="174" spans="1:45" ht="21.6" customHeight="1" x14ac:dyDescent="0.2">
      <c r="A174" s="239" t="s">
        <v>941</v>
      </c>
      <c r="AM174" s="855"/>
      <c r="AN174" s="970"/>
      <c r="AO174" s="970"/>
    </row>
    <row r="175" spans="1:45" ht="21.6" customHeight="1" x14ac:dyDescent="0.2">
      <c r="A175" s="709"/>
    </row>
    <row r="176" spans="1:45" ht="21.6" customHeight="1" x14ac:dyDescent="0.2">
      <c r="A176" s="709"/>
      <c r="AB176" s="970"/>
      <c r="AC176" s="970"/>
      <c r="AD176" s="968" t="s">
        <v>146</v>
      </c>
      <c r="AE176" s="968"/>
      <c r="AF176" s="968"/>
      <c r="AG176" s="968"/>
      <c r="AH176" s="968"/>
      <c r="AI176" s="968"/>
      <c r="AJ176" s="968"/>
      <c r="AK176" s="968"/>
      <c r="AL176" s="1000"/>
      <c r="AM176" s="968"/>
      <c r="AN176" s="968"/>
      <c r="AO176" s="968"/>
      <c r="AP176" s="968"/>
      <c r="AQ176" s="968"/>
      <c r="AR176" s="968"/>
      <c r="AS176" s="968"/>
    </row>
    <row r="177" spans="1:45" ht="12.75" customHeight="1" x14ac:dyDescent="0.2">
      <c r="D177" s="73"/>
      <c r="E177" s="73"/>
      <c r="F177" s="1058" t="s">
        <v>146</v>
      </c>
      <c r="G177" s="1059"/>
      <c r="H177" s="1059"/>
      <c r="I177" s="1059"/>
      <c r="J177" s="1059"/>
      <c r="K177" s="1059"/>
      <c r="L177" s="1059"/>
      <c r="M177" s="1059"/>
      <c r="N177" s="1059"/>
      <c r="O177" s="1059"/>
      <c r="P177" s="1059"/>
      <c r="Q177" s="1059"/>
      <c r="R177" s="1059"/>
      <c r="S177" s="1059"/>
      <c r="T177" s="1059"/>
      <c r="U177" s="1059"/>
      <c r="V177" s="1059"/>
      <c r="W177" s="1059"/>
      <c r="X177" s="1059"/>
      <c r="Y177" s="1059"/>
      <c r="Z177" s="1059"/>
      <c r="AA177" s="1059"/>
      <c r="AB177" s="970"/>
      <c r="AC177" s="970"/>
      <c r="AD177" s="973"/>
      <c r="AE177" s="973">
        <v>2016</v>
      </c>
      <c r="AF177" s="968">
        <v>2017</v>
      </c>
      <c r="AG177" s="973">
        <v>2018</v>
      </c>
      <c r="AH177" s="973">
        <v>2019</v>
      </c>
      <c r="AI177" s="968">
        <v>2020</v>
      </c>
      <c r="AJ177" s="968">
        <v>2017</v>
      </c>
      <c r="AK177" s="973">
        <v>2018</v>
      </c>
      <c r="AL177" s="999"/>
      <c r="AM177" s="973">
        <v>2019</v>
      </c>
      <c r="AN177" s="204">
        <v>2020</v>
      </c>
      <c r="AO177" s="980">
        <v>2021</v>
      </c>
      <c r="AP177" s="980">
        <v>2022</v>
      </c>
      <c r="AQ177" s="980">
        <v>2023</v>
      </c>
      <c r="AR177" s="980">
        <v>2024</v>
      </c>
      <c r="AS177" s="980">
        <v>2025</v>
      </c>
    </row>
    <row r="178" spans="1:45" ht="24.75" customHeight="1" x14ac:dyDescent="0.2">
      <c r="C178" s="1056"/>
      <c r="E178" s="32"/>
      <c r="F178" s="203">
        <v>2014</v>
      </c>
      <c r="G178" s="204">
        <v>2015</v>
      </c>
      <c r="H178" s="1053">
        <v>2016</v>
      </c>
      <c r="I178" s="1054"/>
      <c r="J178" s="1053">
        <v>2017</v>
      </c>
      <c r="K178" s="1054"/>
      <c r="L178" s="1053">
        <v>2018</v>
      </c>
      <c r="M178" s="1054"/>
      <c r="N178" s="1053">
        <v>2019</v>
      </c>
      <c r="O178" s="1054"/>
      <c r="P178" s="1053">
        <v>2020</v>
      </c>
      <c r="Q178" s="1054"/>
      <c r="R178" s="1053">
        <v>2021</v>
      </c>
      <c r="S178" s="1054"/>
      <c r="T178" s="1053">
        <v>2022</v>
      </c>
      <c r="U178" s="1054"/>
      <c r="V178" s="1053">
        <v>2023</v>
      </c>
      <c r="W178" s="1054"/>
      <c r="X178" s="1053">
        <v>2024</v>
      </c>
      <c r="Y178" s="1054"/>
      <c r="Z178" s="1053">
        <v>2025</v>
      </c>
      <c r="AA178" s="1054"/>
      <c r="AD178" s="817" t="s">
        <v>150</v>
      </c>
      <c r="AE178" s="504">
        <v>266</v>
      </c>
      <c r="AF178" s="504">
        <v>263</v>
      </c>
      <c r="AG178" s="504">
        <v>260</v>
      </c>
      <c r="AH178" s="504">
        <v>257</v>
      </c>
      <c r="AI178" s="464">
        <v>258</v>
      </c>
      <c r="AJ178" s="666">
        <v>263</v>
      </c>
      <c r="AK178" s="504">
        <v>260</v>
      </c>
      <c r="AL178" s="1013"/>
      <c r="AM178" s="504">
        <v>257</v>
      </c>
      <c r="AN178" s="840">
        <v>258</v>
      </c>
      <c r="AO178" s="268">
        <v>257</v>
      </c>
      <c r="AP178" s="268">
        <v>262</v>
      </c>
      <c r="AQ178" s="459">
        <v>262</v>
      </c>
      <c r="AR178" s="459">
        <v>265</v>
      </c>
      <c r="AS178" s="459" t="s">
        <v>958</v>
      </c>
    </row>
    <row r="179" spans="1:45" ht="25.5" x14ac:dyDescent="0.2">
      <c r="C179" s="1056"/>
      <c r="E179" s="32"/>
      <c r="F179" s="7" t="s">
        <v>120</v>
      </c>
      <c r="G179" s="7" t="s">
        <v>120</v>
      </c>
      <c r="H179" s="7" t="s">
        <v>120</v>
      </c>
      <c r="I179" s="7" t="s">
        <v>147</v>
      </c>
      <c r="J179" s="7" t="s">
        <v>120</v>
      </c>
      <c r="K179" s="7" t="s">
        <v>147</v>
      </c>
      <c r="L179" s="7" t="s">
        <v>120</v>
      </c>
      <c r="M179" s="7" t="s">
        <v>147</v>
      </c>
      <c r="N179" s="7" t="s">
        <v>120</v>
      </c>
      <c r="O179" s="7" t="s">
        <v>147</v>
      </c>
      <c r="P179" s="7" t="s">
        <v>120</v>
      </c>
      <c r="Q179" s="7" t="s">
        <v>147</v>
      </c>
      <c r="R179" s="7" t="s">
        <v>120</v>
      </c>
      <c r="S179" s="7" t="s">
        <v>147</v>
      </c>
      <c r="T179" s="7" t="s">
        <v>120</v>
      </c>
      <c r="U179" s="7" t="s">
        <v>147</v>
      </c>
      <c r="V179" s="7" t="s">
        <v>120</v>
      </c>
      <c r="W179" s="7" t="s">
        <v>147</v>
      </c>
      <c r="X179" s="7" t="s">
        <v>120</v>
      </c>
      <c r="Y179" s="7" t="s">
        <v>147</v>
      </c>
      <c r="Z179" s="972" t="s">
        <v>120</v>
      </c>
      <c r="AA179" s="972" t="s">
        <v>147</v>
      </c>
      <c r="AD179" s="504" t="s">
        <v>140</v>
      </c>
      <c r="AE179" s="504">
        <v>260.94117647058823</v>
      </c>
      <c r="AF179" s="504">
        <v>260.375</v>
      </c>
      <c r="AG179" s="504">
        <v>257.1764705882353</v>
      </c>
      <c r="AH179" s="504">
        <v>252.8235294117647</v>
      </c>
      <c r="AI179" s="504">
        <v>257.29411764705884</v>
      </c>
      <c r="AJ179" s="666">
        <v>260.375</v>
      </c>
      <c r="AK179" s="504">
        <v>257.1764705882353</v>
      </c>
      <c r="AL179" s="1013"/>
      <c r="AM179" s="504">
        <v>252.8235294117647</v>
      </c>
      <c r="AN179" s="841">
        <v>257.29411764705884</v>
      </c>
      <c r="AO179" s="27">
        <f>AVERAGEIF($C$36:$C$172,"=1",$R$36:$R$172)</f>
        <v>257.29411764705884</v>
      </c>
      <c r="AP179" s="27">
        <v>258.83333333333331</v>
      </c>
      <c r="AQ179" s="27">
        <v>262.29411764705884</v>
      </c>
      <c r="AR179" s="27">
        <v>263.22222222222223</v>
      </c>
      <c r="AS179" s="978">
        <v>265</v>
      </c>
    </row>
    <row r="180" spans="1:45" x14ac:dyDescent="0.2">
      <c r="E180" s="10" t="s">
        <v>0</v>
      </c>
      <c r="F180" s="10">
        <v>253</v>
      </c>
      <c r="G180" s="10">
        <v>255</v>
      </c>
      <c r="H180" s="10">
        <v>266</v>
      </c>
      <c r="I180" s="10">
        <v>37</v>
      </c>
      <c r="J180" s="10">
        <v>263</v>
      </c>
      <c r="K180" s="10">
        <v>39</v>
      </c>
      <c r="L180" s="10">
        <v>260</v>
      </c>
      <c r="M180" s="10">
        <v>41</v>
      </c>
      <c r="N180" s="10">
        <v>257</v>
      </c>
      <c r="O180" s="10">
        <v>42</v>
      </c>
      <c r="P180" s="10" t="s">
        <v>160</v>
      </c>
      <c r="Q180" s="10" t="s">
        <v>91</v>
      </c>
      <c r="R180" s="268">
        <v>257</v>
      </c>
      <c r="S180" s="268">
        <v>42</v>
      </c>
      <c r="T180" s="268">
        <v>262</v>
      </c>
      <c r="U180" s="268">
        <v>43</v>
      </c>
      <c r="V180" s="459">
        <v>262</v>
      </c>
      <c r="W180" s="459">
        <v>43</v>
      </c>
      <c r="X180" s="459">
        <v>265</v>
      </c>
      <c r="Y180" s="459">
        <v>44</v>
      </c>
      <c r="Z180" s="459" t="s">
        <v>958</v>
      </c>
      <c r="AA180" s="459">
        <v>45</v>
      </c>
      <c r="AD180" s="504" t="s">
        <v>141</v>
      </c>
      <c r="AE180" s="504">
        <v>268.45</v>
      </c>
      <c r="AF180" s="504">
        <v>265.63157894736844</v>
      </c>
      <c r="AG180" s="504">
        <v>262.89473684210526</v>
      </c>
      <c r="AH180" s="504">
        <v>262.64999999999998</v>
      </c>
      <c r="AI180" s="504">
        <v>259.125</v>
      </c>
      <c r="AJ180" s="666">
        <v>265.63157894736844</v>
      </c>
      <c r="AK180" s="504">
        <v>262.89473684210526</v>
      </c>
      <c r="AL180" s="1013"/>
      <c r="AM180" s="504">
        <v>262.64999999999998</v>
      </c>
      <c r="AN180" s="841">
        <v>259.125</v>
      </c>
      <c r="AO180" s="27">
        <f>AVERAGEIF($C$36:$C$172,"=2",$R$36:$R$172)</f>
        <v>257.45454545454544</v>
      </c>
      <c r="AP180" s="27">
        <v>266.72000000000003</v>
      </c>
      <c r="AQ180" s="27">
        <v>265.03846153846155</v>
      </c>
      <c r="AR180" s="27">
        <v>270.91666666666669</v>
      </c>
      <c r="AS180" s="978">
        <v>267</v>
      </c>
    </row>
    <row r="181" spans="1:45" x14ac:dyDescent="0.2">
      <c r="E181" s="27" t="s">
        <v>140</v>
      </c>
      <c r="F181" s="27">
        <f>AVERAGEIF($C$36:$C$172,"=1",$D$36:$D$172)</f>
        <v>255.1122596153846</v>
      </c>
      <c r="G181" s="27">
        <f>AVERAGEIF($C$36:$C$172,"=1",$F$36:$F$172)</f>
        <v>250.52740384615385</v>
      </c>
      <c r="H181" s="27">
        <f>AVERAGEIF(C36:C172,"=1",H36:H172)</f>
        <v>260.94117647058823</v>
      </c>
      <c r="I181" s="27">
        <f>AVERAGEIF(C36:C172,"=1",I36:I172)</f>
        <v>33.823529411764703</v>
      </c>
      <c r="J181" s="27">
        <f>AVERAGEIF(C36:C172,"=1",J36:J172)</f>
        <v>260.375</v>
      </c>
      <c r="K181" s="27">
        <f>AVERAGEIF(C36:C172,"=1",K36:K172)</f>
        <v>35.0625</v>
      </c>
      <c r="L181" s="27">
        <f>AVERAGEIF(C36:C172,"=1",L36:L172)</f>
        <v>257.1764705882353</v>
      </c>
      <c r="M181" s="27">
        <f>AVERAGEIF(C36:C172,"=1",M36:M172)</f>
        <v>37.235294117647058</v>
      </c>
      <c r="N181" s="27">
        <f>AVERAGEIF(C36:C172,"=1",N36:N172)</f>
        <v>252.8235294117647</v>
      </c>
      <c r="O181" s="27">
        <f>AVERAGEIF(C36:C172,"=1",O36:O172)</f>
        <v>37.764705882352942</v>
      </c>
      <c r="P181" s="27">
        <f>AVERAGEIF($C$36:$C$172,"=1",$P$36:$P$172)</f>
        <v>257.29411764705884</v>
      </c>
      <c r="Q181" s="27">
        <f>AVERAGEIF($C$36:$C$172,"=1",$Q$36:$Q$172)</f>
        <v>36.705882352941174</v>
      </c>
      <c r="R181" s="27">
        <f>AVERAGEIF($C$36:$C$172,"=1",$R$36:$R$172)</f>
        <v>257.29411764705884</v>
      </c>
      <c r="S181" s="27">
        <f>AVERAGEIF($C$36:$C$172,"=1",$T$36:$T$172)</f>
        <v>37.529411764705884</v>
      </c>
      <c r="T181" s="27">
        <v>258.83333333333331</v>
      </c>
      <c r="U181" s="27">
        <v>40.166666666666664</v>
      </c>
      <c r="V181" s="27">
        <v>262.29411764705884</v>
      </c>
      <c r="W181" s="27">
        <v>38.176470588235297</v>
      </c>
      <c r="X181" s="27">
        <v>263.22222222222223</v>
      </c>
      <c r="Y181" s="27">
        <v>39.611111111111114</v>
      </c>
      <c r="Z181" s="978">
        <v>265</v>
      </c>
      <c r="AA181" s="978">
        <v>40</v>
      </c>
      <c r="AD181" s="504" t="s">
        <v>142</v>
      </c>
      <c r="AE181" s="504">
        <v>269.4375</v>
      </c>
      <c r="AF181" s="504">
        <v>265.64705882352939</v>
      </c>
      <c r="AG181" s="504">
        <v>265.11764705882354</v>
      </c>
      <c r="AH181" s="504">
        <v>259.41176470588238</v>
      </c>
      <c r="AI181" s="504">
        <v>262.78947368421052</v>
      </c>
      <c r="AJ181" s="666">
        <v>265.64705882352939</v>
      </c>
      <c r="AK181" s="504">
        <v>265.11764705882354</v>
      </c>
      <c r="AL181" s="1013"/>
      <c r="AM181" s="504">
        <v>259.41176470588238</v>
      </c>
      <c r="AN181" s="841">
        <v>262.78947368421052</v>
      </c>
      <c r="AO181" s="27">
        <f>AVERAGEIF($C$36:$C$172,"=3",$R$36:$R$172)</f>
        <v>261.60000000000002</v>
      </c>
      <c r="AP181" s="27">
        <v>267.13636363636363</v>
      </c>
      <c r="AQ181" s="27">
        <v>267.09090909090907</v>
      </c>
      <c r="AR181" s="27">
        <v>269.31818181818181</v>
      </c>
      <c r="AS181" s="978">
        <v>272</v>
      </c>
    </row>
    <row r="182" spans="1:45" x14ac:dyDescent="0.2">
      <c r="A182" s="26"/>
      <c r="E182" s="27" t="s">
        <v>141</v>
      </c>
      <c r="F182" s="27">
        <f>AVERAGEIF($C$36:$C$172,"=2",$D$36:$D$172)</f>
        <v>259.49979757085015</v>
      </c>
      <c r="G182" s="27">
        <f>AVERAGEIF($C$36:$C$172,"=2",$F$36:$F$172)</f>
        <v>256.02692307692308</v>
      </c>
      <c r="H182" s="27">
        <f>AVERAGEIF(C36:C172,"=2",H36:H172)</f>
        <v>268.45</v>
      </c>
      <c r="I182" s="27">
        <f>AVERAGEIF(C36:C172,"=2",I36:I172)</f>
        <v>33.1</v>
      </c>
      <c r="J182" s="27">
        <f>AVERAGEIF(C36:C172,"=2",J36:J172)</f>
        <v>265.63157894736844</v>
      </c>
      <c r="K182" s="27">
        <f>AVERAGEIF(C36:C172,"=2",K36:K172)</f>
        <v>36</v>
      </c>
      <c r="L182" s="27">
        <f>AVERAGEIF(C36:C172,"=2",L36:L172)</f>
        <v>262.89473684210526</v>
      </c>
      <c r="M182" s="27">
        <f>AVERAGEIF(C36:C172,"=2",M36:M172)</f>
        <v>37.421052631578945</v>
      </c>
      <c r="N182" s="27">
        <f>AVERAGEIF(C36:C172,"=2",N36:N172)</f>
        <v>262.64999999999998</v>
      </c>
      <c r="O182" s="27">
        <f>AVERAGEIF(C36:C172,"=2",O36:O172)</f>
        <v>38.25</v>
      </c>
      <c r="P182" s="27">
        <f>AVERAGEIF($C$36:$C$172,"=2",$P$36:$P$172)</f>
        <v>259.125</v>
      </c>
      <c r="Q182" s="27">
        <f>AVERAGEIF($C$36:$C$172,"=2",$Q$36:$Q$172)</f>
        <v>32.083333333333336</v>
      </c>
      <c r="R182" s="27">
        <f>AVERAGEIF($C$36:$C$172,"=2",$R$36:$R$172)</f>
        <v>257.45454545454544</v>
      </c>
      <c r="S182" s="27">
        <f>AVERAGEIF($C$36:$C$172,"=2",$T$36:$T$172)</f>
        <v>35.863636363636367</v>
      </c>
      <c r="T182" s="27">
        <v>266.72000000000003</v>
      </c>
      <c r="U182" s="27">
        <v>37.880000000000003</v>
      </c>
      <c r="V182" s="27">
        <v>265.03846153846155</v>
      </c>
      <c r="W182" s="27">
        <v>37.730769230769234</v>
      </c>
      <c r="X182" s="27">
        <v>270.91666666666669</v>
      </c>
      <c r="Y182" s="27">
        <v>39.791666666666664</v>
      </c>
      <c r="Z182" s="978">
        <v>267</v>
      </c>
      <c r="AA182" s="978">
        <v>37</v>
      </c>
      <c r="AD182" s="504" t="s">
        <v>143</v>
      </c>
      <c r="AE182" s="504">
        <v>248.28571428571428</v>
      </c>
      <c r="AF182" s="504">
        <v>255.13333333333333</v>
      </c>
      <c r="AG182" s="504">
        <v>251.46666666666667</v>
      </c>
      <c r="AH182" s="504">
        <v>244.78571428571428</v>
      </c>
      <c r="AI182" s="504">
        <v>241.84615384615384</v>
      </c>
      <c r="AJ182" s="666">
        <v>255.13333333333333</v>
      </c>
      <c r="AK182" s="504">
        <v>251.46666666666667</v>
      </c>
      <c r="AL182" s="1013"/>
      <c r="AM182" s="504">
        <v>244.78571428571428</v>
      </c>
      <c r="AN182" s="841">
        <v>241.84615384615384</v>
      </c>
      <c r="AO182" s="27">
        <f>AVERAGEIF($C$36:$C$172,"=4",$R$36:$R$172)</f>
        <v>243.85714285714286</v>
      </c>
      <c r="AP182" s="27">
        <v>249.64285714285714</v>
      </c>
      <c r="AQ182" s="27">
        <v>245.2</v>
      </c>
      <c r="AR182" s="27">
        <v>254</v>
      </c>
      <c r="AS182" s="979">
        <v>260</v>
      </c>
    </row>
    <row r="183" spans="1:45" x14ac:dyDescent="0.2">
      <c r="D183" s="32"/>
      <c r="E183" s="27" t="s">
        <v>142</v>
      </c>
      <c r="F183" s="27">
        <f>AVERAGEIF($C$36:$C$172,"=3",$D$36:$D$172)</f>
        <v>259.16615384615386</v>
      </c>
      <c r="G183" s="27">
        <f>AVERAGEIF($C$36:$C$172,"=3",$F$36:$F$172)</f>
        <v>256.83769230769235</v>
      </c>
      <c r="H183" s="27">
        <f>AVERAGEIF(C36:C172,"=3",H36:H172)</f>
        <v>268.22222222222223</v>
      </c>
      <c r="I183" s="27">
        <f>AVERAGEIF(C36:C172,"=3",I36:I172)</f>
        <v>35.5</v>
      </c>
      <c r="J183" s="27">
        <f>AVERAGEIF(C36:C172,"=3",J36:J172)</f>
        <v>265.26315789473682</v>
      </c>
      <c r="K183" s="27">
        <f>AVERAGEIF(C36:C172,"=3",K36:K172)</f>
        <v>36.789473684210527</v>
      </c>
      <c r="L183" s="27">
        <f>AVERAGEIF(C36:C172,"=3",L36:L172)</f>
        <v>264.57894736842104</v>
      </c>
      <c r="M183" s="27">
        <f>AVERAGEIF(C36:C172,"=3",M36:M172)</f>
        <v>38.10526315789474</v>
      </c>
      <c r="N183" s="27">
        <f>AVERAGEIF(C36:C172,"=3",N36:N172)</f>
        <v>258.73684210526318</v>
      </c>
      <c r="O183" s="27">
        <f>AVERAGEIF(C36:C172,"=3",O36:O172)</f>
        <v>38.736842105263158</v>
      </c>
      <c r="P183" s="27">
        <f>AVERAGEIF($C$36:$C$172,"=3",$P$36:$P$172)</f>
        <v>262.75</v>
      </c>
      <c r="Q183" s="27">
        <f>AVERAGEIF($C$36:$C$172,"=3",$Q$36:$Q$172)</f>
        <v>36.1</v>
      </c>
      <c r="R183" s="27">
        <f>AVERAGEIF($C$36:$C$172,"=3",$R$36:$R$172)</f>
        <v>261.60000000000002</v>
      </c>
      <c r="S183" s="27">
        <f>AVERAGEIF($C$36:$C$172,"=3",$T$36:$T$172)</f>
        <v>38.200000000000003</v>
      </c>
      <c r="T183" s="27">
        <v>267.13636363636363</v>
      </c>
      <c r="U183" s="27">
        <v>39.636363636363633</v>
      </c>
      <c r="V183" s="27">
        <v>267.09090909090907</v>
      </c>
      <c r="W183" s="27">
        <v>39.227272727272727</v>
      </c>
      <c r="X183" s="27">
        <v>269.31818181818181</v>
      </c>
      <c r="Y183" s="27">
        <v>39.909090909090907</v>
      </c>
      <c r="Z183" s="978">
        <v>272</v>
      </c>
      <c r="AA183" s="978">
        <v>41</v>
      </c>
      <c r="AD183" s="504" t="s">
        <v>144</v>
      </c>
      <c r="AE183" s="504">
        <v>276.1764705882353</v>
      </c>
      <c r="AF183" s="504">
        <v>275.47058823529414</v>
      </c>
      <c r="AG183" s="504">
        <v>271.5</v>
      </c>
      <c r="AH183" s="504">
        <v>268.31578947368422</v>
      </c>
      <c r="AI183" s="504">
        <v>272</v>
      </c>
      <c r="AJ183" s="666">
        <v>275.47058823529414</v>
      </c>
      <c r="AK183" s="504">
        <v>271.5</v>
      </c>
      <c r="AL183" s="1013"/>
      <c r="AM183" s="504">
        <v>268.31578947368422</v>
      </c>
      <c r="AN183" s="841">
        <v>272</v>
      </c>
      <c r="AO183" s="27">
        <f>AVERAGEIF($C$36:$C$172,"=5",$R$36:$R$172)</f>
        <v>270.44444444444446</v>
      </c>
      <c r="AP183" s="27">
        <v>276.64705882352939</v>
      </c>
      <c r="AQ183" s="27">
        <v>278.11764705882354</v>
      </c>
      <c r="AR183" s="27">
        <v>273.66666666666669</v>
      </c>
      <c r="AS183" s="979">
        <v>278</v>
      </c>
    </row>
    <row r="184" spans="1:45" x14ac:dyDescent="0.2">
      <c r="A184" s="26"/>
      <c r="D184" s="32"/>
      <c r="E184" s="27" t="s">
        <v>143</v>
      </c>
      <c r="F184" s="27">
        <f>AVERAGEIF($C$36:$C$172,"=4",$D$36:$D$172)</f>
        <v>237.49589743589743</v>
      </c>
      <c r="G184" s="27">
        <f>AVERAGEIF($C$36:$C$172,"=4",$F$36:$F$172)</f>
        <v>241.06085972850676</v>
      </c>
      <c r="H184" s="27">
        <f>AVERAGEIF(C36:C172,"=4",H36:H172)</f>
        <v>248.28571428571428</v>
      </c>
      <c r="I184" s="27">
        <f>AVERAGEIF(C36:C172,"=4",I36:I172)</f>
        <v>34</v>
      </c>
      <c r="J184" s="27">
        <f>AVERAGEIF(C36:C172,"=4",J36:J172)</f>
        <v>255.13333333333333</v>
      </c>
      <c r="K184" s="27">
        <f>AVERAGEIF(C36:C172,"=4",K36:K172)</f>
        <v>33.133333333333333</v>
      </c>
      <c r="L184" s="27">
        <f>AVERAGEIF(C36:C172,"=4",L36:L172)</f>
        <v>251.46666666666667</v>
      </c>
      <c r="M184" s="27">
        <f>AVERAGEIF(C36:C172,"=4",M36:M172)</f>
        <v>34.06666666666667</v>
      </c>
      <c r="N184" s="27">
        <f>AVERAGEIF(C36:C172,"=4",N36:N172)</f>
        <v>244.78571428571428</v>
      </c>
      <c r="O184" s="27">
        <f>AVERAGEIF(C36:C172,"=4",O36:O172)</f>
        <v>37.642857142857146</v>
      </c>
      <c r="P184" s="27">
        <f>AVERAGEIF($C$36:$C$172,"=4",$P$36:$P$172)</f>
        <v>241.84615384615384</v>
      </c>
      <c r="Q184" s="27">
        <f>AVERAGEIF($C$36:$C$172,"=4",$Q$36:$Q$172)</f>
        <v>36.46153846153846</v>
      </c>
      <c r="R184" s="27">
        <f>AVERAGEIF($C$36:$C$172,"=4",$R$36:$R$172)</f>
        <v>243.85714285714286</v>
      </c>
      <c r="S184" s="27">
        <f>AVERAGEIF($C$36:$C$172,"=4",$T$36:$T$172)</f>
        <v>36.142857142857146</v>
      </c>
      <c r="T184" s="27">
        <v>249.64285714285714</v>
      </c>
      <c r="U184" s="27">
        <v>39</v>
      </c>
      <c r="V184" s="27">
        <v>245.2</v>
      </c>
      <c r="W184" s="27">
        <v>38.133333333333333</v>
      </c>
      <c r="X184" s="27">
        <v>254</v>
      </c>
      <c r="Y184" s="27">
        <v>39.53846153846154</v>
      </c>
      <c r="Z184" s="979">
        <v>260</v>
      </c>
      <c r="AA184" s="979">
        <v>40</v>
      </c>
      <c r="AD184" s="504" t="s">
        <v>145</v>
      </c>
      <c r="AE184" s="504">
        <v>267.13333333333333</v>
      </c>
      <c r="AF184" s="504">
        <v>258.86666666666667</v>
      </c>
      <c r="AG184" s="504">
        <v>260.07142857142856</v>
      </c>
      <c r="AH184" s="504">
        <v>259</v>
      </c>
      <c r="AI184" s="504">
        <v>252.94117647058823</v>
      </c>
      <c r="AJ184" s="666">
        <v>258.86666666666667</v>
      </c>
      <c r="AK184" s="504">
        <v>260.07142857142856</v>
      </c>
      <c r="AL184" s="1013"/>
      <c r="AM184" s="504">
        <v>259</v>
      </c>
      <c r="AN184" s="841">
        <v>252.94117647058823</v>
      </c>
      <c r="AO184" s="27">
        <f>AVERAGEIF($C$36:$C$172,"=6",$R$36:$R$172)</f>
        <v>255.58823529411765</v>
      </c>
      <c r="AP184" s="27">
        <v>258.31578947368422</v>
      </c>
      <c r="AQ184" s="27">
        <v>264.3</v>
      </c>
      <c r="AR184" s="27">
        <v>264.83333333333331</v>
      </c>
      <c r="AS184" s="979">
        <v>270</v>
      </c>
    </row>
    <row r="185" spans="1:45" x14ac:dyDescent="0.2">
      <c r="A185" s="26"/>
      <c r="D185" s="32"/>
      <c r="E185" s="27" t="s">
        <v>144</v>
      </c>
      <c r="F185" s="27">
        <f>AVERAGEIF($C$36:$C$172,"=5",$D$36:$D$172)</f>
        <v>267.17564102564103</v>
      </c>
      <c r="G185" s="27">
        <f>AVERAGEIF($C$36:$C$172,"=5",$F$36:$F$172)</f>
        <v>267.14663461538464</v>
      </c>
      <c r="H185" s="27">
        <f>AVERAGEIF(C36:C172,"=5",H36:H172)</f>
        <v>276.1764705882353</v>
      </c>
      <c r="I185" s="27">
        <f>AVERAGEIF(C36:C172,"=5",I36:I172)</f>
        <v>33.941176470588232</v>
      </c>
      <c r="J185" s="27">
        <f>AVERAGEIF(C36:C172,"=5",J36:J172)</f>
        <v>275.47058823529414</v>
      </c>
      <c r="K185" s="27">
        <f>AVERAGEIF(C36:C172,"=5",K36:K172)</f>
        <v>35.705882352941174</v>
      </c>
      <c r="L185" s="27">
        <f>AVERAGEIF(C36:C172,"=5",L36:L172)</f>
        <v>271.5</v>
      </c>
      <c r="M185" s="27">
        <f>AVERAGEIF(C36:C172,"=5",M36:M172)</f>
        <v>36.277777777777779</v>
      </c>
      <c r="N185" s="27">
        <f>AVERAGEIF(C36:C172,"=5",N36:N172)</f>
        <v>268.31578947368422</v>
      </c>
      <c r="O185" s="27">
        <f>AVERAGEIF(C36:C172,"=5",O36:O172)</f>
        <v>37.05263157894737</v>
      </c>
      <c r="P185" s="27">
        <f>AVERAGEIF($C$36:$C$172,"=5",$P$36:$P$172)</f>
        <v>272</v>
      </c>
      <c r="Q185" s="27">
        <f>AVERAGEIF($C$36:$C$172,"=5",$Q$36:$Q$172)</f>
        <v>34.444444444444443</v>
      </c>
      <c r="R185" s="27">
        <f>AVERAGEIF($C$36:$C$172,"=5",$R$36:$R$172)</f>
        <v>270.44444444444446</v>
      </c>
      <c r="S185" s="27">
        <f>AVERAGEIF($C$36:$C$172,"=5",$T$36:$T$172)</f>
        <v>38.611111111111114</v>
      </c>
      <c r="T185" s="27">
        <v>276.64705882352939</v>
      </c>
      <c r="U185" s="27">
        <v>37.294117647058826</v>
      </c>
      <c r="V185" s="27">
        <v>278.11764705882354</v>
      </c>
      <c r="W185" s="27">
        <v>38.941176470588232</v>
      </c>
      <c r="X185" s="27">
        <v>273.66666666666669</v>
      </c>
      <c r="Y185" s="27">
        <v>38.277777777777779</v>
      </c>
      <c r="Z185" s="979">
        <v>278</v>
      </c>
      <c r="AA185" s="979">
        <v>42</v>
      </c>
    </row>
    <row r="186" spans="1:45" x14ac:dyDescent="0.2">
      <c r="A186" s="26"/>
      <c r="D186" s="32"/>
      <c r="E186" s="27" t="s">
        <v>145</v>
      </c>
      <c r="F186" s="27">
        <f>AVERAGEIF($C$36:$C$172,"=6",$D$36:$D$172)</f>
        <v>256.91706730769238</v>
      </c>
      <c r="G186" s="27">
        <f>AVERAGEIF($C$36:$C$172,"=6",$F$36:$F$172)</f>
        <v>256.44615384615383</v>
      </c>
      <c r="H186" s="27">
        <f>AVERAGEIF(C36:C172,"=6",H36:H172)</f>
        <v>267.13333333333333</v>
      </c>
      <c r="I186" s="27">
        <f>AVERAGEIF(C36:C172,"=6",I36:I172)</f>
        <v>31.928571428571427</v>
      </c>
      <c r="J186" s="27">
        <f>AVERAGEIF(C36:C172,"=6",J36:J172)</f>
        <v>258.86666666666667</v>
      </c>
      <c r="K186" s="27">
        <f>AVERAGEIF(C36:C172,"=6",K36:K172)</f>
        <v>39</v>
      </c>
      <c r="L186" s="27">
        <f>AVERAGEIF(C36:C172,"=6",L36:L172)</f>
        <v>260.07142857142856</v>
      </c>
      <c r="M186" s="27">
        <f>AVERAGEIF(C36:C172,"=6",M36:M172)</f>
        <v>38.785714285714285</v>
      </c>
      <c r="N186" s="27">
        <f>AVERAGEIF(C36:C172,"=6",N36:N172)</f>
        <v>259</v>
      </c>
      <c r="O186" s="27">
        <f>AVERAGEIF(C36:C172,"=6",O36:O172)</f>
        <v>40.866666666666667</v>
      </c>
      <c r="P186" s="27">
        <f>AVERAGEIF($C$36:$C$172,"=6",$P$36:$P$172)</f>
        <v>252.94117647058823</v>
      </c>
      <c r="Q186" s="27">
        <f>AVERAGEIF($C$36:$C$172,"=6",$Q$36:$Q$172)</f>
        <v>35.117647058823529</v>
      </c>
      <c r="R186" s="27">
        <f>AVERAGEIF($C$36:$C$172,"=6",$R$36:$R$172)</f>
        <v>255.58823529411765</v>
      </c>
      <c r="S186" s="27">
        <f>AVERAGEIF($C$36:$C$172,"=6",$T$36:$T$172)</f>
        <v>34.411764705882355</v>
      </c>
      <c r="T186" s="27">
        <v>258.31578947368422</v>
      </c>
      <c r="U186" s="27">
        <v>41.368421052631582</v>
      </c>
      <c r="V186" s="27">
        <v>264.3</v>
      </c>
      <c r="W186" s="27">
        <v>36.15</v>
      </c>
      <c r="X186" s="27">
        <v>264.83333333333331</v>
      </c>
      <c r="Y186" s="27">
        <v>41.055555555555557</v>
      </c>
      <c r="Z186" s="979">
        <v>270</v>
      </c>
      <c r="AA186" s="979">
        <v>40</v>
      </c>
    </row>
    <row r="187" spans="1:45" x14ac:dyDescent="0.2">
      <c r="A187" s="26"/>
      <c r="D187" s="32"/>
      <c r="E187" s="32"/>
      <c r="F187" s="32"/>
      <c r="G187" s="504"/>
      <c r="H187" s="32"/>
      <c r="I187" s="32"/>
      <c r="J187" s="32"/>
      <c r="K187" s="32"/>
      <c r="L187" s="32"/>
      <c r="M187" s="32"/>
      <c r="N187" s="32"/>
      <c r="O187" s="32"/>
      <c r="P187" s="32"/>
      <c r="Q187" s="32"/>
      <c r="R187" s="32"/>
      <c r="S187" s="32"/>
      <c r="T187" s="32"/>
      <c r="U187" s="32"/>
      <c r="V187" s="32"/>
      <c r="W187" s="32"/>
      <c r="X187" s="32"/>
      <c r="Y187" s="32"/>
      <c r="AB187" s="32"/>
      <c r="AC187" s="32"/>
      <c r="AD187" s="32"/>
      <c r="AE187" s="32"/>
      <c r="AF187" s="32"/>
      <c r="AG187" s="32"/>
      <c r="AH187" s="69"/>
      <c r="AI187" s="32"/>
      <c r="AJ187" s="32"/>
      <c r="AK187" s="842"/>
      <c r="AL187" s="842"/>
    </row>
    <row r="188" spans="1:45" x14ac:dyDescent="0.2">
      <c r="A188" s="26"/>
      <c r="D188" s="32"/>
      <c r="E188" s="32"/>
      <c r="F188" s="32"/>
      <c r="G188" s="504"/>
      <c r="H188" s="32"/>
      <c r="I188" s="32"/>
      <c r="J188" s="32"/>
      <c r="K188" s="32"/>
      <c r="L188" s="32"/>
      <c r="M188" s="32"/>
      <c r="N188" s="32"/>
      <c r="O188" s="32"/>
      <c r="P188" s="32"/>
      <c r="Q188" s="32"/>
      <c r="R188" s="32"/>
      <c r="S188" s="32"/>
      <c r="T188" s="32"/>
      <c r="U188" s="32"/>
      <c r="V188" s="32"/>
      <c r="W188" s="32"/>
      <c r="X188" s="32"/>
      <c r="Y188" s="32"/>
      <c r="AB188" s="32"/>
      <c r="AC188" s="32"/>
      <c r="AD188" s="32"/>
      <c r="AE188" s="32"/>
      <c r="AF188" s="32"/>
      <c r="AG188" s="32"/>
      <c r="AH188" s="69"/>
      <c r="AI188" s="32"/>
      <c r="AJ188" s="32"/>
      <c r="AK188" s="842"/>
      <c r="AL188" s="842"/>
    </row>
    <row r="189" spans="1:45" x14ac:dyDescent="0.2">
      <c r="A189" s="26"/>
      <c r="D189" s="32"/>
      <c r="E189" s="32"/>
      <c r="F189" s="32"/>
      <c r="G189" s="504"/>
      <c r="H189" s="32"/>
      <c r="I189" s="32"/>
      <c r="J189" s="32"/>
      <c r="K189" s="32"/>
      <c r="L189" s="32"/>
      <c r="M189" s="32"/>
      <c r="N189" s="32"/>
      <c r="O189" s="32"/>
      <c r="P189" s="32"/>
      <c r="Q189" s="32"/>
      <c r="R189" s="32"/>
      <c r="S189" s="32"/>
      <c r="T189" s="32"/>
      <c r="U189" s="32"/>
      <c r="V189" s="32"/>
      <c r="W189" s="32"/>
      <c r="X189" s="32"/>
      <c r="Y189" s="32"/>
      <c r="AB189" s="32"/>
      <c r="AC189" s="32"/>
      <c r="AD189" s="32"/>
      <c r="AE189" s="32"/>
      <c r="AF189" s="32"/>
      <c r="AG189" s="32"/>
      <c r="AH189" s="69"/>
      <c r="AI189" s="32"/>
      <c r="AJ189" s="32"/>
      <c r="AK189" s="842"/>
      <c r="AL189" s="842"/>
    </row>
    <row r="190" spans="1:45" x14ac:dyDescent="0.2">
      <c r="A190" s="26"/>
      <c r="D190" s="32"/>
      <c r="E190" s="32"/>
      <c r="F190" s="32"/>
      <c r="G190" s="504"/>
      <c r="H190" s="32"/>
      <c r="I190" s="32"/>
      <c r="J190" s="32"/>
      <c r="K190" s="32"/>
      <c r="L190" s="32"/>
      <c r="M190" s="32"/>
      <c r="N190" s="32"/>
      <c r="O190" s="32"/>
      <c r="P190" s="32"/>
      <c r="Q190" s="32"/>
      <c r="R190" s="32"/>
      <c r="S190" s="32"/>
      <c r="T190" s="32"/>
      <c r="U190" s="32"/>
      <c r="V190" s="32"/>
      <c r="W190" s="32"/>
      <c r="X190" s="32"/>
      <c r="Y190" s="32"/>
      <c r="AB190" s="32"/>
      <c r="AC190" s="32"/>
      <c r="AD190" s="32"/>
      <c r="AE190" s="32"/>
      <c r="AF190" s="32"/>
      <c r="AG190" s="32"/>
      <c r="AH190" s="69"/>
      <c r="AI190" s="32"/>
      <c r="AJ190" s="32"/>
      <c r="AK190" s="842"/>
      <c r="AL190" s="842"/>
    </row>
    <row r="191" spans="1:45" x14ac:dyDescent="0.2">
      <c r="A191" s="26"/>
      <c r="D191" s="32"/>
      <c r="E191" s="32"/>
      <c r="F191" s="32"/>
      <c r="G191" s="504"/>
      <c r="H191" s="32"/>
      <c r="I191" s="32"/>
      <c r="J191" s="32"/>
      <c r="K191" s="32"/>
      <c r="L191" s="32"/>
      <c r="M191" s="32"/>
      <c r="N191" s="32"/>
      <c r="O191" s="32"/>
      <c r="P191" s="32"/>
      <c r="Q191" s="32"/>
      <c r="R191" s="32"/>
      <c r="S191" s="32"/>
      <c r="T191" s="32"/>
      <c r="U191" s="32"/>
      <c r="V191" s="32"/>
      <c r="W191" s="32"/>
      <c r="X191" s="32"/>
      <c r="Y191" s="32"/>
      <c r="AB191" s="32"/>
      <c r="AC191" s="32"/>
      <c r="AD191" s="32"/>
      <c r="AE191" s="32"/>
      <c r="AF191" s="32"/>
      <c r="AG191" s="32"/>
      <c r="AH191" s="69"/>
      <c r="AI191" s="32"/>
      <c r="AJ191" s="32"/>
      <c r="AK191" s="842"/>
      <c r="AL191" s="842"/>
    </row>
    <row r="192" spans="1:45" x14ac:dyDescent="0.2">
      <c r="A192" s="26"/>
      <c r="D192" s="32"/>
      <c r="E192" s="32"/>
      <c r="F192" s="32"/>
      <c r="G192" s="504"/>
      <c r="H192" s="32"/>
      <c r="I192" s="32"/>
      <c r="J192" s="32"/>
      <c r="K192" s="32"/>
      <c r="L192" s="32"/>
      <c r="M192" s="32"/>
      <c r="N192" s="32"/>
      <c r="O192" s="32"/>
      <c r="P192" s="32"/>
      <c r="Q192" s="32"/>
      <c r="R192" s="32"/>
      <c r="S192" s="32"/>
      <c r="T192" s="32"/>
      <c r="U192" s="32"/>
      <c r="V192" s="32"/>
      <c r="W192" s="32"/>
      <c r="X192" s="32"/>
      <c r="Y192" s="32"/>
      <c r="AB192" s="32"/>
      <c r="AC192" s="32"/>
      <c r="AD192" s="32"/>
      <c r="AE192" s="32"/>
      <c r="AF192" s="32"/>
      <c r="AG192" s="32"/>
      <c r="AH192" s="69"/>
      <c r="AI192" s="32"/>
      <c r="AJ192" s="32"/>
      <c r="AK192" s="842"/>
      <c r="AL192" s="842"/>
    </row>
    <row r="193" spans="1:38" x14ac:dyDescent="0.2">
      <c r="A193" s="26"/>
      <c r="D193" s="32"/>
      <c r="E193" s="32"/>
      <c r="F193" s="32"/>
      <c r="G193" s="504"/>
      <c r="H193" s="32"/>
      <c r="I193" s="32"/>
      <c r="J193" s="32"/>
      <c r="K193" s="32"/>
      <c r="L193" s="32"/>
      <c r="M193" s="32"/>
      <c r="N193" s="32"/>
      <c r="O193" s="32"/>
      <c r="P193" s="32"/>
      <c r="Q193" s="32"/>
      <c r="R193" s="32"/>
      <c r="S193" s="32"/>
      <c r="T193" s="32"/>
      <c r="U193" s="32"/>
      <c r="V193" s="32"/>
      <c r="W193" s="32"/>
      <c r="X193" s="32"/>
      <c r="Y193" s="32"/>
      <c r="AB193" s="32"/>
      <c r="AC193" s="32"/>
      <c r="AD193" s="32"/>
      <c r="AE193" s="32"/>
      <c r="AF193" s="32"/>
      <c r="AG193" s="32"/>
      <c r="AH193" s="69"/>
      <c r="AI193" s="32"/>
      <c r="AJ193" s="32"/>
      <c r="AK193" s="842"/>
      <c r="AL193" s="842"/>
    </row>
    <row r="194" spans="1:38" x14ac:dyDescent="0.2">
      <c r="A194" s="26"/>
      <c r="D194" s="32"/>
      <c r="E194" s="32"/>
      <c r="F194" s="32"/>
      <c r="G194" s="504"/>
      <c r="H194" s="32"/>
      <c r="I194" s="32"/>
      <c r="J194" s="32"/>
      <c r="K194" s="32"/>
      <c r="L194" s="32"/>
      <c r="M194" s="32"/>
      <c r="N194" s="32"/>
      <c r="O194" s="32"/>
      <c r="P194" s="32"/>
      <c r="Q194" s="32"/>
      <c r="R194" s="32"/>
      <c r="S194" s="32"/>
      <c r="T194" s="32"/>
      <c r="U194" s="32"/>
      <c r="V194" s="32"/>
      <c r="W194" s="32"/>
      <c r="X194" s="32"/>
      <c r="Y194" s="32"/>
      <c r="AB194" s="32"/>
      <c r="AC194" s="32"/>
      <c r="AD194" s="32"/>
      <c r="AE194" s="32"/>
      <c r="AF194" s="32"/>
      <c r="AG194" s="32"/>
      <c r="AH194" s="69"/>
      <c r="AI194" s="32"/>
      <c r="AJ194" s="32"/>
      <c r="AK194" s="842"/>
      <c r="AL194" s="842"/>
    </row>
    <row r="195" spans="1:38" x14ac:dyDescent="0.2">
      <c r="A195" s="26"/>
      <c r="D195" s="32"/>
      <c r="E195" s="32"/>
      <c r="F195" s="32"/>
      <c r="G195" s="504"/>
      <c r="H195" s="32"/>
      <c r="I195" s="32"/>
      <c r="J195" s="32"/>
      <c r="K195" s="32"/>
      <c r="L195" s="32"/>
      <c r="M195" s="32"/>
      <c r="N195" s="32"/>
      <c r="O195" s="32"/>
      <c r="P195" s="32"/>
      <c r="Q195" s="32"/>
      <c r="R195" s="32"/>
      <c r="S195" s="32"/>
      <c r="T195" s="32"/>
      <c r="U195" s="32"/>
      <c r="V195" s="32"/>
      <c r="W195" s="32"/>
      <c r="X195" s="32"/>
      <c r="Y195" s="32"/>
      <c r="AB195" s="32"/>
      <c r="AC195" s="32"/>
      <c r="AD195" s="32"/>
      <c r="AE195" s="32"/>
      <c r="AF195" s="32"/>
      <c r="AG195" s="32"/>
      <c r="AH195" s="69"/>
      <c r="AI195" s="32"/>
      <c r="AJ195" s="32"/>
      <c r="AK195" s="842"/>
      <c r="AL195" s="842"/>
    </row>
    <row r="196" spans="1:38" x14ac:dyDescent="0.2">
      <c r="A196" s="26"/>
      <c r="D196" s="32"/>
      <c r="E196" s="32"/>
      <c r="F196" s="32"/>
      <c r="G196" s="504"/>
      <c r="H196" s="32"/>
      <c r="I196" s="32"/>
      <c r="J196" s="32"/>
      <c r="K196" s="32"/>
      <c r="L196" s="32"/>
      <c r="M196" s="32"/>
      <c r="N196" s="32"/>
      <c r="O196" s="32"/>
      <c r="P196" s="32"/>
      <c r="Q196" s="32"/>
      <c r="R196" s="32"/>
      <c r="S196" s="32"/>
      <c r="T196" s="32"/>
      <c r="U196" s="32"/>
      <c r="V196" s="32"/>
      <c r="W196" s="32"/>
      <c r="X196" s="32"/>
      <c r="Y196" s="32"/>
      <c r="AB196" s="32"/>
      <c r="AC196" s="32"/>
      <c r="AD196" s="32"/>
      <c r="AE196" s="32"/>
      <c r="AF196" s="32"/>
      <c r="AG196" s="32"/>
      <c r="AH196" s="69"/>
      <c r="AI196" s="32"/>
      <c r="AJ196" s="32"/>
      <c r="AK196" s="842"/>
      <c r="AL196" s="842"/>
    </row>
    <row r="197" spans="1:38" x14ac:dyDescent="0.2">
      <c r="A197" s="26"/>
      <c r="D197" s="32"/>
      <c r="E197" s="32"/>
      <c r="F197" s="32"/>
      <c r="G197" s="504"/>
      <c r="H197" s="32"/>
      <c r="I197" s="32"/>
      <c r="J197" s="32"/>
      <c r="K197" s="32"/>
      <c r="L197" s="32"/>
      <c r="M197" s="32"/>
      <c r="N197" s="32"/>
      <c r="O197" s="32"/>
      <c r="P197" s="32"/>
      <c r="Q197" s="32"/>
      <c r="R197" s="32"/>
      <c r="S197" s="32"/>
      <c r="T197" s="32"/>
      <c r="U197" s="32"/>
      <c r="V197" s="32"/>
      <c r="W197" s="32"/>
      <c r="X197" s="32"/>
      <c r="Y197" s="32"/>
      <c r="AB197" s="32"/>
      <c r="AC197" s="32"/>
      <c r="AD197" s="32"/>
      <c r="AE197" s="32"/>
      <c r="AF197" s="32"/>
      <c r="AG197" s="32"/>
      <c r="AH197" s="69"/>
      <c r="AI197" s="32"/>
      <c r="AJ197" s="32"/>
      <c r="AK197" s="842"/>
      <c r="AL197" s="842"/>
    </row>
    <row r="198" spans="1:38" x14ac:dyDescent="0.2">
      <c r="A198" s="26"/>
      <c r="D198" s="32"/>
      <c r="E198" s="32"/>
      <c r="F198" s="32"/>
      <c r="G198" s="504"/>
      <c r="H198" s="32"/>
      <c r="I198" s="32"/>
      <c r="J198" s="32"/>
      <c r="K198" s="32"/>
      <c r="L198" s="32"/>
      <c r="M198" s="32"/>
      <c r="N198" s="32"/>
      <c r="O198" s="32"/>
      <c r="P198" s="32"/>
      <c r="Q198" s="32"/>
      <c r="R198" s="32"/>
      <c r="S198" s="32"/>
      <c r="T198" s="32"/>
      <c r="U198" s="32"/>
      <c r="V198" s="32"/>
      <c r="W198" s="32"/>
      <c r="X198" s="32"/>
      <c r="Y198" s="32"/>
      <c r="AB198" s="32"/>
      <c r="AC198" s="32"/>
      <c r="AD198" s="32"/>
      <c r="AE198" s="32"/>
      <c r="AF198" s="32"/>
      <c r="AG198" s="32"/>
      <c r="AH198" s="69"/>
      <c r="AI198" s="32"/>
      <c r="AJ198" s="32"/>
      <c r="AK198" s="842"/>
      <c r="AL198" s="842"/>
    </row>
    <row r="199" spans="1:38" x14ac:dyDescent="0.2">
      <c r="A199" s="26"/>
      <c r="D199" s="32"/>
      <c r="E199" s="32"/>
      <c r="F199" s="32"/>
      <c r="G199" s="504"/>
      <c r="H199" s="32"/>
      <c r="I199" s="32"/>
      <c r="J199" s="32"/>
      <c r="K199" s="32"/>
      <c r="L199" s="32"/>
      <c r="M199" s="32"/>
      <c r="N199" s="32"/>
      <c r="O199" s="32"/>
      <c r="P199" s="32"/>
      <c r="Q199" s="32"/>
      <c r="R199" s="32"/>
      <c r="S199" s="32"/>
      <c r="T199" s="32"/>
      <c r="U199" s="32"/>
      <c r="V199" s="32"/>
      <c r="W199" s="32"/>
      <c r="X199" s="32"/>
      <c r="Y199" s="32"/>
      <c r="AB199" s="32"/>
      <c r="AC199" s="32"/>
      <c r="AD199" s="32"/>
      <c r="AE199" s="32"/>
      <c r="AF199" s="32"/>
      <c r="AG199" s="32"/>
      <c r="AH199" s="69"/>
      <c r="AI199" s="32"/>
      <c r="AJ199" s="32"/>
      <c r="AK199" s="842"/>
      <c r="AL199" s="842"/>
    </row>
    <row r="200" spans="1:38" x14ac:dyDescent="0.2">
      <c r="A200" s="26"/>
      <c r="D200" s="32"/>
      <c r="E200" s="32"/>
      <c r="F200" s="32"/>
      <c r="G200" s="504"/>
      <c r="H200" s="32"/>
      <c r="I200" s="32"/>
      <c r="J200" s="32"/>
      <c r="K200" s="32"/>
      <c r="L200" s="32"/>
      <c r="M200" s="32"/>
      <c r="N200" s="32"/>
      <c r="O200" s="32"/>
      <c r="P200" s="32"/>
      <c r="Q200" s="32"/>
      <c r="R200" s="32"/>
      <c r="S200" s="32"/>
      <c r="T200" s="32"/>
      <c r="U200" s="32"/>
      <c r="V200" s="32"/>
      <c r="W200" s="32"/>
      <c r="X200" s="32"/>
      <c r="Y200" s="32"/>
      <c r="AB200" s="32"/>
      <c r="AC200" s="32"/>
      <c r="AD200" s="32"/>
      <c r="AE200" s="32"/>
      <c r="AF200" s="32"/>
      <c r="AG200" s="32"/>
      <c r="AH200" s="69"/>
      <c r="AI200" s="32"/>
      <c r="AJ200" s="32"/>
      <c r="AK200" s="842"/>
      <c r="AL200" s="842"/>
    </row>
    <row r="201" spans="1:38" x14ac:dyDescent="0.2">
      <c r="A201" s="26"/>
      <c r="D201" s="32"/>
      <c r="E201" s="32"/>
      <c r="F201" s="32"/>
      <c r="G201" s="504"/>
      <c r="H201" s="32"/>
      <c r="I201" s="32"/>
      <c r="J201" s="32"/>
      <c r="K201" s="32"/>
      <c r="L201" s="32"/>
      <c r="M201" s="32"/>
      <c r="N201" s="32"/>
      <c r="O201" s="32"/>
      <c r="P201" s="32"/>
      <c r="Q201" s="32"/>
      <c r="R201" s="32"/>
      <c r="S201" s="32"/>
      <c r="T201" s="32"/>
      <c r="U201" s="32"/>
      <c r="V201" s="32"/>
      <c r="W201" s="32"/>
      <c r="X201" s="32"/>
      <c r="Y201" s="32"/>
      <c r="AB201" s="32"/>
      <c r="AC201" s="32"/>
      <c r="AD201" s="32"/>
      <c r="AE201" s="32"/>
      <c r="AF201" s="32"/>
      <c r="AG201" s="32"/>
      <c r="AH201" s="69"/>
      <c r="AI201" s="32"/>
      <c r="AJ201" s="32"/>
      <c r="AK201" s="842"/>
      <c r="AL201" s="842"/>
    </row>
    <row r="202" spans="1:38" x14ac:dyDescent="0.2">
      <c r="A202" s="26"/>
      <c r="D202" s="32"/>
      <c r="E202" s="32"/>
      <c r="F202" s="32"/>
      <c r="G202" s="504"/>
      <c r="H202" s="32"/>
      <c r="I202" s="32"/>
      <c r="J202" s="32"/>
      <c r="K202" s="32"/>
      <c r="L202" s="32"/>
      <c r="M202" s="32"/>
      <c r="N202" s="32"/>
      <c r="O202" s="32"/>
      <c r="P202" s="32"/>
      <c r="Q202" s="32"/>
      <c r="R202" s="32"/>
      <c r="S202" s="32"/>
      <c r="T202" s="32"/>
      <c r="U202" s="32"/>
      <c r="V202" s="32"/>
      <c r="W202" s="32"/>
      <c r="X202" s="32"/>
      <c r="Y202" s="32"/>
      <c r="AB202" s="32"/>
      <c r="AC202" s="32"/>
      <c r="AD202" s="32"/>
      <c r="AE202" s="32"/>
      <c r="AF202" s="32"/>
      <c r="AG202" s="32"/>
      <c r="AH202" s="69"/>
      <c r="AI202" s="32"/>
      <c r="AJ202" s="32"/>
      <c r="AK202" s="842"/>
      <c r="AL202" s="842"/>
    </row>
    <row r="203" spans="1:38" x14ac:dyDescent="0.2">
      <c r="A203" s="26"/>
      <c r="D203" s="32"/>
      <c r="E203" s="32"/>
      <c r="F203" s="32"/>
      <c r="G203" s="504"/>
      <c r="H203" s="32"/>
      <c r="I203" s="32"/>
      <c r="J203" s="32"/>
      <c r="K203" s="32"/>
      <c r="L203" s="32"/>
      <c r="M203" s="32"/>
      <c r="N203" s="32"/>
      <c r="O203" s="32"/>
      <c r="P203" s="32"/>
      <c r="Q203" s="32"/>
      <c r="R203" s="32"/>
      <c r="S203" s="32"/>
      <c r="T203" s="32"/>
      <c r="U203" s="32"/>
      <c r="V203" s="32"/>
      <c r="W203" s="32"/>
      <c r="X203" s="32"/>
      <c r="Y203" s="32"/>
      <c r="AB203" s="32"/>
      <c r="AC203" s="32"/>
      <c r="AD203" s="32"/>
      <c r="AE203" s="32"/>
      <c r="AF203" s="32"/>
      <c r="AG203" s="32"/>
      <c r="AH203" s="69"/>
      <c r="AI203" s="32"/>
      <c r="AJ203" s="32"/>
      <c r="AK203" s="842"/>
      <c r="AL203" s="842"/>
    </row>
    <row r="204" spans="1:38" x14ac:dyDescent="0.2">
      <c r="A204" s="26"/>
      <c r="D204" s="32"/>
      <c r="E204" s="32"/>
      <c r="F204" s="32"/>
      <c r="G204" s="504"/>
      <c r="H204" s="32"/>
      <c r="I204" s="32"/>
      <c r="J204" s="32"/>
      <c r="K204" s="32"/>
      <c r="L204" s="32"/>
      <c r="M204" s="32"/>
      <c r="N204" s="32"/>
      <c r="O204" s="32"/>
      <c r="P204" s="32"/>
      <c r="Q204" s="32"/>
      <c r="R204" s="32"/>
      <c r="S204" s="32"/>
      <c r="T204" s="32"/>
      <c r="U204" s="32"/>
      <c r="V204" s="32"/>
      <c r="W204" s="32"/>
      <c r="X204" s="32"/>
      <c r="Y204" s="32"/>
      <c r="AB204" s="32"/>
      <c r="AC204" s="32"/>
      <c r="AD204" s="32"/>
      <c r="AE204" s="32"/>
      <c r="AF204" s="32"/>
      <c r="AG204" s="32"/>
      <c r="AH204" s="69"/>
      <c r="AI204" s="32"/>
      <c r="AJ204" s="32"/>
      <c r="AK204" s="842"/>
      <c r="AL204" s="842"/>
    </row>
    <row r="205" spans="1:38" x14ac:dyDescent="0.2">
      <c r="A205" s="26"/>
      <c r="D205" s="32"/>
      <c r="E205" s="32"/>
      <c r="F205" s="32"/>
      <c r="G205" s="504"/>
      <c r="H205" s="32"/>
      <c r="I205" s="32"/>
      <c r="J205" s="32"/>
      <c r="K205" s="32"/>
      <c r="L205" s="32"/>
      <c r="M205" s="32"/>
      <c r="N205" s="32"/>
      <c r="O205" s="32"/>
      <c r="P205" s="32"/>
      <c r="Q205" s="32"/>
      <c r="R205" s="32"/>
      <c r="S205" s="32"/>
      <c r="T205" s="32"/>
      <c r="U205" s="32"/>
      <c r="V205" s="32"/>
      <c r="W205" s="32"/>
      <c r="X205" s="32"/>
      <c r="Y205" s="32"/>
      <c r="AB205" s="32"/>
      <c r="AC205" s="32"/>
      <c r="AD205" s="32"/>
      <c r="AE205" s="32"/>
      <c r="AF205" s="32"/>
      <c r="AG205" s="32"/>
      <c r="AH205" s="69"/>
      <c r="AI205" s="32"/>
      <c r="AJ205" s="32"/>
      <c r="AK205" s="842"/>
      <c r="AL205" s="842"/>
    </row>
    <row r="206" spans="1:38" x14ac:dyDescent="0.2">
      <c r="A206" s="26"/>
      <c r="D206" s="32"/>
      <c r="E206" s="32"/>
      <c r="F206" s="32"/>
      <c r="G206" s="504"/>
      <c r="H206" s="32"/>
      <c r="I206" s="32"/>
      <c r="J206" s="32"/>
      <c r="K206" s="32"/>
      <c r="L206" s="32"/>
      <c r="M206" s="32"/>
      <c r="N206" s="32"/>
      <c r="O206" s="32"/>
      <c r="P206" s="32"/>
      <c r="Q206" s="32"/>
      <c r="R206" s="32"/>
      <c r="S206" s="32"/>
      <c r="T206" s="32"/>
      <c r="U206" s="32"/>
      <c r="V206" s="32"/>
      <c r="W206" s="32"/>
      <c r="X206" s="32"/>
      <c r="Y206" s="32"/>
      <c r="AB206" s="32"/>
      <c r="AC206" s="32"/>
      <c r="AD206" s="32"/>
      <c r="AE206" s="32"/>
      <c r="AF206" s="32"/>
      <c r="AG206" s="32"/>
      <c r="AH206" s="69"/>
      <c r="AI206" s="32"/>
      <c r="AJ206" s="32"/>
      <c r="AK206" s="842"/>
      <c r="AL206" s="842"/>
    </row>
    <row r="207" spans="1:38" x14ac:dyDescent="0.2">
      <c r="A207" s="26"/>
      <c r="D207" s="32"/>
      <c r="E207" s="32"/>
      <c r="F207" s="32"/>
      <c r="G207" s="504"/>
      <c r="H207" s="32"/>
      <c r="I207" s="32"/>
      <c r="J207" s="32"/>
      <c r="K207" s="32"/>
      <c r="L207" s="32"/>
      <c r="M207" s="32"/>
      <c r="N207" s="32"/>
      <c r="O207" s="32"/>
      <c r="P207" s="32"/>
      <c r="Q207" s="32"/>
      <c r="R207" s="32"/>
      <c r="S207" s="32"/>
      <c r="T207" s="32"/>
      <c r="U207" s="32"/>
      <c r="V207" s="32"/>
      <c r="W207" s="32"/>
      <c r="X207" s="32"/>
      <c r="Y207" s="32"/>
      <c r="AB207" s="32"/>
      <c r="AC207" s="32"/>
      <c r="AD207" s="32"/>
      <c r="AE207" s="32"/>
      <c r="AF207" s="32"/>
      <c r="AG207" s="32"/>
      <c r="AH207" s="69"/>
      <c r="AI207" s="32"/>
      <c r="AJ207" s="32"/>
      <c r="AK207" s="842"/>
      <c r="AL207" s="842"/>
    </row>
    <row r="208" spans="1:38" x14ac:dyDescent="0.2">
      <c r="A208" s="26"/>
      <c r="D208" s="32"/>
      <c r="E208" s="32"/>
      <c r="F208" s="32"/>
      <c r="G208" s="504"/>
      <c r="H208" s="32"/>
      <c r="I208" s="32"/>
      <c r="J208" s="32"/>
      <c r="K208" s="32"/>
      <c r="L208" s="32"/>
      <c r="M208" s="32"/>
      <c r="N208" s="32"/>
      <c r="O208" s="32"/>
      <c r="P208" s="32"/>
      <c r="Q208" s="32"/>
      <c r="R208" s="32"/>
      <c r="S208" s="32"/>
      <c r="T208" s="32"/>
      <c r="U208" s="32"/>
      <c r="V208" s="32"/>
      <c r="W208" s="32"/>
      <c r="X208" s="32"/>
      <c r="Y208" s="32"/>
      <c r="AB208" s="32"/>
      <c r="AC208" s="32"/>
      <c r="AD208" s="32"/>
      <c r="AE208" s="32"/>
      <c r="AF208" s="32"/>
      <c r="AG208" s="32"/>
      <c r="AH208" s="69"/>
      <c r="AI208" s="32"/>
      <c r="AJ208" s="32"/>
      <c r="AK208" s="842"/>
      <c r="AL208" s="842"/>
    </row>
    <row r="209" spans="1:52" x14ac:dyDescent="0.2">
      <c r="A209" s="26"/>
      <c r="D209" s="32"/>
      <c r="E209" s="32"/>
      <c r="F209" s="32"/>
      <c r="G209" s="504"/>
      <c r="H209" s="32"/>
      <c r="I209" s="32"/>
      <c r="J209" s="32"/>
      <c r="K209" s="32"/>
      <c r="L209" s="32"/>
      <c r="M209" s="32"/>
      <c r="N209" s="32"/>
      <c r="O209" s="32"/>
      <c r="P209" s="32"/>
      <c r="Q209" s="32"/>
      <c r="R209" s="32"/>
      <c r="S209" s="32"/>
      <c r="T209" s="32"/>
      <c r="U209" s="32"/>
      <c r="V209" s="32"/>
      <c r="W209" s="32"/>
      <c r="X209" s="32"/>
      <c r="Y209" s="32"/>
      <c r="AB209" s="32"/>
      <c r="AC209" s="32"/>
      <c r="AD209" s="32"/>
      <c r="AE209" s="32"/>
      <c r="AF209" s="32"/>
      <c r="AG209" s="32"/>
      <c r="AH209" s="69"/>
      <c r="AI209" s="32"/>
      <c r="AJ209" s="32"/>
      <c r="AK209" s="842"/>
      <c r="AL209" s="842"/>
    </row>
    <row r="210" spans="1:52" x14ac:dyDescent="0.2">
      <c r="A210" s="26"/>
      <c r="D210" s="32"/>
      <c r="E210" s="32"/>
      <c r="F210" s="32"/>
      <c r="G210" s="504"/>
      <c r="H210" s="32"/>
      <c r="I210" s="32"/>
      <c r="J210" s="32"/>
      <c r="K210" s="32"/>
      <c r="L210" s="32"/>
      <c r="M210" s="32"/>
      <c r="N210" s="32"/>
      <c r="O210" s="32"/>
      <c r="P210" s="32"/>
      <c r="Q210" s="32"/>
      <c r="R210" s="32"/>
      <c r="S210" s="32"/>
      <c r="T210" s="32"/>
      <c r="U210" s="32"/>
      <c r="V210" s="32"/>
      <c r="W210" s="32"/>
      <c r="X210" s="32"/>
      <c r="Y210" s="32"/>
      <c r="AB210" s="32"/>
      <c r="AC210" s="32"/>
      <c r="AD210" s="32"/>
      <c r="AE210" s="32"/>
      <c r="AF210" s="32"/>
      <c r="AG210" s="32"/>
      <c r="AH210" s="69"/>
      <c r="AI210" s="32"/>
      <c r="AJ210" s="32"/>
      <c r="AK210" s="842"/>
      <c r="AL210" s="842"/>
    </row>
    <row r="211" spans="1:52" x14ac:dyDescent="0.2">
      <c r="A211" s="26"/>
      <c r="D211" s="32"/>
      <c r="E211" s="32"/>
      <c r="F211" s="32"/>
      <c r="G211" s="504"/>
      <c r="H211" s="32"/>
      <c r="I211" s="32"/>
      <c r="J211" s="32"/>
      <c r="K211" s="32"/>
      <c r="L211" s="32"/>
      <c r="M211" s="32"/>
      <c r="N211" s="32"/>
      <c r="O211" s="32"/>
      <c r="P211" s="32"/>
      <c r="Q211" s="32"/>
      <c r="R211" s="32"/>
      <c r="S211" s="32"/>
      <c r="T211" s="32"/>
      <c r="U211" s="32"/>
      <c r="V211" s="32"/>
      <c r="W211" s="32"/>
      <c r="X211" s="32"/>
      <c r="Y211" s="32"/>
      <c r="AB211" s="32"/>
      <c r="AC211" s="32"/>
      <c r="AD211" s="32"/>
      <c r="AE211" s="32"/>
      <c r="AF211" s="32"/>
      <c r="AG211" s="32"/>
      <c r="AH211" s="69"/>
      <c r="AI211" s="32"/>
      <c r="AJ211" s="32"/>
      <c r="AK211" s="842"/>
      <c r="AL211" s="842"/>
    </row>
    <row r="212" spans="1:52" x14ac:dyDescent="0.2">
      <c r="A212" s="26"/>
      <c r="D212" s="32"/>
      <c r="E212" s="32"/>
      <c r="F212" s="32"/>
      <c r="G212" s="504"/>
      <c r="H212" s="32"/>
      <c r="I212" s="32"/>
      <c r="J212" s="32"/>
      <c r="K212" s="32"/>
      <c r="L212" s="32"/>
      <c r="M212" s="32"/>
      <c r="N212" s="32"/>
      <c r="O212" s="32"/>
      <c r="P212" s="32"/>
      <c r="Q212" s="32"/>
      <c r="R212" s="32"/>
      <c r="S212" s="32"/>
      <c r="T212" s="32"/>
      <c r="U212" s="32"/>
      <c r="V212" s="32"/>
      <c r="W212" s="32"/>
      <c r="X212" s="32"/>
      <c r="Y212" s="32"/>
      <c r="AB212" s="32"/>
      <c r="AC212" s="32"/>
      <c r="AD212" s="32"/>
      <c r="AE212" s="32"/>
      <c r="AF212" s="32"/>
      <c r="AG212" s="32"/>
      <c r="AH212" s="69"/>
      <c r="AI212" s="32"/>
      <c r="AJ212" s="32"/>
      <c r="AK212" s="842"/>
      <c r="AL212" s="842"/>
    </row>
    <row r="213" spans="1:52" x14ac:dyDescent="0.2">
      <c r="A213" s="26"/>
      <c r="D213" s="32"/>
      <c r="E213" s="32"/>
      <c r="F213" s="32"/>
      <c r="G213" s="504"/>
      <c r="H213" s="32"/>
      <c r="I213" s="32"/>
      <c r="J213" s="32"/>
      <c r="K213" s="32"/>
      <c r="L213" s="32"/>
      <c r="M213" s="32"/>
      <c r="N213" s="32"/>
      <c r="O213" s="32"/>
      <c r="P213" s="32"/>
      <c r="Q213" s="32"/>
      <c r="R213" s="32"/>
      <c r="S213" s="32"/>
      <c r="T213" s="32"/>
      <c r="U213" s="32"/>
      <c r="V213" s="32"/>
      <c r="W213" s="32"/>
      <c r="X213" s="32"/>
      <c r="Y213" s="32"/>
      <c r="AB213" s="32"/>
      <c r="AC213" s="32"/>
      <c r="AD213" s="32"/>
      <c r="AE213" s="32"/>
      <c r="AF213" s="32"/>
      <c r="AG213" s="32"/>
      <c r="AH213" s="69"/>
      <c r="AI213" s="32"/>
      <c r="AJ213" s="32"/>
      <c r="AK213" s="842"/>
      <c r="AL213" s="842"/>
    </row>
    <row r="214" spans="1:52" x14ac:dyDescent="0.2">
      <c r="A214" s="26"/>
      <c r="D214" s="32"/>
      <c r="E214" s="32"/>
      <c r="F214" s="32"/>
      <c r="G214" s="504"/>
      <c r="H214" s="32"/>
      <c r="I214" s="32"/>
      <c r="J214" s="32"/>
      <c r="K214" s="32"/>
      <c r="L214" s="32"/>
      <c r="M214" s="32"/>
      <c r="N214" s="32"/>
      <c r="O214" s="32"/>
      <c r="P214" s="32"/>
      <c r="Q214" s="32"/>
      <c r="R214" s="32"/>
      <c r="S214" s="32"/>
      <c r="T214" s="32"/>
      <c r="U214" s="32"/>
      <c r="V214" s="32"/>
      <c r="W214" s="32"/>
      <c r="X214" s="32"/>
      <c r="Y214" s="32"/>
      <c r="AB214" s="32"/>
      <c r="AC214" s="32"/>
      <c r="AD214" s="32"/>
      <c r="AE214" s="32"/>
      <c r="AF214" s="32"/>
      <c r="AG214" s="32"/>
      <c r="AH214" s="69"/>
      <c r="AI214" s="32"/>
      <c r="AJ214" s="32"/>
      <c r="AK214" s="842"/>
      <c r="AL214" s="842"/>
    </row>
    <row r="215" spans="1:52" x14ac:dyDescent="0.2">
      <c r="A215" s="26"/>
      <c r="D215" s="32"/>
      <c r="E215" s="32"/>
      <c r="F215" s="32"/>
      <c r="G215" s="504"/>
      <c r="H215" s="32"/>
      <c r="I215" s="32"/>
      <c r="J215" s="32"/>
      <c r="K215" s="32"/>
      <c r="L215" s="32"/>
      <c r="M215" s="32"/>
      <c r="N215" s="32"/>
      <c r="O215" s="32"/>
      <c r="P215" s="32"/>
      <c r="Q215" s="32"/>
      <c r="R215" s="32"/>
      <c r="S215" s="32"/>
      <c r="T215" s="32"/>
      <c r="U215" s="32"/>
      <c r="V215" s="32"/>
      <c r="W215" s="32"/>
      <c r="X215" s="32"/>
      <c r="Y215" s="32"/>
      <c r="AB215" s="32"/>
      <c r="AC215" s="32"/>
      <c r="AD215" s="32"/>
      <c r="AE215" s="32"/>
      <c r="AF215" s="32"/>
      <c r="AG215" s="32"/>
      <c r="AH215" s="69"/>
      <c r="AI215" s="32"/>
      <c r="AJ215" s="32"/>
      <c r="AK215" s="842"/>
      <c r="AL215" s="842"/>
    </row>
    <row r="216" spans="1:52" x14ac:dyDescent="0.2">
      <c r="A216" s="26"/>
      <c r="D216" s="32"/>
      <c r="E216" s="32"/>
      <c r="F216" s="32"/>
      <c r="G216" s="504"/>
      <c r="H216" s="32"/>
      <c r="I216" s="32"/>
      <c r="J216" s="32"/>
      <c r="K216" s="32"/>
      <c r="L216" s="32"/>
      <c r="M216" s="32"/>
      <c r="N216" s="32"/>
      <c r="O216" s="32"/>
      <c r="P216" s="32"/>
      <c r="Q216" s="32"/>
      <c r="R216" s="32"/>
      <c r="S216" s="32"/>
      <c r="T216" s="32"/>
      <c r="U216" s="32"/>
      <c r="V216" s="32"/>
      <c r="W216" s="32"/>
      <c r="X216" s="32"/>
      <c r="Y216" s="32"/>
      <c r="AB216" s="32"/>
      <c r="AC216" s="32"/>
      <c r="AD216" s="32"/>
      <c r="AE216" s="32"/>
      <c r="AF216" s="32"/>
      <c r="AG216" s="32"/>
      <c r="AH216" s="69"/>
      <c r="AI216" s="32"/>
      <c r="AJ216" s="32"/>
      <c r="AK216" s="842"/>
      <c r="AL216" s="842"/>
    </row>
    <row r="217" spans="1:52" x14ac:dyDescent="0.2">
      <c r="A217" s="26"/>
      <c r="G217" s="27"/>
    </row>
    <row r="218" spans="1:52" x14ac:dyDescent="0.2">
      <c r="A218" s="26"/>
    </row>
    <row r="219" spans="1:52" ht="20.25" customHeight="1" x14ac:dyDescent="0.2">
      <c r="D219" s="1046">
        <v>2014</v>
      </c>
      <c r="E219" s="1047"/>
      <c r="F219" s="1046">
        <v>2015</v>
      </c>
      <c r="G219" s="1047"/>
      <c r="H219" s="1046">
        <v>2016</v>
      </c>
      <c r="I219" s="1050"/>
      <c r="J219" s="1050"/>
      <c r="K219" s="1047"/>
      <c r="L219" s="1046">
        <v>2017</v>
      </c>
      <c r="M219" s="1050"/>
      <c r="N219" s="1050"/>
      <c r="O219" s="1047"/>
      <c r="P219" s="1046">
        <v>2018</v>
      </c>
      <c r="Q219" s="1050"/>
      <c r="R219" s="1050"/>
      <c r="S219" s="1047"/>
      <c r="T219" s="1046">
        <v>2019</v>
      </c>
      <c r="U219" s="1050"/>
      <c r="V219" s="1050"/>
      <c r="W219" s="1047"/>
      <c r="X219" s="1046">
        <v>2020</v>
      </c>
      <c r="Y219" s="1050"/>
      <c r="Z219" s="1050"/>
      <c r="AA219" s="1047"/>
      <c r="AB219" s="1046">
        <v>2021</v>
      </c>
      <c r="AC219" s="1050"/>
      <c r="AD219" s="1050"/>
      <c r="AE219" s="1047"/>
      <c r="AF219" s="1046">
        <v>2022</v>
      </c>
      <c r="AG219" s="1050"/>
      <c r="AH219" s="1050"/>
      <c r="AI219" s="1047"/>
      <c r="AJ219" s="1046">
        <v>2023</v>
      </c>
      <c r="AK219" s="1050"/>
      <c r="AL219" s="1055"/>
      <c r="AM219" s="1050"/>
      <c r="AN219" s="1047"/>
      <c r="AO219" s="1046">
        <v>2024</v>
      </c>
      <c r="AP219" s="1050"/>
      <c r="AQ219" s="1050"/>
      <c r="AR219" s="1047"/>
      <c r="AS219" s="1046">
        <v>2024</v>
      </c>
      <c r="AT219" s="1050"/>
      <c r="AU219" s="1050"/>
      <c r="AV219" s="1047"/>
      <c r="AW219" s="1046">
        <v>2025</v>
      </c>
      <c r="AX219" s="1050"/>
      <c r="AY219" s="1050"/>
      <c r="AZ219" s="1047"/>
    </row>
    <row r="220" spans="1:52" ht="12.75" customHeight="1" x14ac:dyDescent="0.2">
      <c r="D220" s="1048" t="s">
        <v>148</v>
      </c>
      <c r="E220" s="1048" t="s">
        <v>149</v>
      </c>
      <c r="F220" s="1048" t="s">
        <v>148</v>
      </c>
      <c r="G220" s="1048" t="s">
        <v>149</v>
      </c>
      <c r="H220" s="1046" t="s">
        <v>148</v>
      </c>
      <c r="I220" s="1047"/>
      <c r="J220" s="1046" t="s">
        <v>149</v>
      </c>
      <c r="K220" s="1047"/>
      <c r="L220" s="1046" t="s">
        <v>148</v>
      </c>
      <c r="M220" s="1047"/>
      <c r="N220" s="1046" t="s">
        <v>149</v>
      </c>
      <c r="O220" s="1047"/>
      <c r="P220" s="1046" t="s">
        <v>148</v>
      </c>
      <c r="Q220" s="1047"/>
      <c r="R220" s="1046" t="s">
        <v>149</v>
      </c>
      <c r="S220" s="1047"/>
      <c r="T220" s="1046" t="s">
        <v>148</v>
      </c>
      <c r="U220" s="1047"/>
      <c r="V220" s="1046" t="s">
        <v>149</v>
      </c>
      <c r="W220" s="1047"/>
      <c r="X220" s="1046" t="s">
        <v>148</v>
      </c>
      <c r="Y220" s="1047"/>
      <c r="Z220" s="1046" t="s">
        <v>149</v>
      </c>
      <c r="AA220" s="1047"/>
      <c r="AB220" s="1046" t="s">
        <v>148</v>
      </c>
      <c r="AC220" s="1047"/>
      <c r="AD220" s="1046" t="s">
        <v>149</v>
      </c>
      <c r="AE220" s="1047"/>
      <c r="AF220" s="1046" t="s">
        <v>148</v>
      </c>
      <c r="AG220" s="1047"/>
      <c r="AH220" s="1046" t="s">
        <v>149</v>
      </c>
      <c r="AI220" s="1047"/>
      <c r="AJ220" s="1046" t="s">
        <v>148</v>
      </c>
      <c r="AK220" s="1047"/>
      <c r="AL220" s="1014"/>
      <c r="AM220" s="1046" t="s">
        <v>149</v>
      </c>
      <c r="AN220" s="1047"/>
      <c r="AO220" s="1046" t="s">
        <v>148</v>
      </c>
      <c r="AP220" s="1047"/>
      <c r="AQ220" s="1046" t="s">
        <v>149</v>
      </c>
      <c r="AR220" s="1047"/>
      <c r="AS220" s="1046" t="s">
        <v>148</v>
      </c>
      <c r="AT220" s="1047"/>
      <c r="AU220" s="1046" t="s">
        <v>149</v>
      </c>
      <c r="AV220" s="1047"/>
      <c r="AW220" s="1046" t="s">
        <v>148</v>
      </c>
      <c r="AX220" s="1047"/>
      <c r="AY220" s="1046" t="s">
        <v>149</v>
      </c>
      <c r="AZ220" s="1047"/>
    </row>
    <row r="221" spans="1:52" ht="25.5" x14ac:dyDescent="0.2">
      <c r="D221" s="1049"/>
      <c r="E221" s="1049"/>
      <c r="F221" s="1049"/>
      <c r="G221" s="1049"/>
      <c r="H221" s="7" t="s">
        <v>120</v>
      </c>
      <c r="I221" s="7" t="s">
        <v>147</v>
      </c>
      <c r="J221" s="7" t="s">
        <v>120</v>
      </c>
      <c r="K221" s="7" t="s">
        <v>147</v>
      </c>
      <c r="L221" s="7" t="s">
        <v>120</v>
      </c>
      <c r="M221" s="7" t="s">
        <v>147</v>
      </c>
      <c r="N221" s="7" t="s">
        <v>120</v>
      </c>
      <c r="O221" s="7" t="s">
        <v>147</v>
      </c>
      <c r="P221" s="7" t="s">
        <v>120</v>
      </c>
      <c r="Q221" s="7" t="s">
        <v>147</v>
      </c>
      <c r="R221" s="7" t="s">
        <v>120</v>
      </c>
      <c r="S221" s="7" t="s">
        <v>147</v>
      </c>
      <c r="T221" s="7" t="s">
        <v>120</v>
      </c>
      <c r="U221" s="7" t="s">
        <v>147</v>
      </c>
      <c r="V221" s="7" t="s">
        <v>120</v>
      </c>
      <c r="W221" s="7" t="s">
        <v>147</v>
      </c>
      <c r="X221" s="7" t="s">
        <v>120</v>
      </c>
      <c r="Y221" s="7" t="s">
        <v>147</v>
      </c>
      <c r="Z221" s="7" t="s">
        <v>120</v>
      </c>
      <c r="AA221" s="7" t="s">
        <v>147</v>
      </c>
      <c r="AB221" s="7" t="s">
        <v>120</v>
      </c>
      <c r="AC221" s="7" t="s">
        <v>147</v>
      </c>
      <c r="AD221" s="7" t="s">
        <v>120</v>
      </c>
      <c r="AE221" s="7" t="s">
        <v>147</v>
      </c>
      <c r="AF221" s="7" t="s">
        <v>120</v>
      </c>
      <c r="AG221" s="7" t="s">
        <v>147</v>
      </c>
      <c r="AH221" s="819" t="s">
        <v>120</v>
      </c>
      <c r="AI221" s="819" t="s">
        <v>147</v>
      </c>
      <c r="AJ221" s="819" t="s">
        <v>120</v>
      </c>
      <c r="AK221" s="833" t="s">
        <v>147</v>
      </c>
      <c r="AL221" s="1015"/>
      <c r="AM221" s="7" t="s">
        <v>120</v>
      </c>
      <c r="AN221" s="7" t="s">
        <v>147</v>
      </c>
      <c r="AO221" s="7" t="s">
        <v>120</v>
      </c>
      <c r="AP221" s="7" t="s">
        <v>147</v>
      </c>
      <c r="AQ221" s="7" t="s">
        <v>120</v>
      </c>
      <c r="AR221" s="7" t="s">
        <v>147</v>
      </c>
      <c r="AS221" s="851" t="s">
        <v>120</v>
      </c>
      <c r="AT221" s="851" t="s">
        <v>147</v>
      </c>
      <c r="AU221" s="851" t="s">
        <v>120</v>
      </c>
      <c r="AV221" s="851" t="s">
        <v>147</v>
      </c>
      <c r="AW221" s="972" t="s">
        <v>120</v>
      </c>
      <c r="AX221" s="972" t="s">
        <v>147</v>
      </c>
      <c r="AY221" s="972" t="s">
        <v>120</v>
      </c>
      <c r="AZ221" s="972" t="s">
        <v>147</v>
      </c>
    </row>
    <row r="222" spans="1:52" x14ac:dyDescent="0.2">
      <c r="C222" s="5" t="s">
        <v>0</v>
      </c>
      <c r="D222" s="202">
        <f>AVERAGEIF($B$36:$B$172,"=OFICIAL",$D$36:$D$172)</f>
        <v>250.54650349650348</v>
      </c>
      <c r="E222" s="202">
        <f>AVERAGEIF($B$36:$B$172,"=NO OFICIAL",$D$36:$D$172)</f>
        <v>257.5211794871795</v>
      </c>
      <c r="F222" s="202">
        <f>AVERAGEIF($B$36:$B$172,"=OFICIAL",$F$36:$F$172)</f>
        <v>248.21923076923076</v>
      </c>
      <c r="G222" s="202">
        <f>AVERAGEIF($B$36:$B$172,"=NO OFICIAL",$F$36:$F$172)</f>
        <v>256.16937869822488</v>
      </c>
      <c r="H222" s="10">
        <v>260</v>
      </c>
      <c r="I222" s="10">
        <v>36</v>
      </c>
      <c r="J222" s="10">
        <v>272</v>
      </c>
      <c r="K222" s="10">
        <v>38</v>
      </c>
      <c r="L222" s="10">
        <v>253</v>
      </c>
      <c r="M222" s="10">
        <v>35</v>
      </c>
      <c r="N222" s="10">
        <v>270</v>
      </c>
      <c r="O222" s="10">
        <v>40</v>
      </c>
      <c r="P222" s="30">
        <v>250</v>
      </c>
      <c r="Q222" s="30">
        <v>40</v>
      </c>
      <c r="R222" s="30">
        <v>269</v>
      </c>
      <c r="S222" s="30">
        <v>41</v>
      </c>
      <c r="T222" s="30">
        <v>249</v>
      </c>
      <c r="U222" s="30">
        <v>41</v>
      </c>
      <c r="V222" s="30">
        <v>266</v>
      </c>
      <c r="W222" s="30">
        <v>41</v>
      </c>
      <c r="X222" s="30" t="s">
        <v>161</v>
      </c>
      <c r="Y222" s="30" t="s">
        <v>82</v>
      </c>
      <c r="Z222" s="30">
        <v>265</v>
      </c>
      <c r="AA222" s="30">
        <v>41</v>
      </c>
      <c r="AB222" s="30">
        <v>248</v>
      </c>
      <c r="AC222" s="30"/>
      <c r="AD222" s="30">
        <v>265</v>
      </c>
      <c r="AE222" s="30">
        <v>41</v>
      </c>
      <c r="AF222" s="30">
        <v>248</v>
      </c>
      <c r="AG222" s="30"/>
      <c r="AH222" s="823">
        <v>265</v>
      </c>
      <c r="AI222" s="30">
        <v>41</v>
      </c>
      <c r="AJ222" s="30">
        <v>248</v>
      </c>
      <c r="AK222" s="843"/>
      <c r="AL222" s="1016"/>
      <c r="AM222" s="268">
        <v>273</v>
      </c>
      <c r="AN222" s="30"/>
      <c r="AO222" s="268">
        <v>257</v>
      </c>
      <c r="AP222" s="30">
        <v>43</v>
      </c>
      <c r="AQ222" s="268">
        <v>276</v>
      </c>
      <c r="AR222" s="30">
        <v>43</v>
      </c>
      <c r="AS222" s="268">
        <v>257</v>
      </c>
      <c r="AT222" s="30">
        <v>43</v>
      </c>
      <c r="AU222" s="268">
        <v>276</v>
      </c>
      <c r="AV222" s="30">
        <v>43</v>
      </c>
      <c r="AW222" s="981">
        <v>258</v>
      </c>
      <c r="AX222" s="30">
        <v>45</v>
      </c>
      <c r="AY222" s="981">
        <v>277</v>
      </c>
      <c r="AZ222" s="30">
        <v>45</v>
      </c>
    </row>
    <row r="223" spans="1:52" x14ac:dyDescent="0.2">
      <c r="C223" s="27" t="s">
        <v>140</v>
      </c>
      <c r="D223" s="27">
        <f>AVERAGEIFS($D$36:$D$172,$C$36:$C$172,"=1", $B$36:$B$172,"OFICIAL")</f>
        <v>254.57596153846151</v>
      </c>
      <c r="E223" s="27">
        <f>AVERAGEIFS($D$36:$D$172,$C$36:$C$172,"=1", $B$36:$B$172,"NO OFICIAL")</f>
        <v>255.29102564102564</v>
      </c>
      <c r="F223" s="27">
        <f>AVERAGEIFS($F$36:$F$172,$C$36:$C$172,"=1", $B$36:$B$172,"OFICIAL")</f>
        <v>252.89038461538462</v>
      </c>
      <c r="G223" s="27">
        <f>AVERAGEIFS($F$36:$F$172,$C$36:$C$172,"=1", $B$36:$B$172,"NO OFICIAL")</f>
        <v>249.7397435897436</v>
      </c>
      <c r="H223" s="27">
        <f>AVERAGEIFS($H$36:$H$172,$C$36:$C$172,"=1", $B$36:$B$172,"OFICIAL")</f>
        <v>262.5</v>
      </c>
      <c r="I223" s="27">
        <f>AVERAGEIFS(I36:I172,$C$36:$C$172,"=1", $B$36:$B$172,"OFICIAL")</f>
        <v>35.75</v>
      </c>
      <c r="J223" s="27">
        <f>AVERAGEIFS(H36:H172,$C$36:$C$172,"=1", $B$36:$B$172,"NO OFICIAL")</f>
        <v>260.46153846153845</v>
      </c>
      <c r="K223" s="27">
        <f>AVERAGEIFS($I$36:$I$172,$C$36:$C$172,"=1", $B$36:$B$172,"NO OFICIAL")</f>
        <v>33.230769230769234</v>
      </c>
      <c r="L223" s="27">
        <f>AVERAGEIFS($J$36:$J$172,$C$36:$C$172,"=1", $B$36:$B$172,"OFICIAL")</f>
        <v>263</v>
      </c>
      <c r="M223" s="27">
        <f>AVERAGEIFS($K$36:$K$172,$C$36:$C$172,"=1", $B$36:$B$172,"OFICIAL")</f>
        <v>34.75</v>
      </c>
      <c r="N223" s="27">
        <f>AVERAGEIFS($J$36:$J$172,$C$36:$C$172,"=1", $B$36:$B$172,"NO OFICIAL")</f>
        <v>259.5</v>
      </c>
      <c r="O223" s="27">
        <f>AVERAGEIFS($K$36:$K$172,$C$36:$C$172,"=1", $B$36:$B$172,"NO OFICIAL")</f>
        <v>35.166666666666664</v>
      </c>
      <c r="P223" s="27">
        <f>AVERAGEIFS($L$36:$L$172,$C$36:$C$172,"=1", $B$36:$B$172,"OFICIAL")</f>
        <v>255.75</v>
      </c>
      <c r="Q223" s="27">
        <f>AVERAGEIFS($M$36:$M$172,$C$36:$C$172,"=1", $B$36:$B$172,"OFICIAL")</f>
        <v>36.75</v>
      </c>
      <c r="R223" s="27">
        <f>AVERAGEIFS($L$36:$L$172,$C$36:$C$172,"=1", $B$36:$B$172,"NO OFICIAL")</f>
        <v>257.61538461538464</v>
      </c>
      <c r="S223" s="27">
        <f>AVERAGEIFS($M$36:$M$172,$C$36:$C$172,"=1", $B$36:$B$172,"NO OFICIAL")</f>
        <v>37.384615384615387</v>
      </c>
      <c r="T223" s="27">
        <f>AVERAGEIFS($N$36:$N$172,$C$36:$C$172,"=1", $B$36:$B$172,"OFICIAL")</f>
        <v>253.75</v>
      </c>
      <c r="U223" s="27">
        <f>AVERAGEIFS($O$36:$O$172,$C$36:$C$172,"=1", $B$36:$B$172,"OFICIAL")</f>
        <v>40.25</v>
      </c>
      <c r="V223" s="27">
        <f>AVERAGEIFS($N$36:$N$172,$C$36:$C$172,"=1", $B$36:$B$172,"NO OFICIAL")</f>
        <v>252.53846153846155</v>
      </c>
      <c r="W223" s="27">
        <f>AVERAGEIFS($O$36:$O$172,$C$36:$C$172,"=1", $B$36:$B$172,"NO OFICIAL")</f>
        <v>37</v>
      </c>
      <c r="X223" s="27">
        <f>AVERAGEIFS($P$36:$P$172,$C$36:$C$172,"=1", $B$36:$B$172,"OFICIAL")</f>
        <v>255.5</v>
      </c>
      <c r="Y223" s="27">
        <f>AVERAGEIFS($Q$36:$Q$172,$C$36:$C$172,"=1", $B$36:$B$172,"OFICIAL")</f>
        <v>37.5</v>
      </c>
      <c r="Z223" s="27">
        <f>AVERAGEIFS($P$36:$P$172,$C$36:$C$172,"=1", $B$36:$B$172,"NO OFICIAL")</f>
        <v>257.84615384615387</v>
      </c>
      <c r="AA223" s="27">
        <f>AVERAGEIFS($Q$36:$Q$172,$C$36:$C$172,"=1", $B$36:$B$172,"NO OFICIAL")</f>
        <v>36.46153846153846</v>
      </c>
      <c r="AB223" s="27">
        <f>AVERAGEIFS($R$36:$R$172,$C$36:$C$172,"=1", $B$36:$B$172,"OFICIAL")</f>
        <v>251.5</v>
      </c>
      <c r="AC223" s="27">
        <f>AVERAGEIFS($T$36:$T$172,$C$36:$C$172,"=1", $B$36:$B$172,"OFICIAL")</f>
        <v>39.25</v>
      </c>
      <c r="AD223" s="27">
        <f>AVERAGEIFS($P$36:$P$172,$C$36:$C$172,"=1", $B$36:$B$172,"NO OFICIAL")</f>
        <v>257.84615384615387</v>
      </c>
      <c r="AE223" s="27">
        <f>AVERAGEIFS($Q$36:$Q$172,$C$36:$C$172,"=1", $B$36:$B$172,"NO OFICIAL")</f>
        <v>36.46153846153846</v>
      </c>
      <c r="AF223" s="27">
        <f>AVERAGEIFS($R$36:$R$172,$C$36:$C$172,"=1", $B$36:$B$172,"OFICIAL")</f>
        <v>251.5</v>
      </c>
      <c r="AG223" s="27">
        <f>AVERAGEIFS($T$36:$T$172,$C$36:$C$172,"=1", $B$36:$B$172,"OFICIAL")</f>
        <v>39.25</v>
      </c>
      <c r="AH223" s="33">
        <f>AVERAGEIFS($P$36:$P$172,$C$36:$C$172,"=1", $B$36:$B$172,"NO OFICIAL")</f>
        <v>257.84615384615387</v>
      </c>
      <c r="AI223" s="27">
        <f>AVERAGEIFS($Q$36:$Q$172,$C$36:$C$172,"=1", $B$36:$B$172,"NO OFICIAL")</f>
        <v>36.46153846153846</v>
      </c>
      <c r="AJ223" s="27">
        <f>AVERAGEIFS($R$36:$R$172,$C$36:$C$172,"=1", $B$36:$B$172,"OFICIAL")</f>
        <v>251.5</v>
      </c>
      <c r="AK223" s="844">
        <f>AVERAGEIFS($T$36:$T$172,$C$36:$C$172,"=1", $B$36:$B$172,"OFICIAL")</f>
        <v>39.25</v>
      </c>
      <c r="AL223" s="1017"/>
      <c r="AM223" s="27">
        <f>AVERAGEIFS($Z$36:$Z$172,$C$36:$C$172,"=1", $B$36:$B$172,"NO OFICIAL")</f>
        <v>265.91666666666669</v>
      </c>
      <c r="AN223" s="27">
        <f>AVERAGEIFS($AB$36:$AB$172,$C$36:$C$172,"=1", $B$36:$B$172,"NO OFICIAL")</f>
        <v>38</v>
      </c>
      <c r="AO223" s="27">
        <v>255.4</v>
      </c>
      <c r="AP223" s="27">
        <v>41.8</v>
      </c>
      <c r="AQ223" s="27">
        <v>266.23076923076923</v>
      </c>
      <c r="AR223" s="27">
        <v>38.769230769230766</v>
      </c>
      <c r="AS223" s="27">
        <v>255.4</v>
      </c>
      <c r="AT223" s="27">
        <v>41.8</v>
      </c>
      <c r="AU223" s="27">
        <v>266.23076923076923</v>
      </c>
      <c r="AV223" s="27">
        <v>38.769230769230766</v>
      </c>
      <c r="AW223" s="978">
        <v>265</v>
      </c>
      <c r="AX223" s="27">
        <v>41.2</v>
      </c>
      <c r="AY223" s="667">
        <v>269</v>
      </c>
      <c r="AZ223" s="27">
        <v>39.92307692307692</v>
      </c>
    </row>
    <row r="224" spans="1:52" x14ac:dyDescent="0.2">
      <c r="C224" s="27" t="s">
        <v>141</v>
      </c>
      <c r="D224" s="27">
        <f>AVERAGEIFS($D$36:$D$172,$C$36:$C$172,"=2", $B$36:$B$172,"OFICIAL")</f>
        <v>255.5</v>
      </c>
      <c r="E224" s="27">
        <f>AVERAGEIFS($D$36:$D$172,$C$36:$C$172,"=2", $B$36:$B$172,"NO OFICIAL")</f>
        <v>259.97036199095021</v>
      </c>
      <c r="F224" s="27">
        <f>AVERAGEIFS($F$36:$F$172,$C$36:$C$172,"=2", $B$36:$B$172,"OFICIAL")</f>
        <v>252</v>
      </c>
      <c r="G224" s="27">
        <f>AVERAGEIFS($F$36:$F$172,$C$36:$C$172,"=2", $B$36:$B$172,"NO OFICIAL")</f>
        <v>256.50067873303169</v>
      </c>
      <c r="H224" s="27">
        <f>AVERAGEIFS($H$36:$H$172,$C$36:$C$172,"=2", $B$36:$B$172,"OFICIAL")</f>
        <v>264.5</v>
      </c>
      <c r="I224" s="27">
        <f>AVERAGEIFS($I$36:$I$172,$C$36:$C$172,"=2", $B$36:$B$172,"OFICIAL")</f>
        <v>35</v>
      </c>
      <c r="J224" s="27">
        <f>AVERAGEIFS(H36:H172,C36:C172,"=2", B36:B172,"NO OFICIAL")</f>
        <v>268.88888888888891</v>
      </c>
      <c r="K224" s="27">
        <f>AVERAGEIFS($I$36:$I$172,$C$36:$C$172,"=2", $B$36:$B$172,"NO OFICIAL")</f>
        <v>32.888888888888886</v>
      </c>
      <c r="L224" s="27">
        <f>AVERAGEIFS($J$36:$J$172,$C$36:$C$172,"=2", $B$36:$B$172,"OFICIAL")</f>
        <v>261.5</v>
      </c>
      <c r="M224" s="27">
        <f>AVERAGEIFS($K$36:$K$172,$C$36:$C$172,"=2", $B$36:$B$172,"OFICIAL")</f>
        <v>39</v>
      </c>
      <c r="N224" s="27">
        <f>AVERAGEIFS($J$36:$J$172,$C$36:$C$172,"=2", $B$36:$B$172,"NO OFICIAL")</f>
        <v>266.11764705882354</v>
      </c>
      <c r="O224" s="27">
        <f>AVERAGEIFS($K$36:$K$172,$C$36:$C$172,"=2", $B$36:$B$172,"NO OFICIAL")</f>
        <v>35.647058823529413</v>
      </c>
      <c r="P224" s="27">
        <f>AVERAGEIFS($L$36:$L$172,$C$36:$C$172,"=2", $B$36:$B$172,"OFICIAL")</f>
        <v>257.5</v>
      </c>
      <c r="Q224" s="27">
        <f>AVERAGEIFS($M$36:$M$172,$C$36:$C$172,"=2", $B$36:$B$172,"OFICIAL")</f>
        <v>40.5</v>
      </c>
      <c r="R224" s="27">
        <f>AVERAGEIFS($L$36:$L$172,$C$36:$C$172,"=2", $B$36:$B$172,"NO OFICIAL")</f>
        <v>263.52941176470586</v>
      </c>
      <c r="S224" s="27">
        <f>AVERAGEIFS($M$36:$M$172,$C$36:$C$172,"=2", $B$36:$B$172,"NO OFICIAL")</f>
        <v>37.058823529411768</v>
      </c>
      <c r="T224" s="27">
        <f>AVERAGEIFS($N$36:$N$172,$C$36:$C$172,"=2", $B$36:$B$172,"OFICIAL")</f>
        <v>253.5</v>
      </c>
      <c r="U224" s="27">
        <f>AVERAGEIFS($O$36:$O$172,$C$36:$C$172,"=2", $B$36:$B$172,"OFICIAL")</f>
        <v>40.5</v>
      </c>
      <c r="V224" s="27">
        <f>AVERAGEIFS($N$36:$N$172,$C$36:$C$172,"=2", $B$36:$B$172,"NO OFICIAL")</f>
        <v>263.66666666666669</v>
      </c>
      <c r="W224" s="27">
        <f>AVERAGEIFS($O$36:$O$172,$C$36:$C$172,"=2", $B$36:$B$172,"NO OFICIAL")</f>
        <v>38</v>
      </c>
      <c r="X224" s="27">
        <f>AVERAGEIFS($P$36:$P$172,$C$36:$C$172,"=2", $B$36:$B$172,"OFICIAL")</f>
        <v>255.5</v>
      </c>
      <c r="Y224" s="27">
        <f>AVERAGEIFS($Q$36:$Q$172,$C$36:$C$172,"=2", $B$36:$B$172,"OFICIAL")</f>
        <v>37.5</v>
      </c>
      <c r="Z224" s="27">
        <f>AVERAGEIFS($P$36:$P$172,$C$36:$C$172,"=2", $B$36:$B$172,"NO OFICIAL")</f>
        <v>259.45454545454544</v>
      </c>
      <c r="AA224" s="27">
        <f>AVERAGEIFS($Q$36:$Q$172,$C$36:$C$172,"=2", $B$36:$B$172,"NO OFICIAL")</f>
        <v>31.59090909090909</v>
      </c>
      <c r="AB224" s="27">
        <f>AVERAGEIFS($R$36:$R$172,$C$36:$C$172,"=2", $B$36:$B$172,"OFICIAL")</f>
        <v>250.5</v>
      </c>
      <c r="AC224" s="27">
        <f>AVERAGEIFS($T$36:$T$172,$C$36:$C$172,"=2", $B$36:$B$172,"OFICIAL")</f>
        <v>39</v>
      </c>
      <c r="AD224" s="27">
        <f>AVERAGEIFS($P$36:$P$172,$C$36:$C$172,"=2", $B$36:$B$172,"NO OFICIAL")</f>
        <v>259.45454545454544</v>
      </c>
      <c r="AE224" s="27">
        <f>AVERAGEIFS($Q$36:$Q$172,$C$36:$C$172,"=2", $B$36:$B$172,"NO OFICIAL")</f>
        <v>31.59090909090909</v>
      </c>
      <c r="AF224" s="27">
        <f>AVERAGEIFS($R$36:$R$172,$C$36:$C$172,"=2", $B$36:$B$172,"OFICIAL")</f>
        <v>250.5</v>
      </c>
      <c r="AG224" s="27">
        <f>AVERAGEIFS($T$36:$T$172,$C$36:$C$172,"=2", $B$36:$B$172,"OFICIAL")</f>
        <v>39</v>
      </c>
      <c r="AH224" s="33">
        <f>AVERAGEIFS($P$36:$P$172,$C$36:$C$172,"=2", $B$36:$B$172,"NO OFICIAL")</f>
        <v>259.45454545454544</v>
      </c>
      <c r="AI224" s="27">
        <f>AVERAGEIFS($Q$36:$Q$172,$C$36:$C$172,"=2", $B$36:$B$172,"NO OFICIAL")</f>
        <v>31.59090909090909</v>
      </c>
      <c r="AJ224" s="27">
        <f>AVERAGEIFS($R$36:$R$172,$C$36:$C$172,"=2", $B$36:$B$172,"OFICIAL")</f>
        <v>250.5</v>
      </c>
      <c r="AK224" s="844">
        <f>AVERAGEIFS($T$36:$T$172,$C$36:$C$172,"=2", $B$36:$B$172,"OFICIAL")</f>
        <v>39</v>
      </c>
      <c r="AL224" s="1017"/>
      <c r="AM224" s="27">
        <f>AVERAGEIFS($Z$36:$Z$172,$C$36:$C$172,"=2", $B$36:$B$172,"NO OFICIAL")</f>
        <v>266.77272727272725</v>
      </c>
      <c r="AN224" s="27">
        <f>AVERAGEIFS($AB$36:$AB$172,$C$36:$C$172,"=2", $B$36:$B$172,"NO OFICIAL")</f>
        <v>37.409090909090907</v>
      </c>
      <c r="AO224" s="27">
        <v>262</v>
      </c>
      <c r="AP224" s="27">
        <v>41.75</v>
      </c>
      <c r="AQ224" s="27">
        <v>272.7</v>
      </c>
      <c r="AR224" s="27">
        <v>39.4</v>
      </c>
      <c r="AS224" s="27">
        <v>262</v>
      </c>
      <c r="AT224" s="27">
        <v>41.75</v>
      </c>
      <c r="AU224" s="27">
        <v>272.7</v>
      </c>
      <c r="AV224" s="27">
        <v>39.4</v>
      </c>
      <c r="AW224" s="978">
        <v>267</v>
      </c>
      <c r="AX224" s="27">
        <v>43</v>
      </c>
      <c r="AY224" s="978">
        <v>268</v>
      </c>
      <c r="AZ224" s="27">
        <v>35.5</v>
      </c>
    </row>
    <row r="225" spans="3:52" x14ac:dyDescent="0.2">
      <c r="C225" s="27" t="s">
        <v>142</v>
      </c>
      <c r="D225" s="27">
        <f>AVERAGEIFS($D$36:$D$172,$C$36:$C$172,"=3", $B$36:$B$172,"OFICIAL")</f>
        <v>251.66923076923072</v>
      </c>
      <c r="E225" s="27">
        <f>AVERAGEIFS($D$36:$D$172,$C$36:$C$172,"=3", $B$36:$B$172,"NO OFICIAL")</f>
        <v>261.04038461538465</v>
      </c>
      <c r="F225" s="27">
        <f>AVERAGEIFS($F$36:$F$172,$C$36:$C$172,"=3", $B$36:$B$172,"OFICIAL")</f>
        <v>245.92307692307691</v>
      </c>
      <c r="G225" s="27">
        <f>AVERAGEIFS($F$36:$F$172,$C$36:$C$172,"=3", $B$36:$B$172,"NO OFICIAL")</f>
        <v>259.56634615384615</v>
      </c>
      <c r="H225" s="27">
        <f>AVERAGEIFS($H$36:$H$172,$C$36:$C$172,"=3", $B$36:$B$172,"OFICIAL")</f>
        <v>259.39999999999998</v>
      </c>
      <c r="I225" s="27">
        <f>AVERAGEIFS($I$36:$I$172,$C$36:$C$172,"=3", $B$36:$B$172,"OFICIAL")</f>
        <v>36.6</v>
      </c>
      <c r="J225" s="27">
        <f>AVERAGEIFS(H36:H172,C36:C172,"=3", B36:B172,"NO OFICIAL")</f>
        <v>271.61538461538464</v>
      </c>
      <c r="K225" s="27">
        <f>AVERAGEIFS($I$36:$I$172,$C$36:$C$172,"=3", $B$36:$B$172,"NO OFICIAL")</f>
        <v>35.07692307692308</v>
      </c>
      <c r="L225" s="27">
        <f>AVERAGEIFS($J$36:$J$172,$C$36:$C$172,"=3", $B$36:$B$172,"OFICIAL")</f>
        <v>258.5</v>
      </c>
      <c r="M225" s="27">
        <f>AVERAGEIFS($K$36:$K$172,$C$36:$C$172,"=3", $B$36:$B$172,"OFICIAL")</f>
        <v>37.5</v>
      </c>
      <c r="N225" s="27">
        <f>AVERAGEIFS($J$36:$J$172,$C$36:$C$172,"=3", $B$36:$B$172,"NO OFICIAL")</f>
        <v>268.38461538461536</v>
      </c>
      <c r="O225" s="27">
        <f>AVERAGEIFS($K$36:$K$172,$C$36:$C$172,"=3", $B$36:$B$172,"NO OFICIAL")</f>
        <v>36.46153846153846</v>
      </c>
      <c r="P225" s="27">
        <f>AVERAGEIFS($L$36:$L$172,$C$36:$C$172,"=3", $B$36:$B$172,"OFICIAL")</f>
        <v>255.66666666666666</v>
      </c>
      <c r="Q225" s="27">
        <f>AVERAGEIFS($M$36:$M$172,$C$36:$C$172,"=3", $B$36:$B$172,"OFICIAL")</f>
        <v>38.5</v>
      </c>
      <c r="R225" s="27">
        <f>AVERAGEIFS($L$36:$L$172,$C$36:$C$172,"=3", $B$36:$B$172,"NO OFICIAL")</f>
        <v>268.69230769230768</v>
      </c>
      <c r="S225" s="27">
        <f>AVERAGEIFS($M$36:$M$172,$C$36:$C$172,"=3", $B$36:$B$172,"NO OFICIAL")</f>
        <v>37.92307692307692</v>
      </c>
      <c r="T225" s="27">
        <f>AVERAGEIFS($N$36:$N$172,$C$36:$C$172,"=3", $B$36:$B$172,"OFICIAL")</f>
        <v>249.66666666666666</v>
      </c>
      <c r="U225" s="27">
        <f>AVERAGEIFS($O$36:$O$172,$C$36:$C$172,"=3", $B$36:$B$172,"OFICIAL")</f>
        <v>39.166666666666664</v>
      </c>
      <c r="V225" s="27">
        <f>AVERAGEIFS($N$36:$N$172,$C$36:$C$172,"=3", $B$36:$B$172,"NO OFICIAL")</f>
        <v>262.92307692307691</v>
      </c>
      <c r="W225" s="27">
        <f>AVERAGEIFS($O$36:$O$172,$C$36:$C$172,"=3", $B$36:$B$172,"NO OFICIAL")</f>
        <v>38.53846153846154</v>
      </c>
      <c r="X225" s="27">
        <f>AVERAGEIFS($P$36:$P$172,$C$36:$C$172,"=3", $B$36:$B$172,"OFICIAL")</f>
        <v>251.83333333333334</v>
      </c>
      <c r="Y225" s="27">
        <f>AVERAGEIFS($Q$36:$Q$172,$C$36:$C$172,"=3", $B$36:$B$172,"OFICIAL")</f>
        <v>38.166666666666664</v>
      </c>
      <c r="Z225" s="27">
        <f>AVERAGEIFS($P$36:$P$172,$C$36:$C$172,"=3", $B$36:$B$172,"NO OFICIAL")</f>
        <v>267.42857142857144</v>
      </c>
      <c r="AA225" s="27">
        <f>AVERAGEIFS($Q$36:$Q$172,$C$36:$C$172,"=3", $B$36:$B$172,"NO OFICIAL")</f>
        <v>35.214285714285715</v>
      </c>
      <c r="AB225" s="27">
        <f>AVERAGEIFS($R$36:$R$172,$C$36:$C$172,"=3", $B$36:$B$172,"OFICIAL")</f>
        <v>248.66666666666666</v>
      </c>
      <c r="AC225" s="27">
        <f>AVERAGEIFS($T$36:$T$172,$C$36:$C$172,"=3", $B$36:$B$172,"OFICIAL")</f>
        <v>38.333333333333336</v>
      </c>
      <c r="AD225" s="27">
        <f>AVERAGEIFS($P$36:$P$172,$C$36:$C$172,"=3", $B$36:$B$172,"NO OFICIAL")</f>
        <v>267.42857142857144</v>
      </c>
      <c r="AE225" s="27">
        <f>AVERAGEIFS($Q$36:$Q$172,$C$36:$C$172,"=3", $B$36:$B$172,"NO OFICIAL")</f>
        <v>35.214285714285715</v>
      </c>
      <c r="AF225" s="27">
        <f>AVERAGEIFS($R$36:$R$172,$C$36:$C$172,"=3", $B$36:$B$172,"OFICIAL")</f>
        <v>248.66666666666666</v>
      </c>
      <c r="AG225" s="27">
        <f>AVERAGEIFS($T$36:$T$172,$C$36:$C$172,"=3", $B$36:$B$172,"OFICIAL")</f>
        <v>38.333333333333336</v>
      </c>
      <c r="AH225" s="33">
        <f>AVERAGEIFS($P$36:$P$172,$C$36:$C$172,"=3", $B$36:$B$172,"NO OFICIAL")</f>
        <v>267.42857142857144</v>
      </c>
      <c r="AI225" s="27">
        <f>AVERAGEIFS($Q$36:$Q$172,$C$36:$C$172,"=3", $B$36:$B$172,"NO OFICIAL")</f>
        <v>35.214285714285715</v>
      </c>
      <c r="AJ225" s="27">
        <f>AVERAGEIFS($R$36:$R$172,$C$36:$C$172,"=3", $B$36:$B$172,"OFICIAL")</f>
        <v>248.66666666666666</v>
      </c>
      <c r="AK225" s="844">
        <f>AVERAGEIFS($T$36:$T$172,$C$36:$C$172,"=3", $B$36:$B$172,"OFICIAL")</f>
        <v>38.333333333333336</v>
      </c>
      <c r="AL225" s="1017"/>
      <c r="AM225" s="27">
        <f>AVERAGEIFS($Z$36:$Z$172,$C$36:$C$172,"=3", $B$36:$B$172,"NO OFICIAL")</f>
        <v>272.06666666666666</v>
      </c>
      <c r="AN225" s="27">
        <f>AVERAGEIFS($AB$36:$AB$172,$C$36:$C$172,"=3", $B$36:$B$172,"NO OFICIAL")</f>
        <v>38.866666666666667</v>
      </c>
      <c r="AO225" s="27">
        <v>259</v>
      </c>
      <c r="AP225" s="27">
        <v>42.833333333333336</v>
      </c>
      <c r="AQ225" s="27">
        <v>274.13333333333333</v>
      </c>
      <c r="AR225" s="27">
        <v>38.8125</v>
      </c>
      <c r="AS225" s="27">
        <v>259</v>
      </c>
      <c r="AT225" s="27">
        <v>42.833333333333336</v>
      </c>
      <c r="AU225" s="27">
        <v>274.13333333333333</v>
      </c>
      <c r="AV225" s="27">
        <v>38.8125</v>
      </c>
      <c r="AW225" s="978">
        <v>272</v>
      </c>
      <c r="AX225" s="27">
        <v>41</v>
      </c>
      <c r="AY225" s="978">
        <v>278</v>
      </c>
      <c r="AZ225" s="27">
        <v>41.266666666666666</v>
      </c>
    </row>
    <row r="226" spans="3:52" x14ac:dyDescent="0.2">
      <c r="C226" s="27" t="s">
        <v>143</v>
      </c>
      <c r="D226" s="27">
        <f>AVERAGEIFS($D$36:$D$172,$C$36:$C$172,"=4", $B$36:$B$172,"OFICIAL")</f>
        <v>244.03717948717949</v>
      </c>
      <c r="E226" s="27">
        <f>AVERAGEIFS($D$36:$D$172,$C$36:$C$172,"=4", $B$36:$B$172,"NO OFICIAL")</f>
        <v>233.13504273504273</v>
      </c>
      <c r="F226" s="27">
        <f>AVERAGEIFS($F$36:$F$172,$C$36:$C$172,"=4", $B$36:$B$172,"OFICIAL")</f>
        <v>241.96089743589744</v>
      </c>
      <c r="G226" s="27">
        <f>AVERAGEIFS($F$36:$F$172,$C$36:$C$172,"=4", $B$36:$B$172,"NO OFICIAL")</f>
        <v>240.56993006993008</v>
      </c>
      <c r="H226" s="27">
        <f>AVERAGEIFS($H$36:$H$172,$C$36:$C$172,"=4", $B$36:$B$172,"OFICIAL")</f>
        <v>243.83333333333334</v>
      </c>
      <c r="I226" s="27">
        <f>AVERAGEIFS($I$36:$I$172,$C$36:$C$172,"=4", $B$36:$B$172,"OFICIAL")</f>
        <v>35</v>
      </c>
      <c r="J226" s="27">
        <f>AVERAGEIFS(H36:H172,C36:C172,"=4", B36:B172,"NO OFICIAL")</f>
        <v>251.625</v>
      </c>
      <c r="K226" s="27">
        <f>AVERAGEIFS($I$36:$I$172,$C$36:$C$172,"=4", $B$36:$B$172,"NO OFICIAL")</f>
        <v>33.25</v>
      </c>
      <c r="L226" s="27">
        <f>AVERAGEIFS($J$36:$J$172,$C$36:$C$172,"=4", $B$36:$B$172,"OFICIAL")</f>
        <v>244.33333333333334</v>
      </c>
      <c r="M226" s="27">
        <f>AVERAGEIFS($K$36:$K$172,$C$36:$C$172,"=4", $B$36:$B$172,"OFICIAL")</f>
        <v>37.333333333333336</v>
      </c>
      <c r="N226" s="27">
        <f>AVERAGEIFS($J$36:$J$172,$C$36:$C$172,"=4", $B$36:$B$172,"NO OFICIAL")</f>
        <v>262.33333333333331</v>
      </c>
      <c r="O226" s="27">
        <f>AVERAGEIFS($K$36:$K$172,$C$36:$C$172,"=4", $B$36:$B$172,"NO OFICIAL")</f>
        <v>30.333333333333332</v>
      </c>
      <c r="P226" s="27">
        <f>AVERAGEIFS($L$36:$L$172,$C$36:$C$172,"=4", $B$36:$B$172,"OFICIAL")</f>
        <v>237</v>
      </c>
      <c r="Q226" s="27">
        <f>AVERAGEIFS($M$36:$M$172,$C$36:$C$172,"=4", $B$36:$B$172,"OFICIAL")</f>
        <v>38.833333333333336</v>
      </c>
      <c r="R226" s="27">
        <f>AVERAGEIFS($L$36:$L$172,$C$36:$C$172,"=4", $B$36:$B$172,"NO OFICIAL")</f>
        <v>261.11111111111109</v>
      </c>
      <c r="S226" s="27">
        <f>AVERAGEIFS($M$36:$M$172,$C$36:$C$172,"=4", $B$36:$B$172,"NO OFICIAL")</f>
        <v>30.888888888888889</v>
      </c>
      <c r="T226" s="27">
        <f>AVERAGEIFS($N$36:$N$172,$C$36:$C$172,"=4", $B$36:$B$172,"OFICIAL")</f>
        <v>232.5</v>
      </c>
      <c r="U226" s="27">
        <f>AVERAGEIFS($O$36:$O$172,$C$36:$C$172,"=4", $B$36:$B$172,"OFICIAL")</f>
        <v>39.333333333333336</v>
      </c>
      <c r="V226" s="27">
        <f>AVERAGEIFS($N$36:$N$172,$C$36:$C$172,"=4", $B$36:$B$172,"NO OFICIAL")</f>
        <v>254</v>
      </c>
      <c r="W226" s="27">
        <f>AVERAGEIFS($O$36:$O$172,$C$36:$C$172,"=4", $B$36:$B$172,"NO OFICIAL")</f>
        <v>36.375</v>
      </c>
      <c r="X226" s="27">
        <f>AVERAGEIFS($P$36:$P$172,$C$36:$C$172,"=4", $B$36:$B$172,"OFICIAL")</f>
        <v>234.5</v>
      </c>
      <c r="Y226" s="27">
        <f>AVERAGEIFS($Q$36:$Q$172,$C$36:$C$172,"=4", $B$36:$B$172,"OFICIAL")</f>
        <v>35.5</v>
      </c>
      <c r="Z226" s="27">
        <f>AVERAGEIFS($P$36:$P$172,$C$36:$C$172,"=4", $B$36:$B$172,"NO OFICIAL")</f>
        <v>248.14285714285714</v>
      </c>
      <c r="AA226" s="27">
        <f>AVERAGEIFS($Q$36:$Q$172,$C$36:$C$172,"=4", $B$36:$B$172,"NO OFICIAL")</f>
        <v>37.285714285714285</v>
      </c>
      <c r="AB226" s="27">
        <f>AVERAGEIFS($R$36:$R$172,$C$36:$C$172,"=4", $B$36:$B$172,"OFICIAL")</f>
        <v>233.66666666666666</v>
      </c>
      <c r="AC226" s="27">
        <f>AVERAGEIFS($T$36:$T$172,$C$36:$C$172,"=4", $B$36:$B$172,"OFICIAL")</f>
        <v>37.333333333333336</v>
      </c>
      <c r="AD226" s="27">
        <f>AVERAGEIFS($P$36:$P$172,$C$36:$C$172,"=4", $B$36:$B$172,"NO OFICIAL")</f>
        <v>248.14285714285714</v>
      </c>
      <c r="AE226" s="27">
        <f>AVERAGEIFS($Q$36:$Q$172,$C$36:$C$172,"=4", $B$36:$B$172,"NO OFICIAL")</f>
        <v>37.285714285714285</v>
      </c>
      <c r="AF226" s="27">
        <f>AVERAGEIFS($R$36:$R$172,$C$36:$C$172,"=4", $B$36:$B$172,"OFICIAL")</f>
        <v>233.66666666666666</v>
      </c>
      <c r="AG226" s="27">
        <f>AVERAGEIFS($T$36:$T$172,$C$36:$C$172,"=4", $B$36:$B$172,"OFICIAL")</f>
        <v>37.333333333333336</v>
      </c>
      <c r="AH226" s="33">
        <f>AVERAGEIFS($P$36:$P$172,$C$36:$C$172,"=4", $B$36:$B$172,"NO OFICIAL")</f>
        <v>248.14285714285714</v>
      </c>
      <c r="AI226" s="27">
        <f>AVERAGEIFS($Q$36:$Q$172,$C$36:$C$172,"=4", $B$36:$B$172,"NO OFICIAL")</f>
        <v>37.285714285714285</v>
      </c>
      <c r="AJ226" s="27">
        <f>AVERAGEIFS($R$36:$R$172,$C$36:$C$172,"=4", $B$36:$B$172,"OFICIAL")</f>
        <v>233.66666666666666</v>
      </c>
      <c r="AK226" s="844">
        <f>AVERAGEIFS($T$36:$T$172,$C$36:$C$172,"=4", $B$36:$B$172,"OFICIAL")</f>
        <v>37.333333333333336</v>
      </c>
      <c r="AL226" s="1017"/>
      <c r="AM226" s="27">
        <f>AVERAGEIFS($Z$36:$Z$172,$C$36:$C$172,"=4", $B$36:$B$172,"NO OFICIAL")</f>
        <v>250.22222222222223</v>
      </c>
      <c r="AN226" s="27">
        <f>AVERAGEIFS($AB$36:$AB$172,$C$36:$C$172,"=4", $B$36:$B$172,"NO OFICIAL")</f>
        <v>36.111111111111114</v>
      </c>
      <c r="AO226" s="27">
        <v>238.16666666666666</v>
      </c>
      <c r="AP226" s="27">
        <v>40.833333333333336</v>
      </c>
      <c r="AQ226" s="27">
        <v>267.57142857142856</v>
      </c>
      <c r="AR226" s="27">
        <v>38.428571428571431</v>
      </c>
      <c r="AS226" s="27">
        <v>238.16666666666666</v>
      </c>
      <c r="AT226" s="27">
        <v>40.833333333333336</v>
      </c>
      <c r="AU226" s="27">
        <v>267.57142857142856</v>
      </c>
      <c r="AV226" s="27">
        <v>38.428571428571431</v>
      </c>
      <c r="AW226" s="979">
        <v>260</v>
      </c>
      <c r="AX226" s="27">
        <v>42.166666666666664</v>
      </c>
      <c r="AY226" s="978">
        <v>273</v>
      </c>
      <c r="AZ226" s="27">
        <v>38.111111111111114</v>
      </c>
    </row>
    <row r="227" spans="3:52" x14ac:dyDescent="0.2">
      <c r="C227" s="27" t="s">
        <v>144</v>
      </c>
      <c r="D227" s="27">
        <f>AVERAGEIFS($D$36:$D$172,$C$36:$C$172,"=5", $B$36:$B$172,"OFICIAL")</f>
        <v>257.79230769230776</v>
      </c>
      <c r="E227" s="27">
        <f>AVERAGEIFS($D$36:$D$172,$C$36:$C$172,"=5", $B$36:$B$172,"NO OFICIAL")</f>
        <v>268.6192307692308</v>
      </c>
      <c r="F227" s="27">
        <f>AVERAGEIFS($F$36:$F$172,$C$36:$C$172,"=5", $B$36:$B$172,"OFICIAL")</f>
        <v>257.5</v>
      </c>
      <c r="G227" s="27">
        <f>AVERAGEIFS($F$36:$F$172,$C$36:$C$172,"=5", $B$36:$B$172,"NO OFICIAL")</f>
        <v>268.52472527472526</v>
      </c>
      <c r="H227" s="27">
        <f>AVERAGEIFS($H$36:$H$172,$C$36:$C$172,"=5", $B$36:$B$172,"OFICIAL")</f>
        <v>264.5</v>
      </c>
      <c r="I227" s="27">
        <f>AVERAGEIFS($I$36:$I$172,$C$36:$C$172,"=5", $B$36:$B$172,"OFICIAL")</f>
        <v>34</v>
      </c>
      <c r="J227" s="27">
        <f>AVERAGEIFS(H36:H172,C36:C172,"=5", B36:B172,"NO OFICIAL")</f>
        <v>277.73333333333335</v>
      </c>
      <c r="K227" s="27">
        <f>AVERAGEIFS($I$36:$I$172,$C$36:$C$172,"=5", $B$36:$B$172,"NO OFICIAL")</f>
        <v>33.93333333333333</v>
      </c>
      <c r="L227" s="27">
        <f>AVERAGEIFS($J$36:$J$172,$C$36:$C$172,"=5", $B$36:$B$172,"OFICIAL")</f>
        <v>257.5</v>
      </c>
      <c r="M227" s="27">
        <f>AVERAGEIFS($K$36:$K$172,$C$36:$C$172,"=5", $B$36:$B$172,"OFICIAL")</f>
        <v>38</v>
      </c>
      <c r="N227" s="27">
        <f>AVERAGEIFS($J$36:$J$172,$C$36:$C$172,"=5", $B$36:$B$172,"NO OFICIAL")</f>
        <v>277.86666666666667</v>
      </c>
      <c r="O227" s="27">
        <f>AVERAGEIFS($K$36:$K$172,$C$36:$C$172,"=5", $B$36:$B$172,"NO OFICIAL")</f>
        <v>35.4</v>
      </c>
      <c r="P227" s="27">
        <f>AVERAGEIFS($L$36:$L$172,$C$36:$C$172,"=5", $B$36:$B$172,"OFICIAL")</f>
        <v>251</v>
      </c>
      <c r="Q227" s="27">
        <f>AVERAGEIFS($M$36:$M$172,$C$36:$C$172,"=5", $B$36:$B$172,"OFICIAL")</f>
        <v>37</v>
      </c>
      <c r="R227" s="27">
        <f>AVERAGEIFS($L$36:$L$172,$C$36:$C$172,"=5", $B$36:$B$172,"NO OFICIAL")</f>
        <v>274.0625</v>
      </c>
      <c r="S227" s="27">
        <f>AVERAGEIFS($M$36:$M$172,$C$36:$C$172,"=5", $B$36:$B$172,"NO OFICIAL")</f>
        <v>36.1875</v>
      </c>
      <c r="T227" s="27">
        <f>AVERAGEIFS($N$36:$N$172,$C$36:$C$172,"=5", $B$36:$B$172,"OFICIAL")</f>
        <v>252.5</v>
      </c>
      <c r="U227" s="27">
        <f>AVERAGEIFS($O$36:$O$172,$C$36:$C$172,"=5", $B$36:$B$172,"OFICIAL")</f>
        <v>37.5</v>
      </c>
      <c r="V227" s="27">
        <f>AVERAGEIFS($N$36:$N$172,$C$36:$C$172,"=5", $B$36:$B$172,"NO OFICIAL")</f>
        <v>270.1764705882353</v>
      </c>
      <c r="W227" s="27">
        <f>AVERAGEIFS($O$36:$O$172,$C$36:$C$172,"=5", $B$36:$B$172,"NO OFICIAL")</f>
        <v>37</v>
      </c>
      <c r="X227" s="27">
        <f>AVERAGEIFS($P$36:$P$172,$C$36:$C$172,"=5", $B$36:$B$172,"OFICIAL")</f>
        <v>252.5</v>
      </c>
      <c r="Y227" s="27">
        <f>AVERAGEIFS($Q$36:$Q$172,$C$36:$C$172,"=5", $B$36:$B$172,"OFICIAL")</f>
        <v>36</v>
      </c>
      <c r="Z227" s="27">
        <f>AVERAGEIFS($P$36:$P$172,$C$36:$C$172,"=5", $B$36:$B$172,"NO OFICIAL")</f>
        <v>274.4375</v>
      </c>
      <c r="AA227" s="27">
        <f>AVERAGEIFS($Q$36:$Q$172,$C$36:$C$172,"=5", $B$36:$B$172,"NO OFICIAL")</f>
        <v>34.25</v>
      </c>
      <c r="AB227" s="27">
        <f>AVERAGEIFS($R$36:$R$172,$C$36:$C$172,"=5", $B$36:$B$172,"OFICIAL")</f>
        <v>251</v>
      </c>
      <c r="AC227" s="27">
        <f>AVERAGEIFS($T$36:$T$172,$C$36:$C$172,"=5", $B$36:$B$172,"OFICIAL")</f>
        <v>41</v>
      </c>
      <c r="AD227" s="27">
        <f>AVERAGEIFS($P$36:$P$172,$C$36:$C$172,"=5", $B$36:$B$172,"NO OFICIAL")</f>
        <v>274.4375</v>
      </c>
      <c r="AE227" s="27">
        <f>AVERAGEIFS($Q$36:$Q$172,$C$36:$C$172,"=5", $B$36:$B$172,"NO OFICIAL")</f>
        <v>34.25</v>
      </c>
      <c r="AF227" s="27">
        <f>AVERAGEIFS($R$36:$R$172,$C$36:$C$172,"=5", $B$36:$B$172,"OFICIAL")</f>
        <v>251</v>
      </c>
      <c r="AG227" s="27">
        <f>AVERAGEIFS($T$36:$T$172,$C$36:$C$172,"=5", $B$36:$B$172,"OFICIAL")</f>
        <v>41</v>
      </c>
      <c r="AH227" s="33">
        <f>AVERAGEIFS($P$36:$P$172,$C$36:$C$172,"=5", $B$36:$B$172,"NO OFICIAL")</f>
        <v>274.4375</v>
      </c>
      <c r="AI227" s="27">
        <f>AVERAGEIFS($Q$36:$Q$172,$C$36:$C$172,"=5", $B$36:$B$172,"NO OFICIAL")</f>
        <v>34.25</v>
      </c>
      <c r="AJ227" s="27">
        <f>AVERAGEIFS($R$36:$R$172,$C$36:$C$172,"=5", $B$36:$B$172,"OFICIAL")</f>
        <v>251</v>
      </c>
      <c r="AK227" s="844">
        <f>AVERAGEIFS($T$36:$T$172,$C$36:$C$172,"=5", $B$36:$B$172,"OFICIAL")</f>
        <v>41</v>
      </c>
      <c r="AL227" s="1017"/>
      <c r="AM227" s="27">
        <f>AVERAGEIFS($Z$36:$Z$172,$C$36:$C$172,"=5", $B$36:$B$172,"NO OFICIAL")</f>
        <v>281</v>
      </c>
      <c r="AN227" s="27">
        <f>AVERAGEIFS($AB$36:$AB$172,$C$36:$C$172,"=5", $B$36:$B$172,"NO OFICIAL")</f>
        <v>38.6</v>
      </c>
      <c r="AO227" s="27">
        <v>270.66666666666669</v>
      </c>
      <c r="AP227" s="27">
        <v>42</v>
      </c>
      <c r="AQ227" s="27">
        <v>274.26666666666665</v>
      </c>
      <c r="AR227" s="27">
        <v>37.8125</v>
      </c>
      <c r="AS227" s="27">
        <v>270.66666666666669</v>
      </c>
      <c r="AT227" s="27">
        <v>42</v>
      </c>
      <c r="AU227" s="27">
        <v>274.26666666666665</v>
      </c>
      <c r="AV227" s="27">
        <v>37.8125</v>
      </c>
      <c r="AW227" s="979">
        <v>278</v>
      </c>
      <c r="AX227" s="27">
        <v>43.5</v>
      </c>
      <c r="AY227" s="978">
        <v>280</v>
      </c>
      <c r="AZ227" s="27">
        <v>40.9375</v>
      </c>
    </row>
    <row r="228" spans="3:52" x14ac:dyDescent="0.2">
      <c r="C228" s="27" t="s">
        <v>145</v>
      </c>
      <c r="D228" s="27">
        <f>AVERAGEIFS($D$36:$D$172,$C$36:$C$172,"=6", $B$36:$B$172,"OFICIAL")</f>
        <v>250.58076923076925</v>
      </c>
      <c r="E228" s="27">
        <f>AVERAGEIFS($D$36:$D$172,$C$36:$C$172,"=6", $B$36:$B$172,"NO OFICIAL")</f>
        <v>259.0291666666667</v>
      </c>
      <c r="F228" s="27">
        <f>AVERAGEIFS($F$36:$F$172,$C$36:$C$172,"=6", $B$36:$B$172,"OFICIAL")</f>
        <v>249.93173076923077</v>
      </c>
      <c r="G228" s="27">
        <f>AVERAGEIFS($F$36:$F$172,$C$36:$C$172,"=6", $B$36:$B$172,"NO OFICIAL")</f>
        <v>258.6176282051282</v>
      </c>
      <c r="H228" s="27">
        <f>AVERAGEIFS($H$36:$H$172,$C$36:$C$172,"=6", $B$36:$B$172,"OFICIAL")</f>
        <v>259.25</v>
      </c>
      <c r="I228" s="27">
        <f>AVERAGEIFS($I$36:$I$172,$C$36:$C$172,"=6", $B$36:$B$172,"OFICIAL")</f>
        <v>35.25</v>
      </c>
      <c r="J228" s="27">
        <f>AVERAGEIFS(H36:H172,C36:C172,"=6", B36:B172,"NO OFICIAL")</f>
        <v>270</v>
      </c>
      <c r="K228" s="27">
        <f>AVERAGEIFS($I$36:$I$172,$C$36:$C$172,"=6", $B$36:$B$172,"NO OFICIAL")</f>
        <v>30.6</v>
      </c>
      <c r="L228" s="27">
        <f>AVERAGEIFS($J$36:$J$172,$C$36:$C$172,"=6", $B$36:$B$172,"OFICIAL")</f>
        <v>256.75</v>
      </c>
      <c r="M228" s="27">
        <f>AVERAGEIFS($K$36:$K$172,$C$36:$C$172,"=6", $B$36:$B$172,"OFICIAL")</f>
        <v>37.75</v>
      </c>
      <c r="N228" s="27">
        <f>AVERAGEIFS($J$36:$J$172,$C$36:$C$172,"=6", $B$36:$B$172,"NO OFICIAL")</f>
        <v>259.63636363636363</v>
      </c>
      <c r="O228" s="27">
        <f>AVERAGEIFS($K$36:$K$172,$C$36:$C$172,"=6", $B$36:$B$172,"NO OFICIAL")</f>
        <v>39.454545454545453</v>
      </c>
      <c r="P228" s="27">
        <f>AVERAGEIFS($L$36:$L$172,$C$36:$C$172,"=6", $B$36:$B$172,"OFICIAL")</f>
        <v>252</v>
      </c>
      <c r="Q228" s="27">
        <f>AVERAGEIFS($M$36:$M$172,$C$36:$C$172,"=6", $B$36:$B$172,"OFICIAL")</f>
        <v>39</v>
      </c>
      <c r="R228" s="27">
        <f>AVERAGEIFS($L$36:$L$172,$C$36:$C$172,"=6", $B$36:$B$172,"NO OFICIAL")</f>
        <v>263.3</v>
      </c>
      <c r="S228" s="27">
        <f>AVERAGEIFS($M$36:$M$172,$C$36:$C$172,"=6", $B$36:$B$172,"NO OFICIAL")</f>
        <v>38.700000000000003</v>
      </c>
      <c r="T228" s="27">
        <f>AVERAGEIFS($N$36:$N$172,$C$36:$C$172,"=6", $B$36:$B$172,"OFICIAL")</f>
        <v>249.25</v>
      </c>
      <c r="U228" s="27">
        <f>AVERAGEIFS($O$36:$O$172,$C$36:$C$172,"=6", $B$36:$B$172,"OFICIAL")</f>
        <v>38</v>
      </c>
      <c r="V228" s="27">
        <f>AVERAGEIFS($N$36:$N$172,$C$36:$C$172,"6", $B$36:$B$172,"NO OFICIAL")</f>
        <v>262.54545454545456</v>
      </c>
      <c r="W228" s="27">
        <f>AVERAGEIFS($O$36:$O$172,$C$36:$C$172,"=6", $B$36:$B$172,"NO OFICIAL")</f>
        <v>41.909090909090907</v>
      </c>
      <c r="X228" s="27">
        <f>AVERAGEIFS($P$36:$P$172,$C$36:$C$172,"=6", $B$36:$B$172,"OFICIAL")</f>
        <v>251.25</v>
      </c>
      <c r="Y228" s="27">
        <f>AVERAGEIFS($Q$36:$Q$172,$C$36:$C$172,"=6", $B$36:$B$172,"OFICIAL")</f>
        <v>37.5</v>
      </c>
      <c r="Z228" s="27">
        <f>AVERAGEIFS($P$36:$P$172,$C$36:$C$172,"=6", $B$36:$B$172,"NO OFICIAL")</f>
        <v>253.46153846153845</v>
      </c>
      <c r="AA228" s="27">
        <f>AVERAGEIFS($Q$36:$Q$172,$C$36:$C$172,"=6", $B$36:$B$172,"NO OFICIAL")</f>
        <v>34.384615384615387</v>
      </c>
      <c r="AB228" s="27">
        <f>AVERAGEIFS($R$36:$R$172,$C$36:$C$172,"=6", $B$36:$B$172,"OFICIAL")</f>
        <v>245.75</v>
      </c>
      <c r="AC228" s="27">
        <f>AVERAGEIFS($T$36:$T$172,$C$36:$C$172,"=6", $B$36:$B$172,"OFICIAL")</f>
        <v>38.75</v>
      </c>
      <c r="AD228" s="27">
        <f>AVERAGEIFS($P$36:$P$172,$C$36:$C$172,"=6", $B$36:$B$172,"NO OFICIAL")</f>
        <v>253.46153846153845</v>
      </c>
      <c r="AE228" s="27">
        <f>AVERAGEIFS($Q$36:$Q$172,$C$36:$C$172,"=6", $B$36:$B$172,"NO OFICIAL")</f>
        <v>34.384615384615387</v>
      </c>
      <c r="AF228" s="27">
        <f>AVERAGEIFS($R$36:$R$172,$C$36:$C$172,"=6", $B$36:$B$172,"OFICIAL")</f>
        <v>245.75</v>
      </c>
      <c r="AG228" s="27">
        <f>AVERAGEIFS($T$36:$T$172,$C$36:$C$172,"=6", $B$36:$B$172,"OFICIAL")</f>
        <v>38.75</v>
      </c>
      <c r="AH228" s="33">
        <f>AVERAGEIFS($P$36:$P$172,$C$36:$C$172,"=6", $B$36:$B$172,"NO OFICIAL")</f>
        <v>253.46153846153845</v>
      </c>
      <c r="AI228" s="27">
        <f>AVERAGEIFS($Q$36:$Q$172,$C$36:$C$172,"=6", $B$36:$B$172,"NO OFICIAL")</f>
        <v>34.384615384615387</v>
      </c>
      <c r="AJ228" s="27">
        <f>AVERAGEIFS($R$36:$R$172,$C$36:$C$172,"=6", $B$36:$B$172,"OFICIAL")</f>
        <v>245.75</v>
      </c>
      <c r="AK228" s="844">
        <f>AVERAGEIFS($T$36:$T$172,$C$36:$C$172,"=6", $B$36:$B$172,"OFICIAL")</f>
        <v>38.75</v>
      </c>
      <c r="AL228" s="1017"/>
      <c r="AM228" s="27">
        <f>AVERAGEIFS($R$36:$R$172,$C$36:$C$172,"=6", $B$36:$B$172,"NO OFICIAL")</f>
        <v>258.61538461538464</v>
      </c>
      <c r="AN228" s="27">
        <f>AVERAGEIFS($AB$36:$AB$172,$C$36:$C$172,"=6", $B$36:$B$172,"NO OFICIAL")</f>
        <v>35.1875</v>
      </c>
      <c r="AO228" s="27">
        <v>253.5</v>
      </c>
      <c r="AP228" s="27">
        <v>42</v>
      </c>
      <c r="AQ228" s="27">
        <v>268.07142857142856</v>
      </c>
      <c r="AR228" s="27">
        <v>41.133333333333333</v>
      </c>
      <c r="AS228" s="27">
        <v>253.5</v>
      </c>
      <c r="AT228" s="27">
        <v>42</v>
      </c>
      <c r="AU228" s="27">
        <v>268.07142857142856</v>
      </c>
      <c r="AV228" s="27">
        <v>41.133333333333333</v>
      </c>
      <c r="AW228" s="979">
        <v>270</v>
      </c>
      <c r="AX228" s="27">
        <v>43.5</v>
      </c>
      <c r="AY228" s="978">
        <v>273</v>
      </c>
      <c r="AZ228" s="27">
        <v>39.0625</v>
      </c>
    </row>
    <row r="231" spans="3:52" x14ac:dyDescent="0.2">
      <c r="AM231" s="26"/>
      <c r="AN231" s="26"/>
    </row>
    <row r="232" spans="3:52" x14ac:dyDescent="0.2">
      <c r="AM232" s="26"/>
      <c r="AN232" s="26"/>
      <c r="AO232" s="26"/>
      <c r="AP232" s="26"/>
    </row>
    <row r="233" spans="3:52" ht="12.75" customHeight="1" x14ac:dyDescent="0.2">
      <c r="H233" s="1058" t="s">
        <v>148</v>
      </c>
      <c r="I233" s="1059"/>
      <c r="J233" s="1059"/>
      <c r="K233" s="1059"/>
      <c r="L233" s="1059"/>
      <c r="M233" s="1059"/>
      <c r="N233" s="1059"/>
      <c r="O233" s="1059"/>
      <c r="P233" s="1059"/>
      <c r="Q233" s="1059"/>
      <c r="R233" s="1059"/>
      <c r="V233" s="1060" t="s">
        <v>149</v>
      </c>
      <c r="W233" s="1061"/>
      <c r="X233" s="1061"/>
      <c r="Y233" s="1061"/>
      <c r="Z233" s="1061"/>
      <c r="AA233" s="1061"/>
      <c r="AB233" s="1061"/>
      <c r="AC233" s="1061"/>
      <c r="AD233" s="1061"/>
      <c r="AE233" s="1061"/>
      <c r="AF233" s="1061"/>
      <c r="AM233" s="26"/>
      <c r="AN233" s="26"/>
      <c r="AO233" s="26"/>
      <c r="AP233" s="26"/>
      <c r="AQ233" s="26"/>
      <c r="AR233" s="26"/>
      <c r="AT233" s="26"/>
    </row>
    <row r="234" spans="3:52" x14ac:dyDescent="0.2">
      <c r="H234" s="7"/>
      <c r="I234" s="7">
        <v>2016</v>
      </c>
      <c r="J234" s="7">
        <v>2017</v>
      </c>
      <c r="K234" s="7">
        <v>2018</v>
      </c>
      <c r="L234" s="7">
        <v>2019</v>
      </c>
      <c r="M234" s="7">
        <v>2020</v>
      </c>
      <c r="N234" s="248">
        <v>2021</v>
      </c>
      <c r="O234" s="458">
        <v>2022</v>
      </c>
      <c r="P234" s="458">
        <v>2023</v>
      </c>
      <c r="Q234" s="458">
        <v>2024</v>
      </c>
      <c r="R234" s="458">
        <v>2025</v>
      </c>
      <c r="V234" s="7"/>
      <c r="W234" s="7">
        <v>2016</v>
      </c>
      <c r="X234" s="7">
        <v>2017</v>
      </c>
      <c r="Y234" s="7">
        <v>2018</v>
      </c>
      <c r="Z234" s="7">
        <v>2019</v>
      </c>
      <c r="AA234" s="7">
        <v>2020</v>
      </c>
      <c r="AB234" s="7">
        <v>2021</v>
      </c>
      <c r="AC234" s="7">
        <v>2022</v>
      </c>
      <c r="AD234" s="7">
        <v>2023</v>
      </c>
      <c r="AE234" s="7">
        <v>2024</v>
      </c>
      <c r="AF234" s="972">
        <v>2025</v>
      </c>
      <c r="AH234" s="819">
        <v>2023</v>
      </c>
      <c r="AI234" s="819">
        <v>2024</v>
      </c>
      <c r="AM234" s="26"/>
      <c r="AN234" s="26"/>
      <c r="AO234" s="26"/>
      <c r="AP234" s="26"/>
      <c r="AQ234" s="26"/>
      <c r="AR234" s="26"/>
      <c r="AT234" s="26"/>
    </row>
    <row r="235" spans="3:52" x14ac:dyDescent="0.2">
      <c r="H235" s="5" t="s">
        <v>939</v>
      </c>
      <c r="I235" s="10">
        <v>260</v>
      </c>
      <c r="J235" s="10">
        <v>253</v>
      </c>
      <c r="K235" s="10">
        <v>250</v>
      </c>
      <c r="L235" s="10">
        <v>249</v>
      </c>
      <c r="M235" s="10">
        <v>251</v>
      </c>
      <c r="N235" s="268">
        <v>248</v>
      </c>
      <c r="O235" s="268">
        <v>252</v>
      </c>
      <c r="P235" s="268">
        <v>253</v>
      </c>
      <c r="Q235" s="268">
        <v>257</v>
      </c>
      <c r="R235" s="981">
        <v>258</v>
      </c>
      <c r="V235" s="5" t="s">
        <v>940</v>
      </c>
      <c r="W235" s="10">
        <v>272</v>
      </c>
      <c r="X235" s="10">
        <v>270</v>
      </c>
      <c r="Y235" s="10">
        <v>269</v>
      </c>
      <c r="Z235" s="10">
        <v>266</v>
      </c>
      <c r="AA235" s="10">
        <v>265</v>
      </c>
      <c r="AB235" s="268">
        <v>266</v>
      </c>
      <c r="AC235" s="268">
        <v>272</v>
      </c>
      <c r="AD235" s="10">
        <v>266</v>
      </c>
      <c r="AE235" s="10">
        <v>265</v>
      </c>
      <c r="AF235" s="981">
        <v>277</v>
      </c>
      <c r="AH235" s="23">
        <v>266</v>
      </c>
      <c r="AI235" s="10">
        <v>265</v>
      </c>
      <c r="AJ235" s="667"/>
      <c r="AM235" s="26"/>
      <c r="AN235" s="26"/>
      <c r="AO235" s="26"/>
      <c r="AP235" s="26"/>
      <c r="AQ235" s="26"/>
      <c r="AR235" s="26"/>
      <c r="AT235" s="26"/>
    </row>
    <row r="236" spans="3:52" x14ac:dyDescent="0.2">
      <c r="H236" s="27" t="s">
        <v>140</v>
      </c>
      <c r="I236" s="27">
        <v>262.5</v>
      </c>
      <c r="J236" s="27">
        <v>263</v>
      </c>
      <c r="K236" s="27">
        <v>255.75</v>
      </c>
      <c r="L236" s="27">
        <v>253.75</v>
      </c>
      <c r="M236" s="27">
        <v>255.5</v>
      </c>
      <c r="N236" s="27">
        <v>251.5</v>
      </c>
      <c r="O236" s="27">
        <v>252.8</v>
      </c>
      <c r="P236" s="27">
        <v>253.6</v>
      </c>
      <c r="Q236" s="27">
        <v>255.4</v>
      </c>
      <c r="R236" s="978">
        <v>265</v>
      </c>
      <c r="V236" s="27" t="s">
        <v>140</v>
      </c>
      <c r="W236" s="27">
        <v>260.46153846153845</v>
      </c>
      <c r="X236" s="27">
        <v>259.5</v>
      </c>
      <c r="Y236" s="27">
        <v>257.61538461538464</v>
      </c>
      <c r="Z236" s="27">
        <v>252.53846153846155</v>
      </c>
      <c r="AA236" s="27">
        <v>257.84615384615387</v>
      </c>
      <c r="AB236" s="27">
        <v>259.07692307692309</v>
      </c>
      <c r="AC236" s="27">
        <v>261.15384615384613</v>
      </c>
      <c r="AD236" s="27">
        <v>252.53846153846155</v>
      </c>
      <c r="AE236" s="27">
        <v>266.23076923076923</v>
      </c>
      <c r="AF236" s="667">
        <v>269</v>
      </c>
      <c r="AH236" s="33">
        <v>252.53846153846155</v>
      </c>
      <c r="AI236" s="27">
        <v>266.23076923076923</v>
      </c>
      <c r="AM236" s="26"/>
      <c r="AN236" s="26"/>
      <c r="AO236" s="26"/>
      <c r="AP236" s="26"/>
      <c r="AQ236" s="26"/>
      <c r="AR236" s="26"/>
      <c r="AT236" s="26"/>
    </row>
    <row r="237" spans="3:52" x14ac:dyDescent="0.2">
      <c r="H237" s="27" t="s">
        <v>141</v>
      </c>
      <c r="I237" s="27">
        <v>264.5</v>
      </c>
      <c r="J237" s="27">
        <v>261.5</v>
      </c>
      <c r="K237" s="27">
        <v>257.5</v>
      </c>
      <c r="L237" s="27">
        <v>253.5</v>
      </c>
      <c r="M237" s="27">
        <v>255.5</v>
      </c>
      <c r="N237" s="27">
        <v>250.5</v>
      </c>
      <c r="O237" s="27">
        <v>253.25</v>
      </c>
      <c r="P237" s="27">
        <v>255.5</v>
      </c>
      <c r="Q237" s="27">
        <v>262</v>
      </c>
      <c r="R237" s="978">
        <v>267</v>
      </c>
      <c r="V237" s="27" t="s">
        <v>141</v>
      </c>
      <c r="W237" s="27">
        <v>268.88888888888891</v>
      </c>
      <c r="X237" s="27">
        <v>266.11764705882354</v>
      </c>
      <c r="Y237" s="27">
        <v>263.52941176470586</v>
      </c>
      <c r="Z237" s="27">
        <v>263.66666666666669</v>
      </c>
      <c r="AA237" s="27">
        <v>259.45454545454544</v>
      </c>
      <c r="AB237" s="27">
        <v>258.14999999999998</v>
      </c>
      <c r="AC237" s="27">
        <v>269.28571428571428</v>
      </c>
      <c r="AD237" s="27">
        <v>263.66666666666669</v>
      </c>
      <c r="AE237" s="27">
        <v>272.7</v>
      </c>
      <c r="AF237" s="978">
        <v>268</v>
      </c>
      <c r="AH237" s="33">
        <v>263.66666666666669</v>
      </c>
      <c r="AI237" s="27">
        <v>272.7</v>
      </c>
      <c r="AM237" s="26"/>
      <c r="AN237" s="26"/>
      <c r="AO237" s="26"/>
      <c r="AP237" s="26"/>
      <c r="AQ237" s="26"/>
      <c r="AR237" s="26"/>
      <c r="AT237" s="26"/>
    </row>
    <row r="238" spans="3:52" x14ac:dyDescent="0.2">
      <c r="H238" s="27" t="s">
        <v>142</v>
      </c>
      <c r="I238" s="27">
        <v>259</v>
      </c>
      <c r="J238" s="27">
        <v>256.66666666666669</v>
      </c>
      <c r="K238" s="27">
        <v>257</v>
      </c>
      <c r="L238" s="27">
        <v>250</v>
      </c>
      <c r="M238" s="27">
        <v>252.75</v>
      </c>
      <c r="N238" s="27">
        <v>250.4</v>
      </c>
      <c r="O238" s="27">
        <v>257</v>
      </c>
      <c r="P238" s="27">
        <v>257</v>
      </c>
      <c r="Q238" s="27">
        <v>259</v>
      </c>
      <c r="R238" s="978">
        <v>272</v>
      </c>
      <c r="V238" s="27" t="s">
        <v>142</v>
      </c>
      <c r="W238" s="27">
        <v>271.61538461538464</v>
      </c>
      <c r="X238" s="27">
        <v>267.57142857142856</v>
      </c>
      <c r="Y238" s="27">
        <v>267.07142857142856</v>
      </c>
      <c r="Z238" s="27">
        <v>261.71428571428572</v>
      </c>
      <c r="AA238" s="27">
        <v>265.46666666666664</v>
      </c>
      <c r="AB238" s="27">
        <v>265.33333333333331</v>
      </c>
      <c r="AC238" s="27">
        <v>270.9375</v>
      </c>
      <c r="AD238" s="27">
        <v>261.71428571428572</v>
      </c>
      <c r="AE238" s="27">
        <v>274.13333333333333</v>
      </c>
      <c r="AF238" s="978">
        <v>278</v>
      </c>
      <c r="AH238" s="33">
        <v>261.71428571428572</v>
      </c>
      <c r="AI238" s="27">
        <v>274.13333333333333</v>
      </c>
      <c r="AM238" s="26"/>
      <c r="AN238" s="26"/>
      <c r="AO238" s="26"/>
      <c r="AP238" s="26"/>
      <c r="AQ238" s="26"/>
      <c r="AR238" s="26"/>
      <c r="AT238" s="26"/>
    </row>
    <row r="239" spans="3:52" x14ac:dyDescent="0.2">
      <c r="H239" s="27" t="s">
        <v>143</v>
      </c>
      <c r="I239" s="27">
        <v>243.83333333333334</v>
      </c>
      <c r="J239" s="27">
        <v>244.33333333333334</v>
      </c>
      <c r="K239" s="27">
        <v>237</v>
      </c>
      <c r="L239" s="27">
        <v>232.5</v>
      </c>
      <c r="M239" s="27">
        <v>234.5</v>
      </c>
      <c r="N239" s="27">
        <v>233.66666666666666</v>
      </c>
      <c r="O239" s="27">
        <v>238.33333333333334</v>
      </c>
      <c r="P239" s="27">
        <v>237.66666666666666</v>
      </c>
      <c r="Q239" s="27">
        <v>238.16666666666666</v>
      </c>
      <c r="R239" s="979">
        <v>260</v>
      </c>
      <c r="V239" s="27" t="s">
        <v>143</v>
      </c>
      <c r="W239" s="27">
        <v>251.625</v>
      </c>
      <c r="X239" s="27">
        <v>262.33333333333331</v>
      </c>
      <c r="Y239" s="27">
        <v>261.11111111111109</v>
      </c>
      <c r="Z239" s="27">
        <v>254</v>
      </c>
      <c r="AA239" s="27">
        <v>248.14285714285714</v>
      </c>
      <c r="AB239" s="27">
        <v>251.5</v>
      </c>
      <c r="AC239" s="27">
        <v>258.125</v>
      </c>
      <c r="AD239" s="27">
        <v>254</v>
      </c>
      <c r="AE239" s="27">
        <v>267.57142857142856</v>
      </c>
      <c r="AF239" s="978">
        <v>273</v>
      </c>
      <c r="AH239" s="33">
        <v>254</v>
      </c>
      <c r="AI239" s="27">
        <v>267.57142857142856</v>
      </c>
      <c r="AM239" s="26"/>
      <c r="AN239" s="26"/>
      <c r="AO239" s="26"/>
      <c r="AP239" s="26"/>
      <c r="AQ239" s="26"/>
      <c r="AR239" s="26"/>
      <c r="AS239" s="26"/>
      <c r="AT239" s="26"/>
    </row>
    <row r="240" spans="3:52" x14ac:dyDescent="0.2">
      <c r="H240" s="27" t="s">
        <v>144</v>
      </c>
      <c r="I240" s="27">
        <v>264.5</v>
      </c>
      <c r="J240" s="27">
        <v>257.5</v>
      </c>
      <c r="K240" s="27">
        <v>251</v>
      </c>
      <c r="L240" s="27">
        <v>252.5</v>
      </c>
      <c r="M240" s="27">
        <v>252.5</v>
      </c>
      <c r="N240" s="27">
        <v>251</v>
      </c>
      <c r="O240" s="27">
        <v>259.5</v>
      </c>
      <c r="P240" s="27">
        <v>256.5</v>
      </c>
      <c r="Q240" s="27">
        <v>270.66666666666669</v>
      </c>
      <c r="R240" s="979">
        <v>278</v>
      </c>
      <c r="V240" s="27" t="s">
        <v>144</v>
      </c>
      <c r="W240" s="27">
        <v>277.73333333333335</v>
      </c>
      <c r="X240" s="27">
        <v>277.86666666666667</v>
      </c>
      <c r="Y240" s="27">
        <v>274.0625</v>
      </c>
      <c r="Z240" s="27">
        <v>270.1764705882353</v>
      </c>
      <c r="AA240" s="27">
        <v>274.4375</v>
      </c>
      <c r="AB240" s="27">
        <v>272.875</v>
      </c>
      <c r="AC240" s="27">
        <v>278.93333333333334</v>
      </c>
      <c r="AD240" s="27">
        <v>270.1764705882353</v>
      </c>
      <c r="AE240" s="27">
        <v>274.26666666666665</v>
      </c>
      <c r="AF240" s="978">
        <v>280</v>
      </c>
      <c r="AH240" s="33">
        <v>270.1764705882353</v>
      </c>
      <c r="AI240" s="27">
        <v>274.26666666666665</v>
      </c>
      <c r="AM240" s="26"/>
      <c r="AN240" s="26"/>
      <c r="AO240" s="26"/>
      <c r="AP240" s="26"/>
    </row>
    <row r="241" spans="8:42" x14ac:dyDescent="0.2">
      <c r="H241" s="27" t="s">
        <v>145</v>
      </c>
      <c r="I241" s="27">
        <v>259.33333333333331</v>
      </c>
      <c r="J241" s="27">
        <v>257</v>
      </c>
      <c r="K241" s="27">
        <v>252.33333333333334</v>
      </c>
      <c r="L241" s="27">
        <v>250</v>
      </c>
      <c r="M241" s="27">
        <v>251.33333333333334</v>
      </c>
      <c r="N241" s="27">
        <v>246.33333333333334</v>
      </c>
      <c r="O241" s="27">
        <v>251</v>
      </c>
      <c r="P241" s="27">
        <v>249.33333333333334</v>
      </c>
      <c r="Q241" s="27">
        <v>253.5</v>
      </c>
      <c r="R241" s="979">
        <v>270</v>
      </c>
      <c r="V241" s="27" t="s">
        <v>145</v>
      </c>
      <c r="W241" s="27">
        <v>269.08333333333331</v>
      </c>
      <c r="X241" s="27">
        <v>259.33333333333331</v>
      </c>
      <c r="Y241" s="27">
        <v>262.18181818181819</v>
      </c>
      <c r="Z241" s="27">
        <v>261.25</v>
      </c>
      <c r="AA241" s="27">
        <v>253.28571428571428</v>
      </c>
      <c r="AB241" s="27">
        <v>257.57142857142856</v>
      </c>
      <c r="AC241" s="27">
        <v>259.6875</v>
      </c>
      <c r="AD241" s="27">
        <v>261.25</v>
      </c>
      <c r="AE241" s="27">
        <v>268.07142857142856</v>
      </c>
      <c r="AF241" s="978">
        <v>273</v>
      </c>
      <c r="AH241" s="33">
        <v>261.25</v>
      </c>
      <c r="AI241" s="27">
        <v>268.07142857142856</v>
      </c>
      <c r="AM241" s="26"/>
      <c r="AN241" s="26"/>
      <c r="AO241" s="26"/>
      <c r="AP241" s="26"/>
    </row>
    <row r="242" spans="8:42" x14ac:dyDescent="0.2">
      <c r="I242" s="26"/>
      <c r="J242" s="26"/>
      <c r="K242" s="26"/>
      <c r="L242" s="26"/>
      <c r="M242" s="26"/>
      <c r="N242" s="26"/>
      <c r="O242" s="26"/>
      <c r="P242" s="26"/>
      <c r="T242" s="26"/>
      <c r="U242" s="26"/>
      <c r="V242" s="26"/>
      <c r="W242" s="26"/>
      <c r="X242" s="26"/>
      <c r="Y242" s="26"/>
      <c r="Z242" s="26"/>
      <c r="AD242" s="26"/>
      <c r="AH242" s="68"/>
      <c r="AM242" s="26"/>
      <c r="AN242" s="26"/>
      <c r="AO242" s="26"/>
      <c r="AP242" s="26"/>
    </row>
    <row r="243" spans="8:42" x14ac:dyDescent="0.2">
      <c r="T243" s="26"/>
      <c r="U243" s="26"/>
      <c r="V243" s="26"/>
      <c r="W243" s="26"/>
      <c r="X243" s="26"/>
      <c r="Y243" s="26"/>
      <c r="Z243" s="26"/>
      <c r="AD243" s="26"/>
      <c r="AH243" s="68"/>
      <c r="AM243" s="26"/>
      <c r="AN243" s="26"/>
      <c r="AO243" s="26"/>
      <c r="AP243" s="26"/>
    </row>
    <row r="244" spans="8:42" x14ac:dyDescent="0.2">
      <c r="AM244" s="26"/>
      <c r="AN244" s="26"/>
      <c r="AO244" s="26"/>
      <c r="AP244" s="26"/>
    </row>
    <row r="245" spans="8:42" x14ac:dyDescent="0.2">
      <c r="AM245" s="26"/>
      <c r="AN245" s="26"/>
      <c r="AO245" s="26"/>
      <c r="AP245" s="26"/>
    </row>
    <row r="246" spans="8:42" x14ac:dyDescent="0.2">
      <c r="AM246" s="26"/>
      <c r="AN246" s="26"/>
      <c r="AO246" s="26"/>
      <c r="AP246" s="26"/>
    </row>
    <row r="247" spans="8:42" x14ac:dyDescent="0.2">
      <c r="AM247" s="26"/>
      <c r="AN247" s="26"/>
      <c r="AO247" s="26"/>
      <c r="AP247" s="26"/>
    </row>
    <row r="248" spans="8:42" x14ac:dyDescent="0.2">
      <c r="AM248" s="26"/>
      <c r="AN248" s="26"/>
      <c r="AO248" s="26"/>
      <c r="AP248" s="26"/>
    </row>
    <row r="249" spans="8:42" x14ac:dyDescent="0.2">
      <c r="AM249" s="26"/>
      <c r="AN249" s="26"/>
      <c r="AO249" s="26"/>
      <c r="AP249" s="26"/>
    </row>
    <row r="250" spans="8:42" x14ac:dyDescent="0.2">
      <c r="AM250" s="26"/>
      <c r="AN250" s="26"/>
      <c r="AO250" s="26"/>
      <c r="AP250" s="26"/>
    </row>
    <row r="251" spans="8:42" x14ac:dyDescent="0.2">
      <c r="AM251" s="26"/>
      <c r="AN251" s="26"/>
      <c r="AO251" s="26"/>
      <c r="AP251" s="26"/>
    </row>
    <row r="252" spans="8:42" x14ac:dyDescent="0.2">
      <c r="AM252" s="26"/>
      <c r="AN252" s="26"/>
      <c r="AO252" s="26"/>
      <c r="AP252" s="26"/>
    </row>
    <row r="253" spans="8:42" x14ac:dyDescent="0.2">
      <c r="AM253" s="26"/>
      <c r="AN253" s="26"/>
      <c r="AO253" s="26"/>
      <c r="AP253" s="26"/>
    </row>
    <row r="254" spans="8:42" x14ac:dyDescent="0.2">
      <c r="AM254" s="26"/>
      <c r="AN254" s="26"/>
      <c r="AO254" s="26"/>
      <c r="AP254" s="26"/>
    </row>
    <row r="255" spans="8:42" x14ac:dyDescent="0.2">
      <c r="AM255" s="26"/>
      <c r="AN255" s="26"/>
      <c r="AO255" s="26"/>
      <c r="AP255" s="26"/>
    </row>
    <row r="256" spans="8:42" x14ac:dyDescent="0.2">
      <c r="AM256" s="26"/>
      <c r="AN256" s="26"/>
      <c r="AO256" s="26"/>
      <c r="AP256" s="26"/>
    </row>
    <row r="257" spans="39:42" x14ac:dyDescent="0.2">
      <c r="AM257" s="26"/>
      <c r="AN257" s="26"/>
      <c r="AO257" s="26"/>
      <c r="AP257" s="26"/>
    </row>
    <row r="279" spans="18:28" ht="12.75" customHeight="1" x14ac:dyDescent="0.2">
      <c r="R279" s="1058" t="s">
        <v>942</v>
      </c>
      <c r="S279" s="1059"/>
      <c r="T279" s="1059"/>
      <c r="U279" s="1059"/>
      <c r="V279" s="1059"/>
      <c r="W279" s="1059"/>
      <c r="X279" s="1059"/>
      <c r="Y279" s="1059"/>
      <c r="Z279" s="1059"/>
      <c r="AA279" s="1059"/>
      <c r="AB279" s="1059"/>
    </row>
    <row r="280" spans="18:28" x14ac:dyDescent="0.2">
      <c r="R280" s="31"/>
      <c r="S280" s="457">
        <v>2016</v>
      </c>
      <c r="T280" s="457">
        <v>2017</v>
      </c>
      <c r="U280" s="457">
        <v>2018</v>
      </c>
      <c r="V280" s="457">
        <v>2019</v>
      </c>
      <c r="W280" s="457">
        <v>2020</v>
      </c>
      <c r="X280" s="457">
        <v>2021</v>
      </c>
      <c r="Y280" s="457">
        <v>2022</v>
      </c>
      <c r="Z280" s="457">
        <v>2023</v>
      </c>
      <c r="AA280" s="457">
        <v>2024</v>
      </c>
      <c r="AB280" s="984">
        <v>2025</v>
      </c>
    </row>
    <row r="281" spans="18:28" x14ac:dyDescent="0.2">
      <c r="R281" s="5" t="s">
        <v>136</v>
      </c>
      <c r="S281" s="23">
        <v>54</v>
      </c>
      <c r="T281" s="24">
        <v>55</v>
      </c>
      <c r="U281" s="24">
        <v>54</v>
      </c>
      <c r="V281" s="24">
        <v>54</v>
      </c>
      <c r="W281" s="24">
        <v>54</v>
      </c>
      <c r="X281" s="24">
        <v>55</v>
      </c>
      <c r="Y281" s="24">
        <v>55</v>
      </c>
      <c r="Z281" s="24">
        <v>55</v>
      </c>
      <c r="AA281" s="24">
        <v>56</v>
      </c>
      <c r="AB281" s="982">
        <v>56</v>
      </c>
    </row>
    <row r="282" spans="18:28" x14ac:dyDescent="0.2">
      <c r="R282" s="5" t="s">
        <v>157</v>
      </c>
      <c r="S282" s="23">
        <v>52</v>
      </c>
      <c r="T282" s="23">
        <v>52</v>
      </c>
      <c r="U282" s="23">
        <v>52</v>
      </c>
      <c r="V282" s="23">
        <v>53</v>
      </c>
      <c r="W282" s="23">
        <v>53</v>
      </c>
      <c r="X282" s="24">
        <v>52</v>
      </c>
      <c r="Y282" s="23">
        <v>53</v>
      </c>
      <c r="Z282" s="23">
        <v>53</v>
      </c>
      <c r="AA282" s="23">
        <v>54</v>
      </c>
      <c r="AB282" s="982">
        <v>54</v>
      </c>
    </row>
    <row r="283" spans="18:28" x14ac:dyDescent="0.2">
      <c r="R283" s="5" t="s">
        <v>158</v>
      </c>
      <c r="S283" s="23">
        <v>52</v>
      </c>
      <c r="T283" s="23">
        <v>52</v>
      </c>
      <c r="U283" s="23">
        <v>50</v>
      </c>
      <c r="V283" s="23">
        <v>48</v>
      </c>
      <c r="W283" s="23">
        <v>50</v>
      </c>
      <c r="X283" s="23">
        <v>49</v>
      </c>
      <c r="Y283" s="23">
        <v>50</v>
      </c>
      <c r="Z283" s="23">
        <v>50</v>
      </c>
      <c r="AA283" s="23">
        <v>50</v>
      </c>
      <c r="AB283" s="982">
        <v>50</v>
      </c>
    </row>
    <row r="284" spans="18:28" x14ac:dyDescent="0.2">
      <c r="R284" s="5" t="s">
        <v>137</v>
      </c>
      <c r="S284" s="23">
        <v>54</v>
      </c>
      <c r="T284" s="23">
        <v>53</v>
      </c>
      <c r="U284" s="23">
        <v>51</v>
      </c>
      <c r="V284" s="23">
        <v>50</v>
      </c>
      <c r="W284" s="23">
        <v>50</v>
      </c>
      <c r="X284" s="23">
        <v>50</v>
      </c>
      <c r="Y284" s="23">
        <v>51</v>
      </c>
      <c r="Z284" s="23">
        <v>51</v>
      </c>
      <c r="AA284" s="23">
        <v>52</v>
      </c>
      <c r="AB284" s="983">
        <v>53</v>
      </c>
    </row>
    <row r="285" spans="18:28" x14ac:dyDescent="0.2">
      <c r="R285" s="5" t="s">
        <v>159</v>
      </c>
      <c r="S285" s="23">
        <v>54</v>
      </c>
      <c r="T285" s="23">
        <v>53</v>
      </c>
      <c r="U285" s="23">
        <v>51</v>
      </c>
      <c r="V285" s="23">
        <v>50</v>
      </c>
      <c r="W285" s="23">
        <v>48</v>
      </c>
      <c r="X285" s="23">
        <v>52</v>
      </c>
      <c r="Y285" s="23">
        <v>53</v>
      </c>
      <c r="Z285" s="23">
        <v>53</v>
      </c>
      <c r="AA285" s="23">
        <v>54</v>
      </c>
      <c r="AB285" s="983">
        <v>55</v>
      </c>
    </row>
    <row r="318" spans="3:17" x14ac:dyDescent="0.2">
      <c r="H318" s="1044"/>
      <c r="I318" s="1045"/>
      <c r="J318" s="1045"/>
      <c r="K318" s="1045"/>
      <c r="L318" s="1045"/>
      <c r="M318" s="1045"/>
      <c r="N318" s="1045"/>
      <c r="O318" s="1045"/>
      <c r="P318" s="1045"/>
      <c r="Q318" s="73"/>
    </row>
    <row r="319" spans="3:17" x14ac:dyDescent="0.2">
      <c r="H319" s="34">
        <v>2016</v>
      </c>
      <c r="I319" s="460">
        <v>2017</v>
      </c>
      <c r="J319" s="34">
        <v>2018</v>
      </c>
      <c r="K319" s="460">
        <v>2019</v>
      </c>
      <c r="L319" s="34">
        <v>2020</v>
      </c>
      <c r="M319" s="7">
        <v>2021</v>
      </c>
      <c r="N319" s="29">
        <v>2022</v>
      </c>
      <c r="O319" s="29">
        <v>2023</v>
      </c>
      <c r="P319" s="29">
        <v>2024</v>
      </c>
      <c r="Q319" s="72"/>
    </row>
    <row r="320" spans="3:17" x14ac:dyDescent="0.2">
      <c r="C320" s="3" t="s">
        <v>10</v>
      </c>
      <c r="D320" s="3"/>
      <c r="E320" s="3"/>
      <c r="F320" s="3"/>
      <c r="G320" s="3"/>
      <c r="H320" s="17">
        <v>264</v>
      </c>
      <c r="I320" s="17">
        <v>262</v>
      </c>
      <c r="J320" s="17">
        <v>258</v>
      </c>
      <c r="K320" s="17">
        <v>253</v>
      </c>
      <c r="L320" s="91">
        <v>252</v>
      </c>
      <c r="M320" s="282">
        <v>250</v>
      </c>
      <c r="N320" s="313">
        <v>254</v>
      </c>
      <c r="O320" s="421">
        <v>257</v>
      </c>
      <c r="P320" s="421">
        <v>260</v>
      </c>
      <c r="Q320" s="94"/>
    </row>
    <row r="321" spans="3:17" x14ac:dyDescent="0.2">
      <c r="C321" s="4" t="s">
        <v>0</v>
      </c>
      <c r="D321" s="4"/>
      <c r="E321" s="4"/>
      <c r="F321" s="4"/>
      <c r="G321" s="4"/>
      <c r="H321" s="19">
        <v>266</v>
      </c>
      <c r="I321" s="19">
        <v>263</v>
      </c>
      <c r="J321" s="19">
        <v>260</v>
      </c>
      <c r="K321" s="19">
        <v>257</v>
      </c>
      <c r="L321" s="92">
        <v>258</v>
      </c>
      <c r="M321" s="283">
        <v>257</v>
      </c>
      <c r="N321" s="314">
        <v>262</v>
      </c>
      <c r="O321" s="422">
        <v>262</v>
      </c>
      <c r="P321" s="422">
        <v>265</v>
      </c>
      <c r="Q321" s="47"/>
    </row>
    <row r="322" spans="3:17" x14ac:dyDescent="0.2">
      <c r="C322" s="6" t="s">
        <v>12</v>
      </c>
      <c r="D322" s="6"/>
      <c r="E322" s="6"/>
      <c r="F322" s="6"/>
      <c r="G322" s="6"/>
      <c r="H322" s="21">
        <v>260</v>
      </c>
      <c r="I322" s="21">
        <v>257</v>
      </c>
      <c r="J322" s="21">
        <v>252</v>
      </c>
      <c r="K322" s="21">
        <v>249</v>
      </c>
      <c r="L322" s="93">
        <v>251</v>
      </c>
      <c r="M322" s="284">
        <v>248</v>
      </c>
      <c r="N322" s="315">
        <v>252</v>
      </c>
      <c r="O322" s="423">
        <v>253</v>
      </c>
      <c r="P322" s="423">
        <v>257</v>
      </c>
      <c r="Q322" s="47"/>
    </row>
    <row r="323" spans="3:17" x14ac:dyDescent="0.2">
      <c r="C323" s="6" t="s">
        <v>13</v>
      </c>
      <c r="D323" s="6"/>
      <c r="E323" s="6"/>
      <c r="F323" s="6"/>
      <c r="G323" s="6"/>
      <c r="H323" s="21">
        <v>260</v>
      </c>
      <c r="I323" s="21">
        <v>249</v>
      </c>
      <c r="J323" s="21">
        <v>248</v>
      </c>
      <c r="K323" s="21">
        <v>249</v>
      </c>
      <c r="L323" s="93">
        <v>248</v>
      </c>
      <c r="M323" s="284">
        <v>244</v>
      </c>
      <c r="N323" s="315">
        <v>249</v>
      </c>
      <c r="O323" s="423">
        <v>240</v>
      </c>
      <c r="P323" s="423">
        <v>244</v>
      </c>
      <c r="Q323" s="47"/>
    </row>
    <row r="324" spans="3:17" x14ac:dyDescent="0.2">
      <c r="C324" s="6" t="s">
        <v>14</v>
      </c>
      <c r="D324" s="6"/>
      <c r="E324" s="6"/>
      <c r="F324" s="6"/>
      <c r="G324" s="6"/>
      <c r="H324" s="21">
        <v>272</v>
      </c>
      <c r="I324" s="21">
        <v>270</v>
      </c>
      <c r="J324" s="21">
        <v>269</v>
      </c>
      <c r="K324" s="21">
        <v>266</v>
      </c>
      <c r="L324" s="93">
        <v>265</v>
      </c>
      <c r="M324" s="284">
        <v>266</v>
      </c>
      <c r="N324" s="315">
        <v>272</v>
      </c>
      <c r="O324" s="423">
        <v>273</v>
      </c>
      <c r="P324" s="423">
        <v>276</v>
      </c>
      <c r="Q324" s="47"/>
    </row>
    <row r="325" spans="3:17" x14ac:dyDescent="0.2">
      <c r="C325" s="6" t="s">
        <v>15</v>
      </c>
      <c r="D325" s="6"/>
      <c r="E325" s="6"/>
      <c r="F325" s="6"/>
      <c r="G325" s="6"/>
      <c r="H325" s="21">
        <v>256</v>
      </c>
      <c r="I325" s="21">
        <v>256</v>
      </c>
      <c r="J325" s="21">
        <v>251</v>
      </c>
      <c r="K325" s="21">
        <v>248</v>
      </c>
      <c r="L325" s="93">
        <v>247</v>
      </c>
      <c r="M325" s="284">
        <v>244</v>
      </c>
      <c r="N325" s="21">
        <v>248</v>
      </c>
      <c r="O325" s="423">
        <v>250</v>
      </c>
      <c r="P325" s="423">
        <v>248</v>
      </c>
      <c r="Q325" s="47"/>
    </row>
    <row r="326" spans="3:17" x14ac:dyDescent="0.2">
      <c r="C326" s="6" t="s">
        <v>16</v>
      </c>
      <c r="D326" s="6"/>
      <c r="E326" s="6"/>
      <c r="F326" s="6"/>
      <c r="G326" s="6"/>
      <c r="H326" s="21">
        <v>270</v>
      </c>
      <c r="I326" s="21">
        <v>269</v>
      </c>
      <c r="J326" s="21">
        <v>265</v>
      </c>
      <c r="K326" s="21">
        <v>262</v>
      </c>
      <c r="L326" s="93">
        <v>262</v>
      </c>
      <c r="M326" s="284">
        <v>261</v>
      </c>
      <c r="N326" s="21">
        <v>267</v>
      </c>
      <c r="O326" s="423">
        <v>269</v>
      </c>
      <c r="P326" s="423">
        <v>267</v>
      </c>
      <c r="Q326" s="47"/>
    </row>
    <row r="327" spans="3:17" x14ac:dyDescent="0.2">
      <c r="C327" s="6" t="s">
        <v>17</v>
      </c>
      <c r="D327" s="6"/>
      <c r="E327" s="6"/>
      <c r="F327" s="6"/>
      <c r="G327" s="6"/>
      <c r="H327" s="21"/>
      <c r="I327" s="21"/>
      <c r="J327" s="21"/>
      <c r="K327" s="21"/>
      <c r="L327" s="21"/>
      <c r="M327" s="21"/>
      <c r="N327" s="21">
        <v>313</v>
      </c>
      <c r="O327" s="21"/>
      <c r="P327" s="21">
        <v>309</v>
      </c>
      <c r="Q327" s="47"/>
    </row>
    <row r="352" spans="8:16" x14ac:dyDescent="0.2">
      <c r="H352" s="1044"/>
      <c r="I352" s="1063"/>
      <c r="J352" s="1063"/>
      <c r="K352" s="1063"/>
      <c r="L352" s="1063"/>
      <c r="M352" s="1063"/>
      <c r="N352" s="1063"/>
      <c r="O352" s="1063"/>
      <c r="P352" s="1063"/>
    </row>
    <row r="353" spans="7:16" x14ac:dyDescent="0.2">
      <c r="H353" s="34">
        <v>2016</v>
      </c>
      <c r="I353" s="460">
        <v>2017</v>
      </c>
      <c r="J353" s="34">
        <v>2018</v>
      </c>
      <c r="K353" s="460">
        <v>2019</v>
      </c>
      <c r="L353" s="34">
        <v>2020</v>
      </c>
      <c r="M353" s="29">
        <v>2021</v>
      </c>
      <c r="N353" s="29">
        <v>2022</v>
      </c>
      <c r="O353" s="29">
        <v>2023</v>
      </c>
      <c r="P353" s="29">
        <v>2024</v>
      </c>
    </row>
    <row r="354" spans="7:16" x14ac:dyDescent="0.2">
      <c r="G354" s="3" t="s">
        <v>10</v>
      </c>
      <c r="H354" s="17">
        <v>264</v>
      </c>
      <c r="I354" s="17">
        <v>262</v>
      </c>
      <c r="J354" s="17">
        <v>258</v>
      </c>
      <c r="K354" s="17">
        <v>253</v>
      </c>
      <c r="L354" s="91">
        <v>252</v>
      </c>
      <c r="M354" s="282">
        <v>250</v>
      </c>
      <c r="N354" s="313">
        <v>254</v>
      </c>
      <c r="O354" s="421">
        <v>257</v>
      </c>
      <c r="P354" s="421">
        <v>260</v>
      </c>
    </row>
    <row r="355" spans="7:16" x14ac:dyDescent="0.2">
      <c r="G355" s="4" t="s">
        <v>0</v>
      </c>
      <c r="H355" s="19">
        <v>266</v>
      </c>
      <c r="I355" s="19">
        <v>263</v>
      </c>
      <c r="J355" s="19">
        <v>260</v>
      </c>
      <c r="K355" s="19">
        <v>257</v>
      </c>
      <c r="L355" s="92">
        <v>258</v>
      </c>
      <c r="M355" s="283">
        <v>257</v>
      </c>
      <c r="N355" s="314">
        <v>262</v>
      </c>
      <c r="O355" s="422">
        <v>262</v>
      </c>
      <c r="P355" s="422">
        <v>265</v>
      </c>
    </row>
    <row r="356" spans="7:16" x14ac:dyDescent="0.2">
      <c r="G356" s="6" t="s">
        <v>12</v>
      </c>
      <c r="H356" s="21">
        <v>260</v>
      </c>
      <c r="I356" s="21">
        <v>257</v>
      </c>
      <c r="J356" s="21">
        <v>252</v>
      </c>
      <c r="K356" s="21">
        <v>249</v>
      </c>
      <c r="L356" s="93">
        <v>251</v>
      </c>
      <c r="M356" s="284">
        <v>248</v>
      </c>
      <c r="N356" s="315">
        <v>252</v>
      </c>
      <c r="O356" s="423">
        <v>253</v>
      </c>
      <c r="P356" s="423">
        <v>257</v>
      </c>
    </row>
    <row r="357" spans="7:16" x14ac:dyDescent="0.2">
      <c r="G357" s="6" t="s">
        <v>13</v>
      </c>
      <c r="H357" s="21">
        <v>260</v>
      </c>
      <c r="I357" s="21">
        <v>249</v>
      </c>
      <c r="J357" s="21">
        <v>248</v>
      </c>
      <c r="K357" s="21">
        <v>249</v>
      </c>
      <c r="L357" s="93">
        <v>248</v>
      </c>
      <c r="M357" s="284">
        <v>244</v>
      </c>
      <c r="N357" s="315">
        <v>249</v>
      </c>
      <c r="O357" s="423">
        <v>240</v>
      </c>
      <c r="P357" s="423">
        <v>244</v>
      </c>
    </row>
    <row r="358" spans="7:16" x14ac:dyDescent="0.2">
      <c r="G358" s="6" t="s">
        <v>14</v>
      </c>
      <c r="H358" s="21">
        <v>272</v>
      </c>
      <c r="I358" s="21">
        <v>270</v>
      </c>
      <c r="J358" s="21">
        <v>269</v>
      </c>
      <c r="K358" s="21">
        <v>266</v>
      </c>
      <c r="L358" s="93">
        <v>265</v>
      </c>
      <c r="M358" s="284">
        <v>266</v>
      </c>
      <c r="N358" s="315">
        <v>272</v>
      </c>
      <c r="O358" s="423">
        <v>273</v>
      </c>
      <c r="P358" s="423">
        <v>276</v>
      </c>
    </row>
    <row r="359" spans="7:16" x14ac:dyDescent="0.2">
      <c r="G359" s="6" t="s">
        <v>15</v>
      </c>
      <c r="H359" s="21">
        <v>256</v>
      </c>
      <c r="I359" s="21">
        <v>256</v>
      </c>
      <c r="J359" s="21">
        <v>251</v>
      </c>
      <c r="K359" s="21">
        <v>248</v>
      </c>
      <c r="L359" s="93">
        <v>247</v>
      </c>
      <c r="M359" s="284">
        <v>244</v>
      </c>
      <c r="N359" s="423"/>
      <c r="O359" s="423">
        <v>250</v>
      </c>
      <c r="P359" s="423">
        <v>248</v>
      </c>
    </row>
    <row r="360" spans="7:16" x14ac:dyDescent="0.2">
      <c r="G360" s="6" t="s">
        <v>16</v>
      </c>
      <c r="H360" s="21">
        <v>270</v>
      </c>
      <c r="I360" s="21">
        <v>269</v>
      </c>
      <c r="J360" s="21">
        <v>265</v>
      </c>
      <c r="K360" s="21">
        <v>262</v>
      </c>
      <c r="L360" s="93">
        <v>262</v>
      </c>
      <c r="M360" s="284">
        <v>261</v>
      </c>
      <c r="N360" s="423"/>
      <c r="O360" s="423">
        <v>269</v>
      </c>
      <c r="P360" s="423">
        <v>267</v>
      </c>
    </row>
    <row r="361" spans="7:16" x14ac:dyDescent="0.2">
      <c r="G361" s="6" t="s">
        <v>17</v>
      </c>
      <c r="H361" s="21">
        <v>281</v>
      </c>
      <c r="I361" s="21"/>
      <c r="J361" s="21"/>
      <c r="K361" s="21"/>
      <c r="L361" s="93"/>
      <c r="M361" s="284"/>
      <c r="N361" s="423"/>
      <c r="O361" s="423"/>
      <c r="P361" s="21">
        <v>309</v>
      </c>
    </row>
    <row r="396" spans="4:26" ht="25.5" x14ac:dyDescent="0.2">
      <c r="O396" s="970"/>
      <c r="P396" s="974" t="s">
        <v>149</v>
      </c>
      <c r="Q396" s="975"/>
      <c r="R396" s="975"/>
      <c r="S396" s="975"/>
      <c r="T396" s="975"/>
      <c r="U396" s="975"/>
      <c r="V396" s="975"/>
      <c r="W396" s="975"/>
      <c r="X396" s="975"/>
      <c r="Y396" s="975"/>
      <c r="Z396" s="975"/>
    </row>
    <row r="397" spans="4:26" ht="12.75" customHeight="1" x14ac:dyDescent="0.2">
      <c r="E397" s="1060" t="s">
        <v>148</v>
      </c>
      <c r="F397" s="1061"/>
      <c r="G397" s="1061"/>
      <c r="H397" s="1061"/>
      <c r="I397" s="1061"/>
      <c r="J397" s="1061"/>
      <c r="K397" s="1061"/>
      <c r="L397" s="1061"/>
      <c r="M397" s="1061"/>
      <c r="N397" s="1062"/>
      <c r="P397" s="970" t="s">
        <v>152</v>
      </c>
      <c r="Q397" s="969" t="s">
        <v>839</v>
      </c>
      <c r="R397" s="969" t="s">
        <v>840</v>
      </c>
      <c r="S397" s="969" t="s">
        <v>841</v>
      </c>
      <c r="T397" s="969" t="s">
        <v>842</v>
      </c>
      <c r="U397" s="969" t="s">
        <v>843</v>
      </c>
      <c r="V397" s="969" t="s">
        <v>844</v>
      </c>
      <c r="W397" s="969" t="s">
        <v>845</v>
      </c>
      <c r="X397" s="969" t="s">
        <v>943</v>
      </c>
      <c r="Y397" s="969" t="s">
        <v>944</v>
      </c>
      <c r="Z397" s="969" t="s">
        <v>962</v>
      </c>
    </row>
    <row r="398" spans="4:26" x14ac:dyDescent="0.2">
      <c r="D398" t="s">
        <v>152</v>
      </c>
      <c r="E398" s="34" t="s">
        <v>839</v>
      </c>
      <c r="F398" s="34" t="s">
        <v>840</v>
      </c>
      <c r="G398" s="34" t="s">
        <v>841</v>
      </c>
      <c r="H398" s="34" t="s">
        <v>842</v>
      </c>
      <c r="I398" s="34" t="s">
        <v>843</v>
      </c>
      <c r="J398" s="34" t="s">
        <v>844</v>
      </c>
      <c r="K398" s="34" t="s">
        <v>845</v>
      </c>
      <c r="L398" s="34" t="s">
        <v>943</v>
      </c>
      <c r="M398" s="34" t="s">
        <v>944</v>
      </c>
      <c r="N398" s="969" t="s">
        <v>962</v>
      </c>
      <c r="P398" s="482" t="s">
        <v>136</v>
      </c>
      <c r="Q398" s="423">
        <v>55</v>
      </c>
      <c r="R398" s="423">
        <v>56</v>
      </c>
      <c r="S398" s="423">
        <v>56</v>
      </c>
      <c r="T398" s="423">
        <v>56</v>
      </c>
      <c r="U398" s="423">
        <v>55</v>
      </c>
      <c r="V398" s="423">
        <v>56</v>
      </c>
      <c r="W398" s="423">
        <v>57</v>
      </c>
      <c r="X398" s="484">
        <v>57</v>
      </c>
      <c r="Y398" s="463">
        <v>58</v>
      </c>
      <c r="Z398" s="989">
        <v>58</v>
      </c>
    </row>
    <row r="399" spans="4:26" x14ac:dyDescent="0.2">
      <c r="D399" s="482" t="s">
        <v>136</v>
      </c>
      <c r="E399" s="423">
        <v>53</v>
      </c>
      <c r="F399" s="423">
        <v>54</v>
      </c>
      <c r="G399" s="423">
        <v>53</v>
      </c>
      <c r="H399" s="423">
        <v>53</v>
      </c>
      <c r="I399" s="423">
        <v>53</v>
      </c>
      <c r="J399" s="423">
        <v>53</v>
      </c>
      <c r="K399" s="423">
        <v>53</v>
      </c>
      <c r="L399" s="463">
        <v>54</v>
      </c>
      <c r="M399" s="463">
        <v>54</v>
      </c>
      <c r="N399" s="986">
        <v>54</v>
      </c>
      <c r="P399" s="482" t="s">
        <v>846</v>
      </c>
      <c r="Q399" s="423">
        <v>54</v>
      </c>
      <c r="R399" s="423">
        <v>53</v>
      </c>
      <c r="S399" s="423">
        <v>54</v>
      </c>
      <c r="T399" s="423">
        <v>55</v>
      </c>
      <c r="U399" s="423">
        <v>55</v>
      </c>
      <c r="V399" s="423">
        <v>54</v>
      </c>
      <c r="W399" s="423">
        <v>55</v>
      </c>
      <c r="X399" s="483">
        <v>55</v>
      </c>
      <c r="Y399" s="463">
        <v>56</v>
      </c>
      <c r="Z399" s="988">
        <v>56</v>
      </c>
    </row>
    <row r="400" spans="4:26" x14ac:dyDescent="0.2">
      <c r="D400" s="482" t="s">
        <v>846</v>
      </c>
      <c r="E400" s="423">
        <v>51</v>
      </c>
      <c r="F400" s="423">
        <v>51</v>
      </c>
      <c r="G400" s="423">
        <v>51</v>
      </c>
      <c r="H400" s="423">
        <v>51</v>
      </c>
      <c r="I400" s="423">
        <v>52</v>
      </c>
      <c r="J400" s="423">
        <v>50</v>
      </c>
      <c r="K400" s="423">
        <v>51</v>
      </c>
      <c r="L400" s="463">
        <v>52</v>
      </c>
      <c r="M400" s="463">
        <v>52</v>
      </c>
      <c r="N400" s="985">
        <v>52</v>
      </c>
      <c r="P400" s="482" t="s">
        <v>847</v>
      </c>
      <c r="Q400" s="423">
        <v>53</v>
      </c>
      <c r="R400" s="423">
        <v>53</v>
      </c>
      <c r="S400" s="423">
        <v>52</v>
      </c>
      <c r="T400" s="423">
        <v>50</v>
      </c>
      <c r="U400" s="423">
        <v>52</v>
      </c>
      <c r="V400" s="423">
        <v>51</v>
      </c>
      <c r="W400" s="423">
        <v>52</v>
      </c>
      <c r="X400" s="483">
        <v>53</v>
      </c>
      <c r="Y400" s="463">
        <v>53</v>
      </c>
      <c r="Z400" s="988">
        <v>53</v>
      </c>
    </row>
    <row r="401" spans="4:26" x14ac:dyDescent="0.2">
      <c r="D401" s="482" t="s">
        <v>847</v>
      </c>
      <c r="E401" s="423">
        <v>51</v>
      </c>
      <c r="F401" s="423">
        <v>50</v>
      </c>
      <c r="G401" s="423">
        <v>48</v>
      </c>
      <c r="H401" s="423">
        <v>47</v>
      </c>
      <c r="I401" s="423">
        <v>49</v>
      </c>
      <c r="J401" s="423">
        <v>47</v>
      </c>
      <c r="K401" s="423">
        <v>48</v>
      </c>
      <c r="L401" s="463">
        <v>49</v>
      </c>
      <c r="M401" s="463">
        <v>49</v>
      </c>
      <c r="N401" s="985">
        <v>48</v>
      </c>
      <c r="P401" s="482" t="s">
        <v>137</v>
      </c>
      <c r="Q401" s="423">
        <v>55</v>
      </c>
      <c r="R401" s="423">
        <v>54</v>
      </c>
      <c r="S401" s="423">
        <v>53</v>
      </c>
      <c r="T401" s="423">
        <v>52</v>
      </c>
      <c r="U401" s="423">
        <v>51</v>
      </c>
      <c r="V401" s="423">
        <v>51</v>
      </c>
      <c r="W401" s="423">
        <v>52</v>
      </c>
      <c r="X401" s="483">
        <v>53</v>
      </c>
      <c r="Y401" s="463">
        <v>54</v>
      </c>
      <c r="Z401" s="988">
        <v>54</v>
      </c>
    </row>
    <row r="402" spans="4:26" x14ac:dyDescent="0.2">
      <c r="D402" s="482" t="s">
        <v>137</v>
      </c>
      <c r="E402" s="423">
        <v>53</v>
      </c>
      <c r="F402" s="423">
        <v>52</v>
      </c>
      <c r="G402" s="423">
        <v>50</v>
      </c>
      <c r="H402" s="423">
        <v>49</v>
      </c>
      <c r="I402" s="423">
        <v>49</v>
      </c>
      <c r="J402" s="423">
        <v>48</v>
      </c>
      <c r="K402" s="423">
        <v>49</v>
      </c>
      <c r="L402" s="463">
        <v>50</v>
      </c>
      <c r="M402" s="463">
        <v>50</v>
      </c>
      <c r="N402" s="985">
        <v>51</v>
      </c>
      <c r="P402" s="482" t="s">
        <v>159</v>
      </c>
      <c r="Q402" s="423">
        <v>56</v>
      </c>
      <c r="R402" s="423">
        <v>53</v>
      </c>
      <c r="S402" s="423">
        <v>55</v>
      </c>
      <c r="T402" s="423">
        <v>54</v>
      </c>
      <c r="U402" s="423">
        <v>50</v>
      </c>
      <c r="V402" s="423">
        <v>55</v>
      </c>
      <c r="W402" s="423">
        <v>56</v>
      </c>
      <c r="X402" s="485">
        <v>56</v>
      </c>
      <c r="Y402" s="463">
        <v>57</v>
      </c>
      <c r="Z402" s="990">
        <v>57</v>
      </c>
    </row>
    <row r="403" spans="4:26" x14ac:dyDescent="0.2">
      <c r="D403" s="482" t="s">
        <v>848</v>
      </c>
      <c r="E403" s="423">
        <v>52</v>
      </c>
      <c r="F403" s="423">
        <v>49</v>
      </c>
      <c r="G403" s="423">
        <v>50</v>
      </c>
      <c r="H403" s="423">
        <v>49</v>
      </c>
      <c r="I403" s="423">
        <v>46</v>
      </c>
      <c r="J403" s="423">
        <v>49</v>
      </c>
      <c r="K403" s="423">
        <v>51</v>
      </c>
      <c r="L403" s="463">
        <v>52</v>
      </c>
      <c r="M403" s="463">
        <v>52</v>
      </c>
      <c r="N403" s="987">
        <v>52</v>
      </c>
    </row>
  </sheetData>
  <sheetProtection algorithmName="SHA-512" hashValue="oNZieqznq1I6DZ93coCytAeyj3Ecpy8RJecJju4QIG0Q/L5NXozYeBpkbduFVo4tznZLY+bhGg6sCEMSj2D46g==" saltValue="EVgqmbEqDBqjNt/kz9nmBA==" spinCount="100000" sheet="1" formatCells="0" formatColumns="0" formatRows="0" insertColumns="0" insertRows="0" insertHyperlinks="0" deleteColumns="0" deleteRows="0" sort="0" autoFilter="0" pivotTables="0"/>
  <autoFilter ref="A9:AK174" xr:uid="{F3FFA0D1-CBFE-46C6-8FE4-468D3C231E91}"/>
  <sortState ref="A38:Q172">
    <sortCondition ref="A38:A172"/>
  </sortState>
  <mergeCells count="71">
    <mergeCell ref="AW219:AZ219"/>
    <mergeCell ref="AW220:AX220"/>
    <mergeCell ref="AY220:AZ220"/>
    <mergeCell ref="F177:AA177"/>
    <mergeCell ref="V233:AF233"/>
    <mergeCell ref="Z220:AA220"/>
    <mergeCell ref="T219:W219"/>
    <mergeCell ref="T220:U220"/>
    <mergeCell ref="Z178:AA178"/>
    <mergeCell ref="AB219:AE219"/>
    <mergeCell ref="AB220:AC220"/>
    <mergeCell ref="AD220:AE220"/>
    <mergeCell ref="AS219:AV219"/>
    <mergeCell ref="AS220:AT220"/>
    <mergeCell ref="AU220:AV220"/>
    <mergeCell ref="AO219:AR219"/>
    <mergeCell ref="R279:AB279"/>
    <mergeCell ref="E397:N397"/>
    <mergeCell ref="H233:R233"/>
    <mergeCell ref="H352:P352"/>
    <mergeCell ref="N178:O178"/>
    <mergeCell ref="H220:I220"/>
    <mergeCell ref="J220:K220"/>
    <mergeCell ref="L220:M220"/>
    <mergeCell ref="N220:O220"/>
    <mergeCell ref="P220:Q220"/>
    <mergeCell ref="R178:S178"/>
    <mergeCell ref="V178:W178"/>
    <mergeCell ref="X178:Y178"/>
    <mergeCell ref="T178:U178"/>
    <mergeCell ref="X219:AA219"/>
    <mergeCell ref="X220:Y220"/>
    <mergeCell ref="Z8:AC8"/>
    <mergeCell ref="C178:C179"/>
    <mergeCell ref="H219:K219"/>
    <mergeCell ref="L219:O219"/>
    <mergeCell ref="A1:K1"/>
    <mergeCell ref="A3:K3"/>
    <mergeCell ref="H8:I8"/>
    <mergeCell ref="J8:K8"/>
    <mergeCell ref="L8:M8"/>
    <mergeCell ref="N8:O8"/>
    <mergeCell ref="H178:I178"/>
    <mergeCell ref="J178:K178"/>
    <mergeCell ref="L178:M178"/>
    <mergeCell ref="D8:E8"/>
    <mergeCell ref="F8:G8"/>
    <mergeCell ref="AO220:AP220"/>
    <mergeCell ref="AQ220:AR220"/>
    <mergeCell ref="AF220:AG220"/>
    <mergeCell ref="AH220:AI220"/>
    <mergeCell ref="AJ219:AN219"/>
    <mergeCell ref="AJ220:AK220"/>
    <mergeCell ref="AM220:AN220"/>
    <mergeCell ref="AF219:AI219"/>
    <mergeCell ref="AH8:AK8"/>
    <mergeCell ref="H318:P318"/>
    <mergeCell ref="D219:E219"/>
    <mergeCell ref="F219:G219"/>
    <mergeCell ref="D220:D221"/>
    <mergeCell ref="E220:E221"/>
    <mergeCell ref="F220:F221"/>
    <mergeCell ref="G220:G221"/>
    <mergeCell ref="P219:S219"/>
    <mergeCell ref="R220:S220"/>
    <mergeCell ref="AD8:AG8"/>
    <mergeCell ref="P8:Q8"/>
    <mergeCell ref="P178:Q178"/>
    <mergeCell ref="V220:W220"/>
    <mergeCell ref="R8:U8"/>
    <mergeCell ref="V8:Y8"/>
  </mergeCells>
  <phoneticPr fontId="81" type="noConversion"/>
  <pageMargins left="0.75" right="0.75" top="1" bottom="1" header="0.5" footer="0.5"/>
  <pageSetup orientation="portrait" horizontalDpi="300" verticalDpi="300" r:id="rId1"/>
  <headerFooter alignWithMargins="0"/>
  <drawing r:id="rId2"/>
  <tableParts count="2">
    <tablePart r:id="rId3"/>
    <tablePart r:id="rId4"/>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pageSetUpPr autoPageBreaks="0"/>
  </sheetPr>
  <dimension ref="A1:AW173"/>
  <sheetViews>
    <sheetView zoomScale="90" zoomScaleNormal="90" workbookViewId="0">
      <pane xSplit="3" topLeftCell="AG1" activePane="topRight" state="frozen"/>
      <selection activeCell="K23" sqref="K23"/>
      <selection pane="topRight" activeCell="AN11" sqref="AN11:AN13"/>
    </sheetView>
  </sheetViews>
  <sheetFormatPr baseColWidth="10" defaultColWidth="9.140625" defaultRowHeight="12.75" x14ac:dyDescent="0.2"/>
  <cols>
    <col min="1" max="1" width="20.5703125" customWidth="1"/>
    <col min="2" max="2" width="42.7109375" customWidth="1"/>
    <col min="3" max="3" width="70.85546875" style="757" customWidth="1"/>
    <col min="4" max="4" width="11.7109375" style="86" bestFit="1" customWidth="1"/>
    <col min="5" max="5" width="11.140625" customWidth="1"/>
    <col min="6" max="6" width="9.28515625" customWidth="1"/>
    <col min="7" max="7" width="10.140625" customWidth="1"/>
    <col min="8" max="33" width="9.140625" customWidth="1"/>
    <col min="44" max="44" width="9" style="26" customWidth="1"/>
    <col min="46" max="46" width="9.140625" style="856"/>
  </cols>
  <sheetData>
    <row r="1" spans="1:45" ht="26.25" x14ac:dyDescent="0.2">
      <c r="A1" s="1066" t="s">
        <v>1</v>
      </c>
      <c r="B1" s="1057"/>
      <c r="C1" s="1057"/>
      <c r="D1" s="1057"/>
      <c r="E1" s="1057"/>
      <c r="F1" s="1057"/>
      <c r="G1" s="1057"/>
      <c r="H1" s="1057"/>
      <c r="I1" s="1057"/>
    </row>
    <row r="3" spans="1:45" ht="20.25" x14ac:dyDescent="0.2">
      <c r="A3" s="1067" t="s">
        <v>2</v>
      </c>
      <c r="B3" s="1057"/>
      <c r="C3" s="1057"/>
      <c r="D3" s="1057"/>
      <c r="E3" s="1057"/>
      <c r="F3" s="1057"/>
      <c r="G3" s="1057"/>
      <c r="H3" s="1057"/>
      <c r="I3" s="1057"/>
    </row>
    <row r="7" spans="1:45" x14ac:dyDescent="0.2">
      <c r="F7" s="1064">
        <v>2016</v>
      </c>
      <c r="G7" s="1065"/>
      <c r="H7" s="1065"/>
      <c r="I7" s="1065"/>
      <c r="J7" s="1064">
        <v>2017</v>
      </c>
      <c r="K7" s="1065"/>
      <c r="L7" s="1065"/>
      <c r="M7" s="1065"/>
      <c r="N7" s="1064">
        <v>2018</v>
      </c>
      <c r="O7" s="1065"/>
      <c r="P7" s="1065"/>
      <c r="Q7" s="1065"/>
      <c r="R7" s="1064">
        <v>2019</v>
      </c>
      <c r="S7" s="1065"/>
      <c r="T7" s="1065"/>
      <c r="U7" s="1065"/>
      <c r="V7" s="1064">
        <v>2020</v>
      </c>
      <c r="W7" s="1065"/>
      <c r="X7" s="1065"/>
      <c r="Y7" s="1065"/>
      <c r="Z7" s="1064">
        <v>2021</v>
      </c>
      <c r="AA7" s="1065"/>
      <c r="AB7" s="1065"/>
      <c r="AC7" s="1065"/>
      <c r="AD7" s="1064">
        <v>2022</v>
      </c>
      <c r="AE7" s="1065"/>
      <c r="AF7" s="1065"/>
      <c r="AG7" s="1065"/>
      <c r="AH7" s="1064">
        <v>2023</v>
      </c>
      <c r="AI7" s="1065"/>
      <c r="AJ7" s="1065"/>
      <c r="AK7" s="1065"/>
      <c r="AL7" s="1064">
        <v>2024</v>
      </c>
      <c r="AM7" s="1065"/>
      <c r="AN7" s="1065"/>
      <c r="AO7" s="1065"/>
      <c r="AP7" s="1042">
        <v>2025</v>
      </c>
      <c r="AQ7" s="1043"/>
      <c r="AR7" s="1043"/>
      <c r="AS7" s="1043"/>
    </row>
    <row r="8" spans="1:45" ht="24.95" customHeight="1" x14ac:dyDescent="0.2">
      <c r="A8" s="7" t="s">
        <v>3</v>
      </c>
      <c r="B8" s="7" t="s">
        <v>4</v>
      </c>
      <c r="C8" s="758" t="s">
        <v>5</v>
      </c>
      <c r="D8" s="7" t="s">
        <v>138</v>
      </c>
      <c r="E8" s="7" t="s">
        <v>139</v>
      </c>
      <c r="F8" s="7" t="s">
        <v>6</v>
      </c>
      <c r="G8" s="7" t="s">
        <v>7</v>
      </c>
      <c r="H8" s="7" t="s">
        <v>8</v>
      </c>
      <c r="I8" s="7" t="s">
        <v>9</v>
      </c>
      <c r="J8" s="7" t="s">
        <v>6</v>
      </c>
      <c r="K8" s="7" t="s">
        <v>7</v>
      </c>
      <c r="L8" s="7" t="s">
        <v>8</v>
      </c>
      <c r="M8" s="7" t="s">
        <v>9</v>
      </c>
      <c r="N8" s="7" t="s">
        <v>6</v>
      </c>
      <c r="O8" s="7" t="s">
        <v>7</v>
      </c>
      <c r="P8" s="7" t="s">
        <v>8</v>
      </c>
      <c r="Q8" s="7" t="s">
        <v>9</v>
      </c>
      <c r="R8" s="7" t="s">
        <v>6</v>
      </c>
      <c r="S8" s="7" t="s">
        <v>7</v>
      </c>
      <c r="T8" s="7" t="s">
        <v>8</v>
      </c>
      <c r="U8" s="7" t="s">
        <v>9</v>
      </c>
      <c r="V8" s="16" t="s">
        <v>6</v>
      </c>
      <c r="W8" s="16" t="s">
        <v>7</v>
      </c>
      <c r="X8" s="16" t="s">
        <v>8</v>
      </c>
      <c r="Y8" s="16" t="s">
        <v>9</v>
      </c>
      <c r="Z8" s="16" t="s">
        <v>6</v>
      </c>
      <c r="AA8" s="16" t="s">
        <v>7</v>
      </c>
      <c r="AB8" s="16" t="s">
        <v>8</v>
      </c>
      <c r="AC8" s="16" t="s">
        <v>9</v>
      </c>
      <c r="AD8" s="16" t="s">
        <v>6</v>
      </c>
      <c r="AE8" s="16" t="s">
        <v>7</v>
      </c>
      <c r="AF8" s="16" t="s">
        <v>8</v>
      </c>
      <c r="AG8" s="16" t="s">
        <v>9</v>
      </c>
      <c r="AH8" s="16" t="s">
        <v>6</v>
      </c>
      <c r="AI8" s="16" t="s">
        <v>7</v>
      </c>
      <c r="AJ8" s="16" t="s">
        <v>8</v>
      </c>
      <c r="AK8" s="16" t="s">
        <v>9</v>
      </c>
      <c r="AL8" s="16" t="s">
        <v>6</v>
      </c>
      <c r="AM8" s="16" t="s">
        <v>7</v>
      </c>
      <c r="AN8" s="16" t="s">
        <v>8</v>
      </c>
      <c r="AO8" s="16" t="s">
        <v>9</v>
      </c>
      <c r="AP8" s="852" t="s">
        <v>6</v>
      </c>
      <c r="AQ8" s="852" t="s">
        <v>7</v>
      </c>
      <c r="AR8" s="859" t="s">
        <v>8</v>
      </c>
      <c r="AS8" s="852" t="s">
        <v>9</v>
      </c>
    </row>
    <row r="9" spans="1:45" ht="24.95" customHeight="1" x14ac:dyDescent="0.2">
      <c r="A9" s="3"/>
      <c r="B9" s="3" t="s">
        <v>10</v>
      </c>
      <c r="C9" s="3" t="s">
        <v>10</v>
      </c>
      <c r="D9" s="8"/>
      <c r="E9" s="3"/>
      <c r="F9" s="17">
        <v>488416</v>
      </c>
      <c r="G9" s="17">
        <v>479614</v>
      </c>
      <c r="H9" s="17">
        <v>474527</v>
      </c>
      <c r="I9" s="17">
        <v>469080</v>
      </c>
      <c r="J9" s="18">
        <v>488678</v>
      </c>
      <c r="K9" s="18">
        <v>474456</v>
      </c>
      <c r="L9" s="18">
        <v>469835</v>
      </c>
      <c r="M9" s="18">
        <v>464871</v>
      </c>
      <c r="N9" s="17">
        <v>495382</v>
      </c>
      <c r="O9" s="17">
        <v>471061</v>
      </c>
      <c r="P9" s="17">
        <v>467490</v>
      </c>
      <c r="Q9" s="17">
        <v>463047</v>
      </c>
      <c r="R9" s="17">
        <v>494071</v>
      </c>
      <c r="S9" s="17">
        <v>471174</v>
      </c>
      <c r="T9" s="17">
        <v>467413</v>
      </c>
      <c r="U9" s="17">
        <v>459812</v>
      </c>
      <c r="V9" s="18">
        <v>505243</v>
      </c>
      <c r="W9" s="18">
        <v>467657</v>
      </c>
      <c r="X9" s="18">
        <v>457214</v>
      </c>
      <c r="Y9" s="18">
        <v>457194</v>
      </c>
      <c r="Z9" s="568">
        <v>529919</v>
      </c>
      <c r="AA9" s="568">
        <v>499565</v>
      </c>
      <c r="AB9" s="568">
        <v>486271</v>
      </c>
      <c r="AC9" s="568">
        <v>486268</v>
      </c>
      <c r="AD9" s="569">
        <v>516769</v>
      </c>
      <c r="AE9" s="569">
        <v>497526</v>
      </c>
      <c r="AF9" s="569">
        <v>488193</v>
      </c>
      <c r="AG9" s="569">
        <v>488184</v>
      </c>
      <c r="AH9" s="570">
        <v>531702</v>
      </c>
      <c r="AI9" s="570">
        <v>516836</v>
      </c>
      <c r="AJ9" s="570">
        <v>507409</v>
      </c>
      <c r="AK9" s="570">
        <v>507409</v>
      </c>
      <c r="AL9" s="571">
        <v>528835</v>
      </c>
      <c r="AM9" s="571">
        <v>501558</v>
      </c>
      <c r="AN9" s="571">
        <v>494458</v>
      </c>
      <c r="AO9" s="571">
        <v>494458</v>
      </c>
      <c r="AP9" s="1026">
        <v>517550</v>
      </c>
      <c r="AQ9" s="1026">
        <v>507286</v>
      </c>
      <c r="AR9" s="1026">
        <v>499039</v>
      </c>
      <c r="AS9" s="1026">
        <v>499039</v>
      </c>
    </row>
    <row r="10" spans="1:45" ht="24.95" customHeight="1" x14ac:dyDescent="0.2">
      <c r="A10" s="4"/>
      <c r="B10" s="4" t="s">
        <v>0</v>
      </c>
      <c r="C10" s="4" t="s">
        <v>0</v>
      </c>
      <c r="D10" s="9"/>
      <c r="E10" s="4"/>
      <c r="F10" s="19">
        <v>5480</v>
      </c>
      <c r="G10" s="19">
        <v>6428</v>
      </c>
      <c r="H10" s="19">
        <v>6368</v>
      </c>
      <c r="I10" s="19">
        <v>6284</v>
      </c>
      <c r="J10" s="20">
        <v>6499</v>
      </c>
      <c r="K10" s="20">
        <v>6574</v>
      </c>
      <c r="L10" s="20">
        <v>6520</v>
      </c>
      <c r="M10" s="20">
        <v>6437</v>
      </c>
      <c r="N10" s="19">
        <v>6755</v>
      </c>
      <c r="O10" s="19">
        <v>6674</v>
      </c>
      <c r="P10" s="19">
        <v>6634</v>
      </c>
      <c r="Q10" s="19">
        <v>6558</v>
      </c>
      <c r="R10" s="19">
        <v>6767</v>
      </c>
      <c r="S10" s="19">
        <v>6742</v>
      </c>
      <c r="T10" s="19">
        <v>6710</v>
      </c>
      <c r="U10" s="19">
        <v>6573</v>
      </c>
      <c r="V10" s="20">
        <v>6968</v>
      </c>
      <c r="W10" s="20">
        <v>6906</v>
      </c>
      <c r="X10" s="20">
        <v>6828</v>
      </c>
      <c r="Y10" s="20">
        <v>6828</v>
      </c>
      <c r="Z10" s="572">
        <v>7245</v>
      </c>
      <c r="AA10" s="572">
        <v>7177</v>
      </c>
      <c r="AB10" s="572">
        <v>7048</v>
      </c>
      <c r="AC10" s="572">
        <v>7048</v>
      </c>
      <c r="AD10" s="573">
        <v>7362</v>
      </c>
      <c r="AE10" s="573">
        <v>7476</v>
      </c>
      <c r="AF10" s="573">
        <v>7394</v>
      </c>
      <c r="AG10" s="573">
        <v>7394</v>
      </c>
      <c r="AH10" s="520">
        <v>8012</v>
      </c>
      <c r="AI10" s="520">
        <v>7973</v>
      </c>
      <c r="AJ10" s="520">
        <v>7828</v>
      </c>
      <c r="AK10" s="520">
        <v>7828</v>
      </c>
      <c r="AL10" s="574">
        <v>8153</v>
      </c>
      <c r="AM10" s="574">
        <v>8028</v>
      </c>
      <c r="AN10" s="574">
        <v>7875</v>
      </c>
      <c r="AO10" s="574">
        <v>7875</v>
      </c>
      <c r="AP10" s="1027">
        <v>8319</v>
      </c>
      <c r="AQ10" s="1027">
        <v>8401</v>
      </c>
      <c r="AR10" s="1027">
        <v>8221</v>
      </c>
      <c r="AS10" s="1027">
        <v>8221</v>
      </c>
    </row>
    <row r="11" spans="1:45" ht="24.95" customHeight="1" x14ac:dyDescent="0.2">
      <c r="A11" s="6"/>
      <c r="B11" s="6" t="s">
        <v>12</v>
      </c>
      <c r="C11" s="6" t="s">
        <v>12</v>
      </c>
      <c r="D11" s="11"/>
      <c r="E11" s="6"/>
      <c r="F11" s="21">
        <v>2554</v>
      </c>
      <c r="G11" s="21">
        <v>3229</v>
      </c>
      <c r="H11" s="21">
        <v>3192</v>
      </c>
      <c r="I11" s="21">
        <v>3144</v>
      </c>
      <c r="J11" s="22">
        <v>3506</v>
      </c>
      <c r="K11" s="22">
        <v>3454</v>
      </c>
      <c r="L11" s="22">
        <v>3421</v>
      </c>
      <c r="M11" s="22">
        <v>3418</v>
      </c>
      <c r="N11" s="21">
        <v>3663</v>
      </c>
      <c r="O11" s="21">
        <v>3596</v>
      </c>
      <c r="P11" s="21">
        <v>3563</v>
      </c>
      <c r="Q11" s="21">
        <v>3563</v>
      </c>
      <c r="R11" s="21">
        <v>3661</v>
      </c>
      <c r="S11" s="21">
        <v>3570</v>
      </c>
      <c r="T11" s="21">
        <v>3550</v>
      </c>
      <c r="U11" s="21">
        <v>3545</v>
      </c>
      <c r="V11" s="22">
        <v>3672</v>
      </c>
      <c r="W11" s="22">
        <v>3434</v>
      </c>
      <c r="X11" s="22">
        <v>3394</v>
      </c>
      <c r="Y11" s="22">
        <v>3394</v>
      </c>
      <c r="Z11" s="575">
        <v>3886</v>
      </c>
      <c r="AA11" s="575">
        <v>3634</v>
      </c>
      <c r="AB11" s="575">
        <v>3541</v>
      </c>
      <c r="AC11" s="575">
        <v>3541</v>
      </c>
      <c r="AD11" s="316">
        <v>3972</v>
      </c>
      <c r="AE11" s="316">
        <v>3747</v>
      </c>
      <c r="AF11" s="316">
        <v>3691</v>
      </c>
      <c r="AG11" s="316">
        <v>3691</v>
      </c>
      <c r="AH11" s="521">
        <v>4330</v>
      </c>
      <c r="AI11" s="521">
        <v>4251</v>
      </c>
      <c r="AJ11" s="521">
        <v>4142</v>
      </c>
      <c r="AK11" s="521">
        <v>4142</v>
      </c>
      <c r="AL11" s="480">
        <v>4447</v>
      </c>
      <c r="AM11" s="480">
        <v>4337</v>
      </c>
      <c r="AN11" s="480">
        <v>4230</v>
      </c>
      <c r="AO11" s="480">
        <v>4230</v>
      </c>
      <c r="AP11" s="1028">
        <v>4479</v>
      </c>
      <c r="AQ11" s="1028">
        <v>4397</v>
      </c>
      <c r="AR11" s="1028">
        <v>4290</v>
      </c>
      <c r="AS11" s="1028">
        <v>4290</v>
      </c>
    </row>
    <row r="12" spans="1:45" ht="24.95" customHeight="1" x14ac:dyDescent="0.2">
      <c r="A12" s="6"/>
      <c r="B12" s="6" t="s">
        <v>13</v>
      </c>
      <c r="C12" s="6" t="s">
        <v>13</v>
      </c>
      <c r="D12" s="11"/>
      <c r="E12" s="6"/>
      <c r="F12" s="21">
        <v>0</v>
      </c>
      <c r="G12" s="21">
        <v>43</v>
      </c>
      <c r="H12" s="21">
        <v>43</v>
      </c>
      <c r="I12" s="21">
        <v>41</v>
      </c>
      <c r="J12" s="22">
        <v>44</v>
      </c>
      <c r="K12" s="22">
        <v>43</v>
      </c>
      <c r="L12" s="22">
        <v>42</v>
      </c>
      <c r="M12" s="22">
        <v>42</v>
      </c>
      <c r="N12" s="21">
        <v>36</v>
      </c>
      <c r="O12" s="21">
        <v>36</v>
      </c>
      <c r="P12" s="21">
        <v>36</v>
      </c>
      <c r="Q12" s="21">
        <v>36</v>
      </c>
      <c r="R12" s="21">
        <v>53</v>
      </c>
      <c r="S12" s="21">
        <v>53</v>
      </c>
      <c r="T12" s="21">
        <v>52</v>
      </c>
      <c r="U12" s="21">
        <v>52</v>
      </c>
      <c r="V12" s="22">
        <v>40</v>
      </c>
      <c r="W12" s="22">
        <v>40</v>
      </c>
      <c r="X12" s="22">
        <v>38</v>
      </c>
      <c r="Y12" s="22">
        <v>38</v>
      </c>
      <c r="Z12" s="575">
        <v>46</v>
      </c>
      <c r="AA12" s="575">
        <v>46</v>
      </c>
      <c r="AB12" s="575">
        <v>45</v>
      </c>
      <c r="AC12" s="575">
        <v>45</v>
      </c>
      <c r="AD12" s="316">
        <v>43</v>
      </c>
      <c r="AE12" s="316">
        <v>40</v>
      </c>
      <c r="AF12" s="316">
        <v>40</v>
      </c>
      <c r="AG12" s="316">
        <v>40</v>
      </c>
      <c r="AH12" s="521">
        <v>52</v>
      </c>
      <c r="AI12" s="521">
        <v>52</v>
      </c>
      <c r="AJ12" s="521">
        <v>50</v>
      </c>
      <c r="AK12" s="521">
        <v>50</v>
      </c>
      <c r="AL12" s="480">
        <v>48</v>
      </c>
      <c r="AM12" s="480">
        <v>48</v>
      </c>
      <c r="AN12" s="480">
        <v>47</v>
      </c>
      <c r="AO12" s="480">
        <v>47</v>
      </c>
      <c r="AP12" s="1028">
        <v>55</v>
      </c>
      <c r="AQ12" s="1028">
        <v>55</v>
      </c>
      <c r="AR12" s="1028">
        <v>53</v>
      </c>
      <c r="AS12" s="1028">
        <v>53</v>
      </c>
    </row>
    <row r="13" spans="1:45" ht="24.95" customHeight="1" x14ac:dyDescent="0.2">
      <c r="A13" s="6"/>
      <c r="B13" s="6" t="s">
        <v>14</v>
      </c>
      <c r="C13" s="6" t="s">
        <v>14</v>
      </c>
      <c r="D13" s="11"/>
      <c r="E13" s="6"/>
      <c r="F13" s="21">
        <v>2926</v>
      </c>
      <c r="G13" s="21">
        <v>3156</v>
      </c>
      <c r="H13" s="21">
        <v>3133</v>
      </c>
      <c r="I13" s="21">
        <v>3099</v>
      </c>
      <c r="J13" s="22">
        <v>2949</v>
      </c>
      <c r="K13" s="22">
        <v>3077</v>
      </c>
      <c r="L13" s="22">
        <v>3057</v>
      </c>
      <c r="M13" s="22">
        <v>3056</v>
      </c>
      <c r="N13" s="21">
        <v>3056</v>
      </c>
      <c r="O13" s="21">
        <v>3042</v>
      </c>
      <c r="P13" s="21">
        <v>3035</v>
      </c>
      <c r="Q13" s="21">
        <v>3035</v>
      </c>
      <c r="R13" s="21">
        <v>3053</v>
      </c>
      <c r="S13" s="21">
        <v>3119</v>
      </c>
      <c r="T13" s="21">
        <v>3108</v>
      </c>
      <c r="U13" s="21">
        <v>3105</v>
      </c>
      <c r="V13" s="22">
        <v>3256</v>
      </c>
      <c r="W13" s="22">
        <v>3432</v>
      </c>
      <c r="X13" s="22">
        <v>3396</v>
      </c>
      <c r="Y13" s="22">
        <v>3396</v>
      </c>
      <c r="Z13" s="575">
        <v>3313</v>
      </c>
      <c r="AA13" s="575">
        <v>3497</v>
      </c>
      <c r="AB13" s="575">
        <v>3462</v>
      </c>
      <c r="AC13" s="575">
        <v>3462</v>
      </c>
      <c r="AD13" s="316">
        <v>3347</v>
      </c>
      <c r="AE13" s="316">
        <v>3689</v>
      </c>
      <c r="AF13" s="316">
        <v>3663</v>
      </c>
      <c r="AG13" s="316">
        <v>3663</v>
      </c>
      <c r="AH13" s="521">
        <v>3630</v>
      </c>
      <c r="AI13" s="521">
        <v>3670</v>
      </c>
      <c r="AJ13" s="521">
        <v>3636</v>
      </c>
      <c r="AK13" s="521">
        <v>3636</v>
      </c>
      <c r="AL13" s="480">
        <v>3658</v>
      </c>
      <c r="AM13" s="480">
        <v>3643</v>
      </c>
      <c r="AN13" s="480">
        <v>3598</v>
      </c>
      <c r="AO13" s="480">
        <v>3598</v>
      </c>
      <c r="AP13" s="1028">
        <v>3785</v>
      </c>
      <c r="AQ13" s="1028">
        <v>3949</v>
      </c>
      <c r="AR13" s="1028">
        <v>3878</v>
      </c>
      <c r="AS13" s="1028">
        <v>3878</v>
      </c>
    </row>
    <row r="14" spans="1:45" ht="24.95" customHeight="1" x14ac:dyDescent="0.2">
      <c r="A14" s="6"/>
      <c r="B14" s="6" t="s">
        <v>15</v>
      </c>
      <c r="C14" s="6" t="s">
        <v>15</v>
      </c>
      <c r="D14" s="11"/>
      <c r="E14" s="6"/>
      <c r="F14" s="21">
        <v>1592</v>
      </c>
      <c r="G14" s="21">
        <v>2032</v>
      </c>
      <c r="H14" s="21">
        <v>2001</v>
      </c>
      <c r="I14" s="21">
        <v>1963</v>
      </c>
      <c r="J14" s="22">
        <v>2837</v>
      </c>
      <c r="K14" s="22">
        <v>2830</v>
      </c>
      <c r="L14" s="22">
        <v>2793</v>
      </c>
      <c r="M14" s="22">
        <v>2792</v>
      </c>
      <c r="N14" s="21">
        <v>2572</v>
      </c>
      <c r="O14" s="21">
        <v>2534</v>
      </c>
      <c r="P14" s="21">
        <v>2512</v>
      </c>
      <c r="Q14" s="21">
        <v>2512</v>
      </c>
      <c r="R14" s="21">
        <v>2706</v>
      </c>
      <c r="S14" s="21">
        <v>2662</v>
      </c>
      <c r="T14" s="21">
        <v>2647</v>
      </c>
      <c r="U14" s="21">
        <v>2643</v>
      </c>
      <c r="V14" s="22">
        <v>2083</v>
      </c>
      <c r="W14" s="22">
        <v>1965</v>
      </c>
      <c r="X14" s="22">
        <v>1934</v>
      </c>
      <c r="Y14" s="22">
        <v>1934</v>
      </c>
      <c r="Z14" s="575">
        <v>1975</v>
      </c>
      <c r="AA14" s="575">
        <v>1873</v>
      </c>
      <c r="AB14" s="575">
        <v>1810</v>
      </c>
      <c r="AC14" s="575">
        <v>1810</v>
      </c>
      <c r="AD14" s="316">
        <v>2320</v>
      </c>
      <c r="AE14" s="316">
        <v>2300</v>
      </c>
      <c r="AF14" s="316">
        <v>2258</v>
      </c>
      <c r="AG14" s="316">
        <v>2258</v>
      </c>
      <c r="AH14" s="521">
        <v>2824</v>
      </c>
      <c r="AI14" s="521">
        <v>2829</v>
      </c>
      <c r="AJ14" s="521">
        <v>2758</v>
      </c>
      <c r="AK14" s="521">
        <v>2758</v>
      </c>
      <c r="AL14" s="480">
        <v>953</v>
      </c>
      <c r="AM14" s="480">
        <v>931</v>
      </c>
      <c r="AN14" s="480">
        <v>904</v>
      </c>
      <c r="AO14" s="480">
        <v>904</v>
      </c>
    </row>
    <row r="15" spans="1:45" ht="24.95" customHeight="1" x14ac:dyDescent="0.2">
      <c r="A15" s="6"/>
      <c r="B15" s="6" t="s">
        <v>16</v>
      </c>
      <c r="C15" s="6" t="s">
        <v>16</v>
      </c>
      <c r="D15" s="11"/>
      <c r="E15" s="6"/>
      <c r="F15" s="21">
        <v>3876</v>
      </c>
      <c r="G15" s="21">
        <v>4383</v>
      </c>
      <c r="H15" s="21">
        <v>4354</v>
      </c>
      <c r="I15" s="21">
        <v>4309</v>
      </c>
      <c r="J15" s="22">
        <v>3649</v>
      </c>
      <c r="K15" s="22">
        <v>3740</v>
      </c>
      <c r="L15" s="22">
        <v>3723</v>
      </c>
      <c r="M15" s="22">
        <v>3720</v>
      </c>
      <c r="N15" s="21">
        <v>4183</v>
      </c>
      <c r="O15" s="21">
        <v>4138</v>
      </c>
      <c r="P15" s="21">
        <v>4120</v>
      </c>
      <c r="Q15" s="21">
        <v>4120</v>
      </c>
      <c r="R15" s="21">
        <v>4061</v>
      </c>
      <c r="S15" s="21">
        <v>4080</v>
      </c>
      <c r="T15" s="21">
        <v>4063</v>
      </c>
      <c r="U15" s="21">
        <v>4059</v>
      </c>
      <c r="V15" s="22">
        <v>4885</v>
      </c>
      <c r="W15" s="22">
        <v>4941</v>
      </c>
      <c r="X15" s="22">
        <v>4894</v>
      </c>
      <c r="Y15" s="22">
        <v>4894</v>
      </c>
      <c r="Z15" s="575">
        <v>5270</v>
      </c>
      <c r="AA15" s="575">
        <v>5304</v>
      </c>
      <c r="AB15" s="575">
        <v>5238</v>
      </c>
      <c r="AC15" s="575">
        <v>5238</v>
      </c>
      <c r="AD15" s="316">
        <v>5039</v>
      </c>
      <c r="AE15" s="316">
        <v>5173</v>
      </c>
      <c r="AF15" s="316">
        <v>5133</v>
      </c>
      <c r="AG15" s="316">
        <v>5133</v>
      </c>
      <c r="AH15" s="521">
        <v>5188</v>
      </c>
      <c r="AI15" s="521">
        <v>5144</v>
      </c>
      <c r="AJ15" s="521">
        <v>5070</v>
      </c>
      <c r="AK15" s="521">
        <v>5070</v>
      </c>
      <c r="AL15" s="480">
        <v>7163</v>
      </c>
      <c r="AM15" s="480">
        <v>7060</v>
      </c>
      <c r="AN15" s="480">
        <v>6935</v>
      </c>
      <c r="AO15" s="480">
        <v>6935</v>
      </c>
    </row>
    <row r="16" spans="1:45" ht="24.95" customHeight="1" x14ac:dyDescent="0.2">
      <c r="A16" s="6"/>
      <c r="B16" s="6" t="s">
        <v>17</v>
      </c>
      <c r="C16" s="6" t="s">
        <v>17</v>
      </c>
      <c r="D16" s="11"/>
      <c r="E16" s="6"/>
      <c r="F16" s="21">
        <v>12</v>
      </c>
      <c r="G16" s="21">
        <v>12</v>
      </c>
      <c r="H16" s="21">
        <v>12</v>
      </c>
      <c r="I16" s="21">
        <v>12</v>
      </c>
      <c r="J16" s="22"/>
      <c r="K16" s="22"/>
      <c r="L16" s="22"/>
      <c r="M16" s="22"/>
      <c r="N16" s="21"/>
      <c r="O16" s="21"/>
      <c r="P16" s="21"/>
      <c r="Q16" s="21"/>
      <c r="R16" s="21"/>
      <c r="S16" s="21"/>
      <c r="T16" s="21"/>
      <c r="U16" s="21"/>
      <c r="V16" s="21"/>
      <c r="W16" s="21"/>
      <c r="X16" s="21"/>
      <c r="Y16" s="21"/>
      <c r="Z16" s="21"/>
      <c r="AA16" s="21"/>
      <c r="AB16" s="21"/>
      <c r="AC16" s="21"/>
      <c r="AD16" s="316">
        <v>3</v>
      </c>
      <c r="AE16" s="316">
        <v>3</v>
      </c>
      <c r="AF16" s="316">
        <v>3</v>
      </c>
      <c r="AG16" s="316">
        <v>3</v>
      </c>
      <c r="AH16" s="576"/>
      <c r="AI16" s="576"/>
      <c r="AJ16" s="576"/>
      <c r="AK16" s="576"/>
      <c r="AL16" s="480">
        <v>37</v>
      </c>
      <c r="AM16" s="480">
        <v>37</v>
      </c>
      <c r="AN16" s="480">
        <v>36</v>
      </c>
      <c r="AO16" s="480">
        <v>36</v>
      </c>
    </row>
    <row r="17" spans="1:45" ht="24.95" customHeight="1" x14ac:dyDescent="0.2">
      <c r="A17" s="292"/>
      <c r="B17" s="197" t="s">
        <v>140</v>
      </c>
      <c r="C17" s="292"/>
      <c r="D17" s="315"/>
      <c r="E17" s="292"/>
      <c r="F17" s="129">
        <f t="shared" ref="F17:AO17" si="0">SUMIF($E$35:$E$171,"=1",F$35:F$171)</f>
        <v>1208</v>
      </c>
      <c r="G17" s="129">
        <f t="shared" si="0"/>
        <v>1218</v>
      </c>
      <c r="H17" s="129">
        <f t="shared" si="0"/>
        <v>1183</v>
      </c>
      <c r="I17" s="129">
        <f t="shared" si="0"/>
        <v>1183</v>
      </c>
      <c r="J17" s="129">
        <f t="shared" si="0"/>
        <v>1120</v>
      </c>
      <c r="K17" s="129">
        <f t="shared" si="0"/>
        <v>1114</v>
      </c>
      <c r="L17" s="129">
        <f t="shared" si="0"/>
        <v>1108</v>
      </c>
      <c r="M17" s="129">
        <f t="shared" si="0"/>
        <v>1097</v>
      </c>
      <c r="N17" s="129">
        <f t="shared" si="0"/>
        <v>1192</v>
      </c>
      <c r="O17" s="129">
        <f t="shared" si="0"/>
        <v>1181</v>
      </c>
      <c r="P17" s="129">
        <f t="shared" si="0"/>
        <v>1174</v>
      </c>
      <c r="Q17" s="129">
        <f t="shared" si="0"/>
        <v>1164</v>
      </c>
      <c r="R17" s="129">
        <f t="shared" si="0"/>
        <v>1168</v>
      </c>
      <c r="S17" s="129">
        <f t="shared" si="0"/>
        <v>1151</v>
      </c>
      <c r="T17" s="129">
        <f t="shared" si="0"/>
        <v>1146</v>
      </c>
      <c r="U17" s="129">
        <f t="shared" si="0"/>
        <v>1118</v>
      </c>
      <c r="V17" s="129">
        <f t="shared" si="0"/>
        <v>1195</v>
      </c>
      <c r="W17" s="129">
        <f t="shared" si="0"/>
        <v>1159</v>
      </c>
      <c r="X17" s="129">
        <f t="shared" si="0"/>
        <v>1152</v>
      </c>
      <c r="Y17" s="129">
        <f t="shared" si="0"/>
        <v>1152</v>
      </c>
      <c r="Z17" s="129">
        <f t="shared" si="0"/>
        <v>1256</v>
      </c>
      <c r="AA17" s="129">
        <f t="shared" si="0"/>
        <v>1213</v>
      </c>
      <c r="AB17" s="129">
        <f t="shared" si="0"/>
        <v>1196</v>
      </c>
      <c r="AC17" s="129">
        <f t="shared" si="0"/>
        <v>1196</v>
      </c>
      <c r="AD17" s="129">
        <f t="shared" si="0"/>
        <v>1234</v>
      </c>
      <c r="AE17" s="129">
        <f t="shared" si="0"/>
        <v>1253</v>
      </c>
      <c r="AF17" s="129">
        <f t="shared" si="0"/>
        <v>1236</v>
      </c>
      <c r="AG17" s="129">
        <f t="shared" si="0"/>
        <v>1236</v>
      </c>
      <c r="AH17" s="129">
        <f t="shared" si="0"/>
        <v>1350</v>
      </c>
      <c r="AI17" s="129">
        <f t="shared" si="0"/>
        <v>1328</v>
      </c>
      <c r="AJ17" s="129">
        <f t="shared" si="0"/>
        <v>1305</v>
      </c>
      <c r="AK17" s="129">
        <f t="shared" si="0"/>
        <v>1305</v>
      </c>
      <c r="AL17" s="129">
        <f t="shared" si="0"/>
        <v>1397</v>
      </c>
      <c r="AM17" s="129">
        <f t="shared" si="0"/>
        <v>1376</v>
      </c>
      <c r="AN17" s="129">
        <f t="shared" si="0"/>
        <v>1359</v>
      </c>
      <c r="AO17" s="129">
        <f t="shared" si="0"/>
        <v>1359</v>
      </c>
      <c r="AP17" s="129">
        <f>SUMIF($E$35:$E$172,"=1",AP$35:AP$172)</f>
        <v>1305</v>
      </c>
      <c r="AQ17" s="129">
        <f>SUMIF($E$35:$E$172,"=1",AQ$35:AQ$172)</f>
        <v>1293</v>
      </c>
      <c r="AR17" s="129">
        <f>SUMIF($E$35:$E$172,"=1",AR$35:AR$172)</f>
        <v>1270</v>
      </c>
      <c r="AS17" s="129">
        <f>SUMIF($E$35:$E$172,"=1",AS$35:AS$172)</f>
        <v>1270</v>
      </c>
    </row>
    <row r="18" spans="1:45" ht="24.95" customHeight="1" x14ac:dyDescent="0.2">
      <c r="A18" s="292"/>
      <c r="B18" s="197" t="s">
        <v>141</v>
      </c>
      <c r="C18" s="292"/>
      <c r="D18" s="315"/>
      <c r="E18" s="292"/>
      <c r="F18" s="129">
        <f t="shared" ref="F18:AO18" si="1">SUMIF($E$35:$E$171,"=2",F$35:F$171)</f>
        <v>1254</v>
      </c>
      <c r="G18" s="129">
        <f t="shared" si="1"/>
        <v>1288</v>
      </c>
      <c r="H18" s="129">
        <f t="shared" si="1"/>
        <v>1253</v>
      </c>
      <c r="I18" s="129">
        <f t="shared" si="1"/>
        <v>1253</v>
      </c>
      <c r="J18" s="129">
        <f t="shared" si="1"/>
        <v>1273</v>
      </c>
      <c r="K18" s="129">
        <f t="shared" si="1"/>
        <v>1306</v>
      </c>
      <c r="L18" s="129">
        <f t="shared" si="1"/>
        <v>1297</v>
      </c>
      <c r="M18" s="129">
        <f t="shared" si="1"/>
        <v>1281</v>
      </c>
      <c r="N18" s="129">
        <f t="shared" si="1"/>
        <v>1206</v>
      </c>
      <c r="O18" s="129">
        <f t="shared" si="1"/>
        <v>1185</v>
      </c>
      <c r="P18" s="129">
        <f t="shared" si="1"/>
        <v>1178</v>
      </c>
      <c r="Q18" s="129">
        <f t="shared" si="1"/>
        <v>1156</v>
      </c>
      <c r="R18" s="129">
        <f t="shared" si="1"/>
        <v>1208</v>
      </c>
      <c r="S18" s="129">
        <f t="shared" si="1"/>
        <v>1193</v>
      </c>
      <c r="T18" s="129">
        <f t="shared" si="1"/>
        <v>1188</v>
      </c>
      <c r="U18" s="129">
        <f t="shared" si="1"/>
        <v>1164</v>
      </c>
      <c r="V18" s="129">
        <f t="shared" si="1"/>
        <v>1312</v>
      </c>
      <c r="W18" s="129">
        <f t="shared" si="1"/>
        <v>1491</v>
      </c>
      <c r="X18" s="129">
        <f t="shared" si="1"/>
        <v>1461</v>
      </c>
      <c r="Y18" s="129">
        <f t="shared" si="1"/>
        <v>1461</v>
      </c>
      <c r="Z18" s="129">
        <f t="shared" si="1"/>
        <v>1350</v>
      </c>
      <c r="AA18" s="129">
        <f t="shared" si="1"/>
        <v>1329</v>
      </c>
      <c r="AB18" s="129">
        <f t="shared" si="1"/>
        <v>1309</v>
      </c>
      <c r="AC18" s="129">
        <f t="shared" si="1"/>
        <v>1309</v>
      </c>
      <c r="AD18" s="129">
        <f t="shared" si="1"/>
        <v>1324</v>
      </c>
      <c r="AE18" s="129">
        <f t="shared" si="1"/>
        <v>1408</v>
      </c>
      <c r="AF18" s="129">
        <f t="shared" si="1"/>
        <v>1394</v>
      </c>
      <c r="AG18" s="129">
        <f t="shared" si="1"/>
        <v>1394</v>
      </c>
      <c r="AH18" s="129">
        <f t="shared" si="1"/>
        <v>1556</v>
      </c>
      <c r="AI18" s="129">
        <f t="shared" si="1"/>
        <v>1562</v>
      </c>
      <c r="AJ18" s="129">
        <f t="shared" si="1"/>
        <v>1533</v>
      </c>
      <c r="AK18" s="129">
        <f t="shared" si="1"/>
        <v>1533</v>
      </c>
      <c r="AL18" s="129">
        <f t="shared" si="1"/>
        <v>1611</v>
      </c>
      <c r="AM18" s="129">
        <f t="shared" si="1"/>
        <v>1578</v>
      </c>
      <c r="AN18" s="129">
        <f t="shared" si="1"/>
        <v>1555</v>
      </c>
      <c r="AO18" s="129">
        <f t="shared" si="1"/>
        <v>1555</v>
      </c>
      <c r="AP18" s="129">
        <f>SUMIF($E$35:$E$172,"=2",AP$35:AP$172)</f>
        <v>1679</v>
      </c>
      <c r="AQ18" s="129">
        <f>SUMIF($E$35:$E$172,"=2",AQ$35:AQ$172)</f>
        <v>1746</v>
      </c>
      <c r="AR18" s="129">
        <f>SUMIF($E$35:$E$172,"=2",AR$35:AR$172)</f>
        <v>1696</v>
      </c>
      <c r="AS18" s="129">
        <f>SUMIF($E$35:$E$172,"=2",AS$35:AS$172)</f>
        <v>1696</v>
      </c>
    </row>
    <row r="19" spans="1:45" ht="24.95" customHeight="1" x14ac:dyDescent="0.2">
      <c r="A19" s="292"/>
      <c r="B19" s="197" t="s">
        <v>142</v>
      </c>
      <c r="C19" s="292"/>
      <c r="D19" s="315"/>
      <c r="E19" s="292"/>
      <c r="F19" s="129">
        <f t="shared" ref="F19:AO19" si="2">SUMIF($E$35:$E$171,"=3",F$35:F$171)</f>
        <v>1015</v>
      </c>
      <c r="G19" s="129">
        <f t="shared" si="2"/>
        <v>1197</v>
      </c>
      <c r="H19" s="129">
        <f t="shared" si="2"/>
        <v>1179</v>
      </c>
      <c r="I19" s="129">
        <f t="shared" si="2"/>
        <v>1179</v>
      </c>
      <c r="J19" s="129">
        <f t="shared" si="2"/>
        <v>1620</v>
      </c>
      <c r="K19" s="129">
        <f t="shared" si="2"/>
        <v>1633</v>
      </c>
      <c r="L19" s="129">
        <f t="shared" si="2"/>
        <v>1624</v>
      </c>
      <c r="M19" s="129">
        <f t="shared" si="2"/>
        <v>1607</v>
      </c>
      <c r="N19" s="129">
        <f t="shared" si="2"/>
        <v>1844</v>
      </c>
      <c r="O19" s="129">
        <f t="shared" si="2"/>
        <v>1816</v>
      </c>
      <c r="P19" s="129">
        <f t="shared" si="2"/>
        <v>1808</v>
      </c>
      <c r="Q19" s="129">
        <f t="shared" si="2"/>
        <v>1793</v>
      </c>
      <c r="R19" s="129">
        <f t="shared" si="2"/>
        <v>1792</v>
      </c>
      <c r="S19" s="129">
        <f t="shared" si="2"/>
        <v>1761</v>
      </c>
      <c r="T19" s="129">
        <f t="shared" si="2"/>
        <v>1751</v>
      </c>
      <c r="U19" s="129">
        <f t="shared" si="2"/>
        <v>1724</v>
      </c>
      <c r="V19" s="129">
        <f t="shared" si="2"/>
        <v>1675</v>
      </c>
      <c r="W19" s="129">
        <f t="shared" si="2"/>
        <v>1616</v>
      </c>
      <c r="X19" s="129">
        <f t="shared" si="2"/>
        <v>1604</v>
      </c>
      <c r="Y19" s="129">
        <f t="shared" si="2"/>
        <v>1604</v>
      </c>
      <c r="Z19" s="129">
        <f t="shared" si="2"/>
        <v>1736</v>
      </c>
      <c r="AA19" s="129">
        <f t="shared" si="2"/>
        <v>1704</v>
      </c>
      <c r="AB19" s="129">
        <f t="shared" si="2"/>
        <v>1669</v>
      </c>
      <c r="AC19" s="129">
        <f t="shared" si="2"/>
        <v>1669</v>
      </c>
      <c r="AD19" s="129">
        <f t="shared" si="2"/>
        <v>1768</v>
      </c>
      <c r="AE19" s="129">
        <f t="shared" si="2"/>
        <v>1766</v>
      </c>
      <c r="AF19" s="129">
        <f t="shared" si="2"/>
        <v>1746</v>
      </c>
      <c r="AG19" s="129">
        <f t="shared" si="2"/>
        <v>1746</v>
      </c>
      <c r="AH19" s="129">
        <f t="shared" si="2"/>
        <v>1958</v>
      </c>
      <c r="AI19" s="129">
        <f t="shared" si="2"/>
        <v>1917</v>
      </c>
      <c r="AJ19" s="129">
        <f t="shared" si="2"/>
        <v>1884</v>
      </c>
      <c r="AK19" s="129">
        <f t="shared" si="2"/>
        <v>1884</v>
      </c>
      <c r="AL19" s="129">
        <f t="shared" si="2"/>
        <v>1953</v>
      </c>
      <c r="AM19" s="129">
        <f t="shared" si="2"/>
        <v>1942</v>
      </c>
      <c r="AN19" s="129">
        <f t="shared" si="2"/>
        <v>1902</v>
      </c>
      <c r="AO19" s="129">
        <f t="shared" si="2"/>
        <v>1902</v>
      </c>
      <c r="AP19" s="129">
        <f>SUMIF($E$35:$E$172,"=3",AP$35:AP$172)</f>
        <v>2033</v>
      </c>
      <c r="AQ19" s="129">
        <f>SUMIF($E$35:$E$172,"=3",AQ$35:AQ$172)</f>
        <v>2020</v>
      </c>
      <c r="AR19" s="129">
        <f>SUMIF($E$35:$E$172,"=3",AR$35:AR$172)</f>
        <v>1994</v>
      </c>
      <c r="AS19" s="129">
        <f>SUMIF($E$35:$E$172,"=3",AS$35:AS$172)</f>
        <v>1994</v>
      </c>
    </row>
    <row r="20" spans="1:45" ht="24.95" customHeight="1" x14ac:dyDescent="0.2">
      <c r="A20" s="292"/>
      <c r="B20" s="197" t="s">
        <v>143</v>
      </c>
      <c r="C20" s="292"/>
      <c r="D20" s="315"/>
      <c r="E20" s="292"/>
      <c r="F20" s="129">
        <f t="shared" ref="F20:AO20" si="3">SUMIF($E$35:$E$171,"=4",F$35:F$171)</f>
        <v>539</v>
      </c>
      <c r="G20" s="129">
        <f t="shared" si="3"/>
        <v>704</v>
      </c>
      <c r="H20" s="129">
        <f t="shared" si="3"/>
        <v>690</v>
      </c>
      <c r="I20" s="129">
        <f t="shared" si="3"/>
        <v>690</v>
      </c>
      <c r="J20" s="129">
        <f t="shared" si="3"/>
        <v>670</v>
      </c>
      <c r="K20" s="129">
        <f t="shared" si="3"/>
        <v>711</v>
      </c>
      <c r="L20" s="129">
        <f t="shared" si="3"/>
        <v>699</v>
      </c>
      <c r="M20" s="129">
        <f t="shared" si="3"/>
        <v>683</v>
      </c>
      <c r="N20" s="129">
        <f t="shared" si="3"/>
        <v>690</v>
      </c>
      <c r="O20" s="129">
        <f t="shared" si="3"/>
        <v>691</v>
      </c>
      <c r="P20" s="129">
        <f t="shared" si="3"/>
        <v>688</v>
      </c>
      <c r="Q20" s="129">
        <f t="shared" si="3"/>
        <v>685</v>
      </c>
      <c r="R20" s="129">
        <f t="shared" si="3"/>
        <v>699</v>
      </c>
      <c r="S20" s="129">
        <f t="shared" si="3"/>
        <v>749</v>
      </c>
      <c r="T20" s="129">
        <f t="shared" si="3"/>
        <v>741</v>
      </c>
      <c r="U20" s="129">
        <f t="shared" si="3"/>
        <v>733</v>
      </c>
      <c r="V20" s="129">
        <f t="shared" si="3"/>
        <v>700</v>
      </c>
      <c r="W20" s="129">
        <f t="shared" si="3"/>
        <v>653</v>
      </c>
      <c r="X20" s="129">
        <f t="shared" si="3"/>
        <v>644</v>
      </c>
      <c r="Y20" s="129">
        <f t="shared" si="3"/>
        <v>644</v>
      </c>
      <c r="Z20" s="129">
        <f t="shared" si="3"/>
        <v>718</v>
      </c>
      <c r="AA20" s="129">
        <f t="shared" si="3"/>
        <v>685</v>
      </c>
      <c r="AB20" s="129">
        <f t="shared" si="3"/>
        <v>662</v>
      </c>
      <c r="AC20" s="129">
        <f t="shared" si="3"/>
        <v>662</v>
      </c>
      <c r="AD20" s="129">
        <f t="shared" si="3"/>
        <v>649</v>
      </c>
      <c r="AE20" s="129">
        <f t="shared" si="3"/>
        <v>733</v>
      </c>
      <c r="AF20" s="129">
        <f t="shared" si="3"/>
        <v>723</v>
      </c>
      <c r="AG20" s="129">
        <f t="shared" si="3"/>
        <v>723</v>
      </c>
      <c r="AH20" s="129">
        <f t="shared" si="3"/>
        <v>775</v>
      </c>
      <c r="AI20" s="129">
        <f t="shared" si="3"/>
        <v>771</v>
      </c>
      <c r="AJ20" s="129">
        <f t="shared" si="3"/>
        <v>760</v>
      </c>
      <c r="AK20" s="129">
        <f t="shared" si="3"/>
        <v>760</v>
      </c>
      <c r="AL20" s="129">
        <f t="shared" si="3"/>
        <v>782</v>
      </c>
      <c r="AM20" s="129">
        <f t="shared" si="3"/>
        <v>761</v>
      </c>
      <c r="AN20" s="129">
        <f t="shared" si="3"/>
        <v>743</v>
      </c>
      <c r="AO20" s="129">
        <f t="shared" si="3"/>
        <v>743</v>
      </c>
      <c r="AP20" s="129">
        <f>SUMIF($E$35:$E$172,"=4",AP$35:AP$172)</f>
        <v>772</v>
      </c>
      <c r="AQ20" s="129">
        <f>SUMIF($E$35:$E$172,"=4",AQ$35:AQ$172)</f>
        <v>769</v>
      </c>
      <c r="AR20" s="129">
        <f>SUMIF($E$35:$E$172,"=4",AR$35:AR$172)</f>
        <v>744</v>
      </c>
      <c r="AS20" s="129">
        <f>SUMIF($E$35:$E$172,"=4",AS$35:AS$172)</f>
        <v>744</v>
      </c>
    </row>
    <row r="21" spans="1:45" ht="24.95" customHeight="1" x14ac:dyDescent="0.2">
      <c r="A21" s="292"/>
      <c r="B21" s="197" t="s">
        <v>144</v>
      </c>
      <c r="C21" s="292"/>
      <c r="D21" s="315"/>
      <c r="E21" s="292"/>
      <c r="F21" s="129">
        <f t="shared" ref="F21:AO21" si="4">SUMIF($E$35:$E$171,"=5",F$35:F$171)</f>
        <v>935</v>
      </c>
      <c r="G21" s="129">
        <f t="shared" si="4"/>
        <v>1148</v>
      </c>
      <c r="H21" s="129">
        <f t="shared" si="4"/>
        <v>1134</v>
      </c>
      <c r="I21" s="129">
        <f t="shared" si="4"/>
        <v>1134</v>
      </c>
      <c r="J21" s="129">
        <f t="shared" si="4"/>
        <v>1134</v>
      </c>
      <c r="K21" s="129">
        <f t="shared" si="4"/>
        <v>1126</v>
      </c>
      <c r="L21" s="129">
        <f t="shared" si="4"/>
        <v>1117</v>
      </c>
      <c r="M21" s="129">
        <f t="shared" si="4"/>
        <v>1108</v>
      </c>
      <c r="N21" s="129">
        <f t="shared" si="4"/>
        <v>1173</v>
      </c>
      <c r="O21" s="129">
        <f t="shared" si="4"/>
        <v>1147</v>
      </c>
      <c r="P21" s="129">
        <f t="shared" si="4"/>
        <v>1141</v>
      </c>
      <c r="Q21" s="129">
        <f t="shared" si="4"/>
        <v>1133</v>
      </c>
      <c r="R21" s="129">
        <f t="shared" si="4"/>
        <v>1143</v>
      </c>
      <c r="S21" s="129">
        <f t="shared" si="4"/>
        <v>1119</v>
      </c>
      <c r="T21" s="129">
        <f t="shared" si="4"/>
        <v>1119</v>
      </c>
      <c r="U21" s="129">
        <f t="shared" si="4"/>
        <v>1100</v>
      </c>
      <c r="V21" s="129">
        <f t="shared" si="4"/>
        <v>1146</v>
      </c>
      <c r="W21" s="129">
        <f t="shared" si="4"/>
        <v>1079</v>
      </c>
      <c r="X21" s="129">
        <f t="shared" si="4"/>
        <v>1073</v>
      </c>
      <c r="Y21" s="129">
        <f t="shared" si="4"/>
        <v>1073</v>
      </c>
      <c r="Z21" s="129">
        <f t="shared" si="4"/>
        <v>1150</v>
      </c>
      <c r="AA21" s="129">
        <f t="shared" si="4"/>
        <v>1086</v>
      </c>
      <c r="AB21" s="129">
        <f t="shared" si="4"/>
        <v>1075</v>
      </c>
      <c r="AC21" s="129">
        <f t="shared" si="4"/>
        <v>1075</v>
      </c>
      <c r="AD21" s="129">
        <f t="shared" si="4"/>
        <v>1093</v>
      </c>
      <c r="AE21" s="129">
        <f t="shared" si="4"/>
        <v>1056</v>
      </c>
      <c r="AF21" s="129">
        <f t="shared" si="4"/>
        <v>1050</v>
      </c>
      <c r="AG21" s="129">
        <f t="shared" si="4"/>
        <v>1050</v>
      </c>
      <c r="AH21" s="129">
        <f t="shared" si="4"/>
        <v>1217</v>
      </c>
      <c r="AI21" s="129">
        <f t="shared" si="4"/>
        <v>1191</v>
      </c>
      <c r="AJ21" s="129">
        <f t="shared" si="4"/>
        <v>1171</v>
      </c>
      <c r="AK21" s="129">
        <f t="shared" si="4"/>
        <v>1171</v>
      </c>
      <c r="AL21" s="129">
        <f t="shared" si="4"/>
        <v>1108</v>
      </c>
      <c r="AM21" s="129">
        <f t="shared" si="4"/>
        <v>1093</v>
      </c>
      <c r="AN21" s="129">
        <f t="shared" si="4"/>
        <v>1071</v>
      </c>
      <c r="AO21" s="129">
        <f t="shared" si="4"/>
        <v>1071</v>
      </c>
      <c r="AP21" s="129">
        <f>SUMIF($E$35:$E$172,"=5",AP$35:AP$172)</f>
        <v>1240</v>
      </c>
      <c r="AQ21" s="129">
        <f>SUMIF($E$35:$E$172,"=5",AQ$35:AQ$172)</f>
        <v>1219</v>
      </c>
      <c r="AR21" s="129">
        <f>SUMIF($E$35:$E$172,"=5",AR$35:AR$172)</f>
        <v>1201</v>
      </c>
      <c r="AS21" s="129">
        <f>SUMIF($E$35:$E$172,"=5",AS$35:AS$172)</f>
        <v>1201</v>
      </c>
    </row>
    <row r="22" spans="1:45" ht="24.95" customHeight="1" x14ac:dyDescent="0.2">
      <c r="A22" s="292"/>
      <c r="B22" s="197" t="s">
        <v>145</v>
      </c>
      <c r="C22" s="292"/>
      <c r="D22" s="315"/>
      <c r="E22" s="292"/>
      <c r="F22" s="129">
        <f t="shared" ref="F22:AO22" si="5">SUMIF($E$35:$E$171,"=6",F$35:F$171)</f>
        <v>609</v>
      </c>
      <c r="G22" s="129">
        <f t="shared" si="5"/>
        <v>908</v>
      </c>
      <c r="H22" s="129">
        <f t="shared" si="5"/>
        <v>882</v>
      </c>
      <c r="I22" s="129">
        <f t="shared" si="5"/>
        <v>882</v>
      </c>
      <c r="J22" s="129">
        <f t="shared" si="5"/>
        <v>908</v>
      </c>
      <c r="K22" s="129">
        <f t="shared" si="5"/>
        <v>916</v>
      </c>
      <c r="L22" s="129">
        <f t="shared" si="5"/>
        <v>907</v>
      </c>
      <c r="M22" s="129">
        <f t="shared" si="5"/>
        <v>889</v>
      </c>
      <c r="N22" s="129">
        <f t="shared" si="5"/>
        <v>951</v>
      </c>
      <c r="O22" s="129">
        <f t="shared" si="5"/>
        <v>949</v>
      </c>
      <c r="P22" s="129">
        <f t="shared" si="5"/>
        <v>939</v>
      </c>
      <c r="Q22" s="129">
        <f t="shared" si="5"/>
        <v>920</v>
      </c>
      <c r="R22" s="129">
        <f t="shared" si="5"/>
        <v>1052</v>
      </c>
      <c r="S22" s="129">
        <f t="shared" si="5"/>
        <v>1048</v>
      </c>
      <c r="T22" s="129">
        <f t="shared" si="5"/>
        <v>1044</v>
      </c>
      <c r="U22" s="129">
        <f t="shared" si="5"/>
        <v>1009</v>
      </c>
      <c r="V22" s="129">
        <f t="shared" si="5"/>
        <v>1060</v>
      </c>
      <c r="W22" s="129">
        <f t="shared" si="5"/>
        <v>1021</v>
      </c>
      <c r="X22" s="129">
        <f t="shared" si="5"/>
        <v>1008</v>
      </c>
      <c r="Y22" s="129">
        <f t="shared" si="5"/>
        <v>1008</v>
      </c>
      <c r="Z22" s="129">
        <f t="shared" si="5"/>
        <v>989</v>
      </c>
      <c r="AA22" s="129">
        <f t="shared" si="5"/>
        <v>1096</v>
      </c>
      <c r="AB22" s="129">
        <f t="shared" si="5"/>
        <v>1077</v>
      </c>
      <c r="AC22" s="129">
        <f t="shared" si="5"/>
        <v>1077</v>
      </c>
      <c r="AD22" s="129">
        <f t="shared" si="5"/>
        <v>1251</v>
      </c>
      <c r="AE22" s="129">
        <f t="shared" si="5"/>
        <v>1220</v>
      </c>
      <c r="AF22" s="129">
        <f t="shared" si="5"/>
        <v>1205</v>
      </c>
      <c r="AG22" s="129">
        <f t="shared" si="5"/>
        <v>1205</v>
      </c>
      <c r="AH22" s="129">
        <f t="shared" si="5"/>
        <v>1096</v>
      </c>
      <c r="AI22" s="129">
        <f t="shared" si="5"/>
        <v>1130</v>
      </c>
      <c r="AJ22" s="129">
        <f t="shared" si="5"/>
        <v>1104</v>
      </c>
      <c r="AK22" s="129">
        <f t="shared" si="5"/>
        <v>1104</v>
      </c>
      <c r="AL22" s="129">
        <f t="shared" si="5"/>
        <v>1230</v>
      </c>
      <c r="AM22" s="129">
        <f t="shared" si="5"/>
        <v>1206</v>
      </c>
      <c r="AN22" s="129">
        <f t="shared" si="5"/>
        <v>1174</v>
      </c>
      <c r="AO22" s="129">
        <f t="shared" si="5"/>
        <v>1174</v>
      </c>
      <c r="AP22" s="129">
        <f>SUMIF($E$35:$E$172,"=6",AP$35:AP$172)</f>
        <v>1194</v>
      </c>
      <c r="AQ22" s="129">
        <f>SUMIF($E$35:$E$172,"=6",AQ$35:AQ$172)</f>
        <v>1241</v>
      </c>
      <c r="AR22" s="129">
        <f>SUMIF($E$35:$E$172,"=6",AR$35:AR$172)</f>
        <v>1205</v>
      </c>
      <c r="AS22" s="129">
        <f>SUMIF($E$35:$E$172,"=6",AS$35:AS$172)</f>
        <v>1205</v>
      </c>
    </row>
    <row r="23" spans="1:45" ht="24.95" customHeight="1" x14ac:dyDescent="0.2">
      <c r="A23" s="292"/>
      <c r="B23" s="6" t="s">
        <v>776</v>
      </c>
      <c r="C23" s="292"/>
      <c r="D23" s="315"/>
      <c r="E23" s="292"/>
      <c r="F23" s="300">
        <f t="shared" ref="F23:AO23" si="6">SUMIFS(F$35:F$171,$E$35:$E$171,"=1", $D$35:$D$171,"OFICIAL")</f>
        <v>667</v>
      </c>
      <c r="G23" s="300">
        <f t="shared" si="6"/>
        <v>660</v>
      </c>
      <c r="H23" s="300">
        <f t="shared" si="6"/>
        <v>638</v>
      </c>
      <c r="I23" s="300">
        <f t="shared" si="6"/>
        <v>638</v>
      </c>
      <c r="J23" s="300">
        <f t="shared" si="6"/>
        <v>617</v>
      </c>
      <c r="K23" s="300">
        <f t="shared" si="6"/>
        <v>614</v>
      </c>
      <c r="L23" s="300">
        <f t="shared" si="6"/>
        <v>610</v>
      </c>
      <c r="M23" s="300">
        <f t="shared" si="6"/>
        <v>601</v>
      </c>
      <c r="N23" s="300">
        <f t="shared" si="6"/>
        <v>716</v>
      </c>
      <c r="O23" s="300">
        <f t="shared" si="6"/>
        <v>713</v>
      </c>
      <c r="P23" s="300">
        <f t="shared" si="6"/>
        <v>710</v>
      </c>
      <c r="Q23" s="300">
        <f t="shared" si="6"/>
        <v>704</v>
      </c>
      <c r="R23" s="300">
        <f t="shared" si="6"/>
        <v>680</v>
      </c>
      <c r="S23" s="300">
        <f t="shared" si="6"/>
        <v>665</v>
      </c>
      <c r="T23" s="300">
        <f t="shared" si="6"/>
        <v>662</v>
      </c>
      <c r="U23" s="300">
        <f t="shared" si="6"/>
        <v>639</v>
      </c>
      <c r="V23" s="300">
        <f t="shared" si="6"/>
        <v>705</v>
      </c>
      <c r="W23" s="300">
        <f t="shared" si="6"/>
        <v>677</v>
      </c>
      <c r="X23" s="300">
        <f t="shared" si="6"/>
        <v>671</v>
      </c>
      <c r="Y23" s="300">
        <f t="shared" si="6"/>
        <v>671</v>
      </c>
      <c r="Z23" s="300">
        <f t="shared" si="6"/>
        <v>717</v>
      </c>
      <c r="AA23" s="300">
        <f t="shared" si="6"/>
        <v>669</v>
      </c>
      <c r="AB23" s="300">
        <f t="shared" si="6"/>
        <v>656</v>
      </c>
      <c r="AC23" s="300">
        <f t="shared" si="6"/>
        <v>656</v>
      </c>
      <c r="AD23" s="300">
        <f t="shared" si="6"/>
        <v>739</v>
      </c>
      <c r="AE23" s="300">
        <f t="shared" si="6"/>
        <v>692</v>
      </c>
      <c r="AF23" s="300">
        <f t="shared" si="6"/>
        <v>677</v>
      </c>
      <c r="AG23" s="300">
        <f t="shared" si="6"/>
        <v>677</v>
      </c>
      <c r="AH23" s="300">
        <f t="shared" si="6"/>
        <v>827</v>
      </c>
      <c r="AI23" s="300">
        <f t="shared" si="6"/>
        <v>808</v>
      </c>
      <c r="AJ23" s="300">
        <f t="shared" si="6"/>
        <v>791</v>
      </c>
      <c r="AK23" s="300">
        <f t="shared" si="6"/>
        <v>791</v>
      </c>
      <c r="AL23" s="300">
        <f t="shared" si="6"/>
        <v>862</v>
      </c>
      <c r="AM23" s="300">
        <f t="shared" si="6"/>
        <v>841</v>
      </c>
      <c r="AN23" s="300">
        <f t="shared" si="6"/>
        <v>827</v>
      </c>
      <c r="AO23" s="300">
        <f t="shared" si="6"/>
        <v>827</v>
      </c>
      <c r="AP23" s="300">
        <f>SUMIFS(AP$35:AP$172,$E$35:$E$172,"=1", $D$35:$D$172,"OFICIAL")</f>
        <v>771</v>
      </c>
      <c r="AQ23" s="300">
        <f>SUMIFS(AQ$35:AQ$172,$E$35:$E$172,"=1", $D$35:$D$172,"OFICIAL")</f>
        <v>759</v>
      </c>
      <c r="AR23" s="300">
        <f>SUMIFS(AR$35:AR$172,$E$35:$E$172,"=1", $D$35:$D$172,"OFICIAL")</f>
        <v>746</v>
      </c>
      <c r="AS23" s="300">
        <f>SUMIFS(AS$35:AS$172,$E$35:$E$172,"=1", $D$35:$D$172,"OFICIAL")</f>
        <v>746</v>
      </c>
    </row>
    <row r="24" spans="1:45" ht="24.95" customHeight="1" x14ac:dyDescent="0.2">
      <c r="A24" s="292"/>
      <c r="B24" s="6" t="s">
        <v>777</v>
      </c>
      <c r="C24" s="292"/>
      <c r="D24" s="315"/>
      <c r="E24" s="292"/>
      <c r="F24" s="300">
        <f t="shared" ref="F24:AO24" si="7">SUMIFS(F$35:F$171,$E$35:$E$171,"=2", $D$35:$D$171,"OFICIAL")</f>
        <v>587</v>
      </c>
      <c r="G24" s="300">
        <f t="shared" si="7"/>
        <v>588</v>
      </c>
      <c r="H24" s="300">
        <f t="shared" si="7"/>
        <v>567</v>
      </c>
      <c r="I24" s="300">
        <f t="shared" si="7"/>
        <v>567</v>
      </c>
      <c r="J24" s="300">
        <f t="shared" si="7"/>
        <v>585</v>
      </c>
      <c r="K24" s="300">
        <f t="shared" si="7"/>
        <v>575</v>
      </c>
      <c r="L24" s="300">
        <f t="shared" si="7"/>
        <v>572</v>
      </c>
      <c r="M24" s="300">
        <f t="shared" si="7"/>
        <v>561</v>
      </c>
      <c r="N24" s="300">
        <f t="shared" si="7"/>
        <v>525</v>
      </c>
      <c r="O24" s="300">
        <f t="shared" si="7"/>
        <v>510</v>
      </c>
      <c r="P24" s="300">
        <f t="shared" si="7"/>
        <v>504</v>
      </c>
      <c r="Q24" s="300">
        <f t="shared" si="7"/>
        <v>486</v>
      </c>
      <c r="R24" s="300">
        <f t="shared" si="7"/>
        <v>566</v>
      </c>
      <c r="S24" s="300">
        <f t="shared" si="7"/>
        <v>558</v>
      </c>
      <c r="T24" s="300">
        <f t="shared" si="7"/>
        <v>555</v>
      </c>
      <c r="U24" s="300">
        <f t="shared" si="7"/>
        <v>545</v>
      </c>
      <c r="V24" s="300">
        <f t="shared" si="7"/>
        <v>635</v>
      </c>
      <c r="W24" s="300">
        <f t="shared" si="7"/>
        <v>597</v>
      </c>
      <c r="X24" s="300">
        <f t="shared" si="7"/>
        <v>591</v>
      </c>
      <c r="Y24" s="300">
        <f t="shared" si="7"/>
        <v>591</v>
      </c>
      <c r="Z24" s="300">
        <f t="shared" si="7"/>
        <v>626</v>
      </c>
      <c r="AA24" s="300">
        <f t="shared" si="7"/>
        <v>585</v>
      </c>
      <c r="AB24" s="300">
        <f t="shared" si="7"/>
        <v>574</v>
      </c>
      <c r="AC24" s="300">
        <f t="shared" si="7"/>
        <v>574</v>
      </c>
      <c r="AD24" s="300">
        <f t="shared" si="7"/>
        <v>742</v>
      </c>
      <c r="AE24" s="300">
        <f t="shared" si="7"/>
        <v>692</v>
      </c>
      <c r="AF24" s="300">
        <f t="shared" si="7"/>
        <v>682</v>
      </c>
      <c r="AG24" s="300">
        <f t="shared" si="7"/>
        <v>682</v>
      </c>
      <c r="AH24" s="300">
        <f t="shared" si="7"/>
        <v>851</v>
      </c>
      <c r="AI24" s="300">
        <f t="shared" si="7"/>
        <v>837</v>
      </c>
      <c r="AJ24" s="300">
        <f t="shared" si="7"/>
        <v>817</v>
      </c>
      <c r="AK24" s="300">
        <f t="shared" si="7"/>
        <v>817</v>
      </c>
      <c r="AL24" s="300">
        <f t="shared" si="7"/>
        <v>929</v>
      </c>
      <c r="AM24" s="300">
        <f t="shared" si="7"/>
        <v>903</v>
      </c>
      <c r="AN24" s="300">
        <f t="shared" si="7"/>
        <v>887</v>
      </c>
      <c r="AO24" s="300">
        <f t="shared" si="7"/>
        <v>887</v>
      </c>
      <c r="AP24" s="300">
        <f>SUMIFS(AP$35:AP$172,$E$35:$E$172,"=2", $D$35:$D$172,"OFICIAL")</f>
        <v>986</v>
      </c>
      <c r="AQ24" s="300">
        <f>SUMIFS(AQ$35:AQ$172,$E$35:$E$172,"=2", $D$35:$D$172,"OFICIAL")</f>
        <v>970</v>
      </c>
      <c r="AR24" s="300">
        <f>SUMIFS(AR$35:AR$172,$E$35:$E$172,"=2", $D$35:$D$172,"OFICIAL")</f>
        <v>943</v>
      </c>
      <c r="AS24" s="300">
        <f>SUMIFS(AS$35:AS$172,$E$35:$E$172,"=2", $D$35:$D$172,"OFICIAL")</f>
        <v>943</v>
      </c>
    </row>
    <row r="25" spans="1:45" ht="24.95" customHeight="1" x14ac:dyDescent="0.2">
      <c r="A25" s="292"/>
      <c r="B25" s="6" t="s">
        <v>778</v>
      </c>
      <c r="C25" s="292"/>
      <c r="D25" s="315"/>
      <c r="E25" s="292"/>
      <c r="F25" s="300">
        <f t="shared" ref="F25:AO25" si="8">SUMIFS(F$35:F$171,$E$35:$E$171,"=3", $D$35:$D$171,"OFICIAL")</f>
        <v>529</v>
      </c>
      <c r="G25" s="300">
        <f t="shared" si="8"/>
        <v>665</v>
      </c>
      <c r="H25" s="300">
        <f t="shared" si="8"/>
        <v>653</v>
      </c>
      <c r="I25" s="300">
        <f t="shared" si="8"/>
        <v>653</v>
      </c>
      <c r="J25" s="300">
        <f t="shared" si="8"/>
        <v>1031</v>
      </c>
      <c r="K25" s="300">
        <f t="shared" si="8"/>
        <v>1021</v>
      </c>
      <c r="L25" s="300">
        <f t="shared" si="8"/>
        <v>1012</v>
      </c>
      <c r="M25" s="300">
        <f t="shared" si="8"/>
        <v>996</v>
      </c>
      <c r="N25" s="300">
        <f t="shared" si="8"/>
        <v>1146</v>
      </c>
      <c r="O25" s="300">
        <f t="shared" si="8"/>
        <v>1124</v>
      </c>
      <c r="P25" s="300">
        <f t="shared" si="8"/>
        <v>1117</v>
      </c>
      <c r="Q25" s="300">
        <f t="shared" si="8"/>
        <v>1109</v>
      </c>
      <c r="R25" s="300">
        <f t="shared" si="8"/>
        <v>1121</v>
      </c>
      <c r="S25" s="300">
        <f t="shared" si="8"/>
        <v>1064</v>
      </c>
      <c r="T25" s="300">
        <f t="shared" si="8"/>
        <v>1059</v>
      </c>
      <c r="U25" s="300">
        <f t="shared" si="8"/>
        <v>1044</v>
      </c>
      <c r="V25" s="300">
        <f t="shared" si="8"/>
        <v>923</v>
      </c>
      <c r="W25" s="300">
        <f t="shared" si="8"/>
        <v>872</v>
      </c>
      <c r="X25" s="300">
        <f t="shared" si="8"/>
        <v>867</v>
      </c>
      <c r="Y25" s="300">
        <f t="shared" si="8"/>
        <v>867</v>
      </c>
      <c r="Z25" s="300">
        <f t="shared" si="8"/>
        <v>944</v>
      </c>
      <c r="AA25" s="300">
        <f t="shared" si="8"/>
        <v>915</v>
      </c>
      <c r="AB25" s="300">
        <f t="shared" si="8"/>
        <v>887</v>
      </c>
      <c r="AC25" s="300">
        <f t="shared" si="8"/>
        <v>887</v>
      </c>
      <c r="AD25" s="300">
        <f t="shared" si="8"/>
        <v>952</v>
      </c>
      <c r="AE25" s="300">
        <f t="shared" si="8"/>
        <v>920</v>
      </c>
      <c r="AF25" s="300">
        <f t="shared" si="8"/>
        <v>907</v>
      </c>
      <c r="AG25" s="300">
        <f t="shared" si="8"/>
        <v>907</v>
      </c>
      <c r="AH25" s="300">
        <f t="shared" si="8"/>
        <v>1125</v>
      </c>
      <c r="AI25" s="300">
        <f t="shared" si="8"/>
        <v>1085</v>
      </c>
      <c r="AJ25" s="300">
        <f t="shared" si="8"/>
        <v>1061</v>
      </c>
      <c r="AK25" s="300">
        <f t="shared" si="8"/>
        <v>1061</v>
      </c>
      <c r="AL25" s="300">
        <f t="shared" si="8"/>
        <v>1102</v>
      </c>
      <c r="AM25" s="300">
        <f t="shared" si="8"/>
        <v>1091</v>
      </c>
      <c r="AN25" s="300">
        <f t="shared" si="8"/>
        <v>1062</v>
      </c>
      <c r="AO25" s="300">
        <f t="shared" si="8"/>
        <v>1062</v>
      </c>
      <c r="AP25" s="300">
        <f>SUMIFS(AP$35:AP$172,$E$35:$E$172,"=3", $D$35:$D$172,"OFICIAL")</f>
        <v>1159</v>
      </c>
      <c r="AQ25" s="300">
        <f>SUMIFS(AQ$35:AQ$172,$E$35:$E$172,"=3", $D$35:$D$172,"OFICIAL")</f>
        <v>1137</v>
      </c>
      <c r="AR25" s="300">
        <f>SUMIFS(AR$35:AR$172,$E$35:$E$172,"=3", $D$35:$D$172,"OFICIAL")</f>
        <v>1118</v>
      </c>
      <c r="AS25" s="300">
        <f>SUMIFS(AS$35:AS$172,$E$35:$E$172,"=3", $D$35:$D$172,"OFICIAL")</f>
        <v>1118</v>
      </c>
    </row>
    <row r="26" spans="1:45" ht="24.95" customHeight="1" x14ac:dyDescent="0.2">
      <c r="A26" s="292"/>
      <c r="B26" s="6" t="s">
        <v>779</v>
      </c>
      <c r="C26" s="292"/>
      <c r="D26" s="315"/>
      <c r="E26" s="292"/>
      <c r="F26" s="300">
        <f t="shared" ref="F26:AO26" si="9">SUMIFS(F$35:F$171,$E$35:$E$171,"=4", $D$35:$D$171,"OFICIAL")</f>
        <v>381</v>
      </c>
      <c r="G26" s="300">
        <f t="shared" si="9"/>
        <v>495</v>
      </c>
      <c r="H26" s="300">
        <f t="shared" si="9"/>
        <v>486</v>
      </c>
      <c r="I26" s="300">
        <f t="shared" si="9"/>
        <v>486</v>
      </c>
      <c r="J26" s="300">
        <f t="shared" si="9"/>
        <v>484</v>
      </c>
      <c r="K26" s="300">
        <f t="shared" si="9"/>
        <v>481</v>
      </c>
      <c r="L26" s="300">
        <f t="shared" si="9"/>
        <v>475</v>
      </c>
      <c r="M26" s="300">
        <f t="shared" si="9"/>
        <v>461</v>
      </c>
      <c r="N26" s="300">
        <f t="shared" si="9"/>
        <v>517</v>
      </c>
      <c r="O26" s="300">
        <f t="shared" si="9"/>
        <v>513</v>
      </c>
      <c r="P26" s="300">
        <f t="shared" si="9"/>
        <v>511</v>
      </c>
      <c r="Q26" s="300">
        <f t="shared" si="9"/>
        <v>510</v>
      </c>
      <c r="R26" s="300">
        <f t="shared" si="9"/>
        <v>522</v>
      </c>
      <c r="S26" s="300">
        <f t="shared" si="9"/>
        <v>517</v>
      </c>
      <c r="T26" s="300">
        <f t="shared" si="9"/>
        <v>511</v>
      </c>
      <c r="U26" s="300">
        <f t="shared" si="9"/>
        <v>505</v>
      </c>
      <c r="V26" s="300">
        <f t="shared" si="9"/>
        <v>520</v>
      </c>
      <c r="W26" s="300">
        <f t="shared" si="9"/>
        <v>482</v>
      </c>
      <c r="X26" s="300">
        <f t="shared" si="9"/>
        <v>475</v>
      </c>
      <c r="Y26" s="300">
        <f t="shared" si="9"/>
        <v>475</v>
      </c>
      <c r="Z26" s="300">
        <f t="shared" si="9"/>
        <v>522</v>
      </c>
      <c r="AA26" s="300">
        <f t="shared" si="9"/>
        <v>482</v>
      </c>
      <c r="AB26" s="300">
        <f t="shared" si="9"/>
        <v>462</v>
      </c>
      <c r="AC26" s="300">
        <f t="shared" si="9"/>
        <v>462</v>
      </c>
      <c r="AD26" s="300">
        <f t="shared" si="9"/>
        <v>539</v>
      </c>
      <c r="AE26" s="300">
        <f t="shared" si="9"/>
        <v>505</v>
      </c>
      <c r="AF26" s="300">
        <f t="shared" si="9"/>
        <v>498</v>
      </c>
      <c r="AG26" s="300">
        <f t="shared" si="9"/>
        <v>498</v>
      </c>
      <c r="AH26" s="300">
        <f t="shared" si="9"/>
        <v>528</v>
      </c>
      <c r="AI26" s="300">
        <f t="shared" si="9"/>
        <v>512</v>
      </c>
      <c r="AJ26" s="300">
        <f t="shared" si="9"/>
        <v>504</v>
      </c>
      <c r="AK26" s="300">
        <f t="shared" si="9"/>
        <v>504</v>
      </c>
      <c r="AL26" s="300">
        <f t="shared" si="9"/>
        <v>507</v>
      </c>
      <c r="AM26" s="300">
        <f t="shared" si="9"/>
        <v>488</v>
      </c>
      <c r="AN26" s="300">
        <f t="shared" si="9"/>
        <v>474</v>
      </c>
      <c r="AO26" s="300">
        <f t="shared" si="9"/>
        <v>474</v>
      </c>
      <c r="AP26" s="300">
        <f>SUMIFS(AP$35:AP$172,$E$35:$E$172,"=4", $D$35:$D$172,"OFICIAL")</f>
        <v>513</v>
      </c>
      <c r="AQ26" s="300">
        <f>SUMIFS(AQ$35:AQ$172,$E$35:$E$172,"=4", $D$35:$D$172,"OFICIAL")</f>
        <v>508</v>
      </c>
      <c r="AR26" s="300">
        <f>SUMIFS(AR$35:AR$172,$E$35:$E$172,"=4", $D$35:$D$172,"OFICIAL")</f>
        <v>487</v>
      </c>
      <c r="AS26" s="300">
        <f>SUMIFS(AS$35:AS$172,$E$35:$E$172,"=4", $D$35:$D$172,"OFICIAL")</f>
        <v>487</v>
      </c>
    </row>
    <row r="27" spans="1:45" ht="24.95" customHeight="1" x14ac:dyDescent="0.2">
      <c r="A27" s="292"/>
      <c r="B27" s="6" t="s">
        <v>780</v>
      </c>
      <c r="C27" s="292"/>
      <c r="D27" s="315"/>
      <c r="E27" s="292"/>
      <c r="F27" s="300">
        <f t="shared" ref="F27:AO27" si="10">SUMIFS(F$35:F$171,$E$35:$E$171,"=5", $D$35:$D$171,"OFICIAL")</f>
        <v>460</v>
      </c>
      <c r="G27" s="300">
        <f t="shared" si="10"/>
        <v>626</v>
      </c>
      <c r="H27" s="300">
        <f t="shared" si="10"/>
        <v>618</v>
      </c>
      <c r="I27" s="300">
        <f t="shared" si="10"/>
        <v>618</v>
      </c>
      <c r="J27" s="300">
        <f t="shared" si="10"/>
        <v>665</v>
      </c>
      <c r="K27" s="300">
        <f t="shared" si="10"/>
        <v>642</v>
      </c>
      <c r="L27" s="300">
        <f t="shared" si="10"/>
        <v>634</v>
      </c>
      <c r="M27" s="300">
        <f t="shared" si="10"/>
        <v>626</v>
      </c>
      <c r="N27" s="300">
        <f t="shared" si="10"/>
        <v>648</v>
      </c>
      <c r="O27" s="300">
        <f t="shared" si="10"/>
        <v>624</v>
      </c>
      <c r="P27" s="300">
        <f t="shared" si="10"/>
        <v>619</v>
      </c>
      <c r="Q27" s="300">
        <f t="shared" si="10"/>
        <v>612</v>
      </c>
      <c r="R27" s="300">
        <f t="shared" si="10"/>
        <v>612</v>
      </c>
      <c r="S27" s="300">
        <f t="shared" si="10"/>
        <v>595</v>
      </c>
      <c r="T27" s="300">
        <f t="shared" si="10"/>
        <v>595</v>
      </c>
      <c r="U27" s="300">
        <f t="shared" si="10"/>
        <v>580</v>
      </c>
      <c r="V27" s="300">
        <f t="shared" si="10"/>
        <v>578</v>
      </c>
      <c r="W27" s="300">
        <f t="shared" si="10"/>
        <v>519</v>
      </c>
      <c r="X27" s="300">
        <f t="shared" si="10"/>
        <v>513</v>
      </c>
      <c r="Y27" s="300">
        <f t="shared" si="10"/>
        <v>513</v>
      </c>
      <c r="Z27" s="300">
        <f t="shared" si="10"/>
        <v>573</v>
      </c>
      <c r="AA27" s="300">
        <f t="shared" si="10"/>
        <v>513</v>
      </c>
      <c r="AB27" s="300">
        <f t="shared" si="10"/>
        <v>505</v>
      </c>
      <c r="AC27" s="300">
        <f t="shared" si="10"/>
        <v>505</v>
      </c>
      <c r="AD27" s="300">
        <f t="shared" si="10"/>
        <v>488</v>
      </c>
      <c r="AE27" s="300">
        <f t="shared" si="10"/>
        <v>465</v>
      </c>
      <c r="AF27" s="300">
        <f t="shared" si="10"/>
        <v>460</v>
      </c>
      <c r="AG27" s="300">
        <f t="shared" si="10"/>
        <v>460</v>
      </c>
      <c r="AH27" s="300">
        <f t="shared" si="10"/>
        <v>591</v>
      </c>
      <c r="AI27" s="300">
        <f t="shared" si="10"/>
        <v>574</v>
      </c>
      <c r="AJ27" s="300">
        <f t="shared" si="10"/>
        <v>556</v>
      </c>
      <c r="AK27" s="300">
        <f t="shared" si="10"/>
        <v>556</v>
      </c>
      <c r="AL27" s="300">
        <f t="shared" si="10"/>
        <v>504</v>
      </c>
      <c r="AM27" s="300">
        <f t="shared" si="10"/>
        <v>491</v>
      </c>
      <c r="AN27" s="300">
        <f t="shared" si="10"/>
        <v>480</v>
      </c>
      <c r="AO27" s="300">
        <f t="shared" si="10"/>
        <v>480</v>
      </c>
      <c r="AP27" s="300">
        <f>SUMIFS(AP$35:AP$172,$E$35:$E$172,"=5", $D$35:$D$172,"OFICIAL")</f>
        <v>588</v>
      </c>
      <c r="AQ27" s="300">
        <f>SUMIFS(AQ$35:AQ$172,$E$35:$E$172,"=5", $D$35:$D$172,"OFICIAL")</f>
        <v>566</v>
      </c>
      <c r="AR27" s="300">
        <f>SUMIFS(AR$35:AR$172,$E$35:$E$172,"=5", $D$35:$D$172,"OFICIAL")</f>
        <v>555</v>
      </c>
      <c r="AS27" s="300">
        <f>SUMIFS(AS$35:AS$172,$E$35:$E$172,"=5", $D$35:$D$172,"OFICIAL")</f>
        <v>555</v>
      </c>
    </row>
    <row r="28" spans="1:45" ht="24.95" customHeight="1" x14ac:dyDescent="0.2">
      <c r="A28" s="292"/>
      <c r="B28" s="6" t="s">
        <v>781</v>
      </c>
      <c r="C28" s="292"/>
      <c r="D28" s="315"/>
      <c r="E28" s="292"/>
      <c r="F28" s="300">
        <f t="shared" ref="F28:AO28" si="11">SUMIFS(F$35:F$171,$E$35:$E$171,"=6", $D$35:$D$171,"OFICIAL")</f>
        <v>233</v>
      </c>
      <c r="G28" s="300">
        <f t="shared" si="11"/>
        <v>498</v>
      </c>
      <c r="H28" s="300">
        <f t="shared" si="11"/>
        <v>481</v>
      </c>
      <c r="I28" s="300">
        <f t="shared" si="11"/>
        <v>481</v>
      </c>
      <c r="J28" s="300">
        <f t="shared" si="11"/>
        <v>489</v>
      </c>
      <c r="K28" s="300">
        <f t="shared" si="11"/>
        <v>485</v>
      </c>
      <c r="L28" s="300">
        <f t="shared" si="11"/>
        <v>477</v>
      </c>
      <c r="M28" s="300">
        <f t="shared" si="11"/>
        <v>469</v>
      </c>
      <c r="N28" s="300">
        <f t="shared" si="11"/>
        <v>551</v>
      </c>
      <c r="O28" s="300">
        <f t="shared" si="11"/>
        <v>548</v>
      </c>
      <c r="P28" s="300">
        <f t="shared" si="11"/>
        <v>538</v>
      </c>
      <c r="Q28" s="300">
        <f t="shared" si="11"/>
        <v>533</v>
      </c>
      <c r="R28" s="300">
        <f t="shared" si="11"/>
        <v>563</v>
      </c>
      <c r="S28" s="300">
        <f t="shared" si="11"/>
        <v>559</v>
      </c>
      <c r="T28" s="300">
        <f t="shared" si="11"/>
        <v>556</v>
      </c>
      <c r="U28" s="300">
        <f t="shared" si="11"/>
        <v>544</v>
      </c>
      <c r="V28" s="300">
        <f t="shared" si="11"/>
        <v>542</v>
      </c>
      <c r="W28" s="300">
        <f t="shared" si="11"/>
        <v>509</v>
      </c>
      <c r="X28" s="300">
        <f t="shared" si="11"/>
        <v>497</v>
      </c>
      <c r="Y28" s="300">
        <f t="shared" si="11"/>
        <v>497</v>
      </c>
      <c r="Z28" s="300">
        <f t="shared" si="11"/>
        <v>582</v>
      </c>
      <c r="AA28" s="300">
        <f t="shared" si="11"/>
        <v>550</v>
      </c>
      <c r="AB28" s="300">
        <f t="shared" si="11"/>
        <v>538</v>
      </c>
      <c r="AC28" s="300">
        <f t="shared" si="11"/>
        <v>538</v>
      </c>
      <c r="AD28" s="300">
        <f t="shared" si="11"/>
        <v>586</v>
      </c>
      <c r="AE28" s="300">
        <f t="shared" si="11"/>
        <v>546</v>
      </c>
      <c r="AF28" s="300">
        <f t="shared" si="11"/>
        <v>539</v>
      </c>
      <c r="AG28" s="300">
        <f t="shared" si="11"/>
        <v>539</v>
      </c>
      <c r="AH28" s="300">
        <f t="shared" si="11"/>
        <v>499</v>
      </c>
      <c r="AI28" s="300">
        <f t="shared" si="11"/>
        <v>525</v>
      </c>
      <c r="AJ28" s="300">
        <f t="shared" si="11"/>
        <v>507</v>
      </c>
      <c r="AK28" s="300">
        <f t="shared" si="11"/>
        <v>507</v>
      </c>
      <c r="AL28" s="300">
        <f t="shared" si="11"/>
        <v>643</v>
      </c>
      <c r="AM28" s="300">
        <f t="shared" si="11"/>
        <v>622</v>
      </c>
      <c r="AN28" s="300">
        <f t="shared" si="11"/>
        <v>601</v>
      </c>
      <c r="AO28" s="300">
        <f t="shared" si="11"/>
        <v>601</v>
      </c>
      <c r="AP28" s="300">
        <f>SUMIFS(AP$35:AP$172,$E$35:$E$172,"=6", $D$35:$D$172,"OFICIAL")</f>
        <v>559</v>
      </c>
      <c r="AQ28" s="300">
        <f>SUMIFS(AQ$35:AQ$172,$E$35:$E$172,"=6", $D$35:$D$172,"OFICIAL")</f>
        <v>553</v>
      </c>
      <c r="AR28" s="300">
        <f>SUMIFS(AR$35:AR$172,$E$35:$E$172,"=6", $D$35:$D$172,"OFICIAL")</f>
        <v>538</v>
      </c>
      <c r="AS28" s="300">
        <f>SUMIFS(AS$35:AS$172,$E$35:$E$172,"=6", $D$35:$D$172,"OFICIAL")</f>
        <v>538</v>
      </c>
    </row>
    <row r="29" spans="1:45" ht="24.95" customHeight="1" x14ac:dyDescent="0.2">
      <c r="A29" s="292"/>
      <c r="B29" s="6" t="s">
        <v>782</v>
      </c>
      <c r="C29" s="292"/>
      <c r="D29" s="315"/>
      <c r="E29" s="292"/>
      <c r="F29" s="300">
        <f t="shared" ref="F29:AO29" si="12">SUMIFS(F$35:F$171,$E$35:$E$171,"=1", $D$35:$D$171,"NO OFICIAL")</f>
        <v>541</v>
      </c>
      <c r="G29" s="300">
        <f t="shared" si="12"/>
        <v>558</v>
      </c>
      <c r="H29" s="300">
        <f t="shared" si="12"/>
        <v>545</v>
      </c>
      <c r="I29" s="300">
        <f t="shared" si="12"/>
        <v>545</v>
      </c>
      <c r="J29" s="300">
        <f t="shared" si="12"/>
        <v>503</v>
      </c>
      <c r="K29" s="300">
        <f t="shared" si="12"/>
        <v>500</v>
      </c>
      <c r="L29" s="300">
        <f t="shared" si="12"/>
        <v>498</v>
      </c>
      <c r="M29" s="300">
        <f t="shared" si="12"/>
        <v>496</v>
      </c>
      <c r="N29" s="300">
        <f t="shared" si="12"/>
        <v>476</v>
      </c>
      <c r="O29" s="300">
        <f t="shared" si="12"/>
        <v>468</v>
      </c>
      <c r="P29" s="300">
        <f t="shared" si="12"/>
        <v>464</v>
      </c>
      <c r="Q29" s="300">
        <f t="shared" si="12"/>
        <v>460</v>
      </c>
      <c r="R29" s="300">
        <f t="shared" si="12"/>
        <v>488</v>
      </c>
      <c r="S29" s="300">
        <f t="shared" si="12"/>
        <v>486</v>
      </c>
      <c r="T29" s="300">
        <f t="shared" si="12"/>
        <v>484</v>
      </c>
      <c r="U29" s="300">
        <f t="shared" si="12"/>
        <v>479</v>
      </c>
      <c r="V29" s="300">
        <f t="shared" si="12"/>
        <v>490</v>
      </c>
      <c r="W29" s="300">
        <f t="shared" si="12"/>
        <v>482</v>
      </c>
      <c r="X29" s="300">
        <f t="shared" si="12"/>
        <v>481</v>
      </c>
      <c r="Y29" s="300">
        <f t="shared" si="12"/>
        <v>481</v>
      </c>
      <c r="Z29" s="300">
        <f t="shared" si="12"/>
        <v>539</v>
      </c>
      <c r="AA29" s="300">
        <f t="shared" si="12"/>
        <v>544</v>
      </c>
      <c r="AB29" s="300">
        <f t="shared" si="12"/>
        <v>540</v>
      </c>
      <c r="AC29" s="300">
        <f t="shared" si="12"/>
        <v>540</v>
      </c>
      <c r="AD29" s="300">
        <f t="shared" si="12"/>
        <v>495</v>
      </c>
      <c r="AE29" s="300">
        <f t="shared" si="12"/>
        <v>561</v>
      </c>
      <c r="AF29" s="300">
        <f t="shared" si="12"/>
        <v>559</v>
      </c>
      <c r="AG29" s="300">
        <f t="shared" si="12"/>
        <v>559</v>
      </c>
      <c r="AH29" s="300">
        <f t="shared" si="12"/>
        <v>523</v>
      </c>
      <c r="AI29" s="300">
        <f t="shared" si="12"/>
        <v>520</v>
      </c>
      <c r="AJ29" s="300">
        <f t="shared" si="12"/>
        <v>514</v>
      </c>
      <c r="AK29" s="300">
        <f t="shared" si="12"/>
        <v>514</v>
      </c>
      <c r="AL29" s="300">
        <f t="shared" si="12"/>
        <v>535</v>
      </c>
      <c r="AM29" s="300">
        <f t="shared" si="12"/>
        <v>535</v>
      </c>
      <c r="AN29" s="300">
        <f t="shared" si="12"/>
        <v>532</v>
      </c>
      <c r="AO29" s="300">
        <f t="shared" si="12"/>
        <v>532</v>
      </c>
      <c r="AP29" s="300">
        <f>SUMIFS(AP$35:AP$172,$E$35:$E$172,"=1", $D$35:$D$172,"NO OFICIAL")</f>
        <v>534</v>
      </c>
      <c r="AQ29" s="300">
        <f>SUMIFS(AQ$35:AQ$172,$E$35:$E$172,"=1", $D$35:$D$172,"NO OFICIAL")</f>
        <v>534</v>
      </c>
      <c r="AR29" s="300">
        <f>SUMIFS(AR$35:AR$172,$E$35:$E$172,"=1", $D$35:$D$172,"NO OFICIAL")</f>
        <v>524</v>
      </c>
      <c r="AS29" s="300">
        <f>SUMIFS(AS$35:AS$172,$E$35:$E$172,"=1", $D$35:$D$172,"NO OFICIAL")</f>
        <v>524</v>
      </c>
    </row>
    <row r="30" spans="1:45" ht="24.95" customHeight="1" x14ac:dyDescent="0.2">
      <c r="A30" s="292"/>
      <c r="B30" s="6" t="s">
        <v>783</v>
      </c>
      <c r="C30" s="292"/>
      <c r="D30" s="315"/>
      <c r="E30" s="292"/>
      <c r="F30" s="300">
        <f t="shared" ref="F30:AO30" si="13">SUMIFS(F$35:F$171,$E$35:$E$171,"=2", $D$35:$D$171,"NO OFICIAL")</f>
        <v>667</v>
      </c>
      <c r="G30" s="300">
        <f t="shared" si="13"/>
        <v>700</v>
      </c>
      <c r="H30" s="300">
        <f t="shared" si="13"/>
        <v>686</v>
      </c>
      <c r="I30" s="300">
        <f t="shared" si="13"/>
        <v>686</v>
      </c>
      <c r="J30" s="300">
        <f t="shared" si="13"/>
        <v>688</v>
      </c>
      <c r="K30" s="300">
        <f t="shared" si="13"/>
        <v>731</v>
      </c>
      <c r="L30" s="300">
        <f t="shared" si="13"/>
        <v>725</v>
      </c>
      <c r="M30" s="300">
        <f t="shared" si="13"/>
        <v>720</v>
      </c>
      <c r="N30" s="300">
        <f t="shared" si="13"/>
        <v>681</v>
      </c>
      <c r="O30" s="300">
        <f t="shared" si="13"/>
        <v>675</v>
      </c>
      <c r="P30" s="300">
        <f t="shared" si="13"/>
        <v>674</v>
      </c>
      <c r="Q30" s="300">
        <f t="shared" si="13"/>
        <v>670</v>
      </c>
      <c r="R30" s="300">
        <f t="shared" si="13"/>
        <v>642</v>
      </c>
      <c r="S30" s="300">
        <f t="shared" si="13"/>
        <v>635</v>
      </c>
      <c r="T30" s="300">
        <f t="shared" si="13"/>
        <v>633</v>
      </c>
      <c r="U30" s="300">
        <f t="shared" si="13"/>
        <v>619</v>
      </c>
      <c r="V30" s="300">
        <f t="shared" si="13"/>
        <v>677</v>
      </c>
      <c r="W30" s="300">
        <f t="shared" si="13"/>
        <v>894</v>
      </c>
      <c r="X30" s="300">
        <f t="shared" si="13"/>
        <v>870</v>
      </c>
      <c r="Y30" s="300">
        <f t="shared" si="13"/>
        <v>870</v>
      </c>
      <c r="Z30" s="300">
        <f t="shared" si="13"/>
        <v>724</v>
      </c>
      <c r="AA30" s="300">
        <f t="shared" si="13"/>
        <v>744</v>
      </c>
      <c r="AB30" s="300">
        <f t="shared" si="13"/>
        <v>735</v>
      </c>
      <c r="AC30" s="300">
        <f t="shared" si="13"/>
        <v>735</v>
      </c>
      <c r="AD30" s="300">
        <f t="shared" si="13"/>
        <v>582</v>
      </c>
      <c r="AE30" s="300">
        <f t="shared" si="13"/>
        <v>716</v>
      </c>
      <c r="AF30" s="300">
        <f t="shared" si="13"/>
        <v>712</v>
      </c>
      <c r="AG30" s="300">
        <f t="shared" si="13"/>
        <v>712</v>
      </c>
      <c r="AH30" s="300">
        <f t="shared" si="13"/>
        <v>705</v>
      </c>
      <c r="AI30" s="300">
        <f t="shared" si="13"/>
        <v>725</v>
      </c>
      <c r="AJ30" s="300">
        <f t="shared" si="13"/>
        <v>716</v>
      </c>
      <c r="AK30" s="300">
        <f t="shared" si="13"/>
        <v>716</v>
      </c>
      <c r="AL30" s="300">
        <f t="shared" si="13"/>
        <v>682</v>
      </c>
      <c r="AM30" s="300">
        <f t="shared" si="13"/>
        <v>675</v>
      </c>
      <c r="AN30" s="300">
        <f t="shared" si="13"/>
        <v>668</v>
      </c>
      <c r="AO30" s="300">
        <f t="shared" si="13"/>
        <v>668</v>
      </c>
      <c r="AP30" s="300">
        <f>SUMIFS(AP$35:AP$172,$E$35:$E$172,"=2", $D$35:$D$172,"NO OFICIAL")</f>
        <v>693</v>
      </c>
      <c r="AQ30" s="300">
        <f>SUMIFS(AQ$35:AQ$172,$E$35:$E$172,"=2", $D$35:$D$172,"NO OFICIAL")</f>
        <v>776</v>
      </c>
      <c r="AR30" s="300">
        <f>SUMIFS(AR$35:AR$172,$E$35:$E$172,"=2", $D$35:$D$172,"NO OFICIAL")</f>
        <v>753</v>
      </c>
      <c r="AS30" s="300">
        <f>SUMIFS(AS$35:AS$172,$E$35:$E$172,"=2", $D$35:$D$172,"NO OFICIAL")</f>
        <v>753</v>
      </c>
    </row>
    <row r="31" spans="1:45" ht="24.95" customHeight="1" x14ac:dyDescent="0.2">
      <c r="A31" s="292"/>
      <c r="B31" s="6" t="s">
        <v>784</v>
      </c>
      <c r="C31" s="292"/>
      <c r="D31" s="315"/>
      <c r="E31" s="292"/>
      <c r="F31" s="300">
        <f t="shared" ref="F31:AO31" si="14">SUMIFS(F$35:F$171,$E$35:$E$171,"=3", $D$35:$D$171,"NO OFICIAL")</f>
        <v>486</v>
      </c>
      <c r="G31" s="300">
        <f t="shared" si="14"/>
        <v>532</v>
      </c>
      <c r="H31" s="300">
        <f t="shared" si="14"/>
        <v>526</v>
      </c>
      <c r="I31" s="300">
        <f t="shared" si="14"/>
        <v>526</v>
      </c>
      <c r="J31" s="300">
        <f t="shared" si="14"/>
        <v>589</v>
      </c>
      <c r="K31" s="300">
        <f t="shared" si="14"/>
        <v>612</v>
      </c>
      <c r="L31" s="300">
        <f t="shared" si="14"/>
        <v>612</v>
      </c>
      <c r="M31" s="300">
        <f t="shared" si="14"/>
        <v>611</v>
      </c>
      <c r="N31" s="300">
        <f t="shared" si="14"/>
        <v>698</v>
      </c>
      <c r="O31" s="300">
        <f t="shared" si="14"/>
        <v>692</v>
      </c>
      <c r="P31" s="300">
        <f t="shared" si="14"/>
        <v>691</v>
      </c>
      <c r="Q31" s="300">
        <f t="shared" si="14"/>
        <v>684</v>
      </c>
      <c r="R31" s="300">
        <f t="shared" si="14"/>
        <v>671</v>
      </c>
      <c r="S31" s="300">
        <f t="shared" si="14"/>
        <v>697</v>
      </c>
      <c r="T31" s="300">
        <f t="shared" si="14"/>
        <v>692</v>
      </c>
      <c r="U31" s="300">
        <f t="shared" si="14"/>
        <v>680</v>
      </c>
      <c r="V31" s="300">
        <f t="shared" si="14"/>
        <v>752</v>
      </c>
      <c r="W31" s="300">
        <f t="shared" si="14"/>
        <v>744</v>
      </c>
      <c r="X31" s="300">
        <f t="shared" si="14"/>
        <v>737</v>
      </c>
      <c r="Y31" s="300">
        <f t="shared" si="14"/>
        <v>737</v>
      </c>
      <c r="Z31" s="300">
        <f t="shared" si="14"/>
        <v>792</v>
      </c>
      <c r="AA31" s="300">
        <f t="shared" si="14"/>
        <v>789</v>
      </c>
      <c r="AB31" s="300">
        <f t="shared" si="14"/>
        <v>782</v>
      </c>
      <c r="AC31" s="300">
        <f t="shared" si="14"/>
        <v>782</v>
      </c>
      <c r="AD31" s="300">
        <f t="shared" si="14"/>
        <v>816</v>
      </c>
      <c r="AE31" s="300">
        <f t="shared" si="14"/>
        <v>846</v>
      </c>
      <c r="AF31" s="300">
        <f t="shared" si="14"/>
        <v>839</v>
      </c>
      <c r="AG31" s="300">
        <f t="shared" si="14"/>
        <v>839</v>
      </c>
      <c r="AH31" s="300">
        <f t="shared" si="14"/>
        <v>833</v>
      </c>
      <c r="AI31" s="300">
        <f t="shared" si="14"/>
        <v>832</v>
      </c>
      <c r="AJ31" s="300">
        <f t="shared" si="14"/>
        <v>823</v>
      </c>
      <c r="AK31" s="300">
        <f t="shared" si="14"/>
        <v>823</v>
      </c>
      <c r="AL31" s="300">
        <f t="shared" si="14"/>
        <v>851</v>
      </c>
      <c r="AM31" s="300">
        <f t="shared" si="14"/>
        <v>851</v>
      </c>
      <c r="AN31" s="300">
        <f t="shared" si="14"/>
        <v>840</v>
      </c>
      <c r="AO31" s="300">
        <f t="shared" si="14"/>
        <v>840</v>
      </c>
      <c r="AP31" s="300">
        <f>SUMIFS(AP$35:AP$172,$E$35:$E$172,"=3", $D$35:$D$172,"NO OFICIAL")</f>
        <v>874</v>
      </c>
      <c r="AQ31" s="300">
        <f>SUMIFS(AQ$35:AQ$172,$E$35:$E$172,"=3", $D$35:$D$172,"NO OFICIAL")</f>
        <v>883</v>
      </c>
      <c r="AR31" s="300">
        <f>SUMIFS(AR$35:AR$172,$E$35:$E$172,"=3", $D$35:$D$172,"NO OFICIAL")</f>
        <v>876</v>
      </c>
      <c r="AS31" s="300">
        <f>SUMIFS(AS$35:AS$172,$E$35:$E$172,"=3", $D$35:$D$172,"NO OFICIAL")</f>
        <v>876</v>
      </c>
    </row>
    <row r="32" spans="1:45" ht="24.95" customHeight="1" x14ac:dyDescent="0.2">
      <c r="A32" s="292"/>
      <c r="B32" s="6" t="s">
        <v>785</v>
      </c>
      <c r="C32" s="292"/>
      <c r="D32" s="315"/>
      <c r="E32" s="292"/>
      <c r="F32" s="300">
        <f t="shared" ref="F32:AO32" si="15">SUMIFS(F$35:F$171,$E$35:$E$171,"=4", $D$35:$D$171,"NO OFICIAL")</f>
        <v>158</v>
      </c>
      <c r="G32" s="300">
        <f t="shared" si="15"/>
        <v>209</v>
      </c>
      <c r="H32" s="300">
        <f t="shared" si="15"/>
        <v>204</v>
      </c>
      <c r="I32" s="300">
        <f t="shared" si="15"/>
        <v>204</v>
      </c>
      <c r="J32" s="300">
        <f t="shared" si="15"/>
        <v>186</v>
      </c>
      <c r="K32" s="300">
        <f t="shared" si="15"/>
        <v>230</v>
      </c>
      <c r="L32" s="300">
        <f t="shared" si="15"/>
        <v>224</v>
      </c>
      <c r="M32" s="300">
        <f t="shared" si="15"/>
        <v>222</v>
      </c>
      <c r="N32" s="300">
        <f t="shared" si="15"/>
        <v>173</v>
      </c>
      <c r="O32" s="300">
        <f t="shared" si="15"/>
        <v>178</v>
      </c>
      <c r="P32" s="300">
        <f t="shared" si="15"/>
        <v>177</v>
      </c>
      <c r="Q32" s="300">
        <f t="shared" si="15"/>
        <v>175</v>
      </c>
      <c r="R32" s="300">
        <f t="shared" si="15"/>
        <v>177</v>
      </c>
      <c r="S32" s="300">
        <f t="shared" si="15"/>
        <v>232</v>
      </c>
      <c r="T32" s="300">
        <f t="shared" si="15"/>
        <v>230</v>
      </c>
      <c r="U32" s="300">
        <f t="shared" si="15"/>
        <v>228</v>
      </c>
      <c r="V32" s="300">
        <f t="shared" si="15"/>
        <v>180</v>
      </c>
      <c r="W32" s="300">
        <f t="shared" si="15"/>
        <v>171</v>
      </c>
      <c r="X32" s="300">
        <f t="shared" si="15"/>
        <v>169</v>
      </c>
      <c r="Y32" s="300">
        <f t="shared" si="15"/>
        <v>169</v>
      </c>
      <c r="Z32" s="300">
        <f t="shared" si="15"/>
        <v>196</v>
      </c>
      <c r="AA32" s="300">
        <f t="shared" si="15"/>
        <v>203</v>
      </c>
      <c r="AB32" s="300">
        <f t="shared" si="15"/>
        <v>200</v>
      </c>
      <c r="AC32" s="300">
        <f t="shared" si="15"/>
        <v>200</v>
      </c>
      <c r="AD32" s="300">
        <f t="shared" si="15"/>
        <v>110</v>
      </c>
      <c r="AE32" s="300">
        <f t="shared" si="15"/>
        <v>228</v>
      </c>
      <c r="AF32" s="300">
        <f t="shared" si="15"/>
        <v>225</v>
      </c>
      <c r="AG32" s="300">
        <f t="shared" si="15"/>
        <v>225</v>
      </c>
      <c r="AH32" s="300">
        <f t="shared" si="15"/>
        <v>247</v>
      </c>
      <c r="AI32" s="300">
        <f t="shared" si="15"/>
        <v>259</v>
      </c>
      <c r="AJ32" s="300">
        <f t="shared" si="15"/>
        <v>256</v>
      </c>
      <c r="AK32" s="300">
        <f t="shared" si="15"/>
        <v>256</v>
      </c>
      <c r="AL32" s="300">
        <f t="shared" si="15"/>
        <v>275</v>
      </c>
      <c r="AM32" s="300">
        <f t="shared" si="15"/>
        <v>273</v>
      </c>
      <c r="AN32" s="300">
        <f t="shared" si="15"/>
        <v>269</v>
      </c>
      <c r="AO32" s="300">
        <f t="shared" si="15"/>
        <v>269</v>
      </c>
      <c r="AP32" s="300">
        <f>SUMIFS(AP$35:AP$172,$E$35:$E$172,"=4", $D$35:$D$172,"NO OFICIAL")</f>
        <v>259</v>
      </c>
      <c r="AQ32" s="300">
        <f>SUMIFS(AQ$35:AQ$172,$E$35:$E$172,"=4", $D$35:$D$172,"NO OFICIAL")</f>
        <v>261</v>
      </c>
      <c r="AR32" s="300">
        <f>SUMIFS(AR$35:AR$172,$E$35:$E$172,"=4", $D$35:$D$172,"NO OFICIAL")</f>
        <v>257</v>
      </c>
      <c r="AS32" s="300">
        <f>SUMIFS(AS$35:AS$172,$E$35:$E$172,"=4", $D$35:$D$172,"NO OFICIAL")</f>
        <v>257</v>
      </c>
    </row>
    <row r="33" spans="1:49" ht="24.95" customHeight="1" x14ac:dyDescent="0.2">
      <c r="A33" s="292"/>
      <c r="B33" s="6" t="s">
        <v>786</v>
      </c>
      <c r="C33" s="292"/>
      <c r="D33" s="315"/>
      <c r="E33" s="292"/>
      <c r="F33" s="300">
        <f t="shared" ref="F33:AO33" si="16">SUMIFS(F$35:F$171,$E$35:$E$171,"=5", $D$35:$D$171,"NO OFICIAL")</f>
        <v>475</v>
      </c>
      <c r="G33" s="300">
        <f t="shared" si="16"/>
        <v>522</v>
      </c>
      <c r="H33" s="300">
        <f t="shared" si="16"/>
        <v>516</v>
      </c>
      <c r="I33" s="300">
        <f t="shared" si="16"/>
        <v>516</v>
      </c>
      <c r="J33" s="300">
        <f t="shared" si="16"/>
        <v>469</v>
      </c>
      <c r="K33" s="300">
        <f t="shared" si="16"/>
        <v>484</v>
      </c>
      <c r="L33" s="300">
        <f t="shared" si="16"/>
        <v>483</v>
      </c>
      <c r="M33" s="300">
        <f t="shared" si="16"/>
        <v>482</v>
      </c>
      <c r="N33" s="300">
        <f t="shared" si="16"/>
        <v>525</v>
      </c>
      <c r="O33" s="300">
        <f t="shared" si="16"/>
        <v>523</v>
      </c>
      <c r="P33" s="300">
        <f t="shared" si="16"/>
        <v>522</v>
      </c>
      <c r="Q33" s="300">
        <f t="shared" si="16"/>
        <v>521</v>
      </c>
      <c r="R33" s="300">
        <f t="shared" si="16"/>
        <v>531</v>
      </c>
      <c r="S33" s="300">
        <f t="shared" si="16"/>
        <v>524</v>
      </c>
      <c r="T33" s="300">
        <f t="shared" si="16"/>
        <v>524</v>
      </c>
      <c r="U33" s="300">
        <f t="shared" si="16"/>
        <v>520</v>
      </c>
      <c r="V33" s="300">
        <f t="shared" si="16"/>
        <v>568</v>
      </c>
      <c r="W33" s="300">
        <f t="shared" si="16"/>
        <v>560</v>
      </c>
      <c r="X33" s="300">
        <f t="shared" si="16"/>
        <v>560</v>
      </c>
      <c r="Y33" s="300">
        <f t="shared" si="16"/>
        <v>560</v>
      </c>
      <c r="Z33" s="300">
        <f t="shared" si="16"/>
        <v>577</v>
      </c>
      <c r="AA33" s="300">
        <f t="shared" si="16"/>
        <v>573</v>
      </c>
      <c r="AB33" s="300">
        <f t="shared" si="16"/>
        <v>570</v>
      </c>
      <c r="AC33" s="300">
        <f t="shared" si="16"/>
        <v>570</v>
      </c>
      <c r="AD33" s="300">
        <f t="shared" si="16"/>
        <v>605</v>
      </c>
      <c r="AE33" s="300">
        <f t="shared" si="16"/>
        <v>591</v>
      </c>
      <c r="AF33" s="300">
        <f t="shared" si="16"/>
        <v>590</v>
      </c>
      <c r="AG33" s="300">
        <f t="shared" si="16"/>
        <v>590</v>
      </c>
      <c r="AH33" s="300">
        <f t="shared" si="16"/>
        <v>626</v>
      </c>
      <c r="AI33" s="300">
        <f t="shared" si="16"/>
        <v>617</v>
      </c>
      <c r="AJ33" s="300">
        <f t="shared" si="16"/>
        <v>615</v>
      </c>
      <c r="AK33" s="300">
        <f t="shared" si="16"/>
        <v>615</v>
      </c>
      <c r="AL33" s="300">
        <f t="shared" si="16"/>
        <v>604</v>
      </c>
      <c r="AM33" s="300">
        <f t="shared" si="16"/>
        <v>602</v>
      </c>
      <c r="AN33" s="300">
        <f t="shared" si="16"/>
        <v>591</v>
      </c>
      <c r="AO33" s="300">
        <f t="shared" si="16"/>
        <v>591</v>
      </c>
      <c r="AP33" s="300">
        <f>SUMIFS(AP$35:AP$172,$E$35:$E$172,"=5", $D$35:$D$172,"NO OFICIAL")</f>
        <v>652</v>
      </c>
      <c r="AQ33" s="300">
        <f>SUMIFS(AQ$35:AQ$172,$E$35:$E$172,"=5", $D$35:$D$172,"NO OFICIAL")</f>
        <v>653</v>
      </c>
      <c r="AR33" s="300">
        <f>SUMIFS(AR$35:AR$172,$E$35:$E$172,"=5", $D$35:$D$172,"NO OFICIAL")</f>
        <v>646</v>
      </c>
      <c r="AS33" s="300">
        <f>SUMIFS(AS$35:AS$172,$E$35:$E$172,"=5", $D$35:$D$172,"NO OFICIAL")</f>
        <v>646</v>
      </c>
    </row>
    <row r="34" spans="1:49" ht="24.95" customHeight="1" x14ac:dyDescent="0.2">
      <c r="A34" s="292"/>
      <c r="B34" s="6" t="s">
        <v>787</v>
      </c>
      <c r="C34" s="292"/>
      <c r="D34" s="315"/>
      <c r="E34" s="292"/>
      <c r="F34" s="300">
        <f t="shared" ref="F34:AO34" si="17">SUMIFS(F$35:F$171,$E$35:$E$171,"=6", $D$35:$D$171,"NO OFICIAL")</f>
        <v>376</v>
      </c>
      <c r="G34" s="300">
        <f t="shared" si="17"/>
        <v>410</v>
      </c>
      <c r="H34" s="300">
        <f t="shared" si="17"/>
        <v>401</v>
      </c>
      <c r="I34" s="300">
        <f t="shared" si="17"/>
        <v>401</v>
      </c>
      <c r="J34" s="300">
        <f t="shared" si="17"/>
        <v>419</v>
      </c>
      <c r="K34" s="300">
        <f t="shared" si="17"/>
        <v>431</v>
      </c>
      <c r="L34" s="300">
        <f t="shared" si="17"/>
        <v>430</v>
      </c>
      <c r="M34" s="300">
        <f t="shared" si="17"/>
        <v>420</v>
      </c>
      <c r="N34" s="300">
        <f t="shared" si="17"/>
        <v>400</v>
      </c>
      <c r="O34" s="300">
        <f t="shared" si="17"/>
        <v>401</v>
      </c>
      <c r="P34" s="300">
        <f t="shared" si="17"/>
        <v>401</v>
      </c>
      <c r="Q34" s="300">
        <f t="shared" si="17"/>
        <v>387</v>
      </c>
      <c r="R34" s="300">
        <f t="shared" si="17"/>
        <v>489</v>
      </c>
      <c r="S34" s="300">
        <f t="shared" si="17"/>
        <v>489</v>
      </c>
      <c r="T34" s="300">
        <f t="shared" si="17"/>
        <v>488</v>
      </c>
      <c r="U34" s="300">
        <f t="shared" si="17"/>
        <v>465</v>
      </c>
      <c r="V34" s="300">
        <f t="shared" si="17"/>
        <v>518</v>
      </c>
      <c r="W34" s="300">
        <f t="shared" si="17"/>
        <v>512</v>
      </c>
      <c r="X34" s="300">
        <f t="shared" si="17"/>
        <v>511</v>
      </c>
      <c r="Y34" s="300">
        <f t="shared" si="17"/>
        <v>511</v>
      </c>
      <c r="Z34" s="300">
        <f t="shared" si="17"/>
        <v>407</v>
      </c>
      <c r="AA34" s="300">
        <f t="shared" si="17"/>
        <v>546</v>
      </c>
      <c r="AB34" s="300">
        <f t="shared" si="17"/>
        <v>539</v>
      </c>
      <c r="AC34" s="300">
        <f t="shared" si="17"/>
        <v>539</v>
      </c>
      <c r="AD34" s="300">
        <f t="shared" si="17"/>
        <v>665</v>
      </c>
      <c r="AE34" s="300">
        <f t="shared" si="17"/>
        <v>674</v>
      </c>
      <c r="AF34" s="300">
        <f t="shared" si="17"/>
        <v>666</v>
      </c>
      <c r="AG34" s="300">
        <f t="shared" si="17"/>
        <v>666</v>
      </c>
      <c r="AH34" s="300">
        <f t="shared" si="17"/>
        <v>597</v>
      </c>
      <c r="AI34" s="300">
        <f t="shared" si="17"/>
        <v>605</v>
      </c>
      <c r="AJ34" s="300">
        <f t="shared" si="17"/>
        <v>597</v>
      </c>
      <c r="AK34" s="300">
        <f t="shared" si="17"/>
        <v>597</v>
      </c>
      <c r="AL34" s="300">
        <f t="shared" si="17"/>
        <v>587</v>
      </c>
      <c r="AM34" s="300">
        <f t="shared" si="17"/>
        <v>584</v>
      </c>
      <c r="AN34" s="300">
        <f t="shared" si="17"/>
        <v>573</v>
      </c>
      <c r="AO34" s="300">
        <f t="shared" si="17"/>
        <v>573</v>
      </c>
      <c r="AP34" s="300">
        <f>SUMIFS(AP$35:AP$172,$E$35:$E$172,"=6", $D$35:$D$172,"NO OFICIAL")</f>
        <v>635</v>
      </c>
      <c r="AQ34" s="300">
        <f>SUMIFS(AQ$35:AQ$172,$E$35:$E$172,"=6", $D$35:$D$172,"NO OFICIAL")</f>
        <v>688</v>
      </c>
      <c r="AR34" s="300">
        <f>SUMIFS(AR$35:AR$172,$E$35:$E$172,"=6", $D$35:$D$172,"NO OFICIAL")</f>
        <v>667</v>
      </c>
      <c r="AS34" s="300">
        <f>SUMIFS(AS$35:AS$172,$E$35:$E$172,"=6", $D$35:$D$172,"NO OFICIAL")</f>
        <v>667</v>
      </c>
    </row>
    <row r="35" spans="1:49" ht="24.95" customHeight="1" x14ac:dyDescent="0.2">
      <c r="A35" s="13">
        <v>325754001778</v>
      </c>
      <c r="B35" s="1" t="s">
        <v>0</v>
      </c>
      <c r="C35" s="126" t="s">
        <v>23</v>
      </c>
      <c r="D35" s="2" t="s">
        <v>123</v>
      </c>
      <c r="E35" s="2">
        <v>2</v>
      </c>
      <c r="F35" s="12">
        <v>69</v>
      </c>
      <c r="G35" s="12">
        <v>73</v>
      </c>
      <c r="H35" s="12">
        <v>72</v>
      </c>
      <c r="I35" s="12">
        <v>72</v>
      </c>
      <c r="J35" s="25">
        <v>87</v>
      </c>
      <c r="K35" s="25">
        <v>87</v>
      </c>
      <c r="L35" s="25">
        <v>87</v>
      </c>
      <c r="M35" s="25">
        <v>87</v>
      </c>
      <c r="N35" s="12">
        <v>62</v>
      </c>
      <c r="O35" s="12">
        <v>65</v>
      </c>
      <c r="P35" s="12">
        <v>65</v>
      </c>
      <c r="Q35" s="12">
        <v>65</v>
      </c>
      <c r="R35" s="12">
        <v>77</v>
      </c>
      <c r="S35" s="12">
        <v>71</v>
      </c>
      <c r="T35" s="12">
        <v>71</v>
      </c>
      <c r="U35" s="12">
        <v>71</v>
      </c>
      <c r="V35" s="25">
        <v>62</v>
      </c>
      <c r="W35" s="25">
        <v>60</v>
      </c>
      <c r="X35" s="25">
        <v>59</v>
      </c>
      <c r="Y35" s="25">
        <v>59</v>
      </c>
      <c r="Z35" s="577">
        <v>72</v>
      </c>
      <c r="AA35" s="577">
        <v>75</v>
      </c>
      <c r="AB35" s="577">
        <v>72</v>
      </c>
      <c r="AC35" s="577">
        <v>72</v>
      </c>
      <c r="AD35" s="495"/>
      <c r="AE35" s="495"/>
      <c r="AF35" s="495"/>
      <c r="AG35" s="495"/>
      <c r="AH35" s="495"/>
      <c r="AI35" s="495"/>
      <c r="AJ35" s="495"/>
      <c r="AK35" s="495"/>
      <c r="AL35" s="495"/>
      <c r="AM35" s="495"/>
      <c r="AN35" s="495"/>
      <c r="AO35" s="495"/>
      <c r="AP35" s="872"/>
      <c r="AQ35" s="854"/>
      <c r="AR35" s="15"/>
      <c r="AS35" s="856"/>
    </row>
    <row r="36" spans="1:49" ht="24.95" customHeight="1" x14ac:dyDescent="0.2">
      <c r="A36" s="858">
        <v>325754800026</v>
      </c>
      <c r="B36" s="1" t="s">
        <v>0</v>
      </c>
      <c r="C36" s="740" t="s">
        <v>952</v>
      </c>
      <c r="D36" s="2" t="s">
        <v>123</v>
      </c>
      <c r="E36" s="735"/>
      <c r="F36" s="736"/>
      <c r="G36" s="736"/>
      <c r="H36" s="47"/>
      <c r="I36" s="47"/>
      <c r="J36" s="737"/>
      <c r="K36" s="737"/>
      <c r="L36" s="737"/>
      <c r="M36" s="737"/>
      <c r="N36" s="736"/>
      <c r="O36" s="736"/>
      <c r="P36" s="736"/>
      <c r="Q36" s="736"/>
      <c r="R36" s="736"/>
      <c r="S36" s="736"/>
      <c r="T36" s="736"/>
      <c r="U36" s="736"/>
      <c r="V36" s="737"/>
      <c r="W36" s="737"/>
      <c r="X36" s="737"/>
      <c r="Y36" s="737"/>
      <c r="Z36" s="738"/>
      <c r="AA36" s="738"/>
      <c r="AB36" s="738"/>
      <c r="AC36" s="738"/>
      <c r="AD36" s="495"/>
      <c r="AE36" s="495"/>
      <c r="AF36" s="495"/>
      <c r="AG36" s="495"/>
      <c r="AH36" s="495"/>
      <c r="AI36" s="495"/>
      <c r="AJ36" s="495"/>
      <c r="AK36" s="495"/>
      <c r="AL36" s="495"/>
      <c r="AM36" s="495"/>
      <c r="AN36" s="495"/>
      <c r="AO36" s="495"/>
      <c r="AP36" s="991">
        <v>0</v>
      </c>
      <c r="AQ36" s="991">
        <v>1</v>
      </c>
      <c r="AR36" s="992">
        <v>1</v>
      </c>
      <c r="AS36" s="993">
        <v>1</v>
      </c>
      <c r="AT36" s="971"/>
      <c r="AU36" s="970"/>
      <c r="AV36" s="970"/>
      <c r="AW36" s="970"/>
    </row>
    <row r="37" spans="1:49" ht="24.95" customHeight="1" x14ac:dyDescent="0.2">
      <c r="A37" s="858">
        <v>325754005200</v>
      </c>
      <c r="B37" s="1" t="s">
        <v>0</v>
      </c>
      <c r="C37" s="126" t="s">
        <v>166</v>
      </c>
      <c r="D37" s="35" t="s">
        <v>123</v>
      </c>
      <c r="E37" s="2">
        <v>2</v>
      </c>
      <c r="F37" s="12"/>
      <c r="G37" s="12"/>
      <c r="H37" s="495"/>
      <c r="I37" s="495"/>
      <c r="J37" s="25"/>
      <c r="K37" s="25"/>
      <c r="L37" s="25"/>
      <c r="M37" s="25"/>
      <c r="N37" s="12"/>
      <c r="O37" s="12"/>
      <c r="P37" s="12"/>
      <c r="Q37" s="12"/>
      <c r="R37" s="12"/>
      <c r="S37" s="12"/>
      <c r="T37" s="12"/>
      <c r="U37" s="12"/>
      <c r="V37" s="25">
        <v>0</v>
      </c>
      <c r="W37" s="25">
        <v>2</v>
      </c>
      <c r="X37" s="25">
        <v>2</v>
      </c>
      <c r="Y37" s="25">
        <v>2</v>
      </c>
      <c r="Z37" s="577">
        <v>0</v>
      </c>
      <c r="AA37" s="577">
        <v>2</v>
      </c>
      <c r="AB37" s="577">
        <v>1</v>
      </c>
      <c r="AC37" s="577">
        <v>1</v>
      </c>
      <c r="AD37" s="328">
        <v>0</v>
      </c>
      <c r="AE37" s="328">
        <v>3</v>
      </c>
      <c r="AF37" s="328">
        <v>3</v>
      </c>
      <c r="AG37" s="328">
        <v>3</v>
      </c>
      <c r="AH37" s="526">
        <v>0</v>
      </c>
      <c r="AI37" s="526">
        <v>1</v>
      </c>
      <c r="AJ37" s="526">
        <v>1</v>
      </c>
      <c r="AK37" s="526">
        <v>1</v>
      </c>
      <c r="AL37" s="524">
        <v>0</v>
      </c>
      <c r="AM37" s="524">
        <v>4</v>
      </c>
      <c r="AN37" s="524">
        <v>2</v>
      </c>
      <c r="AO37" s="524">
        <v>2</v>
      </c>
      <c r="AP37" s="991">
        <v>0</v>
      </c>
      <c r="AQ37" s="991">
        <v>2</v>
      </c>
      <c r="AR37" s="992">
        <v>2</v>
      </c>
      <c r="AS37" s="993">
        <v>2</v>
      </c>
      <c r="AT37" s="971"/>
      <c r="AU37" s="970"/>
      <c r="AV37" s="970"/>
      <c r="AW37" s="970"/>
    </row>
    <row r="38" spans="1:49" ht="24.95" customHeight="1" x14ac:dyDescent="0.2">
      <c r="A38" s="605">
        <v>325754800077</v>
      </c>
      <c r="B38" s="310" t="s">
        <v>0</v>
      </c>
      <c r="C38" s="759" t="s">
        <v>796</v>
      </c>
      <c r="D38" s="35" t="s">
        <v>123</v>
      </c>
      <c r="E38" s="309">
        <v>2</v>
      </c>
      <c r="F38" s="328"/>
      <c r="G38" s="328"/>
      <c r="H38" s="495"/>
      <c r="I38" s="495"/>
      <c r="J38" s="329"/>
      <c r="K38" s="329"/>
      <c r="L38" s="329"/>
      <c r="M38" s="329"/>
      <c r="N38" s="328"/>
      <c r="O38" s="328"/>
      <c r="P38" s="328"/>
      <c r="Q38" s="328"/>
      <c r="R38" s="328"/>
      <c r="S38" s="328"/>
      <c r="T38" s="328"/>
      <c r="U38" s="328"/>
      <c r="V38" s="329"/>
      <c r="W38" s="329"/>
      <c r="X38" s="329"/>
      <c r="Y38" s="329"/>
      <c r="Z38" s="578"/>
      <c r="AA38" s="578"/>
      <c r="AB38" s="578"/>
      <c r="AC38" s="578"/>
      <c r="AD38" s="328">
        <v>0</v>
      </c>
      <c r="AE38" s="328">
        <v>9</v>
      </c>
      <c r="AF38" s="328">
        <v>8</v>
      </c>
      <c r="AG38" s="328">
        <v>8</v>
      </c>
      <c r="AH38" s="526">
        <v>0</v>
      </c>
      <c r="AI38" s="526">
        <v>5</v>
      </c>
      <c r="AJ38" s="526">
        <v>4</v>
      </c>
      <c r="AK38" s="526">
        <v>4</v>
      </c>
      <c r="AL38" s="526"/>
      <c r="AM38" s="526"/>
      <c r="AN38" s="526"/>
      <c r="AO38" s="526"/>
      <c r="AP38" s="991"/>
      <c r="AQ38" s="991"/>
      <c r="AR38" s="992"/>
      <c r="AS38" s="993"/>
      <c r="AT38" s="971"/>
      <c r="AU38" s="970"/>
      <c r="AV38" s="970"/>
      <c r="AW38" s="970"/>
    </row>
    <row r="39" spans="1:49" ht="24.95" customHeight="1" x14ac:dyDescent="0.2">
      <c r="A39" s="13">
        <v>325754001042</v>
      </c>
      <c r="B39" s="1" t="s">
        <v>0</v>
      </c>
      <c r="C39" s="126" t="s">
        <v>26</v>
      </c>
      <c r="D39" s="2" t="s">
        <v>123</v>
      </c>
      <c r="E39" s="2">
        <v>3</v>
      </c>
      <c r="F39" s="12">
        <v>51</v>
      </c>
      <c r="G39" s="12">
        <v>59</v>
      </c>
      <c r="H39" s="12">
        <v>58</v>
      </c>
      <c r="I39" s="12">
        <v>58</v>
      </c>
      <c r="J39" s="25">
        <v>57</v>
      </c>
      <c r="K39" s="25">
        <v>60</v>
      </c>
      <c r="L39" s="25">
        <v>60</v>
      </c>
      <c r="M39" s="25">
        <v>60</v>
      </c>
      <c r="N39" s="12">
        <v>47</v>
      </c>
      <c r="O39" s="12">
        <v>47</v>
      </c>
      <c r="P39" s="12">
        <v>47</v>
      </c>
      <c r="Q39" s="12">
        <v>46</v>
      </c>
      <c r="R39" s="12">
        <v>51</v>
      </c>
      <c r="S39" s="12">
        <v>48</v>
      </c>
      <c r="T39" s="12">
        <v>48</v>
      </c>
      <c r="U39" s="12">
        <v>48</v>
      </c>
      <c r="V39" s="25">
        <v>42</v>
      </c>
      <c r="W39" s="25">
        <v>42</v>
      </c>
      <c r="X39" s="25">
        <v>42</v>
      </c>
      <c r="Y39" s="25">
        <v>42</v>
      </c>
      <c r="Z39" s="577">
        <v>40</v>
      </c>
      <c r="AA39" s="577">
        <v>40</v>
      </c>
      <c r="AB39" s="577">
        <v>40</v>
      </c>
      <c r="AC39" s="577">
        <v>40</v>
      </c>
      <c r="AD39" s="328">
        <v>33</v>
      </c>
      <c r="AE39" s="328">
        <v>34</v>
      </c>
      <c r="AF39" s="328">
        <v>34</v>
      </c>
      <c r="AG39" s="328">
        <v>34</v>
      </c>
      <c r="AH39" s="526">
        <v>25</v>
      </c>
      <c r="AI39" s="526">
        <v>25</v>
      </c>
      <c r="AJ39" s="526">
        <v>25</v>
      </c>
      <c r="AK39" s="526">
        <v>25</v>
      </c>
      <c r="AL39" s="524">
        <v>32</v>
      </c>
      <c r="AM39" s="524">
        <v>32</v>
      </c>
      <c r="AN39" s="524">
        <v>31</v>
      </c>
      <c r="AO39" s="524">
        <v>31</v>
      </c>
      <c r="AP39" s="991">
        <v>32</v>
      </c>
      <c r="AQ39" s="991">
        <v>32</v>
      </c>
      <c r="AR39" s="992">
        <v>32</v>
      </c>
      <c r="AS39" s="993">
        <v>32</v>
      </c>
      <c r="AT39" s="971"/>
      <c r="AU39" s="970"/>
      <c r="AV39" s="970"/>
      <c r="AW39" s="970"/>
    </row>
    <row r="40" spans="1:49" ht="24.95" customHeight="1" x14ac:dyDescent="0.2">
      <c r="A40" s="13">
        <v>325754003428</v>
      </c>
      <c r="B40" s="1" t="s">
        <v>0</v>
      </c>
      <c r="C40" s="36" t="s">
        <v>167</v>
      </c>
      <c r="D40" s="2" t="s">
        <v>123</v>
      </c>
      <c r="E40" s="2">
        <v>4</v>
      </c>
      <c r="F40" s="12">
        <v>45</v>
      </c>
      <c r="G40" s="12">
        <v>46</v>
      </c>
      <c r="H40" s="12">
        <v>46</v>
      </c>
      <c r="I40" s="12">
        <v>46</v>
      </c>
      <c r="J40" s="25">
        <v>46</v>
      </c>
      <c r="K40" s="25">
        <v>45</v>
      </c>
      <c r="L40" s="25">
        <v>45</v>
      </c>
      <c r="M40" s="25">
        <v>44</v>
      </c>
      <c r="N40" s="12">
        <v>39</v>
      </c>
      <c r="O40" s="12">
        <v>39</v>
      </c>
      <c r="P40" s="12">
        <v>39</v>
      </c>
      <c r="Q40" s="12">
        <v>37</v>
      </c>
      <c r="R40" s="12">
        <v>42</v>
      </c>
      <c r="S40" s="12">
        <v>42</v>
      </c>
      <c r="T40" s="12">
        <v>42</v>
      </c>
      <c r="U40" s="12">
        <v>42</v>
      </c>
      <c r="V40" s="25">
        <v>42</v>
      </c>
      <c r="W40" s="25">
        <v>41</v>
      </c>
      <c r="X40" s="25">
        <v>40</v>
      </c>
      <c r="Y40" s="25">
        <v>40</v>
      </c>
      <c r="Z40" s="577">
        <v>42</v>
      </c>
      <c r="AA40" s="577">
        <v>42</v>
      </c>
      <c r="AB40" s="577">
        <v>41</v>
      </c>
      <c r="AC40" s="577">
        <v>41</v>
      </c>
      <c r="AD40" s="328">
        <v>46</v>
      </c>
      <c r="AE40" s="328">
        <v>46</v>
      </c>
      <c r="AF40" s="328">
        <v>46</v>
      </c>
      <c r="AG40" s="328">
        <v>46</v>
      </c>
      <c r="AH40" s="526">
        <v>41</v>
      </c>
      <c r="AI40" s="526">
        <v>39</v>
      </c>
      <c r="AJ40" s="526">
        <v>39</v>
      </c>
      <c r="AK40" s="526">
        <v>39</v>
      </c>
      <c r="AL40" s="524">
        <v>28</v>
      </c>
      <c r="AM40" s="524">
        <v>27</v>
      </c>
      <c r="AN40" s="524">
        <v>27</v>
      </c>
      <c r="AO40" s="524">
        <v>27</v>
      </c>
      <c r="AP40" s="991">
        <v>34</v>
      </c>
      <c r="AQ40" s="991">
        <v>34</v>
      </c>
      <c r="AR40" s="992">
        <v>32</v>
      </c>
      <c r="AS40" s="993">
        <v>32</v>
      </c>
      <c r="AT40" s="971"/>
      <c r="AU40" s="970"/>
      <c r="AV40" s="970"/>
      <c r="AW40" s="970"/>
    </row>
    <row r="41" spans="1:49" ht="24.95" customHeight="1" x14ac:dyDescent="0.2">
      <c r="A41" s="13">
        <v>325754002057</v>
      </c>
      <c r="B41" s="1" t="s">
        <v>0</v>
      </c>
      <c r="C41" s="126" t="s">
        <v>181</v>
      </c>
      <c r="D41" s="2" t="s">
        <v>123</v>
      </c>
      <c r="E41" s="2">
        <v>5</v>
      </c>
      <c r="F41" s="12"/>
      <c r="G41" s="12"/>
      <c r="H41" s="495"/>
      <c r="I41" s="495"/>
      <c r="J41" s="25"/>
      <c r="K41" s="25"/>
      <c r="L41" s="25"/>
      <c r="M41" s="25"/>
      <c r="N41" s="12">
        <v>18</v>
      </c>
      <c r="O41" s="12">
        <v>19</v>
      </c>
      <c r="P41" s="12">
        <v>18</v>
      </c>
      <c r="Q41" s="12">
        <v>18</v>
      </c>
      <c r="R41" s="12">
        <v>16</v>
      </c>
      <c r="S41" s="12">
        <v>16</v>
      </c>
      <c r="T41" s="12">
        <v>16</v>
      </c>
      <c r="U41" s="12">
        <v>15</v>
      </c>
      <c r="V41" s="25">
        <v>24</v>
      </c>
      <c r="W41" s="25">
        <v>23</v>
      </c>
      <c r="X41" s="25">
        <v>23</v>
      </c>
      <c r="Y41" s="25">
        <v>23</v>
      </c>
      <c r="Z41" s="577">
        <v>25</v>
      </c>
      <c r="AA41" s="577">
        <v>27</v>
      </c>
      <c r="AB41" s="577">
        <v>27</v>
      </c>
      <c r="AC41" s="577">
        <v>27</v>
      </c>
      <c r="AD41" s="328">
        <v>15</v>
      </c>
      <c r="AE41" s="328">
        <v>13</v>
      </c>
      <c r="AF41" s="328">
        <v>13</v>
      </c>
      <c r="AG41" s="328">
        <v>13</v>
      </c>
      <c r="AH41" s="526">
        <v>24</v>
      </c>
      <c r="AI41" s="526">
        <v>22</v>
      </c>
      <c r="AJ41" s="526">
        <v>22</v>
      </c>
      <c r="AK41" s="526">
        <v>22</v>
      </c>
      <c r="AL41" s="524">
        <v>25</v>
      </c>
      <c r="AM41" s="524">
        <v>25</v>
      </c>
      <c r="AN41" s="524">
        <v>25</v>
      </c>
      <c r="AO41" s="524">
        <v>25</v>
      </c>
      <c r="AP41" s="991">
        <v>21</v>
      </c>
      <c r="AQ41" s="991">
        <v>21</v>
      </c>
      <c r="AR41" s="992">
        <v>21</v>
      </c>
      <c r="AS41" s="993">
        <v>21</v>
      </c>
      <c r="AT41" s="971"/>
      <c r="AU41" s="970"/>
      <c r="AV41" s="970"/>
      <c r="AW41" s="970"/>
    </row>
    <row r="42" spans="1:49" ht="24.95" customHeight="1" x14ac:dyDescent="0.2">
      <c r="A42" s="858">
        <v>325754004599</v>
      </c>
      <c r="B42" s="1" t="s">
        <v>0</v>
      </c>
      <c r="C42" s="36" t="s">
        <v>163</v>
      </c>
      <c r="D42" s="35" t="s">
        <v>123</v>
      </c>
      <c r="E42" s="2">
        <v>6</v>
      </c>
      <c r="F42" s="12"/>
      <c r="G42" s="12"/>
      <c r="H42" s="495"/>
      <c r="I42" s="495"/>
      <c r="J42" s="25"/>
      <c r="K42" s="25"/>
      <c r="L42" s="25"/>
      <c r="M42" s="25"/>
      <c r="N42" s="12"/>
      <c r="O42" s="12"/>
      <c r="P42" s="12"/>
      <c r="Q42" s="12"/>
      <c r="R42" s="12"/>
      <c r="S42" s="12"/>
      <c r="T42" s="12"/>
      <c r="U42" s="12"/>
      <c r="V42" s="25">
        <v>2</v>
      </c>
      <c r="W42" s="25">
        <v>2</v>
      </c>
      <c r="X42" s="25">
        <v>2</v>
      </c>
      <c r="Y42" s="25">
        <v>2</v>
      </c>
      <c r="Z42" s="577">
        <v>1</v>
      </c>
      <c r="AA42" s="577">
        <v>1</v>
      </c>
      <c r="AB42" s="577">
        <v>1</v>
      </c>
      <c r="AC42" s="577">
        <v>1</v>
      </c>
      <c r="AD42" s="328">
        <v>4</v>
      </c>
      <c r="AE42" s="328">
        <v>4</v>
      </c>
      <c r="AF42" s="328">
        <v>4</v>
      </c>
      <c r="AG42" s="328">
        <v>4</v>
      </c>
      <c r="AH42" s="526">
        <v>13</v>
      </c>
      <c r="AI42" s="526">
        <v>13</v>
      </c>
      <c r="AJ42" s="526">
        <v>13</v>
      </c>
      <c r="AK42" s="526">
        <v>13</v>
      </c>
      <c r="AL42" s="524">
        <v>9</v>
      </c>
      <c r="AM42" s="524">
        <v>9</v>
      </c>
      <c r="AN42" s="524">
        <v>8</v>
      </c>
      <c r="AO42" s="524">
        <v>8</v>
      </c>
      <c r="AP42" s="991">
        <v>13</v>
      </c>
      <c r="AQ42" s="991">
        <v>12</v>
      </c>
      <c r="AR42" s="992">
        <v>12</v>
      </c>
      <c r="AS42" s="993">
        <v>12</v>
      </c>
      <c r="AT42" s="971"/>
      <c r="AU42" s="970"/>
      <c r="AV42" s="970"/>
      <c r="AW42" s="970"/>
    </row>
    <row r="43" spans="1:49" ht="24.95" customHeight="1" x14ac:dyDescent="0.2">
      <c r="A43" s="605">
        <v>325754004980</v>
      </c>
      <c r="B43" s="310" t="s">
        <v>0</v>
      </c>
      <c r="C43" s="555" t="s">
        <v>104</v>
      </c>
      <c r="D43" s="35" t="s">
        <v>123</v>
      </c>
      <c r="E43" s="2">
        <v>2</v>
      </c>
      <c r="F43" s="328">
        <v>0</v>
      </c>
      <c r="G43" s="328">
        <v>1</v>
      </c>
      <c r="H43" s="47">
        <v>1</v>
      </c>
      <c r="I43" s="47">
        <v>1</v>
      </c>
      <c r="J43" s="329"/>
      <c r="K43" s="329"/>
      <c r="L43" s="329"/>
      <c r="M43" s="329"/>
      <c r="N43" s="328"/>
      <c r="O43" s="328"/>
      <c r="P43" s="328"/>
      <c r="Q43" s="328"/>
      <c r="R43" s="328"/>
      <c r="S43" s="328"/>
      <c r="T43" s="328"/>
      <c r="U43" s="328"/>
      <c r="V43" s="329">
        <v>0</v>
      </c>
      <c r="W43" s="329">
        <v>1</v>
      </c>
      <c r="X43" s="329">
        <v>1</v>
      </c>
      <c r="Y43" s="329">
        <v>1</v>
      </c>
      <c r="Z43" s="495"/>
      <c r="AA43" s="495"/>
      <c r="AB43" s="495"/>
      <c r="AC43" s="495"/>
      <c r="AD43" s="611"/>
      <c r="AE43" s="611"/>
      <c r="AF43" s="611"/>
      <c r="AG43" s="611"/>
      <c r="AH43" s="526"/>
      <c r="AI43" s="526"/>
      <c r="AJ43" s="526"/>
      <c r="AK43" s="526"/>
      <c r="AL43" s="526"/>
      <c r="AM43" s="526"/>
      <c r="AN43" s="526"/>
      <c r="AO43" s="526"/>
      <c r="AP43" s="991">
        <v>0</v>
      </c>
      <c r="AQ43" s="991">
        <v>7</v>
      </c>
      <c r="AR43" s="992">
        <v>5</v>
      </c>
      <c r="AS43" s="993">
        <v>5</v>
      </c>
      <c r="AT43" s="971"/>
      <c r="AU43" s="970"/>
      <c r="AV43" s="970"/>
      <c r="AW43" s="970"/>
    </row>
    <row r="44" spans="1:49" ht="24.95" customHeight="1" x14ac:dyDescent="0.2">
      <c r="A44" s="858">
        <v>325754005561</v>
      </c>
      <c r="B44" s="1" t="s">
        <v>0</v>
      </c>
      <c r="C44" s="760" t="s">
        <v>797</v>
      </c>
      <c r="D44" s="2" t="s">
        <v>123</v>
      </c>
      <c r="E44" s="309">
        <v>2</v>
      </c>
      <c r="F44" s="12"/>
      <c r="G44" s="12"/>
      <c r="H44" s="607"/>
      <c r="I44" s="607"/>
      <c r="J44" s="25"/>
      <c r="K44" s="25"/>
      <c r="L44" s="25"/>
      <c r="M44" s="25"/>
      <c r="N44" s="12"/>
      <c r="O44" s="12"/>
      <c r="P44" s="12"/>
      <c r="Q44" s="12"/>
      <c r="R44" s="12"/>
      <c r="S44" s="12"/>
      <c r="T44" s="12"/>
      <c r="U44" s="12"/>
      <c r="V44" s="25"/>
      <c r="W44" s="25"/>
      <c r="X44" s="25"/>
      <c r="Y44" s="25"/>
      <c r="Z44" s="579"/>
      <c r="AA44" s="579"/>
      <c r="AB44" s="579"/>
      <c r="AC44" s="579"/>
      <c r="AD44" s="47">
        <v>3</v>
      </c>
      <c r="AE44" s="47">
        <v>3</v>
      </c>
      <c r="AF44" s="47">
        <v>3</v>
      </c>
      <c r="AG44" s="47">
        <v>3</v>
      </c>
      <c r="AH44" s="526">
        <v>8</v>
      </c>
      <c r="AI44" s="526">
        <v>7</v>
      </c>
      <c r="AJ44" s="526">
        <v>7</v>
      </c>
      <c r="AK44" s="526">
        <v>7</v>
      </c>
      <c r="AL44" s="526"/>
      <c r="AM44" s="526"/>
      <c r="AN44" s="526"/>
      <c r="AO44" s="526"/>
      <c r="AP44" s="991">
        <v>9</v>
      </c>
      <c r="AQ44" s="991">
        <v>9</v>
      </c>
      <c r="AR44" s="992">
        <v>9</v>
      </c>
      <c r="AS44" s="993">
        <v>9</v>
      </c>
      <c r="AT44" s="971"/>
      <c r="AU44" s="970"/>
      <c r="AV44" s="970"/>
      <c r="AW44" s="970"/>
    </row>
    <row r="45" spans="1:49" ht="24.95" customHeight="1" x14ac:dyDescent="0.2">
      <c r="A45" s="13">
        <v>325754004513</v>
      </c>
      <c r="B45" s="1" t="s">
        <v>0</v>
      </c>
      <c r="C45" s="126" t="s">
        <v>40</v>
      </c>
      <c r="D45" s="2" t="s">
        <v>123</v>
      </c>
      <c r="E45" s="2">
        <v>4</v>
      </c>
      <c r="F45" s="12">
        <v>10</v>
      </c>
      <c r="G45" s="12">
        <v>10</v>
      </c>
      <c r="H45" s="12">
        <v>10</v>
      </c>
      <c r="I45" s="12">
        <v>10</v>
      </c>
      <c r="J45" s="25">
        <v>5</v>
      </c>
      <c r="K45" s="25">
        <v>5</v>
      </c>
      <c r="L45" s="25">
        <v>5</v>
      </c>
      <c r="M45" s="25">
        <v>5</v>
      </c>
      <c r="N45" s="12">
        <v>10</v>
      </c>
      <c r="O45" s="12">
        <v>11</v>
      </c>
      <c r="P45" s="12">
        <v>11</v>
      </c>
      <c r="Q45" s="12">
        <v>11</v>
      </c>
      <c r="R45" s="12">
        <v>10</v>
      </c>
      <c r="S45" s="12">
        <v>10</v>
      </c>
      <c r="T45" s="12">
        <v>10</v>
      </c>
      <c r="U45" s="12">
        <v>10</v>
      </c>
      <c r="V45" s="25">
        <v>13</v>
      </c>
      <c r="W45" s="25">
        <v>13</v>
      </c>
      <c r="X45" s="25">
        <v>13</v>
      </c>
      <c r="Y45" s="25">
        <v>13</v>
      </c>
      <c r="Z45" s="577">
        <v>23</v>
      </c>
      <c r="AA45" s="577">
        <v>22</v>
      </c>
      <c r="AB45" s="577">
        <v>21</v>
      </c>
      <c r="AC45" s="577">
        <v>21</v>
      </c>
      <c r="AD45" s="328">
        <v>2</v>
      </c>
      <c r="AE45" s="328">
        <v>26</v>
      </c>
      <c r="AF45" s="328">
        <v>25</v>
      </c>
      <c r="AG45" s="328">
        <v>25</v>
      </c>
      <c r="AH45" s="526">
        <v>19</v>
      </c>
      <c r="AI45" s="526">
        <v>19</v>
      </c>
      <c r="AJ45" s="526">
        <v>19</v>
      </c>
      <c r="AK45" s="526">
        <v>19</v>
      </c>
      <c r="AL45" s="524">
        <v>34</v>
      </c>
      <c r="AM45" s="524">
        <v>34</v>
      </c>
      <c r="AN45" s="524">
        <v>31</v>
      </c>
      <c r="AO45" s="524">
        <v>31</v>
      </c>
      <c r="AP45" s="991">
        <v>26</v>
      </c>
      <c r="AQ45" s="993">
        <v>28</v>
      </c>
      <c r="AR45" s="994">
        <v>28</v>
      </c>
      <c r="AS45" s="993">
        <v>28</v>
      </c>
      <c r="AT45" s="971"/>
      <c r="AU45" s="970"/>
      <c r="AV45" s="970"/>
      <c r="AW45" s="970"/>
    </row>
    <row r="46" spans="1:49" ht="24.95" customHeight="1" x14ac:dyDescent="0.2">
      <c r="A46" s="13">
        <v>325754000062</v>
      </c>
      <c r="B46" s="1" t="s">
        <v>0</v>
      </c>
      <c r="C46" s="126" t="s">
        <v>31</v>
      </c>
      <c r="D46" s="2" t="s">
        <v>123</v>
      </c>
      <c r="E46" s="2">
        <v>1</v>
      </c>
      <c r="F46" s="12">
        <v>12</v>
      </c>
      <c r="G46" s="12">
        <v>16</v>
      </c>
      <c r="H46" s="12">
        <v>15</v>
      </c>
      <c r="I46" s="12">
        <v>15</v>
      </c>
      <c r="J46" s="25"/>
      <c r="K46" s="25"/>
      <c r="L46" s="25"/>
      <c r="M46" s="25"/>
      <c r="N46" s="12"/>
      <c r="O46" s="12"/>
      <c r="P46" s="12"/>
      <c r="Q46" s="12"/>
      <c r="R46" s="12"/>
      <c r="S46" s="12"/>
      <c r="T46" s="12"/>
      <c r="U46" s="12"/>
      <c r="V46" s="25"/>
      <c r="W46" s="25"/>
      <c r="X46" s="25"/>
      <c r="Y46" s="25"/>
      <c r="Z46" s="495"/>
      <c r="AA46" s="495"/>
      <c r="AB46" s="495"/>
      <c r="AC46" s="495"/>
      <c r="AD46" s="495"/>
      <c r="AE46" s="495"/>
      <c r="AF46" s="495"/>
      <c r="AG46" s="495"/>
      <c r="AH46" s="495"/>
      <c r="AI46" s="495"/>
      <c r="AJ46" s="495"/>
      <c r="AK46" s="495"/>
      <c r="AL46" s="495"/>
      <c r="AM46" s="495"/>
      <c r="AN46" s="495"/>
      <c r="AO46" s="495"/>
      <c r="AP46" s="991"/>
      <c r="AQ46" s="993"/>
      <c r="AR46" s="994"/>
      <c r="AS46" s="993"/>
      <c r="AT46" s="971"/>
      <c r="AU46" s="970"/>
      <c r="AV46" s="970"/>
      <c r="AW46" s="970"/>
    </row>
    <row r="47" spans="1:49" ht="24.95" customHeight="1" x14ac:dyDescent="0.2">
      <c r="A47" s="13">
        <v>325754000160</v>
      </c>
      <c r="B47" s="1" t="s">
        <v>0</v>
      </c>
      <c r="C47" s="126" t="s">
        <v>43</v>
      </c>
      <c r="D47" s="2" t="s">
        <v>123</v>
      </c>
      <c r="E47" s="2">
        <v>2</v>
      </c>
      <c r="F47" s="12">
        <v>12</v>
      </c>
      <c r="G47" s="12">
        <v>12</v>
      </c>
      <c r="H47" s="12">
        <v>12</v>
      </c>
      <c r="I47" s="12">
        <v>12</v>
      </c>
      <c r="J47" s="25"/>
      <c r="K47" s="25"/>
      <c r="L47" s="25"/>
      <c r="M47" s="25"/>
      <c r="N47" s="12">
        <v>9</v>
      </c>
      <c r="O47" s="12">
        <v>8</v>
      </c>
      <c r="P47" s="12">
        <v>8</v>
      </c>
      <c r="Q47" s="12">
        <v>7</v>
      </c>
      <c r="R47" s="12">
        <v>15</v>
      </c>
      <c r="S47" s="12">
        <v>14</v>
      </c>
      <c r="T47" s="12">
        <v>14</v>
      </c>
      <c r="U47" s="12">
        <v>13</v>
      </c>
      <c r="V47" s="25">
        <v>8</v>
      </c>
      <c r="W47" s="25">
        <v>6</v>
      </c>
      <c r="X47" s="25">
        <v>6</v>
      </c>
      <c r="Y47" s="25">
        <v>6</v>
      </c>
      <c r="Z47" s="577">
        <v>10</v>
      </c>
      <c r="AA47" s="577">
        <v>12</v>
      </c>
      <c r="AB47" s="577">
        <v>12</v>
      </c>
      <c r="AC47" s="577">
        <v>12</v>
      </c>
      <c r="AD47" s="495"/>
      <c r="AE47" s="495"/>
      <c r="AF47" s="495"/>
      <c r="AG47" s="495"/>
      <c r="AH47" s="526">
        <v>6</v>
      </c>
      <c r="AI47" s="526">
        <v>7</v>
      </c>
      <c r="AJ47" s="526">
        <v>7</v>
      </c>
      <c r="AK47" s="526">
        <v>7</v>
      </c>
      <c r="AL47" s="524">
        <v>13</v>
      </c>
      <c r="AM47" s="524">
        <v>13</v>
      </c>
      <c r="AN47" s="524">
        <v>13</v>
      </c>
      <c r="AO47" s="524">
        <v>13</v>
      </c>
      <c r="AP47" s="993">
        <v>9</v>
      </c>
      <c r="AQ47" s="993">
        <v>8</v>
      </c>
      <c r="AR47" s="994">
        <v>7</v>
      </c>
      <c r="AS47" s="993">
        <v>7</v>
      </c>
      <c r="AT47" s="971"/>
      <c r="AU47" s="970"/>
      <c r="AV47" s="970"/>
      <c r="AW47" s="970"/>
    </row>
    <row r="48" spans="1:49" ht="24.95" customHeight="1" x14ac:dyDescent="0.2">
      <c r="A48" s="858">
        <v>325754003363</v>
      </c>
      <c r="B48" s="1" t="s">
        <v>0</v>
      </c>
      <c r="C48" s="36" t="s">
        <v>164</v>
      </c>
      <c r="D48" s="2" t="s">
        <v>123</v>
      </c>
      <c r="E48" s="2">
        <v>6</v>
      </c>
      <c r="F48" s="12"/>
      <c r="G48" s="12"/>
      <c r="H48" s="495"/>
      <c r="I48" s="495"/>
      <c r="J48" s="25"/>
      <c r="K48" s="25"/>
      <c r="L48" s="25"/>
      <c r="M48" s="25"/>
      <c r="N48" s="12"/>
      <c r="O48" s="12"/>
      <c r="P48" s="12"/>
      <c r="Q48" s="12"/>
      <c r="R48" s="12"/>
      <c r="S48" s="12"/>
      <c r="T48" s="12"/>
      <c r="U48" s="12"/>
      <c r="V48" s="25">
        <v>27</v>
      </c>
      <c r="W48" s="25">
        <v>26</v>
      </c>
      <c r="X48" s="25">
        <v>26</v>
      </c>
      <c r="Y48" s="25">
        <v>26</v>
      </c>
      <c r="Z48" s="577">
        <v>19</v>
      </c>
      <c r="AA48" s="577">
        <v>26</v>
      </c>
      <c r="AB48" s="577">
        <v>26</v>
      </c>
      <c r="AC48" s="577">
        <v>26</v>
      </c>
      <c r="AD48" s="328">
        <v>33</v>
      </c>
      <c r="AE48" s="328">
        <v>32</v>
      </c>
      <c r="AF48" s="328">
        <v>32</v>
      </c>
      <c r="AG48" s="328">
        <v>32</v>
      </c>
      <c r="AH48" s="526">
        <v>31</v>
      </c>
      <c r="AI48" s="526">
        <v>28</v>
      </c>
      <c r="AJ48" s="526">
        <v>28</v>
      </c>
      <c r="AK48" s="526">
        <v>28</v>
      </c>
      <c r="AL48" s="524">
        <v>43</v>
      </c>
      <c r="AM48" s="524">
        <v>42</v>
      </c>
      <c r="AN48" s="524">
        <v>42</v>
      </c>
      <c r="AO48" s="524">
        <v>42</v>
      </c>
      <c r="AP48" s="993">
        <v>47</v>
      </c>
      <c r="AQ48" s="993">
        <v>40</v>
      </c>
      <c r="AR48" s="994">
        <v>39</v>
      </c>
      <c r="AS48" s="993">
        <v>39</v>
      </c>
      <c r="AT48" s="971"/>
      <c r="AU48" s="970"/>
      <c r="AV48" s="970"/>
      <c r="AW48" s="970"/>
    </row>
    <row r="49" spans="1:49" ht="24.95" customHeight="1" x14ac:dyDescent="0.2">
      <c r="A49" s="13">
        <v>125754005189</v>
      </c>
      <c r="B49" s="1" t="s">
        <v>0</v>
      </c>
      <c r="C49" s="126" t="s">
        <v>125</v>
      </c>
      <c r="D49" s="2" t="s">
        <v>123</v>
      </c>
      <c r="E49" s="2">
        <v>3</v>
      </c>
      <c r="F49" s="12"/>
      <c r="G49" s="12"/>
      <c r="H49" s="495"/>
      <c r="I49" s="495"/>
      <c r="J49" s="25">
        <v>127</v>
      </c>
      <c r="K49" s="25">
        <v>127</v>
      </c>
      <c r="L49" s="25">
        <v>127</v>
      </c>
      <c r="M49" s="25">
        <v>127</v>
      </c>
      <c r="N49" s="12">
        <v>125</v>
      </c>
      <c r="O49" s="12">
        <v>124</v>
      </c>
      <c r="P49" s="12">
        <v>123</v>
      </c>
      <c r="Q49" s="12">
        <v>119</v>
      </c>
      <c r="R49" s="12">
        <v>162</v>
      </c>
      <c r="S49" s="12">
        <v>163</v>
      </c>
      <c r="T49" s="12">
        <v>162</v>
      </c>
      <c r="U49" s="12">
        <v>157</v>
      </c>
      <c r="V49" s="25">
        <v>146</v>
      </c>
      <c r="W49" s="25">
        <v>146</v>
      </c>
      <c r="X49" s="25">
        <v>145</v>
      </c>
      <c r="Y49" s="25">
        <v>145</v>
      </c>
      <c r="Z49" s="577">
        <v>149</v>
      </c>
      <c r="AA49" s="577">
        <v>145</v>
      </c>
      <c r="AB49" s="577">
        <v>141</v>
      </c>
      <c r="AC49" s="577">
        <v>141</v>
      </c>
      <c r="AD49" s="328">
        <v>139</v>
      </c>
      <c r="AE49" s="328">
        <v>138</v>
      </c>
      <c r="AF49" s="328">
        <v>136</v>
      </c>
      <c r="AG49" s="328">
        <v>136</v>
      </c>
      <c r="AH49" s="526">
        <v>142</v>
      </c>
      <c r="AI49" s="526">
        <v>141</v>
      </c>
      <c r="AJ49" s="526">
        <v>134</v>
      </c>
      <c r="AK49" s="526">
        <v>134</v>
      </c>
      <c r="AL49" s="524">
        <v>142</v>
      </c>
      <c r="AM49" s="524">
        <v>142</v>
      </c>
      <c r="AN49" s="524">
        <v>138</v>
      </c>
      <c r="AO49" s="524">
        <v>138</v>
      </c>
      <c r="AP49" s="993">
        <v>139</v>
      </c>
      <c r="AQ49" s="993">
        <v>139</v>
      </c>
      <c r="AR49" s="994">
        <v>136</v>
      </c>
      <c r="AS49" s="993">
        <v>136</v>
      </c>
      <c r="AT49" s="971"/>
      <c r="AU49" s="970"/>
      <c r="AV49" s="970"/>
      <c r="AW49" s="970"/>
    </row>
    <row r="50" spans="1:49" ht="24.95" customHeight="1" x14ac:dyDescent="0.2">
      <c r="A50" s="13">
        <v>325754001891</v>
      </c>
      <c r="B50" s="1" t="s">
        <v>0</v>
      </c>
      <c r="C50" s="126" t="s">
        <v>72</v>
      </c>
      <c r="D50" s="2" t="s">
        <v>123</v>
      </c>
      <c r="E50" s="2">
        <v>2</v>
      </c>
      <c r="F50" s="12">
        <v>167</v>
      </c>
      <c r="G50" s="12">
        <v>167</v>
      </c>
      <c r="H50" s="12">
        <v>167</v>
      </c>
      <c r="I50" s="12">
        <v>167</v>
      </c>
      <c r="J50" s="25">
        <v>146</v>
      </c>
      <c r="K50" s="25">
        <v>144</v>
      </c>
      <c r="L50" s="25">
        <v>144</v>
      </c>
      <c r="M50" s="25">
        <v>144</v>
      </c>
      <c r="N50" s="12">
        <v>138</v>
      </c>
      <c r="O50" s="12">
        <v>137</v>
      </c>
      <c r="P50" s="12">
        <v>136</v>
      </c>
      <c r="Q50" s="12">
        <v>136</v>
      </c>
      <c r="R50" s="12">
        <v>107</v>
      </c>
      <c r="S50" s="12">
        <v>106</v>
      </c>
      <c r="T50" s="12">
        <v>106</v>
      </c>
      <c r="U50" s="12">
        <v>104</v>
      </c>
      <c r="V50" s="25">
        <v>90</v>
      </c>
      <c r="W50" s="25">
        <v>89</v>
      </c>
      <c r="X50" s="25">
        <v>89</v>
      </c>
      <c r="Y50" s="25">
        <v>89</v>
      </c>
      <c r="Z50" s="577">
        <v>132</v>
      </c>
      <c r="AA50" s="577">
        <v>133</v>
      </c>
      <c r="AB50" s="577">
        <v>132</v>
      </c>
      <c r="AC50" s="577">
        <v>132</v>
      </c>
      <c r="AD50" s="328">
        <v>109</v>
      </c>
      <c r="AE50" s="328">
        <v>109</v>
      </c>
      <c r="AF50" s="328">
        <v>109</v>
      </c>
      <c r="AG50" s="328">
        <v>109</v>
      </c>
      <c r="AH50" s="526">
        <v>112</v>
      </c>
      <c r="AI50" s="526">
        <v>112</v>
      </c>
      <c r="AJ50" s="526">
        <v>112</v>
      </c>
      <c r="AK50" s="526">
        <v>112</v>
      </c>
      <c r="AL50" s="524">
        <v>125</v>
      </c>
      <c r="AM50" s="524">
        <v>125</v>
      </c>
      <c r="AN50" s="524">
        <v>124</v>
      </c>
      <c r="AO50" s="524">
        <v>124</v>
      </c>
      <c r="AP50" s="993">
        <v>94</v>
      </c>
      <c r="AQ50" s="993">
        <v>94</v>
      </c>
      <c r="AR50" s="994">
        <v>92</v>
      </c>
      <c r="AS50" s="993">
        <v>92</v>
      </c>
      <c r="AT50" s="971"/>
      <c r="AU50" s="970"/>
      <c r="AV50" s="970"/>
      <c r="AW50" s="970"/>
    </row>
    <row r="51" spans="1:49" ht="24.95" customHeight="1" x14ac:dyDescent="0.2">
      <c r="A51" s="858">
        <v>325754005331</v>
      </c>
      <c r="B51" s="1" t="s">
        <v>0</v>
      </c>
      <c r="C51" s="36" t="s">
        <v>165</v>
      </c>
      <c r="D51" s="2" t="s">
        <v>123</v>
      </c>
      <c r="E51" s="2">
        <v>2</v>
      </c>
      <c r="F51" s="12"/>
      <c r="G51" s="12"/>
      <c r="H51" s="495"/>
      <c r="I51" s="495"/>
      <c r="J51" s="25"/>
      <c r="K51" s="25"/>
      <c r="L51" s="25"/>
      <c r="M51" s="25"/>
      <c r="N51" s="12"/>
      <c r="O51" s="12"/>
      <c r="P51" s="12"/>
      <c r="Q51" s="12"/>
      <c r="R51" s="12"/>
      <c r="S51" s="12"/>
      <c r="T51" s="12"/>
      <c r="U51" s="12"/>
      <c r="V51" s="25">
        <v>0</v>
      </c>
      <c r="W51" s="25">
        <v>1</v>
      </c>
      <c r="X51" s="25">
        <v>1</v>
      </c>
      <c r="Y51" s="25">
        <v>1</v>
      </c>
      <c r="Z51" s="495"/>
      <c r="AA51" s="495"/>
      <c r="AB51" s="495"/>
      <c r="AC51" s="495"/>
      <c r="AD51" s="495"/>
      <c r="AE51" s="495"/>
      <c r="AF51" s="495"/>
      <c r="AG51" s="495"/>
      <c r="AH51" s="495"/>
      <c r="AI51" s="495"/>
      <c r="AJ51" s="495"/>
      <c r="AK51" s="495"/>
      <c r="AL51" s="495"/>
      <c r="AM51" s="495"/>
      <c r="AN51" s="495"/>
      <c r="AO51" s="495"/>
      <c r="AP51" s="991">
        <v>0</v>
      </c>
      <c r="AQ51" s="993">
        <v>31</v>
      </c>
      <c r="AR51" s="994">
        <v>27</v>
      </c>
      <c r="AS51" s="993">
        <v>27</v>
      </c>
      <c r="AT51" s="971"/>
      <c r="AU51" s="970"/>
      <c r="AV51" s="970"/>
      <c r="AW51" s="970"/>
    </row>
    <row r="52" spans="1:49" ht="24.95" customHeight="1" x14ac:dyDescent="0.2">
      <c r="A52" s="13">
        <v>325754001361</v>
      </c>
      <c r="B52" s="1" t="s">
        <v>0</v>
      </c>
      <c r="C52" s="126" t="s">
        <v>76</v>
      </c>
      <c r="D52" s="2" t="s">
        <v>123</v>
      </c>
      <c r="E52" s="2">
        <v>5</v>
      </c>
      <c r="F52" s="12">
        <v>23</v>
      </c>
      <c r="G52" s="12">
        <v>24</v>
      </c>
      <c r="H52" s="12">
        <v>24</v>
      </c>
      <c r="I52" s="12">
        <v>24</v>
      </c>
      <c r="J52" s="25">
        <v>18</v>
      </c>
      <c r="K52" s="25">
        <v>18</v>
      </c>
      <c r="L52" s="25">
        <v>18</v>
      </c>
      <c r="M52" s="25">
        <v>18</v>
      </c>
      <c r="N52" s="12">
        <v>18</v>
      </c>
      <c r="O52" s="12">
        <v>18</v>
      </c>
      <c r="P52" s="12">
        <v>18</v>
      </c>
      <c r="Q52" s="12">
        <v>18</v>
      </c>
      <c r="R52" s="12">
        <v>19</v>
      </c>
      <c r="S52" s="12">
        <v>19</v>
      </c>
      <c r="T52" s="12">
        <v>19</v>
      </c>
      <c r="U52" s="12">
        <v>19</v>
      </c>
      <c r="V52" s="25">
        <v>21</v>
      </c>
      <c r="W52" s="25">
        <v>21</v>
      </c>
      <c r="X52" s="25">
        <v>21</v>
      </c>
      <c r="Y52" s="25">
        <v>21</v>
      </c>
      <c r="Z52" s="577">
        <v>21</v>
      </c>
      <c r="AA52" s="577">
        <v>21</v>
      </c>
      <c r="AB52" s="577">
        <v>21</v>
      </c>
      <c r="AC52" s="577">
        <v>21</v>
      </c>
      <c r="AD52" s="328">
        <v>18</v>
      </c>
      <c r="AE52" s="328">
        <v>18</v>
      </c>
      <c r="AF52" s="328">
        <v>18</v>
      </c>
      <c r="AG52" s="328">
        <v>18</v>
      </c>
      <c r="AH52" s="526">
        <v>21</v>
      </c>
      <c r="AI52" s="526">
        <v>21</v>
      </c>
      <c r="AJ52" s="526">
        <v>21</v>
      </c>
      <c r="AK52" s="526">
        <v>21</v>
      </c>
      <c r="AL52" s="524">
        <v>22</v>
      </c>
      <c r="AM52" s="524">
        <v>22</v>
      </c>
      <c r="AN52" s="524">
        <v>21</v>
      </c>
      <c r="AO52" s="524">
        <v>21</v>
      </c>
      <c r="AP52" s="991">
        <v>26</v>
      </c>
      <c r="AQ52" s="993">
        <v>26</v>
      </c>
      <c r="AR52" s="994">
        <v>25</v>
      </c>
      <c r="AS52" s="993">
        <v>25</v>
      </c>
      <c r="AT52" s="971"/>
      <c r="AU52" s="970"/>
      <c r="AV52" s="970"/>
      <c r="AW52" s="970"/>
    </row>
    <row r="53" spans="1:49" ht="24.95" customHeight="1" x14ac:dyDescent="0.2">
      <c r="A53" s="605">
        <v>325754005480</v>
      </c>
      <c r="B53" s="310" t="s">
        <v>0</v>
      </c>
      <c r="C53" s="126" t="s">
        <v>798</v>
      </c>
      <c r="D53" s="35" t="s">
        <v>123</v>
      </c>
      <c r="E53" s="309">
        <v>6</v>
      </c>
      <c r="F53" s="328"/>
      <c r="G53" s="328"/>
      <c r="H53" s="328"/>
      <c r="I53" s="328"/>
      <c r="J53" s="329"/>
      <c r="K53" s="329"/>
      <c r="L53" s="329"/>
      <c r="M53" s="329"/>
      <c r="N53" s="328"/>
      <c r="O53" s="328"/>
      <c r="P53" s="328"/>
      <c r="Q53" s="328"/>
      <c r="R53" s="328"/>
      <c r="S53" s="328"/>
      <c r="T53" s="328"/>
      <c r="U53" s="328"/>
      <c r="V53" s="329"/>
      <c r="W53" s="329"/>
      <c r="X53" s="329"/>
      <c r="Y53" s="329"/>
      <c r="Z53" s="578"/>
      <c r="AA53" s="578"/>
      <c r="AB53" s="578"/>
      <c r="AC53" s="578"/>
      <c r="AD53" s="328">
        <v>16</v>
      </c>
      <c r="AE53" s="328">
        <v>16</v>
      </c>
      <c r="AF53" s="328">
        <v>16</v>
      </c>
      <c r="AG53" s="328">
        <v>16</v>
      </c>
      <c r="AH53" s="526">
        <v>29</v>
      </c>
      <c r="AI53" s="526">
        <v>29</v>
      </c>
      <c r="AJ53" s="526">
        <v>28</v>
      </c>
      <c r="AK53" s="526">
        <v>28</v>
      </c>
      <c r="AL53" s="524">
        <v>22</v>
      </c>
      <c r="AM53" s="524">
        <v>22</v>
      </c>
      <c r="AN53" s="524">
        <v>22</v>
      </c>
      <c r="AO53" s="524">
        <v>22</v>
      </c>
      <c r="AP53" s="991">
        <v>30</v>
      </c>
      <c r="AQ53" s="993">
        <v>31</v>
      </c>
      <c r="AR53" s="994">
        <v>30</v>
      </c>
      <c r="AS53" s="993">
        <v>30</v>
      </c>
      <c r="AT53" s="971"/>
      <c r="AU53" s="970"/>
      <c r="AV53" s="970"/>
      <c r="AW53" s="970"/>
    </row>
    <row r="54" spans="1:49" ht="24.95" customHeight="1" x14ac:dyDescent="0.2">
      <c r="A54" s="13">
        <v>325754002961</v>
      </c>
      <c r="B54" s="1" t="s">
        <v>0</v>
      </c>
      <c r="C54" s="126" t="s">
        <v>60</v>
      </c>
      <c r="D54" s="2" t="s">
        <v>123</v>
      </c>
      <c r="E54" s="2">
        <v>1</v>
      </c>
      <c r="F54" s="12">
        <v>59</v>
      </c>
      <c r="G54" s="12">
        <v>62</v>
      </c>
      <c r="H54" s="12">
        <v>60</v>
      </c>
      <c r="I54" s="12">
        <v>60</v>
      </c>
      <c r="J54" s="25">
        <v>52</v>
      </c>
      <c r="K54" s="25">
        <v>49</v>
      </c>
      <c r="L54" s="25">
        <v>49</v>
      </c>
      <c r="M54" s="25">
        <v>48</v>
      </c>
      <c r="N54" s="12">
        <v>59</v>
      </c>
      <c r="O54" s="12">
        <v>57</v>
      </c>
      <c r="P54" s="12">
        <v>57</v>
      </c>
      <c r="Q54" s="12">
        <v>57</v>
      </c>
      <c r="R54" s="12">
        <v>59</v>
      </c>
      <c r="S54" s="12">
        <v>57</v>
      </c>
      <c r="T54" s="12">
        <v>57</v>
      </c>
      <c r="U54" s="12">
        <v>57</v>
      </c>
      <c r="V54" s="25">
        <v>56</v>
      </c>
      <c r="W54" s="25">
        <v>55</v>
      </c>
      <c r="X54" s="25">
        <v>55</v>
      </c>
      <c r="Y54" s="25">
        <v>55</v>
      </c>
      <c r="Z54" s="577">
        <v>59</v>
      </c>
      <c r="AA54" s="577">
        <v>60</v>
      </c>
      <c r="AB54" s="577">
        <v>60</v>
      </c>
      <c r="AC54" s="577">
        <v>60</v>
      </c>
      <c r="AD54" s="328">
        <v>52</v>
      </c>
      <c r="AE54" s="328">
        <v>49</v>
      </c>
      <c r="AF54" s="328">
        <v>47</v>
      </c>
      <c r="AG54" s="328">
        <v>47</v>
      </c>
      <c r="AH54" s="526">
        <v>61</v>
      </c>
      <c r="AI54" s="526">
        <v>60</v>
      </c>
      <c r="AJ54" s="526">
        <v>57</v>
      </c>
      <c r="AK54" s="526">
        <v>57</v>
      </c>
      <c r="AL54" s="524">
        <v>63</v>
      </c>
      <c r="AM54" s="524">
        <v>63</v>
      </c>
      <c r="AN54" s="524">
        <v>63</v>
      </c>
      <c r="AO54" s="524">
        <v>63</v>
      </c>
      <c r="AP54" s="991">
        <v>59</v>
      </c>
      <c r="AQ54" s="993">
        <v>59</v>
      </c>
      <c r="AR54" s="994">
        <v>59</v>
      </c>
      <c r="AS54" s="993">
        <v>59</v>
      </c>
      <c r="AT54" s="971"/>
      <c r="AU54" s="970"/>
      <c r="AV54" s="970"/>
      <c r="AW54" s="970"/>
    </row>
    <row r="55" spans="1:49" ht="24.95" customHeight="1" x14ac:dyDescent="0.2">
      <c r="A55" s="13">
        <v>325754005226</v>
      </c>
      <c r="B55" s="1" t="s">
        <v>0</v>
      </c>
      <c r="C55" s="126" t="s">
        <v>131</v>
      </c>
      <c r="D55" s="2" t="s">
        <v>123</v>
      </c>
      <c r="E55" s="2">
        <v>1</v>
      </c>
      <c r="F55" s="12"/>
      <c r="G55" s="12"/>
      <c r="H55" s="495"/>
      <c r="I55" s="495"/>
      <c r="J55" s="25"/>
      <c r="K55" s="25"/>
      <c r="L55" s="25"/>
      <c r="M55" s="25"/>
      <c r="N55" s="12">
        <v>6</v>
      </c>
      <c r="O55" s="12">
        <v>6</v>
      </c>
      <c r="P55" s="12">
        <v>6</v>
      </c>
      <c r="Q55" s="12">
        <v>6</v>
      </c>
      <c r="R55" s="12">
        <v>11</v>
      </c>
      <c r="S55" s="12">
        <v>11</v>
      </c>
      <c r="T55" s="12">
        <v>11</v>
      </c>
      <c r="U55" s="12">
        <v>10</v>
      </c>
      <c r="V55" s="25">
        <v>10</v>
      </c>
      <c r="W55" s="25">
        <v>10</v>
      </c>
      <c r="X55" s="25">
        <v>10</v>
      </c>
      <c r="Y55" s="25">
        <v>10</v>
      </c>
      <c r="Z55" s="577">
        <v>3</v>
      </c>
      <c r="AA55" s="577">
        <v>3</v>
      </c>
      <c r="AB55" s="577">
        <v>3</v>
      </c>
      <c r="AC55" s="577">
        <v>3</v>
      </c>
      <c r="AD55" s="328">
        <v>10</v>
      </c>
      <c r="AE55" s="328">
        <v>10</v>
      </c>
      <c r="AF55" s="328">
        <v>10</v>
      </c>
      <c r="AG55" s="328">
        <v>10</v>
      </c>
      <c r="AH55" s="526">
        <v>20</v>
      </c>
      <c r="AI55" s="526">
        <v>20</v>
      </c>
      <c r="AJ55" s="526">
        <v>20</v>
      </c>
      <c r="AK55" s="526">
        <v>20</v>
      </c>
      <c r="AL55" s="524">
        <v>8</v>
      </c>
      <c r="AM55" s="524">
        <v>8</v>
      </c>
      <c r="AN55" s="524">
        <v>8</v>
      </c>
      <c r="AO55" s="524">
        <v>8</v>
      </c>
      <c r="AP55" s="991">
        <v>11</v>
      </c>
      <c r="AQ55" s="993">
        <v>13</v>
      </c>
      <c r="AR55" s="994">
        <v>13</v>
      </c>
      <c r="AS55" s="993">
        <v>13</v>
      </c>
      <c r="AT55" s="971"/>
      <c r="AU55" s="970"/>
      <c r="AV55" s="970"/>
      <c r="AW55" s="970"/>
    </row>
    <row r="56" spans="1:49" ht="24.95" customHeight="1" x14ac:dyDescent="0.2">
      <c r="A56" s="13">
        <v>325754004131</v>
      </c>
      <c r="B56" s="1" t="s">
        <v>0</v>
      </c>
      <c r="C56" s="126" t="s">
        <v>67</v>
      </c>
      <c r="D56" s="2" t="s">
        <v>123</v>
      </c>
      <c r="E56" s="2">
        <v>2</v>
      </c>
      <c r="F56" s="12">
        <v>69</v>
      </c>
      <c r="G56" s="12">
        <v>70</v>
      </c>
      <c r="H56" s="12">
        <v>69</v>
      </c>
      <c r="I56" s="12">
        <v>69</v>
      </c>
      <c r="J56" s="25">
        <v>54</v>
      </c>
      <c r="K56" s="25">
        <v>54</v>
      </c>
      <c r="L56" s="25">
        <v>54</v>
      </c>
      <c r="M56" s="25">
        <v>54</v>
      </c>
      <c r="N56" s="12">
        <v>74</v>
      </c>
      <c r="O56" s="12">
        <v>73</v>
      </c>
      <c r="P56" s="12">
        <v>73</v>
      </c>
      <c r="Q56" s="12">
        <v>73</v>
      </c>
      <c r="R56" s="12">
        <v>64</v>
      </c>
      <c r="S56" s="12">
        <v>64</v>
      </c>
      <c r="T56" s="12">
        <v>64</v>
      </c>
      <c r="U56" s="12">
        <v>64</v>
      </c>
      <c r="V56" s="25">
        <v>77</v>
      </c>
      <c r="W56" s="25">
        <v>76</v>
      </c>
      <c r="X56" s="25">
        <v>76</v>
      </c>
      <c r="Y56" s="25">
        <v>76</v>
      </c>
      <c r="Z56" s="577">
        <v>61</v>
      </c>
      <c r="AA56" s="577">
        <v>60</v>
      </c>
      <c r="AB56" s="577">
        <v>60</v>
      </c>
      <c r="AC56" s="577">
        <v>60</v>
      </c>
      <c r="AD56" s="328">
        <v>65</v>
      </c>
      <c r="AE56" s="328">
        <v>79</v>
      </c>
      <c r="AF56" s="328">
        <v>79</v>
      </c>
      <c r="AG56" s="328">
        <v>79</v>
      </c>
      <c r="AH56" s="526">
        <v>81</v>
      </c>
      <c r="AI56" s="526">
        <v>80</v>
      </c>
      <c r="AJ56" s="526">
        <v>80</v>
      </c>
      <c r="AK56" s="526">
        <v>80</v>
      </c>
      <c r="AL56" s="524">
        <v>81</v>
      </c>
      <c r="AM56" s="524">
        <v>82</v>
      </c>
      <c r="AN56" s="524">
        <v>82</v>
      </c>
      <c r="AO56" s="524">
        <v>82</v>
      </c>
      <c r="AP56" s="991">
        <v>88</v>
      </c>
      <c r="AQ56" s="993">
        <v>87</v>
      </c>
      <c r="AR56" s="994">
        <v>87</v>
      </c>
      <c r="AS56" s="993">
        <v>87</v>
      </c>
      <c r="AT56" s="971"/>
      <c r="AU56" s="970"/>
      <c r="AV56" s="970"/>
      <c r="AW56" s="970"/>
    </row>
    <row r="57" spans="1:49" ht="24.95" customHeight="1" x14ac:dyDescent="0.2">
      <c r="A57" s="13">
        <v>325754000771</v>
      </c>
      <c r="B57" s="1" t="s">
        <v>0</v>
      </c>
      <c r="C57" s="126" t="s">
        <v>85</v>
      </c>
      <c r="D57" s="2" t="s">
        <v>123</v>
      </c>
      <c r="E57" s="2">
        <v>3</v>
      </c>
      <c r="F57" s="12">
        <v>26</v>
      </c>
      <c r="G57" s="12">
        <v>27</v>
      </c>
      <c r="H57" s="12">
        <v>27</v>
      </c>
      <c r="I57" s="12">
        <v>27</v>
      </c>
      <c r="J57" s="25">
        <v>14</v>
      </c>
      <c r="K57" s="25">
        <v>14</v>
      </c>
      <c r="L57" s="25">
        <v>14</v>
      </c>
      <c r="M57" s="25">
        <v>14</v>
      </c>
      <c r="N57" s="12">
        <v>23</v>
      </c>
      <c r="O57" s="12">
        <v>23</v>
      </c>
      <c r="P57" s="12">
        <v>23</v>
      </c>
      <c r="Q57" s="12">
        <v>23</v>
      </c>
      <c r="R57" s="12">
        <v>22</v>
      </c>
      <c r="S57" s="12">
        <v>22</v>
      </c>
      <c r="T57" s="12">
        <v>22</v>
      </c>
      <c r="U57" s="12">
        <v>22</v>
      </c>
      <c r="V57" s="25">
        <v>31</v>
      </c>
      <c r="W57" s="25">
        <v>30</v>
      </c>
      <c r="X57" s="25">
        <v>29</v>
      </c>
      <c r="Y57" s="25">
        <v>29</v>
      </c>
      <c r="Z57" s="577">
        <v>45</v>
      </c>
      <c r="AA57" s="577">
        <v>46</v>
      </c>
      <c r="AB57" s="577">
        <v>46</v>
      </c>
      <c r="AC57" s="577">
        <v>46</v>
      </c>
      <c r="AD57" s="328">
        <v>3</v>
      </c>
      <c r="AE57" s="328">
        <v>41</v>
      </c>
      <c r="AF57" s="328">
        <v>39</v>
      </c>
      <c r="AG57" s="328">
        <v>39</v>
      </c>
      <c r="AH57" s="526">
        <v>38</v>
      </c>
      <c r="AI57" s="526">
        <v>39</v>
      </c>
      <c r="AJ57" s="526">
        <v>38</v>
      </c>
      <c r="AK57" s="526">
        <v>38</v>
      </c>
      <c r="AL57" s="524">
        <v>34</v>
      </c>
      <c r="AM57" s="524">
        <v>36</v>
      </c>
      <c r="AN57" s="524">
        <v>35</v>
      </c>
      <c r="AO57" s="524">
        <v>35</v>
      </c>
      <c r="AP57" s="991">
        <v>33</v>
      </c>
      <c r="AQ57" s="993">
        <v>33</v>
      </c>
      <c r="AR57" s="994">
        <v>33</v>
      </c>
      <c r="AS57" s="993">
        <v>33</v>
      </c>
      <c r="AT57" s="971"/>
      <c r="AU57" s="970"/>
      <c r="AV57" s="970"/>
      <c r="AW57" s="970"/>
    </row>
    <row r="58" spans="1:49" ht="24.95" customHeight="1" x14ac:dyDescent="0.2">
      <c r="A58" s="605"/>
      <c r="B58" s="310"/>
      <c r="C58" s="126" t="s">
        <v>727</v>
      </c>
      <c r="D58" s="2" t="s">
        <v>123</v>
      </c>
      <c r="E58" s="2">
        <v>4</v>
      </c>
      <c r="F58" s="328"/>
      <c r="G58" s="328"/>
      <c r="H58" s="328"/>
      <c r="I58" s="328"/>
      <c r="J58" s="329"/>
      <c r="K58" s="329"/>
      <c r="L58" s="329"/>
      <c r="M58" s="329"/>
      <c r="N58" s="328"/>
      <c r="O58" s="328"/>
      <c r="P58" s="328"/>
      <c r="Q58" s="328"/>
      <c r="R58" s="328"/>
      <c r="S58" s="328"/>
      <c r="T58" s="328"/>
      <c r="U58" s="328"/>
      <c r="V58" s="329"/>
      <c r="W58" s="329"/>
      <c r="X58" s="329"/>
      <c r="Y58" s="329"/>
      <c r="Z58" s="578"/>
      <c r="AA58" s="578"/>
      <c r="AB58" s="578"/>
      <c r="AC58" s="578"/>
      <c r="AD58" s="328"/>
      <c r="AE58" s="328"/>
      <c r="AF58" s="328"/>
      <c r="AG58" s="328"/>
      <c r="AH58" s="495"/>
      <c r="AI58" s="495"/>
      <c r="AJ58" s="495"/>
      <c r="AK58" s="495"/>
      <c r="AL58" s="495"/>
      <c r="AM58" s="495"/>
      <c r="AN58" s="495"/>
      <c r="AO58" s="495"/>
      <c r="AP58" s="991"/>
      <c r="AQ58" s="993"/>
      <c r="AR58" s="994"/>
      <c r="AS58" s="993"/>
      <c r="AT58" s="971"/>
      <c r="AU58" s="970"/>
      <c r="AV58" s="970"/>
      <c r="AW58" s="970"/>
    </row>
    <row r="59" spans="1:49" ht="24.95" customHeight="1" x14ac:dyDescent="0.2">
      <c r="A59" s="13">
        <v>325754005412</v>
      </c>
      <c r="B59" s="1" t="s">
        <v>0</v>
      </c>
      <c r="C59" s="126" t="s">
        <v>109</v>
      </c>
      <c r="D59" s="2" t="s">
        <v>123</v>
      </c>
      <c r="E59" s="2">
        <v>3</v>
      </c>
      <c r="F59" s="12">
        <v>105</v>
      </c>
      <c r="G59" s="12">
        <v>106</v>
      </c>
      <c r="H59" s="12">
        <v>105</v>
      </c>
      <c r="I59" s="12">
        <v>105</v>
      </c>
      <c r="J59" s="25">
        <v>122</v>
      </c>
      <c r="K59" s="25">
        <v>122</v>
      </c>
      <c r="L59" s="25">
        <v>122</v>
      </c>
      <c r="M59" s="25">
        <v>122</v>
      </c>
      <c r="N59" s="12">
        <v>187</v>
      </c>
      <c r="O59" s="12">
        <v>185</v>
      </c>
      <c r="P59" s="12">
        <v>185</v>
      </c>
      <c r="Q59" s="12">
        <v>185</v>
      </c>
      <c r="R59" s="12">
        <v>134</v>
      </c>
      <c r="S59" s="12">
        <v>134</v>
      </c>
      <c r="T59" s="12">
        <v>134</v>
      </c>
      <c r="U59" s="12">
        <v>134</v>
      </c>
      <c r="V59" s="25">
        <v>153</v>
      </c>
      <c r="W59" s="25">
        <v>153</v>
      </c>
      <c r="X59" s="25">
        <v>152</v>
      </c>
      <c r="Y59" s="25">
        <v>152</v>
      </c>
      <c r="Z59" s="577">
        <v>168</v>
      </c>
      <c r="AA59" s="577">
        <v>169</v>
      </c>
      <c r="AB59" s="577">
        <v>168</v>
      </c>
      <c r="AC59" s="577">
        <v>168</v>
      </c>
      <c r="AD59" s="328">
        <v>203</v>
      </c>
      <c r="AE59" s="328">
        <v>200</v>
      </c>
      <c r="AF59" s="328">
        <v>200</v>
      </c>
      <c r="AG59" s="328">
        <v>200</v>
      </c>
      <c r="AH59" s="526">
        <v>174</v>
      </c>
      <c r="AI59" s="526">
        <v>174</v>
      </c>
      <c r="AJ59" s="526">
        <v>174</v>
      </c>
      <c r="AK59" s="526">
        <v>174</v>
      </c>
      <c r="AL59" s="524">
        <v>181</v>
      </c>
      <c r="AM59" s="524">
        <v>180</v>
      </c>
      <c r="AN59" s="524">
        <v>180</v>
      </c>
      <c r="AO59" s="524">
        <v>180</v>
      </c>
      <c r="AP59" s="991">
        <v>215</v>
      </c>
      <c r="AQ59" s="993">
        <v>215</v>
      </c>
      <c r="AR59" s="994">
        <v>215</v>
      </c>
      <c r="AS59" s="993">
        <v>215</v>
      </c>
      <c r="AT59" s="971"/>
      <c r="AU59" s="970"/>
      <c r="AV59" s="970"/>
      <c r="AW59" s="970"/>
    </row>
    <row r="60" spans="1:49" s="850" customFormat="1" ht="24.95" customHeight="1" x14ac:dyDescent="0.2">
      <c r="A60" s="865">
        <v>325754003622</v>
      </c>
      <c r="B60" s="1" t="s">
        <v>0</v>
      </c>
      <c r="C60" s="866" t="s">
        <v>960</v>
      </c>
      <c r="D60" s="867"/>
      <c r="E60" s="867"/>
      <c r="F60" s="868"/>
      <c r="G60" s="868"/>
      <c r="H60" s="868"/>
      <c r="I60" s="868"/>
      <c r="J60" s="869"/>
      <c r="K60" s="869"/>
      <c r="L60" s="869"/>
      <c r="M60" s="869"/>
      <c r="N60" s="868"/>
      <c r="O60" s="868"/>
      <c r="P60" s="868"/>
      <c r="Q60" s="868"/>
      <c r="R60" s="868"/>
      <c r="S60" s="868"/>
      <c r="T60" s="868"/>
      <c r="U60" s="868"/>
      <c r="V60" s="869"/>
      <c r="W60" s="869"/>
      <c r="X60" s="869"/>
      <c r="Y60" s="869"/>
      <c r="Z60" s="870"/>
      <c r="AA60" s="870"/>
      <c r="AB60" s="870"/>
      <c r="AC60" s="870"/>
      <c r="AD60" s="868"/>
      <c r="AE60" s="868"/>
      <c r="AF60" s="868"/>
      <c r="AG60" s="868"/>
      <c r="AH60" s="871"/>
      <c r="AI60" s="871"/>
      <c r="AJ60" s="871"/>
      <c r="AK60" s="871"/>
      <c r="AL60" s="868"/>
      <c r="AM60" s="868"/>
      <c r="AN60" s="868"/>
      <c r="AO60" s="868"/>
      <c r="AP60" s="991">
        <v>0</v>
      </c>
      <c r="AQ60" s="993">
        <v>17</v>
      </c>
      <c r="AR60" s="994">
        <v>17</v>
      </c>
      <c r="AS60" s="993">
        <v>17</v>
      </c>
      <c r="AT60" s="971"/>
      <c r="AU60" s="970"/>
      <c r="AV60" s="970"/>
      <c r="AW60" s="970"/>
    </row>
    <row r="61" spans="1:49" ht="24.95" customHeight="1" x14ac:dyDescent="0.2">
      <c r="A61" s="13">
        <v>325754000950</v>
      </c>
      <c r="B61" s="1" t="s">
        <v>0</v>
      </c>
      <c r="C61" s="126" t="s">
        <v>97</v>
      </c>
      <c r="D61" s="2" t="s">
        <v>123</v>
      </c>
      <c r="E61" s="2">
        <v>2</v>
      </c>
      <c r="F61" s="12">
        <v>39</v>
      </c>
      <c r="G61" s="12">
        <v>39</v>
      </c>
      <c r="H61" s="12">
        <v>39</v>
      </c>
      <c r="I61" s="12">
        <v>39</v>
      </c>
      <c r="J61" s="25">
        <v>32</v>
      </c>
      <c r="K61" s="25">
        <v>32</v>
      </c>
      <c r="L61" s="25">
        <v>31</v>
      </c>
      <c r="M61" s="25">
        <v>30</v>
      </c>
      <c r="N61" s="12">
        <v>37</v>
      </c>
      <c r="O61" s="12">
        <v>36</v>
      </c>
      <c r="P61" s="12">
        <v>36</v>
      </c>
      <c r="Q61" s="12">
        <v>36</v>
      </c>
      <c r="R61" s="12">
        <v>26</v>
      </c>
      <c r="S61" s="12">
        <v>26</v>
      </c>
      <c r="T61" s="12">
        <v>26</v>
      </c>
      <c r="U61" s="12">
        <v>26</v>
      </c>
      <c r="V61" s="25">
        <v>37</v>
      </c>
      <c r="W61" s="25">
        <v>36</v>
      </c>
      <c r="X61" s="25">
        <v>36</v>
      </c>
      <c r="Y61" s="25">
        <v>36</v>
      </c>
      <c r="Z61" s="577">
        <v>32</v>
      </c>
      <c r="AA61" s="577">
        <v>32</v>
      </c>
      <c r="AB61" s="577">
        <v>32</v>
      </c>
      <c r="AC61" s="577">
        <v>32</v>
      </c>
      <c r="AD61" s="328">
        <v>39</v>
      </c>
      <c r="AE61" s="328">
        <v>38</v>
      </c>
      <c r="AF61" s="328">
        <v>38</v>
      </c>
      <c r="AG61" s="328">
        <v>38</v>
      </c>
      <c r="AH61" s="526">
        <v>33</v>
      </c>
      <c r="AI61" s="526">
        <v>33</v>
      </c>
      <c r="AJ61" s="526">
        <v>33</v>
      </c>
      <c r="AK61" s="526">
        <v>33</v>
      </c>
      <c r="AL61" s="524">
        <v>35</v>
      </c>
      <c r="AM61" s="524">
        <v>35</v>
      </c>
      <c r="AN61" s="524">
        <v>35</v>
      </c>
      <c r="AO61" s="524">
        <v>35</v>
      </c>
      <c r="AP61" s="991">
        <v>38</v>
      </c>
      <c r="AQ61" s="993">
        <v>38</v>
      </c>
      <c r="AR61" s="994">
        <v>38</v>
      </c>
      <c r="AS61" s="993">
        <v>38</v>
      </c>
      <c r="AT61" s="971"/>
      <c r="AU61" s="970"/>
      <c r="AV61" s="970"/>
      <c r="AW61" s="970"/>
    </row>
    <row r="62" spans="1:49" ht="24.95" customHeight="1" x14ac:dyDescent="0.2">
      <c r="A62" s="13">
        <v>325754000721</v>
      </c>
      <c r="B62" s="1" t="s">
        <v>0</v>
      </c>
      <c r="C62" s="126" t="s">
        <v>51</v>
      </c>
      <c r="D62" s="2" t="s">
        <v>123</v>
      </c>
      <c r="E62" s="2">
        <v>2</v>
      </c>
      <c r="F62" s="12">
        <v>23</v>
      </c>
      <c r="G62" s="12">
        <v>23</v>
      </c>
      <c r="H62" s="12">
        <v>23</v>
      </c>
      <c r="I62" s="12">
        <v>23</v>
      </c>
      <c r="J62" s="25">
        <v>19</v>
      </c>
      <c r="K62" s="25">
        <v>19</v>
      </c>
      <c r="L62" s="25">
        <v>19</v>
      </c>
      <c r="M62" s="25">
        <v>19</v>
      </c>
      <c r="N62" s="12">
        <v>17</v>
      </c>
      <c r="O62" s="12">
        <v>16</v>
      </c>
      <c r="P62" s="12">
        <v>16</v>
      </c>
      <c r="Q62" s="12">
        <v>16</v>
      </c>
      <c r="R62" s="12">
        <v>24</v>
      </c>
      <c r="S62" s="12">
        <v>24</v>
      </c>
      <c r="T62" s="12">
        <v>23</v>
      </c>
      <c r="U62" s="12">
        <v>22</v>
      </c>
      <c r="V62" s="25">
        <v>27</v>
      </c>
      <c r="W62" s="25">
        <v>27</v>
      </c>
      <c r="X62" s="25">
        <v>27</v>
      </c>
      <c r="Y62" s="25">
        <v>27</v>
      </c>
      <c r="Z62" s="577">
        <v>21</v>
      </c>
      <c r="AA62" s="577">
        <v>21</v>
      </c>
      <c r="AB62" s="577">
        <v>21</v>
      </c>
      <c r="AC62" s="577">
        <v>21</v>
      </c>
      <c r="AD62" s="328">
        <v>20</v>
      </c>
      <c r="AE62" s="328">
        <v>20</v>
      </c>
      <c r="AF62" s="328">
        <v>20</v>
      </c>
      <c r="AG62" s="328">
        <v>20</v>
      </c>
      <c r="AH62" s="526">
        <v>17</v>
      </c>
      <c r="AI62" s="526">
        <v>17</v>
      </c>
      <c r="AJ62" s="526">
        <v>17</v>
      </c>
      <c r="AK62" s="526">
        <v>17</v>
      </c>
      <c r="AL62" s="524">
        <v>12</v>
      </c>
      <c r="AM62" s="524">
        <v>12</v>
      </c>
      <c r="AN62" s="524">
        <v>12</v>
      </c>
      <c r="AO62" s="524">
        <v>12</v>
      </c>
      <c r="AP62" s="991">
        <v>11</v>
      </c>
      <c r="AQ62" s="993">
        <v>11</v>
      </c>
      <c r="AR62" s="994">
        <v>11</v>
      </c>
      <c r="AS62" s="993">
        <v>11</v>
      </c>
      <c r="AT62" s="971"/>
      <c r="AU62" s="970"/>
      <c r="AV62" s="970"/>
      <c r="AW62" s="970"/>
    </row>
    <row r="63" spans="1:49" ht="24.95" customHeight="1" x14ac:dyDescent="0.2">
      <c r="A63" s="13">
        <v>325754004959</v>
      </c>
      <c r="B63" s="1" t="s">
        <v>0</v>
      </c>
      <c r="C63" s="126" t="s">
        <v>102</v>
      </c>
      <c r="D63" s="2" t="s">
        <v>123</v>
      </c>
      <c r="E63" s="2">
        <v>1</v>
      </c>
      <c r="F63" s="12">
        <v>0</v>
      </c>
      <c r="G63" s="12">
        <v>13</v>
      </c>
      <c r="H63" s="12">
        <v>13</v>
      </c>
      <c r="I63" s="12">
        <v>13</v>
      </c>
      <c r="J63" s="25">
        <v>11</v>
      </c>
      <c r="K63" s="25">
        <v>11</v>
      </c>
      <c r="L63" s="25">
        <v>10</v>
      </c>
      <c r="M63" s="25">
        <v>10</v>
      </c>
      <c r="N63" s="12">
        <v>21</v>
      </c>
      <c r="O63" s="12">
        <v>21</v>
      </c>
      <c r="P63" s="12">
        <v>19</v>
      </c>
      <c r="Q63" s="12">
        <v>19</v>
      </c>
      <c r="R63" s="12">
        <v>18</v>
      </c>
      <c r="S63" s="12">
        <v>18</v>
      </c>
      <c r="T63" s="12">
        <v>18</v>
      </c>
      <c r="U63" s="12">
        <v>17</v>
      </c>
      <c r="V63" s="25">
        <v>17</v>
      </c>
      <c r="W63" s="25">
        <v>17</v>
      </c>
      <c r="X63" s="25">
        <v>17</v>
      </c>
      <c r="Y63" s="25">
        <v>17</v>
      </c>
      <c r="Z63" s="577">
        <v>16</v>
      </c>
      <c r="AA63" s="577">
        <v>16</v>
      </c>
      <c r="AB63" s="577">
        <v>16</v>
      </c>
      <c r="AC63" s="577">
        <v>16</v>
      </c>
      <c r="AD63" s="328">
        <v>16</v>
      </c>
      <c r="AE63" s="328">
        <v>16</v>
      </c>
      <c r="AF63" s="328">
        <v>16</v>
      </c>
      <c r="AG63" s="328">
        <v>16</v>
      </c>
      <c r="AH63" s="526">
        <v>9</v>
      </c>
      <c r="AI63" s="526">
        <v>9</v>
      </c>
      <c r="AJ63" s="526">
        <v>9</v>
      </c>
      <c r="AK63" s="526">
        <v>9</v>
      </c>
      <c r="AL63" s="524">
        <v>25</v>
      </c>
      <c r="AM63" s="524">
        <v>25</v>
      </c>
      <c r="AN63" s="524">
        <v>25</v>
      </c>
      <c r="AO63" s="524">
        <v>25</v>
      </c>
      <c r="AP63" s="991">
        <v>16</v>
      </c>
      <c r="AQ63" s="993">
        <v>16</v>
      </c>
      <c r="AR63" s="994">
        <v>15</v>
      </c>
      <c r="AS63" s="993">
        <v>15</v>
      </c>
      <c r="AT63" s="971"/>
      <c r="AU63" s="970"/>
      <c r="AV63" s="970"/>
      <c r="AW63" s="970"/>
    </row>
    <row r="64" spans="1:49" ht="24.95" customHeight="1" x14ac:dyDescent="0.2">
      <c r="A64" s="13">
        <v>325754003347</v>
      </c>
      <c r="B64" s="1" t="s">
        <v>0</v>
      </c>
      <c r="C64" s="126" t="s">
        <v>90</v>
      </c>
      <c r="D64" s="2" t="s">
        <v>123</v>
      </c>
      <c r="E64" s="2">
        <v>4</v>
      </c>
      <c r="F64" s="12">
        <v>40</v>
      </c>
      <c r="G64" s="12">
        <v>41</v>
      </c>
      <c r="H64" s="12">
        <v>41</v>
      </c>
      <c r="I64" s="12">
        <v>41</v>
      </c>
      <c r="J64" s="25">
        <v>40</v>
      </c>
      <c r="K64" s="25">
        <v>39</v>
      </c>
      <c r="L64" s="25">
        <v>39</v>
      </c>
      <c r="M64" s="25">
        <v>39</v>
      </c>
      <c r="N64" s="12">
        <v>43</v>
      </c>
      <c r="O64" s="12">
        <v>43</v>
      </c>
      <c r="P64" s="12">
        <v>43</v>
      </c>
      <c r="Q64" s="12">
        <v>43</v>
      </c>
      <c r="R64" s="12">
        <v>37</v>
      </c>
      <c r="S64" s="12">
        <v>37</v>
      </c>
      <c r="T64" s="12">
        <v>37</v>
      </c>
      <c r="U64" s="12">
        <v>37</v>
      </c>
      <c r="V64" s="25">
        <v>41</v>
      </c>
      <c r="W64" s="25">
        <v>41</v>
      </c>
      <c r="X64" s="25">
        <v>41</v>
      </c>
      <c r="Y64" s="25">
        <v>41</v>
      </c>
      <c r="Z64" s="577">
        <v>42</v>
      </c>
      <c r="AA64" s="577">
        <v>42</v>
      </c>
      <c r="AB64" s="577">
        <v>42</v>
      </c>
      <c r="AC64" s="577">
        <v>42</v>
      </c>
      <c r="AD64" s="328">
        <v>29</v>
      </c>
      <c r="AE64" s="328">
        <v>38</v>
      </c>
      <c r="AF64" s="328">
        <v>38</v>
      </c>
      <c r="AG64" s="328">
        <v>38</v>
      </c>
      <c r="AH64" s="526">
        <v>43</v>
      </c>
      <c r="AI64" s="526">
        <v>43</v>
      </c>
      <c r="AJ64" s="526">
        <v>43</v>
      </c>
      <c r="AK64" s="526">
        <v>43</v>
      </c>
      <c r="AL64" s="524">
        <v>56</v>
      </c>
      <c r="AM64" s="524">
        <v>56</v>
      </c>
      <c r="AN64" s="524">
        <v>56</v>
      </c>
      <c r="AO64" s="524">
        <v>56</v>
      </c>
      <c r="AP64" s="991">
        <v>53</v>
      </c>
      <c r="AQ64" s="993">
        <v>53</v>
      </c>
      <c r="AR64" s="994">
        <v>52</v>
      </c>
      <c r="AS64" s="993">
        <v>52</v>
      </c>
      <c r="AT64" s="971"/>
      <c r="AU64" s="970"/>
      <c r="AV64" s="970"/>
      <c r="AW64" s="970"/>
    </row>
    <row r="65" spans="1:49" ht="24.95" customHeight="1" x14ac:dyDescent="0.2">
      <c r="A65" s="13">
        <v>325754004122</v>
      </c>
      <c r="B65" s="1" t="s">
        <v>0</v>
      </c>
      <c r="C65" s="126" t="s">
        <v>66</v>
      </c>
      <c r="D65" s="2" t="s">
        <v>123</v>
      </c>
      <c r="E65" s="2">
        <v>3</v>
      </c>
      <c r="F65" s="12">
        <v>46</v>
      </c>
      <c r="G65" s="12">
        <v>47</v>
      </c>
      <c r="H65" s="12">
        <v>47</v>
      </c>
      <c r="I65" s="12">
        <v>47</v>
      </c>
      <c r="J65" s="25">
        <v>29</v>
      </c>
      <c r="K65" s="25">
        <v>36</v>
      </c>
      <c r="L65" s="25">
        <v>36</v>
      </c>
      <c r="M65" s="25">
        <v>36</v>
      </c>
      <c r="N65" s="12">
        <v>50</v>
      </c>
      <c r="O65" s="12">
        <v>51</v>
      </c>
      <c r="P65" s="12">
        <v>51</v>
      </c>
      <c r="Q65" s="12">
        <v>50</v>
      </c>
      <c r="R65" s="12">
        <v>35</v>
      </c>
      <c r="S65" s="12">
        <v>36</v>
      </c>
      <c r="T65" s="12">
        <v>35</v>
      </c>
      <c r="U65" s="12">
        <v>35</v>
      </c>
      <c r="V65" s="25">
        <v>41</v>
      </c>
      <c r="W65" s="25">
        <v>40</v>
      </c>
      <c r="X65" s="25">
        <v>40</v>
      </c>
      <c r="Y65" s="25">
        <v>40</v>
      </c>
      <c r="Z65" s="577">
        <v>60</v>
      </c>
      <c r="AA65" s="577">
        <v>60</v>
      </c>
      <c r="AB65" s="577">
        <v>60</v>
      </c>
      <c r="AC65" s="577">
        <v>60</v>
      </c>
      <c r="AD65" s="328">
        <v>55</v>
      </c>
      <c r="AE65" s="328">
        <v>55</v>
      </c>
      <c r="AF65" s="328">
        <v>54</v>
      </c>
      <c r="AG65" s="328">
        <v>54</v>
      </c>
      <c r="AH65" s="526">
        <v>63</v>
      </c>
      <c r="AI65" s="526">
        <v>62</v>
      </c>
      <c r="AJ65" s="526">
        <v>61</v>
      </c>
      <c r="AK65" s="526">
        <v>61</v>
      </c>
      <c r="AL65" s="524">
        <v>48</v>
      </c>
      <c r="AM65" s="524">
        <v>48</v>
      </c>
      <c r="AN65" s="524">
        <v>48</v>
      </c>
      <c r="AO65" s="524">
        <v>48</v>
      </c>
      <c r="AP65" s="991">
        <v>66</v>
      </c>
      <c r="AQ65" s="993">
        <v>66</v>
      </c>
      <c r="AR65" s="994">
        <v>65</v>
      </c>
      <c r="AS65" s="993">
        <v>65</v>
      </c>
      <c r="AT65" s="971"/>
      <c r="AU65" s="970"/>
      <c r="AV65" s="970"/>
      <c r="AW65" s="970"/>
    </row>
    <row r="66" spans="1:49" ht="24.95" customHeight="1" x14ac:dyDescent="0.2">
      <c r="A66" s="13">
        <v>325754002154</v>
      </c>
      <c r="B66" s="1" t="s">
        <v>0</v>
      </c>
      <c r="C66" s="126" t="s">
        <v>73</v>
      </c>
      <c r="D66" s="2" t="s">
        <v>123</v>
      </c>
      <c r="E66" s="2">
        <v>5</v>
      </c>
      <c r="F66" s="12">
        <v>29</v>
      </c>
      <c r="G66" s="12">
        <v>30</v>
      </c>
      <c r="H66" s="12">
        <v>30</v>
      </c>
      <c r="I66" s="12">
        <v>30</v>
      </c>
      <c r="J66" s="25">
        <v>18</v>
      </c>
      <c r="K66" s="25">
        <v>18</v>
      </c>
      <c r="L66" s="25">
        <v>18</v>
      </c>
      <c r="M66" s="25">
        <v>18</v>
      </c>
      <c r="N66" s="12">
        <v>30</v>
      </c>
      <c r="O66" s="12">
        <v>29</v>
      </c>
      <c r="P66" s="12">
        <v>29</v>
      </c>
      <c r="Q66" s="12">
        <v>29</v>
      </c>
      <c r="R66" s="12">
        <v>20</v>
      </c>
      <c r="S66" s="12">
        <v>19</v>
      </c>
      <c r="T66" s="12">
        <v>19</v>
      </c>
      <c r="U66" s="12">
        <v>18</v>
      </c>
      <c r="V66" s="25">
        <v>22</v>
      </c>
      <c r="W66" s="25">
        <v>21</v>
      </c>
      <c r="X66" s="25">
        <v>21</v>
      </c>
      <c r="Y66" s="25">
        <v>21</v>
      </c>
      <c r="Z66" s="577">
        <v>21</v>
      </c>
      <c r="AA66" s="577">
        <v>21</v>
      </c>
      <c r="AB66" s="577">
        <v>21</v>
      </c>
      <c r="AC66" s="577">
        <v>21</v>
      </c>
      <c r="AD66" s="328">
        <v>28</v>
      </c>
      <c r="AE66" s="328">
        <v>28</v>
      </c>
      <c r="AF66" s="328">
        <v>28</v>
      </c>
      <c r="AG66" s="328">
        <v>28</v>
      </c>
      <c r="AH66" s="526">
        <v>28</v>
      </c>
      <c r="AI66" s="526">
        <v>28</v>
      </c>
      <c r="AJ66" s="526">
        <v>28</v>
      </c>
      <c r="AK66" s="526">
        <v>28</v>
      </c>
      <c r="AL66" s="524">
        <v>15</v>
      </c>
      <c r="AM66" s="524">
        <v>15</v>
      </c>
      <c r="AN66" s="524">
        <v>15</v>
      </c>
      <c r="AO66" s="524">
        <v>15</v>
      </c>
      <c r="AP66" s="991">
        <v>31</v>
      </c>
      <c r="AQ66" s="993">
        <v>31</v>
      </c>
      <c r="AR66" s="994">
        <v>31</v>
      </c>
      <c r="AS66" s="993">
        <v>31</v>
      </c>
      <c r="AT66" s="971"/>
      <c r="AU66" s="970"/>
      <c r="AV66" s="970"/>
      <c r="AW66" s="970"/>
    </row>
    <row r="67" spans="1:49" ht="24.95" customHeight="1" x14ac:dyDescent="0.2">
      <c r="A67" s="13">
        <v>325754001662</v>
      </c>
      <c r="B67" s="1" t="s">
        <v>0</v>
      </c>
      <c r="C67" s="126" t="s">
        <v>89</v>
      </c>
      <c r="D67" s="2" t="s">
        <v>123</v>
      </c>
      <c r="E67" s="2">
        <v>3</v>
      </c>
      <c r="F67" s="12">
        <v>35</v>
      </c>
      <c r="G67" s="12">
        <v>39</v>
      </c>
      <c r="H67" s="12">
        <v>38</v>
      </c>
      <c r="I67" s="12">
        <v>38</v>
      </c>
      <c r="J67" s="25">
        <v>23</v>
      </c>
      <c r="K67" s="25">
        <v>23</v>
      </c>
      <c r="L67" s="25">
        <v>23</v>
      </c>
      <c r="M67" s="25">
        <v>23</v>
      </c>
      <c r="N67" s="12">
        <v>17</v>
      </c>
      <c r="O67" s="12">
        <v>18</v>
      </c>
      <c r="P67" s="12">
        <v>18</v>
      </c>
      <c r="Q67" s="12">
        <v>18</v>
      </c>
      <c r="R67" s="12">
        <v>27</v>
      </c>
      <c r="S67" s="12">
        <v>27</v>
      </c>
      <c r="T67" s="12">
        <v>27</v>
      </c>
      <c r="U67" s="12">
        <v>26</v>
      </c>
      <c r="V67" s="25">
        <v>19</v>
      </c>
      <c r="W67" s="25">
        <v>19</v>
      </c>
      <c r="X67" s="25">
        <v>19</v>
      </c>
      <c r="Y67" s="25">
        <v>19</v>
      </c>
      <c r="Z67" s="577">
        <v>36</v>
      </c>
      <c r="AA67" s="577">
        <v>35</v>
      </c>
      <c r="AB67" s="577">
        <v>35</v>
      </c>
      <c r="AC67" s="577">
        <v>35</v>
      </c>
      <c r="AD67" s="328">
        <v>39</v>
      </c>
      <c r="AE67" s="328">
        <v>39</v>
      </c>
      <c r="AF67" s="328">
        <v>39</v>
      </c>
      <c r="AG67" s="328">
        <v>39</v>
      </c>
      <c r="AH67" s="526">
        <v>42</v>
      </c>
      <c r="AI67" s="526">
        <v>42</v>
      </c>
      <c r="AJ67" s="526">
        <v>42</v>
      </c>
      <c r="AK67" s="526">
        <v>42</v>
      </c>
      <c r="AL67" s="524">
        <v>33</v>
      </c>
      <c r="AM67" s="524">
        <v>33</v>
      </c>
      <c r="AN67" s="524">
        <v>33</v>
      </c>
      <c r="AO67" s="524">
        <v>33</v>
      </c>
      <c r="AP67" s="991">
        <v>33</v>
      </c>
      <c r="AQ67" s="993">
        <v>33</v>
      </c>
      <c r="AR67" s="994">
        <v>33</v>
      </c>
      <c r="AS67" s="993">
        <v>33</v>
      </c>
      <c r="AT67" s="971"/>
      <c r="AU67" s="970"/>
      <c r="AV67" s="970"/>
      <c r="AW67" s="970"/>
    </row>
    <row r="68" spans="1:49" ht="24.95" customHeight="1" x14ac:dyDescent="0.2">
      <c r="A68" s="13">
        <v>325754001671</v>
      </c>
      <c r="B68" s="1" t="s">
        <v>0</v>
      </c>
      <c r="C68" s="126" t="s">
        <v>38</v>
      </c>
      <c r="D68" s="2" t="s">
        <v>123</v>
      </c>
      <c r="E68" s="2">
        <v>1</v>
      </c>
      <c r="F68" s="12">
        <v>19</v>
      </c>
      <c r="G68" s="12">
        <v>19</v>
      </c>
      <c r="H68" s="12">
        <v>18</v>
      </c>
      <c r="I68" s="12">
        <v>18</v>
      </c>
      <c r="J68" s="25">
        <v>33</v>
      </c>
      <c r="K68" s="25">
        <v>31</v>
      </c>
      <c r="L68" s="25">
        <v>30</v>
      </c>
      <c r="M68" s="25">
        <v>30</v>
      </c>
      <c r="N68" s="12">
        <v>25</v>
      </c>
      <c r="O68" s="12">
        <v>24</v>
      </c>
      <c r="P68" s="12">
        <v>24</v>
      </c>
      <c r="Q68" s="12">
        <v>22</v>
      </c>
      <c r="R68" s="12">
        <v>27</v>
      </c>
      <c r="S68" s="12">
        <v>27</v>
      </c>
      <c r="T68" s="12">
        <v>26</v>
      </c>
      <c r="U68" s="12">
        <v>26</v>
      </c>
      <c r="V68" s="25">
        <v>27</v>
      </c>
      <c r="W68" s="25">
        <v>26</v>
      </c>
      <c r="X68" s="25">
        <v>26</v>
      </c>
      <c r="Y68" s="25">
        <v>26</v>
      </c>
      <c r="Z68" s="577">
        <v>28</v>
      </c>
      <c r="AA68" s="577">
        <v>28</v>
      </c>
      <c r="AB68" s="577">
        <v>28</v>
      </c>
      <c r="AC68" s="577">
        <v>28</v>
      </c>
      <c r="AD68" s="328">
        <v>28</v>
      </c>
      <c r="AE68" s="328">
        <v>28</v>
      </c>
      <c r="AF68" s="328">
        <v>28</v>
      </c>
      <c r="AG68" s="328">
        <v>28</v>
      </c>
      <c r="AH68" s="526">
        <v>22</v>
      </c>
      <c r="AI68" s="526">
        <v>22</v>
      </c>
      <c r="AJ68" s="526">
        <v>22</v>
      </c>
      <c r="AK68" s="526">
        <v>22</v>
      </c>
      <c r="AL68" s="524">
        <v>17</v>
      </c>
      <c r="AM68" s="524">
        <v>17</v>
      </c>
      <c r="AN68" s="524">
        <v>17</v>
      </c>
      <c r="AO68" s="524">
        <v>17</v>
      </c>
      <c r="AP68" s="991">
        <v>15</v>
      </c>
      <c r="AQ68" s="993">
        <v>14</v>
      </c>
      <c r="AR68" s="994">
        <v>14</v>
      </c>
      <c r="AS68" s="993">
        <v>14</v>
      </c>
      <c r="AT68" s="971"/>
      <c r="AU68" s="970"/>
      <c r="AV68" s="970"/>
      <c r="AW68" s="970"/>
    </row>
    <row r="69" spans="1:49" ht="24.95" customHeight="1" x14ac:dyDescent="0.2">
      <c r="A69" s="13">
        <v>325754002162</v>
      </c>
      <c r="B69" s="1" t="s">
        <v>0</v>
      </c>
      <c r="C69" s="126" t="s">
        <v>75</v>
      </c>
      <c r="D69" s="2" t="s">
        <v>123</v>
      </c>
      <c r="E69" s="2">
        <v>3</v>
      </c>
      <c r="F69" s="12">
        <v>34</v>
      </c>
      <c r="G69" s="12">
        <v>34</v>
      </c>
      <c r="H69" s="12">
        <v>34</v>
      </c>
      <c r="I69" s="12">
        <v>34</v>
      </c>
      <c r="J69" s="25">
        <v>57</v>
      </c>
      <c r="K69" s="25">
        <v>57</v>
      </c>
      <c r="L69" s="25">
        <v>57</v>
      </c>
      <c r="M69" s="25">
        <v>57</v>
      </c>
      <c r="N69" s="12">
        <v>62</v>
      </c>
      <c r="O69" s="12">
        <v>62</v>
      </c>
      <c r="P69" s="12">
        <v>62</v>
      </c>
      <c r="Q69" s="12">
        <v>62</v>
      </c>
      <c r="R69" s="12">
        <v>54</v>
      </c>
      <c r="S69" s="12">
        <v>53</v>
      </c>
      <c r="T69" s="12">
        <v>53</v>
      </c>
      <c r="U69" s="12">
        <v>51</v>
      </c>
      <c r="V69" s="25">
        <v>52</v>
      </c>
      <c r="W69" s="25">
        <v>51</v>
      </c>
      <c r="X69" s="25">
        <v>51</v>
      </c>
      <c r="Y69" s="25">
        <v>51</v>
      </c>
      <c r="Z69" s="577">
        <v>35</v>
      </c>
      <c r="AA69" s="577">
        <v>35</v>
      </c>
      <c r="AB69" s="577">
        <v>35</v>
      </c>
      <c r="AC69" s="577">
        <v>35</v>
      </c>
      <c r="AD69" s="328">
        <v>35</v>
      </c>
      <c r="AE69" s="328">
        <v>35</v>
      </c>
      <c r="AF69" s="328">
        <v>35</v>
      </c>
      <c r="AG69" s="328">
        <v>35</v>
      </c>
      <c r="AH69" s="526">
        <v>58</v>
      </c>
      <c r="AI69" s="526">
        <v>58</v>
      </c>
      <c r="AJ69" s="526">
        <v>58</v>
      </c>
      <c r="AK69" s="526">
        <v>58</v>
      </c>
      <c r="AL69" s="524">
        <v>53</v>
      </c>
      <c r="AM69" s="524">
        <v>53</v>
      </c>
      <c r="AN69" s="524">
        <v>52</v>
      </c>
      <c r="AO69" s="524">
        <v>52</v>
      </c>
      <c r="AP69" s="991">
        <v>60</v>
      </c>
      <c r="AQ69" s="993">
        <v>60</v>
      </c>
      <c r="AR69" s="994">
        <v>59</v>
      </c>
      <c r="AS69" s="993">
        <v>59</v>
      </c>
      <c r="AT69" s="971"/>
      <c r="AU69" s="970"/>
      <c r="AV69" s="970"/>
      <c r="AW69" s="970"/>
    </row>
    <row r="70" spans="1:49" ht="24.95" customHeight="1" x14ac:dyDescent="0.2">
      <c r="A70" s="13">
        <v>325754003312</v>
      </c>
      <c r="B70" s="1" t="s">
        <v>0</v>
      </c>
      <c r="C70" s="126" t="s">
        <v>99</v>
      </c>
      <c r="D70" s="2" t="s">
        <v>123</v>
      </c>
      <c r="E70" s="2">
        <v>5</v>
      </c>
      <c r="F70" s="12">
        <v>129</v>
      </c>
      <c r="G70" s="12">
        <v>128</v>
      </c>
      <c r="H70" s="12">
        <v>127</v>
      </c>
      <c r="I70" s="12">
        <v>127</v>
      </c>
      <c r="J70" s="25">
        <v>102</v>
      </c>
      <c r="K70" s="25">
        <v>104</v>
      </c>
      <c r="L70" s="25">
        <v>104</v>
      </c>
      <c r="M70" s="25">
        <v>103</v>
      </c>
      <c r="N70" s="12">
        <v>109</v>
      </c>
      <c r="O70" s="12">
        <v>108</v>
      </c>
      <c r="P70" s="12">
        <v>108</v>
      </c>
      <c r="Q70" s="12">
        <v>107</v>
      </c>
      <c r="R70" s="12">
        <v>93</v>
      </c>
      <c r="S70" s="12">
        <v>93</v>
      </c>
      <c r="T70" s="12">
        <v>93</v>
      </c>
      <c r="U70" s="12">
        <v>93</v>
      </c>
      <c r="V70" s="25">
        <v>95</v>
      </c>
      <c r="W70" s="25">
        <v>92</v>
      </c>
      <c r="X70" s="25">
        <v>92</v>
      </c>
      <c r="Y70" s="25">
        <v>92</v>
      </c>
      <c r="Z70" s="577">
        <v>115</v>
      </c>
      <c r="AA70" s="577">
        <v>115</v>
      </c>
      <c r="AB70" s="577">
        <v>114</v>
      </c>
      <c r="AC70" s="577">
        <v>114</v>
      </c>
      <c r="AD70" s="328">
        <v>132</v>
      </c>
      <c r="AE70" s="328">
        <v>127</v>
      </c>
      <c r="AF70" s="328">
        <v>127</v>
      </c>
      <c r="AG70" s="328">
        <v>127</v>
      </c>
      <c r="AH70" s="526">
        <v>92</v>
      </c>
      <c r="AI70" s="526">
        <v>91</v>
      </c>
      <c r="AJ70" s="526">
        <v>91</v>
      </c>
      <c r="AK70" s="526">
        <v>91</v>
      </c>
      <c r="AL70" s="524">
        <v>76</v>
      </c>
      <c r="AM70" s="524">
        <v>76</v>
      </c>
      <c r="AN70" s="524">
        <v>75</v>
      </c>
      <c r="AO70" s="524">
        <v>75</v>
      </c>
      <c r="AP70" s="991">
        <v>83</v>
      </c>
      <c r="AQ70" s="993">
        <v>81</v>
      </c>
      <c r="AR70" s="994">
        <v>80</v>
      </c>
      <c r="AS70" s="993">
        <v>80</v>
      </c>
      <c r="AT70" s="971"/>
      <c r="AU70" s="970"/>
      <c r="AV70" s="970"/>
      <c r="AW70" s="970"/>
    </row>
    <row r="71" spans="1:49" ht="24.95" customHeight="1" x14ac:dyDescent="0.2">
      <c r="A71" s="13">
        <v>325754002073</v>
      </c>
      <c r="B71" s="1" t="s">
        <v>0</v>
      </c>
      <c r="C71" s="126" t="s">
        <v>46</v>
      </c>
      <c r="D71" s="2" t="s">
        <v>123</v>
      </c>
      <c r="E71" s="2">
        <v>1</v>
      </c>
      <c r="F71" s="12">
        <v>35</v>
      </c>
      <c r="G71" s="12">
        <v>35</v>
      </c>
      <c r="H71" s="12">
        <v>35</v>
      </c>
      <c r="I71" s="12">
        <v>35</v>
      </c>
      <c r="J71" s="25">
        <v>35</v>
      </c>
      <c r="K71" s="25">
        <v>36</v>
      </c>
      <c r="L71" s="25">
        <v>36</v>
      </c>
      <c r="M71" s="25">
        <v>36</v>
      </c>
      <c r="N71" s="12">
        <v>27</v>
      </c>
      <c r="O71" s="12">
        <v>28</v>
      </c>
      <c r="P71" s="12">
        <v>28</v>
      </c>
      <c r="Q71" s="12">
        <v>28</v>
      </c>
      <c r="R71" s="12">
        <v>35</v>
      </c>
      <c r="S71" s="12">
        <v>36</v>
      </c>
      <c r="T71" s="12">
        <v>36</v>
      </c>
      <c r="U71" s="12">
        <v>36</v>
      </c>
      <c r="V71" s="25">
        <v>36</v>
      </c>
      <c r="W71" s="25">
        <v>36</v>
      </c>
      <c r="X71" s="25">
        <v>36</v>
      </c>
      <c r="Y71" s="25">
        <v>36</v>
      </c>
      <c r="Z71" s="577">
        <v>32</v>
      </c>
      <c r="AA71" s="577">
        <v>32</v>
      </c>
      <c r="AB71" s="577">
        <v>32</v>
      </c>
      <c r="AC71" s="577">
        <v>32</v>
      </c>
      <c r="AD71" s="328">
        <v>35</v>
      </c>
      <c r="AE71" s="328">
        <v>33</v>
      </c>
      <c r="AF71" s="328">
        <v>33</v>
      </c>
      <c r="AG71" s="328">
        <v>33</v>
      </c>
      <c r="AH71" s="526">
        <v>29</v>
      </c>
      <c r="AI71" s="526">
        <v>29</v>
      </c>
      <c r="AJ71" s="526">
        <v>29</v>
      </c>
      <c r="AK71" s="526">
        <v>29</v>
      </c>
      <c r="AL71" s="524">
        <v>44</v>
      </c>
      <c r="AM71" s="524">
        <v>44</v>
      </c>
      <c r="AN71" s="524">
        <v>44</v>
      </c>
      <c r="AO71" s="524">
        <v>44</v>
      </c>
      <c r="AP71" s="991">
        <v>43</v>
      </c>
      <c r="AQ71" s="993">
        <v>43</v>
      </c>
      <c r="AR71" s="994">
        <v>42</v>
      </c>
      <c r="AS71" s="993">
        <v>42</v>
      </c>
      <c r="AT71" s="971"/>
      <c r="AU71" s="970"/>
      <c r="AV71" s="970"/>
      <c r="AW71" s="970"/>
    </row>
    <row r="72" spans="1:49" ht="24.95" customHeight="1" x14ac:dyDescent="0.2">
      <c r="A72" s="13">
        <v>125754001833</v>
      </c>
      <c r="B72" s="1" t="s">
        <v>0</v>
      </c>
      <c r="C72" s="126" t="s">
        <v>21</v>
      </c>
      <c r="D72" s="2" t="s">
        <v>123</v>
      </c>
      <c r="E72" s="2">
        <v>3</v>
      </c>
      <c r="F72" s="12">
        <v>49</v>
      </c>
      <c r="G72" s="12">
        <v>49</v>
      </c>
      <c r="H72" s="12">
        <v>48</v>
      </c>
      <c r="I72" s="12">
        <v>48</v>
      </c>
      <c r="J72" s="25">
        <v>24</v>
      </c>
      <c r="K72" s="25">
        <v>25</v>
      </c>
      <c r="L72" s="25">
        <v>25</v>
      </c>
      <c r="M72" s="25">
        <v>24</v>
      </c>
      <c r="N72" s="12">
        <v>32</v>
      </c>
      <c r="O72" s="12">
        <v>31</v>
      </c>
      <c r="P72" s="12">
        <v>31</v>
      </c>
      <c r="Q72" s="12">
        <v>30</v>
      </c>
      <c r="R72" s="12">
        <v>33</v>
      </c>
      <c r="S72" s="12">
        <v>34</v>
      </c>
      <c r="T72" s="12">
        <v>34</v>
      </c>
      <c r="U72" s="12">
        <v>34</v>
      </c>
      <c r="V72" s="25">
        <v>59</v>
      </c>
      <c r="W72" s="25">
        <v>59</v>
      </c>
      <c r="X72" s="25">
        <v>59</v>
      </c>
      <c r="Y72" s="25">
        <v>59</v>
      </c>
      <c r="Z72" s="577">
        <v>37</v>
      </c>
      <c r="AA72" s="577">
        <v>37</v>
      </c>
      <c r="AB72" s="577">
        <v>36</v>
      </c>
      <c r="AC72" s="577">
        <v>36</v>
      </c>
      <c r="AD72" s="328">
        <v>60</v>
      </c>
      <c r="AE72" s="328">
        <v>57</v>
      </c>
      <c r="AF72" s="328">
        <v>57</v>
      </c>
      <c r="AG72" s="328">
        <v>57</v>
      </c>
      <c r="AH72" s="526">
        <v>49</v>
      </c>
      <c r="AI72" s="526">
        <v>48</v>
      </c>
      <c r="AJ72" s="526">
        <v>48</v>
      </c>
      <c r="AK72" s="526">
        <v>48</v>
      </c>
      <c r="AL72" s="524">
        <v>69</v>
      </c>
      <c r="AM72" s="524">
        <v>69</v>
      </c>
      <c r="AN72" s="524">
        <v>69</v>
      </c>
      <c r="AO72" s="524">
        <v>69</v>
      </c>
      <c r="AP72" s="991">
        <v>51</v>
      </c>
      <c r="AQ72" s="993">
        <v>52</v>
      </c>
      <c r="AR72" s="994">
        <v>51</v>
      </c>
      <c r="AS72" s="993">
        <v>51</v>
      </c>
      <c r="AT72" s="971"/>
      <c r="AU72" s="970"/>
      <c r="AV72" s="970"/>
      <c r="AW72" s="970"/>
    </row>
    <row r="73" spans="1:49" ht="24.95" customHeight="1" x14ac:dyDescent="0.2">
      <c r="A73" s="860">
        <v>325754002979</v>
      </c>
      <c r="B73" s="471" t="s">
        <v>0</v>
      </c>
      <c r="C73" s="645" t="s">
        <v>56</v>
      </c>
      <c r="D73" s="2" t="s">
        <v>123</v>
      </c>
      <c r="E73" s="249">
        <v>6</v>
      </c>
      <c r="F73" s="254">
        <v>0</v>
      </c>
      <c r="G73" s="254">
        <v>4</v>
      </c>
      <c r="H73" s="254">
        <v>4</v>
      </c>
      <c r="I73" s="254">
        <v>4</v>
      </c>
      <c r="J73" s="256">
        <v>4</v>
      </c>
      <c r="K73" s="256">
        <v>4</v>
      </c>
      <c r="L73" s="256">
        <v>4</v>
      </c>
      <c r="M73" s="256">
        <v>4</v>
      </c>
      <c r="N73" s="254"/>
      <c r="O73" s="254"/>
      <c r="P73" s="254"/>
      <c r="Q73" s="254"/>
      <c r="R73" s="254">
        <v>2</v>
      </c>
      <c r="S73" s="254">
        <v>2</v>
      </c>
      <c r="T73" s="254">
        <v>2</v>
      </c>
      <c r="U73" s="254">
        <v>2</v>
      </c>
      <c r="V73" s="256">
        <v>8</v>
      </c>
      <c r="W73" s="256">
        <v>8</v>
      </c>
      <c r="X73" s="256">
        <v>8</v>
      </c>
      <c r="Y73" s="256">
        <v>8</v>
      </c>
      <c r="Z73" s="609"/>
      <c r="AA73" s="609"/>
      <c r="AB73" s="609"/>
      <c r="AC73" s="609"/>
      <c r="AD73" s="611"/>
      <c r="AE73" s="611"/>
      <c r="AF73" s="611"/>
      <c r="AG73" s="611"/>
      <c r="AH73" s="526">
        <v>3</v>
      </c>
      <c r="AI73" s="526">
        <v>5</v>
      </c>
      <c r="AJ73" s="526">
        <v>5</v>
      </c>
      <c r="AK73" s="526">
        <v>5</v>
      </c>
      <c r="AL73" s="524">
        <v>5</v>
      </c>
      <c r="AM73" s="524">
        <v>5</v>
      </c>
      <c r="AN73" s="524">
        <v>5</v>
      </c>
      <c r="AO73" s="524">
        <v>5</v>
      </c>
      <c r="AP73" s="991">
        <v>8</v>
      </c>
      <c r="AQ73" s="993">
        <v>7</v>
      </c>
      <c r="AR73" s="994">
        <v>6</v>
      </c>
      <c r="AS73" s="993">
        <v>6</v>
      </c>
      <c r="AT73" s="971"/>
      <c r="AU73" s="970"/>
      <c r="AV73" s="970"/>
      <c r="AW73" s="970"/>
    </row>
    <row r="74" spans="1:49" ht="24.95" customHeight="1" x14ac:dyDescent="0.2">
      <c r="A74" s="861">
        <v>325754001549</v>
      </c>
      <c r="B74" s="606" t="s">
        <v>0</v>
      </c>
      <c r="C74" s="644" t="s">
        <v>761</v>
      </c>
      <c r="D74" s="2" t="s">
        <v>123</v>
      </c>
      <c r="E74" s="2">
        <v>6</v>
      </c>
      <c r="F74" s="12"/>
      <c r="G74" s="12"/>
      <c r="H74" s="12"/>
      <c r="I74" s="12"/>
      <c r="J74" s="25"/>
      <c r="K74" s="25"/>
      <c r="L74" s="25"/>
      <c r="M74" s="25"/>
      <c r="N74" s="12"/>
      <c r="O74" s="12"/>
      <c r="P74" s="12"/>
      <c r="Q74" s="12"/>
      <c r="R74" s="12"/>
      <c r="S74" s="12"/>
      <c r="T74" s="12"/>
      <c r="U74" s="12"/>
      <c r="V74" s="25"/>
      <c r="W74" s="25"/>
      <c r="X74" s="25"/>
      <c r="Y74" s="25"/>
      <c r="Z74" s="579">
        <v>18</v>
      </c>
      <c r="AA74" s="579">
        <v>19</v>
      </c>
      <c r="AB74" s="579">
        <v>18</v>
      </c>
      <c r="AC74" s="579">
        <v>18</v>
      </c>
      <c r="AD74" s="47">
        <v>34</v>
      </c>
      <c r="AE74" s="47">
        <v>32</v>
      </c>
      <c r="AF74" s="47">
        <v>32</v>
      </c>
      <c r="AG74" s="47">
        <v>32</v>
      </c>
      <c r="AH74" s="526">
        <v>29</v>
      </c>
      <c r="AI74" s="526">
        <v>29</v>
      </c>
      <c r="AJ74" s="526">
        <v>29</v>
      </c>
      <c r="AK74" s="526">
        <v>29</v>
      </c>
      <c r="AL74" s="524">
        <v>27</v>
      </c>
      <c r="AM74" s="524">
        <v>27</v>
      </c>
      <c r="AN74" s="524">
        <v>27</v>
      </c>
      <c r="AO74" s="524">
        <v>27</v>
      </c>
      <c r="AP74" s="991">
        <v>29</v>
      </c>
      <c r="AQ74" s="993">
        <v>28</v>
      </c>
      <c r="AR74" s="994">
        <v>28</v>
      </c>
      <c r="AS74" s="993">
        <v>28</v>
      </c>
      <c r="AT74" s="971"/>
      <c r="AU74" s="970"/>
      <c r="AV74" s="970"/>
      <c r="AW74" s="970"/>
    </row>
    <row r="75" spans="1:49" ht="24.95" customHeight="1" x14ac:dyDescent="0.2">
      <c r="A75" s="13">
        <v>325754001921</v>
      </c>
      <c r="B75" s="1" t="s">
        <v>0</v>
      </c>
      <c r="C75" s="126" t="s">
        <v>93</v>
      </c>
      <c r="D75" s="2" t="s">
        <v>123</v>
      </c>
      <c r="E75" s="2">
        <v>3</v>
      </c>
      <c r="F75" s="12">
        <v>10</v>
      </c>
      <c r="G75" s="12">
        <v>10</v>
      </c>
      <c r="H75" s="12">
        <v>9</v>
      </c>
      <c r="I75" s="12">
        <v>9</v>
      </c>
      <c r="J75" s="25">
        <v>25</v>
      </c>
      <c r="K75" s="25">
        <v>25</v>
      </c>
      <c r="L75" s="25">
        <v>25</v>
      </c>
      <c r="M75" s="25">
        <v>25</v>
      </c>
      <c r="N75" s="12">
        <v>24</v>
      </c>
      <c r="O75" s="12">
        <v>23</v>
      </c>
      <c r="P75" s="12">
        <v>23</v>
      </c>
      <c r="Q75" s="12">
        <v>23</v>
      </c>
      <c r="R75" s="12">
        <v>19</v>
      </c>
      <c r="S75" s="12">
        <v>19</v>
      </c>
      <c r="T75" s="12">
        <v>18</v>
      </c>
      <c r="U75" s="12">
        <v>18</v>
      </c>
      <c r="V75" s="25">
        <v>28</v>
      </c>
      <c r="W75" s="25">
        <v>28</v>
      </c>
      <c r="X75" s="25">
        <v>27</v>
      </c>
      <c r="Y75" s="25">
        <v>27</v>
      </c>
      <c r="Z75" s="577">
        <v>17</v>
      </c>
      <c r="AA75" s="577">
        <v>17</v>
      </c>
      <c r="AB75" s="577">
        <v>17</v>
      </c>
      <c r="AC75" s="577">
        <v>17</v>
      </c>
      <c r="AD75" s="328">
        <v>24</v>
      </c>
      <c r="AE75" s="328">
        <v>24</v>
      </c>
      <c r="AF75" s="328">
        <v>24</v>
      </c>
      <c r="AG75" s="328">
        <v>24</v>
      </c>
      <c r="AH75" s="526">
        <v>25</v>
      </c>
      <c r="AI75" s="526">
        <v>25</v>
      </c>
      <c r="AJ75" s="526">
        <v>25</v>
      </c>
      <c r="AK75" s="526">
        <v>25</v>
      </c>
      <c r="AL75" s="524">
        <v>23</v>
      </c>
      <c r="AM75" s="524">
        <v>23</v>
      </c>
      <c r="AN75" s="524">
        <v>22</v>
      </c>
      <c r="AO75" s="524">
        <v>22</v>
      </c>
      <c r="AP75" s="991">
        <v>21</v>
      </c>
      <c r="AQ75" s="993">
        <v>22</v>
      </c>
      <c r="AR75" s="994">
        <v>22</v>
      </c>
      <c r="AS75" s="993">
        <v>22</v>
      </c>
      <c r="AT75" s="971"/>
      <c r="AU75" s="970"/>
      <c r="AV75" s="970"/>
      <c r="AW75" s="970"/>
    </row>
    <row r="76" spans="1:49" ht="24.95" customHeight="1" x14ac:dyDescent="0.2">
      <c r="A76" s="13">
        <v>325754004581</v>
      </c>
      <c r="B76" s="1" t="s">
        <v>0</v>
      </c>
      <c r="C76" s="126" t="s">
        <v>111</v>
      </c>
      <c r="D76" s="2" t="s">
        <v>123</v>
      </c>
      <c r="E76" s="2">
        <v>1</v>
      </c>
      <c r="F76" s="12">
        <v>20</v>
      </c>
      <c r="G76" s="12">
        <v>20</v>
      </c>
      <c r="H76" s="12">
        <v>17</v>
      </c>
      <c r="I76" s="12">
        <v>17</v>
      </c>
      <c r="J76" s="25">
        <v>9</v>
      </c>
      <c r="K76" s="25">
        <v>9</v>
      </c>
      <c r="L76" s="25">
        <v>9</v>
      </c>
      <c r="M76" s="25">
        <v>9</v>
      </c>
      <c r="N76" s="12">
        <v>9</v>
      </c>
      <c r="O76" s="12">
        <v>8</v>
      </c>
      <c r="P76" s="12">
        <v>8</v>
      </c>
      <c r="Q76" s="12">
        <v>8</v>
      </c>
      <c r="R76" s="12">
        <v>9</v>
      </c>
      <c r="S76" s="12">
        <v>9</v>
      </c>
      <c r="T76" s="12">
        <v>9</v>
      </c>
      <c r="U76" s="12">
        <v>9</v>
      </c>
      <c r="V76" s="25">
        <v>10</v>
      </c>
      <c r="W76" s="25">
        <v>10</v>
      </c>
      <c r="X76" s="25">
        <v>10</v>
      </c>
      <c r="Y76" s="25">
        <v>10</v>
      </c>
      <c r="Z76" s="577">
        <v>11</v>
      </c>
      <c r="AA76" s="577">
        <v>11</v>
      </c>
      <c r="AB76" s="577">
        <v>11</v>
      </c>
      <c r="AC76" s="577">
        <v>11</v>
      </c>
      <c r="AD76" s="328">
        <v>2</v>
      </c>
      <c r="AE76" s="328">
        <v>25</v>
      </c>
      <c r="AF76" s="328">
        <v>25</v>
      </c>
      <c r="AG76" s="328">
        <v>25</v>
      </c>
      <c r="AH76" s="526">
        <v>22</v>
      </c>
      <c r="AI76" s="526">
        <v>22</v>
      </c>
      <c r="AJ76" s="526">
        <v>22</v>
      </c>
      <c r="AK76" s="526">
        <v>22</v>
      </c>
      <c r="AL76" s="524">
        <v>21</v>
      </c>
      <c r="AM76" s="524">
        <v>21</v>
      </c>
      <c r="AN76" s="524">
        <v>20</v>
      </c>
      <c r="AO76" s="524">
        <v>20</v>
      </c>
      <c r="AP76" s="991">
        <v>18</v>
      </c>
      <c r="AQ76" s="993">
        <v>20</v>
      </c>
      <c r="AR76" s="994">
        <v>20</v>
      </c>
      <c r="AS76" s="993">
        <v>20</v>
      </c>
      <c r="AT76" s="971"/>
      <c r="AU76" s="970"/>
      <c r="AV76" s="970"/>
      <c r="AW76" s="970"/>
    </row>
    <row r="77" spans="1:49" ht="24.95" customHeight="1" x14ac:dyDescent="0.2">
      <c r="A77" s="605">
        <v>325754001531</v>
      </c>
      <c r="B77" s="310" t="s">
        <v>0</v>
      </c>
      <c r="C77" s="126" t="s">
        <v>799</v>
      </c>
      <c r="D77" s="35" t="s">
        <v>123</v>
      </c>
      <c r="E77" s="309">
        <v>2</v>
      </c>
      <c r="F77" s="328"/>
      <c r="G77" s="328"/>
      <c r="H77" s="328"/>
      <c r="I77" s="328"/>
      <c r="J77" s="329"/>
      <c r="K77" s="329"/>
      <c r="L77" s="329"/>
      <c r="M77" s="329"/>
      <c r="N77" s="328"/>
      <c r="O77" s="328"/>
      <c r="P77" s="328"/>
      <c r="Q77" s="328"/>
      <c r="R77" s="328"/>
      <c r="S77" s="328"/>
      <c r="T77" s="328"/>
      <c r="U77" s="328"/>
      <c r="V77" s="329"/>
      <c r="W77" s="329"/>
      <c r="X77" s="329"/>
      <c r="Y77" s="329"/>
      <c r="Z77" s="578"/>
      <c r="AA77" s="578"/>
      <c r="AB77" s="578"/>
      <c r="AC77" s="578"/>
      <c r="AD77" s="328">
        <v>15</v>
      </c>
      <c r="AE77" s="328">
        <v>15</v>
      </c>
      <c r="AF77" s="328">
        <v>15</v>
      </c>
      <c r="AG77" s="328">
        <v>15</v>
      </c>
      <c r="AH77" s="526">
        <v>21</v>
      </c>
      <c r="AI77" s="526">
        <v>21</v>
      </c>
      <c r="AJ77" s="526">
        <v>21</v>
      </c>
      <c r="AK77" s="526">
        <v>21</v>
      </c>
      <c r="AL77" s="524">
        <v>28</v>
      </c>
      <c r="AM77" s="524">
        <v>28</v>
      </c>
      <c r="AN77" s="524">
        <v>28</v>
      </c>
      <c r="AO77" s="524">
        <v>28</v>
      </c>
      <c r="AP77" s="991">
        <v>43</v>
      </c>
      <c r="AQ77" s="993">
        <v>43</v>
      </c>
      <c r="AR77" s="994">
        <v>40</v>
      </c>
      <c r="AS77" s="993">
        <v>40</v>
      </c>
      <c r="AT77" s="971"/>
      <c r="AU77" s="970"/>
      <c r="AV77" s="970"/>
      <c r="AW77" s="970"/>
    </row>
    <row r="78" spans="1:49" ht="24.95" customHeight="1" x14ac:dyDescent="0.2">
      <c r="A78" s="13">
        <v>325754001875</v>
      </c>
      <c r="B78" s="1" t="s">
        <v>0</v>
      </c>
      <c r="C78" s="126" t="s">
        <v>959</v>
      </c>
      <c r="D78" s="2" t="s">
        <v>123</v>
      </c>
      <c r="E78" s="2">
        <v>4</v>
      </c>
      <c r="F78" s="12">
        <v>9</v>
      </c>
      <c r="G78" s="12">
        <v>54</v>
      </c>
      <c r="H78" s="12">
        <v>51</v>
      </c>
      <c r="I78" s="12">
        <v>51</v>
      </c>
      <c r="J78" s="25">
        <v>8</v>
      </c>
      <c r="K78" s="25">
        <v>54</v>
      </c>
      <c r="L78" s="25">
        <v>51</v>
      </c>
      <c r="M78" s="25">
        <v>51</v>
      </c>
      <c r="N78" s="12">
        <v>6</v>
      </c>
      <c r="O78" s="12">
        <v>13</v>
      </c>
      <c r="P78" s="12">
        <v>12</v>
      </c>
      <c r="Q78" s="12">
        <v>12</v>
      </c>
      <c r="R78" s="12">
        <v>0</v>
      </c>
      <c r="S78" s="12">
        <v>57</v>
      </c>
      <c r="T78" s="12">
        <v>55</v>
      </c>
      <c r="U78" s="12">
        <v>54</v>
      </c>
      <c r="V78" s="25"/>
      <c r="W78" s="25"/>
      <c r="X78" s="25"/>
      <c r="Y78" s="25"/>
      <c r="Z78" s="577">
        <v>0</v>
      </c>
      <c r="AA78" s="577">
        <v>1</v>
      </c>
      <c r="AB78" s="577">
        <v>1</v>
      </c>
      <c r="AC78" s="577">
        <v>1</v>
      </c>
      <c r="AD78" s="495"/>
      <c r="AE78" s="495"/>
      <c r="AF78" s="495"/>
      <c r="AG78" s="495"/>
      <c r="AH78" s="495"/>
      <c r="AI78" s="495"/>
      <c r="AJ78" s="495"/>
      <c r="AK78" s="495"/>
      <c r="AL78" s="495"/>
      <c r="AM78" s="495"/>
      <c r="AN78" s="495"/>
      <c r="AO78" s="495"/>
      <c r="AP78" s="995">
        <v>0</v>
      </c>
      <c r="AQ78" s="996">
        <v>1</v>
      </c>
      <c r="AR78" s="996">
        <v>1</v>
      </c>
      <c r="AS78" s="996">
        <v>1</v>
      </c>
      <c r="AT78" s="704"/>
      <c r="AU78" s="921"/>
      <c r="AV78" s="921"/>
      <c r="AW78" s="921"/>
    </row>
    <row r="79" spans="1:49" ht="24.95" customHeight="1" x14ac:dyDescent="0.2">
      <c r="A79" s="13">
        <v>325754001221</v>
      </c>
      <c r="B79" s="1" t="s">
        <v>0</v>
      </c>
      <c r="C79" s="126" t="s">
        <v>94</v>
      </c>
      <c r="D79" s="2" t="s">
        <v>123</v>
      </c>
      <c r="E79" s="2">
        <v>6</v>
      </c>
      <c r="F79" s="12">
        <v>14</v>
      </c>
      <c r="G79" s="12">
        <v>16</v>
      </c>
      <c r="H79" s="12">
        <v>15</v>
      </c>
      <c r="I79" s="12">
        <v>15</v>
      </c>
      <c r="J79" s="25">
        <v>7</v>
      </c>
      <c r="K79" s="25">
        <v>7</v>
      </c>
      <c r="L79" s="25">
        <v>7</v>
      </c>
      <c r="M79" s="25">
        <v>7</v>
      </c>
      <c r="N79" s="12">
        <v>11</v>
      </c>
      <c r="O79" s="12">
        <v>10</v>
      </c>
      <c r="P79" s="12">
        <v>10</v>
      </c>
      <c r="Q79" s="12">
        <v>8</v>
      </c>
      <c r="R79" s="12">
        <v>13</v>
      </c>
      <c r="S79" s="12">
        <v>13</v>
      </c>
      <c r="T79" s="12">
        <v>13</v>
      </c>
      <c r="U79" s="12">
        <v>11</v>
      </c>
      <c r="V79" s="25">
        <v>19</v>
      </c>
      <c r="W79" s="25">
        <v>15</v>
      </c>
      <c r="X79" s="25">
        <v>15</v>
      </c>
      <c r="Y79" s="25">
        <v>15</v>
      </c>
      <c r="Z79" s="577">
        <v>14</v>
      </c>
      <c r="AA79" s="577">
        <v>17</v>
      </c>
      <c r="AB79" s="577">
        <v>17</v>
      </c>
      <c r="AC79" s="577">
        <v>17</v>
      </c>
      <c r="AD79" s="328">
        <v>37</v>
      </c>
      <c r="AE79" s="328">
        <v>24</v>
      </c>
      <c r="AF79" s="328">
        <v>23</v>
      </c>
      <c r="AG79" s="328">
        <v>23</v>
      </c>
      <c r="AH79" s="526">
        <v>22</v>
      </c>
      <c r="AI79" s="526">
        <v>22</v>
      </c>
      <c r="AJ79" s="526">
        <v>21</v>
      </c>
      <c r="AK79" s="526">
        <v>21</v>
      </c>
      <c r="AL79" s="524">
        <v>36</v>
      </c>
      <c r="AM79" s="524">
        <v>32</v>
      </c>
      <c r="AN79" s="524">
        <v>29</v>
      </c>
      <c r="AO79" s="524">
        <v>29</v>
      </c>
      <c r="AP79" s="991">
        <v>42</v>
      </c>
      <c r="AQ79" s="993">
        <v>47</v>
      </c>
      <c r="AR79" s="994">
        <v>41</v>
      </c>
      <c r="AS79" s="993">
        <v>41</v>
      </c>
      <c r="AT79" s="971"/>
      <c r="AU79" s="970"/>
      <c r="AV79" s="970"/>
      <c r="AW79" s="970"/>
    </row>
    <row r="80" spans="1:49" ht="24.95" customHeight="1" x14ac:dyDescent="0.2">
      <c r="A80" s="13">
        <v>325754003169</v>
      </c>
      <c r="B80" s="1" t="s">
        <v>0</v>
      </c>
      <c r="C80" s="126" t="s">
        <v>132</v>
      </c>
      <c r="D80" s="2" t="s">
        <v>123</v>
      </c>
      <c r="E80" s="2">
        <v>2</v>
      </c>
      <c r="F80" s="12"/>
      <c r="G80" s="12"/>
      <c r="H80" s="495"/>
      <c r="I80" s="495"/>
      <c r="J80" s="25">
        <v>23</v>
      </c>
      <c r="K80" s="25">
        <v>24</v>
      </c>
      <c r="L80" s="25">
        <v>24</v>
      </c>
      <c r="M80" s="25">
        <v>24</v>
      </c>
      <c r="N80" s="12">
        <v>15</v>
      </c>
      <c r="O80" s="12">
        <v>14</v>
      </c>
      <c r="P80" s="12">
        <v>14</v>
      </c>
      <c r="Q80" s="12">
        <v>14</v>
      </c>
      <c r="R80" s="12">
        <v>17</v>
      </c>
      <c r="S80" s="12">
        <v>17</v>
      </c>
      <c r="T80" s="12">
        <v>17</v>
      </c>
      <c r="U80" s="12">
        <v>16</v>
      </c>
      <c r="V80" s="25">
        <v>19</v>
      </c>
      <c r="W80" s="25">
        <v>19</v>
      </c>
      <c r="X80" s="25">
        <v>19</v>
      </c>
      <c r="Y80" s="25">
        <v>19</v>
      </c>
      <c r="Z80" s="577">
        <v>20</v>
      </c>
      <c r="AA80" s="577">
        <v>20</v>
      </c>
      <c r="AB80" s="577">
        <v>20</v>
      </c>
      <c r="AC80" s="577">
        <v>20</v>
      </c>
      <c r="AD80" s="328">
        <v>28</v>
      </c>
      <c r="AE80" s="328">
        <v>28</v>
      </c>
      <c r="AF80" s="328">
        <v>28</v>
      </c>
      <c r="AG80" s="328">
        <v>28</v>
      </c>
      <c r="AH80" s="526">
        <v>32</v>
      </c>
      <c r="AI80" s="526">
        <v>32</v>
      </c>
      <c r="AJ80" s="526">
        <v>32</v>
      </c>
      <c r="AK80" s="526">
        <v>32</v>
      </c>
      <c r="AL80" s="524">
        <v>21</v>
      </c>
      <c r="AM80" s="524">
        <v>21</v>
      </c>
      <c r="AN80" s="524">
        <v>21</v>
      </c>
      <c r="AO80" s="524">
        <v>21</v>
      </c>
      <c r="AP80" s="991">
        <v>28</v>
      </c>
      <c r="AQ80" s="993">
        <v>28</v>
      </c>
      <c r="AR80" s="994">
        <v>28</v>
      </c>
      <c r="AS80" s="993">
        <v>28</v>
      </c>
      <c r="AT80" s="971"/>
      <c r="AU80" s="970"/>
      <c r="AV80" s="970"/>
      <c r="AW80" s="970"/>
    </row>
    <row r="81" spans="1:49" ht="24.95" customHeight="1" x14ac:dyDescent="0.2">
      <c r="A81" s="13">
        <v>325754001212</v>
      </c>
      <c r="B81" s="1" t="s">
        <v>0</v>
      </c>
      <c r="C81" s="126" t="s">
        <v>30</v>
      </c>
      <c r="D81" s="2" t="s">
        <v>123</v>
      </c>
      <c r="E81" s="2">
        <v>6</v>
      </c>
      <c r="F81" s="12">
        <v>34</v>
      </c>
      <c r="G81" s="12">
        <v>33</v>
      </c>
      <c r="H81" s="12">
        <v>33</v>
      </c>
      <c r="I81" s="12">
        <v>33</v>
      </c>
      <c r="J81" s="25">
        <v>24</v>
      </c>
      <c r="K81" s="25">
        <v>24</v>
      </c>
      <c r="L81" s="25">
        <v>24</v>
      </c>
      <c r="M81" s="25">
        <v>24</v>
      </c>
      <c r="N81" s="12">
        <v>38</v>
      </c>
      <c r="O81" s="12">
        <v>37</v>
      </c>
      <c r="P81" s="12">
        <v>37</v>
      </c>
      <c r="Q81" s="12">
        <v>36</v>
      </c>
      <c r="R81" s="12">
        <v>30</v>
      </c>
      <c r="S81" s="12">
        <v>31</v>
      </c>
      <c r="T81" s="12">
        <v>30</v>
      </c>
      <c r="U81" s="12">
        <v>29</v>
      </c>
      <c r="V81" s="25">
        <v>26</v>
      </c>
      <c r="W81" s="25">
        <v>26</v>
      </c>
      <c r="X81" s="25">
        <v>26</v>
      </c>
      <c r="Y81" s="25">
        <v>26</v>
      </c>
      <c r="Z81" s="577">
        <v>35</v>
      </c>
      <c r="AA81" s="577">
        <v>44</v>
      </c>
      <c r="AB81" s="577">
        <v>44</v>
      </c>
      <c r="AC81" s="577">
        <v>44</v>
      </c>
      <c r="AD81" s="328">
        <v>29</v>
      </c>
      <c r="AE81" s="328">
        <v>29</v>
      </c>
      <c r="AF81" s="328">
        <v>29</v>
      </c>
      <c r="AG81" s="328">
        <v>29</v>
      </c>
      <c r="AH81" s="526">
        <v>37</v>
      </c>
      <c r="AI81" s="526">
        <v>37</v>
      </c>
      <c r="AJ81" s="526">
        <v>36</v>
      </c>
      <c r="AK81" s="526">
        <v>36</v>
      </c>
      <c r="AL81" s="524">
        <v>35</v>
      </c>
      <c r="AM81" s="524">
        <v>35</v>
      </c>
      <c r="AN81" s="524">
        <v>34</v>
      </c>
      <c r="AO81" s="524">
        <v>34</v>
      </c>
      <c r="AP81" s="991">
        <v>21</v>
      </c>
      <c r="AQ81" s="993">
        <v>22</v>
      </c>
      <c r="AR81" s="994">
        <v>22</v>
      </c>
      <c r="AS81" s="993">
        <v>22</v>
      </c>
      <c r="AT81" s="971"/>
      <c r="AU81" s="970"/>
      <c r="AV81" s="970"/>
      <c r="AW81" s="970"/>
    </row>
    <row r="82" spans="1:49" ht="24.95" customHeight="1" x14ac:dyDescent="0.2">
      <c r="A82" s="858">
        <v>325754004335</v>
      </c>
      <c r="B82" s="310" t="s">
        <v>0</v>
      </c>
      <c r="C82" s="759" t="s">
        <v>800</v>
      </c>
      <c r="D82" s="35" t="s">
        <v>123</v>
      </c>
      <c r="E82" s="309">
        <v>3</v>
      </c>
      <c r="F82" s="328"/>
      <c r="G82" s="328"/>
      <c r="H82" s="328"/>
      <c r="I82" s="328"/>
      <c r="J82" s="329"/>
      <c r="K82" s="329"/>
      <c r="L82" s="329"/>
      <c r="M82" s="329"/>
      <c r="N82" s="328"/>
      <c r="O82" s="328"/>
      <c r="P82" s="328"/>
      <c r="Q82" s="328"/>
      <c r="R82" s="328"/>
      <c r="S82" s="328"/>
      <c r="T82" s="328"/>
      <c r="U82" s="328"/>
      <c r="V82" s="329"/>
      <c r="W82" s="329"/>
      <c r="X82" s="329"/>
      <c r="Y82" s="329"/>
      <c r="Z82" s="578"/>
      <c r="AA82" s="578"/>
      <c r="AB82" s="578"/>
      <c r="AC82" s="578"/>
      <c r="AD82" s="328">
        <v>16</v>
      </c>
      <c r="AE82" s="328">
        <v>16</v>
      </c>
      <c r="AF82" s="328">
        <v>16</v>
      </c>
      <c r="AG82" s="328">
        <v>16</v>
      </c>
      <c r="AH82" s="526">
        <v>20</v>
      </c>
      <c r="AI82" s="526">
        <v>20</v>
      </c>
      <c r="AJ82" s="526">
        <v>20</v>
      </c>
      <c r="AK82" s="526">
        <v>20</v>
      </c>
      <c r="AL82" s="524">
        <v>20</v>
      </c>
      <c r="AM82" s="524">
        <v>20</v>
      </c>
      <c r="AN82" s="524">
        <v>20</v>
      </c>
      <c r="AO82" s="524">
        <v>20</v>
      </c>
      <c r="AP82" s="991">
        <v>18</v>
      </c>
      <c r="AQ82" s="993">
        <v>18</v>
      </c>
      <c r="AR82" s="994">
        <v>17</v>
      </c>
      <c r="AS82" s="993">
        <v>17</v>
      </c>
      <c r="AT82" s="971"/>
      <c r="AU82" s="970"/>
      <c r="AV82" s="970"/>
      <c r="AW82" s="970"/>
    </row>
    <row r="83" spans="1:49" ht="24.95" customHeight="1" x14ac:dyDescent="0.2">
      <c r="A83" s="858">
        <v>325754004927</v>
      </c>
      <c r="B83" s="310" t="s">
        <v>0</v>
      </c>
      <c r="C83" s="814" t="s">
        <v>956</v>
      </c>
      <c r="D83" s="35" t="s">
        <v>123</v>
      </c>
      <c r="E83" s="813"/>
      <c r="F83" s="813"/>
      <c r="G83" s="813"/>
      <c r="H83" s="813"/>
      <c r="I83" s="813"/>
      <c r="J83" s="813"/>
      <c r="K83" s="813"/>
      <c r="L83" s="813"/>
      <c r="M83" s="813"/>
      <c r="N83" s="813"/>
      <c r="O83" s="813"/>
      <c r="P83" s="813"/>
      <c r="Q83" s="813"/>
      <c r="R83" s="813"/>
      <c r="S83" s="813"/>
      <c r="T83" s="813"/>
      <c r="U83" s="813"/>
      <c r="V83" s="813"/>
      <c r="W83" s="813"/>
      <c r="X83" s="813"/>
      <c r="Y83" s="813"/>
      <c r="Z83" s="813"/>
      <c r="AA83" s="813"/>
      <c r="AB83" s="813"/>
      <c r="AC83" s="813"/>
      <c r="AD83" s="813"/>
      <c r="AE83" s="813"/>
      <c r="AF83" s="813"/>
      <c r="AG83" s="813"/>
      <c r="AH83" s="813"/>
      <c r="AI83" s="813"/>
      <c r="AJ83" s="813"/>
      <c r="AK83" s="813"/>
      <c r="AL83" s="813"/>
      <c r="AM83" s="813"/>
      <c r="AN83" s="813"/>
      <c r="AO83" s="813"/>
      <c r="AP83" s="991"/>
      <c r="AQ83" s="993"/>
      <c r="AR83" s="994"/>
      <c r="AS83" s="993"/>
      <c r="AT83" s="971"/>
      <c r="AU83" s="970"/>
      <c r="AV83" s="970"/>
      <c r="AW83" s="970"/>
    </row>
    <row r="84" spans="1:49" ht="24.95" customHeight="1" x14ac:dyDescent="0.2">
      <c r="A84" s="13">
        <v>325754003509</v>
      </c>
      <c r="B84" s="1" t="s">
        <v>0</v>
      </c>
      <c r="C84" s="126" t="s">
        <v>63</v>
      </c>
      <c r="D84" s="2" t="s">
        <v>123</v>
      </c>
      <c r="E84" s="2">
        <v>6</v>
      </c>
      <c r="F84" s="12">
        <v>15</v>
      </c>
      <c r="G84" s="12">
        <v>15</v>
      </c>
      <c r="H84" s="12">
        <v>15</v>
      </c>
      <c r="I84" s="12">
        <v>15</v>
      </c>
      <c r="J84" s="25">
        <v>18</v>
      </c>
      <c r="K84" s="25">
        <v>18</v>
      </c>
      <c r="L84" s="25">
        <v>17</v>
      </c>
      <c r="M84" s="25">
        <v>17</v>
      </c>
      <c r="N84" s="12">
        <v>11</v>
      </c>
      <c r="O84" s="12">
        <v>11</v>
      </c>
      <c r="P84" s="12">
        <v>11</v>
      </c>
      <c r="Q84" s="12">
        <v>11</v>
      </c>
      <c r="R84" s="12">
        <v>16</v>
      </c>
      <c r="S84" s="12">
        <v>16</v>
      </c>
      <c r="T84" s="12">
        <v>16</v>
      </c>
      <c r="U84" s="12">
        <v>16</v>
      </c>
      <c r="V84" s="25">
        <v>19</v>
      </c>
      <c r="W84" s="25">
        <v>19</v>
      </c>
      <c r="X84" s="25">
        <v>19</v>
      </c>
      <c r="Y84" s="25">
        <v>19</v>
      </c>
      <c r="Z84" s="577">
        <v>13</v>
      </c>
      <c r="AA84" s="577">
        <v>13</v>
      </c>
      <c r="AB84" s="577">
        <v>13</v>
      </c>
      <c r="AC84" s="577">
        <v>13</v>
      </c>
      <c r="AD84" s="328">
        <v>12</v>
      </c>
      <c r="AE84" s="328">
        <v>10</v>
      </c>
      <c r="AF84" s="328">
        <v>10</v>
      </c>
      <c r="AG84" s="328">
        <v>10</v>
      </c>
      <c r="AH84" s="526">
        <v>10</v>
      </c>
      <c r="AI84" s="526">
        <v>10</v>
      </c>
      <c r="AJ84" s="526">
        <v>10</v>
      </c>
      <c r="AK84" s="526">
        <v>10</v>
      </c>
      <c r="AL84" s="526"/>
      <c r="AM84" s="526"/>
      <c r="AN84" s="526"/>
      <c r="AO84" s="526"/>
      <c r="AP84" s="991"/>
      <c r="AQ84" s="993"/>
      <c r="AR84" s="994"/>
      <c r="AS84" s="993"/>
      <c r="AT84" s="971"/>
      <c r="AU84" s="970"/>
      <c r="AV84" s="970"/>
      <c r="AW84" s="970"/>
    </row>
    <row r="85" spans="1:49" ht="24.95" customHeight="1" x14ac:dyDescent="0.2">
      <c r="A85" s="13">
        <v>325754004971</v>
      </c>
      <c r="B85" s="1" t="s">
        <v>0</v>
      </c>
      <c r="C85" s="126" t="s">
        <v>949</v>
      </c>
      <c r="D85" s="2" t="s">
        <v>123</v>
      </c>
      <c r="E85" s="12"/>
      <c r="F85" s="12"/>
      <c r="G85" s="12"/>
      <c r="H85" s="12"/>
      <c r="I85" s="12"/>
      <c r="J85" s="12"/>
      <c r="K85" s="12"/>
      <c r="L85" s="12"/>
      <c r="M85" s="12"/>
      <c r="N85" s="12"/>
      <c r="O85" s="12"/>
      <c r="P85" s="12"/>
      <c r="Q85" s="12"/>
      <c r="R85" s="12"/>
      <c r="S85" s="12"/>
      <c r="T85" s="12"/>
      <c r="U85" s="12"/>
      <c r="V85" s="12"/>
      <c r="W85" s="12"/>
      <c r="X85" s="12"/>
      <c r="Y85" s="12"/>
      <c r="Z85" s="254"/>
      <c r="AA85" s="254"/>
      <c r="AB85" s="254"/>
      <c r="AC85" s="254"/>
      <c r="AD85" s="328"/>
      <c r="AE85" s="328"/>
      <c r="AF85" s="328"/>
      <c r="AG85" s="328"/>
      <c r="AH85" s="612"/>
      <c r="AI85" s="612"/>
      <c r="AJ85" s="612"/>
      <c r="AK85" s="612"/>
      <c r="AL85" s="524">
        <v>3</v>
      </c>
      <c r="AM85" s="524">
        <v>3</v>
      </c>
      <c r="AN85" s="524">
        <v>3</v>
      </c>
      <c r="AO85" s="524">
        <v>3</v>
      </c>
      <c r="AP85" s="991"/>
      <c r="AQ85" s="993"/>
      <c r="AR85" s="994"/>
      <c r="AS85" s="993"/>
      <c r="AT85" s="971"/>
      <c r="AU85" s="970"/>
      <c r="AV85" s="970"/>
      <c r="AW85" s="970"/>
    </row>
    <row r="86" spans="1:49" ht="24.95" customHeight="1" x14ac:dyDescent="0.2">
      <c r="A86" s="13">
        <v>325754001859</v>
      </c>
      <c r="B86" s="1" t="s">
        <v>0</v>
      </c>
      <c r="C86" s="126" t="s">
        <v>28</v>
      </c>
      <c r="D86" s="2" t="s">
        <v>123</v>
      </c>
      <c r="E86" s="2">
        <v>6</v>
      </c>
      <c r="F86" s="12">
        <v>39</v>
      </c>
      <c r="G86" s="12">
        <v>37</v>
      </c>
      <c r="H86" s="12">
        <v>37</v>
      </c>
      <c r="I86" s="12">
        <v>37</v>
      </c>
      <c r="J86" s="25">
        <v>32</v>
      </c>
      <c r="K86" s="25">
        <v>32</v>
      </c>
      <c r="L86" s="25">
        <v>32</v>
      </c>
      <c r="M86" s="25">
        <v>31</v>
      </c>
      <c r="N86" s="12">
        <v>49</v>
      </c>
      <c r="O86" s="12">
        <v>49</v>
      </c>
      <c r="P86" s="12">
        <v>49</v>
      </c>
      <c r="Q86" s="12">
        <v>47</v>
      </c>
      <c r="R86" s="12">
        <v>57</v>
      </c>
      <c r="S86" s="12">
        <v>57</v>
      </c>
      <c r="T86" s="12">
        <v>57</v>
      </c>
      <c r="U86" s="12">
        <v>56</v>
      </c>
      <c r="V86" s="25">
        <v>76</v>
      </c>
      <c r="W86" s="25">
        <v>75</v>
      </c>
      <c r="X86" s="25">
        <v>75</v>
      </c>
      <c r="Y86" s="25">
        <v>75</v>
      </c>
      <c r="Z86" s="577">
        <v>77</v>
      </c>
      <c r="AA86" s="577">
        <v>74</v>
      </c>
      <c r="AB86" s="577">
        <v>74</v>
      </c>
      <c r="AC86" s="577">
        <v>74</v>
      </c>
      <c r="AD86" s="328">
        <v>72</v>
      </c>
      <c r="AE86" s="328">
        <v>72</v>
      </c>
      <c r="AF86" s="328">
        <v>70</v>
      </c>
      <c r="AG86" s="328">
        <v>70</v>
      </c>
      <c r="AH86" s="526">
        <v>86</v>
      </c>
      <c r="AI86" s="526">
        <v>86</v>
      </c>
      <c r="AJ86" s="526">
        <v>85</v>
      </c>
      <c r="AK86" s="526">
        <v>85</v>
      </c>
      <c r="AL86" s="524">
        <v>56</v>
      </c>
      <c r="AM86" s="524">
        <v>56</v>
      </c>
      <c r="AN86" s="524">
        <v>56</v>
      </c>
      <c r="AO86" s="524">
        <v>56</v>
      </c>
      <c r="AP86" s="991">
        <v>59</v>
      </c>
      <c r="AQ86" s="993">
        <v>59</v>
      </c>
      <c r="AR86" s="994">
        <v>57</v>
      </c>
      <c r="AS86" s="993">
        <v>57</v>
      </c>
      <c r="AT86" s="971"/>
      <c r="AU86" s="970"/>
      <c r="AV86" s="970"/>
      <c r="AW86" s="970"/>
    </row>
    <row r="87" spans="1:49" ht="24.95" customHeight="1" x14ac:dyDescent="0.2">
      <c r="A87" s="13">
        <v>325754002782</v>
      </c>
      <c r="B87" s="1" t="s">
        <v>0</v>
      </c>
      <c r="C87" s="126" t="s">
        <v>101</v>
      </c>
      <c r="D87" s="2" t="s">
        <v>123</v>
      </c>
      <c r="E87" s="2">
        <v>3</v>
      </c>
      <c r="F87" s="12">
        <v>24</v>
      </c>
      <c r="G87" s="12">
        <v>24</v>
      </c>
      <c r="H87" s="12">
        <v>23</v>
      </c>
      <c r="I87" s="12">
        <v>23</v>
      </c>
      <c r="J87" s="25">
        <v>24</v>
      </c>
      <c r="K87" s="25">
        <v>24</v>
      </c>
      <c r="L87" s="25">
        <v>24</v>
      </c>
      <c r="M87" s="25">
        <v>24</v>
      </c>
      <c r="N87" s="12">
        <v>18</v>
      </c>
      <c r="O87" s="12">
        <v>18</v>
      </c>
      <c r="P87" s="12">
        <v>18</v>
      </c>
      <c r="Q87" s="12">
        <v>18</v>
      </c>
      <c r="R87" s="12">
        <v>24</v>
      </c>
      <c r="S87" s="12">
        <v>23</v>
      </c>
      <c r="T87" s="12">
        <v>22</v>
      </c>
      <c r="U87" s="12">
        <v>18</v>
      </c>
      <c r="V87" s="25">
        <v>25</v>
      </c>
      <c r="W87" s="25">
        <v>21</v>
      </c>
      <c r="X87" s="25">
        <v>21</v>
      </c>
      <c r="Y87" s="25">
        <v>21</v>
      </c>
      <c r="Z87" s="577">
        <v>32</v>
      </c>
      <c r="AA87" s="577">
        <v>32</v>
      </c>
      <c r="AB87" s="577">
        <v>32</v>
      </c>
      <c r="AC87" s="577">
        <v>32</v>
      </c>
      <c r="AD87" s="328">
        <v>19</v>
      </c>
      <c r="AE87" s="328">
        <v>16</v>
      </c>
      <c r="AF87" s="328">
        <v>16</v>
      </c>
      <c r="AG87" s="328">
        <v>16</v>
      </c>
      <c r="AH87" s="526">
        <v>12</v>
      </c>
      <c r="AI87" s="526">
        <v>14</v>
      </c>
      <c r="AJ87" s="526">
        <v>14</v>
      </c>
      <c r="AK87" s="526">
        <v>14</v>
      </c>
      <c r="AL87" s="524">
        <v>24</v>
      </c>
      <c r="AM87" s="524">
        <v>23</v>
      </c>
      <c r="AN87" s="524">
        <v>23</v>
      </c>
      <c r="AO87" s="524">
        <v>23</v>
      </c>
      <c r="AP87" s="991">
        <v>17</v>
      </c>
      <c r="AQ87" s="993">
        <v>24</v>
      </c>
      <c r="AR87" s="994">
        <v>24</v>
      </c>
      <c r="AS87" s="993">
        <v>24</v>
      </c>
      <c r="AT87" s="971"/>
      <c r="AU87" s="970"/>
      <c r="AV87" s="970"/>
      <c r="AW87" s="970"/>
    </row>
    <row r="88" spans="1:49" ht="24.95" customHeight="1" x14ac:dyDescent="0.2">
      <c r="A88" s="605">
        <v>325754000046</v>
      </c>
      <c r="B88" s="310" t="s">
        <v>0</v>
      </c>
      <c r="C88" s="555" t="s">
        <v>64</v>
      </c>
      <c r="D88" s="2" t="s">
        <v>123</v>
      </c>
      <c r="E88" s="309">
        <v>2</v>
      </c>
      <c r="F88" s="328">
        <v>69</v>
      </c>
      <c r="G88" s="328">
        <v>70</v>
      </c>
      <c r="H88" s="47">
        <v>69</v>
      </c>
      <c r="I88" s="47">
        <v>69</v>
      </c>
      <c r="J88" s="329">
        <v>77</v>
      </c>
      <c r="K88" s="329">
        <v>77</v>
      </c>
      <c r="L88" s="329">
        <v>77</v>
      </c>
      <c r="M88" s="329">
        <v>77</v>
      </c>
      <c r="N88" s="328">
        <v>50</v>
      </c>
      <c r="O88" s="328">
        <v>49</v>
      </c>
      <c r="P88" s="328">
        <v>49</v>
      </c>
      <c r="Q88" s="328">
        <v>49</v>
      </c>
      <c r="R88" s="328">
        <v>40</v>
      </c>
      <c r="S88" s="328">
        <v>40</v>
      </c>
      <c r="T88" s="328">
        <v>40</v>
      </c>
      <c r="U88" s="328">
        <v>40</v>
      </c>
      <c r="V88" s="329">
        <v>46</v>
      </c>
      <c r="W88" s="329">
        <v>42</v>
      </c>
      <c r="X88" s="329">
        <v>42</v>
      </c>
      <c r="Y88" s="329">
        <v>42</v>
      </c>
      <c r="Z88" s="578">
        <v>38</v>
      </c>
      <c r="AA88" s="578">
        <v>38</v>
      </c>
      <c r="AB88" s="578">
        <v>38</v>
      </c>
      <c r="AC88" s="578">
        <v>38</v>
      </c>
      <c r="AD88" s="328">
        <v>24</v>
      </c>
      <c r="AE88" s="328">
        <v>24</v>
      </c>
      <c r="AF88" s="328">
        <v>24</v>
      </c>
      <c r="AG88" s="328">
        <v>24</v>
      </c>
      <c r="AH88" s="526">
        <v>18</v>
      </c>
      <c r="AI88" s="526">
        <v>18</v>
      </c>
      <c r="AJ88" s="526">
        <v>18</v>
      </c>
      <c r="AK88" s="526">
        <v>18</v>
      </c>
      <c r="AL88" s="612">
        <v>28</v>
      </c>
      <c r="AM88" s="612">
        <v>28</v>
      </c>
      <c r="AN88" s="612">
        <v>28</v>
      </c>
      <c r="AO88" s="612">
        <v>28</v>
      </c>
      <c r="AP88" s="991">
        <v>25</v>
      </c>
      <c r="AQ88" s="993">
        <v>25</v>
      </c>
      <c r="AR88" s="994">
        <v>25</v>
      </c>
      <c r="AS88" s="993">
        <v>25</v>
      </c>
      <c r="AT88" s="971"/>
      <c r="AU88" s="970"/>
      <c r="AV88" s="970"/>
      <c r="AW88" s="970"/>
    </row>
    <row r="89" spans="1:49" ht="24.95" customHeight="1" x14ac:dyDescent="0.2">
      <c r="A89" s="13">
        <v>325754005358</v>
      </c>
      <c r="B89" s="1" t="s">
        <v>0</v>
      </c>
      <c r="C89" s="760" t="s">
        <v>801</v>
      </c>
      <c r="D89" s="35" t="s">
        <v>123</v>
      </c>
      <c r="E89" s="2">
        <v>6</v>
      </c>
      <c r="F89" s="12"/>
      <c r="G89" s="12"/>
      <c r="H89" s="47"/>
      <c r="I89" s="47"/>
      <c r="J89" s="25"/>
      <c r="K89" s="25"/>
      <c r="L89" s="25"/>
      <c r="M89" s="25"/>
      <c r="N89" s="12"/>
      <c r="O89" s="12"/>
      <c r="P89" s="12"/>
      <c r="Q89" s="12"/>
      <c r="R89" s="12"/>
      <c r="S89" s="12"/>
      <c r="T89" s="12"/>
      <c r="U89" s="12"/>
      <c r="V89" s="25"/>
      <c r="W89" s="25"/>
      <c r="X89" s="25"/>
      <c r="Y89" s="25"/>
      <c r="Z89" s="577"/>
      <c r="AA89" s="577"/>
      <c r="AB89" s="577"/>
      <c r="AC89" s="577"/>
      <c r="AD89" s="328">
        <v>0</v>
      </c>
      <c r="AE89" s="328">
        <v>18</v>
      </c>
      <c r="AF89" s="328">
        <v>17</v>
      </c>
      <c r="AG89" s="328">
        <v>17</v>
      </c>
      <c r="AH89" s="526">
        <v>0</v>
      </c>
      <c r="AI89" s="526">
        <v>1</v>
      </c>
      <c r="AJ89" s="526">
        <v>1</v>
      </c>
      <c r="AK89" s="526">
        <v>1</v>
      </c>
      <c r="AL89" s="613"/>
      <c r="AM89" s="613"/>
      <c r="AN89" s="613"/>
      <c r="AO89" s="613"/>
      <c r="AP89" s="991"/>
      <c r="AQ89" s="993"/>
      <c r="AR89" s="994"/>
      <c r="AS89" s="993"/>
      <c r="AT89" s="971"/>
      <c r="AU89" s="970"/>
      <c r="AV89" s="970"/>
      <c r="AW89" s="970"/>
    </row>
    <row r="90" spans="1:49" ht="24.95" customHeight="1" x14ac:dyDescent="0.2">
      <c r="A90" s="858">
        <v>325754800018</v>
      </c>
      <c r="B90" s="1" t="s">
        <v>0</v>
      </c>
      <c r="C90" s="36" t="s">
        <v>162</v>
      </c>
      <c r="D90" s="2" t="s">
        <v>123</v>
      </c>
      <c r="E90" s="2">
        <v>3</v>
      </c>
      <c r="F90" s="12"/>
      <c r="G90" s="12"/>
      <c r="H90" s="495"/>
      <c r="I90" s="495"/>
      <c r="J90" s="25"/>
      <c r="K90" s="25"/>
      <c r="L90" s="25"/>
      <c r="M90" s="25"/>
      <c r="N90" s="12"/>
      <c r="O90" s="12"/>
      <c r="P90" s="12"/>
      <c r="Q90" s="12"/>
      <c r="R90" s="12"/>
      <c r="S90" s="12"/>
      <c r="T90" s="12"/>
      <c r="U90" s="12"/>
      <c r="V90" s="25">
        <v>9</v>
      </c>
      <c r="W90" s="25">
        <v>9</v>
      </c>
      <c r="X90" s="25">
        <v>8</v>
      </c>
      <c r="Y90" s="25">
        <v>8</v>
      </c>
      <c r="Z90" s="579">
        <v>9</v>
      </c>
      <c r="AA90" s="579">
        <v>9</v>
      </c>
      <c r="AB90" s="579">
        <v>9</v>
      </c>
      <c r="AC90" s="579">
        <v>9</v>
      </c>
      <c r="AD90" s="47">
        <v>18</v>
      </c>
      <c r="AE90" s="47">
        <v>18</v>
      </c>
      <c r="AF90" s="47">
        <v>18</v>
      </c>
      <c r="AG90" s="47">
        <v>18</v>
      </c>
      <c r="AH90" s="615">
        <v>11</v>
      </c>
      <c r="AI90" s="615">
        <v>10</v>
      </c>
      <c r="AJ90" s="615">
        <v>10</v>
      </c>
      <c r="AK90" s="615">
        <v>10</v>
      </c>
      <c r="AL90" s="47">
        <v>18</v>
      </c>
      <c r="AM90" s="47">
        <v>18</v>
      </c>
      <c r="AN90" s="47">
        <v>18</v>
      </c>
      <c r="AO90" s="47">
        <v>18</v>
      </c>
      <c r="AP90" s="991">
        <v>24</v>
      </c>
      <c r="AQ90" s="993">
        <v>24</v>
      </c>
      <c r="AR90" s="994">
        <v>24</v>
      </c>
      <c r="AS90" s="993">
        <v>24</v>
      </c>
      <c r="AT90" s="971"/>
      <c r="AU90" s="970"/>
      <c r="AV90" s="970"/>
      <c r="AW90" s="970"/>
    </row>
    <row r="91" spans="1:49" ht="24.95" customHeight="1" x14ac:dyDescent="0.2">
      <c r="A91" s="858">
        <v>325754001972</v>
      </c>
      <c r="B91" s="1" t="s">
        <v>0</v>
      </c>
      <c r="C91" s="126" t="s">
        <v>134</v>
      </c>
      <c r="D91" s="2" t="s">
        <v>123</v>
      </c>
      <c r="E91" s="2">
        <v>5</v>
      </c>
      <c r="F91" s="12"/>
      <c r="G91" s="12"/>
      <c r="H91" s="607"/>
      <c r="I91" s="607"/>
      <c r="J91" s="25"/>
      <c r="K91" s="25"/>
      <c r="L91" s="25"/>
      <c r="M91" s="25"/>
      <c r="N91" s="12"/>
      <c r="O91" s="12"/>
      <c r="P91" s="12"/>
      <c r="Q91" s="12"/>
      <c r="R91" s="12">
        <v>14</v>
      </c>
      <c r="S91" s="12">
        <v>12</v>
      </c>
      <c r="T91" s="12">
        <v>12</v>
      </c>
      <c r="U91" s="12">
        <v>12</v>
      </c>
      <c r="V91" s="25"/>
      <c r="W91" s="25"/>
      <c r="X91" s="25"/>
      <c r="Y91" s="25"/>
      <c r="Z91" s="609"/>
      <c r="AA91" s="609"/>
      <c r="AB91" s="609"/>
      <c r="AC91" s="609"/>
      <c r="AD91" s="611"/>
      <c r="AE91" s="611"/>
      <c r="AF91" s="611"/>
      <c r="AG91" s="611"/>
      <c r="AH91" s="614"/>
      <c r="AI91" s="614"/>
      <c r="AJ91" s="614"/>
      <c r="AK91" s="614"/>
      <c r="AL91" s="616"/>
      <c r="AM91" s="616"/>
      <c r="AN91" s="616"/>
      <c r="AO91" s="616"/>
      <c r="AP91" s="991"/>
      <c r="AQ91" s="993"/>
      <c r="AR91" s="994"/>
      <c r="AS91" s="993"/>
      <c r="AT91" s="971"/>
      <c r="AU91" s="970"/>
      <c r="AV91" s="970"/>
      <c r="AW91" s="970"/>
    </row>
    <row r="92" spans="1:49" ht="24.95" customHeight="1" x14ac:dyDescent="0.2">
      <c r="A92" s="13">
        <v>325754001450</v>
      </c>
      <c r="B92" s="1" t="s">
        <v>0</v>
      </c>
      <c r="C92" s="126" t="s">
        <v>86</v>
      </c>
      <c r="D92" s="2" t="s">
        <v>123</v>
      </c>
      <c r="E92" s="2">
        <v>2</v>
      </c>
      <c r="F92" s="12">
        <v>28</v>
      </c>
      <c r="G92" s="12">
        <v>30</v>
      </c>
      <c r="H92" s="12">
        <v>29</v>
      </c>
      <c r="I92" s="12">
        <v>29</v>
      </c>
      <c r="J92" s="25">
        <v>26</v>
      </c>
      <c r="K92" s="25">
        <v>32</v>
      </c>
      <c r="L92" s="25">
        <v>32</v>
      </c>
      <c r="M92" s="25">
        <v>30</v>
      </c>
      <c r="N92" s="12">
        <v>34</v>
      </c>
      <c r="O92" s="12">
        <v>34</v>
      </c>
      <c r="P92" s="12">
        <v>34</v>
      </c>
      <c r="Q92" s="12">
        <v>34</v>
      </c>
      <c r="R92" s="12">
        <v>26</v>
      </c>
      <c r="S92" s="12">
        <v>28</v>
      </c>
      <c r="T92" s="12">
        <v>28</v>
      </c>
      <c r="U92" s="12">
        <v>27</v>
      </c>
      <c r="V92" s="25">
        <v>36</v>
      </c>
      <c r="W92" s="25">
        <v>36</v>
      </c>
      <c r="X92" s="25">
        <v>35</v>
      </c>
      <c r="Y92" s="25">
        <v>35</v>
      </c>
      <c r="Z92" s="577">
        <v>60</v>
      </c>
      <c r="AA92" s="577">
        <v>61</v>
      </c>
      <c r="AB92" s="577">
        <v>61</v>
      </c>
      <c r="AC92" s="577">
        <v>61</v>
      </c>
      <c r="AD92" s="328">
        <v>50</v>
      </c>
      <c r="AE92" s="328">
        <v>52</v>
      </c>
      <c r="AF92" s="328">
        <v>52</v>
      </c>
      <c r="AG92" s="328">
        <v>52</v>
      </c>
      <c r="AH92" s="526">
        <v>33</v>
      </c>
      <c r="AI92" s="526">
        <v>34</v>
      </c>
      <c r="AJ92" s="526">
        <v>34</v>
      </c>
      <c r="AK92" s="526">
        <v>34</v>
      </c>
      <c r="AL92" s="524">
        <v>39</v>
      </c>
      <c r="AM92" s="524">
        <v>30</v>
      </c>
      <c r="AN92" s="524">
        <v>30</v>
      </c>
      <c r="AO92" s="524">
        <v>30</v>
      </c>
      <c r="AP92" s="991">
        <v>38</v>
      </c>
      <c r="AQ92" s="993">
        <v>38</v>
      </c>
      <c r="AR92" s="994">
        <v>37</v>
      </c>
      <c r="AS92" s="993">
        <v>37</v>
      </c>
      <c r="AT92" s="971"/>
      <c r="AU92" s="970"/>
      <c r="AV92" s="970"/>
      <c r="AW92" s="970"/>
    </row>
    <row r="93" spans="1:49" ht="24.95" customHeight="1" x14ac:dyDescent="0.2">
      <c r="A93" s="13">
        <v>325754004521</v>
      </c>
      <c r="B93" s="1" t="s">
        <v>0</v>
      </c>
      <c r="C93" s="126" t="s">
        <v>77</v>
      </c>
      <c r="D93" s="2" t="s">
        <v>123</v>
      </c>
      <c r="E93" s="2">
        <v>4</v>
      </c>
      <c r="F93" s="12">
        <v>25</v>
      </c>
      <c r="G93" s="12">
        <v>26</v>
      </c>
      <c r="H93" s="12">
        <v>26</v>
      </c>
      <c r="I93" s="12">
        <v>26</v>
      </c>
      <c r="J93" s="25">
        <v>37</v>
      </c>
      <c r="K93" s="25">
        <v>37</v>
      </c>
      <c r="L93" s="25">
        <v>37</v>
      </c>
      <c r="M93" s="25">
        <v>36</v>
      </c>
      <c r="N93" s="12">
        <v>37</v>
      </c>
      <c r="O93" s="12">
        <v>36</v>
      </c>
      <c r="P93" s="12">
        <v>36</v>
      </c>
      <c r="Q93" s="12">
        <v>36</v>
      </c>
      <c r="R93" s="12">
        <v>52</v>
      </c>
      <c r="S93" s="12">
        <v>51</v>
      </c>
      <c r="T93" s="12">
        <v>51</v>
      </c>
      <c r="U93" s="12">
        <v>50</v>
      </c>
      <c r="V93" s="25">
        <v>42</v>
      </c>
      <c r="W93" s="25">
        <v>41</v>
      </c>
      <c r="X93" s="25">
        <v>41</v>
      </c>
      <c r="Y93" s="25">
        <v>41</v>
      </c>
      <c r="Z93" s="577">
        <v>45</v>
      </c>
      <c r="AA93" s="577">
        <v>45</v>
      </c>
      <c r="AB93" s="577">
        <v>45</v>
      </c>
      <c r="AC93" s="577">
        <v>45</v>
      </c>
      <c r="AD93" s="328">
        <v>3</v>
      </c>
      <c r="AE93" s="328">
        <v>53</v>
      </c>
      <c r="AF93" s="328">
        <v>53</v>
      </c>
      <c r="AG93" s="328">
        <v>53</v>
      </c>
      <c r="AH93" s="526">
        <v>79</v>
      </c>
      <c r="AI93" s="526">
        <v>79</v>
      </c>
      <c r="AJ93" s="526">
        <v>79</v>
      </c>
      <c r="AK93" s="526">
        <v>79</v>
      </c>
      <c r="AL93" s="524">
        <v>80</v>
      </c>
      <c r="AM93" s="524">
        <v>80</v>
      </c>
      <c r="AN93" s="524">
        <v>80</v>
      </c>
      <c r="AO93" s="524">
        <v>80</v>
      </c>
      <c r="AP93" s="991">
        <v>58</v>
      </c>
      <c r="AQ93" s="993">
        <v>57</v>
      </c>
      <c r="AR93" s="994">
        <v>56</v>
      </c>
      <c r="AS93" s="993">
        <v>56</v>
      </c>
      <c r="AT93" s="971"/>
      <c r="AU93" s="970"/>
      <c r="AV93" s="970"/>
      <c r="AW93" s="970"/>
    </row>
    <row r="94" spans="1:49" ht="24.95" customHeight="1" x14ac:dyDescent="0.2">
      <c r="A94" s="13">
        <v>325754005129</v>
      </c>
      <c r="B94" s="1" t="s">
        <v>0</v>
      </c>
      <c r="C94" s="126" t="s">
        <v>58</v>
      </c>
      <c r="D94" s="2" t="s">
        <v>123</v>
      </c>
      <c r="E94" s="2">
        <v>2</v>
      </c>
      <c r="F94" s="12">
        <v>5</v>
      </c>
      <c r="G94" s="12">
        <v>7</v>
      </c>
      <c r="H94" s="12">
        <v>7</v>
      </c>
      <c r="I94" s="12">
        <v>7</v>
      </c>
      <c r="J94" s="25">
        <v>9</v>
      </c>
      <c r="K94" s="25">
        <v>9</v>
      </c>
      <c r="L94" s="25">
        <v>9</v>
      </c>
      <c r="M94" s="25">
        <v>9</v>
      </c>
      <c r="N94" s="12">
        <v>7</v>
      </c>
      <c r="O94" s="12">
        <v>6</v>
      </c>
      <c r="P94" s="12">
        <v>6</v>
      </c>
      <c r="Q94" s="12">
        <v>6</v>
      </c>
      <c r="R94" s="12">
        <v>9</v>
      </c>
      <c r="S94" s="12">
        <v>9</v>
      </c>
      <c r="T94" s="12">
        <v>9</v>
      </c>
      <c r="U94" s="12">
        <v>9</v>
      </c>
      <c r="V94" s="25">
        <v>11</v>
      </c>
      <c r="W94" s="25">
        <v>11</v>
      </c>
      <c r="X94" s="25">
        <v>11</v>
      </c>
      <c r="Y94" s="25">
        <v>11</v>
      </c>
      <c r="Z94" s="577">
        <v>6</v>
      </c>
      <c r="AA94" s="577">
        <v>6</v>
      </c>
      <c r="AB94" s="577">
        <v>6</v>
      </c>
      <c r="AC94" s="577">
        <v>6</v>
      </c>
      <c r="AD94" s="328">
        <v>3</v>
      </c>
      <c r="AE94" s="328">
        <v>3</v>
      </c>
      <c r="AF94" s="328">
        <v>3</v>
      </c>
      <c r="AG94" s="328">
        <v>3</v>
      </c>
      <c r="AH94" s="526">
        <v>8</v>
      </c>
      <c r="AI94" s="526">
        <v>8</v>
      </c>
      <c r="AJ94" s="526">
        <v>8</v>
      </c>
      <c r="AK94" s="526">
        <v>8</v>
      </c>
      <c r="AL94" s="524">
        <v>7</v>
      </c>
      <c r="AM94" s="524">
        <v>7</v>
      </c>
      <c r="AN94" s="524">
        <v>6</v>
      </c>
      <c r="AO94" s="524">
        <v>6</v>
      </c>
      <c r="AP94" s="991">
        <v>5</v>
      </c>
      <c r="AQ94" s="993">
        <v>5</v>
      </c>
      <c r="AR94" s="994">
        <v>5</v>
      </c>
      <c r="AS94" s="993">
        <v>5</v>
      </c>
      <c r="AT94" s="971"/>
      <c r="AU94" s="970"/>
      <c r="AV94" s="970"/>
      <c r="AW94" s="970"/>
    </row>
    <row r="95" spans="1:49" ht="24.95" customHeight="1" x14ac:dyDescent="0.2">
      <c r="A95" s="13">
        <v>325754003461</v>
      </c>
      <c r="B95" s="1" t="s">
        <v>0</v>
      </c>
      <c r="C95" s="126" t="s">
        <v>100</v>
      </c>
      <c r="D95" s="2" t="s">
        <v>123</v>
      </c>
      <c r="E95" s="2">
        <v>3</v>
      </c>
      <c r="F95" s="12">
        <v>30</v>
      </c>
      <c r="G95" s="12">
        <v>30</v>
      </c>
      <c r="H95" s="12">
        <v>30</v>
      </c>
      <c r="I95" s="12">
        <v>30</v>
      </c>
      <c r="J95" s="25">
        <v>32</v>
      </c>
      <c r="K95" s="25">
        <v>32</v>
      </c>
      <c r="L95" s="25">
        <v>32</v>
      </c>
      <c r="M95" s="25">
        <v>32</v>
      </c>
      <c r="N95" s="12">
        <v>32</v>
      </c>
      <c r="O95" s="12">
        <v>32</v>
      </c>
      <c r="P95" s="12">
        <v>32</v>
      </c>
      <c r="Q95" s="12">
        <v>32</v>
      </c>
      <c r="R95" s="12">
        <v>52</v>
      </c>
      <c r="S95" s="12">
        <v>52</v>
      </c>
      <c r="T95" s="12">
        <v>52</v>
      </c>
      <c r="U95" s="12">
        <v>52</v>
      </c>
      <c r="V95" s="25">
        <v>63</v>
      </c>
      <c r="W95" s="25">
        <v>63</v>
      </c>
      <c r="X95" s="25">
        <v>63</v>
      </c>
      <c r="Y95" s="25">
        <v>63</v>
      </c>
      <c r="Z95" s="577">
        <v>74</v>
      </c>
      <c r="AA95" s="577">
        <v>74</v>
      </c>
      <c r="AB95" s="577">
        <v>73</v>
      </c>
      <c r="AC95" s="577">
        <v>73</v>
      </c>
      <c r="AD95" s="328">
        <v>75</v>
      </c>
      <c r="AE95" s="328">
        <v>75</v>
      </c>
      <c r="AF95" s="328">
        <v>75</v>
      </c>
      <c r="AG95" s="328">
        <v>75</v>
      </c>
      <c r="AH95" s="526">
        <v>84</v>
      </c>
      <c r="AI95" s="526">
        <v>84</v>
      </c>
      <c r="AJ95" s="526">
        <v>84</v>
      </c>
      <c r="AK95" s="526">
        <v>84</v>
      </c>
      <c r="AL95" s="524">
        <v>94</v>
      </c>
      <c r="AM95" s="524">
        <v>94</v>
      </c>
      <c r="AN95" s="524">
        <v>93</v>
      </c>
      <c r="AO95" s="524">
        <v>93</v>
      </c>
      <c r="AP95" s="991">
        <v>89</v>
      </c>
      <c r="AQ95" s="993">
        <v>89</v>
      </c>
      <c r="AR95" s="994">
        <v>89</v>
      </c>
      <c r="AS95" s="993">
        <v>89</v>
      </c>
      <c r="AT95" s="971"/>
      <c r="AU95" s="970"/>
      <c r="AV95" s="970"/>
      <c r="AW95" s="970"/>
    </row>
    <row r="96" spans="1:49" ht="24.95" customHeight="1" x14ac:dyDescent="0.2">
      <c r="A96" s="13">
        <v>325754005161</v>
      </c>
      <c r="B96" s="1" t="s">
        <v>0</v>
      </c>
      <c r="C96" s="126" t="s">
        <v>95</v>
      </c>
      <c r="D96" s="2" t="s">
        <v>123</v>
      </c>
      <c r="E96" s="2">
        <v>2</v>
      </c>
      <c r="F96" s="12">
        <v>41</v>
      </c>
      <c r="G96" s="12">
        <v>41</v>
      </c>
      <c r="H96" s="12">
        <v>41</v>
      </c>
      <c r="I96" s="12">
        <v>41</v>
      </c>
      <c r="J96" s="25">
        <v>37</v>
      </c>
      <c r="K96" s="25">
        <v>37</v>
      </c>
      <c r="L96" s="25">
        <v>36</v>
      </c>
      <c r="M96" s="25">
        <v>36</v>
      </c>
      <c r="N96" s="12">
        <v>33</v>
      </c>
      <c r="O96" s="12">
        <v>33</v>
      </c>
      <c r="P96" s="12">
        <v>33</v>
      </c>
      <c r="Q96" s="12">
        <v>33</v>
      </c>
      <c r="R96" s="12">
        <v>37</v>
      </c>
      <c r="S96" s="12">
        <v>37</v>
      </c>
      <c r="T96" s="12">
        <v>37</v>
      </c>
      <c r="U96" s="12">
        <v>37</v>
      </c>
      <c r="V96" s="25">
        <v>62</v>
      </c>
      <c r="W96" s="25">
        <v>59</v>
      </c>
      <c r="X96" s="25">
        <v>59</v>
      </c>
      <c r="Y96" s="25">
        <v>59</v>
      </c>
      <c r="Z96" s="577">
        <v>54</v>
      </c>
      <c r="AA96" s="577">
        <v>53</v>
      </c>
      <c r="AB96" s="577">
        <v>53</v>
      </c>
      <c r="AC96" s="577">
        <v>53</v>
      </c>
      <c r="AD96" s="328">
        <v>32</v>
      </c>
      <c r="AE96" s="328">
        <v>37</v>
      </c>
      <c r="AF96" s="328">
        <v>37</v>
      </c>
      <c r="AG96" s="328">
        <v>37</v>
      </c>
      <c r="AH96" s="526">
        <v>35</v>
      </c>
      <c r="AI96" s="526">
        <v>35</v>
      </c>
      <c r="AJ96" s="526">
        <v>34</v>
      </c>
      <c r="AK96" s="526">
        <v>34</v>
      </c>
      <c r="AL96" s="524">
        <v>37</v>
      </c>
      <c r="AM96" s="524">
        <v>37</v>
      </c>
      <c r="AN96" s="524">
        <v>36</v>
      </c>
      <c r="AO96" s="524">
        <v>36</v>
      </c>
      <c r="AP96" s="991">
        <v>28</v>
      </c>
      <c r="AQ96" s="993">
        <v>28</v>
      </c>
      <c r="AR96" s="994">
        <v>27</v>
      </c>
      <c r="AS96" s="993">
        <v>27</v>
      </c>
      <c r="AT96" s="971"/>
      <c r="AU96" s="970"/>
      <c r="AV96" s="970"/>
      <c r="AW96" s="970"/>
    </row>
    <row r="97" spans="1:49" ht="24.95" customHeight="1" x14ac:dyDescent="0.2">
      <c r="A97" s="13">
        <v>325754002839</v>
      </c>
      <c r="B97" s="1" t="s">
        <v>0</v>
      </c>
      <c r="C97" s="126" t="s">
        <v>47</v>
      </c>
      <c r="D97" s="2" t="s">
        <v>123</v>
      </c>
      <c r="E97" s="2">
        <v>2</v>
      </c>
      <c r="F97" s="12">
        <v>21</v>
      </c>
      <c r="G97" s="12">
        <v>21</v>
      </c>
      <c r="H97" s="12">
        <v>17</v>
      </c>
      <c r="I97" s="12">
        <v>17</v>
      </c>
      <c r="J97" s="25">
        <v>18</v>
      </c>
      <c r="K97" s="25">
        <v>18</v>
      </c>
      <c r="L97" s="25">
        <v>18</v>
      </c>
      <c r="M97" s="25">
        <v>17</v>
      </c>
      <c r="N97" s="12">
        <v>16</v>
      </c>
      <c r="O97" s="12">
        <v>16</v>
      </c>
      <c r="P97" s="12">
        <v>16</v>
      </c>
      <c r="Q97" s="12">
        <v>15</v>
      </c>
      <c r="R97" s="12">
        <v>11</v>
      </c>
      <c r="S97" s="12">
        <v>11</v>
      </c>
      <c r="T97" s="12">
        <v>11</v>
      </c>
      <c r="U97" s="12">
        <v>11</v>
      </c>
      <c r="V97" s="25">
        <v>16</v>
      </c>
      <c r="W97" s="25">
        <v>15</v>
      </c>
      <c r="X97" s="25">
        <v>14</v>
      </c>
      <c r="Y97" s="25">
        <v>14</v>
      </c>
      <c r="Z97" s="577">
        <v>8</v>
      </c>
      <c r="AA97" s="577">
        <v>9</v>
      </c>
      <c r="AB97" s="577">
        <v>9</v>
      </c>
      <c r="AC97" s="577">
        <v>9</v>
      </c>
      <c r="AD97" s="328">
        <v>10</v>
      </c>
      <c r="AE97" s="328">
        <v>10</v>
      </c>
      <c r="AF97" s="328">
        <v>10</v>
      </c>
      <c r="AG97" s="328">
        <v>10</v>
      </c>
      <c r="AH97" s="526">
        <v>8</v>
      </c>
      <c r="AI97" s="526">
        <v>8</v>
      </c>
      <c r="AJ97" s="526">
        <v>7</v>
      </c>
      <c r="AK97" s="526">
        <v>7</v>
      </c>
      <c r="AL97" s="524">
        <v>7</v>
      </c>
      <c r="AM97" s="524">
        <v>7</v>
      </c>
      <c r="AN97" s="524">
        <v>7</v>
      </c>
      <c r="AO97" s="524">
        <v>7</v>
      </c>
      <c r="AP97" s="991">
        <v>6</v>
      </c>
      <c r="AQ97" s="993">
        <v>8</v>
      </c>
      <c r="AR97" s="994">
        <v>8</v>
      </c>
      <c r="AS97" s="993">
        <v>8</v>
      </c>
      <c r="AT97" s="971"/>
      <c r="AU97" s="970"/>
      <c r="AV97" s="970"/>
      <c r="AW97" s="970"/>
    </row>
    <row r="98" spans="1:49" ht="24.95" customHeight="1" x14ac:dyDescent="0.2">
      <c r="A98" s="13">
        <v>225754000661</v>
      </c>
      <c r="B98" s="1" t="s">
        <v>0</v>
      </c>
      <c r="C98" s="126" t="s">
        <v>27</v>
      </c>
      <c r="D98" s="2" t="s">
        <v>121</v>
      </c>
      <c r="E98" s="2" t="s">
        <v>122</v>
      </c>
      <c r="F98" s="12">
        <v>0</v>
      </c>
      <c r="G98" s="12">
        <v>43</v>
      </c>
      <c r="H98" s="47">
        <v>41</v>
      </c>
      <c r="I98" s="47">
        <v>41</v>
      </c>
      <c r="J98" s="25">
        <v>44</v>
      </c>
      <c r="K98" s="25">
        <v>43</v>
      </c>
      <c r="L98" s="25">
        <v>42</v>
      </c>
      <c r="M98" s="25">
        <v>42</v>
      </c>
      <c r="N98" s="12">
        <v>36</v>
      </c>
      <c r="O98" s="12">
        <v>36</v>
      </c>
      <c r="P98" s="12">
        <v>36</v>
      </c>
      <c r="Q98" s="12">
        <v>34</v>
      </c>
      <c r="R98" s="12">
        <v>53</v>
      </c>
      <c r="S98" s="12">
        <v>53</v>
      </c>
      <c r="T98" s="12">
        <v>52</v>
      </c>
      <c r="U98" s="12">
        <v>51</v>
      </c>
      <c r="V98" s="25">
        <v>40</v>
      </c>
      <c r="W98" s="25">
        <v>40</v>
      </c>
      <c r="X98" s="25">
        <v>38</v>
      </c>
      <c r="Y98" s="25">
        <v>38</v>
      </c>
      <c r="Z98" s="579">
        <v>46</v>
      </c>
      <c r="AA98" s="579">
        <v>46</v>
      </c>
      <c r="AB98" s="579">
        <v>45</v>
      </c>
      <c r="AC98" s="579">
        <v>45</v>
      </c>
      <c r="AD98" s="47">
        <v>43</v>
      </c>
      <c r="AE98" s="47">
        <v>40</v>
      </c>
      <c r="AF98" s="47">
        <v>40</v>
      </c>
      <c r="AG98" s="47">
        <v>40</v>
      </c>
      <c r="AH98" s="615">
        <v>52</v>
      </c>
      <c r="AI98" s="615">
        <v>52</v>
      </c>
      <c r="AJ98" s="615">
        <v>50</v>
      </c>
      <c r="AK98" s="615">
        <v>50</v>
      </c>
      <c r="AL98" s="47">
        <v>48</v>
      </c>
      <c r="AM98" s="47">
        <v>48</v>
      </c>
      <c r="AN98" s="47">
        <v>47</v>
      </c>
      <c r="AO98" s="47">
        <v>47</v>
      </c>
      <c r="AP98" s="991">
        <v>55</v>
      </c>
      <c r="AQ98" s="993">
        <v>55</v>
      </c>
      <c r="AR98" s="994">
        <v>53</v>
      </c>
      <c r="AS98" s="993">
        <v>53</v>
      </c>
      <c r="AT98" s="971"/>
      <c r="AU98" s="970"/>
      <c r="AV98" s="970"/>
      <c r="AW98" s="970"/>
    </row>
    <row r="99" spans="1:49" ht="24.95" customHeight="1" x14ac:dyDescent="0.2">
      <c r="A99" s="858">
        <v>325754005587</v>
      </c>
      <c r="B99" s="1" t="s">
        <v>0</v>
      </c>
      <c r="C99" s="126" t="s">
        <v>127</v>
      </c>
      <c r="D99" s="2" t="s">
        <v>123</v>
      </c>
      <c r="E99" s="2">
        <v>4</v>
      </c>
      <c r="F99" s="12"/>
      <c r="G99" s="12"/>
      <c r="H99" s="607"/>
      <c r="I99" s="607"/>
      <c r="J99" s="25">
        <v>0</v>
      </c>
      <c r="K99" s="25">
        <v>1</v>
      </c>
      <c r="L99" s="25">
        <v>1</v>
      </c>
      <c r="M99" s="25">
        <v>1</v>
      </c>
      <c r="N99" s="12"/>
      <c r="O99" s="12"/>
      <c r="P99" s="12"/>
      <c r="Q99" s="12"/>
      <c r="R99" s="12"/>
      <c r="S99" s="12"/>
      <c r="T99" s="12"/>
      <c r="U99" s="12"/>
      <c r="V99" s="25"/>
      <c r="W99" s="25"/>
      <c r="X99" s="25"/>
      <c r="Y99" s="25"/>
      <c r="Z99" s="609"/>
      <c r="AA99" s="609"/>
      <c r="AB99" s="609"/>
      <c r="AC99" s="609"/>
      <c r="AD99" s="611"/>
      <c r="AE99" s="611"/>
      <c r="AF99" s="611"/>
      <c r="AG99" s="611"/>
      <c r="AH99" s="614"/>
      <c r="AI99" s="614"/>
      <c r="AJ99" s="614"/>
      <c r="AK99" s="614"/>
      <c r="AL99" s="616"/>
      <c r="AM99" s="616"/>
      <c r="AN99" s="616"/>
      <c r="AO99" s="616"/>
      <c r="AP99" s="991"/>
      <c r="AQ99" s="993"/>
      <c r="AR99" s="994"/>
      <c r="AS99" s="993"/>
      <c r="AT99" s="971"/>
      <c r="AU99" s="970"/>
      <c r="AV99" s="970"/>
      <c r="AW99" s="970"/>
    </row>
    <row r="100" spans="1:49" ht="24.95" customHeight="1" x14ac:dyDescent="0.2">
      <c r="A100" s="13">
        <v>125754003569</v>
      </c>
      <c r="B100" s="1" t="s">
        <v>0</v>
      </c>
      <c r="C100" s="126" t="s">
        <v>55</v>
      </c>
      <c r="D100" s="2" t="s">
        <v>121</v>
      </c>
      <c r="E100" s="2">
        <v>1</v>
      </c>
      <c r="F100" s="12">
        <v>172</v>
      </c>
      <c r="G100" s="12">
        <v>171</v>
      </c>
      <c r="H100" s="12">
        <v>167</v>
      </c>
      <c r="I100" s="12">
        <v>167</v>
      </c>
      <c r="J100" s="25">
        <v>156</v>
      </c>
      <c r="K100" s="25">
        <v>155</v>
      </c>
      <c r="L100" s="25">
        <v>154</v>
      </c>
      <c r="M100" s="25">
        <v>154</v>
      </c>
      <c r="N100" s="12">
        <v>189</v>
      </c>
      <c r="O100" s="12">
        <v>190</v>
      </c>
      <c r="P100" s="12">
        <v>190</v>
      </c>
      <c r="Q100" s="12">
        <v>186</v>
      </c>
      <c r="R100" s="12">
        <v>184</v>
      </c>
      <c r="S100" s="12">
        <v>179</v>
      </c>
      <c r="T100" s="12">
        <v>179</v>
      </c>
      <c r="U100" s="12">
        <v>174</v>
      </c>
      <c r="V100" s="25">
        <v>205</v>
      </c>
      <c r="W100" s="25">
        <v>203</v>
      </c>
      <c r="X100" s="25">
        <v>203</v>
      </c>
      <c r="Y100" s="25">
        <v>203</v>
      </c>
      <c r="Z100" s="577">
        <v>217</v>
      </c>
      <c r="AA100" s="577">
        <v>198</v>
      </c>
      <c r="AB100" s="577">
        <v>196</v>
      </c>
      <c r="AC100" s="577">
        <v>196</v>
      </c>
      <c r="AD100" s="328">
        <v>227</v>
      </c>
      <c r="AE100" s="328">
        <v>199</v>
      </c>
      <c r="AF100" s="328">
        <v>198</v>
      </c>
      <c r="AG100" s="328">
        <v>198</v>
      </c>
      <c r="AH100" s="526">
        <v>230</v>
      </c>
      <c r="AI100" s="526">
        <v>226</v>
      </c>
      <c r="AJ100" s="526">
        <v>219</v>
      </c>
      <c r="AK100" s="526">
        <v>219</v>
      </c>
      <c r="AL100" s="524">
        <v>213</v>
      </c>
      <c r="AM100" s="524">
        <v>209</v>
      </c>
      <c r="AN100" s="524">
        <v>207</v>
      </c>
      <c r="AO100" s="524">
        <v>207</v>
      </c>
      <c r="AP100" s="991">
        <v>186</v>
      </c>
      <c r="AQ100" s="993">
        <v>185</v>
      </c>
      <c r="AR100" s="994">
        <v>183</v>
      </c>
      <c r="AS100" s="993">
        <v>183</v>
      </c>
      <c r="AT100" s="971"/>
      <c r="AU100" s="970"/>
      <c r="AV100" s="970"/>
      <c r="AW100" s="970"/>
    </row>
    <row r="101" spans="1:49" ht="24.95" customHeight="1" x14ac:dyDescent="0.2">
      <c r="A101" s="13">
        <v>325754001590</v>
      </c>
      <c r="B101" s="1" t="s">
        <v>0</v>
      </c>
      <c r="C101" s="126" t="s">
        <v>22</v>
      </c>
      <c r="D101" s="2" t="s">
        <v>121</v>
      </c>
      <c r="E101" s="2">
        <v>6</v>
      </c>
      <c r="F101" s="12">
        <v>129</v>
      </c>
      <c r="G101" s="12">
        <v>125</v>
      </c>
      <c r="H101" s="12">
        <v>122</v>
      </c>
      <c r="I101" s="12">
        <v>122</v>
      </c>
      <c r="J101" s="25">
        <v>123</v>
      </c>
      <c r="K101" s="25">
        <v>116</v>
      </c>
      <c r="L101" s="25">
        <v>115</v>
      </c>
      <c r="M101" s="25">
        <v>115</v>
      </c>
      <c r="N101" s="12">
        <v>136</v>
      </c>
      <c r="O101" s="12">
        <v>128</v>
      </c>
      <c r="P101" s="12">
        <v>127</v>
      </c>
      <c r="Q101" s="12">
        <v>127</v>
      </c>
      <c r="R101" s="12">
        <v>133</v>
      </c>
      <c r="S101" s="12">
        <v>131</v>
      </c>
      <c r="T101" s="12">
        <v>130</v>
      </c>
      <c r="U101" s="12">
        <v>127</v>
      </c>
      <c r="V101" s="25">
        <v>124</v>
      </c>
      <c r="W101" s="25">
        <v>111</v>
      </c>
      <c r="X101" s="25">
        <v>106</v>
      </c>
      <c r="Y101" s="25">
        <v>106</v>
      </c>
      <c r="Z101" s="577">
        <v>136</v>
      </c>
      <c r="AA101" s="577">
        <v>119</v>
      </c>
      <c r="AB101" s="577">
        <v>116</v>
      </c>
      <c r="AC101" s="577">
        <v>116</v>
      </c>
      <c r="AD101" s="328">
        <v>119</v>
      </c>
      <c r="AE101" s="328">
        <v>107</v>
      </c>
      <c r="AF101" s="328">
        <v>107</v>
      </c>
      <c r="AG101" s="328">
        <v>107</v>
      </c>
      <c r="AH101" s="526">
        <v>140</v>
      </c>
      <c r="AI101" s="526">
        <v>142</v>
      </c>
      <c r="AJ101" s="526">
        <v>137</v>
      </c>
      <c r="AK101" s="526">
        <v>137</v>
      </c>
      <c r="AL101" s="524">
        <v>179</v>
      </c>
      <c r="AM101" s="524">
        <v>164</v>
      </c>
      <c r="AN101" s="524">
        <v>155</v>
      </c>
      <c r="AO101" s="524">
        <v>155</v>
      </c>
      <c r="AP101" s="991">
        <v>141</v>
      </c>
      <c r="AQ101" s="993">
        <v>137</v>
      </c>
      <c r="AR101" s="994">
        <v>134</v>
      </c>
      <c r="AS101" s="993">
        <v>134</v>
      </c>
      <c r="AT101" s="971"/>
      <c r="AU101" s="970"/>
      <c r="AV101" s="970"/>
      <c r="AW101" s="970"/>
    </row>
    <row r="102" spans="1:49" ht="24.95" customHeight="1" x14ac:dyDescent="0.2">
      <c r="A102" s="13">
        <v>125754002147</v>
      </c>
      <c r="B102" s="1" t="s">
        <v>0</v>
      </c>
      <c r="C102" s="126" t="s">
        <v>83</v>
      </c>
      <c r="D102" s="2" t="s">
        <v>121</v>
      </c>
      <c r="E102" s="2">
        <v>5</v>
      </c>
      <c r="F102" s="12">
        <v>341</v>
      </c>
      <c r="G102" s="12">
        <v>322</v>
      </c>
      <c r="H102" s="12">
        <v>316</v>
      </c>
      <c r="I102" s="12">
        <v>316</v>
      </c>
      <c r="J102" s="25">
        <v>326</v>
      </c>
      <c r="K102" s="25">
        <v>309</v>
      </c>
      <c r="L102" s="25">
        <v>304</v>
      </c>
      <c r="M102" s="25">
        <v>297</v>
      </c>
      <c r="N102" s="12">
        <v>316</v>
      </c>
      <c r="O102" s="12">
        <v>296</v>
      </c>
      <c r="P102" s="12">
        <v>292</v>
      </c>
      <c r="Q102" s="12">
        <v>288</v>
      </c>
      <c r="R102" s="12">
        <v>284</v>
      </c>
      <c r="S102" s="12">
        <v>268</v>
      </c>
      <c r="T102" s="12">
        <v>268</v>
      </c>
      <c r="U102" s="12">
        <v>257</v>
      </c>
      <c r="V102" s="25">
        <v>269</v>
      </c>
      <c r="W102" s="25">
        <v>251</v>
      </c>
      <c r="X102" s="25">
        <v>248</v>
      </c>
      <c r="Y102" s="25">
        <v>248</v>
      </c>
      <c r="Z102" s="577">
        <v>262</v>
      </c>
      <c r="AA102" s="577">
        <v>238</v>
      </c>
      <c r="AB102" s="577">
        <v>233</v>
      </c>
      <c r="AC102" s="577">
        <v>233</v>
      </c>
      <c r="AD102" s="328">
        <v>200</v>
      </c>
      <c r="AE102" s="328">
        <v>182</v>
      </c>
      <c r="AF102" s="328">
        <v>180</v>
      </c>
      <c r="AG102" s="328">
        <v>180</v>
      </c>
      <c r="AH102" s="526">
        <v>248</v>
      </c>
      <c r="AI102" s="526">
        <v>236</v>
      </c>
      <c r="AJ102" s="526">
        <v>228</v>
      </c>
      <c r="AK102" s="526">
        <v>228</v>
      </c>
      <c r="AL102" s="524">
        <v>183</v>
      </c>
      <c r="AM102" s="524">
        <v>182</v>
      </c>
      <c r="AN102" s="524">
        <v>180</v>
      </c>
      <c r="AO102" s="524">
        <v>180</v>
      </c>
      <c r="AP102" s="991">
        <v>233</v>
      </c>
      <c r="AQ102" s="993">
        <v>223</v>
      </c>
      <c r="AR102" s="994">
        <v>216</v>
      </c>
      <c r="AS102" s="993">
        <v>216</v>
      </c>
      <c r="AT102" s="971"/>
      <c r="AU102" s="970"/>
      <c r="AV102" s="970"/>
      <c r="AW102" s="970"/>
    </row>
    <row r="103" spans="1:49" ht="24.95" customHeight="1" x14ac:dyDescent="0.2">
      <c r="A103" s="13">
        <v>125754002554</v>
      </c>
      <c r="B103" s="1" t="s">
        <v>0</v>
      </c>
      <c r="C103" s="126" t="s">
        <v>65</v>
      </c>
      <c r="D103" s="2" t="s">
        <v>121</v>
      </c>
      <c r="E103" s="2">
        <v>4</v>
      </c>
      <c r="F103" s="12">
        <v>0</v>
      </c>
      <c r="G103" s="12">
        <v>107</v>
      </c>
      <c r="H103" s="12">
        <v>105</v>
      </c>
      <c r="I103" s="12">
        <v>105</v>
      </c>
      <c r="J103" s="25">
        <v>97</v>
      </c>
      <c r="K103" s="25">
        <v>97</v>
      </c>
      <c r="L103" s="25">
        <v>97</v>
      </c>
      <c r="M103" s="25">
        <v>96</v>
      </c>
      <c r="N103" s="12">
        <v>117</v>
      </c>
      <c r="O103" s="12">
        <v>119</v>
      </c>
      <c r="P103" s="12">
        <v>119</v>
      </c>
      <c r="Q103" s="12">
        <v>119</v>
      </c>
      <c r="R103" s="12">
        <v>97</v>
      </c>
      <c r="S103" s="12">
        <v>99</v>
      </c>
      <c r="T103" s="12">
        <v>97</v>
      </c>
      <c r="U103" s="12">
        <v>97</v>
      </c>
      <c r="V103" s="25">
        <v>125</v>
      </c>
      <c r="W103" s="25">
        <v>121</v>
      </c>
      <c r="X103" s="25">
        <v>121</v>
      </c>
      <c r="Y103" s="25">
        <v>121</v>
      </c>
      <c r="Z103" s="577">
        <v>114</v>
      </c>
      <c r="AA103" s="577">
        <v>107</v>
      </c>
      <c r="AB103" s="577">
        <v>102</v>
      </c>
      <c r="AC103" s="577">
        <v>102</v>
      </c>
      <c r="AD103" s="328">
        <v>113</v>
      </c>
      <c r="AE103" s="328">
        <v>112</v>
      </c>
      <c r="AF103" s="328">
        <v>111</v>
      </c>
      <c r="AG103" s="328">
        <v>111</v>
      </c>
      <c r="AH103" s="526">
        <v>99</v>
      </c>
      <c r="AI103" s="526">
        <v>98</v>
      </c>
      <c r="AJ103" s="526">
        <v>97</v>
      </c>
      <c r="AK103" s="526">
        <v>97</v>
      </c>
      <c r="AL103" s="524">
        <v>108</v>
      </c>
      <c r="AM103" s="524">
        <v>104</v>
      </c>
      <c r="AN103" s="524">
        <v>101</v>
      </c>
      <c r="AO103" s="524">
        <v>101</v>
      </c>
      <c r="AP103" s="991">
        <v>96</v>
      </c>
      <c r="AQ103" s="993">
        <v>94</v>
      </c>
      <c r="AR103" s="994">
        <v>93</v>
      </c>
      <c r="AS103" s="993">
        <v>93</v>
      </c>
      <c r="AT103" s="971"/>
      <c r="AU103" s="970"/>
      <c r="AV103" s="970"/>
      <c r="AW103" s="970"/>
    </row>
    <row r="104" spans="1:49" ht="24.95" customHeight="1" x14ac:dyDescent="0.2">
      <c r="A104" s="13">
        <v>125754001973</v>
      </c>
      <c r="B104" s="1" t="s">
        <v>0</v>
      </c>
      <c r="C104" s="126" t="s">
        <v>33</v>
      </c>
      <c r="D104" s="2" t="s">
        <v>121</v>
      </c>
      <c r="E104" s="2">
        <v>4</v>
      </c>
      <c r="F104" s="12">
        <v>24</v>
      </c>
      <c r="G104" s="12">
        <v>26</v>
      </c>
      <c r="H104" s="12">
        <v>26</v>
      </c>
      <c r="I104" s="12">
        <v>26</v>
      </c>
      <c r="J104" s="25">
        <v>31</v>
      </c>
      <c r="K104" s="25">
        <v>30</v>
      </c>
      <c r="L104" s="25">
        <v>30</v>
      </c>
      <c r="M104" s="25">
        <v>29</v>
      </c>
      <c r="N104" s="12">
        <v>32</v>
      </c>
      <c r="O104" s="12">
        <v>30</v>
      </c>
      <c r="P104" s="12">
        <v>29</v>
      </c>
      <c r="Q104" s="12">
        <v>29</v>
      </c>
      <c r="R104" s="12">
        <v>33</v>
      </c>
      <c r="S104" s="12">
        <v>31</v>
      </c>
      <c r="T104" s="12">
        <v>31</v>
      </c>
      <c r="U104" s="12">
        <v>31</v>
      </c>
      <c r="V104" s="25">
        <v>35</v>
      </c>
      <c r="W104" s="25">
        <v>34</v>
      </c>
      <c r="X104" s="25">
        <v>33</v>
      </c>
      <c r="Y104" s="25">
        <v>33</v>
      </c>
      <c r="Z104" s="577">
        <v>43</v>
      </c>
      <c r="AA104" s="577">
        <v>36</v>
      </c>
      <c r="AB104" s="577">
        <v>36</v>
      </c>
      <c r="AC104" s="577">
        <v>36</v>
      </c>
      <c r="AD104" s="328">
        <v>39</v>
      </c>
      <c r="AE104" s="328">
        <v>36</v>
      </c>
      <c r="AF104" s="328">
        <v>35</v>
      </c>
      <c r="AG104" s="328">
        <v>35</v>
      </c>
      <c r="AH104" s="526">
        <v>33</v>
      </c>
      <c r="AI104" s="526">
        <v>29</v>
      </c>
      <c r="AJ104" s="526">
        <v>28</v>
      </c>
      <c r="AK104" s="526">
        <v>28</v>
      </c>
      <c r="AL104" s="524">
        <v>39</v>
      </c>
      <c r="AM104" s="524">
        <v>36</v>
      </c>
      <c r="AN104" s="524">
        <v>35</v>
      </c>
      <c r="AO104" s="524">
        <v>35</v>
      </c>
      <c r="AP104" s="991">
        <v>34</v>
      </c>
      <c r="AQ104" s="993">
        <v>35</v>
      </c>
      <c r="AR104" s="994">
        <v>31</v>
      </c>
      <c r="AS104" s="993">
        <v>31</v>
      </c>
      <c r="AT104" s="971"/>
      <c r="AU104" s="970"/>
      <c r="AV104" s="970"/>
      <c r="AW104" s="970"/>
    </row>
    <row r="105" spans="1:49" ht="24.95" customHeight="1" x14ac:dyDescent="0.2">
      <c r="A105" s="13">
        <v>125754005600</v>
      </c>
      <c r="B105" s="1" t="s">
        <v>0</v>
      </c>
      <c r="C105" s="126" t="s">
        <v>773</v>
      </c>
      <c r="D105" s="2" t="s">
        <v>121</v>
      </c>
      <c r="E105" s="2">
        <v>3</v>
      </c>
      <c r="F105" s="12"/>
      <c r="G105" s="12"/>
      <c r="H105" s="12"/>
      <c r="I105" s="12"/>
      <c r="J105" s="25">
        <v>79</v>
      </c>
      <c r="K105" s="25">
        <v>76</v>
      </c>
      <c r="L105" s="25">
        <v>75</v>
      </c>
      <c r="M105" s="25">
        <v>73</v>
      </c>
      <c r="N105" s="12">
        <v>123</v>
      </c>
      <c r="O105" s="12">
        <v>118</v>
      </c>
      <c r="P105" s="12">
        <v>118</v>
      </c>
      <c r="Q105" s="12">
        <v>117</v>
      </c>
      <c r="R105" s="12">
        <v>161</v>
      </c>
      <c r="S105" s="12">
        <v>148</v>
      </c>
      <c r="T105" s="12">
        <v>147</v>
      </c>
      <c r="U105" s="12">
        <v>147</v>
      </c>
      <c r="V105" s="25">
        <v>160</v>
      </c>
      <c r="W105" s="25">
        <v>153</v>
      </c>
      <c r="X105" s="25">
        <v>152</v>
      </c>
      <c r="Y105" s="25">
        <v>152</v>
      </c>
      <c r="Z105" s="577">
        <v>239</v>
      </c>
      <c r="AA105" s="577">
        <v>226</v>
      </c>
      <c r="AB105" s="577">
        <v>223</v>
      </c>
      <c r="AC105" s="577">
        <v>223</v>
      </c>
      <c r="AD105" s="328">
        <v>176</v>
      </c>
      <c r="AE105" s="328">
        <v>169</v>
      </c>
      <c r="AF105" s="328">
        <v>167</v>
      </c>
      <c r="AG105" s="328">
        <v>167</v>
      </c>
      <c r="AH105" s="526">
        <v>229</v>
      </c>
      <c r="AI105" s="526">
        <v>222</v>
      </c>
      <c r="AJ105" s="526">
        <v>217</v>
      </c>
      <c r="AK105" s="526">
        <v>217</v>
      </c>
      <c r="AL105" s="524">
        <v>254</v>
      </c>
      <c r="AM105" s="524">
        <v>252</v>
      </c>
      <c r="AN105" s="524">
        <v>241</v>
      </c>
      <c r="AO105" s="524">
        <v>241</v>
      </c>
      <c r="AP105" s="991">
        <v>250</v>
      </c>
      <c r="AQ105" s="993">
        <v>247</v>
      </c>
      <c r="AR105" s="994">
        <v>243</v>
      </c>
      <c r="AS105" s="993">
        <v>243</v>
      </c>
      <c r="AT105" s="971"/>
      <c r="AU105" s="970"/>
      <c r="AV105" s="970"/>
      <c r="AW105" s="970"/>
    </row>
    <row r="106" spans="1:49" ht="24.95" customHeight="1" x14ac:dyDescent="0.2">
      <c r="A106" s="13">
        <v>125754001418</v>
      </c>
      <c r="B106" s="1" t="s">
        <v>0</v>
      </c>
      <c r="C106" s="126" t="s">
        <v>78</v>
      </c>
      <c r="D106" s="2" t="s">
        <v>121</v>
      </c>
      <c r="E106" s="2">
        <v>1</v>
      </c>
      <c r="F106" s="12">
        <v>112</v>
      </c>
      <c r="G106" s="12">
        <v>109</v>
      </c>
      <c r="H106" s="580">
        <v>109</v>
      </c>
      <c r="I106" s="580">
        <v>109</v>
      </c>
      <c r="J106" s="25">
        <v>107</v>
      </c>
      <c r="K106" s="25">
        <v>109</v>
      </c>
      <c r="L106" s="25">
        <v>109</v>
      </c>
      <c r="M106" s="25">
        <v>104</v>
      </c>
      <c r="N106" s="12">
        <v>118</v>
      </c>
      <c r="O106" s="12">
        <v>114</v>
      </c>
      <c r="P106" s="12">
        <v>112</v>
      </c>
      <c r="Q106" s="12">
        <v>112</v>
      </c>
      <c r="R106" s="12">
        <v>116</v>
      </c>
      <c r="S106" s="12">
        <v>117</v>
      </c>
      <c r="T106" s="12">
        <v>116</v>
      </c>
      <c r="U106" s="12">
        <v>107</v>
      </c>
      <c r="V106" s="25">
        <v>113</v>
      </c>
      <c r="W106" s="25">
        <v>110</v>
      </c>
      <c r="X106" s="25">
        <v>110</v>
      </c>
      <c r="Y106" s="25">
        <v>110</v>
      </c>
      <c r="Z106" s="577">
        <v>125</v>
      </c>
      <c r="AA106" s="577">
        <v>123</v>
      </c>
      <c r="AB106" s="577">
        <v>120</v>
      </c>
      <c r="AC106" s="577">
        <v>120</v>
      </c>
      <c r="AD106" s="328">
        <v>119</v>
      </c>
      <c r="AE106" s="328">
        <v>112</v>
      </c>
      <c r="AF106" s="328">
        <v>109</v>
      </c>
      <c r="AG106" s="328">
        <v>109</v>
      </c>
      <c r="AH106" s="526">
        <v>116</v>
      </c>
      <c r="AI106" s="526">
        <v>116</v>
      </c>
      <c r="AJ106" s="526">
        <v>112</v>
      </c>
      <c r="AK106" s="526">
        <v>112</v>
      </c>
      <c r="AL106" s="524">
        <v>119</v>
      </c>
      <c r="AM106" s="524">
        <v>113</v>
      </c>
      <c r="AN106" s="524">
        <v>109</v>
      </c>
      <c r="AO106" s="524">
        <v>109</v>
      </c>
      <c r="AP106" s="991">
        <v>114</v>
      </c>
      <c r="AQ106" s="993">
        <v>112</v>
      </c>
      <c r="AR106" s="994">
        <v>108</v>
      </c>
      <c r="AS106" s="993">
        <v>108</v>
      </c>
      <c r="AT106" s="971"/>
      <c r="AU106" s="970"/>
      <c r="AV106" s="970"/>
      <c r="AW106" s="970"/>
    </row>
    <row r="107" spans="1:49" ht="24.95" customHeight="1" x14ac:dyDescent="0.2">
      <c r="A107" s="858">
        <v>125754005464</v>
      </c>
      <c r="B107" s="1" t="s">
        <v>0</v>
      </c>
      <c r="C107" s="126" t="s">
        <v>177</v>
      </c>
      <c r="D107" s="35" t="s">
        <v>121</v>
      </c>
      <c r="E107" s="2">
        <v>3</v>
      </c>
      <c r="F107" s="12">
        <v>80</v>
      </c>
      <c r="G107" s="12">
        <v>79</v>
      </c>
      <c r="H107" s="12">
        <v>78</v>
      </c>
      <c r="I107" s="12">
        <v>78</v>
      </c>
      <c r="J107" s="25">
        <v>200</v>
      </c>
      <c r="K107" s="25">
        <v>200</v>
      </c>
      <c r="L107" s="25">
        <v>199</v>
      </c>
      <c r="M107" s="25">
        <v>197</v>
      </c>
      <c r="N107" s="12">
        <v>214</v>
      </c>
      <c r="O107" s="12">
        <v>213</v>
      </c>
      <c r="P107" s="12">
        <v>212</v>
      </c>
      <c r="Q107" s="12">
        <v>210</v>
      </c>
      <c r="R107" s="12">
        <v>187</v>
      </c>
      <c r="S107" s="12">
        <v>184</v>
      </c>
      <c r="T107" s="12">
        <v>184</v>
      </c>
      <c r="U107" s="12">
        <v>179</v>
      </c>
      <c r="V107" s="25">
        <v>206</v>
      </c>
      <c r="W107" s="25">
        <v>204</v>
      </c>
      <c r="X107" s="25">
        <v>203</v>
      </c>
      <c r="Y107" s="25">
        <v>203</v>
      </c>
      <c r="Z107" s="577">
        <v>248</v>
      </c>
      <c r="AA107" s="577">
        <v>245</v>
      </c>
      <c r="AB107" s="577">
        <v>243</v>
      </c>
      <c r="AC107" s="577">
        <v>243</v>
      </c>
      <c r="AD107" s="328">
        <v>250</v>
      </c>
      <c r="AE107" s="328">
        <v>247</v>
      </c>
      <c r="AF107" s="328">
        <v>244</v>
      </c>
      <c r="AG107" s="328">
        <v>244</v>
      </c>
      <c r="AH107" s="526">
        <v>249</v>
      </c>
      <c r="AI107" s="526">
        <v>236</v>
      </c>
      <c r="AJ107" s="526">
        <v>233</v>
      </c>
      <c r="AK107" s="526">
        <v>233</v>
      </c>
      <c r="AL107" s="524">
        <v>225</v>
      </c>
      <c r="AM107" s="524">
        <v>223</v>
      </c>
      <c r="AN107" s="524">
        <v>219</v>
      </c>
      <c r="AO107" s="524">
        <v>219</v>
      </c>
      <c r="AP107" s="991">
        <v>237</v>
      </c>
      <c r="AQ107" s="993">
        <v>230</v>
      </c>
      <c r="AR107" s="994">
        <v>226</v>
      </c>
      <c r="AS107" s="993">
        <v>226</v>
      </c>
      <c r="AT107" s="971"/>
      <c r="AU107" s="970"/>
      <c r="AV107" s="970"/>
      <c r="AW107" s="970"/>
    </row>
    <row r="108" spans="1:49" ht="24.95" customHeight="1" x14ac:dyDescent="0.2">
      <c r="A108" s="13">
        <v>125754001957</v>
      </c>
      <c r="B108" s="1" t="s">
        <v>0</v>
      </c>
      <c r="C108" s="126" t="s">
        <v>61</v>
      </c>
      <c r="D108" s="2" t="s">
        <v>121</v>
      </c>
      <c r="E108" s="2">
        <v>4</v>
      </c>
      <c r="F108" s="12">
        <v>119</v>
      </c>
      <c r="G108" s="12">
        <v>127</v>
      </c>
      <c r="H108" s="12">
        <v>125</v>
      </c>
      <c r="I108" s="12">
        <v>125</v>
      </c>
      <c r="J108" s="25">
        <v>126</v>
      </c>
      <c r="K108" s="25">
        <v>122</v>
      </c>
      <c r="L108" s="25">
        <v>120</v>
      </c>
      <c r="M108" s="25">
        <v>117</v>
      </c>
      <c r="N108" s="12">
        <v>116</v>
      </c>
      <c r="O108" s="12">
        <v>116</v>
      </c>
      <c r="P108" s="12">
        <v>116</v>
      </c>
      <c r="Q108" s="12">
        <v>116</v>
      </c>
      <c r="R108" s="12">
        <v>108</v>
      </c>
      <c r="S108" s="12">
        <v>108</v>
      </c>
      <c r="T108" s="12">
        <v>106</v>
      </c>
      <c r="U108" s="12">
        <v>104</v>
      </c>
      <c r="V108" s="25">
        <v>123</v>
      </c>
      <c r="W108" s="25">
        <v>109</v>
      </c>
      <c r="X108" s="25">
        <v>107</v>
      </c>
      <c r="Y108" s="25">
        <v>107</v>
      </c>
      <c r="Z108" s="577">
        <v>132</v>
      </c>
      <c r="AA108" s="577">
        <v>116</v>
      </c>
      <c r="AB108" s="577">
        <v>110</v>
      </c>
      <c r="AC108" s="577">
        <v>110</v>
      </c>
      <c r="AD108" s="328">
        <v>136</v>
      </c>
      <c r="AE108" s="328">
        <v>115</v>
      </c>
      <c r="AF108" s="328">
        <v>115</v>
      </c>
      <c r="AG108" s="328">
        <v>115</v>
      </c>
      <c r="AH108" s="526">
        <v>131</v>
      </c>
      <c r="AI108" s="526">
        <v>124</v>
      </c>
      <c r="AJ108" s="526">
        <v>121</v>
      </c>
      <c r="AK108" s="526">
        <v>121</v>
      </c>
      <c r="AL108" s="524">
        <v>124</v>
      </c>
      <c r="AM108" s="524">
        <v>121</v>
      </c>
      <c r="AN108" s="524">
        <v>118</v>
      </c>
      <c r="AO108" s="524">
        <v>118</v>
      </c>
      <c r="AP108" s="991">
        <v>128</v>
      </c>
      <c r="AQ108" s="993">
        <v>124</v>
      </c>
      <c r="AR108" s="994">
        <v>117</v>
      </c>
      <c r="AS108" s="993">
        <v>117</v>
      </c>
      <c r="AT108" s="971"/>
      <c r="AU108" s="970"/>
      <c r="AV108" s="970"/>
      <c r="AW108" s="970"/>
    </row>
    <row r="109" spans="1:49" ht="24.95" customHeight="1" x14ac:dyDescent="0.2">
      <c r="A109" s="13">
        <v>125754003267</v>
      </c>
      <c r="B109" s="1" t="s">
        <v>0</v>
      </c>
      <c r="C109" s="126" t="s">
        <v>52</v>
      </c>
      <c r="D109" s="2" t="s">
        <v>121</v>
      </c>
      <c r="E109" s="2">
        <v>1</v>
      </c>
      <c r="F109" s="12">
        <v>299</v>
      </c>
      <c r="G109" s="12">
        <v>296</v>
      </c>
      <c r="H109" s="12">
        <v>279</v>
      </c>
      <c r="I109" s="12">
        <v>279</v>
      </c>
      <c r="J109" s="25">
        <v>253</v>
      </c>
      <c r="K109" s="25">
        <v>249</v>
      </c>
      <c r="L109" s="25">
        <v>246</v>
      </c>
      <c r="M109" s="25">
        <v>242</v>
      </c>
      <c r="N109" s="12">
        <v>298</v>
      </c>
      <c r="O109" s="12">
        <v>300</v>
      </c>
      <c r="P109" s="12">
        <v>300</v>
      </c>
      <c r="Q109" s="12">
        <v>299</v>
      </c>
      <c r="R109" s="12">
        <v>250</v>
      </c>
      <c r="S109" s="12">
        <v>237</v>
      </c>
      <c r="T109" s="12">
        <v>236</v>
      </c>
      <c r="U109" s="12">
        <v>228</v>
      </c>
      <c r="V109" s="25">
        <v>278</v>
      </c>
      <c r="W109" s="25">
        <v>263</v>
      </c>
      <c r="X109" s="25">
        <v>257</v>
      </c>
      <c r="Y109" s="25">
        <v>257</v>
      </c>
      <c r="Z109" s="577">
        <v>249</v>
      </c>
      <c r="AA109" s="577">
        <v>224</v>
      </c>
      <c r="AB109" s="577">
        <v>217</v>
      </c>
      <c r="AC109" s="577">
        <v>217</v>
      </c>
      <c r="AD109" s="47">
        <v>245</v>
      </c>
      <c r="AE109" s="47">
        <v>235</v>
      </c>
      <c r="AF109" s="47">
        <v>228</v>
      </c>
      <c r="AG109" s="47">
        <v>228</v>
      </c>
      <c r="AH109" s="615">
        <v>278</v>
      </c>
      <c r="AI109" s="615">
        <v>266</v>
      </c>
      <c r="AJ109" s="615">
        <v>262</v>
      </c>
      <c r="AK109" s="615">
        <v>262</v>
      </c>
      <c r="AL109" s="47">
        <v>299</v>
      </c>
      <c r="AM109" s="47">
        <v>290</v>
      </c>
      <c r="AN109" s="47">
        <v>285</v>
      </c>
      <c r="AO109" s="47">
        <v>285</v>
      </c>
      <c r="AP109" s="991">
        <v>260</v>
      </c>
      <c r="AQ109" s="993">
        <v>256</v>
      </c>
      <c r="AR109" s="994">
        <v>253</v>
      </c>
      <c r="AS109" s="993">
        <v>253</v>
      </c>
      <c r="AT109" s="971"/>
      <c r="AU109" s="970"/>
      <c r="AV109" s="970"/>
      <c r="AW109" s="970"/>
    </row>
    <row r="110" spans="1:49" ht="24.95" customHeight="1" x14ac:dyDescent="0.2">
      <c r="A110" s="13">
        <v>325754002464</v>
      </c>
      <c r="B110" s="1" t="s">
        <v>0</v>
      </c>
      <c r="C110" s="126" t="s">
        <v>32</v>
      </c>
      <c r="D110" s="2" t="s">
        <v>123</v>
      </c>
      <c r="E110" s="2">
        <v>5</v>
      </c>
      <c r="F110" s="12">
        <v>15</v>
      </c>
      <c r="G110" s="12">
        <v>36</v>
      </c>
      <c r="H110" s="12">
        <v>36</v>
      </c>
      <c r="I110" s="12">
        <v>36</v>
      </c>
      <c r="J110" s="25">
        <v>41</v>
      </c>
      <c r="K110" s="25">
        <v>41</v>
      </c>
      <c r="L110" s="25">
        <v>41</v>
      </c>
      <c r="M110" s="25">
        <v>41</v>
      </c>
      <c r="N110" s="12">
        <v>21</v>
      </c>
      <c r="O110" s="12">
        <v>21</v>
      </c>
      <c r="P110" s="12">
        <v>21</v>
      </c>
      <c r="Q110" s="12">
        <v>21</v>
      </c>
      <c r="R110" s="12">
        <v>35</v>
      </c>
      <c r="S110" s="12">
        <v>35</v>
      </c>
      <c r="T110" s="12">
        <v>35</v>
      </c>
      <c r="U110" s="12">
        <v>35</v>
      </c>
      <c r="V110" s="25">
        <v>28</v>
      </c>
      <c r="W110" s="25">
        <v>27</v>
      </c>
      <c r="X110" s="25">
        <v>27</v>
      </c>
      <c r="Y110" s="25">
        <v>27</v>
      </c>
      <c r="Z110" s="577">
        <v>18</v>
      </c>
      <c r="AA110" s="577">
        <v>18</v>
      </c>
      <c r="AB110" s="577">
        <v>18</v>
      </c>
      <c r="AC110" s="577">
        <v>18</v>
      </c>
      <c r="AD110" s="611"/>
      <c r="AE110" s="611"/>
      <c r="AF110" s="611"/>
      <c r="AG110" s="611"/>
      <c r="AH110" s="614"/>
      <c r="AI110" s="614"/>
      <c r="AJ110" s="614"/>
      <c r="AK110" s="614"/>
      <c r="AL110" s="616"/>
      <c r="AM110" s="616"/>
      <c r="AN110" s="616"/>
      <c r="AO110" s="616"/>
      <c r="AP110" s="991"/>
      <c r="AQ110" s="993"/>
      <c r="AR110" s="994"/>
      <c r="AS110" s="993"/>
      <c r="AT110" s="971"/>
      <c r="AU110" s="970"/>
      <c r="AV110" s="970"/>
      <c r="AW110" s="970"/>
    </row>
    <row r="111" spans="1:49" ht="24.95" customHeight="1" x14ac:dyDescent="0.2">
      <c r="A111" s="13">
        <v>125754001183</v>
      </c>
      <c r="B111" s="1" t="s">
        <v>0</v>
      </c>
      <c r="C111" s="126" t="s">
        <v>39</v>
      </c>
      <c r="D111" s="2" t="s">
        <v>121</v>
      </c>
      <c r="E111" s="2">
        <v>6</v>
      </c>
      <c r="F111" s="12">
        <v>0</v>
      </c>
      <c r="G111" s="12">
        <v>100</v>
      </c>
      <c r="H111" s="12">
        <v>93</v>
      </c>
      <c r="I111" s="12">
        <v>93</v>
      </c>
      <c r="J111" s="25">
        <v>114</v>
      </c>
      <c r="K111" s="25">
        <v>123</v>
      </c>
      <c r="L111" s="25">
        <v>118</v>
      </c>
      <c r="M111" s="25">
        <v>116</v>
      </c>
      <c r="N111" s="12">
        <v>134</v>
      </c>
      <c r="O111" s="12">
        <v>143</v>
      </c>
      <c r="P111" s="12">
        <v>138</v>
      </c>
      <c r="Q111" s="12">
        <v>137</v>
      </c>
      <c r="R111" s="12">
        <v>133</v>
      </c>
      <c r="S111" s="12">
        <v>131</v>
      </c>
      <c r="T111" s="12">
        <v>129</v>
      </c>
      <c r="U111" s="12">
        <v>125</v>
      </c>
      <c r="V111" s="25">
        <v>110</v>
      </c>
      <c r="W111" s="25">
        <v>102</v>
      </c>
      <c r="X111" s="25">
        <v>102</v>
      </c>
      <c r="Y111" s="25">
        <v>102</v>
      </c>
      <c r="Z111" s="577">
        <v>119</v>
      </c>
      <c r="AA111" s="577">
        <v>110</v>
      </c>
      <c r="AB111" s="577">
        <v>108</v>
      </c>
      <c r="AC111" s="577">
        <v>108</v>
      </c>
      <c r="AD111" s="328">
        <v>124</v>
      </c>
      <c r="AE111" s="328">
        <v>108</v>
      </c>
      <c r="AF111" s="328">
        <v>106</v>
      </c>
      <c r="AG111" s="328">
        <v>106</v>
      </c>
      <c r="AH111" s="526">
        <v>123</v>
      </c>
      <c r="AI111" s="526">
        <v>119</v>
      </c>
      <c r="AJ111" s="526">
        <v>117</v>
      </c>
      <c r="AK111" s="526">
        <v>117</v>
      </c>
      <c r="AL111" s="524">
        <v>149</v>
      </c>
      <c r="AM111" s="524">
        <v>147</v>
      </c>
      <c r="AN111" s="524">
        <v>139</v>
      </c>
      <c r="AO111" s="524">
        <v>139</v>
      </c>
      <c r="AP111" s="991">
        <v>127</v>
      </c>
      <c r="AQ111" s="993">
        <v>129</v>
      </c>
      <c r="AR111" s="994">
        <v>126</v>
      </c>
      <c r="AS111" s="993">
        <v>126</v>
      </c>
      <c r="AT111" s="971"/>
      <c r="AU111" s="970"/>
      <c r="AV111" s="970"/>
      <c r="AW111" s="970"/>
    </row>
    <row r="112" spans="1:49" ht="24.95" customHeight="1" x14ac:dyDescent="0.2">
      <c r="A112" s="13">
        <v>125754002066</v>
      </c>
      <c r="B112" s="1" t="s">
        <v>0</v>
      </c>
      <c r="C112" s="126" t="s">
        <v>19</v>
      </c>
      <c r="D112" s="2" t="s">
        <v>121</v>
      </c>
      <c r="E112" s="2">
        <v>5</v>
      </c>
      <c r="F112" s="12">
        <v>0</v>
      </c>
      <c r="G112" s="12">
        <v>185</v>
      </c>
      <c r="H112" s="12">
        <v>184</v>
      </c>
      <c r="I112" s="12">
        <v>184</v>
      </c>
      <c r="J112" s="25">
        <v>229</v>
      </c>
      <c r="K112" s="25">
        <v>223</v>
      </c>
      <c r="L112" s="25">
        <v>221</v>
      </c>
      <c r="M112" s="25">
        <v>220</v>
      </c>
      <c r="N112" s="12">
        <v>215</v>
      </c>
      <c r="O112" s="12">
        <v>210</v>
      </c>
      <c r="P112" s="12">
        <v>209</v>
      </c>
      <c r="Q112" s="12">
        <v>206</v>
      </c>
      <c r="R112" s="12">
        <v>222</v>
      </c>
      <c r="S112" s="12">
        <v>221</v>
      </c>
      <c r="T112" s="12">
        <v>221</v>
      </c>
      <c r="U112" s="12">
        <v>218</v>
      </c>
      <c r="V112" s="25">
        <v>209</v>
      </c>
      <c r="W112" s="25">
        <v>169</v>
      </c>
      <c r="X112" s="25">
        <v>166</v>
      </c>
      <c r="Y112" s="25">
        <v>166</v>
      </c>
      <c r="Z112" s="577">
        <v>201</v>
      </c>
      <c r="AA112" s="577">
        <v>167</v>
      </c>
      <c r="AB112" s="577">
        <v>164</v>
      </c>
      <c r="AC112" s="577">
        <v>164</v>
      </c>
      <c r="AD112" s="328">
        <v>185</v>
      </c>
      <c r="AE112" s="328">
        <v>181</v>
      </c>
      <c r="AF112" s="328">
        <v>179</v>
      </c>
      <c r="AG112" s="328">
        <v>179</v>
      </c>
      <c r="AH112" s="526">
        <v>221</v>
      </c>
      <c r="AI112" s="526">
        <v>216</v>
      </c>
      <c r="AJ112" s="526">
        <v>209</v>
      </c>
      <c r="AK112" s="526">
        <v>209</v>
      </c>
      <c r="AL112" s="524">
        <v>195</v>
      </c>
      <c r="AM112" s="524">
        <v>183</v>
      </c>
      <c r="AN112" s="524">
        <v>175</v>
      </c>
      <c r="AO112" s="524">
        <v>175</v>
      </c>
      <c r="AP112" s="991">
        <v>232</v>
      </c>
      <c r="AQ112" s="993">
        <v>220</v>
      </c>
      <c r="AR112" s="994">
        <v>217</v>
      </c>
      <c r="AS112" s="993">
        <v>217</v>
      </c>
      <c r="AT112" s="971"/>
      <c r="AU112" s="970"/>
      <c r="AV112" s="970"/>
      <c r="AW112" s="970"/>
    </row>
    <row r="113" spans="1:49" ht="24.95" customHeight="1" x14ac:dyDescent="0.2">
      <c r="A113" s="13">
        <v>125754002538</v>
      </c>
      <c r="B113" s="1" t="s">
        <v>0</v>
      </c>
      <c r="C113" s="126" t="s">
        <v>71</v>
      </c>
      <c r="D113" s="2" t="s">
        <v>121</v>
      </c>
      <c r="E113" s="2">
        <v>4</v>
      </c>
      <c r="F113" s="12">
        <v>53</v>
      </c>
      <c r="G113" s="12">
        <v>51</v>
      </c>
      <c r="H113" s="12">
        <v>49</v>
      </c>
      <c r="I113" s="12">
        <v>49</v>
      </c>
      <c r="J113" s="25">
        <v>46</v>
      </c>
      <c r="K113" s="25">
        <v>49</v>
      </c>
      <c r="L113" s="25">
        <v>48</v>
      </c>
      <c r="M113" s="25">
        <v>48</v>
      </c>
      <c r="N113" s="12">
        <v>49</v>
      </c>
      <c r="O113" s="12">
        <v>47</v>
      </c>
      <c r="P113" s="12">
        <v>47</v>
      </c>
      <c r="Q113" s="12">
        <v>47</v>
      </c>
      <c r="R113" s="12">
        <v>62</v>
      </c>
      <c r="S113" s="12">
        <v>61</v>
      </c>
      <c r="T113" s="12">
        <v>60</v>
      </c>
      <c r="U113" s="12">
        <v>59</v>
      </c>
      <c r="V113" s="25">
        <v>54</v>
      </c>
      <c r="W113" s="25">
        <v>47</v>
      </c>
      <c r="X113" s="25">
        <v>45</v>
      </c>
      <c r="Y113" s="25">
        <v>45</v>
      </c>
      <c r="Z113" s="577">
        <v>50</v>
      </c>
      <c r="AA113" s="577">
        <v>46</v>
      </c>
      <c r="AB113" s="577">
        <v>45</v>
      </c>
      <c r="AC113" s="577">
        <v>45</v>
      </c>
      <c r="AD113" s="328">
        <v>57</v>
      </c>
      <c r="AE113" s="328">
        <v>56</v>
      </c>
      <c r="AF113" s="328">
        <v>54</v>
      </c>
      <c r="AG113" s="328">
        <v>54</v>
      </c>
      <c r="AH113" s="526">
        <v>66</v>
      </c>
      <c r="AI113" s="526">
        <v>64</v>
      </c>
      <c r="AJ113" s="526">
        <v>63</v>
      </c>
      <c r="AK113" s="526">
        <v>63</v>
      </c>
      <c r="AL113" s="524">
        <v>64</v>
      </c>
      <c r="AM113" s="524">
        <v>59</v>
      </c>
      <c r="AN113" s="524">
        <v>57</v>
      </c>
      <c r="AO113" s="524">
        <v>57</v>
      </c>
      <c r="AP113" s="991">
        <v>56</v>
      </c>
      <c r="AQ113" s="993">
        <v>56</v>
      </c>
      <c r="AR113" s="994">
        <v>54</v>
      </c>
      <c r="AS113" s="993">
        <v>54</v>
      </c>
      <c r="AT113" s="971"/>
      <c r="AU113" s="970"/>
      <c r="AV113" s="970"/>
      <c r="AW113" s="970"/>
    </row>
    <row r="114" spans="1:49" ht="24.95" customHeight="1" x14ac:dyDescent="0.2">
      <c r="A114" s="13">
        <v>125754000331</v>
      </c>
      <c r="B114" s="1" t="s">
        <v>0</v>
      </c>
      <c r="C114" s="126" t="s">
        <v>20</v>
      </c>
      <c r="D114" s="2" t="s">
        <v>121</v>
      </c>
      <c r="E114" s="2">
        <v>2</v>
      </c>
      <c r="F114" s="12">
        <v>310</v>
      </c>
      <c r="G114" s="12">
        <v>310</v>
      </c>
      <c r="H114" s="12">
        <v>302</v>
      </c>
      <c r="I114" s="12">
        <v>302</v>
      </c>
      <c r="J114" s="25">
        <v>267</v>
      </c>
      <c r="K114" s="25">
        <v>260</v>
      </c>
      <c r="L114" s="25">
        <v>260</v>
      </c>
      <c r="M114" s="25">
        <v>255</v>
      </c>
      <c r="N114" s="12">
        <v>251</v>
      </c>
      <c r="O114" s="12">
        <v>244</v>
      </c>
      <c r="P114" s="12">
        <v>241</v>
      </c>
      <c r="Q114" s="12">
        <v>240</v>
      </c>
      <c r="R114" s="12">
        <v>281</v>
      </c>
      <c r="S114" s="12">
        <v>274</v>
      </c>
      <c r="T114" s="12">
        <v>272</v>
      </c>
      <c r="U114" s="12">
        <v>267</v>
      </c>
      <c r="V114" s="25">
        <v>311</v>
      </c>
      <c r="W114" s="25">
        <v>287</v>
      </c>
      <c r="X114" s="25">
        <v>285</v>
      </c>
      <c r="Y114" s="25">
        <v>285</v>
      </c>
      <c r="Z114" s="577">
        <v>364</v>
      </c>
      <c r="AA114" s="577">
        <v>340</v>
      </c>
      <c r="AB114" s="577">
        <v>335</v>
      </c>
      <c r="AC114" s="577">
        <v>335</v>
      </c>
      <c r="AD114" s="328">
        <v>285</v>
      </c>
      <c r="AE114" s="328">
        <v>268</v>
      </c>
      <c r="AF114" s="328">
        <v>267</v>
      </c>
      <c r="AG114" s="328">
        <v>267</v>
      </c>
      <c r="AH114" s="526">
        <v>311</v>
      </c>
      <c r="AI114" s="526">
        <v>304</v>
      </c>
      <c r="AJ114" s="526">
        <v>302</v>
      </c>
      <c r="AK114" s="526">
        <v>302</v>
      </c>
      <c r="AL114" s="524">
        <v>294</v>
      </c>
      <c r="AM114" s="524">
        <v>289</v>
      </c>
      <c r="AN114" s="524">
        <v>284</v>
      </c>
      <c r="AO114" s="524">
        <v>284</v>
      </c>
      <c r="AP114" s="991">
        <v>316</v>
      </c>
      <c r="AQ114" s="993">
        <v>308</v>
      </c>
      <c r="AR114" s="994">
        <v>297</v>
      </c>
      <c r="AS114" s="993">
        <v>297</v>
      </c>
      <c r="AT114" s="971"/>
      <c r="AU114" s="970"/>
      <c r="AV114" s="970"/>
      <c r="AW114" s="970"/>
    </row>
    <row r="115" spans="1:49" ht="24.95" customHeight="1" x14ac:dyDescent="0.2">
      <c r="A115" s="13">
        <v>325754001441</v>
      </c>
      <c r="B115" s="1" t="s">
        <v>0</v>
      </c>
      <c r="C115" s="126" t="s">
        <v>124</v>
      </c>
      <c r="D115" s="2" t="s">
        <v>123</v>
      </c>
      <c r="E115" s="2">
        <v>1</v>
      </c>
      <c r="F115" s="12">
        <v>49</v>
      </c>
      <c r="G115" s="12">
        <v>46</v>
      </c>
      <c r="H115" s="12">
        <v>46</v>
      </c>
      <c r="I115" s="12">
        <v>46</v>
      </c>
      <c r="J115" s="25">
        <v>40</v>
      </c>
      <c r="K115" s="25">
        <v>39</v>
      </c>
      <c r="L115" s="25">
        <v>39</v>
      </c>
      <c r="M115" s="25">
        <v>39</v>
      </c>
      <c r="N115" s="12">
        <v>38</v>
      </c>
      <c r="O115" s="12">
        <v>38</v>
      </c>
      <c r="P115" s="12">
        <v>38</v>
      </c>
      <c r="Q115" s="12">
        <v>38</v>
      </c>
      <c r="R115" s="12">
        <v>38</v>
      </c>
      <c r="S115" s="12">
        <v>37</v>
      </c>
      <c r="T115" s="12">
        <v>37</v>
      </c>
      <c r="U115" s="12">
        <v>37</v>
      </c>
      <c r="V115" s="25">
        <v>46</v>
      </c>
      <c r="W115" s="25">
        <v>46</v>
      </c>
      <c r="X115" s="25">
        <v>45</v>
      </c>
      <c r="Y115" s="25">
        <v>45</v>
      </c>
      <c r="Z115" s="577">
        <v>61</v>
      </c>
      <c r="AA115" s="577">
        <v>59</v>
      </c>
      <c r="AB115" s="577">
        <v>59</v>
      </c>
      <c r="AC115" s="577">
        <v>59</v>
      </c>
      <c r="AD115" s="328">
        <v>15</v>
      </c>
      <c r="AE115" s="328">
        <v>68</v>
      </c>
      <c r="AF115" s="328">
        <v>68</v>
      </c>
      <c r="AG115" s="328">
        <v>68</v>
      </c>
      <c r="AH115" s="526">
        <v>54</v>
      </c>
      <c r="AI115" s="526">
        <v>54</v>
      </c>
      <c r="AJ115" s="526">
        <v>54</v>
      </c>
      <c r="AK115" s="526">
        <v>54</v>
      </c>
      <c r="AL115" s="524">
        <v>53</v>
      </c>
      <c r="AM115" s="524">
        <v>53</v>
      </c>
      <c r="AN115" s="524">
        <v>53</v>
      </c>
      <c r="AO115" s="524">
        <v>53</v>
      </c>
      <c r="AP115" s="991">
        <v>62</v>
      </c>
      <c r="AQ115" s="993">
        <v>61</v>
      </c>
      <c r="AR115" s="994">
        <v>61</v>
      </c>
      <c r="AS115" s="993">
        <v>61</v>
      </c>
      <c r="AT115" s="971"/>
      <c r="AU115" s="970"/>
      <c r="AV115" s="970"/>
      <c r="AW115" s="970"/>
    </row>
    <row r="116" spans="1:49" ht="24.95" customHeight="1" x14ac:dyDescent="0.2">
      <c r="A116" s="13">
        <v>125754001035</v>
      </c>
      <c r="B116" s="1" t="s">
        <v>0</v>
      </c>
      <c r="C116" s="126" t="s">
        <v>53</v>
      </c>
      <c r="D116" s="2" t="s">
        <v>121</v>
      </c>
      <c r="E116" s="2">
        <v>2</v>
      </c>
      <c r="F116" s="12">
        <v>277</v>
      </c>
      <c r="G116" s="12">
        <v>278</v>
      </c>
      <c r="H116" s="12">
        <v>265</v>
      </c>
      <c r="I116" s="12">
        <v>265</v>
      </c>
      <c r="J116" s="25">
        <v>318</v>
      </c>
      <c r="K116" s="25">
        <v>315</v>
      </c>
      <c r="L116" s="25">
        <v>312</v>
      </c>
      <c r="M116" s="25">
        <v>306</v>
      </c>
      <c r="N116" s="12">
        <v>274</v>
      </c>
      <c r="O116" s="12">
        <v>266</v>
      </c>
      <c r="P116" s="12">
        <v>263</v>
      </c>
      <c r="Q116" s="12">
        <v>246</v>
      </c>
      <c r="R116" s="12">
        <v>285</v>
      </c>
      <c r="S116" s="12">
        <v>284</v>
      </c>
      <c r="T116" s="12">
        <v>283</v>
      </c>
      <c r="U116" s="12">
        <v>278</v>
      </c>
      <c r="V116" s="25">
        <v>324</v>
      </c>
      <c r="W116" s="25">
        <v>310</v>
      </c>
      <c r="X116" s="25">
        <v>306</v>
      </c>
      <c r="Y116" s="25">
        <v>306</v>
      </c>
      <c r="Z116" s="577">
        <v>262</v>
      </c>
      <c r="AA116" s="577">
        <v>245</v>
      </c>
      <c r="AB116" s="577">
        <v>239</v>
      </c>
      <c r="AC116" s="577">
        <v>239</v>
      </c>
      <c r="AD116" s="328">
        <v>378</v>
      </c>
      <c r="AE116" s="328">
        <v>343</v>
      </c>
      <c r="AF116" s="328">
        <v>334</v>
      </c>
      <c r="AG116" s="328">
        <v>334</v>
      </c>
      <c r="AH116" s="526">
        <v>332</v>
      </c>
      <c r="AI116" s="526">
        <v>325</v>
      </c>
      <c r="AJ116" s="526">
        <v>315</v>
      </c>
      <c r="AK116" s="526">
        <v>315</v>
      </c>
      <c r="AL116" s="524">
        <v>358</v>
      </c>
      <c r="AM116" s="524">
        <v>344</v>
      </c>
      <c r="AN116" s="524">
        <v>337</v>
      </c>
      <c r="AO116" s="524">
        <v>337</v>
      </c>
      <c r="AP116" s="991">
        <v>331</v>
      </c>
      <c r="AQ116" s="993">
        <v>327</v>
      </c>
      <c r="AR116" s="994">
        <v>318</v>
      </c>
      <c r="AS116" s="993">
        <v>318</v>
      </c>
      <c r="AT116" s="971"/>
      <c r="AU116" s="970"/>
      <c r="AV116" s="970"/>
      <c r="AW116" s="970"/>
    </row>
    <row r="117" spans="1:49" ht="24.95" customHeight="1" x14ac:dyDescent="0.2">
      <c r="A117" s="13">
        <v>125754001159</v>
      </c>
      <c r="B117" s="1" t="s">
        <v>0</v>
      </c>
      <c r="C117" s="126" t="s">
        <v>953</v>
      </c>
      <c r="D117" s="2" t="s">
        <v>121</v>
      </c>
      <c r="E117" s="2">
        <v>4</v>
      </c>
      <c r="F117" s="12">
        <v>149</v>
      </c>
      <c r="G117" s="12">
        <v>149</v>
      </c>
      <c r="H117" s="12">
        <v>146</v>
      </c>
      <c r="I117" s="12">
        <v>146</v>
      </c>
      <c r="J117" s="25">
        <v>143</v>
      </c>
      <c r="K117" s="25">
        <v>143</v>
      </c>
      <c r="L117" s="25">
        <v>141</v>
      </c>
      <c r="M117" s="25">
        <v>132</v>
      </c>
      <c r="N117" s="12">
        <v>167</v>
      </c>
      <c r="O117" s="12">
        <v>167</v>
      </c>
      <c r="P117" s="12">
        <v>167</v>
      </c>
      <c r="Q117" s="12">
        <v>166</v>
      </c>
      <c r="R117" s="12">
        <v>180</v>
      </c>
      <c r="S117" s="12">
        <v>177</v>
      </c>
      <c r="T117" s="12">
        <v>176</v>
      </c>
      <c r="U117" s="12">
        <v>173</v>
      </c>
      <c r="V117" s="25">
        <v>147</v>
      </c>
      <c r="W117" s="25">
        <v>139</v>
      </c>
      <c r="X117" s="25">
        <v>137</v>
      </c>
      <c r="Y117" s="25">
        <v>137</v>
      </c>
      <c r="Z117" s="577">
        <v>149</v>
      </c>
      <c r="AA117" s="577">
        <v>144</v>
      </c>
      <c r="AB117" s="577">
        <v>139</v>
      </c>
      <c r="AC117" s="577">
        <v>139</v>
      </c>
      <c r="AD117" s="328">
        <v>159</v>
      </c>
      <c r="AE117" s="328">
        <v>150</v>
      </c>
      <c r="AF117" s="328">
        <v>147</v>
      </c>
      <c r="AG117" s="328">
        <v>147</v>
      </c>
      <c r="AH117" s="526">
        <v>167</v>
      </c>
      <c r="AI117" s="526">
        <v>165</v>
      </c>
      <c r="AJ117" s="526">
        <v>163</v>
      </c>
      <c r="AK117" s="526">
        <v>163</v>
      </c>
      <c r="AL117" s="524">
        <v>142</v>
      </c>
      <c r="AM117" s="524">
        <v>138</v>
      </c>
      <c r="AN117" s="524">
        <v>133</v>
      </c>
      <c r="AO117" s="524">
        <v>133</v>
      </c>
      <c r="AP117" s="991">
        <v>161</v>
      </c>
      <c r="AQ117" s="993">
        <v>161</v>
      </c>
      <c r="AR117" s="994">
        <v>154</v>
      </c>
      <c r="AS117" s="993">
        <v>154</v>
      </c>
      <c r="AT117" s="971"/>
      <c r="AU117" s="970"/>
      <c r="AV117" s="970"/>
      <c r="AW117" s="970"/>
    </row>
    <row r="118" spans="1:49" ht="24.95" customHeight="1" x14ac:dyDescent="0.2">
      <c r="A118" s="13">
        <v>325754002596</v>
      </c>
      <c r="B118" s="1" t="s">
        <v>0</v>
      </c>
      <c r="C118" s="126" t="s">
        <v>954</v>
      </c>
      <c r="D118" s="2" t="s">
        <v>123</v>
      </c>
      <c r="E118" s="2">
        <v>1</v>
      </c>
      <c r="F118" s="12">
        <v>41</v>
      </c>
      <c r="G118" s="12">
        <v>42</v>
      </c>
      <c r="H118" s="12">
        <v>42</v>
      </c>
      <c r="I118" s="12">
        <v>42</v>
      </c>
      <c r="J118" s="25">
        <v>19</v>
      </c>
      <c r="K118" s="25">
        <v>17</v>
      </c>
      <c r="L118" s="25">
        <v>17</v>
      </c>
      <c r="M118" s="25">
        <v>17</v>
      </c>
      <c r="N118" s="12">
        <v>17</v>
      </c>
      <c r="O118" s="12">
        <v>15</v>
      </c>
      <c r="P118" s="12">
        <v>15</v>
      </c>
      <c r="Q118" s="12">
        <v>14</v>
      </c>
      <c r="R118" s="12">
        <v>24</v>
      </c>
      <c r="S118" s="12">
        <v>24</v>
      </c>
      <c r="T118" s="12">
        <v>24</v>
      </c>
      <c r="U118" s="12">
        <v>23</v>
      </c>
      <c r="V118" s="25">
        <v>28</v>
      </c>
      <c r="W118" s="25">
        <v>26</v>
      </c>
      <c r="X118" s="25">
        <v>26</v>
      </c>
      <c r="Y118" s="25">
        <v>26</v>
      </c>
      <c r="Z118" s="577">
        <v>21</v>
      </c>
      <c r="AA118" s="577">
        <v>21</v>
      </c>
      <c r="AB118" s="577">
        <v>21</v>
      </c>
      <c r="AC118" s="577">
        <v>21</v>
      </c>
      <c r="AD118" s="328">
        <v>22</v>
      </c>
      <c r="AE118" s="328">
        <v>21</v>
      </c>
      <c r="AF118" s="328">
        <v>21</v>
      </c>
      <c r="AG118" s="328">
        <v>21</v>
      </c>
      <c r="AH118" s="526">
        <v>25</v>
      </c>
      <c r="AI118" s="526">
        <v>25</v>
      </c>
      <c r="AJ118" s="526">
        <v>25</v>
      </c>
      <c r="AK118" s="526">
        <v>25</v>
      </c>
      <c r="AL118" s="524">
        <v>19</v>
      </c>
      <c r="AM118" s="524">
        <v>19</v>
      </c>
      <c r="AN118" s="524">
        <v>19</v>
      </c>
      <c r="AO118" s="524">
        <v>19</v>
      </c>
      <c r="AP118" s="991">
        <v>36</v>
      </c>
      <c r="AQ118" s="993">
        <v>36</v>
      </c>
      <c r="AR118" s="994">
        <v>35</v>
      </c>
      <c r="AS118" s="993">
        <v>35</v>
      </c>
      <c r="AT118" s="971"/>
      <c r="AU118" s="970"/>
      <c r="AV118" s="970"/>
      <c r="AW118" s="970"/>
    </row>
    <row r="119" spans="1:49" ht="24.95" customHeight="1" x14ac:dyDescent="0.2">
      <c r="A119" s="13">
        <v>125754000713</v>
      </c>
      <c r="B119" s="1" t="s">
        <v>0</v>
      </c>
      <c r="C119" s="126" t="s">
        <v>96</v>
      </c>
      <c r="D119" s="2" t="s">
        <v>121</v>
      </c>
      <c r="E119" s="2">
        <v>3</v>
      </c>
      <c r="F119" s="12">
        <v>124</v>
      </c>
      <c r="G119" s="12">
        <v>259</v>
      </c>
      <c r="H119" s="12">
        <v>255</v>
      </c>
      <c r="I119" s="12">
        <v>255</v>
      </c>
      <c r="J119" s="25">
        <v>327</v>
      </c>
      <c r="K119" s="25">
        <v>330</v>
      </c>
      <c r="L119" s="25">
        <v>326</v>
      </c>
      <c r="M119" s="25">
        <v>321</v>
      </c>
      <c r="N119" s="12">
        <v>367</v>
      </c>
      <c r="O119" s="12">
        <v>366</v>
      </c>
      <c r="P119" s="12">
        <v>362</v>
      </c>
      <c r="Q119" s="12">
        <v>358</v>
      </c>
      <c r="R119" s="12">
        <v>304</v>
      </c>
      <c r="S119" s="12">
        <v>296</v>
      </c>
      <c r="T119" s="12">
        <v>296</v>
      </c>
      <c r="U119" s="12">
        <v>288</v>
      </c>
      <c r="V119" s="25">
        <v>114</v>
      </c>
      <c r="W119" s="25">
        <v>106</v>
      </c>
      <c r="X119" s="25">
        <v>106</v>
      </c>
      <c r="Y119" s="25">
        <v>106</v>
      </c>
      <c r="Z119" s="577">
        <v>140</v>
      </c>
      <c r="AA119" s="577">
        <v>132</v>
      </c>
      <c r="AB119" s="577">
        <v>120</v>
      </c>
      <c r="AC119" s="577">
        <v>120</v>
      </c>
      <c r="AD119" s="328">
        <v>133</v>
      </c>
      <c r="AE119" s="328">
        <v>127</v>
      </c>
      <c r="AF119" s="328">
        <v>126</v>
      </c>
      <c r="AG119" s="328">
        <v>126</v>
      </c>
      <c r="AH119" s="526">
        <v>118</v>
      </c>
      <c r="AI119" s="526">
        <v>110</v>
      </c>
      <c r="AJ119" s="526">
        <v>106</v>
      </c>
      <c r="AK119" s="526">
        <v>106</v>
      </c>
      <c r="AL119" s="524">
        <v>93</v>
      </c>
      <c r="AM119" s="524">
        <v>90</v>
      </c>
      <c r="AN119" s="524">
        <v>88</v>
      </c>
      <c r="AO119" s="524">
        <v>88</v>
      </c>
      <c r="AP119" s="991">
        <v>113</v>
      </c>
      <c r="AQ119" s="993">
        <v>109</v>
      </c>
      <c r="AR119" s="994">
        <v>107</v>
      </c>
      <c r="AS119" s="993">
        <v>107</v>
      </c>
      <c r="AT119" s="971"/>
      <c r="AU119" s="970"/>
      <c r="AV119" s="970"/>
      <c r="AW119" s="970"/>
    </row>
    <row r="120" spans="1:49" ht="24.95" customHeight="1" x14ac:dyDescent="0.2">
      <c r="A120" s="13">
        <v>125754001019</v>
      </c>
      <c r="B120" s="1" t="s">
        <v>0</v>
      </c>
      <c r="C120" s="126" t="s">
        <v>25</v>
      </c>
      <c r="D120" s="2" t="s">
        <v>121</v>
      </c>
      <c r="E120" s="2">
        <v>6</v>
      </c>
      <c r="F120" s="12">
        <v>0</v>
      </c>
      <c r="G120" s="12">
        <v>168</v>
      </c>
      <c r="H120" s="12">
        <v>163</v>
      </c>
      <c r="I120" s="12">
        <v>163</v>
      </c>
      <c r="J120" s="25">
        <v>149</v>
      </c>
      <c r="K120" s="25">
        <v>141</v>
      </c>
      <c r="L120" s="25">
        <v>141</v>
      </c>
      <c r="M120" s="25">
        <v>135</v>
      </c>
      <c r="N120" s="12">
        <v>170</v>
      </c>
      <c r="O120" s="12">
        <v>166</v>
      </c>
      <c r="P120" s="12">
        <v>162</v>
      </c>
      <c r="Q120" s="12">
        <v>160</v>
      </c>
      <c r="R120" s="12">
        <v>186</v>
      </c>
      <c r="S120" s="12">
        <v>184</v>
      </c>
      <c r="T120" s="12">
        <v>184</v>
      </c>
      <c r="U120" s="12">
        <v>179</v>
      </c>
      <c r="V120" s="25">
        <v>191</v>
      </c>
      <c r="W120" s="25">
        <v>180</v>
      </c>
      <c r="X120" s="25">
        <v>175</v>
      </c>
      <c r="Y120" s="25">
        <v>175</v>
      </c>
      <c r="Z120" s="577">
        <v>210</v>
      </c>
      <c r="AA120" s="577">
        <v>204</v>
      </c>
      <c r="AB120" s="577">
        <v>200</v>
      </c>
      <c r="AC120" s="577">
        <v>200</v>
      </c>
      <c r="AD120" s="328">
        <v>233</v>
      </c>
      <c r="AE120" s="328">
        <v>222</v>
      </c>
      <c r="AF120" s="328">
        <v>219</v>
      </c>
      <c r="AG120" s="328">
        <v>219</v>
      </c>
      <c r="AH120" s="526">
        <v>125</v>
      </c>
      <c r="AI120" s="526">
        <v>155</v>
      </c>
      <c r="AJ120" s="526">
        <v>144</v>
      </c>
      <c r="AK120" s="526">
        <v>144</v>
      </c>
      <c r="AL120" s="524">
        <v>199</v>
      </c>
      <c r="AM120" s="524">
        <v>196</v>
      </c>
      <c r="AN120" s="524">
        <v>193</v>
      </c>
      <c r="AO120" s="524">
        <v>193</v>
      </c>
      <c r="AP120" s="991">
        <v>178</v>
      </c>
      <c r="AQ120" s="993">
        <v>175</v>
      </c>
      <c r="AR120" s="994">
        <v>167</v>
      </c>
      <c r="AS120" s="993">
        <v>167</v>
      </c>
      <c r="AT120" s="971"/>
      <c r="AU120" s="970"/>
      <c r="AV120" s="970"/>
      <c r="AW120" s="970"/>
    </row>
    <row r="121" spans="1:49" ht="24.95" customHeight="1" x14ac:dyDescent="0.2">
      <c r="A121" s="13">
        <v>125754003291</v>
      </c>
      <c r="B121" s="1" t="s">
        <v>0</v>
      </c>
      <c r="C121" s="126" t="s">
        <v>41</v>
      </c>
      <c r="D121" s="2" t="s">
        <v>121</v>
      </c>
      <c r="E121" s="2">
        <v>3</v>
      </c>
      <c r="F121" s="12">
        <v>191</v>
      </c>
      <c r="G121" s="12">
        <v>192</v>
      </c>
      <c r="H121" s="12">
        <v>188</v>
      </c>
      <c r="I121" s="12">
        <v>188</v>
      </c>
      <c r="J121" s="25">
        <v>286</v>
      </c>
      <c r="K121" s="25">
        <v>278</v>
      </c>
      <c r="L121" s="25">
        <v>276</v>
      </c>
      <c r="M121" s="25">
        <v>270</v>
      </c>
      <c r="N121" s="12">
        <v>325</v>
      </c>
      <c r="O121" s="12">
        <v>311</v>
      </c>
      <c r="P121" s="12">
        <v>310</v>
      </c>
      <c r="Q121" s="12">
        <v>309</v>
      </c>
      <c r="R121" s="12">
        <v>344</v>
      </c>
      <c r="S121" s="12">
        <v>313</v>
      </c>
      <c r="T121" s="12">
        <v>309</v>
      </c>
      <c r="U121" s="12">
        <v>309</v>
      </c>
      <c r="V121" s="25">
        <v>359</v>
      </c>
      <c r="W121" s="25">
        <v>331</v>
      </c>
      <c r="X121" s="25">
        <v>330</v>
      </c>
      <c r="Y121" s="25">
        <v>330</v>
      </c>
      <c r="Z121" s="577">
        <v>199</v>
      </c>
      <c r="AA121" s="577">
        <v>196</v>
      </c>
      <c r="AB121" s="577">
        <v>189</v>
      </c>
      <c r="AC121" s="577">
        <v>189</v>
      </c>
      <c r="AD121" s="328">
        <v>209</v>
      </c>
      <c r="AE121" s="328">
        <v>194</v>
      </c>
      <c r="AF121" s="328">
        <v>191</v>
      </c>
      <c r="AG121" s="328">
        <v>191</v>
      </c>
      <c r="AH121" s="526">
        <v>264</v>
      </c>
      <c r="AI121" s="526">
        <v>254</v>
      </c>
      <c r="AJ121" s="526">
        <v>247</v>
      </c>
      <c r="AK121" s="526">
        <v>247</v>
      </c>
      <c r="AL121" s="524">
        <v>236</v>
      </c>
      <c r="AM121" s="524">
        <v>233</v>
      </c>
      <c r="AN121" s="524">
        <v>225</v>
      </c>
      <c r="AO121" s="524">
        <v>225</v>
      </c>
      <c r="AP121" s="991">
        <v>218</v>
      </c>
      <c r="AQ121" s="993">
        <v>213</v>
      </c>
      <c r="AR121" s="994">
        <v>210</v>
      </c>
      <c r="AS121" s="993">
        <v>210</v>
      </c>
      <c r="AT121" s="971"/>
      <c r="AU121" s="970"/>
      <c r="AV121" s="970"/>
      <c r="AW121" s="970"/>
    </row>
    <row r="122" spans="1:49" ht="24.95" customHeight="1" x14ac:dyDescent="0.2">
      <c r="A122" s="13">
        <v>325754004076</v>
      </c>
      <c r="B122" s="1" t="s">
        <v>0</v>
      </c>
      <c r="C122" s="126" t="s">
        <v>62</v>
      </c>
      <c r="D122" s="2" t="s">
        <v>123</v>
      </c>
      <c r="E122" s="2">
        <v>1</v>
      </c>
      <c r="F122" s="12">
        <v>31</v>
      </c>
      <c r="G122" s="12">
        <v>31</v>
      </c>
      <c r="H122" s="12">
        <v>31</v>
      </c>
      <c r="I122" s="12">
        <v>31</v>
      </c>
      <c r="J122" s="25">
        <v>38</v>
      </c>
      <c r="K122" s="25">
        <v>38</v>
      </c>
      <c r="L122" s="25">
        <v>38</v>
      </c>
      <c r="M122" s="25">
        <v>38</v>
      </c>
      <c r="N122" s="12">
        <v>47</v>
      </c>
      <c r="O122" s="12">
        <v>46</v>
      </c>
      <c r="P122" s="12">
        <v>46</v>
      </c>
      <c r="Q122" s="12">
        <v>46</v>
      </c>
      <c r="R122" s="12">
        <v>37</v>
      </c>
      <c r="S122" s="12">
        <v>37</v>
      </c>
      <c r="T122" s="12">
        <v>37</v>
      </c>
      <c r="U122" s="12">
        <v>37</v>
      </c>
      <c r="V122" s="25">
        <v>22</v>
      </c>
      <c r="W122" s="25">
        <v>22</v>
      </c>
      <c r="X122" s="25">
        <v>22</v>
      </c>
      <c r="Y122" s="25">
        <v>22</v>
      </c>
      <c r="Z122" s="577">
        <v>37</v>
      </c>
      <c r="AA122" s="577">
        <v>37</v>
      </c>
      <c r="AB122" s="577">
        <v>37</v>
      </c>
      <c r="AC122" s="577">
        <v>37</v>
      </c>
      <c r="AD122" s="328">
        <v>34</v>
      </c>
      <c r="AE122" s="328">
        <v>34</v>
      </c>
      <c r="AF122" s="328">
        <v>34</v>
      </c>
      <c r="AG122" s="328">
        <v>34</v>
      </c>
      <c r="AH122" s="526">
        <v>60</v>
      </c>
      <c r="AI122" s="526">
        <v>60</v>
      </c>
      <c r="AJ122" s="526">
        <v>60</v>
      </c>
      <c r="AK122" s="526">
        <v>60</v>
      </c>
      <c r="AL122" s="524">
        <v>48</v>
      </c>
      <c r="AM122" s="524">
        <v>48</v>
      </c>
      <c r="AN122" s="524">
        <v>48</v>
      </c>
      <c r="AO122" s="524">
        <v>48</v>
      </c>
      <c r="AP122" s="991">
        <v>44</v>
      </c>
      <c r="AQ122" s="993">
        <v>44</v>
      </c>
      <c r="AR122" s="994">
        <v>43</v>
      </c>
      <c r="AS122" s="993">
        <v>43</v>
      </c>
      <c r="AT122" s="971"/>
      <c r="AU122" s="970"/>
      <c r="AV122" s="970"/>
      <c r="AW122" s="970"/>
    </row>
    <row r="123" spans="1:49" ht="24.95" customHeight="1" x14ac:dyDescent="0.2">
      <c r="A123" s="605">
        <v>125754000934</v>
      </c>
      <c r="B123" s="310" t="s">
        <v>0</v>
      </c>
      <c r="C123" s="555" t="s">
        <v>103</v>
      </c>
      <c r="D123" s="2" t="s">
        <v>121</v>
      </c>
      <c r="E123" s="309">
        <v>4</v>
      </c>
      <c r="F123" s="328">
        <v>36</v>
      </c>
      <c r="G123" s="328">
        <v>35</v>
      </c>
      <c r="H123" s="328">
        <v>35</v>
      </c>
      <c r="I123" s="328">
        <v>35</v>
      </c>
      <c r="J123" s="329">
        <v>41</v>
      </c>
      <c r="K123" s="329">
        <v>40</v>
      </c>
      <c r="L123" s="329">
        <v>39</v>
      </c>
      <c r="M123" s="329">
        <v>39</v>
      </c>
      <c r="N123" s="328">
        <v>36</v>
      </c>
      <c r="O123" s="328">
        <v>34</v>
      </c>
      <c r="P123" s="328">
        <v>33</v>
      </c>
      <c r="Q123" s="328">
        <v>33</v>
      </c>
      <c r="R123" s="328">
        <v>42</v>
      </c>
      <c r="S123" s="328">
        <v>41</v>
      </c>
      <c r="T123" s="328">
        <v>41</v>
      </c>
      <c r="U123" s="328">
        <v>41</v>
      </c>
      <c r="V123" s="329">
        <v>36</v>
      </c>
      <c r="W123" s="329">
        <v>32</v>
      </c>
      <c r="X123" s="329">
        <v>32</v>
      </c>
      <c r="Y123" s="329">
        <v>32</v>
      </c>
      <c r="Z123" s="578">
        <v>34</v>
      </c>
      <c r="AA123" s="578">
        <v>33</v>
      </c>
      <c r="AB123" s="578">
        <v>30</v>
      </c>
      <c r="AC123" s="578">
        <v>30</v>
      </c>
      <c r="AD123" s="328">
        <v>35</v>
      </c>
      <c r="AE123" s="328">
        <v>36</v>
      </c>
      <c r="AF123" s="328">
        <v>36</v>
      </c>
      <c r="AG123" s="328">
        <v>36</v>
      </c>
      <c r="AH123" s="526">
        <v>32</v>
      </c>
      <c r="AI123" s="526">
        <v>32</v>
      </c>
      <c r="AJ123" s="526">
        <v>32</v>
      </c>
      <c r="AK123" s="526">
        <v>32</v>
      </c>
      <c r="AL123" s="524">
        <v>30</v>
      </c>
      <c r="AM123" s="524">
        <v>30</v>
      </c>
      <c r="AN123" s="524">
        <v>30</v>
      </c>
      <c r="AO123" s="524">
        <v>30</v>
      </c>
      <c r="AP123" s="991">
        <v>38</v>
      </c>
      <c r="AQ123" s="993">
        <v>38</v>
      </c>
      <c r="AR123" s="994">
        <v>38</v>
      </c>
      <c r="AS123" s="993">
        <v>38</v>
      </c>
      <c r="AT123" s="971"/>
      <c r="AU123" s="970"/>
      <c r="AV123" s="970"/>
      <c r="AW123" s="970"/>
    </row>
    <row r="124" spans="1:49" ht="24.95" customHeight="1" x14ac:dyDescent="0.2">
      <c r="A124" s="13">
        <v>125754800141</v>
      </c>
      <c r="B124" s="1" t="s">
        <v>0</v>
      </c>
      <c r="C124" s="760" t="s">
        <v>802</v>
      </c>
      <c r="D124" s="2" t="s">
        <v>121</v>
      </c>
      <c r="E124" s="2">
        <v>2</v>
      </c>
      <c r="F124" s="12"/>
      <c r="G124" s="12"/>
      <c r="H124" s="12"/>
      <c r="I124" s="12"/>
      <c r="J124" s="25"/>
      <c r="K124" s="25"/>
      <c r="L124" s="25"/>
      <c r="M124" s="25"/>
      <c r="N124" s="12"/>
      <c r="O124" s="12"/>
      <c r="P124" s="12"/>
      <c r="Q124" s="12"/>
      <c r="R124" s="12"/>
      <c r="S124" s="12"/>
      <c r="T124" s="12"/>
      <c r="U124" s="12"/>
      <c r="V124" s="25"/>
      <c r="W124" s="25"/>
      <c r="X124" s="25"/>
      <c r="Y124" s="25"/>
      <c r="Z124" s="577"/>
      <c r="AA124" s="577"/>
      <c r="AB124" s="577"/>
      <c r="AC124" s="577"/>
      <c r="AD124" s="328">
        <v>39</v>
      </c>
      <c r="AE124" s="328">
        <v>39</v>
      </c>
      <c r="AF124" s="328">
        <v>39</v>
      </c>
      <c r="AG124" s="328">
        <v>39</v>
      </c>
      <c r="AH124" s="526">
        <v>78</v>
      </c>
      <c r="AI124" s="526">
        <v>78</v>
      </c>
      <c r="AJ124" s="526">
        <v>78</v>
      </c>
      <c r="AK124" s="526">
        <v>78</v>
      </c>
      <c r="AL124" s="524">
        <v>109</v>
      </c>
      <c r="AM124" s="524">
        <v>107</v>
      </c>
      <c r="AN124" s="524">
        <v>105</v>
      </c>
      <c r="AO124" s="524">
        <v>105</v>
      </c>
      <c r="AP124" s="991">
        <v>78</v>
      </c>
      <c r="AQ124" s="993">
        <v>78</v>
      </c>
      <c r="AR124" s="994">
        <v>74</v>
      </c>
      <c r="AS124" s="993">
        <v>74</v>
      </c>
      <c r="AT124" s="971"/>
      <c r="AU124" s="970"/>
      <c r="AV124" s="970"/>
      <c r="AW124" s="970"/>
    </row>
    <row r="125" spans="1:49" ht="24.95" customHeight="1" x14ac:dyDescent="0.2">
      <c r="A125" s="605">
        <v>225754000238</v>
      </c>
      <c r="B125" s="310" t="s">
        <v>0</v>
      </c>
      <c r="C125" s="555" t="s">
        <v>74</v>
      </c>
      <c r="D125" s="2" t="s">
        <v>121</v>
      </c>
      <c r="E125" s="309">
        <v>3</v>
      </c>
      <c r="F125" s="328">
        <v>134</v>
      </c>
      <c r="G125" s="328">
        <v>135</v>
      </c>
      <c r="H125" s="328">
        <v>132</v>
      </c>
      <c r="I125" s="328">
        <v>132</v>
      </c>
      <c r="J125" s="329">
        <v>139</v>
      </c>
      <c r="K125" s="329">
        <v>137</v>
      </c>
      <c r="L125" s="329">
        <v>136</v>
      </c>
      <c r="M125" s="329">
        <v>135</v>
      </c>
      <c r="N125" s="328">
        <v>117</v>
      </c>
      <c r="O125" s="328">
        <v>116</v>
      </c>
      <c r="P125" s="328">
        <v>115</v>
      </c>
      <c r="Q125" s="328">
        <v>115</v>
      </c>
      <c r="R125" s="328">
        <v>125</v>
      </c>
      <c r="S125" s="328">
        <v>123</v>
      </c>
      <c r="T125" s="328">
        <v>123</v>
      </c>
      <c r="U125" s="328">
        <v>121</v>
      </c>
      <c r="V125" s="329">
        <v>84</v>
      </c>
      <c r="W125" s="329">
        <v>78</v>
      </c>
      <c r="X125" s="329">
        <v>76</v>
      </c>
      <c r="Y125" s="329">
        <v>76</v>
      </c>
      <c r="Z125" s="578">
        <v>118</v>
      </c>
      <c r="AA125" s="578">
        <v>116</v>
      </c>
      <c r="AB125" s="578">
        <v>112</v>
      </c>
      <c r="AC125" s="578">
        <v>112</v>
      </c>
      <c r="AD125" s="328">
        <v>98</v>
      </c>
      <c r="AE125" s="328">
        <v>97</v>
      </c>
      <c r="AF125" s="328">
        <v>94</v>
      </c>
      <c r="AG125" s="328">
        <v>94</v>
      </c>
      <c r="AH125" s="526">
        <v>119</v>
      </c>
      <c r="AI125" s="526">
        <v>118</v>
      </c>
      <c r="AJ125" s="526">
        <v>113</v>
      </c>
      <c r="AK125" s="526">
        <v>113</v>
      </c>
      <c r="AL125" s="524">
        <v>100</v>
      </c>
      <c r="AM125" s="524">
        <v>100</v>
      </c>
      <c r="AN125" s="524">
        <v>98</v>
      </c>
      <c r="AO125" s="524">
        <v>98</v>
      </c>
      <c r="AP125" s="991">
        <v>134</v>
      </c>
      <c r="AQ125" s="993">
        <v>134</v>
      </c>
      <c r="AR125" s="994">
        <v>132</v>
      </c>
      <c r="AS125" s="993">
        <v>132</v>
      </c>
      <c r="AT125" s="971"/>
      <c r="AU125" s="970"/>
      <c r="AV125" s="970"/>
      <c r="AW125" s="970"/>
    </row>
    <row r="126" spans="1:49" ht="24.95" customHeight="1" x14ac:dyDescent="0.2">
      <c r="A126" s="13">
        <v>125754800132</v>
      </c>
      <c r="B126" s="1" t="s">
        <v>0</v>
      </c>
      <c r="C126" s="760" t="s">
        <v>803</v>
      </c>
      <c r="D126" s="2" t="s">
        <v>121</v>
      </c>
      <c r="E126" s="2">
        <v>1</v>
      </c>
      <c r="F126" s="12"/>
      <c r="G126" s="12"/>
      <c r="H126" s="12"/>
      <c r="I126" s="12"/>
      <c r="J126" s="25"/>
      <c r="K126" s="25"/>
      <c r="L126" s="25"/>
      <c r="M126" s="25"/>
      <c r="N126" s="12"/>
      <c r="O126" s="12"/>
      <c r="P126" s="12"/>
      <c r="Q126" s="12"/>
      <c r="R126" s="12"/>
      <c r="S126" s="12"/>
      <c r="T126" s="12"/>
      <c r="U126" s="12"/>
      <c r="V126" s="25"/>
      <c r="W126" s="25"/>
      <c r="X126" s="25"/>
      <c r="Y126" s="25"/>
      <c r="Z126" s="577"/>
      <c r="AA126" s="577"/>
      <c r="AB126" s="577"/>
      <c r="AC126" s="577"/>
      <c r="AD126" s="328">
        <v>39</v>
      </c>
      <c r="AE126" s="328">
        <v>38</v>
      </c>
      <c r="AF126" s="328">
        <v>38</v>
      </c>
      <c r="AG126" s="328">
        <v>38</v>
      </c>
      <c r="AH126" s="526">
        <v>75</v>
      </c>
      <c r="AI126" s="526">
        <v>73</v>
      </c>
      <c r="AJ126" s="526">
        <v>72</v>
      </c>
      <c r="AK126" s="526">
        <v>72</v>
      </c>
      <c r="AL126" s="524">
        <v>108</v>
      </c>
      <c r="AM126" s="524">
        <v>108</v>
      </c>
      <c r="AN126" s="524">
        <v>106</v>
      </c>
      <c r="AO126" s="524">
        <v>106</v>
      </c>
      <c r="AP126" s="991">
        <v>75</v>
      </c>
      <c r="AQ126" s="993">
        <v>75</v>
      </c>
      <c r="AR126" s="994">
        <v>72</v>
      </c>
      <c r="AS126" s="993">
        <v>72</v>
      </c>
      <c r="AT126" s="971"/>
      <c r="AU126" s="970"/>
      <c r="AV126" s="970"/>
      <c r="AW126" s="970"/>
    </row>
    <row r="127" spans="1:49" ht="24.95" customHeight="1" x14ac:dyDescent="0.2">
      <c r="A127" s="13">
        <v>125754000250</v>
      </c>
      <c r="B127" s="1" t="s">
        <v>0</v>
      </c>
      <c r="C127" s="126" t="s">
        <v>54</v>
      </c>
      <c r="D127" s="2" t="s">
        <v>121</v>
      </c>
      <c r="E127" s="2">
        <v>1</v>
      </c>
      <c r="F127" s="12">
        <v>84</v>
      </c>
      <c r="G127" s="12">
        <v>84</v>
      </c>
      <c r="H127" s="12">
        <v>83</v>
      </c>
      <c r="I127" s="12">
        <v>83</v>
      </c>
      <c r="J127" s="25">
        <v>101</v>
      </c>
      <c r="K127" s="25">
        <v>101</v>
      </c>
      <c r="L127" s="25">
        <v>101</v>
      </c>
      <c r="M127" s="25">
        <v>101</v>
      </c>
      <c r="N127" s="12">
        <v>111</v>
      </c>
      <c r="O127" s="12">
        <v>109</v>
      </c>
      <c r="P127" s="12">
        <v>108</v>
      </c>
      <c r="Q127" s="12">
        <v>107</v>
      </c>
      <c r="R127" s="12">
        <v>130</v>
      </c>
      <c r="S127" s="12">
        <v>132</v>
      </c>
      <c r="T127" s="12">
        <v>131</v>
      </c>
      <c r="U127" s="12">
        <v>130</v>
      </c>
      <c r="V127" s="25">
        <v>109</v>
      </c>
      <c r="W127" s="25">
        <v>101</v>
      </c>
      <c r="X127" s="25">
        <v>101</v>
      </c>
      <c r="Y127" s="25">
        <v>101</v>
      </c>
      <c r="Z127" s="577">
        <v>126</v>
      </c>
      <c r="AA127" s="577">
        <v>124</v>
      </c>
      <c r="AB127" s="577">
        <v>123</v>
      </c>
      <c r="AC127" s="577">
        <v>123</v>
      </c>
      <c r="AD127" s="328">
        <v>109</v>
      </c>
      <c r="AE127" s="328">
        <v>108</v>
      </c>
      <c r="AF127" s="328">
        <v>104</v>
      </c>
      <c r="AG127" s="328">
        <v>104</v>
      </c>
      <c r="AH127" s="615">
        <v>128</v>
      </c>
      <c r="AI127" s="615">
        <v>127</v>
      </c>
      <c r="AJ127" s="615">
        <v>126</v>
      </c>
      <c r="AK127" s="615">
        <v>126</v>
      </c>
      <c r="AL127" s="47">
        <v>123</v>
      </c>
      <c r="AM127" s="47">
        <v>121</v>
      </c>
      <c r="AN127" s="47">
        <v>120</v>
      </c>
      <c r="AO127" s="47">
        <v>120</v>
      </c>
      <c r="AP127" s="991">
        <v>136</v>
      </c>
      <c r="AQ127" s="993">
        <v>131</v>
      </c>
      <c r="AR127" s="994">
        <v>130</v>
      </c>
      <c r="AS127" s="993">
        <v>130</v>
      </c>
      <c r="AT127" s="971"/>
      <c r="AU127" s="970"/>
      <c r="AV127" s="970"/>
      <c r="AW127" s="970"/>
    </row>
    <row r="128" spans="1:49" ht="24.95" customHeight="1" x14ac:dyDescent="0.2">
      <c r="A128" s="605">
        <v>425754001811</v>
      </c>
      <c r="B128" s="310" t="s">
        <v>0</v>
      </c>
      <c r="C128" s="555" t="s">
        <v>34</v>
      </c>
      <c r="D128" s="2" t="s">
        <v>123</v>
      </c>
      <c r="E128" s="309">
        <v>1</v>
      </c>
      <c r="F128" s="328">
        <v>86</v>
      </c>
      <c r="G128" s="328">
        <v>85</v>
      </c>
      <c r="H128" s="328">
        <v>84</v>
      </c>
      <c r="I128" s="328">
        <v>84</v>
      </c>
      <c r="J128" s="329">
        <v>76</v>
      </c>
      <c r="K128" s="329">
        <v>77</v>
      </c>
      <c r="L128" s="329">
        <v>77</v>
      </c>
      <c r="M128" s="329">
        <v>76</v>
      </c>
      <c r="N128" s="328">
        <v>77</v>
      </c>
      <c r="O128" s="328">
        <v>79</v>
      </c>
      <c r="P128" s="328">
        <v>79</v>
      </c>
      <c r="Q128" s="328">
        <v>79</v>
      </c>
      <c r="R128" s="328">
        <v>56</v>
      </c>
      <c r="S128" s="328">
        <v>57</v>
      </c>
      <c r="T128" s="328">
        <v>57</v>
      </c>
      <c r="U128" s="328">
        <v>57</v>
      </c>
      <c r="V128" s="329">
        <v>60</v>
      </c>
      <c r="W128" s="329">
        <v>60</v>
      </c>
      <c r="X128" s="329">
        <v>60</v>
      </c>
      <c r="Y128" s="329">
        <v>60</v>
      </c>
      <c r="Z128" s="578">
        <v>60</v>
      </c>
      <c r="AA128" s="578">
        <v>63</v>
      </c>
      <c r="AB128" s="578">
        <v>61</v>
      </c>
      <c r="AC128" s="578">
        <v>61</v>
      </c>
      <c r="AD128" s="328">
        <v>60</v>
      </c>
      <c r="AE128" s="328">
        <v>59</v>
      </c>
      <c r="AF128" s="328">
        <v>59</v>
      </c>
      <c r="AG128" s="328">
        <v>59</v>
      </c>
      <c r="AH128" s="614"/>
      <c r="AI128" s="614"/>
      <c r="AJ128" s="614"/>
      <c r="AK128" s="614"/>
      <c r="AL128" s="616"/>
      <c r="AM128" s="616"/>
      <c r="AN128" s="616"/>
      <c r="AO128" s="616"/>
      <c r="AP128" s="991"/>
      <c r="AQ128" s="993"/>
      <c r="AR128" s="994"/>
      <c r="AS128" s="993"/>
      <c r="AT128" s="971"/>
      <c r="AU128" s="970"/>
      <c r="AV128" s="970"/>
      <c r="AW128" s="970"/>
    </row>
    <row r="129" spans="1:49" ht="24.95" customHeight="1" x14ac:dyDescent="0.2">
      <c r="A129" s="13">
        <v>125754800329</v>
      </c>
      <c r="B129" s="1" t="s">
        <v>0</v>
      </c>
      <c r="C129" s="760" t="s">
        <v>804</v>
      </c>
      <c r="D129" s="2" t="s">
        <v>121</v>
      </c>
      <c r="E129" s="2">
        <v>3</v>
      </c>
      <c r="F129" s="12"/>
      <c r="G129" s="12"/>
      <c r="H129" s="12"/>
      <c r="I129" s="12"/>
      <c r="J129" s="25"/>
      <c r="K129" s="25"/>
      <c r="L129" s="25"/>
      <c r="M129" s="25"/>
      <c r="N129" s="12"/>
      <c r="O129" s="12"/>
      <c r="P129" s="12"/>
      <c r="Q129" s="12"/>
      <c r="R129" s="12"/>
      <c r="S129" s="12"/>
      <c r="T129" s="12"/>
      <c r="U129" s="12"/>
      <c r="V129" s="25"/>
      <c r="W129" s="25"/>
      <c r="X129" s="25"/>
      <c r="Y129" s="25"/>
      <c r="Z129" s="577"/>
      <c r="AA129" s="577"/>
      <c r="AB129" s="577"/>
      <c r="AC129" s="577"/>
      <c r="AD129" s="328">
        <v>86</v>
      </c>
      <c r="AE129" s="328">
        <v>86</v>
      </c>
      <c r="AF129" s="328">
        <v>85</v>
      </c>
      <c r="AG129" s="328">
        <v>85</v>
      </c>
      <c r="AH129" s="526">
        <v>146</v>
      </c>
      <c r="AI129" s="526">
        <v>145</v>
      </c>
      <c r="AJ129" s="526">
        <v>145</v>
      </c>
      <c r="AK129" s="526">
        <v>145</v>
      </c>
      <c r="AL129" s="524">
        <v>194</v>
      </c>
      <c r="AM129" s="524">
        <v>193</v>
      </c>
      <c r="AN129" s="524">
        <v>191</v>
      </c>
      <c r="AO129" s="524">
        <v>191</v>
      </c>
      <c r="AP129" s="991">
        <v>207</v>
      </c>
      <c r="AQ129" s="993">
        <v>204</v>
      </c>
      <c r="AR129" s="994">
        <v>200</v>
      </c>
      <c r="AS129" s="993">
        <v>200</v>
      </c>
      <c r="AT129" s="971"/>
      <c r="AU129" s="970"/>
      <c r="AV129" s="970"/>
      <c r="AW129" s="970"/>
    </row>
    <row r="130" spans="1:49" ht="24.95" customHeight="1" x14ac:dyDescent="0.2">
      <c r="A130" s="605">
        <v>325754005404</v>
      </c>
      <c r="B130" s="310" t="s">
        <v>0</v>
      </c>
      <c r="C130" s="760" t="s">
        <v>176</v>
      </c>
      <c r="D130" s="2" t="s">
        <v>121</v>
      </c>
      <c r="E130" s="309">
        <v>6</v>
      </c>
      <c r="F130" s="328">
        <v>104</v>
      </c>
      <c r="G130" s="328">
        <v>105</v>
      </c>
      <c r="H130" s="328">
        <v>103</v>
      </c>
      <c r="I130" s="328">
        <v>103</v>
      </c>
      <c r="J130" s="329">
        <v>103</v>
      </c>
      <c r="K130" s="329">
        <v>105</v>
      </c>
      <c r="L130" s="329">
        <v>103</v>
      </c>
      <c r="M130" s="329">
        <v>103</v>
      </c>
      <c r="N130" s="328">
        <v>111</v>
      </c>
      <c r="O130" s="328">
        <v>111</v>
      </c>
      <c r="P130" s="328">
        <v>111</v>
      </c>
      <c r="Q130" s="328">
        <v>109</v>
      </c>
      <c r="R130" s="328">
        <v>111</v>
      </c>
      <c r="S130" s="328">
        <v>113</v>
      </c>
      <c r="T130" s="328">
        <v>113</v>
      </c>
      <c r="U130" s="328">
        <v>113</v>
      </c>
      <c r="V130" s="329">
        <v>117</v>
      </c>
      <c r="W130" s="329">
        <v>116</v>
      </c>
      <c r="X130" s="329">
        <v>114</v>
      </c>
      <c r="Y130" s="329">
        <v>114</v>
      </c>
      <c r="Z130" s="578">
        <v>117</v>
      </c>
      <c r="AA130" s="578">
        <v>117</v>
      </c>
      <c r="AB130" s="578">
        <v>114</v>
      </c>
      <c r="AC130" s="578">
        <v>114</v>
      </c>
      <c r="AD130" s="328">
        <v>110</v>
      </c>
      <c r="AE130" s="328">
        <v>109</v>
      </c>
      <c r="AF130" s="328">
        <v>107</v>
      </c>
      <c r="AG130" s="328">
        <v>107</v>
      </c>
      <c r="AH130" s="526">
        <v>111</v>
      </c>
      <c r="AI130" s="526">
        <v>109</v>
      </c>
      <c r="AJ130" s="526">
        <v>109</v>
      </c>
      <c r="AK130" s="526">
        <v>109</v>
      </c>
      <c r="AL130" s="524">
        <v>116</v>
      </c>
      <c r="AM130" s="524">
        <v>115</v>
      </c>
      <c r="AN130" s="524">
        <v>114</v>
      </c>
      <c r="AO130" s="524">
        <v>114</v>
      </c>
      <c r="AP130" s="991">
        <v>113</v>
      </c>
      <c r="AQ130" s="993">
        <v>112</v>
      </c>
      <c r="AR130" s="994">
        <v>111</v>
      </c>
      <c r="AS130" s="993">
        <v>111</v>
      </c>
      <c r="AT130" s="971"/>
      <c r="AU130" s="970"/>
      <c r="AV130" s="970"/>
      <c r="AW130" s="970"/>
    </row>
    <row r="131" spans="1:49" ht="24.95" customHeight="1" x14ac:dyDescent="0.2">
      <c r="A131" s="13">
        <v>125754800256</v>
      </c>
      <c r="B131" s="1" t="s">
        <v>0</v>
      </c>
      <c r="C131" s="126" t="s">
        <v>805</v>
      </c>
      <c r="D131" s="2" t="s">
        <v>121</v>
      </c>
      <c r="E131" s="2">
        <v>2</v>
      </c>
      <c r="F131" s="12"/>
      <c r="G131" s="12"/>
      <c r="H131" s="12"/>
      <c r="I131" s="12"/>
      <c r="J131" s="25"/>
      <c r="K131" s="25"/>
      <c r="L131" s="25"/>
      <c r="M131" s="25"/>
      <c r="N131" s="12"/>
      <c r="O131" s="12"/>
      <c r="P131" s="12"/>
      <c r="Q131" s="12"/>
      <c r="R131" s="12"/>
      <c r="S131" s="12"/>
      <c r="T131" s="12"/>
      <c r="U131" s="12"/>
      <c r="V131" s="25"/>
      <c r="W131" s="25"/>
      <c r="X131" s="25"/>
      <c r="Y131" s="25"/>
      <c r="Z131" s="577"/>
      <c r="AA131" s="577"/>
      <c r="AB131" s="577"/>
      <c r="AC131" s="577"/>
      <c r="AD131" s="47">
        <v>40</v>
      </c>
      <c r="AE131" s="47">
        <v>42</v>
      </c>
      <c r="AF131" s="47">
        <v>42</v>
      </c>
      <c r="AG131" s="47">
        <v>42</v>
      </c>
      <c r="AH131" s="615">
        <v>130</v>
      </c>
      <c r="AI131" s="615">
        <v>130</v>
      </c>
      <c r="AJ131" s="615">
        <v>122</v>
      </c>
      <c r="AK131" s="615">
        <v>122</v>
      </c>
      <c r="AL131" s="524">
        <v>168</v>
      </c>
      <c r="AM131" s="524">
        <v>163</v>
      </c>
      <c r="AN131" s="524">
        <v>161</v>
      </c>
      <c r="AO131" s="524">
        <v>161</v>
      </c>
      <c r="AP131" s="991">
        <v>261</v>
      </c>
      <c r="AQ131" s="993">
        <v>257</v>
      </c>
      <c r="AR131" s="994">
        <v>254</v>
      </c>
      <c r="AS131" s="993">
        <v>254</v>
      </c>
      <c r="AT131" s="971"/>
      <c r="AU131" s="970"/>
      <c r="AV131" s="970"/>
      <c r="AW131" s="970"/>
    </row>
    <row r="132" spans="1:49" ht="24.95" customHeight="1" x14ac:dyDescent="0.2">
      <c r="A132" s="13">
        <v>325754005366</v>
      </c>
      <c r="B132" s="1" t="s">
        <v>0</v>
      </c>
      <c r="C132" s="126" t="s">
        <v>106</v>
      </c>
      <c r="D132" s="2" t="s">
        <v>123</v>
      </c>
      <c r="E132" s="2">
        <v>2</v>
      </c>
      <c r="F132" s="12">
        <v>0</v>
      </c>
      <c r="G132" s="12">
        <v>5</v>
      </c>
      <c r="H132" s="47">
        <v>2</v>
      </c>
      <c r="I132" s="47">
        <v>2</v>
      </c>
      <c r="J132" s="25"/>
      <c r="K132" s="25"/>
      <c r="L132" s="25"/>
      <c r="M132" s="25"/>
      <c r="N132" s="12"/>
      <c r="O132" s="12"/>
      <c r="P132" s="12"/>
      <c r="Q132" s="12"/>
      <c r="R132" s="12"/>
      <c r="S132" s="12"/>
      <c r="T132" s="12"/>
      <c r="U132" s="12"/>
      <c r="V132" s="25">
        <v>0</v>
      </c>
      <c r="W132" s="25">
        <v>235</v>
      </c>
      <c r="X132" s="25">
        <v>214</v>
      </c>
      <c r="Y132" s="25">
        <v>214</v>
      </c>
      <c r="Z132" s="579">
        <v>0</v>
      </c>
      <c r="AA132" s="579">
        <v>13</v>
      </c>
      <c r="AB132" s="579">
        <v>9</v>
      </c>
      <c r="AC132" s="579">
        <v>9</v>
      </c>
      <c r="AD132" s="495"/>
      <c r="AE132" s="495"/>
      <c r="AF132" s="495"/>
      <c r="AG132" s="495"/>
      <c r="AH132" s="495"/>
      <c r="AI132" s="495"/>
      <c r="AJ132" s="495"/>
      <c r="AK132" s="495"/>
      <c r="AL132" s="47">
        <v>0</v>
      </c>
      <c r="AM132" s="47">
        <v>2</v>
      </c>
      <c r="AN132" s="47">
        <v>2</v>
      </c>
      <c r="AO132" s="47">
        <v>2</v>
      </c>
      <c r="AP132" s="991">
        <v>0</v>
      </c>
      <c r="AQ132" s="993">
        <v>40</v>
      </c>
      <c r="AR132" s="994">
        <v>34</v>
      </c>
      <c r="AS132" s="993">
        <v>34</v>
      </c>
      <c r="AT132" s="971"/>
      <c r="AU132" s="970"/>
      <c r="AV132" s="970"/>
      <c r="AW132" s="970"/>
    </row>
    <row r="133" spans="1:49" ht="24.95" customHeight="1" x14ac:dyDescent="0.2">
      <c r="A133" s="858">
        <v>325754003916</v>
      </c>
      <c r="B133" s="1" t="s">
        <v>0</v>
      </c>
      <c r="C133" s="126" t="s">
        <v>133</v>
      </c>
      <c r="D133" s="2" t="s">
        <v>123</v>
      </c>
      <c r="E133" s="2">
        <v>4</v>
      </c>
      <c r="F133" s="12"/>
      <c r="G133" s="12"/>
      <c r="H133" s="607"/>
      <c r="I133" s="607"/>
      <c r="J133" s="25"/>
      <c r="K133" s="25"/>
      <c r="L133" s="25"/>
      <c r="M133" s="25"/>
      <c r="N133" s="12">
        <v>0</v>
      </c>
      <c r="O133" s="12">
        <v>2</v>
      </c>
      <c r="P133" s="12">
        <v>2</v>
      </c>
      <c r="Q133" s="12">
        <v>2</v>
      </c>
      <c r="R133" s="12"/>
      <c r="S133" s="12"/>
      <c r="T133" s="12"/>
      <c r="U133" s="12"/>
      <c r="V133" s="25"/>
      <c r="W133" s="25"/>
      <c r="X133" s="25"/>
      <c r="Y133" s="25"/>
      <c r="Z133" s="609"/>
      <c r="AA133" s="609"/>
      <c r="AB133" s="609"/>
      <c r="AC133" s="609"/>
      <c r="AD133" s="611"/>
      <c r="AE133" s="611"/>
      <c r="AF133" s="611"/>
      <c r="AG133" s="611"/>
      <c r="AH133" s="614"/>
      <c r="AI133" s="614"/>
      <c r="AJ133" s="614"/>
      <c r="AK133" s="614"/>
      <c r="AL133" s="616"/>
      <c r="AM133" s="616"/>
      <c r="AN133" s="616"/>
      <c r="AO133" s="616"/>
      <c r="AP133" s="991"/>
      <c r="AQ133" s="993"/>
      <c r="AR133" s="994"/>
      <c r="AS133" s="993"/>
      <c r="AT133" s="971"/>
      <c r="AU133" s="970"/>
      <c r="AV133" s="970"/>
      <c r="AW133" s="970"/>
    </row>
    <row r="134" spans="1:49" ht="24.95" customHeight="1" x14ac:dyDescent="0.2">
      <c r="A134" s="13">
        <v>325754005196</v>
      </c>
      <c r="B134" s="1" t="s">
        <v>0</v>
      </c>
      <c r="C134" s="126" t="s">
        <v>955</v>
      </c>
      <c r="D134" s="2" t="s">
        <v>123</v>
      </c>
      <c r="E134" s="2">
        <v>5</v>
      </c>
      <c r="F134" s="12">
        <v>43</v>
      </c>
      <c r="G134" s="12">
        <v>43</v>
      </c>
      <c r="H134" s="12">
        <v>43</v>
      </c>
      <c r="I134" s="12">
        <v>43</v>
      </c>
      <c r="J134" s="25">
        <v>43</v>
      </c>
      <c r="K134" s="25">
        <v>43</v>
      </c>
      <c r="L134" s="25">
        <v>43</v>
      </c>
      <c r="M134" s="25">
        <v>43</v>
      </c>
      <c r="N134" s="12">
        <v>42</v>
      </c>
      <c r="O134" s="12">
        <v>42</v>
      </c>
      <c r="P134" s="12">
        <v>42</v>
      </c>
      <c r="Q134" s="12">
        <v>42</v>
      </c>
      <c r="R134" s="12">
        <v>58</v>
      </c>
      <c r="S134" s="12">
        <v>58</v>
      </c>
      <c r="T134" s="12">
        <v>58</v>
      </c>
      <c r="U134" s="12">
        <v>57</v>
      </c>
      <c r="V134" s="25">
        <v>55</v>
      </c>
      <c r="W134" s="25">
        <v>55</v>
      </c>
      <c r="X134" s="25">
        <v>55</v>
      </c>
      <c r="Y134" s="25">
        <v>55</v>
      </c>
      <c r="Z134" s="577">
        <v>52</v>
      </c>
      <c r="AA134" s="577">
        <v>52</v>
      </c>
      <c r="AB134" s="577">
        <v>51</v>
      </c>
      <c r="AC134" s="577">
        <v>51</v>
      </c>
      <c r="AD134" s="47">
        <v>87</v>
      </c>
      <c r="AE134" s="47">
        <v>87</v>
      </c>
      <c r="AF134" s="47">
        <v>87</v>
      </c>
      <c r="AG134" s="47">
        <v>87</v>
      </c>
      <c r="AH134" s="615">
        <v>55</v>
      </c>
      <c r="AI134" s="615">
        <v>54</v>
      </c>
      <c r="AJ134" s="615">
        <v>54</v>
      </c>
      <c r="AK134" s="615">
        <v>54</v>
      </c>
      <c r="AL134" s="47">
        <v>53</v>
      </c>
      <c r="AM134" s="47">
        <v>53</v>
      </c>
      <c r="AN134" s="47">
        <v>53</v>
      </c>
      <c r="AO134" s="47">
        <v>53</v>
      </c>
      <c r="AP134" s="991">
        <v>80</v>
      </c>
      <c r="AQ134" s="993">
        <v>80</v>
      </c>
      <c r="AR134" s="994">
        <v>78</v>
      </c>
      <c r="AS134" s="993">
        <v>78</v>
      </c>
      <c r="AT134" s="971"/>
      <c r="AU134" s="970"/>
      <c r="AV134" s="970"/>
      <c r="AW134" s="970"/>
    </row>
    <row r="135" spans="1:49" ht="24.95" customHeight="1" x14ac:dyDescent="0.2">
      <c r="A135" s="13">
        <v>325754005595</v>
      </c>
      <c r="B135" s="1" t="s">
        <v>0</v>
      </c>
      <c r="C135" s="126" t="s">
        <v>117</v>
      </c>
      <c r="D135" s="2" t="s">
        <v>123</v>
      </c>
      <c r="E135" s="2">
        <v>6</v>
      </c>
      <c r="F135" s="12">
        <v>0</v>
      </c>
      <c r="G135" s="12">
        <v>1</v>
      </c>
      <c r="H135" s="12">
        <v>1</v>
      </c>
      <c r="I135" s="12">
        <v>1</v>
      </c>
      <c r="J135" s="25"/>
      <c r="K135" s="25"/>
      <c r="L135" s="25"/>
      <c r="M135" s="25"/>
      <c r="N135" s="12"/>
      <c r="O135" s="12"/>
      <c r="P135" s="12"/>
      <c r="Q135" s="12"/>
      <c r="R135" s="12"/>
      <c r="S135" s="12"/>
      <c r="T135" s="12"/>
      <c r="U135" s="12"/>
      <c r="V135" s="25"/>
      <c r="W135" s="25"/>
      <c r="X135" s="25"/>
      <c r="Y135" s="25"/>
      <c r="Z135" s="577">
        <v>0</v>
      </c>
      <c r="AA135" s="577">
        <v>1</v>
      </c>
      <c r="AB135" s="577">
        <v>1</v>
      </c>
      <c r="AC135" s="577">
        <v>1</v>
      </c>
      <c r="AD135" s="611"/>
      <c r="AE135" s="611"/>
      <c r="AF135" s="611"/>
      <c r="AG135" s="611"/>
      <c r="AH135" s="614"/>
      <c r="AI135" s="614"/>
      <c r="AJ135" s="614"/>
      <c r="AK135" s="614"/>
      <c r="AL135" s="616"/>
      <c r="AM135" s="616"/>
      <c r="AN135" s="616"/>
      <c r="AO135" s="616"/>
      <c r="AP135" s="995"/>
      <c r="AQ135" s="995"/>
      <c r="AR135" s="997"/>
      <c r="AS135" s="995"/>
      <c r="AT135" s="971"/>
      <c r="AU135" s="970"/>
      <c r="AV135" s="970"/>
      <c r="AW135" s="970"/>
    </row>
    <row r="136" spans="1:49" ht="24.95" customHeight="1" x14ac:dyDescent="0.2">
      <c r="A136" s="13">
        <v>325754004629</v>
      </c>
      <c r="B136" s="1" t="s">
        <v>0</v>
      </c>
      <c r="C136" s="126" t="s">
        <v>69</v>
      </c>
      <c r="D136" s="2" t="s">
        <v>123</v>
      </c>
      <c r="E136" s="2">
        <v>4</v>
      </c>
      <c r="F136" s="12">
        <v>17</v>
      </c>
      <c r="G136" s="12">
        <v>18</v>
      </c>
      <c r="H136" s="12">
        <v>16</v>
      </c>
      <c r="I136" s="12">
        <v>16</v>
      </c>
      <c r="J136" s="25">
        <v>25</v>
      </c>
      <c r="K136" s="25">
        <v>23</v>
      </c>
      <c r="L136" s="25">
        <v>20</v>
      </c>
      <c r="M136" s="25">
        <v>20</v>
      </c>
      <c r="N136" s="12">
        <v>14</v>
      </c>
      <c r="O136" s="12">
        <v>11</v>
      </c>
      <c r="P136" s="12">
        <v>11</v>
      </c>
      <c r="Q136" s="12">
        <v>11</v>
      </c>
      <c r="R136" s="12">
        <v>13</v>
      </c>
      <c r="S136" s="12">
        <v>13</v>
      </c>
      <c r="T136" s="12">
        <v>13</v>
      </c>
      <c r="U136" s="12">
        <v>13</v>
      </c>
      <c r="V136" s="25">
        <v>19</v>
      </c>
      <c r="W136" s="25">
        <v>12</v>
      </c>
      <c r="X136" s="25">
        <v>12</v>
      </c>
      <c r="Y136" s="25">
        <v>12</v>
      </c>
      <c r="Z136" s="577">
        <v>16</v>
      </c>
      <c r="AA136" s="577">
        <v>23</v>
      </c>
      <c r="AB136" s="577">
        <v>23</v>
      </c>
      <c r="AC136" s="577">
        <v>23</v>
      </c>
      <c r="AD136" s="328">
        <v>0</v>
      </c>
      <c r="AE136" s="328">
        <v>17</v>
      </c>
      <c r="AF136" s="328">
        <v>17</v>
      </c>
      <c r="AG136" s="328">
        <v>17</v>
      </c>
      <c r="AH136" s="526">
        <v>23</v>
      </c>
      <c r="AI136" s="526">
        <v>23</v>
      </c>
      <c r="AJ136" s="526">
        <v>22</v>
      </c>
      <c r="AK136" s="526">
        <v>22</v>
      </c>
      <c r="AL136" s="524">
        <v>36</v>
      </c>
      <c r="AM136" s="524">
        <v>35</v>
      </c>
      <c r="AN136" s="524">
        <v>35</v>
      </c>
      <c r="AO136" s="524">
        <v>35</v>
      </c>
      <c r="AP136" s="991">
        <v>38</v>
      </c>
      <c r="AQ136" s="993">
        <v>38</v>
      </c>
      <c r="AR136" s="994">
        <v>38</v>
      </c>
      <c r="AS136" s="993">
        <v>38</v>
      </c>
      <c r="AT136" s="971"/>
      <c r="AU136" s="970"/>
      <c r="AV136" s="970"/>
      <c r="AW136" s="970"/>
    </row>
    <row r="137" spans="1:49" ht="24.95" customHeight="1" x14ac:dyDescent="0.2">
      <c r="A137" s="13">
        <v>325754003592</v>
      </c>
      <c r="B137" s="1" t="s">
        <v>0</v>
      </c>
      <c r="C137" s="126" t="s">
        <v>35</v>
      </c>
      <c r="D137" s="2" t="s">
        <v>123</v>
      </c>
      <c r="E137" s="2">
        <v>6</v>
      </c>
      <c r="F137" s="12">
        <v>79</v>
      </c>
      <c r="G137" s="12">
        <v>77</v>
      </c>
      <c r="H137" s="12">
        <v>69</v>
      </c>
      <c r="I137" s="12">
        <v>69</v>
      </c>
      <c r="J137" s="25">
        <v>79</v>
      </c>
      <c r="K137" s="25">
        <v>79</v>
      </c>
      <c r="L137" s="25">
        <v>79</v>
      </c>
      <c r="M137" s="25">
        <v>76</v>
      </c>
      <c r="N137" s="12">
        <v>56</v>
      </c>
      <c r="O137" s="12">
        <v>56</v>
      </c>
      <c r="P137" s="12">
        <v>56</v>
      </c>
      <c r="Q137" s="12">
        <v>51</v>
      </c>
      <c r="R137" s="12">
        <v>80</v>
      </c>
      <c r="S137" s="12">
        <v>79</v>
      </c>
      <c r="T137" s="12">
        <v>79</v>
      </c>
      <c r="U137" s="12">
        <v>66</v>
      </c>
      <c r="V137" s="25">
        <v>73</v>
      </c>
      <c r="W137" s="25">
        <v>73</v>
      </c>
      <c r="X137" s="25">
        <v>72</v>
      </c>
      <c r="Y137" s="25">
        <v>72</v>
      </c>
      <c r="Z137" s="577">
        <v>59</v>
      </c>
      <c r="AA137" s="577">
        <v>59</v>
      </c>
      <c r="AB137" s="577">
        <v>56</v>
      </c>
      <c r="AC137" s="577">
        <v>56</v>
      </c>
      <c r="AD137" s="328">
        <v>77</v>
      </c>
      <c r="AE137" s="328">
        <v>77</v>
      </c>
      <c r="AF137" s="328">
        <v>76</v>
      </c>
      <c r="AG137" s="328">
        <v>76</v>
      </c>
      <c r="AH137" s="526">
        <v>50</v>
      </c>
      <c r="AI137" s="526">
        <v>50</v>
      </c>
      <c r="AJ137" s="526">
        <v>48</v>
      </c>
      <c r="AK137" s="526">
        <v>48</v>
      </c>
      <c r="AL137" s="524">
        <v>62</v>
      </c>
      <c r="AM137" s="524">
        <v>62</v>
      </c>
      <c r="AN137" s="524">
        <v>61</v>
      </c>
      <c r="AO137" s="524">
        <v>61</v>
      </c>
      <c r="AP137" s="991">
        <v>69</v>
      </c>
      <c r="AQ137" s="993">
        <v>69</v>
      </c>
      <c r="AR137" s="994">
        <v>67</v>
      </c>
      <c r="AS137" s="993">
        <v>67</v>
      </c>
      <c r="AT137" s="971"/>
      <c r="AU137" s="970"/>
      <c r="AV137" s="970"/>
      <c r="AW137" s="970"/>
    </row>
    <row r="138" spans="1:49" ht="24.95" customHeight="1" x14ac:dyDescent="0.2">
      <c r="A138" s="13">
        <v>325754003606</v>
      </c>
      <c r="B138" s="1" t="s">
        <v>0</v>
      </c>
      <c r="C138" s="126" t="s">
        <v>29</v>
      </c>
      <c r="D138" s="2" t="s">
        <v>123</v>
      </c>
      <c r="E138" s="2">
        <v>2</v>
      </c>
      <c r="F138" s="12">
        <v>50</v>
      </c>
      <c r="G138" s="12">
        <v>51</v>
      </c>
      <c r="H138" s="47">
        <v>50</v>
      </c>
      <c r="I138" s="47">
        <v>50</v>
      </c>
      <c r="J138" s="25">
        <v>65</v>
      </c>
      <c r="K138" s="25">
        <v>65</v>
      </c>
      <c r="L138" s="25">
        <v>65</v>
      </c>
      <c r="M138" s="25">
        <v>64</v>
      </c>
      <c r="N138" s="12">
        <v>63</v>
      </c>
      <c r="O138" s="12">
        <v>61</v>
      </c>
      <c r="P138" s="12">
        <v>61</v>
      </c>
      <c r="Q138" s="12">
        <v>61</v>
      </c>
      <c r="R138" s="12">
        <v>68</v>
      </c>
      <c r="S138" s="12">
        <v>68</v>
      </c>
      <c r="T138" s="12">
        <v>67</v>
      </c>
      <c r="U138" s="12">
        <v>67</v>
      </c>
      <c r="V138" s="25">
        <v>53</v>
      </c>
      <c r="W138" s="25">
        <v>49</v>
      </c>
      <c r="X138" s="25">
        <v>49</v>
      </c>
      <c r="Y138" s="25">
        <v>49</v>
      </c>
      <c r="Z138" s="579">
        <v>52</v>
      </c>
      <c r="AA138" s="579">
        <v>51</v>
      </c>
      <c r="AB138" s="579">
        <v>51</v>
      </c>
      <c r="AC138" s="579">
        <v>51</v>
      </c>
      <c r="AD138" s="328">
        <v>76</v>
      </c>
      <c r="AE138" s="328">
        <v>75</v>
      </c>
      <c r="AF138" s="328">
        <v>74</v>
      </c>
      <c r="AG138" s="328">
        <v>74</v>
      </c>
      <c r="AH138" s="526">
        <v>64</v>
      </c>
      <c r="AI138" s="526">
        <v>63</v>
      </c>
      <c r="AJ138" s="526">
        <v>62</v>
      </c>
      <c r="AK138" s="526">
        <v>62</v>
      </c>
      <c r="AL138" s="612">
        <v>36</v>
      </c>
      <c r="AM138" s="612">
        <v>34</v>
      </c>
      <c r="AN138" s="612">
        <v>34</v>
      </c>
      <c r="AO138" s="612">
        <v>34</v>
      </c>
      <c r="AP138" s="991">
        <v>50</v>
      </c>
      <c r="AQ138" s="993">
        <v>49</v>
      </c>
      <c r="AR138" s="994">
        <v>47</v>
      </c>
      <c r="AS138" s="993">
        <v>47</v>
      </c>
      <c r="AT138" s="971"/>
      <c r="AU138" s="970"/>
      <c r="AV138" s="970"/>
      <c r="AW138" s="970"/>
    </row>
    <row r="139" spans="1:49" ht="24.95" customHeight="1" x14ac:dyDescent="0.2">
      <c r="A139" s="862">
        <v>325754005021</v>
      </c>
      <c r="B139" s="310" t="s">
        <v>0</v>
      </c>
      <c r="C139" s="555" t="s">
        <v>129</v>
      </c>
      <c r="D139" s="2" t="s">
        <v>123</v>
      </c>
      <c r="E139" s="309">
        <v>2</v>
      </c>
      <c r="F139" s="328"/>
      <c r="G139" s="328"/>
      <c r="H139" s="495"/>
      <c r="I139" s="495"/>
      <c r="J139" s="329">
        <v>0</v>
      </c>
      <c r="K139" s="329">
        <v>21</v>
      </c>
      <c r="L139" s="329">
        <v>18</v>
      </c>
      <c r="M139" s="329">
        <v>18</v>
      </c>
      <c r="N139" s="328"/>
      <c r="O139" s="328"/>
      <c r="P139" s="328"/>
      <c r="Q139" s="328"/>
      <c r="R139" s="328"/>
      <c r="S139" s="328"/>
      <c r="T139" s="328"/>
      <c r="U139" s="328"/>
      <c r="V139" s="329"/>
      <c r="W139" s="329"/>
      <c r="X139" s="329"/>
      <c r="Y139" s="329"/>
      <c r="Z139" s="495"/>
      <c r="AA139" s="495"/>
      <c r="AB139" s="495"/>
      <c r="AC139" s="495"/>
      <c r="AD139" s="328">
        <v>0</v>
      </c>
      <c r="AE139" s="328">
        <v>1</v>
      </c>
      <c r="AF139" s="328">
        <v>1</v>
      </c>
      <c r="AG139" s="328">
        <v>1</v>
      </c>
      <c r="AH139" s="526">
        <v>0</v>
      </c>
      <c r="AI139" s="526">
        <v>17</v>
      </c>
      <c r="AJ139" s="526">
        <v>13</v>
      </c>
      <c r="AK139" s="526">
        <v>13</v>
      </c>
      <c r="AL139" s="526"/>
      <c r="AM139" s="526"/>
      <c r="AN139" s="526"/>
      <c r="AO139" s="526"/>
      <c r="AP139" s="991"/>
      <c r="AQ139" s="993"/>
      <c r="AR139" s="994"/>
      <c r="AS139" s="993"/>
      <c r="AT139" s="971"/>
      <c r="AU139" s="970"/>
      <c r="AV139" s="970"/>
      <c r="AW139" s="970"/>
    </row>
    <row r="140" spans="1:49" ht="24.95" customHeight="1" x14ac:dyDescent="0.2">
      <c r="A140" s="13">
        <v>325754005510</v>
      </c>
      <c r="B140" s="1" t="s">
        <v>0</v>
      </c>
      <c r="C140" s="760" t="s">
        <v>806</v>
      </c>
      <c r="D140" s="2" t="s">
        <v>123</v>
      </c>
      <c r="E140" s="2">
        <v>4</v>
      </c>
      <c r="F140" s="12"/>
      <c r="G140" s="12"/>
      <c r="H140" s="607"/>
      <c r="I140" s="607"/>
      <c r="J140" s="25"/>
      <c r="K140" s="25"/>
      <c r="L140" s="25"/>
      <c r="M140" s="25"/>
      <c r="N140" s="12"/>
      <c r="O140" s="12"/>
      <c r="P140" s="12"/>
      <c r="Q140" s="12"/>
      <c r="R140" s="12"/>
      <c r="S140" s="12"/>
      <c r="T140" s="12"/>
      <c r="U140" s="12"/>
      <c r="V140" s="25"/>
      <c r="W140" s="25"/>
      <c r="X140" s="25"/>
      <c r="Y140" s="25"/>
      <c r="Z140" s="609"/>
      <c r="AA140" s="609"/>
      <c r="AB140" s="609"/>
      <c r="AC140" s="609"/>
      <c r="AD140" s="328">
        <v>0</v>
      </c>
      <c r="AE140" s="328">
        <v>18</v>
      </c>
      <c r="AF140" s="328">
        <v>16</v>
      </c>
      <c r="AG140" s="328">
        <v>16</v>
      </c>
      <c r="AH140" s="526">
        <v>0</v>
      </c>
      <c r="AI140" s="526">
        <v>14</v>
      </c>
      <c r="AJ140" s="526">
        <v>13</v>
      </c>
      <c r="AK140" s="526">
        <v>13</v>
      </c>
      <c r="AL140" s="613"/>
      <c r="AM140" s="613"/>
      <c r="AN140" s="613"/>
      <c r="AO140" s="613"/>
      <c r="AP140" s="991"/>
      <c r="AQ140" s="993"/>
      <c r="AR140" s="994"/>
      <c r="AS140" s="993"/>
      <c r="AT140" s="971"/>
      <c r="AU140" s="970"/>
      <c r="AV140" s="970"/>
      <c r="AW140" s="970"/>
    </row>
    <row r="141" spans="1:49" ht="24.95" customHeight="1" x14ac:dyDescent="0.2">
      <c r="A141" s="13">
        <v>325754004173</v>
      </c>
      <c r="B141" s="1" t="s">
        <v>0</v>
      </c>
      <c r="C141" s="126" t="s">
        <v>87</v>
      </c>
      <c r="D141" s="2" t="s">
        <v>123</v>
      </c>
      <c r="E141" s="2">
        <v>5</v>
      </c>
      <c r="F141" s="12">
        <v>3</v>
      </c>
      <c r="G141" s="12">
        <v>3</v>
      </c>
      <c r="H141" s="47">
        <v>3</v>
      </c>
      <c r="I141" s="47">
        <v>3</v>
      </c>
      <c r="J141" s="25">
        <v>12</v>
      </c>
      <c r="K141" s="25">
        <v>12</v>
      </c>
      <c r="L141" s="25">
        <v>12</v>
      </c>
      <c r="M141" s="25">
        <v>12</v>
      </c>
      <c r="N141" s="12">
        <v>2</v>
      </c>
      <c r="O141" s="12">
        <v>2</v>
      </c>
      <c r="P141" s="12">
        <v>2</v>
      </c>
      <c r="Q141" s="12">
        <v>2</v>
      </c>
      <c r="R141" s="12">
        <v>5</v>
      </c>
      <c r="S141" s="12">
        <v>5</v>
      </c>
      <c r="T141" s="12">
        <v>5</v>
      </c>
      <c r="U141" s="12">
        <v>5</v>
      </c>
      <c r="V141" s="25">
        <v>3</v>
      </c>
      <c r="W141" s="25">
        <v>3</v>
      </c>
      <c r="X141" s="25">
        <v>3</v>
      </c>
      <c r="Y141" s="25">
        <v>3</v>
      </c>
      <c r="Z141" s="577">
        <v>7</v>
      </c>
      <c r="AA141" s="577">
        <v>6</v>
      </c>
      <c r="AB141" s="577">
        <v>6</v>
      </c>
      <c r="AC141" s="577">
        <v>6</v>
      </c>
      <c r="AD141" s="328">
        <v>5</v>
      </c>
      <c r="AE141" s="328">
        <v>4</v>
      </c>
      <c r="AF141" s="328">
        <v>4</v>
      </c>
      <c r="AG141" s="328">
        <v>4</v>
      </c>
      <c r="AH141" s="526">
        <v>5</v>
      </c>
      <c r="AI141" s="526">
        <v>4</v>
      </c>
      <c r="AJ141" s="526">
        <v>4</v>
      </c>
      <c r="AK141" s="526">
        <v>4</v>
      </c>
      <c r="AL141" s="524">
        <v>8</v>
      </c>
      <c r="AM141" s="524">
        <v>7</v>
      </c>
      <c r="AN141" s="524">
        <v>7</v>
      </c>
      <c r="AO141" s="524">
        <v>7</v>
      </c>
      <c r="AP141" s="991">
        <v>9</v>
      </c>
      <c r="AQ141" s="993">
        <v>10</v>
      </c>
      <c r="AR141" s="994">
        <v>10</v>
      </c>
      <c r="AS141" s="993">
        <v>10</v>
      </c>
      <c r="AT141" s="971"/>
      <c r="AU141" s="970"/>
      <c r="AV141" s="970"/>
      <c r="AW141" s="970"/>
    </row>
    <row r="142" spans="1:49" ht="24.95" customHeight="1" x14ac:dyDescent="0.2">
      <c r="A142" s="858">
        <v>325754000968</v>
      </c>
      <c r="B142" s="1" t="s">
        <v>0</v>
      </c>
      <c r="C142" s="126" t="s">
        <v>135</v>
      </c>
      <c r="D142" s="2" t="s">
        <v>123</v>
      </c>
      <c r="E142" s="2">
        <v>2</v>
      </c>
      <c r="F142" s="12"/>
      <c r="G142" s="12"/>
      <c r="H142" s="607"/>
      <c r="I142" s="607"/>
      <c r="J142" s="25"/>
      <c r="K142" s="25"/>
      <c r="L142" s="25"/>
      <c r="M142" s="25"/>
      <c r="N142" s="12"/>
      <c r="O142" s="12"/>
      <c r="P142" s="12"/>
      <c r="Q142" s="12"/>
      <c r="R142" s="12">
        <v>7</v>
      </c>
      <c r="S142" s="12">
        <v>6</v>
      </c>
      <c r="T142" s="12">
        <v>6</v>
      </c>
      <c r="U142" s="12">
        <v>6</v>
      </c>
      <c r="V142" s="25">
        <v>4</v>
      </c>
      <c r="W142" s="25">
        <v>3</v>
      </c>
      <c r="X142" s="25">
        <v>3</v>
      </c>
      <c r="Y142" s="25">
        <v>3</v>
      </c>
      <c r="Z142" s="577">
        <v>14</v>
      </c>
      <c r="AA142" s="577">
        <v>14</v>
      </c>
      <c r="AB142" s="577">
        <v>14</v>
      </c>
      <c r="AC142" s="577">
        <v>14</v>
      </c>
      <c r="AD142" s="328">
        <v>23</v>
      </c>
      <c r="AE142" s="328">
        <v>23</v>
      </c>
      <c r="AF142" s="328">
        <v>21</v>
      </c>
      <c r="AG142" s="328">
        <v>21</v>
      </c>
      <c r="AH142" s="526">
        <v>19</v>
      </c>
      <c r="AI142" s="526">
        <v>19</v>
      </c>
      <c r="AJ142" s="526">
        <v>19</v>
      </c>
      <c r="AK142" s="526">
        <v>19</v>
      </c>
      <c r="AL142" s="524">
        <v>13</v>
      </c>
      <c r="AM142" s="524">
        <v>12</v>
      </c>
      <c r="AN142" s="524">
        <v>12</v>
      </c>
      <c r="AO142" s="524">
        <v>12</v>
      </c>
      <c r="AP142" s="991">
        <v>9</v>
      </c>
      <c r="AQ142" s="993">
        <v>9</v>
      </c>
      <c r="AR142" s="994">
        <v>9</v>
      </c>
      <c r="AS142" s="993">
        <v>9</v>
      </c>
      <c r="AT142" s="971"/>
      <c r="AU142" s="970"/>
      <c r="AV142" s="970"/>
      <c r="AW142" s="970"/>
    </row>
    <row r="143" spans="1:49" ht="24.95" customHeight="1" x14ac:dyDescent="0.2">
      <c r="A143" s="13">
        <v>325754004530</v>
      </c>
      <c r="B143" s="1" t="s">
        <v>0</v>
      </c>
      <c r="C143" s="126" t="s">
        <v>81</v>
      </c>
      <c r="D143" s="2" t="s">
        <v>123</v>
      </c>
      <c r="E143" s="2">
        <v>2</v>
      </c>
      <c r="F143" s="12">
        <v>38</v>
      </c>
      <c r="G143" s="12">
        <v>43</v>
      </c>
      <c r="H143" s="12">
        <v>42</v>
      </c>
      <c r="I143" s="12">
        <v>42</v>
      </c>
      <c r="J143" s="25">
        <v>42</v>
      </c>
      <c r="K143" s="25">
        <v>39</v>
      </c>
      <c r="L143" s="25">
        <v>39</v>
      </c>
      <c r="M143" s="25">
        <v>39</v>
      </c>
      <c r="N143" s="12">
        <v>51</v>
      </c>
      <c r="O143" s="12">
        <v>53</v>
      </c>
      <c r="P143" s="12">
        <v>53</v>
      </c>
      <c r="Q143" s="12">
        <v>51</v>
      </c>
      <c r="R143" s="12">
        <v>48</v>
      </c>
      <c r="S143" s="12">
        <v>48</v>
      </c>
      <c r="T143" s="12">
        <v>48</v>
      </c>
      <c r="U143" s="12">
        <v>44</v>
      </c>
      <c r="V143" s="25">
        <v>58</v>
      </c>
      <c r="W143" s="25">
        <v>56</v>
      </c>
      <c r="X143" s="25">
        <v>56</v>
      </c>
      <c r="Y143" s="25">
        <v>56</v>
      </c>
      <c r="Z143" s="577">
        <v>63</v>
      </c>
      <c r="AA143" s="577">
        <v>62</v>
      </c>
      <c r="AB143" s="577">
        <v>62</v>
      </c>
      <c r="AC143" s="577">
        <v>62</v>
      </c>
      <c r="AD143" s="328">
        <v>8</v>
      </c>
      <c r="AE143" s="328">
        <v>94</v>
      </c>
      <c r="AF143" s="328">
        <v>94</v>
      </c>
      <c r="AG143" s="328">
        <v>94</v>
      </c>
      <c r="AH143" s="526">
        <v>105</v>
      </c>
      <c r="AI143" s="526">
        <v>103</v>
      </c>
      <c r="AJ143" s="526">
        <v>102</v>
      </c>
      <c r="AK143" s="526">
        <v>102</v>
      </c>
      <c r="AL143" s="524">
        <v>95</v>
      </c>
      <c r="AM143" s="524">
        <v>94</v>
      </c>
      <c r="AN143" s="524">
        <v>92</v>
      </c>
      <c r="AO143" s="524">
        <v>92</v>
      </c>
      <c r="AP143" s="991">
        <v>97</v>
      </c>
      <c r="AQ143" s="993">
        <v>101</v>
      </c>
      <c r="AR143" s="994">
        <v>101</v>
      </c>
      <c r="AS143" s="993">
        <v>101</v>
      </c>
      <c r="AT143" s="971"/>
      <c r="AU143" s="970"/>
      <c r="AV143" s="970"/>
      <c r="AW143" s="970"/>
    </row>
    <row r="144" spans="1:49" ht="24.95" customHeight="1" x14ac:dyDescent="0.2">
      <c r="A144" s="13">
        <v>325754003134</v>
      </c>
      <c r="B144" s="1" t="s">
        <v>0</v>
      </c>
      <c r="C144" s="126" t="s">
        <v>114</v>
      </c>
      <c r="D144" s="2" t="s">
        <v>123</v>
      </c>
      <c r="E144" s="2">
        <v>1</v>
      </c>
      <c r="F144" s="12">
        <v>16</v>
      </c>
      <c r="G144" s="12">
        <v>15</v>
      </c>
      <c r="H144" s="12">
        <v>14</v>
      </c>
      <c r="I144" s="12">
        <v>14</v>
      </c>
      <c r="J144" s="25">
        <v>17</v>
      </c>
      <c r="K144" s="25">
        <v>21</v>
      </c>
      <c r="L144" s="25">
        <v>21</v>
      </c>
      <c r="M144" s="25">
        <v>21</v>
      </c>
      <c r="N144" s="12">
        <v>10</v>
      </c>
      <c r="O144" s="12">
        <v>9</v>
      </c>
      <c r="P144" s="12">
        <v>8</v>
      </c>
      <c r="Q144" s="12">
        <v>8</v>
      </c>
      <c r="R144" s="12">
        <v>18</v>
      </c>
      <c r="S144" s="12">
        <v>18</v>
      </c>
      <c r="T144" s="12">
        <v>18</v>
      </c>
      <c r="U144" s="12">
        <v>18</v>
      </c>
      <c r="V144" s="25">
        <v>27</v>
      </c>
      <c r="W144" s="25">
        <v>25</v>
      </c>
      <c r="X144" s="25">
        <v>25</v>
      </c>
      <c r="Y144" s="25">
        <v>25</v>
      </c>
      <c r="Z144" s="577">
        <v>23</v>
      </c>
      <c r="AA144" s="577">
        <v>24</v>
      </c>
      <c r="AB144" s="577">
        <v>24</v>
      </c>
      <c r="AC144" s="577">
        <v>24</v>
      </c>
      <c r="AD144" s="328">
        <v>29</v>
      </c>
      <c r="AE144" s="328">
        <v>29</v>
      </c>
      <c r="AF144" s="328">
        <v>29</v>
      </c>
      <c r="AG144" s="328">
        <v>29</v>
      </c>
      <c r="AH144" s="526">
        <v>49</v>
      </c>
      <c r="AI144" s="526">
        <v>49</v>
      </c>
      <c r="AJ144" s="526">
        <v>48</v>
      </c>
      <c r="AK144" s="526">
        <v>48</v>
      </c>
      <c r="AL144" s="524">
        <v>53</v>
      </c>
      <c r="AM144" s="524">
        <v>53</v>
      </c>
      <c r="AN144" s="524">
        <v>52</v>
      </c>
      <c r="AO144" s="524">
        <v>52</v>
      </c>
      <c r="AP144" s="991">
        <v>52</v>
      </c>
      <c r="AQ144" s="993">
        <v>52</v>
      </c>
      <c r="AR144" s="994">
        <v>50</v>
      </c>
      <c r="AS144" s="993">
        <v>50</v>
      </c>
      <c r="AT144" s="971"/>
      <c r="AU144" s="970"/>
      <c r="AV144" s="970"/>
      <c r="AW144" s="970"/>
    </row>
    <row r="145" spans="1:49" ht="24.95" customHeight="1" x14ac:dyDescent="0.2">
      <c r="A145" s="605">
        <v>325754003410</v>
      </c>
      <c r="B145" s="310" t="s">
        <v>0</v>
      </c>
      <c r="C145" s="555" t="s">
        <v>42</v>
      </c>
      <c r="D145" s="2" t="s">
        <v>123</v>
      </c>
      <c r="E145" s="309">
        <v>1</v>
      </c>
      <c r="F145" s="328">
        <v>136</v>
      </c>
      <c r="G145" s="328">
        <v>136</v>
      </c>
      <c r="H145" s="328">
        <v>132</v>
      </c>
      <c r="I145" s="328">
        <v>132</v>
      </c>
      <c r="J145" s="329">
        <v>144</v>
      </c>
      <c r="K145" s="329">
        <v>141</v>
      </c>
      <c r="L145" s="329">
        <v>141</v>
      </c>
      <c r="M145" s="329">
        <v>141</v>
      </c>
      <c r="N145" s="328">
        <v>118</v>
      </c>
      <c r="O145" s="328">
        <v>116</v>
      </c>
      <c r="P145" s="328">
        <v>116</v>
      </c>
      <c r="Q145" s="328">
        <v>115</v>
      </c>
      <c r="R145" s="328">
        <v>131</v>
      </c>
      <c r="S145" s="328">
        <v>130</v>
      </c>
      <c r="T145" s="328">
        <v>129</v>
      </c>
      <c r="U145" s="328">
        <v>127</v>
      </c>
      <c r="V145" s="329">
        <v>106</v>
      </c>
      <c r="W145" s="329">
        <v>105</v>
      </c>
      <c r="X145" s="329">
        <v>105</v>
      </c>
      <c r="Y145" s="329">
        <v>105</v>
      </c>
      <c r="Z145" s="578">
        <v>131</v>
      </c>
      <c r="AA145" s="578">
        <v>133</v>
      </c>
      <c r="AB145" s="578">
        <v>132</v>
      </c>
      <c r="AC145" s="578">
        <v>132</v>
      </c>
      <c r="AD145" s="328">
        <v>139</v>
      </c>
      <c r="AE145" s="328">
        <v>136</v>
      </c>
      <c r="AF145" s="328">
        <v>136</v>
      </c>
      <c r="AG145" s="328">
        <v>136</v>
      </c>
      <c r="AH145" s="526">
        <v>121</v>
      </c>
      <c r="AI145" s="526">
        <v>120</v>
      </c>
      <c r="AJ145" s="526">
        <v>118</v>
      </c>
      <c r="AK145" s="526">
        <v>118</v>
      </c>
      <c r="AL145" s="524">
        <v>131</v>
      </c>
      <c r="AM145" s="524">
        <v>131</v>
      </c>
      <c r="AN145" s="524">
        <v>131</v>
      </c>
      <c r="AO145" s="524">
        <v>131</v>
      </c>
      <c r="AP145" s="991">
        <v>100</v>
      </c>
      <c r="AQ145" s="993">
        <v>98</v>
      </c>
      <c r="AR145" s="994">
        <v>97</v>
      </c>
      <c r="AS145" s="993">
        <v>97</v>
      </c>
      <c r="AT145" s="971"/>
      <c r="AU145" s="970"/>
      <c r="AV145" s="970"/>
      <c r="AW145" s="970"/>
    </row>
    <row r="146" spans="1:49" ht="24.95" customHeight="1" x14ac:dyDescent="0.2">
      <c r="A146" s="13">
        <v>325754005498</v>
      </c>
      <c r="B146" s="1" t="s">
        <v>0</v>
      </c>
      <c r="C146" s="760" t="s">
        <v>774</v>
      </c>
      <c r="D146" s="2" t="s">
        <v>123</v>
      </c>
      <c r="E146" s="2">
        <v>6</v>
      </c>
      <c r="F146" s="12"/>
      <c r="G146" s="12"/>
      <c r="H146" s="12"/>
      <c r="I146" s="12"/>
      <c r="J146" s="25"/>
      <c r="K146" s="25"/>
      <c r="L146" s="25"/>
      <c r="M146" s="25"/>
      <c r="N146" s="12"/>
      <c r="O146" s="12"/>
      <c r="P146" s="12"/>
      <c r="Q146" s="12"/>
      <c r="R146" s="12"/>
      <c r="S146" s="12"/>
      <c r="T146" s="12"/>
      <c r="U146" s="12"/>
      <c r="V146" s="25"/>
      <c r="W146" s="25"/>
      <c r="X146" s="25"/>
      <c r="Y146" s="25"/>
      <c r="Z146" s="577"/>
      <c r="AA146" s="577"/>
      <c r="AB146" s="577"/>
      <c r="AC146" s="577"/>
      <c r="AD146" s="328">
        <v>0</v>
      </c>
      <c r="AE146" s="328">
        <v>9</v>
      </c>
      <c r="AF146" s="328">
        <v>7</v>
      </c>
      <c r="AG146" s="328">
        <v>7</v>
      </c>
      <c r="AH146" s="526">
        <v>0</v>
      </c>
      <c r="AI146" s="526">
        <v>6</v>
      </c>
      <c r="AJ146" s="526">
        <v>6</v>
      </c>
      <c r="AK146" s="526">
        <v>6</v>
      </c>
      <c r="AL146" s="524">
        <v>0</v>
      </c>
      <c r="AM146" s="524">
        <v>5</v>
      </c>
      <c r="AN146" s="524">
        <v>5</v>
      </c>
      <c r="AO146" s="524">
        <v>5</v>
      </c>
      <c r="AP146" s="991">
        <v>0</v>
      </c>
      <c r="AQ146" s="993">
        <v>51</v>
      </c>
      <c r="AR146" s="994">
        <v>45</v>
      </c>
      <c r="AS146" s="993">
        <v>45</v>
      </c>
      <c r="AT146" s="971"/>
      <c r="AU146" s="970"/>
      <c r="AV146" s="970"/>
      <c r="AW146" s="970"/>
    </row>
    <row r="147" spans="1:49" ht="24.95" customHeight="1" x14ac:dyDescent="0.2">
      <c r="A147" s="13">
        <v>325754004050</v>
      </c>
      <c r="B147" s="1" t="s">
        <v>0</v>
      </c>
      <c r="C147" s="126" t="s">
        <v>24</v>
      </c>
      <c r="D147" s="2" t="s">
        <v>123</v>
      </c>
      <c r="E147" s="2">
        <v>6</v>
      </c>
      <c r="F147" s="12">
        <v>7</v>
      </c>
      <c r="G147" s="12">
        <v>11</v>
      </c>
      <c r="H147" s="12">
        <v>11</v>
      </c>
      <c r="I147" s="12">
        <v>11</v>
      </c>
      <c r="J147" s="25">
        <v>5</v>
      </c>
      <c r="K147" s="25">
        <v>12</v>
      </c>
      <c r="L147" s="25">
        <v>12</v>
      </c>
      <c r="M147" s="25">
        <v>12</v>
      </c>
      <c r="N147" s="12">
        <v>10</v>
      </c>
      <c r="O147" s="12">
        <v>9</v>
      </c>
      <c r="P147" s="12">
        <v>9</v>
      </c>
      <c r="Q147" s="12">
        <v>8</v>
      </c>
      <c r="R147" s="12">
        <v>4</v>
      </c>
      <c r="S147" s="12">
        <v>4</v>
      </c>
      <c r="T147" s="12">
        <v>4</v>
      </c>
      <c r="U147" s="12">
        <v>4</v>
      </c>
      <c r="V147" s="25">
        <v>4</v>
      </c>
      <c r="W147" s="25">
        <v>4</v>
      </c>
      <c r="X147" s="25">
        <v>4</v>
      </c>
      <c r="Y147" s="25">
        <v>4</v>
      </c>
      <c r="Z147" s="577">
        <v>6</v>
      </c>
      <c r="AA147" s="577">
        <v>6</v>
      </c>
      <c r="AB147" s="577">
        <v>6</v>
      </c>
      <c r="AC147" s="577">
        <v>6</v>
      </c>
      <c r="AD147" s="328">
        <v>12</v>
      </c>
      <c r="AE147" s="328">
        <v>11</v>
      </c>
      <c r="AF147" s="328">
        <v>11</v>
      </c>
      <c r="AG147" s="328">
        <v>11</v>
      </c>
      <c r="AH147" s="526">
        <v>5</v>
      </c>
      <c r="AI147" s="526">
        <v>7</v>
      </c>
      <c r="AJ147" s="526">
        <v>7</v>
      </c>
      <c r="AK147" s="526">
        <v>7</v>
      </c>
      <c r="AL147" s="524">
        <v>10</v>
      </c>
      <c r="AM147" s="524">
        <v>10</v>
      </c>
      <c r="AN147" s="524">
        <v>10</v>
      </c>
      <c r="AO147" s="524">
        <v>10</v>
      </c>
      <c r="AP147" s="991">
        <v>18</v>
      </c>
      <c r="AQ147" s="993">
        <v>22</v>
      </c>
      <c r="AR147" s="994">
        <v>22</v>
      </c>
      <c r="AS147" s="993">
        <v>22</v>
      </c>
      <c r="AT147" s="971"/>
      <c r="AU147" s="970"/>
      <c r="AV147" s="970"/>
      <c r="AW147" s="970"/>
    </row>
    <row r="148" spans="1:49" ht="24.95" customHeight="1" x14ac:dyDescent="0.2">
      <c r="A148" s="605">
        <v>425754001551</v>
      </c>
      <c r="B148" s="310" t="s">
        <v>0</v>
      </c>
      <c r="C148" s="126" t="s">
        <v>36</v>
      </c>
      <c r="D148" s="2" t="s">
        <v>123</v>
      </c>
      <c r="E148" s="2">
        <v>6</v>
      </c>
      <c r="F148" s="328">
        <v>36</v>
      </c>
      <c r="G148" s="328">
        <v>36</v>
      </c>
      <c r="H148" s="328">
        <v>36</v>
      </c>
      <c r="I148" s="328">
        <v>36</v>
      </c>
      <c r="J148" s="329">
        <v>37</v>
      </c>
      <c r="K148" s="329">
        <v>37</v>
      </c>
      <c r="L148" s="329">
        <v>37</v>
      </c>
      <c r="M148" s="329">
        <v>35</v>
      </c>
      <c r="N148" s="328">
        <v>25</v>
      </c>
      <c r="O148" s="328">
        <v>25</v>
      </c>
      <c r="P148" s="328">
        <v>25</v>
      </c>
      <c r="Q148" s="328">
        <v>25</v>
      </c>
      <c r="R148" s="328">
        <v>30</v>
      </c>
      <c r="S148" s="328">
        <v>30</v>
      </c>
      <c r="T148" s="328">
        <v>30</v>
      </c>
      <c r="U148" s="328">
        <v>30</v>
      </c>
      <c r="V148" s="329">
        <v>25</v>
      </c>
      <c r="W148" s="329">
        <v>25</v>
      </c>
      <c r="X148" s="329">
        <v>25</v>
      </c>
      <c r="Y148" s="329">
        <v>25</v>
      </c>
      <c r="Z148" s="578">
        <v>31</v>
      </c>
      <c r="AA148" s="578">
        <v>31</v>
      </c>
      <c r="AB148" s="578">
        <v>31</v>
      </c>
      <c r="AC148" s="578">
        <v>31</v>
      </c>
      <c r="AD148" s="328">
        <v>26</v>
      </c>
      <c r="AE148" s="328">
        <v>27</v>
      </c>
      <c r="AF148" s="328">
        <v>27</v>
      </c>
      <c r="AG148" s="328">
        <v>27</v>
      </c>
      <c r="AH148" s="526">
        <v>23</v>
      </c>
      <c r="AI148" s="526">
        <v>23</v>
      </c>
      <c r="AJ148" s="526">
        <v>23</v>
      </c>
      <c r="AK148" s="526">
        <v>23</v>
      </c>
      <c r="AL148" s="612">
        <v>21</v>
      </c>
      <c r="AM148" s="612">
        <v>21</v>
      </c>
      <c r="AN148" s="612">
        <v>21</v>
      </c>
      <c r="AO148" s="612">
        <v>21</v>
      </c>
      <c r="AP148" s="991">
        <v>26</v>
      </c>
      <c r="AQ148" s="993">
        <v>26</v>
      </c>
      <c r="AR148" s="994">
        <v>26</v>
      </c>
      <c r="AS148" s="993">
        <v>26</v>
      </c>
      <c r="AT148" s="971"/>
      <c r="AU148" s="970"/>
      <c r="AV148" s="970"/>
      <c r="AW148" s="970"/>
    </row>
    <row r="149" spans="1:49" ht="24.95" customHeight="1" x14ac:dyDescent="0.2">
      <c r="A149" s="13">
        <v>325754004203</v>
      </c>
      <c r="B149" s="1"/>
      <c r="C149" s="126" t="s">
        <v>728</v>
      </c>
      <c r="D149" s="2" t="s">
        <v>123</v>
      </c>
      <c r="E149" s="2">
        <v>4</v>
      </c>
      <c r="F149" s="12"/>
      <c r="G149" s="12"/>
      <c r="H149" s="12"/>
      <c r="I149" s="12"/>
      <c r="J149" s="25"/>
      <c r="K149" s="25"/>
      <c r="L149" s="25"/>
      <c r="M149" s="25"/>
      <c r="N149" s="12"/>
      <c r="O149" s="12"/>
      <c r="P149" s="12"/>
      <c r="Q149" s="12"/>
      <c r="R149" s="12"/>
      <c r="S149" s="12"/>
      <c r="T149" s="12"/>
      <c r="U149" s="12"/>
      <c r="V149" s="25"/>
      <c r="W149" s="25"/>
      <c r="X149" s="25"/>
      <c r="Y149" s="25"/>
      <c r="Z149" s="577"/>
      <c r="AA149" s="577"/>
      <c r="AB149" s="577"/>
      <c r="AC149" s="577"/>
      <c r="AD149" s="328"/>
      <c r="AE149" s="328"/>
      <c r="AF149" s="328"/>
      <c r="AG149" s="328"/>
      <c r="AH149" s="526">
        <v>9</v>
      </c>
      <c r="AI149" s="526">
        <v>9</v>
      </c>
      <c r="AJ149" s="526">
        <v>8</v>
      </c>
      <c r="AK149" s="526">
        <v>8</v>
      </c>
      <c r="AL149" s="613"/>
      <c r="AM149" s="613"/>
      <c r="AN149" s="613"/>
      <c r="AO149" s="613"/>
      <c r="AP149" s="991">
        <v>12</v>
      </c>
      <c r="AQ149" s="993">
        <v>12</v>
      </c>
      <c r="AR149" s="994">
        <v>12</v>
      </c>
      <c r="AS149" s="993">
        <v>12</v>
      </c>
      <c r="AT149" s="971"/>
      <c r="AU149" s="970"/>
      <c r="AV149" s="970"/>
      <c r="AW149" s="970"/>
    </row>
    <row r="150" spans="1:49" ht="24.95" customHeight="1" x14ac:dyDescent="0.2">
      <c r="A150" s="13">
        <v>325754004902</v>
      </c>
      <c r="B150" s="1" t="s">
        <v>0</v>
      </c>
      <c r="C150" s="126" t="s">
        <v>80</v>
      </c>
      <c r="D150" s="2" t="s">
        <v>123</v>
      </c>
      <c r="E150" s="2">
        <v>2</v>
      </c>
      <c r="F150" s="12">
        <v>17</v>
      </c>
      <c r="G150" s="12">
        <v>16</v>
      </c>
      <c r="H150" s="12">
        <v>16</v>
      </c>
      <c r="I150" s="12">
        <v>16</v>
      </c>
      <c r="J150" s="25">
        <v>7</v>
      </c>
      <c r="K150" s="25">
        <v>9</v>
      </c>
      <c r="L150" s="25">
        <v>9</v>
      </c>
      <c r="M150" s="25">
        <v>9</v>
      </c>
      <c r="N150" s="12">
        <v>17</v>
      </c>
      <c r="O150" s="12">
        <v>15</v>
      </c>
      <c r="P150" s="12">
        <v>15</v>
      </c>
      <c r="Q150" s="12">
        <v>15</v>
      </c>
      <c r="R150" s="12">
        <v>13</v>
      </c>
      <c r="S150" s="12">
        <v>13</v>
      </c>
      <c r="T150" s="12">
        <v>13</v>
      </c>
      <c r="U150" s="12">
        <v>11</v>
      </c>
      <c r="V150" s="25">
        <v>14</v>
      </c>
      <c r="W150" s="25">
        <v>14</v>
      </c>
      <c r="X150" s="25">
        <v>14</v>
      </c>
      <c r="Y150" s="25">
        <v>14</v>
      </c>
      <c r="Z150" s="577">
        <v>13</v>
      </c>
      <c r="AA150" s="577">
        <v>13</v>
      </c>
      <c r="AB150" s="577">
        <v>13</v>
      </c>
      <c r="AC150" s="577">
        <v>13</v>
      </c>
      <c r="AD150" s="328">
        <v>14</v>
      </c>
      <c r="AE150" s="328">
        <v>14</v>
      </c>
      <c r="AF150" s="328">
        <v>14</v>
      </c>
      <c r="AG150" s="328">
        <v>14</v>
      </c>
      <c r="AH150" s="526">
        <v>20</v>
      </c>
      <c r="AI150" s="526">
        <v>20</v>
      </c>
      <c r="AJ150" s="526">
        <v>20</v>
      </c>
      <c r="AK150" s="526">
        <v>20</v>
      </c>
      <c r="AL150" s="524">
        <v>19</v>
      </c>
      <c r="AM150" s="524">
        <v>19</v>
      </c>
      <c r="AN150" s="524">
        <v>19</v>
      </c>
      <c r="AO150" s="524">
        <v>19</v>
      </c>
      <c r="AP150" s="991"/>
      <c r="AQ150" s="993"/>
      <c r="AR150" s="994"/>
      <c r="AS150" s="993"/>
      <c r="AT150" s="971"/>
      <c r="AU150" s="970"/>
      <c r="AV150" s="970"/>
      <c r="AW150" s="970"/>
    </row>
    <row r="151" spans="1:49" ht="24.95" customHeight="1" x14ac:dyDescent="0.2">
      <c r="A151" s="13">
        <v>325754003860</v>
      </c>
      <c r="B151" s="1" t="s">
        <v>0</v>
      </c>
      <c r="C151" s="126" t="s">
        <v>84</v>
      </c>
      <c r="D151" s="2" t="s">
        <v>123</v>
      </c>
      <c r="E151" s="2">
        <v>5</v>
      </c>
      <c r="F151" s="12">
        <v>32</v>
      </c>
      <c r="G151" s="12">
        <v>43</v>
      </c>
      <c r="H151" s="12">
        <v>42</v>
      </c>
      <c r="I151" s="12">
        <v>42</v>
      </c>
      <c r="J151" s="25">
        <v>38</v>
      </c>
      <c r="K151" s="25">
        <v>42</v>
      </c>
      <c r="L151" s="25">
        <v>41</v>
      </c>
      <c r="M151" s="25">
        <v>41</v>
      </c>
      <c r="N151" s="12">
        <v>27</v>
      </c>
      <c r="O151" s="12">
        <v>32</v>
      </c>
      <c r="P151" s="12">
        <v>32</v>
      </c>
      <c r="Q151" s="12">
        <v>32</v>
      </c>
      <c r="R151" s="12">
        <v>25</v>
      </c>
      <c r="S151" s="12">
        <v>24</v>
      </c>
      <c r="T151" s="12">
        <v>24</v>
      </c>
      <c r="U151" s="12">
        <v>24</v>
      </c>
      <c r="V151" s="25">
        <v>23</v>
      </c>
      <c r="W151" s="25">
        <v>23</v>
      </c>
      <c r="X151" s="25">
        <v>23</v>
      </c>
      <c r="Y151" s="25">
        <v>23</v>
      </c>
      <c r="Z151" s="577">
        <v>35</v>
      </c>
      <c r="AA151" s="577">
        <v>29</v>
      </c>
      <c r="AB151" s="577">
        <v>29</v>
      </c>
      <c r="AC151" s="577">
        <v>29</v>
      </c>
      <c r="AD151" s="328">
        <v>27</v>
      </c>
      <c r="AE151" s="328">
        <v>26</v>
      </c>
      <c r="AF151" s="328">
        <v>26</v>
      </c>
      <c r="AG151" s="328">
        <v>26</v>
      </c>
      <c r="AH151" s="526">
        <v>39</v>
      </c>
      <c r="AI151" s="526">
        <v>36</v>
      </c>
      <c r="AJ151" s="526">
        <v>35</v>
      </c>
      <c r="AK151" s="526">
        <v>35</v>
      </c>
      <c r="AL151" s="524">
        <v>49</v>
      </c>
      <c r="AM151" s="524">
        <v>48</v>
      </c>
      <c r="AN151" s="524">
        <v>44</v>
      </c>
      <c r="AO151" s="524">
        <v>44</v>
      </c>
      <c r="AP151" s="991">
        <v>46</v>
      </c>
      <c r="AQ151" s="993">
        <v>47</v>
      </c>
      <c r="AR151" s="994">
        <v>45</v>
      </c>
      <c r="AS151" s="993">
        <v>45</v>
      </c>
      <c r="AT151" s="971"/>
      <c r="AU151" s="970"/>
      <c r="AV151" s="970"/>
      <c r="AW151" s="970"/>
    </row>
    <row r="152" spans="1:49" ht="24.95" customHeight="1" x14ac:dyDescent="0.2">
      <c r="A152" s="13">
        <v>325754001883</v>
      </c>
      <c r="B152" s="1" t="s">
        <v>0</v>
      </c>
      <c r="C152" s="126" t="s">
        <v>79</v>
      </c>
      <c r="D152" s="2" t="s">
        <v>123</v>
      </c>
      <c r="E152" s="2">
        <v>2</v>
      </c>
      <c r="F152" s="12">
        <v>7</v>
      </c>
      <c r="G152" s="12">
        <v>9</v>
      </c>
      <c r="H152" s="12">
        <v>8</v>
      </c>
      <c r="I152" s="12">
        <v>8</v>
      </c>
      <c r="J152" s="25">
        <v>21</v>
      </c>
      <c r="K152" s="25">
        <v>21</v>
      </c>
      <c r="L152" s="25">
        <v>20</v>
      </c>
      <c r="M152" s="25">
        <v>20</v>
      </c>
      <c r="N152" s="12">
        <v>23</v>
      </c>
      <c r="O152" s="12">
        <v>23</v>
      </c>
      <c r="P152" s="12">
        <v>23</v>
      </c>
      <c r="Q152" s="12">
        <v>23</v>
      </c>
      <c r="R152" s="12">
        <v>35</v>
      </c>
      <c r="S152" s="12">
        <v>35</v>
      </c>
      <c r="T152" s="12">
        <v>35</v>
      </c>
      <c r="U152" s="12">
        <v>33</v>
      </c>
      <c r="V152" s="25">
        <v>32</v>
      </c>
      <c r="W152" s="25">
        <v>32</v>
      </c>
      <c r="X152" s="25">
        <v>32</v>
      </c>
      <c r="Y152" s="25">
        <v>32</v>
      </c>
      <c r="Z152" s="577">
        <v>34</v>
      </c>
      <c r="AA152" s="577">
        <v>34</v>
      </c>
      <c r="AB152" s="577">
        <v>34</v>
      </c>
      <c r="AC152" s="577">
        <v>34</v>
      </c>
      <c r="AD152" s="328">
        <v>42</v>
      </c>
      <c r="AE152" s="328">
        <v>42</v>
      </c>
      <c r="AF152" s="328">
        <v>42</v>
      </c>
      <c r="AG152" s="328">
        <v>42</v>
      </c>
      <c r="AH152" s="526">
        <v>41</v>
      </c>
      <c r="AI152" s="526">
        <v>41</v>
      </c>
      <c r="AJ152" s="526">
        <v>41</v>
      </c>
      <c r="AK152" s="526">
        <v>41</v>
      </c>
      <c r="AL152" s="524">
        <v>40</v>
      </c>
      <c r="AM152" s="524">
        <v>39</v>
      </c>
      <c r="AN152" s="524">
        <v>39</v>
      </c>
      <c r="AO152" s="524">
        <v>39</v>
      </c>
      <c r="AP152" s="991">
        <v>53</v>
      </c>
      <c r="AQ152" s="993">
        <v>53</v>
      </c>
      <c r="AR152" s="994">
        <v>52</v>
      </c>
      <c r="AS152" s="993">
        <v>52</v>
      </c>
      <c r="AT152" s="971"/>
      <c r="AU152" s="970"/>
      <c r="AV152" s="970"/>
      <c r="AW152" s="970"/>
    </row>
    <row r="153" spans="1:49" ht="24.95" customHeight="1" x14ac:dyDescent="0.2">
      <c r="A153" s="13">
        <v>325754004238</v>
      </c>
      <c r="B153" s="1" t="s">
        <v>0</v>
      </c>
      <c r="C153" s="126" t="s">
        <v>70</v>
      </c>
      <c r="D153" s="2" t="s">
        <v>123</v>
      </c>
      <c r="E153" s="2">
        <v>6</v>
      </c>
      <c r="F153" s="12">
        <v>82</v>
      </c>
      <c r="G153" s="12">
        <v>110</v>
      </c>
      <c r="H153" s="12">
        <v>110</v>
      </c>
      <c r="I153" s="12">
        <v>110</v>
      </c>
      <c r="J153" s="25">
        <v>134</v>
      </c>
      <c r="K153" s="25">
        <v>133</v>
      </c>
      <c r="L153" s="25">
        <v>133</v>
      </c>
      <c r="M153" s="25">
        <v>131</v>
      </c>
      <c r="N153" s="12">
        <v>130</v>
      </c>
      <c r="O153" s="12">
        <v>130</v>
      </c>
      <c r="P153" s="12">
        <v>130</v>
      </c>
      <c r="Q153" s="12">
        <v>130</v>
      </c>
      <c r="R153" s="12">
        <v>159</v>
      </c>
      <c r="S153" s="12">
        <v>159</v>
      </c>
      <c r="T153" s="12">
        <v>159</v>
      </c>
      <c r="U153" s="12">
        <v>157</v>
      </c>
      <c r="V153" s="25">
        <v>144</v>
      </c>
      <c r="W153" s="25">
        <v>144</v>
      </c>
      <c r="X153" s="25">
        <v>144</v>
      </c>
      <c r="Y153" s="25">
        <v>144</v>
      </c>
      <c r="Z153" s="577">
        <v>33</v>
      </c>
      <c r="AA153" s="577">
        <v>153</v>
      </c>
      <c r="AB153" s="577">
        <v>151</v>
      </c>
      <c r="AC153" s="577">
        <v>151</v>
      </c>
      <c r="AD153" s="328">
        <v>200</v>
      </c>
      <c r="AE153" s="328">
        <v>200</v>
      </c>
      <c r="AF153" s="328">
        <v>199</v>
      </c>
      <c r="AG153" s="328">
        <v>199</v>
      </c>
      <c r="AH153" s="526">
        <v>153</v>
      </c>
      <c r="AI153" s="526">
        <v>153</v>
      </c>
      <c r="AJ153" s="526">
        <v>151</v>
      </c>
      <c r="AK153" s="526">
        <v>151</v>
      </c>
      <c r="AL153" s="524">
        <v>150</v>
      </c>
      <c r="AM153" s="524">
        <v>147</v>
      </c>
      <c r="AN153" s="524">
        <v>146</v>
      </c>
      <c r="AO153" s="524">
        <v>146</v>
      </c>
      <c r="AP153" s="991">
        <v>167</v>
      </c>
      <c r="AQ153" s="993">
        <v>168</v>
      </c>
      <c r="AR153" s="994">
        <v>167</v>
      </c>
      <c r="AS153" s="993">
        <v>167</v>
      </c>
      <c r="AT153" s="971"/>
      <c r="AU153" s="970"/>
      <c r="AV153" s="970"/>
      <c r="AW153" s="970"/>
    </row>
    <row r="154" spans="1:49" ht="24.95" customHeight="1" x14ac:dyDescent="0.2">
      <c r="A154" s="13">
        <v>325754005099</v>
      </c>
      <c r="B154" s="1" t="s">
        <v>0</v>
      </c>
      <c r="C154" s="126" t="s">
        <v>108</v>
      </c>
      <c r="D154" s="2" t="s">
        <v>123</v>
      </c>
      <c r="E154" s="2">
        <v>5</v>
      </c>
      <c r="F154" s="12">
        <v>20</v>
      </c>
      <c r="G154" s="12">
        <v>30</v>
      </c>
      <c r="H154" s="12">
        <v>30</v>
      </c>
      <c r="I154" s="12">
        <v>30</v>
      </c>
      <c r="J154" s="25">
        <v>15</v>
      </c>
      <c r="K154" s="25">
        <v>23</v>
      </c>
      <c r="L154" s="25">
        <v>23</v>
      </c>
      <c r="M154" s="25">
        <v>23</v>
      </c>
      <c r="N154" s="12">
        <v>50</v>
      </c>
      <c r="O154" s="12">
        <v>46</v>
      </c>
      <c r="P154" s="12">
        <v>46</v>
      </c>
      <c r="Q154" s="12">
        <v>46</v>
      </c>
      <c r="R154" s="12">
        <v>48</v>
      </c>
      <c r="S154" s="12">
        <v>46</v>
      </c>
      <c r="T154" s="12">
        <v>46</v>
      </c>
      <c r="U154" s="12">
        <v>46</v>
      </c>
      <c r="V154" s="25">
        <v>53</v>
      </c>
      <c r="W154" s="25">
        <v>52</v>
      </c>
      <c r="X154" s="25">
        <v>52</v>
      </c>
      <c r="Y154" s="25">
        <v>52</v>
      </c>
      <c r="Z154" s="577">
        <v>48</v>
      </c>
      <c r="AA154" s="577">
        <v>48</v>
      </c>
      <c r="AB154" s="577">
        <v>48</v>
      </c>
      <c r="AC154" s="577">
        <v>48</v>
      </c>
      <c r="AD154" s="328">
        <v>49</v>
      </c>
      <c r="AE154" s="328">
        <v>47</v>
      </c>
      <c r="AF154" s="328">
        <v>47</v>
      </c>
      <c r="AG154" s="328">
        <v>47</v>
      </c>
      <c r="AH154" s="526">
        <v>69</v>
      </c>
      <c r="AI154" s="526">
        <v>69</v>
      </c>
      <c r="AJ154" s="526">
        <v>69</v>
      </c>
      <c r="AK154" s="526">
        <v>69</v>
      </c>
      <c r="AL154" s="524">
        <v>62</v>
      </c>
      <c r="AM154" s="524">
        <v>62</v>
      </c>
      <c r="AN154" s="524">
        <v>61</v>
      </c>
      <c r="AO154" s="524">
        <v>61</v>
      </c>
      <c r="AP154" s="991">
        <v>78</v>
      </c>
      <c r="AQ154" s="993">
        <v>79</v>
      </c>
      <c r="AR154" s="994">
        <v>79</v>
      </c>
      <c r="AS154" s="993">
        <v>79</v>
      </c>
      <c r="AT154" s="971"/>
      <c r="AU154" s="970"/>
      <c r="AV154" s="970"/>
      <c r="AW154" s="970"/>
    </row>
    <row r="155" spans="1:49" ht="24.95" customHeight="1" x14ac:dyDescent="0.2">
      <c r="A155" s="13">
        <v>325754001905</v>
      </c>
      <c r="B155" s="1" t="s">
        <v>0</v>
      </c>
      <c r="C155" s="126" t="s">
        <v>92</v>
      </c>
      <c r="D155" s="2" t="s">
        <v>123</v>
      </c>
      <c r="E155" s="2">
        <v>1</v>
      </c>
      <c r="F155" s="47">
        <v>37</v>
      </c>
      <c r="G155" s="47">
        <v>38</v>
      </c>
      <c r="H155" s="47">
        <v>38</v>
      </c>
      <c r="I155" s="47">
        <v>38</v>
      </c>
      <c r="J155" s="25">
        <v>29</v>
      </c>
      <c r="K155" s="25">
        <v>31</v>
      </c>
      <c r="L155" s="25">
        <v>31</v>
      </c>
      <c r="M155" s="25">
        <v>31</v>
      </c>
      <c r="N155" s="12">
        <v>22</v>
      </c>
      <c r="O155" s="12">
        <v>21</v>
      </c>
      <c r="P155" s="12">
        <v>20</v>
      </c>
      <c r="Q155" s="12">
        <v>20</v>
      </c>
      <c r="R155" s="12">
        <v>25</v>
      </c>
      <c r="S155" s="12">
        <v>25</v>
      </c>
      <c r="T155" s="12">
        <v>25</v>
      </c>
      <c r="U155" s="12">
        <v>25</v>
      </c>
      <c r="V155" s="25">
        <v>45</v>
      </c>
      <c r="W155" s="25">
        <v>44</v>
      </c>
      <c r="X155" s="25">
        <v>44</v>
      </c>
      <c r="Y155" s="25">
        <v>44</v>
      </c>
      <c r="Z155" s="579">
        <v>57</v>
      </c>
      <c r="AA155" s="579">
        <v>57</v>
      </c>
      <c r="AB155" s="579">
        <v>56</v>
      </c>
      <c r="AC155" s="579">
        <v>56</v>
      </c>
      <c r="AD155" s="47">
        <v>53</v>
      </c>
      <c r="AE155" s="47">
        <v>53</v>
      </c>
      <c r="AF155" s="47">
        <v>53</v>
      </c>
      <c r="AG155" s="47">
        <v>53</v>
      </c>
      <c r="AH155" s="615">
        <v>51</v>
      </c>
      <c r="AI155" s="615">
        <v>50</v>
      </c>
      <c r="AJ155" s="615">
        <v>50</v>
      </c>
      <c r="AK155" s="615">
        <v>50</v>
      </c>
      <c r="AL155" s="47">
        <v>53</v>
      </c>
      <c r="AM155" s="47">
        <v>53</v>
      </c>
      <c r="AN155" s="47">
        <v>52</v>
      </c>
      <c r="AO155" s="47">
        <v>52</v>
      </c>
      <c r="AP155" s="993">
        <v>78</v>
      </c>
      <c r="AQ155" s="993">
        <v>78</v>
      </c>
      <c r="AR155" s="994">
        <v>75</v>
      </c>
      <c r="AS155" s="993">
        <v>75</v>
      </c>
      <c r="AT155" s="971"/>
      <c r="AU155" s="970"/>
      <c r="AV155" s="970"/>
      <c r="AW155" s="970"/>
    </row>
    <row r="156" spans="1:49" ht="24.95" customHeight="1" x14ac:dyDescent="0.2">
      <c r="A156" s="858">
        <v>325754004246</v>
      </c>
      <c r="B156" s="1" t="s">
        <v>0</v>
      </c>
      <c r="C156" s="126" t="s">
        <v>130</v>
      </c>
      <c r="D156" s="2" t="s">
        <v>123</v>
      </c>
      <c r="E156" s="2">
        <v>6</v>
      </c>
      <c r="F156" s="607"/>
      <c r="G156" s="607"/>
      <c r="H156" s="607"/>
      <c r="I156" s="607"/>
      <c r="J156" s="25">
        <v>0</v>
      </c>
      <c r="K156" s="25">
        <v>6</v>
      </c>
      <c r="L156" s="25">
        <v>6</v>
      </c>
      <c r="M156" s="25">
        <v>6</v>
      </c>
      <c r="N156" s="12">
        <v>0</v>
      </c>
      <c r="O156" s="12">
        <v>5</v>
      </c>
      <c r="P156" s="12">
        <v>5</v>
      </c>
      <c r="Q156" s="12">
        <v>4</v>
      </c>
      <c r="R156" s="12">
        <v>2</v>
      </c>
      <c r="S156" s="12">
        <v>2</v>
      </c>
      <c r="T156" s="12">
        <v>2</v>
      </c>
      <c r="U156" s="12">
        <v>2</v>
      </c>
      <c r="V156" s="25">
        <v>2</v>
      </c>
      <c r="W156" s="25">
        <v>2</v>
      </c>
      <c r="X156" s="25">
        <v>2</v>
      </c>
      <c r="Y156" s="25">
        <v>2</v>
      </c>
      <c r="Z156" s="609"/>
      <c r="AA156" s="609"/>
      <c r="AB156" s="609"/>
      <c r="AC156" s="609"/>
      <c r="AD156" s="611"/>
      <c r="AE156" s="611"/>
      <c r="AF156" s="611"/>
      <c r="AG156" s="611"/>
      <c r="AH156" s="614"/>
      <c r="AI156" s="614"/>
      <c r="AJ156" s="614"/>
      <c r="AK156" s="614"/>
      <c r="AL156" s="616"/>
      <c r="AM156" s="616"/>
      <c r="AN156" s="616"/>
      <c r="AO156" s="616"/>
      <c r="AP156" s="993"/>
      <c r="AQ156" s="993"/>
      <c r="AR156" s="994"/>
      <c r="AS156" s="993"/>
      <c r="AT156" s="971"/>
      <c r="AU156" s="970"/>
      <c r="AV156" s="970"/>
      <c r="AW156" s="970"/>
    </row>
    <row r="157" spans="1:49" ht="24.95" customHeight="1" x14ac:dyDescent="0.2">
      <c r="A157" s="13">
        <v>325754004033</v>
      </c>
      <c r="B157" s="1" t="s">
        <v>0</v>
      </c>
      <c r="C157" s="126" t="s">
        <v>115</v>
      </c>
      <c r="D157" s="2" t="s">
        <v>123</v>
      </c>
      <c r="E157" s="2">
        <v>3</v>
      </c>
      <c r="F157" s="12">
        <v>16</v>
      </c>
      <c r="G157" s="12">
        <v>16</v>
      </c>
      <c r="H157" s="12">
        <v>16</v>
      </c>
      <c r="I157" s="12">
        <v>16</v>
      </c>
      <c r="J157" s="25">
        <v>3</v>
      </c>
      <c r="K157" s="25">
        <v>15</v>
      </c>
      <c r="L157" s="25">
        <v>15</v>
      </c>
      <c r="M157" s="25">
        <v>15</v>
      </c>
      <c r="N157" s="12">
        <v>18</v>
      </c>
      <c r="O157" s="12">
        <v>16</v>
      </c>
      <c r="P157" s="12">
        <v>16</v>
      </c>
      <c r="Q157" s="12">
        <v>16</v>
      </c>
      <c r="R157" s="12">
        <v>20</v>
      </c>
      <c r="S157" s="12">
        <v>20</v>
      </c>
      <c r="T157" s="12">
        <v>20</v>
      </c>
      <c r="U157" s="12">
        <v>20</v>
      </c>
      <c r="V157" s="25">
        <v>27</v>
      </c>
      <c r="W157" s="25">
        <v>27</v>
      </c>
      <c r="X157" s="25">
        <v>27</v>
      </c>
      <c r="Y157" s="25">
        <v>27</v>
      </c>
      <c r="Z157" s="577">
        <v>25</v>
      </c>
      <c r="AA157" s="577">
        <v>25</v>
      </c>
      <c r="AB157" s="577">
        <v>25</v>
      </c>
      <c r="AC157" s="577">
        <v>25</v>
      </c>
      <c r="AD157" s="328">
        <v>28</v>
      </c>
      <c r="AE157" s="328">
        <v>29</v>
      </c>
      <c r="AF157" s="328">
        <v>28</v>
      </c>
      <c r="AG157" s="328">
        <v>28</v>
      </c>
      <c r="AH157" s="526">
        <v>26</v>
      </c>
      <c r="AI157" s="526">
        <v>26</v>
      </c>
      <c r="AJ157" s="526">
        <v>26</v>
      </c>
      <c r="AK157" s="526">
        <v>26</v>
      </c>
      <c r="AL157" s="524">
        <v>31</v>
      </c>
      <c r="AM157" s="524">
        <v>31</v>
      </c>
      <c r="AN157" s="524">
        <v>29</v>
      </c>
      <c r="AO157" s="524">
        <v>29</v>
      </c>
      <c r="AP157" s="993">
        <v>21</v>
      </c>
      <c r="AQ157" s="993">
        <v>21</v>
      </c>
      <c r="AR157" s="994">
        <v>21</v>
      </c>
      <c r="AS157" s="993">
        <v>21</v>
      </c>
      <c r="AT157" s="971"/>
      <c r="AU157" s="970"/>
      <c r="AV157" s="970"/>
      <c r="AW157" s="970"/>
    </row>
    <row r="158" spans="1:49" ht="24.95" customHeight="1" x14ac:dyDescent="0.2">
      <c r="A158" s="13">
        <v>325754004211</v>
      </c>
      <c r="B158" s="1" t="s">
        <v>0</v>
      </c>
      <c r="C158" s="126" t="s">
        <v>37</v>
      </c>
      <c r="D158" s="2" t="s">
        <v>123</v>
      </c>
      <c r="E158" s="2">
        <v>3</v>
      </c>
      <c r="F158" s="12">
        <v>60</v>
      </c>
      <c r="G158" s="12">
        <v>61</v>
      </c>
      <c r="H158" s="12">
        <v>61</v>
      </c>
      <c r="I158" s="12">
        <v>61</v>
      </c>
      <c r="J158" s="25">
        <v>24</v>
      </c>
      <c r="K158" s="25">
        <v>24</v>
      </c>
      <c r="L158" s="25">
        <v>24</v>
      </c>
      <c r="M158" s="25">
        <v>24</v>
      </c>
      <c r="N158" s="12">
        <v>35</v>
      </c>
      <c r="O158" s="12">
        <v>34</v>
      </c>
      <c r="P158" s="12">
        <v>34</v>
      </c>
      <c r="Q158" s="12">
        <v>34</v>
      </c>
      <c r="R158" s="12">
        <v>38</v>
      </c>
      <c r="S158" s="12">
        <v>37</v>
      </c>
      <c r="T158" s="12">
        <v>36</v>
      </c>
      <c r="U158" s="12">
        <v>36</v>
      </c>
      <c r="V158" s="25">
        <v>26</v>
      </c>
      <c r="W158" s="25">
        <v>25</v>
      </c>
      <c r="X158" s="25">
        <v>24</v>
      </c>
      <c r="Y158" s="25">
        <v>24</v>
      </c>
      <c r="Z158" s="577">
        <v>28</v>
      </c>
      <c r="AA158" s="577">
        <v>28</v>
      </c>
      <c r="AB158" s="577">
        <v>28</v>
      </c>
      <c r="AC158" s="577">
        <v>28</v>
      </c>
      <c r="AD158" s="328">
        <v>29</v>
      </c>
      <c r="AE158" s="328">
        <v>29</v>
      </c>
      <c r="AF158" s="328">
        <v>28</v>
      </c>
      <c r="AG158" s="328">
        <v>28</v>
      </c>
      <c r="AH158" s="526">
        <v>34</v>
      </c>
      <c r="AI158" s="526">
        <v>34</v>
      </c>
      <c r="AJ158" s="526">
        <v>34</v>
      </c>
      <c r="AK158" s="526">
        <v>34</v>
      </c>
      <c r="AL158" s="524">
        <v>27</v>
      </c>
      <c r="AM158" s="524">
        <v>27</v>
      </c>
      <c r="AN158" s="524">
        <v>27</v>
      </c>
      <c r="AO158" s="524">
        <v>27</v>
      </c>
      <c r="AP158" s="993">
        <v>32</v>
      </c>
      <c r="AQ158" s="993">
        <v>32</v>
      </c>
      <c r="AR158" s="994">
        <v>32</v>
      </c>
      <c r="AS158" s="993">
        <v>32</v>
      </c>
      <c r="AT158" s="971"/>
      <c r="AU158" s="970"/>
      <c r="AV158" s="970"/>
      <c r="AW158" s="970"/>
    </row>
    <row r="159" spans="1:49" ht="24.95" customHeight="1" x14ac:dyDescent="0.2">
      <c r="A159" s="13">
        <v>325754003517</v>
      </c>
      <c r="B159" s="1" t="s">
        <v>0</v>
      </c>
      <c r="C159" s="126" t="s">
        <v>107</v>
      </c>
      <c r="D159" s="2" t="s">
        <v>123</v>
      </c>
      <c r="E159" s="2">
        <v>5</v>
      </c>
      <c r="F159" s="12">
        <v>12</v>
      </c>
      <c r="G159" s="12">
        <v>16</v>
      </c>
      <c r="H159" s="12">
        <v>15</v>
      </c>
      <c r="I159" s="12">
        <v>15</v>
      </c>
      <c r="J159" s="25">
        <v>17</v>
      </c>
      <c r="K159" s="25">
        <v>17</v>
      </c>
      <c r="L159" s="25">
        <v>17</v>
      </c>
      <c r="M159" s="25">
        <v>17</v>
      </c>
      <c r="N159" s="12">
        <v>19</v>
      </c>
      <c r="O159" s="12">
        <v>19</v>
      </c>
      <c r="P159" s="12">
        <v>19</v>
      </c>
      <c r="Q159" s="12">
        <v>19</v>
      </c>
      <c r="R159" s="12">
        <v>24</v>
      </c>
      <c r="S159" s="12">
        <v>24</v>
      </c>
      <c r="T159" s="12">
        <v>24</v>
      </c>
      <c r="U159" s="12">
        <v>24</v>
      </c>
      <c r="V159" s="25">
        <v>32</v>
      </c>
      <c r="W159" s="25">
        <v>32</v>
      </c>
      <c r="X159" s="25">
        <v>32</v>
      </c>
      <c r="Y159" s="25">
        <v>32</v>
      </c>
      <c r="Z159" s="577">
        <v>37</v>
      </c>
      <c r="AA159" s="577">
        <v>37</v>
      </c>
      <c r="AB159" s="577">
        <v>37</v>
      </c>
      <c r="AC159" s="577">
        <v>37</v>
      </c>
      <c r="AD159" s="328">
        <v>22</v>
      </c>
      <c r="AE159" s="328">
        <v>22</v>
      </c>
      <c r="AF159" s="328">
        <v>22</v>
      </c>
      <c r="AG159" s="328">
        <v>22</v>
      </c>
      <c r="AH159" s="526">
        <v>17</v>
      </c>
      <c r="AI159" s="526">
        <v>17</v>
      </c>
      <c r="AJ159" s="526">
        <v>17</v>
      </c>
      <c r="AK159" s="526">
        <v>17</v>
      </c>
      <c r="AL159" s="524">
        <v>33</v>
      </c>
      <c r="AM159" s="524">
        <v>33</v>
      </c>
      <c r="AN159" s="524">
        <v>33</v>
      </c>
      <c r="AO159" s="524">
        <v>33</v>
      </c>
      <c r="AP159" s="993">
        <v>37</v>
      </c>
      <c r="AQ159" s="993">
        <v>37</v>
      </c>
      <c r="AR159" s="994">
        <v>37</v>
      </c>
      <c r="AS159" s="993">
        <v>37</v>
      </c>
      <c r="AT159" s="971"/>
      <c r="AU159" s="970"/>
      <c r="AV159" s="970"/>
      <c r="AW159" s="970"/>
    </row>
    <row r="160" spans="1:49" ht="24.95" customHeight="1" x14ac:dyDescent="0.2">
      <c r="A160" s="13">
        <v>325754002901</v>
      </c>
      <c r="B160" s="1" t="s">
        <v>0</v>
      </c>
      <c r="C160" s="126" t="s">
        <v>18</v>
      </c>
      <c r="D160" s="2" t="s">
        <v>123</v>
      </c>
      <c r="E160" s="2">
        <v>5</v>
      </c>
      <c r="F160" s="12">
        <v>66</v>
      </c>
      <c r="G160" s="12">
        <v>66</v>
      </c>
      <c r="H160" s="12">
        <v>66</v>
      </c>
      <c r="I160" s="12">
        <v>66</v>
      </c>
      <c r="J160" s="25">
        <v>59</v>
      </c>
      <c r="K160" s="25">
        <v>59</v>
      </c>
      <c r="L160" s="25">
        <v>59</v>
      </c>
      <c r="M160" s="25">
        <v>59</v>
      </c>
      <c r="N160" s="12">
        <v>66</v>
      </c>
      <c r="O160" s="12">
        <v>66</v>
      </c>
      <c r="P160" s="12">
        <v>66</v>
      </c>
      <c r="Q160" s="12">
        <v>66</v>
      </c>
      <c r="R160" s="12">
        <v>57</v>
      </c>
      <c r="S160" s="12">
        <v>56</v>
      </c>
      <c r="T160" s="12">
        <v>56</v>
      </c>
      <c r="U160" s="12">
        <v>56</v>
      </c>
      <c r="V160" s="25">
        <v>89</v>
      </c>
      <c r="W160" s="25">
        <v>89</v>
      </c>
      <c r="X160" s="25">
        <v>89</v>
      </c>
      <c r="Y160" s="25">
        <v>89</v>
      </c>
      <c r="Z160" s="577">
        <v>54</v>
      </c>
      <c r="AA160" s="577">
        <v>54</v>
      </c>
      <c r="AB160" s="577">
        <v>54</v>
      </c>
      <c r="AC160" s="577">
        <v>54</v>
      </c>
      <c r="AD160" s="328">
        <v>74</v>
      </c>
      <c r="AE160" s="328">
        <v>73</v>
      </c>
      <c r="AF160" s="328">
        <v>73</v>
      </c>
      <c r="AG160" s="328">
        <v>73</v>
      </c>
      <c r="AH160" s="526">
        <v>91</v>
      </c>
      <c r="AI160" s="526">
        <v>90</v>
      </c>
      <c r="AJ160" s="526">
        <v>90</v>
      </c>
      <c r="AK160" s="526">
        <v>90</v>
      </c>
      <c r="AL160" s="524">
        <v>79</v>
      </c>
      <c r="AM160" s="524">
        <v>79</v>
      </c>
      <c r="AN160" s="524">
        <v>78</v>
      </c>
      <c r="AO160" s="524">
        <v>78</v>
      </c>
      <c r="AP160" s="993">
        <v>72</v>
      </c>
      <c r="AQ160" s="993">
        <v>72</v>
      </c>
      <c r="AR160" s="994">
        <v>72</v>
      </c>
      <c r="AS160" s="993">
        <v>72</v>
      </c>
      <c r="AT160" s="971"/>
      <c r="AU160" s="970"/>
      <c r="AV160" s="970"/>
      <c r="AW160" s="970"/>
    </row>
    <row r="161" spans="1:49" ht="24.95" customHeight="1" x14ac:dyDescent="0.2">
      <c r="A161" s="13">
        <v>325754004661</v>
      </c>
      <c r="B161" s="1" t="s">
        <v>0</v>
      </c>
      <c r="C161" s="126" t="s">
        <v>68</v>
      </c>
      <c r="D161" s="2" t="s">
        <v>123</v>
      </c>
      <c r="E161" s="2">
        <v>3</v>
      </c>
      <c r="F161" s="12">
        <v>0</v>
      </c>
      <c r="G161" s="12">
        <v>30</v>
      </c>
      <c r="H161" s="12">
        <v>30</v>
      </c>
      <c r="I161" s="12">
        <v>30</v>
      </c>
      <c r="J161" s="25">
        <v>28</v>
      </c>
      <c r="K161" s="25">
        <v>28</v>
      </c>
      <c r="L161" s="25">
        <v>28</v>
      </c>
      <c r="M161" s="25">
        <v>28</v>
      </c>
      <c r="N161" s="12">
        <v>28</v>
      </c>
      <c r="O161" s="12">
        <v>28</v>
      </c>
      <c r="P161" s="12">
        <v>28</v>
      </c>
      <c r="Q161" s="12">
        <v>28</v>
      </c>
      <c r="R161" s="12">
        <v>0</v>
      </c>
      <c r="S161" s="12">
        <v>29</v>
      </c>
      <c r="T161" s="12">
        <v>29</v>
      </c>
      <c r="U161" s="12">
        <v>29</v>
      </c>
      <c r="V161" s="25">
        <v>31</v>
      </c>
      <c r="W161" s="25">
        <v>31</v>
      </c>
      <c r="X161" s="25">
        <v>30</v>
      </c>
      <c r="Y161" s="25">
        <v>30</v>
      </c>
      <c r="Z161" s="577">
        <v>37</v>
      </c>
      <c r="AA161" s="577">
        <v>37</v>
      </c>
      <c r="AB161" s="577">
        <v>37</v>
      </c>
      <c r="AC161" s="577">
        <v>37</v>
      </c>
      <c r="AD161" s="328">
        <v>40</v>
      </c>
      <c r="AE161" s="328">
        <v>40</v>
      </c>
      <c r="AF161" s="328">
        <v>40</v>
      </c>
      <c r="AG161" s="328">
        <v>40</v>
      </c>
      <c r="AH161" s="526">
        <v>30</v>
      </c>
      <c r="AI161" s="526">
        <v>30</v>
      </c>
      <c r="AJ161" s="526">
        <v>30</v>
      </c>
      <c r="AK161" s="526">
        <v>30</v>
      </c>
      <c r="AL161" s="524">
        <v>22</v>
      </c>
      <c r="AM161" s="524">
        <v>22</v>
      </c>
      <c r="AN161" s="524">
        <v>22</v>
      </c>
      <c r="AO161" s="524">
        <v>22</v>
      </c>
      <c r="AP161" s="993">
        <v>23</v>
      </c>
      <c r="AQ161" s="993">
        <v>23</v>
      </c>
      <c r="AR161" s="994">
        <v>23</v>
      </c>
      <c r="AS161" s="993">
        <v>23</v>
      </c>
      <c r="AT161" s="971"/>
      <c r="AU161" s="970"/>
      <c r="AV161" s="970"/>
      <c r="AW161" s="970"/>
    </row>
    <row r="162" spans="1:49" ht="24.95" customHeight="1" x14ac:dyDescent="0.2">
      <c r="A162" s="13">
        <v>325754004441</v>
      </c>
      <c r="B162" s="1" t="s">
        <v>0</v>
      </c>
      <c r="C162" s="126" t="s">
        <v>112</v>
      </c>
      <c r="D162" s="2" t="s">
        <v>123</v>
      </c>
      <c r="E162" s="2">
        <v>5</v>
      </c>
      <c r="F162" s="12">
        <v>35</v>
      </c>
      <c r="G162" s="12">
        <v>35</v>
      </c>
      <c r="H162" s="12">
        <v>32</v>
      </c>
      <c r="I162" s="12">
        <v>32</v>
      </c>
      <c r="J162" s="25">
        <v>40</v>
      </c>
      <c r="K162" s="25">
        <v>40</v>
      </c>
      <c r="L162" s="25">
        <v>40</v>
      </c>
      <c r="M162" s="25">
        <v>40</v>
      </c>
      <c r="N162" s="12">
        <v>51</v>
      </c>
      <c r="O162" s="12">
        <v>51</v>
      </c>
      <c r="P162" s="12">
        <v>51</v>
      </c>
      <c r="Q162" s="12">
        <v>51</v>
      </c>
      <c r="R162" s="12">
        <v>56</v>
      </c>
      <c r="S162" s="12">
        <v>56</v>
      </c>
      <c r="T162" s="12">
        <v>56</v>
      </c>
      <c r="U162" s="12">
        <v>55</v>
      </c>
      <c r="V162" s="25">
        <v>39</v>
      </c>
      <c r="W162" s="25">
        <v>39</v>
      </c>
      <c r="X162" s="25">
        <v>39</v>
      </c>
      <c r="Y162" s="25">
        <v>39</v>
      </c>
      <c r="Z162" s="577">
        <v>61</v>
      </c>
      <c r="AA162" s="577">
        <v>61</v>
      </c>
      <c r="AB162" s="577">
        <v>61</v>
      </c>
      <c r="AC162" s="577">
        <v>61</v>
      </c>
      <c r="AD162" s="328">
        <v>53</v>
      </c>
      <c r="AE162" s="328">
        <v>52</v>
      </c>
      <c r="AF162" s="328">
        <v>51</v>
      </c>
      <c r="AG162" s="328">
        <v>51</v>
      </c>
      <c r="AH162" s="526">
        <v>45</v>
      </c>
      <c r="AI162" s="526">
        <v>45</v>
      </c>
      <c r="AJ162" s="526">
        <v>45</v>
      </c>
      <c r="AK162" s="526">
        <v>45</v>
      </c>
      <c r="AL162" s="524">
        <v>44</v>
      </c>
      <c r="AM162" s="524">
        <v>44</v>
      </c>
      <c r="AN162" s="524">
        <v>43</v>
      </c>
      <c r="AO162" s="524">
        <v>43</v>
      </c>
      <c r="AP162" s="993">
        <v>62</v>
      </c>
      <c r="AQ162" s="993">
        <v>62</v>
      </c>
      <c r="AR162" s="994">
        <v>61</v>
      </c>
      <c r="AS162" s="993">
        <v>61</v>
      </c>
      <c r="AT162" s="971"/>
      <c r="AU162" s="970"/>
      <c r="AV162" s="970"/>
      <c r="AW162" s="970"/>
    </row>
    <row r="163" spans="1:49" ht="24.95" customHeight="1" x14ac:dyDescent="0.2">
      <c r="A163" s="13">
        <v>325754005471</v>
      </c>
      <c r="B163" s="1" t="s">
        <v>0</v>
      </c>
      <c r="C163" s="126" t="s">
        <v>110</v>
      </c>
      <c r="D163" s="2" t="s">
        <v>121</v>
      </c>
      <c r="E163" s="2">
        <v>5</v>
      </c>
      <c r="F163" s="12">
        <v>119</v>
      </c>
      <c r="G163" s="12">
        <v>119</v>
      </c>
      <c r="H163" s="12">
        <v>118</v>
      </c>
      <c r="I163" s="12">
        <v>118</v>
      </c>
      <c r="J163" s="25">
        <v>110</v>
      </c>
      <c r="K163" s="25">
        <v>110</v>
      </c>
      <c r="L163" s="25">
        <v>109</v>
      </c>
      <c r="M163" s="25">
        <v>109</v>
      </c>
      <c r="N163" s="12">
        <v>117</v>
      </c>
      <c r="O163" s="12">
        <v>118</v>
      </c>
      <c r="P163" s="12">
        <v>118</v>
      </c>
      <c r="Q163" s="12">
        <v>118</v>
      </c>
      <c r="R163" s="12">
        <v>106</v>
      </c>
      <c r="S163" s="12">
        <v>106</v>
      </c>
      <c r="T163" s="12">
        <v>106</v>
      </c>
      <c r="U163" s="12">
        <v>105</v>
      </c>
      <c r="V163" s="25">
        <v>100</v>
      </c>
      <c r="W163" s="25">
        <v>99</v>
      </c>
      <c r="X163" s="25">
        <v>99</v>
      </c>
      <c r="Y163" s="25">
        <v>99</v>
      </c>
      <c r="Z163" s="577">
        <v>110</v>
      </c>
      <c r="AA163" s="577">
        <v>108</v>
      </c>
      <c r="AB163" s="577">
        <v>108</v>
      </c>
      <c r="AC163" s="577">
        <v>108</v>
      </c>
      <c r="AD163" s="328">
        <v>103</v>
      </c>
      <c r="AE163" s="328">
        <v>102</v>
      </c>
      <c r="AF163" s="328">
        <v>101</v>
      </c>
      <c r="AG163" s="328">
        <v>101</v>
      </c>
      <c r="AH163" s="526">
        <v>122</v>
      </c>
      <c r="AI163" s="526">
        <v>122</v>
      </c>
      <c r="AJ163" s="526">
        <v>119</v>
      </c>
      <c r="AK163" s="526">
        <v>119</v>
      </c>
      <c r="AL163" s="524">
        <v>126</v>
      </c>
      <c r="AM163" s="524">
        <v>126</v>
      </c>
      <c r="AN163" s="524">
        <v>125</v>
      </c>
      <c r="AO163" s="524">
        <v>125</v>
      </c>
      <c r="AP163" s="993">
        <v>123</v>
      </c>
      <c r="AQ163" s="993">
        <v>123</v>
      </c>
      <c r="AR163" s="994">
        <v>122</v>
      </c>
      <c r="AS163" s="993">
        <v>122</v>
      </c>
      <c r="AT163" s="971"/>
      <c r="AU163" s="970"/>
      <c r="AV163" s="970"/>
      <c r="AW163" s="970"/>
    </row>
    <row r="164" spans="1:49" ht="24.95" customHeight="1" x14ac:dyDescent="0.2">
      <c r="A164" s="13">
        <v>325754003878</v>
      </c>
      <c r="B164" s="1" t="s">
        <v>0</v>
      </c>
      <c r="C164" s="126" t="s">
        <v>116</v>
      </c>
      <c r="D164" s="2" t="s">
        <v>123</v>
      </c>
      <c r="E164" s="2">
        <v>5</v>
      </c>
      <c r="F164" s="12">
        <v>19</v>
      </c>
      <c r="G164" s="12">
        <v>19</v>
      </c>
      <c r="H164" s="12">
        <v>19</v>
      </c>
      <c r="I164" s="12">
        <v>19</v>
      </c>
      <c r="J164" s="25">
        <v>14</v>
      </c>
      <c r="K164" s="25">
        <v>14</v>
      </c>
      <c r="L164" s="25">
        <v>14</v>
      </c>
      <c r="M164" s="25">
        <v>14</v>
      </c>
      <c r="N164" s="12">
        <v>36</v>
      </c>
      <c r="O164" s="12">
        <v>35</v>
      </c>
      <c r="P164" s="12">
        <v>35</v>
      </c>
      <c r="Q164" s="12">
        <v>35</v>
      </c>
      <c r="R164" s="12">
        <v>20</v>
      </c>
      <c r="S164" s="12">
        <v>20</v>
      </c>
      <c r="T164" s="12">
        <v>20</v>
      </c>
      <c r="U164" s="12">
        <v>20</v>
      </c>
      <c r="V164" s="25">
        <v>43</v>
      </c>
      <c r="W164" s="25">
        <v>43</v>
      </c>
      <c r="X164" s="25">
        <v>43</v>
      </c>
      <c r="Y164" s="25">
        <v>43</v>
      </c>
      <c r="Z164" s="577">
        <v>43</v>
      </c>
      <c r="AA164" s="577">
        <v>43</v>
      </c>
      <c r="AB164" s="577">
        <v>43</v>
      </c>
      <c r="AC164" s="577">
        <v>43</v>
      </c>
      <c r="AD164" s="328">
        <v>39</v>
      </c>
      <c r="AE164" s="328">
        <v>38</v>
      </c>
      <c r="AF164" s="328">
        <v>38</v>
      </c>
      <c r="AG164" s="328">
        <v>38</v>
      </c>
      <c r="AH164" s="526">
        <v>77</v>
      </c>
      <c r="AI164" s="526">
        <v>77</v>
      </c>
      <c r="AJ164" s="526">
        <v>76</v>
      </c>
      <c r="AK164" s="526">
        <v>76</v>
      </c>
      <c r="AL164" s="524">
        <v>87</v>
      </c>
      <c r="AM164" s="524">
        <v>87</v>
      </c>
      <c r="AN164" s="524">
        <v>86</v>
      </c>
      <c r="AO164" s="524">
        <v>86</v>
      </c>
      <c r="AP164" s="993">
        <v>66</v>
      </c>
      <c r="AQ164" s="993">
        <v>66</v>
      </c>
      <c r="AR164" s="994">
        <v>66</v>
      </c>
      <c r="AS164" s="993">
        <v>66</v>
      </c>
      <c r="AT164" s="971"/>
      <c r="AU164" s="970"/>
      <c r="AV164" s="970"/>
      <c r="AW164" s="970"/>
    </row>
    <row r="165" spans="1:49" ht="24.95" customHeight="1" x14ac:dyDescent="0.2">
      <c r="A165" s="13">
        <v>325754004262</v>
      </c>
      <c r="B165" s="1" t="s">
        <v>0</v>
      </c>
      <c r="C165" s="126" t="s">
        <v>98</v>
      </c>
      <c r="D165" s="2" t="s">
        <v>123</v>
      </c>
      <c r="E165" s="2">
        <v>5</v>
      </c>
      <c r="F165" s="12">
        <v>30</v>
      </c>
      <c r="G165" s="12">
        <v>30</v>
      </c>
      <c r="H165" s="12">
        <v>30</v>
      </c>
      <c r="I165" s="12">
        <v>30</v>
      </c>
      <c r="J165" s="25">
        <v>29</v>
      </c>
      <c r="K165" s="25">
        <v>29</v>
      </c>
      <c r="L165" s="25">
        <v>29</v>
      </c>
      <c r="M165" s="25">
        <v>29</v>
      </c>
      <c r="N165" s="12">
        <v>18</v>
      </c>
      <c r="O165" s="12">
        <v>18</v>
      </c>
      <c r="P165" s="12">
        <v>18</v>
      </c>
      <c r="Q165" s="12">
        <v>18</v>
      </c>
      <c r="R165" s="12">
        <v>20</v>
      </c>
      <c r="S165" s="12">
        <v>20</v>
      </c>
      <c r="T165" s="12">
        <v>20</v>
      </c>
      <c r="U165" s="12">
        <v>20</v>
      </c>
      <c r="V165" s="25">
        <v>21</v>
      </c>
      <c r="W165" s="25">
        <v>21</v>
      </c>
      <c r="X165" s="25">
        <v>21</v>
      </c>
      <c r="Y165" s="25">
        <v>21</v>
      </c>
      <c r="Z165" s="577">
        <v>14</v>
      </c>
      <c r="AA165" s="577">
        <v>14</v>
      </c>
      <c r="AB165" s="577">
        <v>14</v>
      </c>
      <c r="AC165" s="577">
        <v>14</v>
      </c>
      <c r="AD165" s="328">
        <v>33</v>
      </c>
      <c r="AE165" s="328">
        <v>33</v>
      </c>
      <c r="AF165" s="328">
        <v>33</v>
      </c>
      <c r="AG165" s="328">
        <v>33</v>
      </c>
      <c r="AH165" s="526">
        <v>42</v>
      </c>
      <c r="AI165" s="526">
        <v>42</v>
      </c>
      <c r="AJ165" s="526">
        <v>42</v>
      </c>
      <c r="AK165" s="526">
        <v>42</v>
      </c>
      <c r="AL165" s="524">
        <v>22</v>
      </c>
      <c r="AM165" s="524">
        <v>22</v>
      </c>
      <c r="AN165" s="524">
        <v>22</v>
      </c>
      <c r="AO165" s="524">
        <v>22</v>
      </c>
      <c r="AP165" s="993">
        <v>22</v>
      </c>
      <c r="AQ165" s="993">
        <v>22</v>
      </c>
      <c r="AR165" s="994">
        <v>22</v>
      </c>
      <c r="AS165" s="993">
        <v>22</v>
      </c>
      <c r="AT165" s="971"/>
      <c r="AU165" s="970"/>
      <c r="AV165" s="970"/>
      <c r="AW165" s="970"/>
    </row>
    <row r="166" spans="1:49" ht="24.95" customHeight="1" x14ac:dyDescent="0.2">
      <c r="A166" s="13">
        <v>325754005048</v>
      </c>
      <c r="B166" s="1" t="s">
        <v>0</v>
      </c>
      <c r="C166" s="126" t="s">
        <v>175</v>
      </c>
      <c r="D166" s="2" t="s">
        <v>123</v>
      </c>
      <c r="E166" s="2">
        <v>4</v>
      </c>
      <c r="F166" s="12">
        <v>0</v>
      </c>
      <c r="G166" s="12">
        <v>2</v>
      </c>
      <c r="H166" s="12">
        <v>2</v>
      </c>
      <c r="I166" s="12">
        <v>2</v>
      </c>
      <c r="J166" s="25">
        <v>16</v>
      </c>
      <c r="K166" s="25">
        <v>10</v>
      </c>
      <c r="L166" s="25">
        <v>10</v>
      </c>
      <c r="M166" s="25">
        <v>10</v>
      </c>
      <c r="N166" s="12">
        <v>8</v>
      </c>
      <c r="O166" s="12">
        <v>8</v>
      </c>
      <c r="P166" s="12">
        <v>8</v>
      </c>
      <c r="Q166" s="12">
        <v>8</v>
      </c>
      <c r="R166" s="12">
        <v>4</v>
      </c>
      <c r="S166" s="12">
        <v>4</v>
      </c>
      <c r="T166" s="12">
        <v>4</v>
      </c>
      <c r="U166" s="12">
        <v>4</v>
      </c>
      <c r="V166" s="25">
        <v>7</v>
      </c>
      <c r="W166" s="25">
        <v>7</v>
      </c>
      <c r="X166" s="25">
        <v>6</v>
      </c>
      <c r="Y166" s="25">
        <v>6</v>
      </c>
      <c r="Z166" s="577">
        <v>13</v>
      </c>
      <c r="AA166" s="577">
        <v>12</v>
      </c>
      <c r="AB166" s="577">
        <v>11</v>
      </c>
      <c r="AC166" s="577">
        <v>11</v>
      </c>
      <c r="AD166" s="328">
        <v>11</v>
      </c>
      <c r="AE166" s="328">
        <v>11</v>
      </c>
      <c r="AF166" s="328">
        <v>11</v>
      </c>
      <c r="AG166" s="328">
        <v>11</v>
      </c>
      <c r="AH166" s="526">
        <v>10</v>
      </c>
      <c r="AI166" s="526">
        <v>10</v>
      </c>
      <c r="AJ166" s="526">
        <v>10</v>
      </c>
      <c r="AK166" s="526">
        <v>10</v>
      </c>
      <c r="AL166" s="524">
        <v>17</v>
      </c>
      <c r="AM166" s="524">
        <v>17</v>
      </c>
      <c r="AN166" s="524">
        <v>16</v>
      </c>
      <c r="AO166" s="524">
        <v>16</v>
      </c>
      <c r="AP166" s="993">
        <v>18</v>
      </c>
      <c r="AQ166" s="993">
        <v>18</v>
      </c>
      <c r="AR166" s="994">
        <v>18</v>
      </c>
      <c r="AS166" s="993">
        <v>18</v>
      </c>
      <c r="AT166" s="971"/>
      <c r="AU166" s="970"/>
      <c r="AV166" s="970"/>
      <c r="AW166" s="970"/>
    </row>
    <row r="167" spans="1:49" ht="24.95" customHeight="1" x14ac:dyDescent="0.2">
      <c r="A167" s="13">
        <v>325754001841</v>
      </c>
      <c r="B167" s="1" t="s">
        <v>0</v>
      </c>
      <c r="C167" s="126" t="s">
        <v>44</v>
      </c>
      <c r="D167" s="2" t="s">
        <v>123</v>
      </c>
      <c r="E167" s="2">
        <v>6</v>
      </c>
      <c r="F167" s="12">
        <v>70</v>
      </c>
      <c r="G167" s="12">
        <v>70</v>
      </c>
      <c r="H167" s="12">
        <v>70</v>
      </c>
      <c r="I167" s="12">
        <v>70</v>
      </c>
      <c r="J167" s="25">
        <v>79</v>
      </c>
      <c r="K167" s="25">
        <v>79</v>
      </c>
      <c r="L167" s="25">
        <v>79</v>
      </c>
      <c r="M167" s="25">
        <v>77</v>
      </c>
      <c r="N167" s="12">
        <v>70</v>
      </c>
      <c r="O167" s="12">
        <v>69</v>
      </c>
      <c r="P167" s="12">
        <v>69</v>
      </c>
      <c r="Q167" s="12">
        <v>67</v>
      </c>
      <c r="R167" s="12">
        <v>96</v>
      </c>
      <c r="S167" s="12">
        <v>96</v>
      </c>
      <c r="T167" s="12">
        <v>96</v>
      </c>
      <c r="U167" s="12">
        <v>92</v>
      </c>
      <c r="V167" s="25">
        <v>93</v>
      </c>
      <c r="W167" s="25">
        <v>93</v>
      </c>
      <c r="X167" s="25">
        <v>93</v>
      </c>
      <c r="Y167" s="25">
        <v>93</v>
      </c>
      <c r="Z167" s="577">
        <v>101</v>
      </c>
      <c r="AA167" s="577">
        <v>102</v>
      </c>
      <c r="AB167" s="577">
        <v>101</v>
      </c>
      <c r="AC167" s="577">
        <v>101</v>
      </c>
      <c r="AD167" s="328">
        <v>113</v>
      </c>
      <c r="AE167" s="328">
        <v>113</v>
      </c>
      <c r="AF167" s="328">
        <v>113</v>
      </c>
      <c r="AG167" s="328">
        <v>113</v>
      </c>
      <c r="AH167" s="526">
        <v>106</v>
      </c>
      <c r="AI167" s="526">
        <v>106</v>
      </c>
      <c r="AJ167" s="526">
        <v>106</v>
      </c>
      <c r="AK167" s="526">
        <v>106</v>
      </c>
      <c r="AL167" s="524">
        <v>111</v>
      </c>
      <c r="AM167" s="524">
        <v>111</v>
      </c>
      <c r="AN167" s="524">
        <v>107</v>
      </c>
      <c r="AO167" s="524">
        <v>107</v>
      </c>
      <c r="AP167" s="993">
        <v>106</v>
      </c>
      <c r="AQ167" s="993">
        <v>106</v>
      </c>
      <c r="AR167" s="994">
        <v>105</v>
      </c>
      <c r="AS167" s="993">
        <v>105</v>
      </c>
      <c r="AT167" s="971"/>
      <c r="AU167" s="970"/>
      <c r="AV167" s="970"/>
      <c r="AW167" s="970"/>
    </row>
    <row r="168" spans="1:49" s="850" customFormat="1" ht="24.95" customHeight="1" x14ac:dyDescent="0.2">
      <c r="A168" s="865">
        <v>325754800107</v>
      </c>
      <c r="B168" s="1" t="s">
        <v>0</v>
      </c>
      <c r="C168" s="866" t="s">
        <v>961</v>
      </c>
      <c r="D168" s="867"/>
      <c r="E168" s="867"/>
      <c r="F168" s="868"/>
      <c r="G168" s="868"/>
      <c r="H168" s="868"/>
      <c r="I168" s="868"/>
      <c r="J168" s="869"/>
      <c r="K168" s="869"/>
      <c r="L168" s="869"/>
      <c r="M168" s="869"/>
      <c r="N168" s="868"/>
      <c r="O168" s="868"/>
      <c r="P168" s="868"/>
      <c r="Q168" s="868"/>
      <c r="R168" s="868"/>
      <c r="S168" s="868"/>
      <c r="T168" s="868"/>
      <c r="U168" s="868"/>
      <c r="V168" s="869"/>
      <c r="W168" s="869"/>
      <c r="X168" s="869"/>
      <c r="Y168" s="869"/>
      <c r="Z168" s="870"/>
      <c r="AA168" s="870"/>
      <c r="AB168" s="870"/>
      <c r="AC168" s="870"/>
      <c r="AD168" s="868"/>
      <c r="AE168" s="868"/>
      <c r="AF168" s="868"/>
      <c r="AG168" s="868"/>
      <c r="AH168" s="871"/>
      <c r="AI168" s="871"/>
      <c r="AJ168" s="871"/>
      <c r="AK168" s="871"/>
      <c r="AL168" s="868"/>
      <c r="AM168" s="868"/>
      <c r="AN168" s="868"/>
      <c r="AO168" s="868"/>
      <c r="AP168" s="993">
        <v>8</v>
      </c>
      <c r="AQ168" s="993">
        <v>8</v>
      </c>
      <c r="AR168" s="994">
        <v>8</v>
      </c>
      <c r="AS168" s="993">
        <v>8</v>
      </c>
      <c r="AT168" s="971"/>
      <c r="AU168" s="970"/>
      <c r="AV168" s="970"/>
      <c r="AW168" s="970"/>
    </row>
    <row r="169" spans="1:49" ht="24.95" customHeight="1" x14ac:dyDescent="0.2">
      <c r="A169" s="13">
        <v>325754003771</v>
      </c>
      <c r="B169" s="1" t="s">
        <v>0</v>
      </c>
      <c r="C169" s="126" t="s">
        <v>113</v>
      </c>
      <c r="D169" s="2" t="s">
        <v>123</v>
      </c>
      <c r="E169" s="2">
        <v>4</v>
      </c>
      <c r="F169" s="12">
        <v>12</v>
      </c>
      <c r="G169" s="12">
        <v>12</v>
      </c>
      <c r="H169" s="12">
        <v>12</v>
      </c>
      <c r="I169" s="12">
        <v>12</v>
      </c>
      <c r="J169" s="25">
        <v>9</v>
      </c>
      <c r="K169" s="25">
        <v>16</v>
      </c>
      <c r="L169" s="25">
        <v>16</v>
      </c>
      <c r="M169" s="25">
        <v>16</v>
      </c>
      <c r="N169" s="12">
        <v>16</v>
      </c>
      <c r="O169" s="12">
        <v>15</v>
      </c>
      <c r="P169" s="12">
        <v>15</v>
      </c>
      <c r="Q169" s="12">
        <v>15</v>
      </c>
      <c r="R169" s="12">
        <v>19</v>
      </c>
      <c r="S169" s="12">
        <v>18</v>
      </c>
      <c r="T169" s="12">
        <v>18</v>
      </c>
      <c r="U169" s="12">
        <v>18</v>
      </c>
      <c r="V169" s="25">
        <v>16</v>
      </c>
      <c r="W169" s="25">
        <v>16</v>
      </c>
      <c r="X169" s="25">
        <v>16</v>
      </c>
      <c r="Y169" s="25">
        <v>16</v>
      </c>
      <c r="Z169" s="577">
        <v>15</v>
      </c>
      <c r="AA169" s="577">
        <v>16</v>
      </c>
      <c r="AB169" s="577">
        <v>16</v>
      </c>
      <c r="AC169" s="577">
        <v>16</v>
      </c>
      <c r="AD169" s="328">
        <v>19</v>
      </c>
      <c r="AE169" s="328">
        <v>19</v>
      </c>
      <c r="AF169" s="328">
        <v>19</v>
      </c>
      <c r="AG169" s="328">
        <v>19</v>
      </c>
      <c r="AH169" s="526">
        <v>23</v>
      </c>
      <c r="AI169" s="526">
        <v>23</v>
      </c>
      <c r="AJ169" s="526">
        <v>23</v>
      </c>
      <c r="AK169" s="526">
        <v>23</v>
      </c>
      <c r="AL169" s="524">
        <v>24</v>
      </c>
      <c r="AM169" s="524">
        <v>24</v>
      </c>
      <c r="AN169" s="524">
        <v>24</v>
      </c>
      <c r="AO169" s="524">
        <v>24</v>
      </c>
      <c r="AP169" s="993">
        <v>20</v>
      </c>
      <c r="AQ169" s="993">
        <v>20</v>
      </c>
      <c r="AR169" s="994">
        <v>20</v>
      </c>
      <c r="AS169" s="993">
        <v>20</v>
      </c>
      <c r="AT169" s="971"/>
      <c r="AU169" s="970"/>
      <c r="AV169" s="970"/>
      <c r="AW169" s="970"/>
    </row>
    <row r="170" spans="1:49" ht="24.95" customHeight="1" x14ac:dyDescent="0.2">
      <c r="A170" s="13">
        <v>325754001123</v>
      </c>
      <c r="B170" s="42" t="s">
        <v>0</v>
      </c>
      <c r="C170" s="126" t="s">
        <v>59</v>
      </c>
      <c r="D170" s="44" t="s">
        <v>123</v>
      </c>
      <c r="E170" s="44">
        <v>5</v>
      </c>
      <c r="F170" s="12">
        <v>19</v>
      </c>
      <c r="G170" s="12">
        <v>19</v>
      </c>
      <c r="H170" s="12">
        <v>19</v>
      </c>
      <c r="I170" s="12">
        <v>19</v>
      </c>
      <c r="J170" s="25">
        <v>23</v>
      </c>
      <c r="K170" s="25">
        <v>24</v>
      </c>
      <c r="L170" s="25">
        <v>24</v>
      </c>
      <c r="M170" s="25">
        <v>24</v>
      </c>
      <c r="N170" s="12">
        <v>18</v>
      </c>
      <c r="O170" s="12">
        <v>17</v>
      </c>
      <c r="P170" s="12">
        <v>17</v>
      </c>
      <c r="Q170" s="12">
        <v>17</v>
      </c>
      <c r="R170" s="12">
        <v>21</v>
      </c>
      <c r="S170" s="12">
        <v>21</v>
      </c>
      <c r="T170" s="12">
        <v>21</v>
      </c>
      <c r="U170" s="12">
        <v>21</v>
      </c>
      <c r="V170" s="25">
        <v>20</v>
      </c>
      <c r="W170" s="25">
        <v>19</v>
      </c>
      <c r="X170" s="25">
        <v>19</v>
      </c>
      <c r="Y170" s="25">
        <v>19</v>
      </c>
      <c r="Z170" s="577">
        <v>26</v>
      </c>
      <c r="AA170" s="577">
        <v>27</v>
      </c>
      <c r="AB170" s="577">
        <v>26</v>
      </c>
      <c r="AC170" s="577">
        <v>26</v>
      </c>
      <c r="AD170" s="328">
        <v>23</v>
      </c>
      <c r="AE170" s="328">
        <v>23</v>
      </c>
      <c r="AF170" s="328">
        <v>23</v>
      </c>
      <c r="AG170" s="328">
        <v>23</v>
      </c>
      <c r="AH170" s="526">
        <v>21</v>
      </c>
      <c r="AI170" s="526">
        <v>21</v>
      </c>
      <c r="AJ170" s="526">
        <v>21</v>
      </c>
      <c r="AK170" s="526">
        <v>21</v>
      </c>
      <c r="AL170" s="524">
        <v>29</v>
      </c>
      <c r="AM170" s="524">
        <v>29</v>
      </c>
      <c r="AN170" s="524">
        <v>28</v>
      </c>
      <c r="AO170" s="524">
        <v>28</v>
      </c>
      <c r="AP170" s="993">
        <v>19</v>
      </c>
      <c r="AQ170" s="993">
        <v>19</v>
      </c>
      <c r="AR170" s="994">
        <v>19</v>
      </c>
      <c r="AS170" s="993">
        <v>19</v>
      </c>
      <c r="AT170" s="971"/>
      <c r="AU170" s="970"/>
      <c r="AV170" s="970"/>
      <c r="AW170" s="970"/>
    </row>
    <row r="171" spans="1:49" ht="24.95" customHeight="1" x14ac:dyDescent="0.2">
      <c r="A171" s="13">
        <v>325754003886</v>
      </c>
      <c r="B171" s="42" t="s">
        <v>0</v>
      </c>
      <c r="C171" s="636" t="s">
        <v>45</v>
      </c>
      <c r="D171" s="44" t="s">
        <v>123</v>
      </c>
      <c r="E171" s="464">
        <v>2</v>
      </c>
      <c r="F171" s="524">
        <v>12</v>
      </c>
      <c r="G171" s="524">
        <v>22</v>
      </c>
      <c r="H171" s="524">
        <v>22</v>
      </c>
      <c r="I171" s="524">
        <v>22</v>
      </c>
      <c r="J171" s="608">
        <v>25</v>
      </c>
      <c r="K171" s="608">
        <v>43</v>
      </c>
      <c r="L171" s="608">
        <v>43</v>
      </c>
      <c r="M171" s="608">
        <v>43</v>
      </c>
      <c r="N171" s="524">
        <v>35</v>
      </c>
      <c r="O171" s="524">
        <v>36</v>
      </c>
      <c r="P171" s="524">
        <v>36</v>
      </c>
      <c r="Q171" s="524">
        <v>36</v>
      </c>
      <c r="R171" s="524">
        <v>18</v>
      </c>
      <c r="S171" s="524">
        <v>18</v>
      </c>
      <c r="T171" s="524">
        <v>18</v>
      </c>
      <c r="U171" s="524">
        <v>18</v>
      </c>
      <c r="V171" s="608">
        <v>25</v>
      </c>
      <c r="W171" s="608">
        <v>25</v>
      </c>
      <c r="X171" s="608">
        <v>25</v>
      </c>
      <c r="Y171" s="608">
        <v>25</v>
      </c>
      <c r="Z171" s="610">
        <v>34</v>
      </c>
      <c r="AA171" s="610">
        <v>35</v>
      </c>
      <c r="AB171" s="610">
        <v>35</v>
      </c>
      <c r="AC171" s="610">
        <v>35</v>
      </c>
      <c r="AD171" s="524">
        <v>21</v>
      </c>
      <c r="AE171" s="524">
        <v>37</v>
      </c>
      <c r="AF171" s="524">
        <v>37</v>
      </c>
      <c r="AG171" s="524">
        <v>37</v>
      </c>
      <c r="AH171" s="613">
        <v>44</v>
      </c>
      <c r="AI171" s="613">
        <v>44</v>
      </c>
      <c r="AJ171" s="613">
        <v>44</v>
      </c>
      <c r="AK171" s="613">
        <v>44</v>
      </c>
      <c r="AL171" s="524">
        <v>46</v>
      </c>
      <c r="AM171" s="524">
        <v>46</v>
      </c>
      <c r="AN171" s="524">
        <v>46</v>
      </c>
      <c r="AO171" s="524">
        <v>46</v>
      </c>
      <c r="AP171" s="993">
        <v>62</v>
      </c>
      <c r="AQ171" s="993">
        <v>62</v>
      </c>
      <c r="AR171" s="994">
        <v>62</v>
      </c>
      <c r="AS171" s="993">
        <v>62</v>
      </c>
      <c r="AT171" s="971"/>
      <c r="AU171" s="970"/>
      <c r="AV171" s="970"/>
      <c r="AW171" s="970"/>
    </row>
    <row r="172" spans="1:49" ht="24.95" customHeight="1" x14ac:dyDescent="0.2">
      <c r="A172" s="13">
        <v>325754800115</v>
      </c>
      <c r="B172" s="42" t="s">
        <v>0</v>
      </c>
      <c r="C172" s="636" t="s">
        <v>950</v>
      </c>
      <c r="D172" s="44" t="s">
        <v>123</v>
      </c>
      <c r="E172" s="524"/>
      <c r="F172" s="524"/>
      <c r="G172" s="524"/>
      <c r="H172" s="524"/>
      <c r="I172" s="524"/>
      <c r="J172" s="524"/>
      <c r="K172" s="524"/>
      <c r="L172" s="524"/>
      <c r="M172" s="524"/>
      <c r="N172" s="524"/>
      <c r="O172" s="524"/>
      <c r="P172" s="524"/>
      <c r="Q172" s="524"/>
      <c r="R172" s="524"/>
      <c r="S172" s="524"/>
      <c r="T172" s="524"/>
      <c r="U172" s="524"/>
      <c r="V172" s="524"/>
      <c r="W172" s="524"/>
      <c r="X172" s="524"/>
      <c r="Y172" s="524"/>
      <c r="Z172" s="524"/>
      <c r="AA172" s="524"/>
      <c r="AB172" s="524"/>
      <c r="AC172" s="524"/>
      <c r="AD172" s="524"/>
      <c r="AE172" s="524"/>
      <c r="AF172" s="524"/>
      <c r="AG172" s="524"/>
      <c r="AH172" s="524"/>
      <c r="AI172" s="524"/>
      <c r="AJ172" s="524"/>
      <c r="AK172" s="524"/>
      <c r="AL172" s="524">
        <v>21</v>
      </c>
      <c r="AM172" s="524">
        <v>21</v>
      </c>
      <c r="AN172" s="524">
        <v>21</v>
      </c>
      <c r="AO172" s="524">
        <v>21</v>
      </c>
      <c r="AP172" s="993">
        <v>33</v>
      </c>
      <c r="AQ172" s="993">
        <v>32</v>
      </c>
      <c r="AR172" s="994">
        <v>32</v>
      </c>
      <c r="AS172" s="993">
        <v>32</v>
      </c>
      <c r="AT172" s="971"/>
      <c r="AU172" s="970"/>
      <c r="AV172" s="970"/>
      <c r="AW172" s="970"/>
    </row>
    <row r="173" spans="1:49" x14ac:dyDescent="0.2">
      <c r="AQ173" s="970"/>
      <c r="AR173" s="970"/>
      <c r="AS173" s="970"/>
      <c r="AT173" s="855"/>
    </row>
  </sheetData>
  <sheetProtection algorithmName="SHA-512" hashValue="Xx3vAmhhFAVdUIdermyJFQRDaOeZkov6r1cN8Kvv6NvEd3o5cfPe5itGhidHgqfqu3JutNXmb/QzHUBNS4+cHg==" saltValue="RSNCRKyURPtfpoyNGJ91rw==" spinCount="100000" sheet="1" objects="1" scenarios="1"/>
  <autoFilter ref="A8:AU172" xr:uid="{DD068B45-ECCB-4E9F-A0D7-F2576204F953}"/>
  <mergeCells count="12">
    <mergeCell ref="AP7:AS7"/>
    <mergeCell ref="AL7:AO7"/>
    <mergeCell ref="A1:I1"/>
    <mergeCell ref="A3:I3"/>
    <mergeCell ref="F7:I7"/>
    <mergeCell ref="J7:M7"/>
    <mergeCell ref="N7:Q7"/>
    <mergeCell ref="AH7:AK7"/>
    <mergeCell ref="AD7:AG7"/>
    <mergeCell ref="Z7:AC7"/>
    <mergeCell ref="R7:U7"/>
    <mergeCell ref="V7:Y7"/>
  </mergeCells>
  <conditionalFormatting sqref="C78:C1048576 C1:C76">
    <cfRule type="duplicateValues" dxfId="88" priority="1"/>
  </conditionalFormatting>
  <conditionalFormatting sqref="C171:C172">
    <cfRule type="duplicateValues" dxfId="87" priority="40"/>
  </conditionalFormatting>
  <conditionalFormatting sqref="C173:C1048576 C1:C76 C78:C170">
    <cfRule type="duplicateValues" dxfId="86" priority="3"/>
  </conditionalFormatting>
  <pageMargins left="0.75" right="0.75" top="1" bottom="1" header="0.5" footer="0.5"/>
  <pageSetup orientation="portrait" horizontalDpi="300" verticalDpi="30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B0F4F8-6AB9-4400-B3C3-14D6A0EA4715}">
  <sheetPr codeName="Hoja3"/>
  <dimension ref="A2:DJ143"/>
  <sheetViews>
    <sheetView workbookViewId="0">
      <pane xSplit="1" topLeftCell="CV1" activePane="topRight" state="frozen"/>
      <selection activeCell="K23" sqref="K23"/>
      <selection pane="topRight" activeCell="A7" sqref="A7"/>
    </sheetView>
  </sheetViews>
  <sheetFormatPr baseColWidth="10" defaultColWidth="11.42578125" defaultRowHeight="15.75" x14ac:dyDescent="0.25"/>
  <cols>
    <col min="1" max="1" width="56.140625" style="707" customWidth="1"/>
    <col min="2" max="2" width="15.85546875" style="874" customWidth="1"/>
    <col min="3" max="3" width="26.85546875" style="133" customWidth="1"/>
    <col min="4" max="4" width="18.85546875" style="133" customWidth="1"/>
    <col min="5" max="5" width="12.5703125" style="133" customWidth="1"/>
    <col min="6" max="6" width="11.85546875" style="133" customWidth="1"/>
    <col min="7" max="7" width="11.7109375" style="133" customWidth="1"/>
    <col min="8" max="9" width="12.5703125" style="133" customWidth="1"/>
    <col min="10" max="10" width="13.28515625" style="133" customWidth="1"/>
    <col min="11" max="11" width="13.7109375" style="133" customWidth="1"/>
    <col min="12" max="12" width="14.7109375" style="133" customWidth="1"/>
    <col min="13" max="13" width="11.7109375" style="133" customWidth="1"/>
    <col min="14" max="14" width="12" style="133" customWidth="1"/>
    <col min="15" max="15" width="11.28515625" style="133" customWidth="1"/>
    <col min="16" max="24" width="11.85546875" style="133" customWidth="1"/>
    <col min="25" max="25" width="13.85546875" style="133" customWidth="1"/>
    <col min="26" max="26" width="14.7109375" style="133" customWidth="1"/>
    <col min="27" max="27" width="12" style="133" customWidth="1"/>
    <col min="28" max="28" width="12.5703125" style="163" customWidth="1"/>
    <col min="29" max="29" width="12.42578125" style="163" customWidth="1"/>
    <col min="30" max="32" width="12.85546875" style="163" customWidth="1"/>
    <col min="33" max="33" width="15.7109375" style="163" customWidth="1"/>
    <col min="34" max="34" width="11.42578125" style="153" customWidth="1"/>
    <col min="35" max="36" width="11.42578125" style="133" customWidth="1"/>
    <col min="37" max="42" width="11.42578125" style="163" customWidth="1"/>
    <col min="43" max="45" width="11.42578125" style="133" customWidth="1"/>
    <col min="46" max="49" width="11.42578125" style="163" customWidth="1"/>
    <col min="50" max="50" width="12.28515625" style="163" customWidth="1"/>
    <col min="51" max="51" width="12.42578125" style="163" customWidth="1"/>
    <col min="52" max="52" width="12.42578125" style="133" customWidth="1"/>
    <col min="53" max="53" width="12.85546875" style="133" customWidth="1"/>
    <col min="54" max="54" width="12.5703125" style="133" customWidth="1"/>
    <col min="55" max="55" width="14.42578125" style="163" customWidth="1"/>
    <col min="56" max="56" width="14.7109375" style="163" customWidth="1"/>
    <col min="57" max="57" width="13.5703125" style="163" customWidth="1"/>
    <col min="58" max="58" width="13" style="163" customWidth="1"/>
    <col min="59" max="59" width="11.7109375" style="163" customWidth="1"/>
    <col min="60" max="60" width="11.42578125" style="163" customWidth="1"/>
    <col min="61" max="63" width="11.42578125" style="133" customWidth="1"/>
    <col min="64" max="69" width="11.42578125" style="163" customWidth="1"/>
    <col min="70" max="96" width="11.42578125" style="133" customWidth="1"/>
    <col min="97" max="97" width="9.7109375" style="133" customWidth="1"/>
    <col min="98" max="16384" width="11.42578125" style="133"/>
  </cols>
  <sheetData>
    <row r="2" spans="1:114" ht="15" x14ac:dyDescent="0.25">
      <c r="A2" s="707">
        <v>1</v>
      </c>
      <c r="B2" s="694">
        <v>2</v>
      </c>
      <c r="C2" s="133">
        <v>3</v>
      </c>
      <c r="D2" s="133">
        <v>4</v>
      </c>
      <c r="E2" s="133">
        <v>5</v>
      </c>
      <c r="F2" s="133">
        <v>6</v>
      </c>
      <c r="G2" s="133">
        <v>7</v>
      </c>
      <c r="H2" s="133">
        <v>8</v>
      </c>
      <c r="I2" s="133">
        <v>9</v>
      </c>
      <c r="J2" s="133">
        <v>10</v>
      </c>
      <c r="K2" s="133">
        <v>11</v>
      </c>
      <c r="L2" s="133">
        <v>12</v>
      </c>
      <c r="M2" s="133">
        <v>13</v>
      </c>
      <c r="N2" s="133">
        <v>14</v>
      </c>
      <c r="O2" s="133">
        <v>15</v>
      </c>
      <c r="P2" s="133">
        <v>16</v>
      </c>
      <c r="Q2" s="133">
        <v>17</v>
      </c>
      <c r="R2" s="133">
        <v>18</v>
      </c>
      <c r="S2" s="133">
        <v>19</v>
      </c>
      <c r="T2" s="133">
        <v>20</v>
      </c>
      <c r="U2" s="133">
        <v>21</v>
      </c>
      <c r="V2" s="133">
        <v>22</v>
      </c>
      <c r="W2" s="133">
        <v>23</v>
      </c>
      <c r="X2" s="133">
        <v>24</v>
      </c>
      <c r="Y2" s="133">
        <v>25</v>
      </c>
      <c r="Z2" s="133">
        <v>26</v>
      </c>
      <c r="AA2" s="133">
        <v>27</v>
      </c>
      <c r="AB2" s="133">
        <v>28</v>
      </c>
      <c r="AC2" s="133">
        <v>29</v>
      </c>
      <c r="AD2" s="133">
        <v>30</v>
      </c>
      <c r="AE2" s="133">
        <v>31</v>
      </c>
      <c r="AF2" s="133">
        <v>32</v>
      </c>
      <c r="AG2" s="133">
        <v>33</v>
      </c>
      <c r="AH2" s="133">
        <v>34</v>
      </c>
      <c r="AI2" s="133">
        <v>35</v>
      </c>
      <c r="AJ2" s="133">
        <v>36</v>
      </c>
      <c r="AK2" s="133">
        <v>37</v>
      </c>
      <c r="AL2" s="133">
        <v>38</v>
      </c>
      <c r="AM2" s="133">
        <v>39</v>
      </c>
      <c r="AN2" s="133">
        <v>40</v>
      </c>
      <c r="AO2" s="133">
        <v>41</v>
      </c>
      <c r="AP2" s="133">
        <v>42</v>
      </c>
      <c r="AQ2" s="133">
        <v>43</v>
      </c>
      <c r="AR2" s="133">
        <v>44</v>
      </c>
      <c r="AS2" s="133">
        <v>45</v>
      </c>
      <c r="AT2" s="133">
        <v>46</v>
      </c>
      <c r="AU2" s="133">
        <v>47</v>
      </c>
      <c r="AV2" s="133">
        <v>48</v>
      </c>
      <c r="AW2" s="133">
        <v>49</v>
      </c>
      <c r="AX2" s="133">
        <v>50</v>
      </c>
      <c r="AY2" s="133">
        <v>51</v>
      </c>
      <c r="AZ2" s="133">
        <v>52</v>
      </c>
      <c r="BA2" s="133">
        <v>53</v>
      </c>
      <c r="BB2" s="133">
        <v>54</v>
      </c>
      <c r="BC2" s="133">
        <v>55</v>
      </c>
      <c r="BD2" s="133">
        <v>56</v>
      </c>
      <c r="BE2" s="133">
        <v>57</v>
      </c>
      <c r="BF2" s="133">
        <v>58</v>
      </c>
      <c r="BG2" s="133">
        <v>59</v>
      </c>
      <c r="BH2" s="133">
        <v>60</v>
      </c>
      <c r="BI2" s="133">
        <v>61</v>
      </c>
      <c r="BJ2" s="133">
        <v>62</v>
      </c>
      <c r="BK2" s="133">
        <v>63</v>
      </c>
      <c r="BL2" s="133">
        <v>64</v>
      </c>
      <c r="BM2" s="133">
        <v>65</v>
      </c>
      <c r="BN2" s="133">
        <v>66</v>
      </c>
      <c r="BO2" s="133">
        <v>67</v>
      </c>
      <c r="BP2" s="133">
        <v>68</v>
      </c>
      <c r="BQ2" s="133">
        <v>69</v>
      </c>
      <c r="BR2" s="133">
        <v>70</v>
      </c>
      <c r="BS2" s="133">
        <v>71</v>
      </c>
      <c r="BT2" s="133">
        <v>72</v>
      </c>
      <c r="BU2" s="133">
        <v>73</v>
      </c>
      <c r="BV2" s="133">
        <v>74</v>
      </c>
      <c r="BW2" s="133">
        <v>75</v>
      </c>
      <c r="BX2" s="133">
        <v>76</v>
      </c>
      <c r="BY2" s="133">
        <v>77</v>
      </c>
      <c r="BZ2" s="133">
        <v>78</v>
      </c>
      <c r="CA2" s="133">
        <v>79</v>
      </c>
      <c r="CB2" s="133">
        <v>80</v>
      </c>
      <c r="CC2" s="133">
        <v>81</v>
      </c>
      <c r="CD2" s="133">
        <v>82</v>
      </c>
      <c r="CE2" s="133">
        <v>83</v>
      </c>
      <c r="CF2" s="133">
        <v>84</v>
      </c>
      <c r="CG2" s="133">
        <v>85</v>
      </c>
      <c r="CH2" s="133">
        <v>86</v>
      </c>
      <c r="CI2" s="133">
        <v>87</v>
      </c>
      <c r="CJ2" s="133">
        <v>88</v>
      </c>
      <c r="CK2" s="133">
        <v>89</v>
      </c>
      <c r="CL2" s="133">
        <v>90</v>
      </c>
      <c r="CM2" s="133">
        <v>91</v>
      </c>
      <c r="CN2" s="133">
        <v>92</v>
      </c>
      <c r="CO2" s="133">
        <v>93</v>
      </c>
      <c r="CP2" s="133">
        <v>94</v>
      </c>
      <c r="CQ2" s="133">
        <v>95</v>
      </c>
      <c r="CR2" s="133">
        <v>96</v>
      </c>
      <c r="CS2" s="133">
        <v>97</v>
      </c>
      <c r="CT2" s="133">
        <v>98</v>
      </c>
      <c r="CU2" s="133">
        <v>99</v>
      </c>
      <c r="CV2" s="133">
        <v>100</v>
      </c>
      <c r="CW2" s="133">
        <v>101</v>
      </c>
      <c r="CX2" s="133">
        <v>102</v>
      </c>
      <c r="CY2" s="133">
        <v>103</v>
      </c>
      <c r="CZ2" s="133">
        <v>104</v>
      </c>
      <c r="DA2" s="133">
        <v>105</v>
      </c>
      <c r="DB2" s="133">
        <v>106</v>
      </c>
      <c r="DC2" s="133">
        <v>107</v>
      </c>
      <c r="DD2" s="133">
        <v>108</v>
      </c>
      <c r="DE2" s="133">
        <v>109</v>
      </c>
      <c r="DF2" s="133">
        <v>110</v>
      </c>
      <c r="DG2" s="133">
        <v>111</v>
      </c>
      <c r="DH2" s="133">
        <v>112</v>
      </c>
      <c r="DI2" s="133">
        <v>113</v>
      </c>
      <c r="DJ2" s="133">
        <v>114</v>
      </c>
    </row>
    <row r="3" spans="1:114" ht="16.5" thickBot="1" x14ac:dyDescent="0.3">
      <c r="B3" s="694"/>
    </row>
    <row r="4" spans="1:114" thickBot="1" x14ac:dyDescent="0.3">
      <c r="A4" s="707">
        <v>1</v>
      </c>
      <c r="B4" s="694">
        <v>2</v>
      </c>
      <c r="C4" s="133">
        <v>3</v>
      </c>
      <c r="D4" s="133" t="e">
        <f>VLOOKUP($E$9,Clasificación!$A$6:$CR$140,88,0)</f>
        <v>#N/A</v>
      </c>
      <c r="F4" s="133" t="e">
        <f>VLOOKUP($E$9,Clasificación!$A$6:$CR$140,88,0)</f>
        <v>#N/A</v>
      </c>
      <c r="G4" s="1068">
        <v>2014</v>
      </c>
      <c r="H4" s="1069"/>
      <c r="I4" s="1069"/>
      <c r="J4" s="1069"/>
      <c r="K4" s="1069"/>
      <c r="L4" s="1069"/>
      <c r="M4" s="1069"/>
      <c r="N4" s="1069"/>
      <c r="O4" s="1070"/>
      <c r="P4" s="1068">
        <v>2015</v>
      </c>
      <c r="Q4" s="1069"/>
      <c r="R4" s="1069"/>
      <c r="S4" s="1069"/>
      <c r="T4" s="1069"/>
      <c r="U4" s="1069"/>
      <c r="V4" s="1069"/>
      <c r="W4" s="1069"/>
      <c r="X4" s="1070"/>
      <c r="Y4" s="1071">
        <v>2016</v>
      </c>
      <c r="Z4" s="1072"/>
      <c r="AA4" s="1072"/>
      <c r="AB4" s="1072"/>
      <c r="AC4" s="1072"/>
      <c r="AD4" s="1072"/>
      <c r="AE4" s="1072"/>
      <c r="AF4" s="1072"/>
      <c r="AG4" s="1075"/>
      <c r="AH4" s="1071">
        <v>2017</v>
      </c>
      <c r="AI4" s="1072"/>
      <c r="AJ4" s="1072"/>
      <c r="AK4" s="1072"/>
      <c r="AL4" s="1072"/>
      <c r="AM4" s="1072"/>
      <c r="AN4" s="1072"/>
      <c r="AO4" s="1072"/>
      <c r="AP4" s="1075"/>
      <c r="AQ4" s="1071">
        <v>2018</v>
      </c>
      <c r="AR4" s="1072"/>
      <c r="AS4" s="1072"/>
      <c r="AT4" s="1072"/>
      <c r="AU4" s="1072"/>
      <c r="AV4" s="1072"/>
      <c r="AW4" s="1072"/>
      <c r="AX4" s="1072"/>
      <c r="AY4" s="1075"/>
      <c r="AZ4" s="1071">
        <v>2019</v>
      </c>
      <c r="BA4" s="1072"/>
      <c r="BB4" s="1072"/>
      <c r="BC4" s="1072"/>
      <c r="BD4" s="1072"/>
      <c r="BE4" s="1072"/>
      <c r="BF4" s="1072"/>
      <c r="BG4" s="1072"/>
      <c r="BH4" s="1074"/>
      <c r="BI4" s="1071">
        <v>2020</v>
      </c>
      <c r="BJ4" s="1072"/>
      <c r="BK4" s="1072"/>
      <c r="BL4" s="1073"/>
      <c r="BM4" s="1073"/>
      <c r="BN4" s="1073"/>
      <c r="BO4" s="1073"/>
      <c r="BP4" s="1073"/>
      <c r="BQ4" s="1074"/>
      <c r="BR4" s="1071">
        <v>2021</v>
      </c>
      <c r="BS4" s="1072"/>
      <c r="BT4" s="1072"/>
      <c r="BU4" s="1073"/>
      <c r="BV4" s="1073"/>
      <c r="BW4" s="1073"/>
      <c r="BX4" s="1073"/>
      <c r="BY4" s="1073"/>
      <c r="BZ4" s="1074"/>
      <c r="CA4" s="1071">
        <v>2022</v>
      </c>
      <c r="CB4" s="1072"/>
      <c r="CC4" s="1072"/>
      <c r="CD4" s="1073"/>
      <c r="CE4" s="1073"/>
      <c r="CF4" s="1073"/>
      <c r="CG4" s="1073"/>
      <c r="CH4" s="1073"/>
      <c r="CI4" s="1074"/>
      <c r="CJ4" s="1071">
        <v>2023</v>
      </c>
      <c r="CK4" s="1072"/>
      <c r="CL4" s="1072"/>
      <c r="CM4" s="1073"/>
      <c r="CN4" s="1073"/>
      <c r="CO4" s="1073"/>
      <c r="CP4" s="1073"/>
      <c r="CQ4" s="1073"/>
      <c r="CR4" s="1074"/>
      <c r="CS4" s="1071">
        <v>2024</v>
      </c>
      <c r="CT4" s="1072"/>
      <c r="CU4" s="1072"/>
      <c r="CV4" s="1073"/>
      <c r="CW4" s="1073"/>
      <c r="CX4" s="1073"/>
      <c r="CY4" s="1073"/>
      <c r="CZ4" s="1073"/>
      <c r="DA4" s="1074"/>
      <c r="DB4" s="1076">
        <v>2025</v>
      </c>
      <c r="DC4" s="1077"/>
      <c r="DD4" s="1077"/>
      <c r="DE4" s="1078"/>
      <c r="DF4" s="1078"/>
      <c r="DG4" s="1078"/>
      <c r="DH4" s="1078"/>
      <c r="DI4" s="1078"/>
      <c r="DJ4" s="1079"/>
    </row>
    <row r="5" spans="1:114" s="186" customFormat="1" ht="51.75" thickBot="1" x14ac:dyDescent="0.25">
      <c r="A5" s="708" t="s">
        <v>296</v>
      </c>
      <c r="B5" s="875" t="s">
        <v>297</v>
      </c>
      <c r="C5" s="181" t="s">
        <v>451</v>
      </c>
      <c r="D5" s="181" t="s">
        <v>298</v>
      </c>
      <c r="E5" s="181" t="s">
        <v>664</v>
      </c>
      <c r="F5" s="181" t="s">
        <v>138</v>
      </c>
      <c r="G5" s="182">
        <v>2014</v>
      </c>
      <c r="H5" s="182" t="s">
        <v>299</v>
      </c>
      <c r="I5" s="182" t="s">
        <v>300</v>
      </c>
      <c r="J5" s="182" t="s">
        <v>665</v>
      </c>
      <c r="K5" s="182" t="s">
        <v>666</v>
      </c>
      <c r="L5" s="182" t="s">
        <v>667</v>
      </c>
      <c r="M5" s="182" t="s">
        <v>668</v>
      </c>
      <c r="N5" s="182" t="s">
        <v>669</v>
      </c>
      <c r="O5" s="182" t="s">
        <v>670</v>
      </c>
      <c r="P5" s="178" t="s">
        <v>677</v>
      </c>
      <c r="Q5" s="178" t="s">
        <v>299</v>
      </c>
      <c r="R5" s="178" t="s">
        <v>300</v>
      </c>
      <c r="S5" s="178" t="s">
        <v>665</v>
      </c>
      <c r="T5" s="178" t="s">
        <v>666</v>
      </c>
      <c r="U5" s="178" t="s">
        <v>667</v>
      </c>
      <c r="V5" s="178" t="s">
        <v>668</v>
      </c>
      <c r="W5" s="178" t="s">
        <v>669</v>
      </c>
      <c r="X5" s="178" t="s">
        <v>670</v>
      </c>
      <c r="Y5" s="178" t="s">
        <v>677</v>
      </c>
      <c r="Z5" s="178" t="s">
        <v>299</v>
      </c>
      <c r="AA5" s="180" t="s">
        <v>300</v>
      </c>
      <c r="AB5" s="183" t="s">
        <v>665</v>
      </c>
      <c r="AC5" s="183" t="s">
        <v>666</v>
      </c>
      <c r="AD5" s="183" t="s">
        <v>667</v>
      </c>
      <c r="AE5" s="183" t="s">
        <v>668</v>
      </c>
      <c r="AF5" s="183" t="s">
        <v>669</v>
      </c>
      <c r="AG5" s="183" t="s">
        <v>670</v>
      </c>
      <c r="AH5" s="179">
        <v>2017</v>
      </c>
      <c r="AI5" s="180" t="s">
        <v>299</v>
      </c>
      <c r="AJ5" s="180" t="s">
        <v>300</v>
      </c>
      <c r="AK5" s="183" t="s">
        <v>301</v>
      </c>
      <c r="AL5" s="183" t="s">
        <v>302</v>
      </c>
      <c r="AM5" s="183" t="s">
        <v>303</v>
      </c>
      <c r="AN5" s="183" t="s">
        <v>304</v>
      </c>
      <c r="AO5" s="183" t="s">
        <v>305</v>
      </c>
      <c r="AP5" s="183" t="s">
        <v>306</v>
      </c>
      <c r="AQ5" s="180">
        <v>2018</v>
      </c>
      <c r="AR5" s="180" t="s">
        <v>299</v>
      </c>
      <c r="AS5" s="180" t="s">
        <v>300</v>
      </c>
      <c r="AT5" s="183" t="s">
        <v>301</v>
      </c>
      <c r="AU5" s="183" t="s">
        <v>302</v>
      </c>
      <c r="AV5" s="183" t="s">
        <v>303</v>
      </c>
      <c r="AW5" s="183" t="s">
        <v>304</v>
      </c>
      <c r="AX5" s="183" t="s">
        <v>305</v>
      </c>
      <c r="AY5" s="183" t="s">
        <v>306</v>
      </c>
      <c r="AZ5" s="184">
        <v>2019</v>
      </c>
      <c r="BA5" s="184" t="s">
        <v>299</v>
      </c>
      <c r="BB5" s="184" t="s">
        <v>300</v>
      </c>
      <c r="BC5" s="185" t="s">
        <v>665</v>
      </c>
      <c r="BD5" s="185" t="s">
        <v>666</v>
      </c>
      <c r="BE5" s="185" t="s">
        <v>667</v>
      </c>
      <c r="BF5" s="185" t="s">
        <v>668</v>
      </c>
      <c r="BG5" s="185" t="s">
        <v>669</v>
      </c>
      <c r="BH5" s="185" t="s">
        <v>670</v>
      </c>
      <c r="BI5" s="180">
        <v>2020</v>
      </c>
      <c r="BJ5" s="180" t="s">
        <v>299</v>
      </c>
      <c r="BK5" s="180" t="s">
        <v>300</v>
      </c>
      <c r="BL5" s="183" t="s">
        <v>665</v>
      </c>
      <c r="BM5" s="183" t="s">
        <v>666</v>
      </c>
      <c r="BN5" s="183" t="s">
        <v>667</v>
      </c>
      <c r="BO5" s="183" t="s">
        <v>668</v>
      </c>
      <c r="BP5" s="183" t="s">
        <v>669</v>
      </c>
      <c r="BQ5" s="183" t="s">
        <v>670</v>
      </c>
      <c r="BR5" s="180">
        <v>2021</v>
      </c>
      <c r="BS5" s="180" t="s">
        <v>299</v>
      </c>
      <c r="BT5" s="180" t="s">
        <v>300</v>
      </c>
      <c r="BU5" s="183" t="s">
        <v>665</v>
      </c>
      <c r="BV5" s="183" t="s">
        <v>666</v>
      </c>
      <c r="BW5" s="183" t="s">
        <v>667</v>
      </c>
      <c r="BX5" s="183" t="s">
        <v>668</v>
      </c>
      <c r="BY5" s="183" t="s">
        <v>669</v>
      </c>
      <c r="BZ5" s="183" t="s">
        <v>670</v>
      </c>
      <c r="CA5" s="180">
        <v>2022</v>
      </c>
      <c r="CB5" s="180" t="s">
        <v>299</v>
      </c>
      <c r="CC5" s="180" t="s">
        <v>300</v>
      </c>
      <c r="CD5" s="183" t="s">
        <v>665</v>
      </c>
      <c r="CE5" s="183" t="s">
        <v>666</v>
      </c>
      <c r="CF5" s="183" t="s">
        <v>667</v>
      </c>
      <c r="CG5" s="183" t="s">
        <v>668</v>
      </c>
      <c r="CH5" s="183" t="s">
        <v>669</v>
      </c>
      <c r="CI5" s="183" t="s">
        <v>670</v>
      </c>
      <c r="CJ5" s="180">
        <v>2023</v>
      </c>
      <c r="CK5" s="180" t="s">
        <v>299</v>
      </c>
      <c r="CL5" s="180" t="s">
        <v>300</v>
      </c>
      <c r="CM5" s="183" t="s">
        <v>665</v>
      </c>
      <c r="CN5" s="183" t="s">
        <v>666</v>
      </c>
      <c r="CO5" s="183" t="s">
        <v>667</v>
      </c>
      <c r="CP5" s="183" t="s">
        <v>668</v>
      </c>
      <c r="CQ5" s="183" t="s">
        <v>669</v>
      </c>
      <c r="CR5" s="183" t="s">
        <v>670</v>
      </c>
      <c r="CS5" s="180">
        <v>2024</v>
      </c>
      <c r="CT5" s="180" t="s">
        <v>299</v>
      </c>
      <c r="CU5" s="180" t="s">
        <v>300</v>
      </c>
      <c r="CV5" s="183" t="s">
        <v>665</v>
      </c>
      <c r="CW5" s="183" t="s">
        <v>666</v>
      </c>
      <c r="CX5" s="183" t="s">
        <v>667</v>
      </c>
      <c r="CY5" s="183" t="s">
        <v>668</v>
      </c>
      <c r="CZ5" s="183" t="s">
        <v>669</v>
      </c>
      <c r="DA5" s="183" t="s">
        <v>670</v>
      </c>
      <c r="DB5" s="180">
        <v>2025</v>
      </c>
      <c r="DC5" s="180" t="s">
        <v>299</v>
      </c>
      <c r="DD5" s="180" t="s">
        <v>300</v>
      </c>
      <c r="DE5" s="183" t="s">
        <v>665</v>
      </c>
      <c r="DF5" s="183" t="s">
        <v>666</v>
      </c>
      <c r="DG5" s="183" t="s">
        <v>667</v>
      </c>
      <c r="DH5" s="183" t="s">
        <v>668</v>
      </c>
      <c r="DI5" s="183" t="s">
        <v>669</v>
      </c>
      <c r="DJ5" s="183" t="s">
        <v>670</v>
      </c>
    </row>
    <row r="6" spans="1:114" x14ac:dyDescent="0.25">
      <c r="A6" s="36" t="s">
        <v>23</v>
      </c>
      <c r="B6" s="668">
        <v>325754001778</v>
      </c>
      <c r="C6" s="170" t="s">
        <v>452</v>
      </c>
      <c r="D6" s="170" t="s">
        <v>307</v>
      </c>
      <c r="E6" s="170" t="s">
        <v>671</v>
      </c>
      <c r="F6" s="170" t="s">
        <v>123</v>
      </c>
      <c r="G6" s="171" t="s">
        <v>295</v>
      </c>
      <c r="H6" s="172">
        <v>210</v>
      </c>
      <c r="I6" s="172">
        <v>210</v>
      </c>
      <c r="J6" s="172">
        <v>0.69199999999999995</v>
      </c>
      <c r="K6" s="172">
        <v>0.7</v>
      </c>
      <c r="L6" s="172">
        <v>0.71120000000000005</v>
      </c>
      <c r="M6" s="172">
        <v>0.71679999999999999</v>
      </c>
      <c r="N6" s="172">
        <v>0.67069999999999996</v>
      </c>
      <c r="O6" s="172">
        <v>0.70240000000000002</v>
      </c>
      <c r="P6" s="173" t="s">
        <v>295</v>
      </c>
      <c r="Q6" s="174" t="s">
        <v>675</v>
      </c>
      <c r="R6" s="174" t="s">
        <v>362</v>
      </c>
      <c r="S6" s="174">
        <v>0.68589999999999995</v>
      </c>
      <c r="T6" s="174">
        <v>0.69279999999999997</v>
      </c>
      <c r="U6" s="174">
        <v>0.69650000000000001</v>
      </c>
      <c r="V6" s="174">
        <v>0.69750000000000001</v>
      </c>
      <c r="W6" s="174">
        <v>0.66249999999999998</v>
      </c>
      <c r="X6" s="174">
        <v>0.69079999999999997</v>
      </c>
      <c r="Y6" s="138" t="s">
        <v>295</v>
      </c>
      <c r="Z6" s="134" t="s">
        <v>561</v>
      </c>
      <c r="AA6" s="134" t="s">
        <v>562</v>
      </c>
      <c r="AB6" s="137">
        <v>0.68140000000000001</v>
      </c>
      <c r="AC6" s="137">
        <v>0.69899999999999995</v>
      </c>
      <c r="AD6" s="137">
        <v>0.68679999999999997</v>
      </c>
      <c r="AE6" s="137">
        <v>0.70909999999999995</v>
      </c>
      <c r="AF6" s="137">
        <v>0.6764</v>
      </c>
      <c r="AG6" s="137">
        <v>0.69269999999999998</v>
      </c>
      <c r="AH6" s="154" t="s">
        <v>295</v>
      </c>
      <c r="AI6" s="134" t="s">
        <v>495</v>
      </c>
      <c r="AJ6" s="134" t="s">
        <v>479</v>
      </c>
      <c r="AK6" s="137">
        <v>0.68089999999999995</v>
      </c>
      <c r="AL6" s="137">
        <v>0.69450000000000001</v>
      </c>
      <c r="AM6" s="137">
        <v>0.69579999999999997</v>
      </c>
      <c r="AN6" s="137">
        <v>0.71789999999999998</v>
      </c>
      <c r="AO6" s="137">
        <v>0.68179999999999996</v>
      </c>
      <c r="AP6" s="137">
        <v>0.69610000000000005</v>
      </c>
      <c r="AQ6" s="139" t="s">
        <v>295</v>
      </c>
      <c r="AR6" s="134" t="s">
        <v>382</v>
      </c>
      <c r="AS6" s="134" t="s">
        <v>343</v>
      </c>
      <c r="AT6" s="137">
        <v>0.68600000000000005</v>
      </c>
      <c r="AU6" s="137">
        <v>0.69620000000000004</v>
      </c>
      <c r="AV6" s="137">
        <v>0.69550000000000001</v>
      </c>
      <c r="AW6" s="137">
        <v>0.72919999999999996</v>
      </c>
      <c r="AX6" s="137">
        <v>0.69350000000000001</v>
      </c>
      <c r="AY6" s="137">
        <v>0.70109999999999995</v>
      </c>
      <c r="AZ6" s="138" t="s">
        <v>295</v>
      </c>
      <c r="BA6" s="134" t="s">
        <v>528</v>
      </c>
      <c r="BB6" s="134" t="s">
        <v>382</v>
      </c>
      <c r="BC6" s="137">
        <v>0.68120000000000003</v>
      </c>
      <c r="BD6" s="137">
        <v>0.68720000000000003</v>
      </c>
      <c r="BE6" s="137">
        <v>0.68469999999999998</v>
      </c>
      <c r="BF6" s="137">
        <v>0.72589999999999999</v>
      </c>
      <c r="BG6" s="137">
        <v>0.68500000000000005</v>
      </c>
      <c r="BH6" s="137">
        <v>0.69399999999999995</v>
      </c>
      <c r="BI6" s="135" t="s">
        <v>295</v>
      </c>
      <c r="BJ6" s="152">
        <v>200</v>
      </c>
      <c r="BK6" s="152">
        <v>190</v>
      </c>
      <c r="BL6" s="137">
        <v>0.69320000000000004</v>
      </c>
      <c r="BM6" s="137">
        <v>0.67800000000000005</v>
      </c>
      <c r="BN6" s="137">
        <v>0.66700000000000004</v>
      </c>
      <c r="BO6" s="137">
        <v>0.71299999999999997</v>
      </c>
      <c r="BP6" s="137">
        <v>0.6694</v>
      </c>
      <c r="BQ6" s="137">
        <v>0.68640000000000001</v>
      </c>
      <c r="BR6" s="277" t="s">
        <v>295</v>
      </c>
      <c r="BS6" s="269">
        <v>203</v>
      </c>
      <c r="BT6" s="269">
        <v>201</v>
      </c>
      <c r="BU6" s="269">
        <v>0.70179999999999998</v>
      </c>
      <c r="BV6" s="269">
        <v>0.69069999999999998</v>
      </c>
      <c r="BW6" s="269">
        <v>0.67700000000000005</v>
      </c>
      <c r="BX6" s="269">
        <v>0.72670000000000001</v>
      </c>
      <c r="BY6" s="269">
        <v>0.6845</v>
      </c>
      <c r="BZ6" s="269">
        <v>0.69799999999999995</v>
      </c>
      <c r="CR6" s="584"/>
      <c r="CT6" s="583"/>
      <c r="CU6" s="583"/>
      <c r="CV6" s="583"/>
      <c r="CW6" s="583"/>
      <c r="CX6" s="583"/>
      <c r="CY6" s="583"/>
      <c r="CZ6" s="583"/>
      <c r="DA6" s="583"/>
      <c r="DB6" s="884"/>
      <c r="DC6" s="884"/>
      <c r="DD6" s="884"/>
      <c r="DE6" s="884"/>
    </row>
    <row r="7" spans="1:114" ht="16.5" x14ac:dyDescent="0.3">
      <c r="A7" s="740" t="s">
        <v>952</v>
      </c>
      <c r="B7" s="873">
        <v>325754800026</v>
      </c>
      <c r="C7" s="134" t="s">
        <v>452</v>
      </c>
      <c r="D7" s="134" t="s">
        <v>307</v>
      </c>
      <c r="E7" s="134" t="s">
        <v>671</v>
      </c>
      <c r="F7" s="170" t="s">
        <v>123</v>
      </c>
      <c r="G7" s="134"/>
      <c r="H7" s="134"/>
      <c r="I7" s="134"/>
      <c r="J7" s="134"/>
      <c r="K7" s="134"/>
      <c r="L7" s="134"/>
      <c r="M7" s="134"/>
      <c r="N7" s="134"/>
      <c r="O7" s="134"/>
      <c r="P7" s="563"/>
      <c r="Q7" s="563"/>
      <c r="R7" s="563"/>
      <c r="S7" s="563"/>
      <c r="T7" s="563"/>
      <c r="U7" s="563"/>
      <c r="V7" s="563"/>
      <c r="W7" s="563"/>
      <c r="X7" s="563"/>
      <c r="Y7" s="134"/>
      <c r="Z7" s="680"/>
      <c r="AA7" s="680"/>
      <c r="AB7" s="137"/>
      <c r="AC7" s="137"/>
      <c r="AD7" s="137"/>
      <c r="AE7" s="137"/>
      <c r="AF7" s="137"/>
      <c r="AG7" s="137"/>
      <c r="AH7" s="156"/>
      <c r="AI7" s="134"/>
      <c r="AJ7" s="134"/>
      <c r="AK7" s="137"/>
      <c r="AL7" s="137"/>
      <c r="AM7" s="137"/>
      <c r="AN7" s="137"/>
      <c r="AO7" s="137"/>
      <c r="AP7" s="137"/>
      <c r="AQ7" s="134"/>
      <c r="AR7" s="134"/>
      <c r="AS7" s="134"/>
      <c r="AT7" s="137"/>
      <c r="AU7" s="137"/>
      <c r="AV7" s="137"/>
      <c r="AW7" s="137"/>
      <c r="AX7" s="137"/>
      <c r="AY7" s="137"/>
      <c r="AZ7" s="134"/>
      <c r="BA7" s="134"/>
      <c r="BB7" s="134"/>
      <c r="BC7" s="137"/>
      <c r="BD7" s="137"/>
      <c r="BE7" s="137"/>
      <c r="BF7" s="137"/>
      <c r="BG7" s="137"/>
      <c r="BH7" s="137"/>
      <c r="BI7" s="134"/>
      <c r="BJ7" s="134"/>
      <c r="BK7" s="134"/>
      <c r="BL7" s="137"/>
      <c r="BM7" s="137"/>
      <c r="BN7" s="137"/>
      <c r="BO7" s="137"/>
      <c r="BP7" s="137"/>
      <c r="BQ7" s="137"/>
      <c r="BR7" s="633"/>
      <c r="BS7" s="269"/>
      <c r="BT7" s="269"/>
      <c r="BU7" s="269"/>
      <c r="BV7" s="269"/>
      <c r="BW7" s="269"/>
      <c r="BX7" s="269"/>
      <c r="BY7" s="269"/>
      <c r="BZ7" s="269"/>
      <c r="CS7" s="564" t="s">
        <v>427</v>
      </c>
      <c r="CT7" s="706">
        <v>18</v>
      </c>
      <c r="CU7" s="706">
        <v>17</v>
      </c>
      <c r="CV7" s="730">
        <v>0.64790000000000003</v>
      </c>
      <c r="CW7" s="706">
        <v>0.6109</v>
      </c>
      <c r="CX7" s="706">
        <v>0.63070000000000004</v>
      </c>
      <c r="CY7" s="706">
        <v>0.6573</v>
      </c>
      <c r="CZ7" s="706">
        <v>0.59909999999999997</v>
      </c>
      <c r="DA7" s="669">
        <v>0.63380000000000003</v>
      </c>
      <c r="DB7" s="884" t="s">
        <v>427</v>
      </c>
      <c r="DC7" s="884">
        <v>19</v>
      </c>
      <c r="DD7" s="884">
        <v>18</v>
      </c>
      <c r="DE7" s="884">
        <v>0.64410000000000001</v>
      </c>
      <c r="DF7" s="133">
        <v>0.61699999999999999</v>
      </c>
      <c r="DG7" s="133">
        <v>0.63660000000000005</v>
      </c>
      <c r="DH7" s="133">
        <v>0.66790000000000005</v>
      </c>
      <c r="DI7" s="133">
        <v>0.60460000000000003</v>
      </c>
      <c r="DJ7" s="133">
        <v>0.63859999999999995</v>
      </c>
    </row>
    <row r="8" spans="1:114" x14ac:dyDescent="0.25">
      <c r="A8" s="36" t="s">
        <v>166</v>
      </c>
      <c r="B8" s="876">
        <v>325754005200</v>
      </c>
      <c r="C8" s="134" t="s">
        <v>452</v>
      </c>
      <c r="D8" s="134" t="s">
        <v>307</v>
      </c>
      <c r="E8" s="344" t="s">
        <v>671</v>
      </c>
      <c r="F8" s="134" t="s">
        <v>123</v>
      </c>
      <c r="G8" s="345" t="s">
        <v>427</v>
      </c>
      <c r="H8" s="346">
        <v>31</v>
      </c>
      <c r="I8" s="346">
        <v>31</v>
      </c>
      <c r="J8" s="346">
        <v>0.64670000000000005</v>
      </c>
      <c r="K8" s="346">
        <v>0.63160000000000005</v>
      </c>
      <c r="L8" s="346">
        <v>0.63090000000000002</v>
      </c>
      <c r="M8" s="346">
        <v>0.66749999999999998</v>
      </c>
      <c r="N8" s="346">
        <v>0.63129999999999997</v>
      </c>
      <c r="O8" s="346">
        <v>0.64319999999999999</v>
      </c>
      <c r="P8" s="345" t="s">
        <v>427</v>
      </c>
      <c r="Q8" s="346" t="s">
        <v>401</v>
      </c>
      <c r="R8" s="346" t="s">
        <v>401</v>
      </c>
      <c r="S8" s="346">
        <v>0.63700000000000001</v>
      </c>
      <c r="T8" s="346">
        <v>0.62809999999999999</v>
      </c>
      <c r="U8" s="346">
        <v>0.64019999999999999</v>
      </c>
      <c r="V8" s="346">
        <v>0.66120000000000001</v>
      </c>
      <c r="W8" s="346">
        <v>0.64100000000000001</v>
      </c>
      <c r="X8" s="346">
        <v>0.64149999999999996</v>
      </c>
      <c r="Y8" s="347" t="s">
        <v>427</v>
      </c>
      <c r="Z8" s="344" t="s">
        <v>401</v>
      </c>
      <c r="AA8" s="344" t="s">
        <v>401</v>
      </c>
      <c r="AB8" s="348">
        <v>0.63700000000000001</v>
      </c>
      <c r="AC8" s="348">
        <v>0.62809999999999999</v>
      </c>
      <c r="AD8" s="348">
        <v>0.64019999999999999</v>
      </c>
      <c r="AE8" s="348">
        <v>0.66120000000000001</v>
      </c>
      <c r="AF8" s="348">
        <v>0.64100000000000001</v>
      </c>
      <c r="AG8" s="348">
        <v>0.64149999999999996</v>
      </c>
      <c r="AH8" s="349" t="s">
        <v>427</v>
      </c>
      <c r="AI8" s="344" t="s">
        <v>401</v>
      </c>
      <c r="AJ8" s="344" t="s">
        <v>401</v>
      </c>
      <c r="AK8" s="348">
        <v>0.63700000000000001</v>
      </c>
      <c r="AL8" s="348">
        <v>0.62809999999999999</v>
      </c>
      <c r="AM8" s="348">
        <v>0.64019999999999999</v>
      </c>
      <c r="AN8" s="348">
        <v>0.66120000000000001</v>
      </c>
      <c r="AO8" s="348">
        <v>0.64100000000000001</v>
      </c>
      <c r="AP8" s="348">
        <v>0.64149999999999996</v>
      </c>
      <c r="AQ8" s="350" t="s">
        <v>427</v>
      </c>
      <c r="AR8" s="344" t="s">
        <v>401</v>
      </c>
      <c r="AS8" s="344" t="s">
        <v>401</v>
      </c>
      <c r="AT8" s="348">
        <v>0.63700000000000001</v>
      </c>
      <c r="AU8" s="348">
        <v>0.62809999999999999</v>
      </c>
      <c r="AV8" s="348">
        <v>0.64019999999999999</v>
      </c>
      <c r="AW8" s="348">
        <v>0.66120000000000001</v>
      </c>
      <c r="AX8" s="348">
        <v>0.64100000000000001</v>
      </c>
      <c r="AY8" s="348">
        <v>0.64149999999999996</v>
      </c>
      <c r="AZ8" s="347" t="s">
        <v>427</v>
      </c>
      <c r="BA8" s="344" t="s">
        <v>401</v>
      </c>
      <c r="BB8" s="344" t="s">
        <v>401</v>
      </c>
      <c r="BC8" s="348">
        <v>0.63700000000000001</v>
      </c>
      <c r="BD8" s="348">
        <v>0.62809999999999999</v>
      </c>
      <c r="BE8" s="348">
        <v>0.64019999999999999</v>
      </c>
      <c r="BF8" s="348">
        <v>0.66120000000000001</v>
      </c>
      <c r="BG8" s="348">
        <v>0.64100000000000001</v>
      </c>
      <c r="BH8" s="348">
        <v>0.64149999999999996</v>
      </c>
      <c r="BI8" s="351" t="s">
        <v>427</v>
      </c>
      <c r="BJ8" s="352">
        <v>24</v>
      </c>
      <c r="BK8" s="352">
        <v>24</v>
      </c>
      <c r="BL8" s="348">
        <v>0.63700000000000001</v>
      </c>
      <c r="BM8" s="348">
        <v>0.62809999999999999</v>
      </c>
      <c r="BN8" s="348">
        <v>0.64019999999999999</v>
      </c>
      <c r="BO8" s="348">
        <v>0.66120000000000001</v>
      </c>
      <c r="BP8" s="348">
        <v>0.64100000000000001</v>
      </c>
      <c r="BQ8" s="348">
        <v>0.64149999999999996</v>
      </c>
      <c r="BR8" s="353" t="s">
        <v>443</v>
      </c>
      <c r="BS8" s="344">
        <v>30</v>
      </c>
      <c r="BT8" s="344">
        <v>26</v>
      </c>
      <c r="BU8" s="344">
        <v>0.64700000000000002</v>
      </c>
      <c r="BV8" s="344">
        <v>0.59860000000000002</v>
      </c>
      <c r="BW8" s="344">
        <v>0.5645</v>
      </c>
      <c r="BX8" s="344">
        <v>0.65069999999999995</v>
      </c>
      <c r="BY8" s="344">
        <v>0.62119999999999997</v>
      </c>
      <c r="BZ8" s="344">
        <v>0.61570000000000003</v>
      </c>
      <c r="CA8" s="344"/>
      <c r="CB8" s="344"/>
      <c r="CC8" s="344"/>
      <c r="CD8" s="344"/>
      <c r="CE8" s="344"/>
      <c r="CF8" s="344"/>
      <c r="CG8" s="344"/>
      <c r="CH8" s="344"/>
      <c r="CI8" s="344"/>
      <c r="CJ8" s="563"/>
      <c r="CK8" s="563"/>
      <c r="CL8" s="563"/>
      <c r="CM8" s="563"/>
      <c r="CN8" s="563"/>
      <c r="CO8" s="563"/>
      <c r="CP8" s="563"/>
      <c r="CQ8" s="563"/>
      <c r="CR8" s="682"/>
      <c r="CT8" s="583"/>
      <c r="CU8" s="583"/>
      <c r="CV8" s="583"/>
      <c r="CW8" s="583"/>
      <c r="CX8" s="583"/>
      <c r="CY8" s="583"/>
      <c r="CZ8" s="583"/>
      <c r="DA8" s="583"/>
      <c r="DB8" s="884"/>
      <c r="DC8" s="884"/>
      <c r="DD8" s="884"/>
      <c r="DE8" s="884"/>
    </row>
    <row r="9" spans="1:114" x14ac:dyDescent="0.25">
      <c r="A9" s="36" t="s">
        <v>796</v>
      </c>
      <c r="B9" s="668">
        <v>325754800077</v>
      </c>
      <c r="C9" s="134" t="s">
        <v>452</v>
      </c>
      <c r="D9" s="134" t="s">
        <v>307</v>
      </c>
      <c r="E9" s="134"/>
      <c r="F9" s="134" t="s">
        <v>123</v>
      </c>
      <c r="G9" s="167"/>
      <c r="H9" s="166"/>
      <c r="I9" s="166"/>
      <c r="J9" s="166"/>
      <c r="K9" s="166"/>
      <c r="L9" s="166"/>
      <c r="M9" s="166"/>
      <c r="N9" s="166"/>
      <c r="O9" s="166"/>
      <c r="P9" s="175"/>
      <c r="Q9" s="174"/>
      <c r="R9" s="174"/>
      <c r="S9" s="174"/>
      <c r="T9" s="174"/>
      <c r="U9" s="174"/>
      <c r="V9" s="174"/>
      <c r="W9" s="174"/>
      <c r="X9" s="174"/>
      <c r="Y9" s="141"/>
      <c r="Z9" s="134"/>
      <c r="AA9" s="134"/>
      <c r="AB9" s="137"/>
      <c r="AC9" s="137"/>
      <c r="AD9" s="137"/>
      <c r="AE9" s="137"/>
      <c r="AF9" s="137"/>
      <c r="AG9" s="137"/>
      <c r="AH9" s="155"/>
      <c r="AI9" s="134"/>
      <c r="AJ9" s="134"/>
      <c r="AK9" s="137"/>
      <c r="AL9" s="137"/>
      <c r="AM9" s="137"/>
      <c r="AN9" s="137"/>
      <c r="AO9" s="137"/>
      <c r="AP9" s="137"/>
      <c r="AQ9" s="142"/>
      <c r="AR9" s="134"/>
      <c r="AS9" s="134"/>
      <c r="AT9" s="137"/>
      <c r="AU9" s="137"/>
      <c r="AV9" s="137"/>
      <c r="AW9" s="137"/>
      <c r="AX9" s="137"/>
      <c r="AY9" s="137"/>
      <c r="AZ9" s="141"/>
      <c r="BA9" s="134"/>
      <c r="BB9" s="134"/>
      <c r="BC9" s="137"/>
      <c r="BD9" s="137"/>
      <c r="BE9" s="137"/>
      <c r="BF9" s="137"/>
      <c r="BG9" s="137"/>
      <c r="BH9" s="137"/>
      <c r="BI9" s="140"/>
      <c r="BJ9" s="152"/>
      <c r="BK9" s="152"/>
      <c r="BL9" s="137"/>
      <c r="BM9" s="137"/>
      <c r="BN9" s="137"/>
      <c r="BO9" s="137"/>
      <c r="BP9" s="137"/>
      <c r="BQ9" s="137"/>
      <c r="BR9" s="278"/>
      <c r="BS9" s="269"/>
      <c r="BT9" s="269"/>
      <c r="BU9" s="269"/>
      <c r="BV9" s="269"/>
      <c r="BW9" s="269"/>
      <c r="BX9" s="269"/>
      <c r="BY9" s="269"/>
      <c r="BZ9" s="269"/>
      <c r="CA9" s="354" t="s">
        <v>443</v>
      </c>
      <c r="CB9" s="355">
        <v>24</v>
      </c>
      <c r="CC9" s="355">
        <v>20</v>
      </c>
      <c r="CD9" s="355">
        <v>0.55549999999999999</v>
      </c>
      <c r="CE9" s="355">
        <v>0.55189999999999995</v>
      </c>
      <c r="CF9" s="355">
        <v>0.54120000000000001</v>
      </c>
      <c r="CG9" s="355">
        <v>0.61619999999999997</v>
      </c>
      <c r="CH9" s="355">
        <v>0.56159999999999999</v>
      </c>
      <c r="CI9" s="355">
        <v>0.56579999999999997</v>
      </c>
      <c r="CJ9" s="713" t="s">
        <v>443</v>
      </c>
      <c r="CK9" s="620">
        <v>42</v>
      </c>
      <c r="CL9" s="620">
        <v>33</v>
      </c>
      <c r="CM9" s="620">
        <v>0.54690000000000005</v>
      </c>
      <c r="CN9" s="620">
        <v>0.54149999999999998</v>
      </c>
      <c r="CO9" s="620">
        <v>0.51990000000000003</v>
      </c>
      <c r="CP9" s="620">
        <v>0.5877</v>
      </c>
      <c r="CQ9" s="620">
        <v>0.55640000000000001</v>
      </c>
      <c r="CR9" s="711">
        <v>0.54959999999999998</v>
      </c>
      <c r="CS9" s="563"/>
      <c r="CT9" s="582"/>
      <c r="CU9" s="582"/>
      <c r="CV9" s="582"/>
      <c r="CW9" s="582"/>
      <c r="CX9" s="582"/>
      <c r="CY9" s="582"/>
      <c r="CZ9" s="582"/>
      <c r="DA9" s="582"/>
      <c r="DB9" s="884"/>
      <c r="DC9" s="884"/>
      <c r="DD9" s="884"/>
      <c r="DE9" s="884"/>
    </row>
    <row r="10" spans="1:114" x14ac:dyDescent="0.25">
      <c r="A10" s="36" t="s">
        <v>26</v>
      </c>
      <c r="B10" s="668">
        <v>325754001042</v>
      </c>
      <c r="C10" s="134" t="s">
        <v>452</v>
      </c>
      <c r="D10" s="134" t="s">
        <v>307</v>
      </c>
      <c r="E10" s="134" t="s">
        <v>671</v>
      </c>
      <c r="F10" s="134" t="s">
        <v>123</v>
      </c>
      <c r="G10" s="165" t="s">
        <v>295</v>
      </c>
      <c r="H10" s="166">
        <v>117</v>
      </c>
      <c r="I10" s="166">
        <v>117</v>
      </c>
      <c r="J10" s="166">
        <v>0.68540000000000001</v>
      </c>
      <c r="K10" s="166">
        <v>0.66859999999999997</v>
      </c>
      <c r="L10" s="166">
        <v>0.66990000000000005</v>
      </c>
      <c r="M10" s="166">
        <v>0.69710000000000005</v>
      </c>
      <c r="N10" s="166">
        <v>0.69689999999999996</v>
      </c>
      <c r="O10" s="166">
        <v>0.68149999999999999</v>
      </c>
      <c r="P10" s="628" t="s">
        <v>295</v>
      </c>
      <c r="Q10" s="166" t="s">
        <v>676</v>
      </c>
      <c r="R10" s="166" t="s">
        <v>676</v>
      </c>
      <c r="S10" s="166">
        <v>0.69679999999999997</v>
      </c>
      <c r="T10" s="166">
        <v>0.68559999999999999</v>
      </c>
      <c r="U10" s="166">
        <v>0.67710000000000004</v>
      </c>
      <c r="V10" s="166">
        <v>0.70689999999999997</v>
      </c>
      <c r="W10" s="166">
        <v>0.7006</v>
      </c>
      <c r="X10" s="166">
        <v>0.69230000000000003</v>
      </c>
      <c r="Y10" s="138" t="s">
        <v>295</v>
      </c>
      <c r="Z10" s="134" t="s">
        <v>555</v>
      </c>
      <c r="AA10" s="134" t="s">
        <v>555</v>
      </c>
      <c r="AB10" s="137">
        <v>0.70150000000000001</v>
      </c>
      <c r="AC10" s="137">
        <v>0.70909999999999995</v>
      </c>
      <c r="AD10" s="137">
        <v>0.68689999999999996</v>
      </c>
      <c r="AE10" s="137">
        <v>0.7177</v>
      </c>
      <c r="AF10" s="137">
        <v>0.70720000000000005</v>
      </c>
      <c r="AG10" s="137">
        <v>0.70409999999999995</v>
      </c>
      <c r="AH10" s="154" t="s">
        <v>295</v>
      </c>
      <c r="AI10" s="134" t="s">
        <v>491</v>
      </c>
      <c r="AJ10" s="134" t="s">
        <v>356</v>
      </c>
      <c r="AK10" s="137">
        <v>0.69710000000000005</v>
      </c>
      <c r="AL10" s="137">
        <v>0.71120000000000005</v>
      </c>
      <c r="AM10" s="137">
        <v>0.69159999999999999</v>
      </c>
      <c r="AN10" s="137">
        <v>0.7208</v>
      </c>
      <c r="AO10" s="137">
        <v>0.69220000000000004</v>
      </c>
      <c r="AP10" s="137">
        <v>0.70420000000000005</v>
      </c>
      <c r="AQ10" s="139" t="s">
        <v>295</v>
      </c>
      <c r="AR10" s="134" t="s">
        <v>402</v>
      </c>
      <c r="AS10" s="134" t="s">
        <v>403</v>
      </c>
      <c r="AT10" s="137">
        <v>0.68130000000000002</v>
      </c>
      <c r="AU10" s="137">
        <v>0.69040000000000001</v>
      </c>
      <c r="AV10" s="137">
        <v>0.67079999999999995</v>
      </c>
      <c r="AW10" s="137">
        <v>0.72460000000000002</v>
      </c>
      <c r="AX10" s="137">
        <v>0.68930000000000002</v>
      </c>
      <c r="AY10" s="137">
        <v>0.69159999999999999</v>
      </c>
      <c r="AZ10" s="141" t="s">
        <v>427</v>
      </c>
      <c r="BA10" s="134" t="s">
        <v>402</v>
      </c>
      <c r="BB10" s="134" t="s">
        <v>590</v>
      </c>
      <c r="BC10" s="137">
        <v>0.66059999999999997</v>
      </c>
      <c r="BD10" s="137">
        <v>0.65720000000000001</v>
      </c>
      <c r="BE10" s="137">
        <v>0.63670000000000004</v>
      </c>
      <c r="BF10" s="137">
        <v>0.71560000000000001</v>
      </c>
      <c r="BG10" s="137">
        <v>0.66890000000000005</v>
      </c>
      <c r="BH10" s="137">
        <v>0.66759999999999997</v>
      </c>
      <c r="BI10" s="140" t="s">
        <v>427</v>
      </c>
      <c r="BJ10" s="152">
        <v>139</v>
      </c>
      <c r="BK10" s="152">
        <v>135</v>
      </c>
      <c r="BL10" s="137">
        <v>0.66979999999999995</v>
      </c>
      <c r="BM10" s="137">
        <v>0.63880000000000003</v>
      </c>
      <c r="BN10" s="137">
        <v>0.61939999999999995</v>
      </c>
      <c r="BO10" s="137">
        <v>0.71340000000000003</v>
      </c>
      <c r="BP10" s="137">
        <v>0.6694</v>
      </c>
      <c r="BQ10" s="137">
        <v>0.66100000000000003</v>
      </c>
      <c r="BR10" s="277" t="s">
        <v>295</v>
      </c>
      <c r="BS10" s="269">
        <v>129</v>
      </c>
      <c r="BT10" s="269">
        <v>129</v>
      </c>
      <c r="BU10" s="269">
        <v>0.68510000000000004</v>
      </c>
      <c r="BV10" s="269">
        <v>0.66020000000000001</v>
      </c>
      <c r="BW10" s="269">
        <v>0.64480000000000004</v>
      </c>
      <c r="BX10" s="269">
        <v>0.72460000000000002</v>
      </c>
      <c r="BY10" s="269">
        <v>0.68630000000000002</v>
      </c>
      <c r="BZ10" s="269">
        <v>0.67920000000000003</v>
      </c>
      <c r="CA10" s="356" t="s">
        <v>295</v>
      </c>
      <c r="CB10" s="355">
        <v>114</v>
      </c>
      <c r="CC10" s="355">
        <v>114</v>
      </c>
      <c r="CD10" s="355">
        <v>0.70189999999999997</v>
      </c>
      <c r="CE10" s="355">
        <v>0.67310000000000003</v>
      </c>
      <c r="CF10" s="355">
        <v>0.66290000000000004</v>
      </c>
      <c r="CG10" s="355">
        <v>0.72919999999999996</v>
      </c>
      <c r="CH10" s="355">
        <v>0.69359999999999999</v>
      </c>
      <c r="CI10" s="355">
        <v>0.69189999999999996</v>
      </c>
      <c r="CJ10" s="704" t="s">
        <v>295</v>
      </c>
      <c r="CK10" s="620">
        <v>96</v>
      </c>
      <c r="CL10" s="620">
        <v>96</v>
      </c>
      <c r="CM10" s="620">
        <v>0.70909999999999995</v>
      </c>
      <c r="CN10" s="620">
        <v>0.68640000000000001</v>
      </c>
      <c r="CO10" s="620">
        <v>0.67669999999999997</v>
      </c>
      <c r="CP10" s="620">
        <v>0.73819999999999997</v>
      </c>
      <c r="CQ10" s="620">
        <v>0.71460000000000001</v>
      </c>
      <c r="CR10" s="711">
        <v>0.70350000000000001</v>
      </c>
      <c r="CS10" s="603" t="s">
        <v>295</v>
      </c>
      <c r="CT10" s="564">
        <v>89</v>
      </c>
      <c r="CU10" s="564">
        <v>88</v>
      </c>
      <c r="CV10" s="585">
        <v>0.70689999999999997</v>
      </c>
      <c r="CW10" s="585">
        <v>0.6845</v>
      </c>
      <c r="CX10" s="585">
        <v>0.66080000000000005</v>
      </c>
      <c r="CY10" s="585">
        <v>0.7379</v>
      </c>
      <c r="CZ10" s="585">
        <v>0.70820000000000005</v>
      </c>
      <c r="DA10" s="585">
        <v>0.69840000000000002</v>
      </c>
      <c r="DB10" s="884" t="s">
        <v>295</v>
      </c>
      <c r="DC10" s="884">
        <v>87</v>
      </c>
      <c r="DD10" s="884">
        <v>86</v>
      </c>
      <c r="DE10" s="884">
        <v>0.72130000000000005</v>
      </c>
      <c r="DF10" s="133">
        <v>0.70240000000000002</v>
      </c>
      <c r="DG10" s="133">
        <v>0.65769999999999995</v>
      </c>
      <c r="DH10" s="133">
        <v>0.74850000000000005</v>
      </c>
      <c r="DI10" s="133">
        <v>0.72130000000000005</v>
      </c>
      <c r="DJ10" s="133">
        <v>0.70850000000000002</v>
      </c>
    </row>
    <row r="11" spans="1:114" x14ac:dyDescent="0.25">
      <c r="A11" s="36" t="s">
        <v>167</v>
      </c>
      <c r="B11" s="668">
        <v>325754003428</v>
      </c>
      <c r="C11" s="134" t="s">
        <v>452</v>
      </c>
      <c r="D11" s="134" t="s">
        <v>307</v>
      </c>
      <c r="E11" s="134" t="s">
        <v>671</v>
      </c>
      <c r="F11" s="134" t="s">
        <v>123</v>
      </c>
      <c r="G11" s="167" t="s">
        <v>427</v>
      </c>
      <c r="H11" s="166">
        <v>136</v>
      </c>
      <c r="I11" s="166">
        <v>135</v>
      </c>
      <c r="J11" s="166">
        <v>0.66339999999999999</v>
      </c>
      <c r="K11" s="166">
        <v>0.65429999999999999</v>
      </c>
      <c r="L11" s="166">
        <v>0.65790000000000004</v>
      </c>
      <c r="M11" s="166">
        <v>0.64790000000000003</v>
      </c>
      <c r="N11" s="166">
        <v>0.64059999999999995</v>
      </c>
      <c r="O11" s="166">
        <v>0.65469999999999995</v>
      </c>
      <c r="P11" s="164"/>
      <c r="Q11" s="134"/>
      <c r="R11" s="134"/>
      <c r="S11" s="134"/>
      <c r="T11" s="134"/>
      <c r="U11" s="134"/>
      <c r="V11" s="134"/>
      <c r="W11" s="134"/>
      <c r="X11" s="134"/>
      <c r="Y11" s="134"/>
      <c r="Z11" s="134"/>
      <c r="AA11" s="134"/>
      <c r="AB11" s="137"/>
      <c r="AC11" s="137"/>
      <c r="AD11" s="137"/>
      <c r="AE11" s="137"/>
      <c r="AF11" s="137"/>
      <c r="AG11" s="137"/>
      <c r="AH11" s="156"/>
      <c r="AI11" s="134"/>
      <c r="AJ11" s="134"/>
      <c r="AK11" s="137"/>
      <c r="AL11" s="137"/>
      <c r="AM11" s="137"/>
      <c r="AN11" s="137"/>
      <c r="AO11" s="137"/>
      <c r="AP11" s="137"/>
      <c r="AQ11" s="142" t="s">
        <v>427</v>
      </c>
      <c r="AR11" s="134" t="s">
        <v>375</v>
      </c>
      <c r="AS11" s="134" t="s">
        <v>435</v>
      </c>
      <c r="AT11" s="137">
        <v>0.64839999999999998</v>
      </c>
      <c r="AU11" s="137">
        <v>0.64959999999999996</v>
      </c>
      <c r="AV11" s="137">
        <v>0.63670000000000004</v>
      </c>
      <c r="AW11" s="137">
        <v>0.69910000000000005</v>
      </c>
      <c r="AX11" s="137">
        <v>0.63619999999999999</v>
      </c>
      <c r="AY11" s="137">
        <v>0.65669999999999995</v>
      </c>
      <c r="AZ11" s="141" t="s">
        <v>427</v>
      </c>
      <c r="BA11" s="134" t="s">
        <v>329</v>
      </c>
      <c r="BB11" s="134" t="s">
        <v>351</v>
      </c>
      <c r="BC11" s="137">
        <v>0.64419999999999999</v>
      </c>
      <c r="BD11" s="137">
        <v>0.62980000000000003</v>
      </c>
      <c r="BE11" s="137">
        <v>0.62560000000000004</v>
      </c>
      <c r="BF11" s="137">
        <v>0.69950000000000001</v>
      </c>
      <c r="BG11" s="137">
        <v>0.61929999999999996</v>
      </c>
      <c r="BH11" s="137">
        <v>0.64749999999999996</v>
      </c>
      <c r="BI11" s="140" t="s">
        <v>427</v>
      </c>
      <c r="BJ11" s="152">
        <v>120</v>
      </c>
      <c r="BK11" s="152">
        <v>118</v>
      </c>
      <c r="BL11" s="137">
        <v>0.64900000000000002</v>
      </c>
      <c r="BM11" s="137">
        <v>0.63160000000000005</v>
      </c>
      <c r="BN11" s="137">
        <v>0.60750000000000004</v>
      </c>
      <c r="BO11" s="137">
        <v>0.69420000000000004</v>
      </c>
      <c r="BP11" s="137">
        <v>0.61339999999999995</v>
      </c>
      <c r="BQ11" s="137">
        <v>0.6431</v>
      </c>
      <c r="BR11" s="279" t="s">
        <v>427</v>
      </c>
      <c r="BS11" s="269">
        <v>124</v>
      </c>
      <c r="BT11" s="269">
        <v>123</v>
      </c>
      <c r="BU11" s="269">
        <v>0.64480000000000004</v>
      </c>
      <c r="BV11" s="269">
        <v>0.63300000000000001</v>
      </c>
      <c r="BW11" s="269">
        <v>0.61029999999999995</v>
      </c>
      <c r="BX11" s="269">
        <v>0.69430000000000003</v>
      </c>
      <c r="BY11" s="269">
        <v>0.61619999999999997</v>
      </c>
      <c r="BZ11" s="269">
        <v>0.64339999999999997</v>
      </c>
      <c r="CA11" s="357" t="s">
        <v>427</v>
      </c>
      <c r="CB11" s="355">
        <v>128</v>
      </c>
      <c r="CC11" s="355">
        <v>127</v>
      </c>
      <c r="CD11" s="355">
        <v>0.65310000000000001</v>
      </c>
      <c r="CE11" s="355">
        <v>0.61919999999999997</v>
      </c>
      <c r="CF11" s="355">
        <v>0.6079</v>
      </c>
      <c r="CG11" s="355">
        <v>0.69610000000000005</v>
      </c>
      <c r="CH11" s="355">
        <v>0.61770000000000003</v>
      </c>
      <c r="CI11" s="355">
        <v>0.64200000000000002</v>
      </c>
      <c r="CJ11" s="714"/>
      <c r="CK11" s="618"/>
      <c r="CL11" s="618"/>
      <c r="CM11" s="618"/>
      <c r="CN11" s="618"/>
      <c r="CO11" s="618"/>
      <c r="CP11" s="618"/>
      <c r="CQ11" s="618"/>
      <c r="CR11" s="622"/>
      <c r="CS11" s="564" t="s">
        <v>295</v>
      </c>
      <c r="CT11" s="564">
        <v>109</v>
      </c>
      <c r="CU11" s="564">
        <v>109</v>
      </c>
      <c r="CV11" s="585">
        <v>0.70120000000000005</v>
      </c>
      <c r="CW11" s="585">
        <v>0.64849999999999997</v>
      </c>
      <c r="CX11" s="585">
        <v>0.63319999999999999</v>
      </c>
      <c r="CY11" s="585">
        <v>0.7177</v>
      </c>
      <c r="CZ11" s="585">
        <v>0.65469999999999995</v>
      </c>
      <c r="DA11" s="585">
        <v>0.67359999999999998</v>
      </c>
      <c r="DB11" s="884" t="s">
        <v>295</v>
      </c>
      <c r="DC11" s="884">
        <v>97</v>
      </c>
      <c r="DD11" s="884">
        <v>95</v>
      </c>
      <c r="DE11" s="884">
        <v>0.73</v>
      </c>
      <c r="DF11" s="133">
        <v>0.69110000000000005</v>
      </c>
      <c r="DG11" s="133">
        <v>0.66559999999999997</v>
      </c>
      <c r="DH11" s="133">
        <v>0.73650000000000004</v>
      </c>
      <c r="DI11" s="133">
        <v>0.6855</v>
      </c>
      <c r="DJ11" s="133">
        <v>0.70420000000000005</v>
      </c>
    </row>
    <row r="12" spans="1:114" x14ac:dyDescent="0.25">
      <c r="A12" s="36" t="s">
        <v>181</v>
      </c>
      <c r="B12" s="668">
        <v>325754002057</v>
      </c>
      <c r="C12" s="134" t="s">
        <v>452</v>
      </c>
      <c r="D12" s="134" t="s">
        <v>307</v>
      </c>
      <c r="E12" s="134" t="s">
        <v>671</v>
      </c>
      <c r="F12" s="134" t="s">
        <v>123</v>
      </c>
      <c r="G12" s="134"/>
      <c r="H12" s="134"/>
      <c r="I12" s="134"/>
      <c r="J12" s="134"/>
      <c r="K12" s="134"/>
      <c r="L12" s="134"/>
      <c r="M12" s="134"/>
      <c r="N12" s="134"/>
      <c r="O12" s="134"/>
      <c r="P12" s="563"/>
      <c r="Q12" s="563"/>
      <c r="R12" s="563"/>
      <c r="S12" s="563"/>
      <c r="T12" s="563"/>
      <c r="U12" s="563"/>
      <c r="V12" s="563"/>
      <c r="W12" s="563"/>
      <c r="X12" s="563"/>
      <c r="Y12" s="134"/>
      <c r="Z12" s="134"/>
      <c r="AA12" s="134"/>
      <c r="AB12" s="137"/>
      <c r="AC12" s="137"/>
      <c r="AD12" s="137"/>
      <c r="AE12" s="137"/>
      <c r="AF12" s="137"/>
      <c r="AG12" s="137"/>
      <c r="AH12" s="156"/>
      <c r="AI12" s="134"/>
      <c r="AJ12" s="134"/>
      <c r="AK12" s="137"/>
      <c r="AL12" s="137"/>
      <c r="AM12" s="137"/>
      <c r="AN12" s="137"/>
      <c r="AO12" s="137"/>
      <c r="AP12" s="137"/>
      <c r="AQ12" s="139" t="s">
        <v>295</v>
      </c>
      <c r="AR12" s="134" t="s">
        <v>379</v>
      </c>
      <c r="AS12" s="134" t="s">
        <v>379</v>
      </c>
      <c r="AT12" s="137">
        <v>0.70820000000000005</v>
      </c>
      <c r="AU12" s="137">
        <v>0.72309999999999997</v>
      </c>
      <c r="AV12" s="137">
        <v>0.67430000000000001</v>
      </c>
      <c r="AW12" s="137">
        <v>0.72270000000000001</v>
      </c>
      <c r="AX12" s="137">
        <v>0.68</v>
      </c>
      <c r="AY12" s="137">
        <v>0.70499999999999996</v>
      </c>
      <c r="AZ12" s="138" t="s">
        <v>295</v>
      </c>
      <c r="BA12" s="134" t="s">
        <v>420</v>
      </c>
      <c r="BB12" s="134" t="s">
        <v>420</v>
      </c>
      <c r="BC12" s="137">
        <v>0.69469999999999998</v>
      </c>
      <c r="BD12" s="137">
        <v>0.69399999999999995</v>
      </c>
      <c r="BE12" s="137">
        <v>0.65769999999999995</v>
      </c>
      <c r="BF12" s="137">
        <v>0.70720000000000005</v>
      </c>
      <c r="BG12" s="137">
        <v>0.67130000000000001</v>
      </c>
      <c r="BH12" s="137">
        <v>0.68710000000000004</v>
      </c>
      <c r="BI12" s="135" t="s">
        <v>295</v>
      </c>
      <c r="BJ12" s="152">
        <v>56</v>
      </c>
      <c r="BK12" s="152">
        <v>55</v>
      </c>
      <c r="BL12" s="137">
        <v>0.68289999999999995</v>
      </c>
      <c r="BM12" s="137">
        <v>0.66830000000000001</v>
      </c>
      <c r="BN12" s="137">
        <v>0.64470000000000005</v>
      </c>
      <c r="BO12" s="137">
        <v>0.69230000000000003</v>
      </c>
      <c r="BP12" s="137">
        <v>0.66039999999999999</v>
      </c>
      <c r="BQ12" s="137">
        <v>0.67120000000000002</v>
      </c>
      <c r="BR12" s="691" t="s">
        <v>295</v>
      </c>
      <c r="BS12" s="269">
        <v>63</v>
      </c>
      <c r="BT12" s="269">
        <v>63</v>
      </c>
      <c r="BU12" s="269">
        <v>0.68440000000000001</v>
      </c>
      <c r="BV12" s="269">
        <v>0.6522</v>
      </c>
      <c r="BW12" s="269">
        <v>0.64629999999999999</v>
      </c>
      <c r="BX12" s="269">
        <v>0.70189999999999997</v>
      </c>
      <c r="BY12" s="269">
        <v>0.66779999999999995</v>
      </c>
      <c r="BZ12" s="269">
        <v>0.67090000000000005</v>
      </c>
      <c r="CA12" s="699" t="s">
        <v>295</v>
      </c>
      <c r="CB12" s="672">
        <v>61</v>
      </c>
      <c r="CC12" s="672">
        <v>61</v>
      </c>
      <c r="CD12" s="672">
        <v>0.70499999999999996</v>
      </c>
      <c r="CE12" s="672">
        <v>0.66020000000000001</v>
      </c>
      <c r="CF12" s="672">
        <v>0.66259999999999997</v>
      </c>
      <c r="CG12" s="672">
        <v>0.71870000000000001</v>
      </c>
      <c r="CH12" s="672">
        <v>0.69899999999999995</v>
      </c>
      <c r="CI12" s="672">
        <v>0.68759999999999999</v>
      </c>
      <c r="CJ12" s="715" t="s">
        <v>295</v>
      </c>
      <c r="CK12" s="620">
        <v>61</v>
      </c>
      <c r="CL12" s="620">
        <v>61</v>
      </c>
      <c r="CM12" s="620">
        <v>0.71599999999999997</v>
      </c>
      <c r="CN12" s="620">
        <v>0.68679999999999997</v>
      </c>
      <c r="CO12" s="620">
        <v>0.69399999999999995</v>
      </c>
      <c r="CP12" s="620">
        <v>0.74419999999999997</v>
      </c>
      <c r="CQ12" s="620">
        <v>0.72050000000000003</v>
      </c>
      <c r="CR12" s="711">
        <v>0.71099999999999997</v>
      </c>
      <c r="CS12" s="564" t="s">
        <v>295</v>
      </c>
      <c r="CT12" s="564">
        <v>60</v>
      </c>
      <c r="CU12" s="564">
        <v>60</v>
      </c>
      <c r="CV12" s="585">
        <v>0.71850000000000003</v>
      </c>
      <c r="CW12" s="585">
        <v>0.69550000000000001</v>
      </c>
      <c r="CX12" s="585">
        <v>0.69189999999999996</v>
      </c>
      <c r="CY12" s="585">
        <v>0.74450000000000005</v>
      </c>
      <c r="CZ12" s="585">
        <v>0.71850000000000003</v>
      </c>
      <c r="DA12" s="585">
        <v>0.71309999999999996</v>
      </c>
      <c r="DB12" s="884" t="s">
        <v>294</v>
      </c>
      <c r="DC12" s="884">
        <v>68</v>
      </c>
      <c r="DD12" s="884">
        <v>68</v>
      </c>
      <c r="DE12" s="884">
        <v>0.72250000000000003</v>
      </c>
      <c r="DF12" s="133">
        <v>0.71840000000000004</v>
      </c>
      <c r="DG12" s="133">
        <v>0.6976</v>
      </c>
      <c r="DH12" s="133">
        <v>0.75260000000000005</v>
      </c>
      <c r="DI12" s="133">
        <v>0.71599999999999997</v>
      </c>
      <c r="DJ12" s="133">
        <v>0.72230000000000005</v>
      </c>
    </row>
    <row r="13" spans="1:114" x14ac:dyDescent="0.25">
      <c r="A13" s="36" t="s">
        <v>163</v>
      </c>
      <c r="B13" s="877">
        <v>325754004599</v>
      </c>
      <c r="C13" s="429" t="s">
        <v>452</v>
      </c>
      <c r="D13" s="429" t="s">
        <v>307</v>
      </c>
      <c r="E13" s="134" t="s">
        <v>671</v>
      </c>
      <c r="F13" s="429" t="s">
        <v>123</v>
      </c>
      <c r="G13" s="429"/>
      <c r="H13" s="429"/>
      <c r="I13" s="429"/>
      <c r="J13" s="429"/>
      <c r="K13" s="429"/>
      <c r="L13" s="429"/>
      <c r="M13" s="429"/>
      <c r="N13" s="429"/>
      <c r="O13" s="429"/>
      <c r="P13" s="430" t="s">
        <v>443</v>
      </c>
      <c r="Q13" s="431" t="s">
        <v>446</v>
      </c>
      <c r="R13" s="431" t="s">
        <v>447</v>
      </c>
      <c r="S13" s="431">
        <v>0.59299999999999997</v>
      </c>
      <c r="T13" s="431">
        <v>0.63929999999999998</v>
      </c>
      <c r="U13" s="431">
        <v>0.59119999999999995</v>
      </c>
      <c r="V13" s="431">
        <v>0.58679999999999999</v>
      </c>
      <c r="W13" s="431">
        <v>0.61029999999999995</v>
      </c>
      <c r="X13" s="431">
        <v>0.60319999999999996</v>
      </c>
      <c r="Y13" s="432" t="s">
        <v>443</v>
      </c>
      <c r="Z13" s="429" t="s">
        <v>446</v>
      </c>
      <c r="AA13" s="429" t="s">
        <v>447</v>
      </c>
      <c r="AB13" s="433">
        <v>0.59299999999999997</v>
      </c>
      <c r="AC13" s="433">
        <v>0.63929999999999998</v>
      </c>
      <c r="AD13" s="433">
        <v>0.59119999999999995</v>
      </c>
      <c r="AE13" s="433">
        <v>0.58679999999999999</v>
      </c>
      <c r="AF13" s="433">
        <v>0.61029999999999995</v>
      </c>
      <c r="AG13" s="433">
        <v>0.60319999999999996</v>
      </c>
      <c r="AH13" s="434" t="s">
        <v>443</v>
      </c>
      <c r="AI13" s="429" t="s">
        <v>446</v>
      </c>
      <c r="AJ13" s="429" t="s">
        <v>447</v>
      </c>
      <c r="AK13" s="433">
        <v>0.59299999999999997</v>
      </c>
      <c r="AL13" s="433">
        <v>0.63929999999999998</v>
      </c>
      <c r="AM13" s="433">
        <v>0.59119999999999995</v>
      </c>
      <c r="AN13" s="433">
        <v>0.58679999999999999</v>
      </c>
      <c r="AO13" s="433">
        <v>0.61029999999999995</v>
      </c>
      <c r="AP13" s="433">
        <v>0.60319999999999996</v>
      </c>
      <c r="AQ13" s="435" t="s">
        <v>443</v>
      </c>
      <c r="AR13" s="429" t="s">
        <v>446</v>
      </c>
      <c r="AS13" s="429" t="s">
        <v>447</v>
      </c>
      <c r="AT13" s="433">
        <v>0.59299999999999997</v>
      </c>
      <c r="AU13" s="433">
        <v>0.63929999999999998</v>
      </c>
      <c r="AV13" s="433">
        <v>0.59119999999999995</v>
      </c>
      <c r="AW13" s="433">
        <v>0.58679999999999999</v>
      </c>
      <c r="AX13" s="433">
        <v>0.61029999999999995</v>
      </c>
      <c r="AY13" s="433">
        <v>0.60319999999999996</v>
      </c>
      <c r="AZ13" s="432" t="s">
        <v>443</v>
      </c>
      <c r="BA13" s="429" t="s">
        <v>446</v>
      </c>
      <c r="BB13" s="429" t="s">
        <v>447</v>
      </c>
      <c r="BC13" s="433">
        <v>0.59299999999999997</v>
      </c>
      <c r="BD13" s="433">
        <v>0.63929999999999998</v>
      </c>
      <c r="BE13" s="433">
        <v>0.59119999999999995</v>
      </c>
      <c r="BF13" s="433">
        <v>0.58679999999999999</v>
      </c>
      <c r="BG13" s="433">
        <v>0.61029999999999995</v>
      </c>
      <c r="BH13" s="433">
        <v>0.60319999999999996</v>
      </c>
      <c r="BI13" s="429"/>
      <c r="BJ13" s="436"/>
      <c r="BK13" s="436"/>
      <c r="BL13" s="433"/>
      <c r="BM13" s="433"/>
      <c r="BN13" s="433"/>
      <c r="BO13" s="433"/>
      <c r="BP13" s="433"/>
      <c r="BQ13" s="433"/>
      <c r="BS13" s="429"/>
      <c r="BT13" s="429"/>
      <c r="BU13" s="429"/>
      <c r="BV13" s="429"/>
      <c r="BW13" s="429"/>
      <c r="BX13" s="429"/>
      <c r="BY13" s="429"/>
      <c r="BZ13" s="429"/>
      <c r="CJ13" s="715" t="s">
        <v>295</v>
      </c>
      <c r="CK13" s="620">
        <v>16</v>
      </c>
      <c r="CL13" s="620">
        <v>16</v>
      </c>
      <c r="CM13" s="620">
        <v>0.71840000000000004</v>
      </c>
      <c r="CN13" s="620">
        <v>0.68730000000000002</v>
      </c>
      <c r="CO13" s="620">
        <v>0.69040000000000001</v>
      </c>
      <c r="CP13" s="620">
        <v>0.74760000000000004</v>
      </c>
      <c r="CQ13" s="620">
        <v>0.72770000000000001</v>
      </c>
      <c r="CR13" s="711">
        <v>0.71220000000000006</v>
      </c>
      <c r="CS13" s="564" t="s">
        <v>295</v>
      </c>
      <c r="CT13" s="564">
        <v>24</v>
      </c>
      <c r="CU13" s="564">
        <v>23</v>
      </c>
      <c r="CV13" s="585">
        <v>0.72150000000000003</v>
      </c>
      <c r="CW13" s="585">
        <v>0.69259999999999999</v>
      </c>
      <c r="CX13" s="585">
        <v>0.68820000000000003</v>
      </c>
      <c r="CY13" s="585">
        <v>0.7601</v>
      </c>
      <c r="CZ13" s="585">
        <v>0.74009999999999998</v>
      </c>
      <c r="DA13" s="585">
        <v>0.71750000000000003</v>
      </c>
      <c r="DB13" s="884" t="s">
        <v>295</v>
      </c>
      <c r="DC13" s="884">
        <v>32</v>
      </c>
      <c r="DD13" s="884">
        <v>31</v>
      </c>
      <c r="DE13" s="884">
        <v>0.71160000000000001</v>
      </c>
      <c r="DF13" s="133">
        <v>0.69099999999999995</v>
      </c>
      <c r="DG13" s="133">
        <v>0.68869999999999998</v>
      </c>
      <c r="DH13" s="133">
        <v>0.75690000000000002</v>
      </c>
      <c r="DI13" s="133">
        <v>0.73519999999999996</v>
      </c>
      <c r="DJ13" s="133">
        <v>0.71379999999999999</v>
      </c>
    </row>
    <row r="14" spans="1:114" ht="16.5" x14ac:dyDescent="0.3">
      <c r="A14" s="126" t="s">
        <v>104</v>
      </c>
      <c r="B14" s="873">
        <v>325754004980</v>
      </c>
      <c r="C14" s="134" t="s">
        <v>452</v>
      </c>
      <c r="D14" s="134" t="s">
        <v>307</v>
      </c>
      <c r="E14" s="134" t="s">
        <v>671</v>
      </c>
      <c r="F14" s="134" t="s">
        <v>123</v>
      </c>
      <c r="G14" s="134"/>
      <c r="H14" s="134"/>
      <c r="I14" s="134"/>
      <c r="J14" s="134"/>
      <c r="K14" s="134"/>
      <c r="L14" s="134"/>
      <c r="M14" s="134"/>
      <c r="N14" s="134"/>
      <c r="O14" s="134"/>
      <c r="P14" s="563"/>
      <c r="Q14" s="563"/>
      <c r="R14" s="563"/>
      <c r="S14" s="563"/>
      <c r="T14" s="563"/>
      <c r="U14" s="563"/>
      <c r="V14" s="563"/>
      <c r="W14" s="563"/>
      <c r="X14" s="563"/>
      <c r="Y14" s="134"/>
      <c r="Z14" s="134"/>
      <c r="AA14" s="134"/>
      <c r="AB14" s="137"/>
      <c r="AC14" s="137"/>
      <c r="AD14" s="137"/>
      <c r="AE14" s="137"/>
      <c r="AF14" s="137"/>
      <c r="AG14" s="137"/>
      <c r="AH14" s="156"/>
      <c r="AI14" s="134"/>
      <c r="AJ14" s="134"/>
      <c r="AK14" s="137"/>
      <c r="AL14" s="137"/>
      <c r="AM14" s="137"/>
      <c r="AN14" s="137"/>
      <c r="AO14" s="137"/>
      <c r="AP14" s="137"/>
      <c r="AQ14" s="134"/>
      <c r="AR14" s="134"/>
      <c r="AS14" s="134"/>
      <c r="AT14" s="137"/>
      <c r="AU14" s="137"/>
      <c r="AV14" s="137"/>
      <c r="AW14" s="137"/>
      <c r="AX14" s="137"/>
      <c r="AY14" s="137"/>
      <c r="AZ14" s="134"/>
      <c r="BA14" s="134"/>
      <c r="BB14" s="134"/>
      <c r="BC14" s="137"/>
      <c r="BD14" s="137"/>
      <c r="BE14" s="137"/>
      <c r="BF14" s="137"/>
      <c r="BG14" s="137"/>
      <c r="BH14" s="137"/>
      <c r="BI14" s="134"/>
      <c r="BJ14" s="134"/>
      <c r="BK14" s="134"/>
      <c r="BL14" s="137"/>
      <c r="BM14" s="137"/>
      <c r="BN14" s="137"/>
      <c r="BO14" s="137"/>
      <c r="BP14" s="137"/>
      <c r="BQ14" s="137"/>
      <c r="BR14" s="633"/>
      <c r="BS14" s="269"/>
      <c r="BT14" s="269"/>
      <c r="BU14" s="269"/>
      <c r="BV14" s="269"/>
      <c r="BW14" s="269"/>
      <c r="BX14" s="269"/>
      <c r="BY14" s="269"/>
      <c r="BZ14" s="269"/>
      <c r="CA14" s="344"/>
      <c r="CB14" s="344"/>
      <c r="CC14" s="344"/>
      <c r="CD14" s="344"/>
      <c r="CE14" s="344"/>
      <c r="CF14" s="344"/>
      <c r="CG14" s="344"/>
      <c r="CH14" s="344"/>
      <c r="CI14" s="344"/>
      <c r="CK14" s="618"/>
      <c r="CL14" s="618"/>
      <c r="CM14" s="618"/>
      <c r="CN14" s="618"/>
      <c r="CO14" s="618"/>
      <c r="CP14" s="618"/>
      <c r="CQ14" s="618"/>
      <c r="CR14" s="618"/>
      <c r="CS14" s="564" t="s">
        <v>443</v>
      </c>
      <c r="CT14" s="706">
        <v>10</v>
      </c>
      <c r="CU14" s="706">
        <v>9</v>
      </c>
      <c r="CV14" s="706">
        <v>0.59970000000000001</v>
      </c>
      <c r="CW14" s="706">
        <v>0.57730000000000004</v>
      </c>
      <c r="CX14" s="706">
        <v>0.61639999999999995</v>
      </c>
      <c r="CY14" s="706">
        <v>0.66820000000000002</v>
      </c>
      <c r="CZ14" s="706">
        <v>0.59450000000000003</v>
      </c>
      <c r="DA14" s="669">
        <v>0.61380000000000001</v>
      </c>
      <c r="DB14" s="884" t="s">
        <v>443</v>
      </c>
      <c r="DC14" s="884">
        <v>17</v>
      </c>
      <c r="DD14" s="884">
        <v>14</v>
      </c>
      <c r="DE14" s="884">
        <v>0.59419999999999995</v>
      </c>
      <c r="DF14" s="133">
        <v>0.57499999999999996</v>
      </c>
      <c r="DG14" s="133">
        <v>0.56369999999999998</v>
      </c>
      <c r="DH14" s="133">
        <v>0.64300000000000002</v>
      </c>
      <c r="DI14" s="133">
        <v>0.57450000000000001</v>
      </c>
      <c r="DJ14" s="133">
        <v>0.59250000000000003</v>
      </c>
    </row>
    <row r="15" spans="1:114" x14ac:dyDescent="0.25">
      <c r="A15" s="126" t="s">
        <v>797</v>
      </c>
      <c r="B15" s="878">
        <v>325754005561</v>
      </c>
      <c r="C15" s="166" t="s">
        <v>452</v>
      </c>
      <c r="D15" s="134" t="s">
        <v>123</v>
      </c>
      <c r="E15" s="134" t="s">
        <v>671</v>
      </c>
      <c r="F15" s="134" t="s">
        <v>123</v>
      </c>
      <c r="G15" s="134"/>
      <c r="H15" s="134"/>
      <c r="I15" s="134"/>
      <c r="J15" s="134"/>
      <c r="K15" s="134"/>
      <c r="L15" s="134"/>
      <c r="M15" s="134"/>
      <c r="N15" s="134"/>
      <c r="O15" s="134"/>
      <c r="P15" s="176"/>
      <c r="Q15" s="174"/>
      <c r="R15" s="174"/>
      <c r="S15" s="174"/>
      <c r="T15" s="174"/>
      <c r="U15" s="174"/>
      <c r="V15" s="174"/>
      <c r="W15" s="174"/>
      <c r="X15" s="174"/>
      <c r="Y15" s="143"/>
      <c r="Z15" s="134"/>
      <c r="AA15" s="134"/>
      <c r="AB15" s="137"/>
      <c r="AC15" s="137"/>
      <c r="AD15" s="137"/>
      <c r="AE15" s="137"/>
      <c r="AF15" s="137"/>
      <c r="AG15" s="137"/>
      <c r="AH15" s="157"/>
      <c r="AI15" s="134"/>
      <c r="AJ15" s="134"/>
      <c r="AK15" s="137"/>
      <c r="AL15" s="137"/>
      <c r="AM15" s="137"/>
      <c r="AN15" s="137"/>
      <c r="AO15" s="137"/>
      <c r="AP15" s="137"/>
      <c r="AQ15" s="144"/>
      <c r="AR15" s="134"/>
      <c r="AS15" s="134"/>
      <c r="AT15" s="137"/>
      <c r="AU15" s="137"/>
      <c r="AV15" s="137"/>
      <c r="AW15" s="137"/>
      <c r="AX15" s="137"/>
      <c r="AY15" s="137"/>
      <c r="AZ15" s="143"/>
      <c r="BA15" s="134"/>
      <c r="BB15" s="134"/>
      <c r="BC15" s="137"/>
      <c r="BD15" s="137"/>
      <c r="BE15" s="137"/>
      <c r="BF15" s="137"/>
      <c r="BG15" s="137"/>
      <c r="BH15" s="137"/>
      <c r="BI15" s="134"/>
      <c r="BJ15" s="152"/>
      <c r="BK15" s="152"/>
      <c r="BL15" s="137"/>
      <c r="BM15" s="137"/>
      <c r="BN15" s="137"/>
      <c r="BO15" s="137"/>
      <c r="BP15" s="137"/>
      <c r="BQ15" s="137"/>
      <c r="BS15" s="269"/>
      <c r="BT15" s="269"/>
      <c r="BU15" s="269"/>
      <c r="BV15" s="269"/>
      <c r="BW15" s="269"/>
      <c r="BX15" s="269"/>
      <c r="BY15" s="269"/>
      <c r="BZ15" s="269"/>
      <c r="CJ15" s="703" t="s">
        <v>294</v>
      </c>
      <c r="CK15" s="620">
        <v>10</v>
      </c>
      <c r="CL15" s="620">
        <v>10</v>
      </c>
      <c r="CM15" s="620">
        <v>0.73629999999999995</v>
      </c>
      <c r="CN15" s="620">
        <v>0.71040000000000003</v>
      </c>
      <c r="CO15" s="620">
        <v>0.70209999999999995</v>
      </c>
      <c r="CP15" s="620">
        <v>0.75519999999999998</v>
      </c>
      <c r="CQ15" s="620">
        <v>0.75949999999999995</v>
      </c>
      <c r="CR15" s="711">
        <v>0.72860000000000003</v>
      </c>
      <c r="CS15" s="563"/>
      <c r="CT15" s="582"/>
      <c r="CU15" s="582"/>
      <c r="CV15" s="586"/>
      <c r="CW15" s="586"/>
      <c r="CX15" s="586"/>
      <c r="CY15" s="586"/>
      <c r="CZ15" s="586"/>
      <c r="DA15" s="586"/>
      <c r="DB15" s="884" t="s">
        <v>294</v>
      </c>
      <c r="DC15" s="884">
        <v>16</v>
      </c>
      <c r="DD15" s="884">
        <v>16</v>
      </c>
      <c r="DE15" s="884">
        <v>0.75519999999999998</v>
      </c>
      <c r="DF15" s="133">
        <v>0.7389</v>
      </c>
      <c r="DG15" s="133">
        <v>0.72709999999999997</v>
      </c>
      <c r="DH15" s="133">
        <v>0.77449999999999997</v>
      </c>
      <c r="DI15" s="133">
        <v>0.79869999999999997</v>
      </c>
      <c r="DJ15" s="133">
        <v>0.75270000000000004</v>
      </c>
    </row>
    <row r="16" spans="1:114" x14ac:dyDescent="0.25">
      <c r="A16" s="36" t="s">
        <v>40</v>
      </c>
      <c r="B16" s="668">
        <v>325754004513</v>
      </c>
      <c r="C16" s="134" t="s">
        <v>452</v>
      </c>
      <c r="D16" s="134" t="s">
        <v>307</v>
      </c>
      <c r="E16" s="134" t="s">
        <v>671</v>
      </c>
      <c r="F16" s="134" t="s">
        <v>123</v>
      </c>
      <c r="G16" s="167" t="s">
        <v>427</v>
      </c>
      <c r="H16" s="166">
        <v>51</v>
      </c>
      <c r="I16" s="166">
        <v>48</v>
      </c>
      <c r="J16" s="166">
        <v>0.63270000000000004</v>
      </c>
      <c r="K16" s="166">
        <v>0.63870000000000005</v>
      </c>
      <c r="L16" s="166">
        <v>0.65580000000000005</v>
      </c>
      <c r="M16" s="166">
        <v>0.65390000000000004</v>
      </c>
      <c r="N16" s="166">
        <v>0.62409999999999999</v>
      </c>
      <c r="O16" s="166">
        <v>0.64359999999999995</v>
      </c>
      <c r="P16" s="175" t="s">
        <v>427</v>
      </c>
      <c r="Q16" s="174" t="s">
        <v>50</v>
      </c>
      <c r="R16" s="174" t="s">
        <v>431</v>
      </c>
      <c r="S16" s="174">
        <v>0.61460000000000004</v>
      </c>
      <c r="T16" s="174">
        <v>0.61629999999999996</v>
      </c>
      <c r="U16" s="174">
        <v>0.62229999999999996</v>
      </c>
      <c r="V16" s="174">
        <v>0.63080000000000003</v>
      </c>
      <c r="W16" s="174">
        <v>0.61599999999999999</v>
      </c>
      <c r="X16" s="174">
        <v>0.62060000000000004</v>
      </c>
      <c r="Y16" s="141" t="s">
        <v>427</v>
      </c>
      <c r="Z16" s="134" t="s">
        <v>454</v>
      </c>
      <c r="AA16" s="134" t="s">
        <v>91</v>
      </c>
      <c r="AB16" s="137">
        <v>0.61860000000000004</v>
      </c>
      <c r="AC16" s="137">
        <v>0.63149999999999995</v>
      </c>
      <c r="AD16" s="137">
        <v>0.61250000000000004</v>
      </c>
      <c r="AE16" s="137">
        <v>0.63770000000000004</v>
      </c>
      <c r="AF16" s="137">
        <v>0.64029999999999998</v>
      </c>
      <c r="AG16" s="137">
        <v>0.62629999999999997</v>
      </c>
      <c r="AH16" s="155" t="s">
        <v>427</v>
      </c>
      <c r="AI16" s="134" t="s">
        <v>525</v>
      </c>
      <c r="AJ16" s="134" t="s">
        <v>526</v>
      </c>
      <c r="AK16" s="137">
        <v>0.60780000000000001</v>
      </c>
      <c r="AL16" s="137">
        <v>0.63390000000000002</v>
      </c>
      <c r="AM16" s="137">
        <v>0.60580000000000001</v>
      </c>
      <c r="AN16" s="137">
        <v>0.67279999999999995</v>
      </c>
      <c r="AO16" s="137">
        <v>0.64729999999999999</v>
      </c>
      <c r="AP16" s="137">
        <v>0.63139999999999996</v>
      </c>
      <c r="AQ16" s="139" t="s">
        <v>295</v>
      </c>
      <c r="AR16" s="134" t="s">
        <v>400</v>
      </c>
      <c r="AS16" s="134" t="s">
        <v>401</v>
      </c>
      <c r="AT16" s="137">
        <v>0.64280000000000004</v>
      </c>
      <c r="AU16" s="137">
        <v>0.70909999999999995</v>
      </c>
      <c r="AV16" s="137">
        <v>0.67120000000000002</v>
      </c>
      <c r="AW16" s="137">
        <v>0.74129999999999996</v>
      </c>
      <c r="AX16" s="137">
        <v>0.70240000000000002</v>
      </c>
      <c r="AY16" s="137">
        <v>0.69199999999999995</v>
      </c>
      <c r="AZ16" s="145" t="s">
        <v>294</v>
      </c>
      <c r="BA16" s="134" t="s">
        <v>400</v>
      </c>
      <c r="BB16" s="134" t="s">
        <v>400</v>
      </c>
      <c r="BC16" s="137">
        <v>0.70920000000000005</v>
      </c>
      <c r="BD16" s="137">
        <v>0.73380000000000001</v>
      </c>
      <c r="BE16" s="137">
        <v>0.71120000000000005</v>
      </c>
      <c r="BF16" s="137">
        <v>0.77829999999999999</v>
      </c>
      <c r="BG16" s="137">
        <v>0.72470000000000001</v>
      </c>
      <c r="BH16" s="137">
        <v>0.73250000000000004</v>
      </c>
      <c r="BI16" s="135" t="s">
        <v>295</v>
      </c>
      <c r="BJ16" s="152">
        <v>33</v>
      </c>
      <c r="BK16" s="152">
        <v>33</v>
      </c>
      <c r="BL16" s="137">
        <v>0.69230000000000003</v>
      </c>
      <c r="BM16" s="137">
        <v>0.69820000000000004</v>
      </c>
      <c r="BN16" s="137">
        <v>0.68169999999999997</v>
      </c>
      <c r="BO16" s="137">
        <v>0.74570000000000003</v>
      </c>
      <c r="BP16" s="137">
        <v>0.71240000000000003</v>
      </c>
      <c r="BQ16" s="137">
        <v>0.70509999999999995</v>
      </c>
      <c r="BR16" s="277" t="s">
        <v>295</v>
      </c>
      <c r="BS16" s="270">
        <v>45</v>
      </c>
      <c r="BT16" s="270">
        <v>44</v>
      </c>
      <c r="BU16" s="270">
        <v>0.6895</v>
      </c>
      <c r="BV16" s="270">
        <v>0.68179999999999996</v>
      </c>
      <c r="BW16" s="270">
        <v>0.69640000000000002</v>
      </c>
      <c r="BX16" s="270">
        <v>0.73729999999999996</v>
      </c>
      <c r="BY16" s="270">
        <v>0.69540000000000002</v>
      </c>
      <c r="BZ16" s="270">
        <v>0.70079999999999998</v>
      </c>
      <c r="CA16" s="699" t="s">
        <v>295</v>
      </c>
      <c r="CB16" s="672" t="s">
        <v>519</v>
      </c>
      <c r="CC16" s="672" t="s">
        <v>311</v>
      </c>
      <c r="CD16" s="672">
        <v>0.68200000000000005</v>
      </c>
      <c r="CE16" s="672">
        <v>0.66890000000000005</v>
      </c>
      <c r="CF16" s="672">
        <v>0.66990000000000005</v>
      </c>
      <c r="CG16" s="672">
        <v>0.72060000000000002</v>
      </c>
      <c r="CH16" s="672">
        <v>0.67779999999999996</v>
      </c>
      <c r="CI16" s="672">
        <v>0.68469999999999998</v>
      </c>
      <c r="CK16" s="618"/>
      <c r="CL16" s="618"/>
      <c r="CM16" s="618"/>
      <c r="CN16" s="618"/>
      <c r="CO16" s="618"/>
      <c r="CP16" s="618"/>
      <c r="CQ16" s="618"/>
      <c r="CR16" s="622"/>
      <c r="CS16" s="564" t="s">
        <v>427</v>
      </c>
      <c r="CT16" s="564">
        <v>78</v>
      </c>
      <c r="CU16" s="564">
        <v>74</v>
      </c>
      <c r="CV16" s="585">
        <v>0.66839999999999999</v>
      </c>
      <c r="CW16" s="585">
        <v>0.65169999999999995</v>
      </c>
      <c r="CX16" s="585">
        <v>0.62960000000000005</v>
      </c>
      <c r="CY16" s="585">
        <v>0.69240000000000002</v>
      </c>
      <c r="CZ16" s="585">
        <v>0.64480000000000004</v>
      </c>
      <c r="DA16" s="585">
        <v>0.6593</v>
      </c>
      <c r="DB16" s="884" t="s">
        <v>427</v>
      </c>
      <c r="DC16" s="884">
        <v>80</v>
      </c>
      <c r="DD16" s="884">
        <v>77</v>
      </c>
      <c r="DE16" s="884">
        <v>0.67300000000000004</v>
      </c>
      <c r="DF16" s="133">
        <v>0.66239999999999999</v>
      </c>
      <c r="DG16" s="133">
        <v>0.63390000000000002</v>
      </c>
      <c r="DH16" s="133">
        <v>0.69169999999999998</v>
      </c>
      <c r="DI16" s="133">
        <v>0.64559999999999995</v>
      </c>
      <c r="DJ16" s="133">
        <v>0.66369999999999996</v>
      </c>
    </row>
    <row r="17" spans="1:114" x14ac:dyDescent="0.25">
      <c r="A17" s="36" t="s">
        <v>31</v>
      </c>
      <c r="B17" s="668">
        <v>325754000062</v>
      </c>
      <c r="C17" s="134" t="s">
        <v>452</v>
      </c>
      <c r="D17" s="134" t="s">
        <v>307</v>
      </c>
      <c r="E17" s="134" t="s">
        <v>671</v>
      </c>
      <c r="F17" s="134" t="s">
        <v>123</v>
      </c>
      <c r="G17" s="167" t="s">
        <v>427</v>
      </c>
      <c r="H17" s="166">
        <v>48</v>
      </c>
      <c r="I17" s="166">
        <v>47</v>
      </c>
      <c r="J17" s="166">
        <v>0.64610000000000001</v>
      </c>
      <c r="K17" s="166">
        <v>0.64419999999999999</v>
      </c>
      <c r="L17" s="166">
        <v>0.66759999999999997</v>
      </c>
      <c r="M17" s="166">
        <v>0.65890000000000004</v>
      </c>
      <c r="N17" s="166">
        <v>0.67510000000000003</v>
      </c>
      <c r="O17" s="166">
        <v>0.65580000000000005</v>
      </c>
      <c r="P17" s="629" t="s">
        <v>427</v>
      </c>
      <c r="Q17" s="166" t="s">
        <v>353</v>
      </c>
      <c r="R17" s="166" t="s">
        <v>454</v>
      </c>
      <c r="S17" s="166">
        <v>0.64659999999999995</v>
      </c>
      <c r="T17" s="166">
        <v>0.63839999999999997</v>
      </c>
      <c r="U17" s="166">
        <v>0.64510000000000001</v>
      </c>
      <c r="V17" s="166">
        <v>0.64100000000000001</v>
      </c>
      <c r="W17" s="166">
        <v>0.65990000000000004</v>
      </c>
      <c r="X17" s="166">
        <v>0.64410000000000001</v>
      </c>
      <c r="Y17" s="141" t="s">
        <v>427</v>
      </c>
      <c r="Z17" s="134" t="s">
        <v>91</v>
      </c>
      <c r="AA17" s="134" t="s">
        <v>82</v>
      </c>
      <c r="AB17" s="137">
        <v>0.66569999999999996</v>
      </c>
      <c r="AC17" s="137">
        <v>0.65200000000000002</v>
      </c>
      <c r="AD17" s="137">
        <v>0.64119999999999999</v>
      </c>
      <c r="AE17" s="137">
        <v>0.65890000000000004</v>
      </c>
      <c r="AF17" s="137">
        <v>0.67149999999999999</v>
      </c>
      <c r="AG17" s="137">
        <v>0.65569999999999995</v>
      </c>
      <c r="AH17" s="155" t="s">
        <v>427</v>
      </c>
      <c r="AI17" s="134" t="s">
        <v>91</v>
      </c>
      <c r="AJ17" s="134" t="s">
        <v>82</v>
      </c>
      <c r="AK17" s="137">
        <v>0.66569999999999996</v>
      </c>
      <c r="AL17" s="137">
        <v>0.65200000000000002</v>
      </c>
      <c r="AM17" s="137">
        <v>0.64119999999999999</v>
      </c>
      <c r="AN17" s="137">
        <v>0.65890000000000004</v>
      </c>
      <c r="AO17" s="137">
        <v>0.67149999999999999</v>
      </c>
      <c r="AP17" s="137">
        <v>0.65569999999999995</v>
      </c>
      <c r="AQ17" s="142" t="s">
        <v>427</v>
      </c>
      <c r="AR17" s="134" t="s">
        <v>91</v>
      </c>
      <c r="AS17" s="134" t="s">
        <v>82</v>
      </c>
      <c r="AT17" s="137">
        <v>0.66569999999999996</v>
      </c>
      <c r="AU17" s="137">
        <v>0.65200000000000002</v>
      </c>
      <c r="AV17" s="137">
        <v>0.64119999999999999</v>
      </c>
      <c r="AW17" s="137">
        <v>0.65890000000000004</v>
      </c>
      <c r="AX17" s="137">
        <v>0.67149999999999999</v>
      </c>
      <c r="AY17" s="137">
        <v>0.65569999999999995</v>
      </c>
      <c r="AZ17" s="141" t="s">
        <v>427</v>
      </c>
      <c r="BA17" s="134" t="s">
        <v>91</v>
      </c>
      <c r="BB17" s="134" t="s">
        <v>82</v>
      </c>
      <c r="BC17" s="137">
        <v>0.66569999999999996</v>
      </c>
      <c r="BD17" s="137">
        <v>0.65200000000000002</v>
      </c>
      <c r="BE17" s="137">
        <v>0.64119999999999999</v>
      </c>
      <c r="BF17" s="137">
        <v>0.65890000000000004</v>
      </c>
      <c r="BG17" s="137">
        <v>0.67149999999999999</v>
      </c>
      <c r="BH17" s="137">
        <v>0.65569999999999995</v>
      </c>
      <c r="BI17" s="140" t="s">
        <v>427</v>
      </c>
      <c r="BJ17" s="152">
        <v>40</v>
      </c>
      <c r="BK17" s="152">
        <v>38</v>
      </c>
      <c r="BL17" s="137">
        <v>0.66569999999999996</v>
      </c>
      <c r="BM17" s="137">
        <v>0.65200000000000002</v>
      </c>
      <c r="BN17" s="137">
        <v>0.64119999999999999</v>
      </c>
      <c r="BO17" s="137">
        <v>0.65890000000000004</v>
      </c>
      <c r="BP17" s="137">
        <v>0.67149999999999999</v>
      </c>
      <c r="BQ17" s="137">
        <v>0.65569999999999995</v>
      </c>
      <c r="BR17" s="633"/>
      <c r="BS17" s="269"/>
      <c r="BT17" s="269"/>
      <c r="BU17" s="269"/>
      <c r="BV17" s="269"/>
      <c r="BW17" s="269"/>
      <c r="BX17" s="269"/>
      <c r="BY17" s="269"/>
      <c r="BZ17" s="269"/>
      <c r="CA17" s="344"/>
      <c r="CB17" s="344"/>
      <c r="CC17" s="344"/>
      <c r="CD17" s="344"/>
      <c r="CE17" s="344"/>
      <c r="CF17" s="344"/>
      <c r="CG17" s="344"/>
      <c r="CH17" s="344"/>
      <c r="CI17" s="344"/>
      <c r="CJ17" s="714"/>
      <c r="CK17" s="618"/>
      <c r="CL17" s="618"/>
      <c r="CM17" s="618"/>
      <c r="CN17" s="618"/>
      <c r="CO17" s="618"/>
      <c r="CP17" s="618"/>
      <c r="CQ17" s="618"/>
      <c r="CR17" s="622"/>
      <c r="CS17" s="563"/>
      <c r="CT17" s="582"/>
      <c r="CU17" s="582"/>
      <c r="CV17" s="586"/>
      <c r="CW17" s="586"/>
      <c r="CX17" s="586"/>
      <c r="CY17" s="586"/>
      <c r="CZ17" s="586"/>
      <c r="DA17" s="586"/>
      <c r="DB17" s="884"/>
      <c r="DC17" s="884"/>
      <c r="DD17" s="884"/>
      <c r="DE17" s="884"/>
    </row>
    <row r="18" spans="1:114" x14ac:dyDescent="0.25">
      <c r="A18" s="36" t="s">
        <v>43</v>
      </c>
      <c r="B18" s="668">
        <v>325754000160</v>
      </c>
      <c r="C18" s="134" t="s">
        <v>452</v>
      </c>
      <c r="D18" s="134" t="s">
        <v>307</v>
      </c>
      <c r="E18" s="134" t="s">
        <v>671</v>
      </c>
      <c r="F18" s="134" t="s">
        <v>123</v>
      </c>
      <c r="G18" s="167" t="s">
        <v>427</v>
      </c>
      <c r="H18" s="166">
        <v>54</v>
      </c>
      <c r="I18" s="166">
        <v>54</v>
      </c>
      <c r="J18" s="166">
        <v>0.64249999999999996</v>
      </c>
      <c r="K18" s="166">
        <v>0.64390000000000003</v>
      </c>
      <c r="L18" s="166">
        <v>0.65990000000000004</v>
      </c>
      <c r="M18" s="166">
        <v>0.64510000000000001</v>
      </c>
      <c r="N18" s="166">
        <v>0.624</v>
      </c>
      <c r="O18" s="166">
        <v>0.64600000000000002</v>
      </c>
      <c r="P18" s="629" t="s">
        <v>427</v>
      </c>
      <c r="Q18" s="166" t="s">
        <v>370</v>
      </c>
      <c r="R18" s="166" t="s">
        <v>370</v>
      </c>
      <c r="S18" s="166">
        <v>0.61650000000000005</v>
      </c>
      <c r="T18" s="166">
        <v>0.6321</v>
      </c>
      <c r="U18" s="166">
        <v>0.66059999999999997</v>
      </c>
      <c r="V18" s="166">
        <v>0.65820000000000001</v>
      </c>
      <c r="W18" s="166">
        <v>0.63439999999999996</v>
      </c>
      <c r="X18" s="166">
        <v>0.64129999999999998</v>
      </c>
      <c r="Y18" s="141" t="s">
        <v>427</v>
      </c>
      <c r="Z18" s="134" t="s">
        <v>82</v>
      </c>
      <c r="AA18" s="134" t="s">
        <v>82</v>
      </c>
      <c r="AB18" s="137">
        <v>0.60270000000000001</v>
      </c>
      <c r="AC18" s="137">
        <v>0.63649999999999995</v>
      </c>
      <c r="AD18" s="137">
        <v>0.629</v>
      </c>
      <c r="AE18" s="137">
        <v>0.67020000000000002</v>
      </c>
      <c r="AF18" s="137">
        <v>0.66420000000000001</v>
      </c>
      <c r="AG18" s="137">
        <v>0.63680000000000003</v>
      </c>
      <c r="AH18" s="155" t="s">
        <v>427</v>
      </c>
      <c r="AI18" s="134" t="s">
        <v>82</v>
      </c>
      <c r="AJ18" s="134" t="s">
        <v>82</v>
      </c>
      <c r="AK18" s="137">
        <v>0.60270000000000001</v>
      </c>
      <c r="AL18" s="137">
        <v>0.63649999999999995</v>
      </c>
      <c r="AM18" s="137">
        <v>0.629</v>
      </c>
      <c r="AN18" s="137">
        <v>0.67020000000000002</v>
      </c>
      <c r="AO18" s="137">
        <v>0.66420000000000001</v>
      </c>
      <c r="AP18" s="137">
        <v>0.63680000000000003</v>
      </c>
      <c r="AQ18" s="144" t="s">
        <v>443</v>
      </c>
      <c r="AR18" s="134" t="s">
        <v>439</v>
      </c>
      <c r="AS18" s="134" t="s">
        <v>429</v>
      </c>
      <c r="AT18" s="137">
        <v>0.61329999999999996</v>
      </c>
      <c r="AU18" s="137">
        <v>0.62970000000000004</v>
      </c>
      <c r="AV18" s="137">
        <v>0.55689999999999995</v>
      </c>
      <c r="AW18" s="137">
        <v>0.64870000000000005</v>
      </c>
      <c r="AX18" s="137">
        <v>0.68479999999999996</v>
      </c>
      <c r="AY18" s="137">
        <v>0.61770000000000003</v>
      </c>
      <c r="AZ18" s="690" t="s">
        <v>427</v>
      </c>
      <c r="BA18" s="133" t="s">
        <v>417</v>
      </c>
      <c r="BB18" s="133" t="s">
        <v>439</v>
      </c>
      <c r="BC18" s="163">
        <v>0.64770000000000005</v>
      </c>
      <c r="BD18" s="163">
        <v>0.625</v>
      </c>
      <c r="BE18" s="163">
        <v>0.55659999999999998</v>
      </c>
      <c r="BF18" s="163">
        <v>0.69620000000000004</v>
      </c>
      <c r="BG18" s="163">
        <v>0.69240000000000002</v>
      </c>
      <c r="BH18" s="163">
        <v>0.6361</v>
      </c>
      <c r="BI18" s="140" t="s">
        <v>427</v>
      </c>
      <c r="BJ18" s="152">
        <v>30</v>
      </c>
      <c r="BK18" s="152">
        <v>26</v>
      </c>
      <c r="BL18" s="137">
        <v>0.65900000000000003</v>
      </c>
      <c r="BM18" s="137">
        <v>0.63329999999999997</v>
      </c>
      <c r="BN18" s="137">
        <v>0.58950000000000002</v>
      </c>
      <c r="BO18" s="137">
        <v>0.7006</v>
      </c>
      <c r="BP18" s="137">
        <v>0.67779999999999996</v>
      </c>
      <c r="BQ18" s="137">
        <v>0.64810000000000001</v>
      </c>
      <c r="BR18" s="277" t="s">
        <v>295</v>
      </c>
      <c r="BS18" s="270">
        <v>31</v>
      </c>
      <c r="BT18" s="270">
        <v>31</v>
      </c>
      <c r="BU18" s="270">
        <v>0.68240000000000001</v>
      </c>
      <c r="BV18" s="270">
        <v>0.65600000000000003</v>
      </c>
      <c r="BW18" s="270">
        <v>0.64929999999999999</v>
      </c>
      <c r="BX18" s="270">
        <v>0.73729999999999996</v>
      </c>
      <c r="BY18" s="270">
        <v>0.67320000000000002</v>
      </c>
      <c r="BZ18" s="270">
        <v>0.68069999999999997</v>
      </c>
      <c r="CA18" s="344"/>
      <c r="CB18" s="344"/>
      <c r="CC18" s="344"/>
      <c r="CD18" s="344"/>
      <c r="CE18" s="344"/>
      <c r="CF18" s="344"/>
      <c r="CG18" s="344"/>
      <c r="CH18" s="344"/>
      <c r="CI18" s="344"/>
      <c r="CJ18" s="714"/>
      <c r="CK18" s="618"/>
      <c r="CL18" s="618"/>
      <c r="CM18" s="618"/>
      <c r="CN18" s="618"/>
      <c r="CO18" s="618"/>
      <c r="CP18" s="618"/>
      <c r="CQ18" s="618"/>
      <c r="CR18" s="622"/>
      <c r="CS18" s="564" t="s">
        <v>294</v>
      </c>
      <c r="CT18" s="564">
        <v>20</v>
      </c>
      <c r="CU18" s="564">
        <v>20</v>
      </c>
      <c r="CV18" s="585">
        <v>0.72860000000000003</v>
      </c>
      <c r="CW18" s="585">
        <v>0.7137</v>
      </c>
      <c r="CX18" s="585">
        <v>0.72319999999999995</v>
      </c>
      <c r="CY18" s="585">
        <v>0.79279999999999995</v>
      </c>
      <c r="CZ18" s="585">
        <v>0.75960000000000005</v>
      </c>
      <c r="DA18" s="585">
        <v>0.74109999999999998</v>
      </c>
      <c r="DB18" s="884" t="s">
        <v>295</v>
      </c>
      <c r="DC18" s="884">
        <v>28</v>
      </c>
      <c r="DD18" s="884">
        <v>27</v>
      </c>
      <c r="DE18" s="884">
        <v>0.7127</v>
      </c>
      <c r="DF18" s="133">
        <v>0.68069999999999997</v>
      </c>
      <c r="DG18" s="133">
        <v>0.68659999999999999</v>
      </c>
      <c r="DH18" s="133">
        <v>0.74790000000000001</v>
      </c>
      <c r="DI18" s="133">
        <v>0.72760000000000002</v>
      </c>
      <c r="DJ18" s="133">
        <v>0.70850000000000002</v>
      </c>
    </row>
    <row r="19" spans="1:114" x14ac:dyDescent="0.25">
      <c r="A19" s="36" t="s">
        <v>164</v>
      </c>
      <c r="B19" s="668">
        <v>325754003363</v>
      </c>
      <c r="C19" s="134" t="s">
        <v>452</v>
      </c>
      <c r="D19" s="134" t="s">
        <v>307</v>
      </c>
      <c r="E19" s="134" t="s">
        <v>671</v>
      </c>
      <c r="F19" s="134" t="s">
        <v>123</v>
      </c>
      <c r="G19" s="134"/>
      <c r="H19" s="134"/>
      <c r="I19" s="134"/>
      <c r="J19" s="134"/>
      <c r="K19" s="134"/>
      <c r="L19" s="134"/>
      <c r="M19" s="134"/>
      <c r="N19" s="134"/>
      <c r="O19" s="134"/>
      <c r="P19" s="563"/>
      <c r="Q19" s="563"/>
      <c r="R19" s="563"/>
      <c r="S19" s="563"/>
      <c r="T19" s="563"/>
      <c r="U19" s="563"/>
      <c r="V19" s="563"/>
      <c r="W19" s="563"/>
      <c r="X19" s="563"/>
      <c r="Y19" s="134"/>
      <c r="Z19" s="134"/>
      <c r="AA19" s="134"/>
      <c r="AB19" s="137"/>
      <c r="AC19" s="137"/>
      <c r="AD19" s="137"/>
      <c r="AE19" s="137"/>
      <c r="AF19" s="137"/>
      <c r="AG19" s="137"/>
      <c r="AH19" s="156"/>
      <c r="AI19" s="134"/>
      <c r="AJ19" s="134"/>
      <c r="AK19" s="137"/>
      <c r="AL19" s="137"/>
      <c r="AM19" s="137"/>
      <c r="AN19" s="137"/>
      <c r="AO19" s="137"/>
      <c r="AP19" s="137"/>
      <c r="AQ19" s="134"/>
      <c r="AR19" s="134"/>
      <c r="AS19" s="134"/>
      <c r="AT19" s="137"/>
      <c r="AU19" s="137"/>
      <c r="AV19" s="137"/>
      <c r="AW19" s="137"/>
      <c r="AX19" s="137"/>
      <c r="AY19" s="137"/>
      <c r="AZ19" s="134"/>
      <c r="BA19" s="134"/>
      <c r="BB19" s="134"/>
      <c r="BC19" s="137"/>
      <c r="BD19" s="137"/>
      <c r="BE19" s="137"/>
      <c r="BF19" s="137"/>
      <c r="BG19" s="137"/>
      <c r="BH19" s="137"/>
      <c r="BI19" s="140" t="s">
        <v>427</v>
      </c>
      <c r="BJ19" s="152">
        <v>26</v>
      </c>
      <c r="BK19" s="152">
        <v>25</v>
      </c>
      <c r="BL19" s="137">
        <v>0.67859999999999998</v>
      </c>
      <c r="BM19" s="137">
        <v>0.62080000000000002</v>
      </c>
      <c r="BN19" s="137">
        <v>0.65090000000000003</v>
      </c>
      <c r="BO19" s="137">
        <v>0.68110000000000004</v>
      </c>
      <c r="BP19" s="137">
        <v>0.60899999999999999</v>
      </c>
      <c r="BQ19" s="137">
        <v>0.65410000000000001</v>
      </c>
      <c r="BR19" s="277" t="s">
        <v>295</v>
      </c>
      <c r="BS19" s="270">
        <v>51</v>
      </c>
      <c r="BT19" s="270">
        <v>51</v>
      </c>
      <c r="BU19" s="270">
        <v>0.69830000000000003</v>
      </c>
      <c r="BV19" s="270">
        <v>0.65680000000000005</v>
      </c>
      <c r="BW19" s="270">
        <v>0.67710000000000004</v>
      </c>
      <c r="BX19" s="270">
        <v>0.72299999999999998</v>
      </c>
      <c r="BY19" s="270">
        <v>0.65739999999999998</v>
      </c>
      <c r="BZ19" s="270">
        <v>0.68640000000000001</v>
      </c>
      <c r="CA19" s="357" t="s">
        <v>427</v>
      </c>
      <c r="CB19" s="355" t="s">
        <v>337</v>
      </c>
      <c r="CC19" s="355" t="s">
        <v>337</v>
      </c>
      <c r="CD19" s="355">
        <v>0.66639999999999999</v>
      </c>
      <c r="CE19" s="355">
        <v>0.62970000000000004</v>
      </c>
      <c r="CF19" s="355">
        <v>0.6633</v>
      </c>
      <c r="CG19" s="355">
        <v>0.71250000000000002</v>
      </c>
      <c r="CH19" s="355">
        <v>0.65410000000000001</v>
      </c>
      <c r="CI19" s="355">
        <v>0.66690000000000005</v>
      </c>
      <c r="CJ19" s="715" t="s">
        <v>295</v>
      </c>
      <c r="CK19" s="620">
        <v>86</v>
      </c>
      <c r="CL19" s="620">
        <v>86</v>
      </c>
      <c r="CM19" s="620">
        <v>0.67330000000000001</v>
      </c>
      <c r="CN19" s="620">
        <v>0.64680000000000004</v>
      </c>
      <c r="CO19" s="620">
        <v>0.66930000000000001</v>
      </c>
      <c r="CP19" s="620">
        <v>0.7349</v>
      </c>
      <c r="CQ19" s="620">
        <v>0.67910000000000004</v>
      </c>
      <c r="CR19" s="711">
        <v>0.68089999999999995</v>
      </c>
      <c r="CS19" s="564" t="s">
        <v>295</v>
      </c>
      <c r="CT19" s="564">
        <v>99</v>
      </c>
      <c r="CU19" s="564">
        <v>99</v>
      </c>
      <c r="CV19" s="585">
        <v>0.67369999999999997</v>
      </c>
      <c r="CW19" s="585">
        <v>0.64480000000000004</v>
      </c>
      <c r="CX19" s="585">
        <v>0.65759999999999996</v>
      </c>
      <c r="CY19" s="585">
        <v>0.72340000000000004</v>
      </c>
      <c r="CZ19" s="585">
        <v>0.69059999999999999</v>
      </c>
      <c r="DA19" s="585">
        <v>0.67610000000000003</v>
      </c>
      <c r="DB19" s="884" t="s">
        <v>295</v>
      </c>
      <c r="DC19" s="884">
        <v>107</v>
      </c>
      <c r="DD19" s="884">
        <v>106</v>
      </c>
      <c r="DE19" s="884">
        <v>0.72199999999999998</v>
      </c>
      <c r="DF19" s="133">
        <v>0.69510000000000005</v>
      </c>
      <c r="DG19" s="133">
        <v>0.67230000000000001</v>
      </c>
      <c r="DH19" s="133">
        <v>0.74150000000000005</v>
      </c>
      <c r="DI19" s="133">
        <v>0.7167</v>
      </c>
      <c r="DJ19" s="133">
        <v>0.70840000000000003</v>
      </c>
    </row>
    <row r="20" spans="1:114" x14ac:dyDescent="0.25">
      <c r="A20" s="36" t="s">
        <v>125</v>
      </c>
      <c r="B20" s="879">
        <v>125754005189</v>
      </c>
      <c r="C20" s="134" t="s">
        <v>452</v>
      </c>
      <c r="D20" s="134" t="s">
        <v>307</v>
      </c>
      <c r="E20" s="134" t="s">
        <v>671</v>
      </c>
      <c r="F20" s="134" t="s">
        <v>121</v>
      </c>
      <c r="G20" s="269"/>
      <c r="H20" s="269"/>
      <c r="I20" s="269"/>
      <c r="J20" s="269"/>
      <c r="K20" s="269"/>
      <c r="L20" s="269"/>
      <c r="M20" s="269"/>
      <c r="N20" s="269"/>
      <c r="O20" s="269"/>
      <c r="P20" s="269"/>
      <c r="Q20" s="269"/>
      <c r="R20" s="269"/>
      <c r="S20" s="269"/>
      <c r="T20" s="269"/>
      <c r="U20" s="269"/>
      <c r="V20" s="269"/>
      <c r="W20" s="269"/>
      <c r="X20" s="269"/>
      <c r="Y20" s="269"/>
      <c r="Z20" s="269"/>
      <c r="AA20" s="269"/>
      <c r="AB20" s="271"/>
      <c r="AC20" s="271"/>
      <c r="AD20" s="271"/>
      <c r="AE20" s="271"/>
      <c r="AF20" s="271"/>
      <c r="AG20" s="271"/>
      <c r="AH20" s="687" t="s">
        <v>295</v>
      </c>
      <c r="AI20" s="269" t="s">
        <v>375</v>
      </c>
      <c r="AJ20" s="269" t="s">
        <v>375</v>
      </c>
      <c r="AK20" s="271">
        <v>0.68220000000000003</v>
      </c>
      <c r="AL20" s="271">
        <v>0.70140000000000002</v>
      </c>
      <c r="AM20" s="271">
        <v>0.6946</v>
      </c>
      <c r="AN20" s="271">
        <v>0.73209999999999997</v>
      </c>
      <c r="AO20" s="271">
        <v>0.64070000000000005</v>
      </c>
      <c r="AP20" s="271">
        <v>0.69779999999999998</v>
      </c>
      <c r="AQ20" s="274" t="s">
        <v>295</v>
      </c>
      <c r="AR20" s="269" t="s">
        <v>424</v>
      </c>
      <c r="AS20" s="269" t="s">
        <v>425</v>
      </c>
      <c r="AT20" s="271">
        <v>0.67100000000000004</v>
      </c>
      <c r="AU20" s="271">
        <v>0.67769999999999997</v>
      </c>
      <c r="AV20" s="271">
        <v>0.66720000000000002</v>
      </c>
      <c r="AW20" s="271">
        <v>0.71970000000000001</v>
      </c>
      <c r="AX20" s="271">
        <v>0.64910000000000001</v>
      </c>
      <c r="AY20" s="271">
        <v>0.68120000000000003</v>
      </c>
      <c r="AZ20" s="671" t="s">
        <v>295</v>
      </c>
      <c r="BA20" s="270" t="s">
        <v>695</v>
      </c>
      <c r="BB20" s="270" t="s">
        <v>795</v>
      </c>
      <c r="BC20" s="270">
        <v>0.6774</v>
      </c>
      <c r="BD20" s="270">
        <v>0.6724</v>
      </c>
      <c r="BE20" s="270">
        <v>0.64829999999999999</v>
      </c>
      <c r="BF20" s="270">
        <v>0.7137</v>
      </c>
      <c r="BG20" s="270">
        <v>0.64710000000000001</v>
      </c>
      <c r="BH20" s="270">
        <v>0.67559999999999998</v>
      </c>
      <c r="BI20" s="275" t="s">
        <v>427</v>
      </c>
      <c r="BJ20" s="272">
        <v>421</v>
      </c>
      <c r="BK20" s="272">
        <v>414</v>
      </c>
      <c r="BL20" s="271">
        <v>0.67290000000000005</v>
      </c>
      <c r="BM20" s="271">
        <v>0.65180000000000005</v>
      </c>
      <c r="BN20" s="271">
        <v>0.62380000000000002</v>
      </c>
      <c r="BO20" s="271">
        <v>0.69479999999999997</v>
      </c>
      <c r="BP20" s="271">
        <v>0.63600000000000001</v>
      </c>
      <c r="BQ20" s="271">
        <v>0.65890000000000004</v>
      </c>
      <c r="BR20" s="279" t="s">
        <v>427</v>
      </c>
      <c r="BS20" s="270">
        <v>449</v>
      </c>
      <c r="BT20" s="270">
        <v>443</v>
      </c>
      <c r="BU20" s="270">
        <v>0.67269999999999996</v>
      </c>
      <c r="BV20" s="270">
        <v>0.64759999999999995</v>
      </c>
      <c r="BW20" s="270">
        <v>0.62160000000000004</v>
      </c>
      <c r="BX20" s="270">
        <v>0.69169999999999998</v>
      </c>
      <c r="BY20" s="270">
        <v>0.62339999999999995</v>
      </c>
      <c r="BZ20" s="270">
        <v>0.65569999999999995</v>
      </c>
      <c r="CA20" s="357" t="s">
        <v>427</v>
      </c>
      <c r="CB20" s="355" t="s">
        <v>810</v>
      </c>
      <c r="CC20" s="355" t="s">
        <v>689</v>
      </c>
      <c r="CD20" s="355">
        <v>0.66159999999999997</v>
      </c>
      <c r="CE20" s="355">
        <v>0.63980000000000004</v>
      </c>
      <c r="CF20" s="355">
        <v>0.62849999999999995</v>
      </c>
      <c r="CG20" s="355">
        <v>0.69099999999999995</v>
      </c>
      <c r="CH20" s="355">
        <v>0.62009999999999998</v>
      </c>
      <c r="CI20" s="355">
        <v>0.65249999999999997</v>
      </c>
      <c r="CJ20" s="705" t="s">
        <v>427</v>
      </c>
      <c r="CK20" s="620">
        <v>417</v>
      </c>
      <c r="CL20" s="620">
        <v>404</v>
      </c>
      <c r="CM20" s="620">
        <v>0.66420000000000001</v>
      </c>
      <c r="CN20" s="620">
        <v>0.65310000000000001</v>
      </c>
      <c r="CO20" s="620">
        <v>0.63849999999999996</v>
      </c>
      <c r="CP20" s="620">
        <v>0.70240000000000002</v>
      </c>
      <c r="CQ20" s="620">
        <v>0.64549999999999996</v>
      </c>
      <c r="CR20" s="711">
        <v>0.66310000000000002</v>
      </c>
      <c r="CS20" s="564" t="s">
        <v>427</v>
      </c>
      <c r="CT20" s="564">
        <v>413</v>
      </c>
      <c r="CU20" s="564">
        <v>400</v>
      </c>
      <c r="CV20" s="585">
        <v>0.66439999999999999</v>
      </c>
      <c r="CW20" s="585">
        <v>0.66239999999999999</v>
      </c>
      <c r="CX20" s="585">
        <v>0.64229999999999998</v>
      </c>
      <c r="CY20" s="585">
        <v>0.71099999999999997</v>
      </c>
      <c r="CZ20" s="585">
        <v>0.66339999999999999</v>
      </c>
      <c r="DA20" s="585">
        <v>0.66949999999999998</v>
      </c>
      <c r="DB20" s="884" t="s">
        <v>295</v>
      </c>
      <c r="DC20" s="884">
        <v>417</v>
      </c>
      <c r="DD20" s="884">
        <v>403</v>
      </c>
      <c r="DE20" s="884">
        <v>0.67689999999999995</v>
      </c>
      <c r="DF20" s="133">
        <v>0.67420000000000002</v>
      </c>
      <c r="DG20" s="133">
        <v>0.64759999999999995</v>
      </c>
      <c r="DH20" s="133">
        <v>0.71899999999999997</v>
      </c>
      <c r="DI20" s="133">
        <v>0.68169999999999997</v>
      </c>
      <c r="DJ20" s="133">
        <v>0.67959999999999998</v>
      </c>
    </row>
    <row r="21" spans="1:114" x14ac:dyDescent="0.25">
      <c r="A21" s="36" t="s">
        <v>72</v>
      </c>
      <c r="B21" s="668">
        <v>325754001891</v>
      </c>
      <c r="C21" s="134" t="s">
        <v>452</v>
      </c>
      <c r="D21" s="134" t="s">
        <v>307</v>
      </c>
      <c r="E21" s="134" t="s">
        <v>671</v>
      </c>
      <c r="F21" s="134" t="s">
        <v>123</v>
      </c>
      <c r="G21" s="168" t="s">
        <v>294</v>
      </c>
      <c r="H21" s="166">
        <v>521</v>
      </c>
      <c r="I21" s="166">
        <v>520</v>
      </c>
      <c r="J21" s="166">
        <v>0.74439999999999995</v>
      </c>
      <c r="K21" s="166">
        <v>0.75800000000000001</v>
      </c>
      <c r="L21" s="166">
        <v>0.75370000000000004</v>
      </c>
      <c r="M21" s="166">
        <v>0.76060000000000005</v>
      </c>
      <c r="N21" s="166">
        <v>0.752</v>
      </c>
      <c r="O21" s="166">
        <v>0.754</v>
      </c>
      <c r="P21" s="177" t="s">
        <v>294</v>
      </c>
      <c r="Q21" s="174" t="s">
        <v>692</v>
      </c>
      <c r="R21" s="174" t="s">
        <v>693</v>
      </c>
      <c r="S21" s="174">
        <v>0.745</v>
      </c>
      <c r="T21" s="174">
        <v>0.75460000000000005</v>
      </c>
      <c r="U21" s="174">
        <v>0.74490000000000001</v>
      </c>
      <c r="V21" s="174">
        <v>0.75190000000000001</v>
      </c>
      <c r="W21" s="174">
        <v>0.75119999999999998</v>
      </c>
      <c r="X21" s="174">
        <v>0.74919999999999998</v>
      </c>
      <c r="Y21" s="145" t="s">
        <v>294</v>
      </c>
      <c r="Z21" s="134" t="s">
        <v>530</v>
      </c>
      <c r="AA21" s="134" t="s">
        <v>531</v>
      </c>
      <c r="AB21" s="137">
        <v>0.75770000000000004</v>
      </c>
      <c r="AC21" s="137">
        <v>0.76670000000000005</v>
      </c>
      <c r="AD21" s="137">
        <v>0.75739999999999996</v>
      </c>
      <c r="AE21" s="137">
        <v>0.75949999999999995</v>
      </c>
      <c r="AF21" s="137">
        <v>0.77239999999999998</v>
      </c>
      <c r="AG21" s="137">
        <v>0.76119999999999999</v>
      </c>
      <c r="AH21" s="158" t="s">
        <v>294</v>
      </c>
      <c r="AI21" s="134" t="s">
        <v>458</v>
      </c>
      <c r="AJ21" s="134" t="s">
        <v>459</v>
      </c>
      <c r="AK21" s="137">
        <v>0.76329999999999998</v>
      </c>
      <c r="AL21" s="137">
        <v>0.77090000000000003</v>
      </c>
      <c r="AM21" s="137">
        <v>0.76080000000000003</v>
      </c>
      <c r="AN21" s="137">
        <v>0.76300000000000001</v>
      </c>
      <c r="AO21" s="137">
        <v>0.78290000000000004</v>
      </c>
      <c r="AP21" s="137">
        <v>0.76590000000000003</v>
      </c>
      <c r="AQ21" s="148" t="s">
        <v>293</v>
      </c>
      <c r="AR21" s="134" t="s">
        <v>317</v>
      </c>
      <c r="AS21" s="134" t="s">
        <v>318</v>
      </c>
      <c r="AT21" s="137">
        <v>0.77580000000000005</v>
      </c>
      <c r="AU21" s="137">
        <v>0.78120000000000001</v>
      </c>
      <c r="AV21" s="137">
        <v>0.77249999999999996</v>
      </c>
      <c r="AW21" s="137">
        <v>0.78120000000000001</v>
      </c>
      <c r="AX21" s="137">
        <v>0.79010000000000002</v>
      </c>
      <c r="AY21" s="137">
        <v>0.77859999999999996</v>
      </c>
      <c r="AZ21" s="147" t="s">
        <v>293</v>
      </c>
      <c r="BA21" s="134" t="s">
        <v>627</v>
      </c>
      <c r="BB21" s="134" t="s">
        <v>601</v>
      </c>
      <c r="BC21" s="137">
        <v>0.78110000000000002</v>
      </c>
      <c r="BD21" s="137">
        <v>0.76849999999999996</v>
      </c>
      <c r="BE21" s="137">
        <v>0.75670000000000004</v>
      </c>
      <c r="BF21" s="137">
        <v>0.78180000000000005</v>
      </c>
      <c r="BG21" s="137">
        <v>0.78300000000000003</v>
      </c>
      <c r="BH21" s="137">
        <v>0.77290000000000003</v>
      </c>
      <c r="BI21" s="146" t="s">
        <v>293</v>
      </c>
      <c r="BJ21" s="152">
        <v>333</v>
      </c>
      <c r="BK21" s="152">
        <v>327</v>
      </c>
      <c r="BL21" s="137">
        <v>0.78590000000000004</v>
      </c>
      <c r="BM21" s="137">
        <v>0.76180000000000003</v>
      </c>
      <c r="BN21" s="137">
        <v>0.76229999999999998</v>
      </c>
      <c r="BO21" s="137">
        <v>0.78720000000000001</v>
      </c>
      <c r="BP21" s="137">
        <v>0.78039999999999998</v>
      </c>
      <c r="BQ21" s="137">
        <v>0.77480000000000004</v>
      </c>
      <c r="BR21" s="280" t="s">
        <v>293</v>
      </c>
      <c r="BS21" s="270">
        <v>326</v>
      </c>
      <c r="BT21" s="270">
        <v>325</v>
      </c>
      <c r="BU21" s="270">
        <v>0.78710000000000002</v>
      </c>
      <c r="BV21" s="270">
        <v>0.75119999999999998</v>
      </c>
      <c r="BW21" s="270">
        <v>0.75619999999999998</v>
      </c>
      <c r="BX21" s="270">
        <v>0.78990000000000005</v>
      </c>
      <c r="BY21" s="270">
        <v>0.79590000000000005</v>
      </c>
      <c r="BZ21" s="270">
        <v>0.77300000000000002</v>
      </c>
      <c r="CA21" s="358" t="s">
        <v>293</v>
      </c>
      <c r="CB21" s="355" t="s">
        <v>633</v>
      </c>
      <c r="CC21" s="355" t="s">
        <v>811</v>
      </c>
      <c r="CD21" s="355">
        <v>0.78669999999999995</v>
      </c>
      <c r="CE21" s="355">
        <v>0.75049999999999994</v>
      </c>
      <c r="CF21" s="355">
        <v>0.76300000000000001</v>
      </c>
      <c r="CG21" s="355">
        <v>0.79810000000000003</v>
      </c>
      <c r="CH21" s="355">
        <v>0.80300000000000005</v>
      </c>
      <c r="CI21" s="355">
        <v>0.77669999999999995</v>
      </c>
      <c r="CJ21" s="716" t="s">
        <v>293</v>
      </c>
      <c r="CK21" s="620">
        <v>350</v>
      </c>
      <c r="CL21" s="620">
        <v>349</v>
      </c>
      <c r="CM21" s="620">
        <v>0.78710000000000002</v>
      </c>
      <c r="CN21" s="620">
        <v>0.75239999999999996</v>
      </c>
      <c r="CO21" s="620">
        <v>0.75449999999999995</v>
      </c>
      <c r="CP21" s="620">
        <v>0.7954</v>
      </c>
      <c r="CQ21" s="620">
        <v>0.81710000000000005</v>
      </c>
      <c r="CR21" s="711">
        <v>0.77580000000000005</v>
      </c>
      <c r="CS21" s="564" t="s">
        <v>293</v>
      </c>
      <c r="CT21" s="564">
        <v>342</v>
      </c>
      <c r="CU21" s="564">
        <v>341</v>
      </c>
      <c r="CV21" s="585">
        <v>0.79669999999999996</v>
      </c>
      <c r="CW21" s="585">
        <v>0.76500000000000001</v>
      </c>
      <c r="CX21" s="585">
        <v>0.76390000000000002</v>
      </c>
      <c r="CY21" s="585">
        <v>0.80430000000000001</v>
      </c>
      <c r="CZ21" s="585">
        <v>0.82210000000000005</v>
      </c>
      <c r="DA21" s="585">
        <v>0.78549999999999998</v>
      </c>
      <c r="DB21" s="884" t="s">
        <v>293</v>
      </c>
      <c r="DC21" s="884">
        <v>326</v>
      </c>
      <c r="DD21" s="884">
        <v>323</v>
      </c>
      <c r="DE21" s="884">
        <v>0.79810000000000003</v>
      </c>
      <c r="DF21" s="133">
        <v>0.76670000000000005</v>
      </c>
      <c r="DG21" s="133">
        <v>0.76129999999999998</v>
      </c>
      <c r="DH21" s="133">
        <v>0.80120000000000002</v>
      </c>
      <c r="DI21" s="133">
        <v>0.82</v>
      </c>
      <c r="DJ21" s="133">
        <v>0.78469999999999995</v>
      </c>
    </row>
    <row r="22" spans="1:114" x14ac:dyDescent="0.25">
      <c r="A22" s="555" t="s">
        <v>165</v>
      </c>
      <c r="B22" s="876">
        <v>325754005331</v>
      </c>
      <c r="C22" s="134" t="s">
        <v>452</v>
      </c>
      <c r="D22" s="134" t="s">
        <v>307</v>
      </c>
      <c r="E22" s="344" t="s">
        <v>671</v>
      </c>
      <c r="F22" s="134" t="s">
        <v>123</v>
      </c>
      <c r="G22" s="370"/>
      <c r="H22" s="346"/>
      <c r="I22" s="346"/>
      <c r="J22" s="346"/>
      <c r="K22" s="346"/>
      <c r="L22" s="346"/>
      <c r="M22" s="346"/>
      <c r="N22" s="346"/>
      <c r="O22" s="346"/>
      <c r="P22" s="370"/>
      <c r="Q22" s="346"/>
      <c r="R22" s="346"/>
      <c r="S22" s="346"/>
      <c r="T22" s="346"/>
      <c r="U22" s="346"/>
      <c r="V22" s="346"/>
      <c r="W22" s="346"/>
      <c r="X22" s="346"/>
      <c r="Y22" s="363"/>
      <c r="Z22" s="344"/>
      <c r="AA22" s="344"/>
      <c r="AB22" s="348"/>
      <c r="AC22" s="348"/>
      <c r="AD22" s="348"/>
      <c r="AE22" s="348"/>
      <c r="AF22" s="348"/>
      <c r="AG22" s="348"/>
      <c r="AH22" s="361"/>
      <c r="AI22" s="344"/>
      <c r="AJ22" s="344"/>
      <c r="AK22" s="348"/>
      <c r="AL22" s="348"/>
      <c r="AM22" s="348"/>
      <c r="AN22" s="348"/>
      <c r="AO22" s="348"/>
      <c r="AP22" s="348"/>
      <c r="AQ22" s="372"/>
      <c r="AR22" s="344"/>
      <c r="AS22" s="344"/>
      <c r="AT22" s="348"/>
      <c r="AU22" s="348"/>
      <c r="AV22" s="348"/>
      <c r="AW22" s="348"/>
      <c r="AX22" s="348"/>
      <c r="AY22" s="348"/>
      <c r="AZ22" s="371"/>
      <c r="BA22" s="344"/>
      <c r="BB22" s="344"/>
      <c r="BC22" s="348"/>
      <c r="BD22" s="348"/>
      <c r="BE22" s="348"/>
      <c r="BF22" s="348"/>
      <c r="BG22" s="348"/>
      <c r="BH22" s="348"/>
      <c r="BI22" s="373"/>
      <c r="BJ22" s="352"/>
      <c r="BK22" s="352"/>
      <c r="BL22" s="348"/>
      <c r="BM22" s="348"/>
      <c r="BN22" s="348"/>
      <c r="BO22" s="348"/>
      <c r="BP22" s="348"/>
      <c r="BQ22" s="348"/>
      <c r="BR22" s="375" t="s">
        <v>427</v>
      </c>
      <c r="BS22" s="346">
        <v>77</v>
      </c>
      <c r="BT22" s="346">
        <v>70</v>
      </c>
      <c r="BU22" s="346">
        <v>0.63580000000000003</v>
      </c>
      <c r="BV22" s="346">
        <v>0.59409999999999996</v>
      </c>
      <c r="BW22" s="346">
        <v>0.58850000000000002</v>
      </c>
      <c r="BX22" s="346">
        <v>0.68889999999999996</v>
      </c>
      <c r="BY22" s="346">
        <v>0.61399999999999999</v>
      </c>
      <c r="BZ22" s="346">
        <v>0.62590000000000001</v>
      </c>
      <c r="CA22" s="357" t="s">
        <v>427</v>
      </c>
      <c r="CB22" s="355" t="s">
        <v>358</v>
      </c>
      <c r="CC22" s="355" t="s">
        <v>50</v>
      </c>
      <c r="CD22" s="355">
        <v>0.63870000000000005</v>
      </c>
      <c r="CE22" s="355">
        <v>0.59899999999999998</v>
      </c>
      <c r="CF22" s="355">
        <v>0.6048</v>
      </c>
      <c r="CG22" s="355">
        <v>0.69210000000000005</v>
      </c>
      <c r="CH22" s="355">
        <v>0.62470000000000003</v>
      </c>
      <c r="CI22" s="355">
        <v>0.63300000000000001</v>
      </c>
      <c r="CJ22" s="714"/>
      <c r="CK22" s="618"/>
      <c r="CL22" s="618"/>
      <c r="CM22" s="618"/>
      <c r="CN22" s="618"/>
      <c r="CO22" s="618"/>
      <c r="CP22" s="618"/>
      <c r="CQ22" s="618"/>
      <c r="CR22" s="622"/>
      <c r="CS22" s="563"/>
      <c r="CT22" s="582"/>
      <c r="CU22" s="582"/>
      <c r="CV22" s="586"/>
      <c r="CW22" s="586"/>
      <c r="CX22" s="586"/>
      <c r="CY22" s="586"/>
      <c r="CZ22" s="586"/>
      <c r="DA22" s="586"/>
      <c r="DB22" s="884" t="s">
        <v>427</v>
      </c>
      <c r="DC22" s="884">
        <v>31</v>
      </c>
      <c r="DD22" s="884">
        <v>27</v>
      </c>
      <c r="DE22" s="884">
        <v>0.65029999999999999</v>
      </c>
      <c r="DF22" s="133">
        <v>0.62639999999999996</v>
      </c>
      <c r="DG22" s="133">
        <v>0.61170000000000002</v>
      </c>
      <c r="DH22" s="133">
        <v>0.68289999999999995</v>
      </c>
      <c r="DI22" s="133">
        <v>0.6986</v>
      </c>
      <c r="DJ22" s="133">
        <v>0.64710000000000001</v>
      </c>
    </row>
    <row r="23" spans="1:114" x14ac:dyDescent="0.25">
      <c r="A23" s="36" t="s">
        <v>76</v>
      </c>
      <c r="B23" s="668">
        <v>325754001361</v>
      </c>
      <c r="C23" s="134" t="s">
        <v>452</v>
      </c>
      <c r="D23" s="134" t="s">
        <v>307</v>
      </c>
      <c r="E23" s="134" t="s">
        <v>671</v>
      </c>
      <c r="F23" s="134" t="s">
        <v>123</v>
      </c>
      <c r="G23" s="165" t="s">
        <v>295</v>
      </c>
      <c r="H23" s="166">
        <v>56</v>
      </c>
      <c r="I23" s="166">
        <v>56</v>
      </c>
      <c r="J23" s="166">
        <v>0.70199999999999996</v>
      </c>
      <c r="K23" s="166">
        <v>0.72460000000000002</v>
      </c>
      <c r="L23" s="166">
        <v>0.70550000000000002</v>
      </c>
      <c r="M23" s="166">
        <v>0.74270000000000003</v>
      </c>
      <c r="N23" s="166">
        <v>0.71389999999999998</v>
      </c>
      <c r="O23" s="166">
        <v>0.71830000000000005</v>
      </c>
      <c r="P23" s="173" t="s">
        <v>295</v>
      </c>
      <c r="Q23" s="174" t="s">
        <v>592</v>
      </c>
      <c r="R23" s="174" t="s">
        <v>592</v>
      </c>
      <c r="S23" s="174">
        <v>0.70030000000000003</v>
      </c>
      <c r="T23" s="174">
        <v>0.71630000000000005</v>
      </c>
      <c r="U23" s="174">
        <v>0.69940000000000002</v>
      </c>
      <c r="V23" s="174">
        <v>0.71779999999999999</v>
      </c>
      <c r="W23" s="174">
        <v>0.70509999999999995</v>
      </c>
      <c r="X23" s="174">
        <v>0.70820000000000005</v>
      </c>
      <c r="Y23" s="138" t="s">
        <v>295</v>
      </c>
      <c r="Z23" s="134" t="s">
        <v>453</v>
      </c>
      <c r="AA23" s="134" t="s">
        <v>453</v>
      </c>
      <c r="AB23" s="137">
        <v>0.70430000000000004</v>
      </c>
      <c r="AC23" s="137">
        <v>0.71430000000000005</v>
      </c>
      <c r="AD23" s="137">
        <v>0.71040000000000003</v>
      </c>
      <c r="AE23" s="137">
        <v>0.71750000000000003</v>
      </c>
      <c r="AF23" s="137">
        <v>0.72989999999999999</v>
      </c>
      <c r="AG23" s="137">
        <v>0.71299999999999997</v>
      </c>
      <c r="AH23" s="158" t="s">
        <v>294</v>
      </c>
      <c r="AI23" s="134" t="s">
        <v>480</v>
      </c>
      <c r="AJ23" s="134" t="s">
        <v>480</v>
      </c>
      <c r="AK23" s="137">
        <v>0.72309999999999997</v>
      </c>
      <c r="AL23" s="137">
        <v>0.72319999999999995</v>
      </c>
      <c r="AM23" s="137">
        <v>0.72670000000000001</v>
      </c>
      <c r="AN23" s="137">
        <v>0.72550000000000003</v>
      </c>
      <c r="AO23" s="137">
        <v>0.74550000000000005</v>
      </c>
      <c r="AP23" s="137">
        <v>0.72619999999999996</v>
      </c>
      <c r="AQ23" s="150" t="s">
        <v>294</v>
      </c>
      <c r="AR23" s="134" t="s">
        <v>311</v>
      </c>
      <c r="AS23" s="134" t="s">
        <v>311</v>
      </c>
      <c r="AT23" s="137">
        <v>0.74299999999999999</v>
      </c>
      <c r="AU23" s="137">
        <v>0.72060000000000002</v>
      </c>
      <c r="AV23" s="137">
        <v>0.71989999999999998</v>
      </c>
      <c r="AW23" s="137">
        <v>0.74299999999999999</v>
      </c>
      <c r="AX23" s="137">
        <v>0.74460000000000004</v>
      </c>
      <c r="AY23" s="137">
        <v>0.73260000000000003</v>
      </c>
      <c r="AZ23" s="145" t="s">
        <v>294</v>
      </c>
      <c r="BA23" s="134" t="s">
        <v>480</v>
      </c>
      <c r="BB23" s="134" t="s">
        <v>480</v>
      </c>
      <c r="BC23" s="137">
        <v>0.76239999999999997</v>
      </c>
      <c r="BD23" s="137">
        <v>0.71640000000000004</v>
      </c>
      <c r="BE23" s="137">
        <v>0.72270000000000001</v>
      </c>
      <c r="BF23" s="137">
        <v>0.76039999999999996</v>
      </c>
      <c r="BG23" s="137">
        <v>0.74109999999999998</v>
      </c>
      <c r="BH23" s="137">
        <v>0.74050000000000005</v>
      </c>
      <c r="BI23" s="149" t="s">
        <v>294</v>
      </c>
      <c r="BJ23" s="152">
        <v>58</v>
      </c>
      <c r="BK23" s="152">
        <v>58</v>
      </c>
      <c r="BL23" s="137">
        <v>0.76629999999999998</v>
      </c>
      <c r="BM23" s="137">
        <v>0.72119999999999995</v>
      </c>
      <c r="BN23" s="137">
        <v>0.7298</v>
      </c>
      <c r="BO23" s="137">
        <v>0.76419999999999999</v>
      </c>
      <c r="BP23" s="137">
        <v>0.72860000000000003</v>
      </c>
      <c r="BQ23" s="137">
        <v>0.74409999999999998</v>
      </c>
      <c r="BR23" s="281" t="s">
        <v>294</v>
      </c>
      <c r="BS23" s="270">
        <v>61</v>
      </c>
      <c r="BT23" s="270">
        <v>61</v>
      </c>
      <c r="BU23" s="270">
        <v>0.77280000000000004</v>
      </c>
      <c r="BV23" s="270">
        <v>0.74409999999999998</v>
      </c>
      <c r="BW23" s="270">
        <v>0.75839999999999996</v>
      </c>
      <c r="BX23" s="270">
        <v>0.79159999999999997</v>
      </c>
      <c r="BY23" s="270">
        <v>0.75629999999999997</v>
      </c>
      <c r="BZ23" s="270">
        <v>0.76590000000000003</v>
      </c>
      <c r="CA23" s="358" t="s">
        <v>293</v>
      </c>
      <c r="CB23" s="355" t="s">
        <v>481</v>
      </c>
      <c r="CC23" s="355" t="s">
        <v>481</v>
      </c>
      <c r="CD23" s="355">
        <v>0.77200000000000002</v>
      </c>
      <c r="CE23" s="355">
        <v>0.75390000000000001</v>
      </c>
      <c r="CF23" s="355">
        <v>0.76600000000000001</v>
      </c>
      <c r="CG23" s="355">
        <v>0.79239999999999999</v>
      </c>
      <c r="CH23" s="355">
        <v>0.77139999999999997</v>
      </c>
      <c r="CI23" s="355">
        <v>0.77110000000000001</v>
      </c>
      <c r="CJ23" s="717" t="s">
        <v>294</v>
      </c>
      <c r="CK23" s="620">
        <v>60</v>
      </c>
      <c r="CL23" s="620">
        <v>60</v>
      </c>
      <c r="CM23" s="620">
        <v>0.76200000000000001</v>
      </c>
      <c r="CN23" s="620">
        <v>0.75449999999999995</v>
      </c>
      <c r="CO23" s="620">
        <v>0.75570000000000004</v>
      </c>
      <c r="CP23" s="620">
        <v>0.79379999999999995</v>
      </c>
      <c r="CQ23" s="620">
        <v>0.78949999999999998</v>
      </c>
      <c r="CR23" s="711">
        <v>0.76829999999999998</v>
      </c>
      <c r="CS23" s="564" t="s">
        <v>294</v>
      </c>
      <c r="CT23" s="564">
        <v>61</v>
      </c>
      <c r="CU23" s="564">
        <v>60</v>
      </c>
      <c r="CV23" s="585">
        <v>0.75690000000000002</v>
      </c>
      <c r="CW23" s="585">
        <v>0.74660000000000004</v>
      </c>
      <c r="CX23" s="585">
        <v>0.7409</v>
      </c>
      <c r="CY23" s="585">
        <v>0.7863</v>
      </c>
      <c r="CZ23" s="585">
        <v>0.76219999999999999</v>
      </c>
      <c r="DA23" s="585">
        <v>0.75800000000000001</v>
      </c>
      <c r="DB23" s="884" t="s">
        <v>294</v>
      </c>
      <c r="DC23" s="884">
        <v>67</v>
      </c>
      <c r="DD23" s="884">
        <v>66</v>
      </c>
      <c r="DE23" s="884">
        <v>0.7641</v>
      </c>
      <c r="DF23" s="133">
        <v>0.75380000000000003</v>
      </c>
      <c r="DG23" s="133">
        <v>0.73319999999999996</v>
      </c>
      <c r="DH23" s="133">
        <v>0.7873</v>
      </c>
      <c r="DI23" s="133">
        <v>0.76990000000000003</v>
      </c>
      <c r="DJ23" s="133">
        <v>0.76039999999999996</v>
      </c>
    </row>
    <row r="24" spans="1:114" x14ac:dyDescent="0.25">
      <c r="A24" s="126" t="s">
        <v>798</v>
      </c>
      <c r="B24" s="668">
        <v>325754005480</v>
      </c>
      <c r="C24" s="134" t="s">
        <v>452</v>
      </c>
      <c r="D24" s="134" t="s">
        <v>307</v>
      </c>
      <c r="E24" s="134"/>
      <c r="F24" s="134" t="s">
        <v>123</v>
      </c>
      <c r="G24" s="165"/>
      <c r="H24" s="166"/>
      <c r="I24" s="166"/>
      <c r="J24" s="166"/>
      <c r="K24" s="166"/>
      <c r="L24" s="166"/>
      <c r="M24" s="166"/>
      <c r="N24" s="166"/>
      <c r="O24" s="166"/>
      <c r="P24" s="628"/>
      <c r="Q24" s="166"/>
      <c r="R24" s="166"/>
      <c r="S24" s="166"/>
      <c r="T24" s="166"/>
      <c r="U24" s="166"/>
      <c r="V24" s="166"/>
      <c r="W24" s="166"/>
      <c r="X24" s="166"/>
      <c r="Y24" s="138"/>
      <c r="Z24" s="134"/>
      <c r="AA24" s="134"/>
      <c r="AB24" s="137"/>
      <c r="AC24" s="137"/>
      <c r="AD24" s="137"/>
      <c r="AE24" s="137"/>
      <c r="AF24" s="137"/>
      <c r="AG24" s="137"/>
      <c r="AH24" s="158"/>
      <c r="AI24" s="134"/>
      <c r="AJ24" s="134"/>
      <c r="AK24" s="137"/>
      <c r="AL24" s="137"/>
      <c r="AM24" s="137"/>
      <c r="AN24" s="137"/>
      <c r="AO24" s="137"/>
      <c r="AP24" s="137"/>
      <c r="AQ24" s="150"/>
      <c r="AR24" s="134"/>
      <c r="AS24" s="134"/>
      <c r="AT24" s="137"/>
      <c r="AU24" s="137"/>
      <c r="AV24" s="137"/>
      <c r="AW24" s="137"/>
      <c r="AX24" s="137"/>
      <c r="AY24" s="137"/>
      <c r="AZ24" s="145"/>
      <c r="BA24" s="134"/>
      <c r="BB24" s="134"/>
      <c r="BC24" s="137"/>
      <c r="BD24" s="137"/>
      <c r="BE24" s="137"/>
      <c r="BF24" s="137"/>
      <c r="BG24" s="137"/>
      <c r="BH24" s="137"/>
      <c r="BI24" s="149"/>
      <c r="BJ24" s="152"/>
      <c r="BK24" s="152"/>
      <c r="BL24" s="137"/>
      <c r="BM24" s="137"/>
      <c r="BN24" s="137"/>
      <c r="BO24" s="137"/>
      <c r="BP24" s="137"/>
      <c r="BQ24" s="137"/>
      <c r="BR24" s="281"/>
      <c r="BS24" s="270"/>
      <c r="BT24" s="270"/>
      <c r="BU24" s="270"/>
      <c r="BV24" s="270"/>
      <c r="BW24" s="270"/>
      <c r="BX24" s="270"/>
      <c r="BY24" s="270"/>
      <c r="BZ24" s="270"/>
      <c r="CA24" s="358" t="s">
        <v>293</v>
      </c>
      <c r="CB24" s="355" t="s">
        <v>518</v>
      </c>
      <c r="CC24" s="355" t="s">
        <v>518</v>
      </c>
      <c r="CD24" s="355">
        <v>0.7994</v>
      </c>
      <c r="CE24" s="355">
        <v>0.78759999999999997</v>
      </c>
      <c r="CF24" s="355">
        <v>0.7893</v>
      </c>
      <c r="CG24" s="355">
        <v>0.81689999999999996</v>
      </c>
      <c r="CH24" s="355">
        <v>0.83250000000000002</v>
      </c>
      <c r="CI24" s="355">
        <v>0.80089999999999995</v>
      </c>
      <c r="CJ24" s="716" t="s">
        <v>293</v>
      </c>
      <c r="CK24" s="620">
        <v>44</v>
      </c>
      <c r="CL24" s="620">
        <v>43</v>
      </c>
      <c r="CM24" s="620">
        <v>0.79430000000000001</v>
      </c>
      <c r="CN24" s="620">
        <v>0.76819999999999999</v>
      </c>
      <c r="CO24" s="620">
        <v>0.79179999999999995</v>
      </c>
      <c r="CP24" s="620">
        <v>0.81989999999999996</v>
      </c>
      <c r="CQ24" s="620">
        <v>0.81030000000000002</v>
      </c>
      <c r="CR24" s="711">
        <v>0.79479999999999995</v>
      </c>
      <c r="CS24" s="564" t="s">
        <v>293</v>
      </c>
      <c r="CT24" s="564">
        <v>66</v>
      </c>
      <c r="CU24" s="564">
        <v>65</v>
      </c>
      <c r="CV24" s="585">
        <v>0.81120000000000003</v>
      </c>
      <c r="CW24" s="585">
        <v>0.78639999999999999</v>
      </c>
      <c r="CX24" s="585">
        <v>0.80389999999999995</v>
      </c>
      <c r="CY24" s="585">
        <v>0.83079999999999998</v>
      </c>
      <c r="CZ24" s="585">
        <v>0.82169999999999999</v>
      </c>
      <c r="DA24" s="585">
        <v>0.80910000000000004</v>
      </c>
      <c r="DB24" s="884" t="s">
        <v>293</v>
      </c>
      <c r="DC24" s="884">
        <v>78</v>
      </c>
      <c r="DD24" s="884">
        <v>76</v>
      </c>
      <c r="DE24" s="884">
        <v>0.82279999999999998</v>
      </c>
      <c r="DF24" s="133">
        <v>0.79479999999999995</v>
      </c>
      <c r="DG24" s="133">
        <v>0.81299999999999994</v>
      </c>
      <c r="DH24" s="133">
        <v>0.83230000000000004</v>
      </c>
      <c r="DI24" s="133">
        <v>0.83360000000000001</v>
      </c>
      <c r="DJ24" s="133">
        <v>0.81710000000000005</v>
      </c>
    </row>
    <row r="25" spans="1:114" x14ac:dyDescent="0.25">
      <c r="A25" s="36" t="s">
        <v>60</v>
      </c>
      <c r="B25" s="668">
        <v>325754002961</v>
      </c>
      <c r="C25" s="134" t="s">
        <v>452</v>
      </c>
      <c r="D25" s="134" t="s">
        <v>307</v>
      </c>
      <c r="E25" s="134" t="s">
        <v>671</v>
      </c>
      <c r="F25" s="134" t="s">
        <v>123</v>
      </c>
      <c r="G25" s="165" t="s">
        <v>295</v>
      </c>
      <c r="H25" s="166">
        <v>155</v>
      </c>
      <c r="I25" s="166">
        <v>154</v>
      </c>
      <c r="J25" s="166">
        <v>0.67430000000000001</v>
      </c>
      <c r="K25" s="166">
        <v>0.67879999999999996</v>
      </c>
      <c r="L25" s="166">
        <v>0.67649999999999999</v>
      </c>
      <c r="M25" s="166">
        <v>0.6915</v>
      </c>
      <c r="N25" s="166">
        <v>0.67530000000000001</v>
      </c>
      <c r="O25" s="166">
        <v>0.67989999999999995</v>
      </c>
      <c r="P25" s="173" t="s">
        <v>295</v>
      </c>
      <c r="Q25" s="174" t="s">
        <v>325</v>
      </c>
      <c r="R25" s="174" t="s">
        <v>578</v>
      </c>
      <c r="S25" s="174">
        <v>0.68230000000000002</v>
      </c>
      <c r="T25" s="174">
        <v>0.68559999999999999</v>
      </c>
      <c r="U25" s="174">
        <v>0.67479999999999996</v>
      </c>
      <c r="V25" s="174">
        <v>0.6885</v>
      </c>
      <c r="W25" s="174">
        <v>0.66820000000000002</v>
      </c>
      <c r="X25" s="174">
        <v>0.68169999999999997</v>
      </c>
      <c r="Y25" s="138" t="s">
        <v>295</v>
      </c>
      <c r="Z25" s="134" t="s">
        <v>516</v>
      </c>
      <c r="AA25" s="134" t="s">
        <v>552</v>
      </c>
      <c r="AB25" s="137">
        <v>0.71879999999999999</v>
      </c>
      <c r="AC25" s="137">
        <v>0.7167</v>
      </c>
      <c r="AD25" s="137">
        <v>0.7</v>
      </c>
      <c r="AE25" s="137">
        <v>0.7097</v>
      </c>
      <c r="AF25" s="137">
        <v>0.68320000000000003</v>
      </c>
      <c r="AG25" s="137">
        <v>0.70909999999999995</v>
      </c>
      <c r="AH25" s="159" t="s">
        <v>295</v>
      </c>
      <c r="AI25" s="134" t="s">
        <v>488</v>
      </c>
      <c r="AJ25" s="134" t="s">
        <v>325</v>
      </c>
      <c r="AK25" s="137">
        <v>0.7278</v>
      </c>
      <c r="AL25" s="137">
        <v>0.71350000000000002</v>
      </c>
      <c r="AM25" s="137">
        <v>0.70030000000000003</v>
      </c>
      <c r="AN25" s="137">
        <v>0.72040000000000004</v>
      </c>
      <c r="AO25" s="137">
        <v>0.69059999999999999</v>
      </c>
      <c r="AP25" s="137">
        <v>0.71360000000000001</v>
      </c>
      <c r="AQ25" s="150" t="s">
        <v>294</v>
      </c>
      <c r="AR25" s="134" t="s">
        <v>356</v>
      </c>
      <c r="AS25" s="134" t="s">
        <v>357</v>
      </c>
      <c r="AT25" s="137">
        <v>0.73629999999999995</v>
      </c>
      <c r="AU25" s="137">
        <v>0.71689999999999998</v>
      </c>
      <c r="AV25" s="137">
        <v>0.70709999999999995</v>
      </c>
      <c r="AW25" s="137">
        <v>0.74460000000000004</v>
      </c>
      <c r="AX25" s="137">
        <v>0.71250000000000002</v>
      </c>
      <c r="AY25" s="137">
        <v>0.72519999999999996</v>
      </c>
      <c r="AZ25" s="145" t="s">
        <v>294</v>
      </c>
      <c r="BA25" s="134" t="s">
        <v>640</v>
      </c>
      <c r="BB25" s="134" t="s">
        <v>641</v>
      </c>
      <c r="BC25" s="137">
        <v>0.74260000000000004</v>
      </c>
      <c r="BD25" s="137">
        <v>0.71030000000000004</v>
      </c>
      <c r="BE25" s="137">
        <v>0.69850000000000001</v>
      </c>
      <c r="BF25" s="137">
        <v>0.74870000000000003</v>
      </c>
      <c r="BG25" s="137">
        <v>0.70820000000000005</v>
      </c>
      <c r="BH25" s="137">
        <v>0.72370000000000001</v>
      </c>
      <c r="BI25" s="149" t="s">
        <v>294</v>
      </c>
      <c r="BJ25" s="152">
        <v>174</v>
      </c>
      <c r="BK25" s="152">
        <v>169</v>
      </c>
      <c r="BL25" s="137">
        <v>0.74619999999999997</v>
      </c>
      <c r="BM25" s="137">
        <v>0.70599999999999996</v>
      </c>
      <c r="BN25" s="137">
        <v>0.69550000000000001</v>
      </c>
      <c r="BO25" s="137">
        <v>0.74309999999999998</v>
      </c>
      <c r="BP25" s="137">
        <v>0.6976</v>
      </c>
      <c r="BQ25" s="137">
        <v>0.7208</v>
      </c>
      <c r="BR25" s="277" t="s">
        <v>295</v>
      </c>
      <c r="BS25" s="270">
        <v>172</v>
      </c>
      <c r="BT25" s="270">
        <v>172</v>
      </c>
      <c r="BU25" s="270">
        <v>0.75149999999999995</v>
      </c>
      <c r="BV25" s="270">
        <v>0.70430000000000004</v>
      </c>
      <c r="BW25" s="270">
        <v>0.69030000000000002</v>
      </c>
      <c r="BX25" s="270">
        <v>0.7389</v>
      </c>
      <c r="BY25" s="270">
        <v>0.7046</v>
      </c>
      <c r="BZ25" s="270">
        <v>0.72</v>
      </c>
      <c r="CA25" s="356" t="s">
        <v>295</v>
      </c>
      <c r="CB25" s="355" t="s">
        <v>483</v>
      </c>
      <c r="CC25" s="355" t="s">
        <v>641</v>
      </c>
      <c r="CD25" s="355">
        <v>0.74729999999999996</v>
      </c>
      <c r="CE25" s="355">
        <v>0.6976</v>
      </c>
      <c r="CF25" s="355">
        <v>0.69359999999999999</v>
      </c>
      <c r="CG25" s="355">
        <v>0.73629999999999995</v>
      </c>
      <c r="CH25" s="355">
        <v>0.69799999999999995</v>
      </c>
      <c r="CI25" s="355">
        <v>0.71709999999999996</v>
      </c>
      <c r="CJ25" s="717" t="s">
        <v>294</v>
      </c>
      <c r="CK25" s="620">
        <v>169</v>
      </c>
      <c r="CL25" s="620">
        <v>164</v>
      </c>
      <c r="CM25" s="620">
        <v>0.74750000000000005</v>
      </c>
      <c r="CN25" s="620">
        <v>0.70320000000000005</v>
      </c>
      <c r="CO25" s="620">
        <v>0.6915</v>
      </c>
      <c r="CP25" s="620">
        <v>0.73860000000000003</v>
      </c>
      <c r="CQ25" s="620">
        <v>0.71830000000000005</v>
      </c>
      <c r="CR25" s="711">
        <v>0.72</v>
      </c>
      <c r="CS25" s="564" t="s">
        <v>294</v>
      </c>
      <c r="CT25" s="564">
        <v>172</v>
      </c>
      <c r="CU25" s="564">
        <v>167</v>
      </c>
      <c r="CV25" s="585">
        <v>0.75290000000000001</v>
      </c>
      <c r="CW25" s="585">
        <v>0.7046</v>
      </c>
      <c r="CX25" s="585">
        <v>0.70899999999999996</v>
      </c>
      <c r="CY25" s="585">
        <v>0.753</v>
      </c>
      <c r="CZ25" s="585">
        <v>0.71899999999999997</v>
      </c>
      <c r="DA25" s="585">
        <v>0.72909999999999997</v>
      </c>
      <c r="DB25" s="884" t="s">
        <v>294</v>
      </c>
      <c r="DC25" s="884">
        <v>182</v>
      </c>
      <c r="DD25" s="884">
        <v>179</v>
      </c>
      <c r="DE25" s="884">
        <v>0.75609999999999999</v>
      </c>
      <c r="DF25" s="133">
        <v>0.72560000000000002</v>
      </c>
      <c r="DG25" s="133">
        <v>0.7248</v>
      </c>
      <c r="DH25" s="133">
        <v>0.7641</v>
      </c>
      <c r="DI25" s="133">
        <v>0.73870000000000002</v>
      </c>
      <c r="DJ25" s="133">
        <v>0.74239999999999995</v>
      </c>
    </row>
    <row r="26" spans="1:114" x14ac:dyDescent="0.25">
      <c r="A26" s="36" t="s">
        <v>131</v>
      </c>
      <c r="B26" s="668">
        <v>325754005226</v>
      </c>
      <c r="C26" s="134" t="s">
        <v>452</v>
      </c>
      <c r="D26" s="134" t="s">
        <v>307</v>
      </c>
      <c r="E26" s="134" t="s">
        <v>671</v>
      </c>
      <c r="F26" s="134" t="s">
        <v>123</v>
      </c>
      <c r="G26" s="134"/>
      <c r="H26" s="134"/>
      <c r="I26" s="134"/>
      <c r="J26" s="134"/>
      <c r="K26" s="134"/>
      <c r="L26" s="134"/>
      <c r="M26" s="134"/>
      <c r="N26" s="134"/>
      <c r="O26" s="134"/>
      <c r="P26" s="563"/>
      <c r="Q26" s="563"/>
      <c r="R26" s="563"/>
      <c r="S26" s="563"/>
      <c r="T26" s="563"/>
      <c r="U26" s="563"/>
      <c r="V26" s="563"/>
      <c r="W26" s="563"/>
      <c r="X26" s="563"/>
      <c r="Y26" s="134"/>
      <c r="Z26" s="134"/>
      <c r="AA26" s="134"/>
      <c r="AB26" s="137"/>
      <c r="AC26" s="137"/>
      <c r="AD26" s="137"/>
      <c r="AE26" s="137"/>
      <c r="AF26" s="137"/>
      <c r="AG26" s="137"/>
      <c r="AH26" s="156"/>
      <c r="AI26" s="134"/>
      <c r="AJ26" s="134"/>
      <c r="AK26" s="137"/>
      <c r="AL26" s="137"/>
      <c r="AM26" s="137"/>
      <c r="AN26" s="137"/>
      <c r="AO26" s="137"/>
      <c r="AP26" s="137"/>
      <c r="AQ26" s="134"/>
      <c r="AR26" s="134"/>
      <c r="AS26" s="134"/>
      <c r="AT26" s="137"/>
      <c r="AU26" s="137"/>
      <c r="AV26" s="137"/>
      <c r="AW26" s="137"/>
      <c r="AX26" s="137"/>
      <c r="AY26" s="137"/>
      <c r="AZ26" s="138" t="s">
        <v>295</v>
      </c>
      <c r="BA26" s="134" t="s">
        <v>518</v>
      </c>
      <c r="BB26" s="134" t="s">
        <v>518</v>
      </c>
      <c r="BC26" s="137">
        <v>0.69259999999999999</v>
      </c>
      <c r="BD26" s="137">
        <v>0.66269999999999996</v>
      </c>
      <c r="BE26" s="137">
        <v>0.67010000000000003</v>
      </c>
      <c r="BF26" s="137">
        <v>0.72289999999999999</v>
      </c>
      <c r="BG26" s="137">
        <v>0.70660000000000001</v>
      </c>
      <c r="BH26" s="137">
        <v>0.68859999999999999</v>
      </c>
      <c r="BI26" s="135" t="s">
        <v>295</v>
      </c>
      <c r="BJ26" s="152">
        <v>26</v>
      </c>
      <c r="BK26" s="152">
        <v>26</v>
      </c>
      <c r="BL26" s="137">
        <v>0.71209999999999996</v>
      </c>
      <c r="BM26" s="137">
        <v>0.66449999999999998</v>
      </c>
      <c r="BN26" s="137">
        <v>0.67679999999999996</v>
      </c>
      <c r="BO26" s="137">
        <v>0.7218</v>
      </c>
      <c r="BP26" s="137">
        <v>0.67159999999999997</v>
      </c>
      <c r="BQ26" s="137">
        <v>0.69210000000000005</v>
      </c>
      <c r="BR26" s="277" t="s">
        <v>295</v>
      </c>
      <c r="BS26" s="270">
        <v>22</v>
      </c>
      <c r="BT26" s="270">
        <v>22</v>
      </c>
      <c r="BU26" s="270">
        <v>0.72540000000000004</v>
      </c>
      <c r="BV26" s="270">
        <v>0.66669999999999996</v>
      </c>
      <c r="BW26" s="270">
        <v>0.67</v>
      </c>
      <c r="BX26" s="270">
        <v>0.7107</v>
      </c>
      <c r="BY26" s="270">
        <v>0.65900000000000003</v>
      </c>
      <c r="BZ26" s="270">
        <v>0.69059999999999999</v>
      </c>
      <c r="CA26" s="356" t="s">
        <v>295</v>
      </c>
      <c r="CB26" s="355" t="s">
        <v>417</v>
      </c>
      <c r="CC26" s="355" t="s">
        <v>417</v>
      </c>
      <c r="CD26" s="355">
        <v>0.74329999999999996</v>
      </c>
      <c r="CE26" s="355">
        <v>0.68189999999999995</v>
      </c>
      <c r="CF26" s="355">
        <v>0.69420000000000004</v>
      </c>
      <c r="CG26" s="355">
        <v>0.75929999999999997</v>
      </c>
      <c r="CH26" s="355">
        <v>0.68810000000000004</v>
      </c>
      <c r="CI26" s="355">
        <v>0.71719999999999995</v>
      </c>
      <c r="CJ26" s="703" t="s">
        <v>294</v>
      </c>
      <c r="CK26" s="620">
        <v>32</v>
      </c>
      <c r="CL26" s="620">
        <v>32</v>
      </c>
      <c r="CM26" s="620">
        <v>0.74680000000000002</v>
      </c>
      <c r="CN26" s="620">
        <v>0.72909999999999997</v>
      </c>
      <c r="CO26" s="620">
        <v>0.71879999999999999</v>
      </c>
      <c r="CP26" s="620">
        <v>0.78310000000000002</v>
      </c>
      <c r="CQ26" s="620">
        <v>0.73219999999999996</v>
      </c>
      <c r="CR26" s="711">
        <v>0.74350000000000005</v>
      </c>
      <c r="CS26" s="564" t="s">
        <v>294</v>
      </c>
      <c r="CT26" s="564">
        <v>37</v>
      </c>
      <c r="CU26" s="564">
        <v>37</v>
      </c>
      <c r="CV26" s="585">
        <v>0.72619999999999996</v>
      </c>
      <c r="CW26" s="585">
        <v>0.71599999999999997</v>
      </c>
      <c r="CX26" s="585">
        <v>0.70309999999999995</v>
      </c>
      <c r="CY26" s="585">
        <v>0.76990000000000003</v>
      </c>
      <c r="CZ26" s="585">
        <v>0.72850000000000004</v>
      </c>
      <c r="DA26" s="585">
        <v>0.7288</v>
      </c>
      <c r="DB26" s="884" t="s">
        <v>294</v>
      </c>
      <c r="DC26" s="884">
        <v>40</v>
      </c>
      <c r="DD26" s="884">
        <v>40</v>
      </c>
      <c r="DE26" s="884">
        <v>0.71260000000000001</v>
      </c>
      <c r="DF26" s="133">
        <v>0.71909999999999996</v>
      </c>
      <c r="DG26" s="133">
        <v>0.71260000000000001</v>
      </c>
      <c r="DH26" s="133">
        <v>0.76280000000000003</v>
      </c>
      <c r="DI26" s="133">
        <v>0.70940000000000003</v>
      </c>
      <c r="DJ26" s="133">
        <v>0.72540000000000004</v>
      </c>
    </row>
    <row r="27" spans="1:114" x14ac:dyDescent="0.25">
      <c r="A27" s="36" t="s">
        <v>67</v>
      </c>
      <c r="B27" s="668">
        <v>325754004131</v>
      </c>
      <c r="C27" s="134" t="s">
        <v>452</v>
      </c>
      <c r="D27" s="134" t="s">
        <v>307</v>
      </c>
      <c r="E27" s="134" t="s">
        <v>671</v>
      </c>
      <c r="F27" s="134" t="s">
        <v>123</v>
      </c>
      <c r="G27" s="165" t="s">
        <v>295</v>
      </c>
      <c r="H27" s="166">
        <v>131</v>
      </c>
      <c r="I27" s="166">
        <v>130</v>
      </c>
      <c r="J27" s="166">
        <v>0.70079999999999998</v>
      </c>
      <c r="K27" s="166">
        <v>0.71730000000000005</v>
      </c>
      <c r="L27" s="166">
        <v>0.68899999999999995</v>
      </c>
      <c r="M27" s="166">
        <v>0.69399999999999995</v>
      </c>
      <c r="N27" s="166">
        <v>0.69679999999999997</v>
      </c>
      <c r="O27" s="166">
        <v>0.7</v>
      </c>
      <c r="P27" s="173" t="s">
        <v>295</v>
      </c>
      <c r="Q27" s="174" t="s">
        <v>694</v>
      </c>
      <c r="R27" s="174" t="s">
        <v>595</v>
      </c>
      <c r="S27" s="174">
        <v>0.70399999999999996</v>
      </c>
      <c r="T27" s="174">
        <v>0.72030000000000005</v>
      </c>
      <c r="U27" s="174">
        <v>0.69099999999999995</v>
      </c>
      <c r="V27" s="174">
        <v>0.68979999999999997</v>
      </c>
      <c r="W27" s="174">
        <v>0.6915</v>
      </c>
      <c r="X27" s="174">
        <v>0.70050000000000001</v>
      </c>
      <c r="Y27" s="138" t="s">
        <v>295</v>
      </c>
      <c r="Z27" s="134" t="s">
        <v>551</v>
      </c>
      <c r="AA27" s="134" t="s">
        <v>412</v>
      </c>
      <c r="AB27" s="137">
        <v>0.7016</v>
      </c>
      <c r="AC27" s="137">
        <v>0.7339</v>
      </c>
      <c r="AD27" s="137">
        <v>0.70279999999999998</v>
      </c>
      <c r="AE27" s="137">
        <v>0.70150000000000001</v>
      </c>
      <c r="AF27" s="137">
        <v>0.70679999999999998</v>
      </c>
      <c r="AG27" s="137">
        <v>0.7097</v>
      </c>
      <c r="AH27" s="158" t="s">
        <v>294</v>
      </c>
      <c r="AI27" s="134" t="s">
        <v>482</v>
      </c>
      <c r="AJ27" s="134" t="s">
        <v>483</v>
      </c>
      <c r="AK27" s="137">
        <v>0.71789999999999998</v>
      </c>
      <c r="AL27" s="137">
        <v>0.73770000000000002</v>
      </c>
      <c r="AM27" s="137">
        <v>0.70860000000000001</v>
      </c>
      <c r="AN27" s="137">
        <v>0.7198</v>
      </c>
      <c r="AO27" s="137">
        <v>0.7107</v>
      </c>
      <c r="AP27" s="137">
        <v>0.72019999999999995</v>
      </c>
      <c r="AQ27" s="139" t="s">
        <v>295</v>
      </c>
      <c r="AR27" s="134" t="s">
        <v>362</v>
      </c>
      <c r="AS27" s="134" t="s">
        <v>363</v>
      </c>
      <c r="AT27" s="137">
        <v>0.71460000000000001</v>
      </c>
      <c r="AU27" s="137">
        <v>0.72160000000000002</v>
      </c>
      <c r="AV27" s="137">
        <v>0.69689999999999996</v>
      </c>
      <c r="AW27" s="137">
        <v>0.73329999999999995</v>
      </c>
      <c r="AX27" s="137">
        <v>0.71240000000000003</v>
      </c>
      <c r="AY27" s="137">
        <v>0.71630000000000005</v>
      </c>
      <c r="AZ27" s="138" t="s">
        <v>295</v>
      </c>
      <c r="BA27" s="134" t="s">
        <v>545</v>
      </c>
      <c r="BB27" s="134" t="s">
        <v>320</v>
      </c>
      <c r="BC27" s="137">
        <v>0.73419999999999996</v>
      </c>
      <c r="BD27" s="137">
        <v>0.70599999999999996</v>
      </c>
      <c r="BE27" s="137">
        <v>0.69089999999999996</v>
      </c>
      <c r="BF27" s="137">
        <v>0.74399999999999999</v>
      </c>
      <c r="BG27" s="137">
        <v>0.70889999999999997</v>
      </c>
      <c r="BH27" s="137">
        <v>0.71799999999999997</v>
      </c>
      <c r="BI27" s="135" t="s">
        <v>295</v>
      </c>
      <c r="BJ27" s="152">
        <v>215</v>
      </c>
      <c r="BK27" s="152">
        <v>213</v>
      </c>
      <c r="BL27" s="137">
        <v>0.73399999999999999</v>
      </c>
      <c r="BM27" s="137">
        <v>0.68120000000000003</v>
      </c>
      <c r="BN27" s="137">
        <v>0.68120000000000003</v>
      </c>
      <c r="BO27" s="137">
        <v>0.73740000000000006</v>
      </c>
      <c r="BP27" s="137">
        <v>0.68489999999999995</v>
      </c>
      <c r="BQ27" s="137">
        <v>0.70660000000000001</v>
      </c>
      <c r="BR27" s="697" t="s">
        <v>294</v>
      </c>
      <c r="BS27" s="270">
        <v>200</v>
      </c>
      <c r="BT27" s="270">
        <v>200</v>
      </c>
      <c r="BU27" s="270">
        <v>0.74880000000000002</v>
      </c>
      <c r="BV27" s="270">
        <v>0.69369999999999998</v>
      </c>
      <c r="BW27" s="270">
        <v>0.69850000000000001</v>
      </c>
      <c r="BX27" s="270">
        <v>0.75560000000000005</v>
      </c>
      <c r="BY27" s="270">
        <v>0.69599999999999995</v>
      </c>
      <c r="BZ27" s="270">
        <v>0.72199999999999998</v>
      </c>
      <c r="CA27" s="700" t="s">
        <v>294</v>
      </c>
      <c r="CB27" s="672" t="s">
        <v>342</v>
      </c>
      <c r="CC27" s="672" t="s">
        <v>342</v>
      </c>
      <c r="CD27" s="672">
        <v>0.75280000000000002</v>
      </c>
      <c r="CE27" s="672">
        <v>0.7026</v>
      </c>
      <c r="CF27" s="672">
        <v>0.7097</v>
      </c>
      <c r="CG27" s="672">
        <v>0.76370000000000005</v>
      </c>
      <c r="CH27" s="672">
        <v>0.70960000000000001</v>
      </c>
      <c r="CI27" s="672">
        <v>0.73050000000000004</v>
      </c>
      <c r="CJ27" s="703" t="s">
        <v>294</v>
      </c>
      <c r="CK27" s="620">
        <v>219</v>
      </c>
      <c r="CL27" s="620">
        <v>219</v>
      </c>
      <c r="CM27" s="620">
        <v>0.76480000000000004</v>
      </c>
      <c r="CN27" s="620">
        <v>0.72770000000000001</v>
      </c>
      <c r="CO27" s="620">
        <v>0.7228</v>
      </c>
      <c r="CP27" s="620">
        <v>0.7752</v>
      </c>
      <c r="CQ27" s="620">
        <v>0.75600000000000001</v>
      </c>
      <c r="CR27" s="711">
        <v>0.74829999999999997</v>
      </c>
      <c r="CS27" s="564" t="s">
        <v>294</v>
      </c>
      <c r="CT27" s="564">
        <v>240</v>
      </c>
      <c r="CU27" s="564">
        <v>240</v>
      </c>
      <c r="CV27" s="585">
        <v>0.78069999999999995</v>
      </c>
      <c r="CW27" s="585">
        <v>0.73540000000000005</v>
      </c>
      <c r="CX27" s="585">
        <v>0.72119999999999995</v>
      </c>
      <c r="CY27" s="585">
        <v>0.7671</v>
      </c>
      <c r="CZ27" s="585">
        <v>0.76619999999999999</v>
      </c>
      <c r="DA27" s="585">
        <v>0.75229999999999997</v>
      </c>
      <c r="DB27" s="884" t="s">
        <v>294</v>
      </c>
      <c r="DC27" s="884">
        <v>247</v>
      </c>
      <c r="DD27" s="884">
        <v>247</v>
      </c>
      <c r="DE27" s="884">
        <v>0.78010000000000002</v>
      </c>
      <c r="DF27" s="133">
        <v>0.73640000000000005</v>
      </c>
      <c r="DG27" s="133">
        <v>0.71450000000000002</v>
      </c>
      <c r="DH27" s="133">
        <v>0.76600000000000001</v>
      </c>
      <c r="DI27" s="133">
        <v>0.76780000000000004</v>
      </c>
      <c r="DJ27" s="133">
        <v>0.75070000000000003</v>
      </c>
    </row>
    <row r="28" spans="1:114" x14ac:dyDescent="0.25">
      <c r="A28" s="36" t="s">
        <v>85</v>
      </c>
      <c r="B28" s="668">
        <v>325754000771</v>
      </c>
      <c r="C28" s="134" t="s">
        <v>452</v>
      </c>
      <c r="D28" s="134" t="s">
        <v>307</v>
      </c>
      <c r="E28" s="134" t="s">
        <v>671</v>
      </c>
      <c r="F28" s="134" t="s">
        <v>123</v>
      </c>
      <c r="G28" s="165" t="s">
        <v>295</v>
      </c>
      <c r="H28" s="166">
        <v>32</v>
      </c>
      <c r="I28" s="166">
        <v>32</v>
      </c>
      <c r="J28" s="166">
        <v>0.7137</v>
      </c>
      <c r="K28" s="166">
        <v>0.68959999999999999</v>
      </c>
      <c r="L28" s="166">
        <v>0.7369</v>
      </c>
      <c r="M28" s="166">
        <v>0.72840000000000005</v>
      </c>
      <c r="N28" s="166">
        <v>0.73080000000000001</v>
      </c>
      <c r="O28" s="166">
        <v>0.71819999999999995</v>
      </c>
      <c r="P28" s="173" t="s">
        <v>295</v>
      </c>
      <c r="Q28" s="174" t="s">
        <v>437</v>
      </c>
      <c r="R28" s="174" t="s">
        <v>91</v>
      </c>
      <c r="S28" s="174">
        <v>0.68520000000000003</v>
      </c>
      <c r="T28" s="174">
        <v>0.68710000000000004</v>
      </c>
      <c r="U28" s="174">
        <v>0.71319999999999995</v>
      </c>
      <c r="V28" s="174">
        <v>0.70889999999999997</v>
      </c>
      <c r="W28" s="174">
        <v>0.70660000000000001</v>
      </c>
      <c r="X28" s="174">
        <v>0.69920000000000004</v>
      </c>
      <c r="Y28" s="145" t="s">
        <v>294</v>
      </c>
      <c r="Z28" s="134" t="s">
        <v>480</v>
      </c>
      <c r="AA28" s="134" t="s">
        <v>543</v>
      </c>
      <c r="AB28" s="137">
        <v>0.70860000000000001</v>
      </c>
      <c r="AC28" s="137">
        <v>0.71850000000000003</v>
      </c>
      <c r="AD28" s="137">
        <v>0.72629999999999995</v>
      </c>
      <c r="AE28" s="137">
        <v>0.73150000000000004</v>
      </c>
      <c r="AF28" s="137">
        <v>0.73409999999999997</v>
      </c>
      <c r="AG28" s="137">
        <v>0.72219999999999995</v>
      </c>
      <c r="AH28" s="158" t="s">
        <v>294</v>
      </c>
      <c r="AI28" s="134" t="s">
        <v>481</v>
      </c>
      <c r="AJ28" s="134" t="s">
        <v>386</v>
      </c>
      <c r="AK28" s="137">
        <v>0.70740000000000003</v>
      </c>
      <c r="AL28" s="137">
        <v>0.72119999999999995</v>
      </c>
      <c r="AM28" s="137">
        <v>0.73050000000000004</v>
      </c>
      <c r="AN28" s="137">
        <v>0.7329</v>
      </c>
      <c r="AO28" s="137">
        <v>0.7268</v>
      </c>
      <c r="AP28" s="137">
        <v>0.72330000000000005</v>
      </c>
      <c r="AQ28" s="150" t="s">
        <v>294</v>
      </c>
      <c r="AR28" s="134" t="s">
        <v>358</v>
      </c>
      <c r="AS28" s="134" t="s">
        <v>359</v>
      </c>
      <c r="AT28" s="137">
        <v>0.70760000000000001</v>
      </c>
      <c r="AU28" s="137">
        <v>0.72040000000000004</v>
      </c>
      <c r="AV28" s="137">
        <v>0.71799999999999997</v>
      </c>
      <c r="AW28" s="137">
        <v>0.74480000000000002</v>
      </c>
      <c r="AX28" s="137">
        <v>0.73670000000000002</v>
      </c>
      <c r="AY28" s="137">
        <v>0.7238</v>
      </c>
      <c r="AZ28" s="138" t="s">
        <v>295</v>
      </c>
      <c r="BA28" s="134" t="s">
        <v>311</v>
      </c>
      <c r="BB28" s="134" t="s">
        <v>311</v>
      </c>
      <c r="BC28" s="137">
        <v>0.68320000000000003</v>
      </c>
      <c r="BD28" s="137">
        <v>0.67369999999999997</v>
      </c>
      <c r="BE28" s="137">
        <v>0.68069999999999997</v>
      </c>
      <c r="BF28" s="137">
        <v>0.7329</v>
      </c>
      <c r="BG28" s="137">
        <v>0.70120000000000005</v>
      </c>
      <c r="BH28" s="137">
        <v>0.69330000000000003</v>
      </c>
      <c r="BI28" s="135" t="s">
        <v>295</v>
      </c>
      <c r="BJ28" s="152">
        <v>76</v>
      </c>
      <c r="BK28" s="152">
        <v>74</v>
      </c>
      <c r="BL28" s="137">
        <v>0.71460000000000001</v>
      </c>
      <c r="BM28" s="137">
        <v>0.67759999999999998</v>
      </c>
      <c r="BN28" s="137">
        <v>0.68389999999999995</v>
      </c>
      <c r="BO28" s="137">
        <v>0.73850000000000005</v>
      </c>
      <c r="BP28" s="137">
        <v>0.70189999999999997</v>
      </c>
      <c r="BQ28" s="137">
        <v>0.70350000000000001</v>
      </c>
      <c r="BR28" s="277" t="s">
        <v>295</v>
      </c>
      <c r="BS28" s="270">
        <v>98</v>
      </c>
      <c r="BT28" s="270">
        <v>97</v>
      </c>
      <c r="BU28" s="270">
        <v>0.70950000000000002</v>
      </c>
      <c r="BV28" s="270">
        <v>0.67249999999999999</v>
      </c>
      <c r="BW28" s="270">
        <v>0.67410000000000003</v>
      </c>
      <c r="BX28" s="270">
        <v>0.74919999999999998</v>
      </c>
      <c r="BY28" s="270">
        <v>0.69599999999999995</v>
      </c>
      <c r="BZ28" s="270">
        <v>0.70089999999999997</v>
      </c>
      <c r="CA28" s="356" t="s">
        <v>295</v>
      </c>
      <c r="CB28" s="355" t="s">
        <v>423</v>
      </c>
      <c r="CC28" s="355" t="s">
        <v>364</v>
      </c>
      <c r="CD28" s="355">
        <v>0.69920000000000004</v>
      </c>
      <c r="CE28" s="355">
        <v>0.66479999999999995</v>
      </c>
      <c r="CF28" s="355">
        <v>0.66469999999999996</v>
      </c>
      <c r="CG28" s="355">
        <v>0.73580000000000001</v>
      </c>
      <c r="CH28" s="355">
        <v>0.67889999999999995</v>
      </c>
      <c r="CI28" s="355">
        <v>0.69020000000000004</v>
      </c>
      <c r="CJ28" s="714"/>
      <c r="CK28" s="618"/>
      <c r="CL28" s="618"/>
      <c r="CM28" s="618"/>
      <c r="CN28" s="618"/>
      <c r="CO28" s="618"/>
      <c r="CP28" s="618"/>
      <c r="CQ28" s="618"/>
      <c r="CR28" s="622"/>
      <c r="CS28" s="564" t="s">
        <v>295</v>
      </c>
      <c r="CT28" s="564">
        <v>116</v>
      </c>
      <c r="CU28" s="564">
        <v>112</v>
      </c>
      <c r="CV28" s="585">
        <v>0.67810000000000004</v>
      </c>
      <c r="CW28" s="585">
        <v>0.66149999999999998</v>
      </c>
      <c r="CX28" s="585">
        <v>0.64170000000000005</v>
      </c>
      <c r="CY28" s="585">
        <v>0.71640000000000004</v>
      </c>
      <c r="CZ28" s="585">
        <v>0.67479999999999996</v>
      </c>
      <c r="DA28" s="585">
        <v>0.67449999999999999</v>
      </c>
      <c r="DB28" s="884" t="s">
        <v>295</v>
      </c>
      <c r="DC28" s="884">
        <v>108</v>
      </c>
      <c r="DD28" s="884">
        <v>106</v>
      </c>
      <c r="DE28" s="884">
        <v>0.6895</v>
      </c>
      <c r="DF28" s="133">
        <v>0.67469999999999997</v>
      </c>
      <c r="DG28" s="133">
        <v>0.64510000000000001</v>
      </c>
      <c r="DH28" s="133">
        <v>0.73299999999999998</v>
      </c>
      <c r="DI28" s="133">
        <v>0.68679999999999997</v>
      </c>
      <c r="DJ28" s="133">
        <v>0.68569999999999998</v>
      </c>
    </row>
    <row r="29" spans="1:114" x14ac:dyDescent="0.25">
      <c r="A29" s="126" t="s">
        <v>727</v>
      </c>
      <c r="B29" s="668">
        <v>325754003908</v>
      </c>
      <c r="C29" s="134" t="s">
        <v>452</v>
      </c>
      <c r="D29" s="134" t="s">
        <v>307</v>
      </c>
      <c r="E29" s="134" t="s">
        <v>671</v>
      </c>
      <c r="F29" s="134" t="s">
        <v>123</v>
      </c>
      <c r="G29" s="169" t="s">
        <v>443</v>
      </c>
      <c r="H29" s="166">
        <v>28</v>
      </c>
      <c r="I29" s="166">
        <v>27</v>
      </c>
      <c r="J29" s="166">
        <v>0.60360000000000003</v>
      </c>
      <c r="K29" s="166">
        <v>0.60670000000000002</v>
      </c>
      <c r="L29" s="166">
        <v>0.59819999999999995</v>
      </c>
      <c r="M29" s="166">
        <v>0.60940000000000005</v>
      </c>
      <c r="N29" s="166">
        <v>0.6169</v>
      </c>
      <c r="O29" s="166">
        <v>0.60540000000000005</v>
      </c>
      <c r="P29" s="176" t="s">
        <v>443</v>
      </c>
      <c r="Q29" s="174" t="s">
        <v>449</v>
      </c>
      <c r="R29" s="174" t="s">
        <v>450</v>
      </c>
      <c r="S29" s="174">
        <v>0.5655</v>
      </c>
      <c r="T29" s="174">
        <v>0.59419999999999995</v>
      </c>
      <c r="U29" s="174">
        <v>0.57750000000000001</v>
      </c>
      <c r="V29" s="174">
        <v>0.61</v>
      </c>
      <c r="W29" s="174">
        <v>0.60709999999999997</v>
      </c>
      <c r="X29" s="174">
        <v>0.58840000000000003</v>
      </c>
      <c r="Y29" s="143" t="s">
        <v>443</v>
      </c>
      <c r="Z29" s="134" t="s">
        <v>449</v>
      </c>
      <c r="AA29" s="134" t="s">
        <v>450</v>
      </c>
      <c r="AB29" s="137">
        <v>0.5655</v>
      </c>
      <c r="AC29" s="137">
        <v>0.59419999999999995</v>
      </c>
      <c r="AD29" s="137">
        <v>0.57750000000000001</v>
      </c>
      <c r="AE29" s="137">
        <v>0.61</v>
      </c>
      <c r="AF29" s="137">
        <v>0.60709999999999997</v>
      </c>
      <c r="AG29" s="137">
        <v>0.58840000000000003</v>
      </c>
      <c r="AH29" s="157" t="s">
        <v>443</v>
      </c>
      <c r="AI29" s="134" t="s">
        <v>449</v>
      </c>
      <c r="AJ29" s="134" t="s">
        <v>450</v>
      </c>
      <c r="AK29" s="137">
        <v>0.5655</v>
      </c>
      <c r="AL29" s="137">
        <v>0.59419999999999995</v>
      </c>
      <c r="AM29" s="137">
        <v>0.57750000000000001</v>
      </c>
      <c r="AN29" s="137">
        <v>0.61</v>
      </c>
      <c r="AO29" s="137">
        <v>0.60709999999999997</v>
      </c>
      <c r="AP29" s="137">
        <v>0.58840000000000003</v>
      </c>
      <c r="AQ29" s="144" t="s">
        <v>443</v>
      </c>
      <c r="AR29" s="134" t="s">
        <v>449</v>
      </c>
      <c r="AS29" s="134" t="s">
        <v>450</v>
      </c>
      <c r="AT29" s="137">
        <v>0.5655</v>
      </c>
      <c r="AU29" s="137">
        <v>0.59419999999999995</v>
      </c>
      <c r="AV29" s="137">
        <v>0.57750000000000001</v>
      </c>
      <c r="AW29" s="137">
        <v>0.61</v>
      </c>
      <c r="AX29" s="137">
        <v>0.60709999999999997</v>
      </c>
      <c r="AY29" s="137">
        <v>0.58840000000000003</v>
      </c>
      <c r="AZ29" s="143" t="s">
        <v>443</v>
      </c>
      <c r="BA29" s="134" t="s">
        <v>449</v>
      </c>
      <c r="BB29" s="134" t="s">
        <v>450</v>
      </c>
      <c r="BC29" s="137">
        <v>0.5655</v>
      </c>
      <c r="BD29" s="137">
        <v>0.59419999999999995</v>
      </c>
      <c r="BE29" s="137">
        <v>0.57750000000000001</v>
      </c>
      <c r="BF29" s="137">
        <v>0.61</v>
      </c>
      <c r="BG29" s="137">
        <v>0.60709999999999997</v>
      </c>
      <c r="BH29" s="137">
        <v>0.58840000000000003</v>
      </c>
      <c r="BI29" s="151" t="s">
        <v>443</v>
      </c>
      <c r="BJ29" s="152">
        <v>34</v>
      </c>
      <c r="BK29" s="152">
        <v>32</v>
      </c>
      <c r="BL29" s="137">
        <v>0.5655</v>
      </c>
      <c r="BM29" s="137">
        <v>0.59419999999999995</v>
      </c>
      <c r="BN29" s="137">
        <v>0.57750000000000001</v>
      </c>
      <c r="BO29" s="137">
        <v>0.61</v>
      </c>
      <c r="BP29" s="137">
        <v>0.60709999999999997</v>
      </c>
      <c r="BQ29" s="137">
        <v>0.58840000000000003</v>
      </c>
      <c r="BR29" s="633"/>
      <c r="BS29" s="269"/>
      <c r="BT29" s="269"/>
      <c r="BU29" s="269"/>
      <c r="BV29" s="269"/>
      <c r="BW29" s="269"/>
      <c r="BX29" s="269"/>
      <c r="BY29" s="269"/>
      <c r="BZ29" s="269"/>
      <c r="CA29" s="344"/>
      <c r="CB29" s="344"/>
      <c r="CC29" s="344"/>
      <c r="CD29" s="344"/>
      <c r="CE29" s="344"/>
      <c r="CF29" s="344"/>
      <c r="CG29" s="344"/>
      <c r="CH29" s="344"/>
      <c r="CI29" s="344"/>
      <c r="CJ29" s="714"/>
      <c r="CK29" s="618"/>
      <c r="CL29" s="618"/>
      <c r="CM29" s="618"/>
      <c r="CN29" s="618"/>
      <c r="CO29" s="618"/>
      <c r="CP29" s="618"/>
      <c r="CQ29" s="618"/>
      <c r="CR29" s="622"/>
      <c r="CS29" s="563"/>
      <c r="CT29" s="582"/>
      <c r="CU29" s="582"/>
      <c r="CV29" s="586"/>
      <c r="CW29" s="586"/>
      <c r="CX29" s="586"/>
      <c r="CY29" s="586"/>
      <c r="CZ29" s="586"/>
      <c r="DA29" s="586"/>
      <c r="DB29" s="884"/>
      <c r="DC29" s="884"/>
      <c r="DD29" s="884"/>
      <c r="DE29" s="884"/>
    </row>
    <row r="30" spans="1:114" x14ac:dyDescent="0.25">
      <c r="A30" s="36" t="s">
        <v>109</v>
      </c>
      <c r="B30" s="668">
        <v>325754005412</v>
      </c>
      <c r="C30" s="134" t="s">
        <v>452</v>
      </c>
      <c r="D30" s="134" t="s">
        <v>307</v>
      </c>
      <c r="E30" s="134" t="s">
        <v>671</v>
      </c>
      <c r="F30" s="134" t="s">
        <v>123</v>
      </c>
      <c r="G30" s="165" t="s">
        <v>295</v>
      </c>
      <c r="H30" s="166">
        <v>53</v>
      </c>
      <c r="I30" s="166">
        <v>52</v>
      </c>
      <c r="J30" s="166">
        <v>0.70540000000000003</v>
      </c>
      <c r="K30" s="166">
        <v>0.7389</v>
      </c>
      <c r="L30" s="166">
        <v>0.70979999999999999</v>
      </c>
      <c r="M30" s="166">
        <v>0.7268</v>
      </c>
      <c r="N30" s="166">
        <v>0.68440000000000001</v>
      </c>
      <c r="O30" s="166">
        <v>0.71750000000000003</v>
      </c>
      <c r="P30" s="177" t="s">
        <v>294</v>
      </c>
      <c r="Q30" s="174" t="s">
        <v>517</v>
      </c>
      <c r="R30" s="174" t="s">
        <v>678</v>
      </c>
      <c r="S30" s="174">
        <v>0.7198</v>
      </c>
      <c r="T30" s="174">
        <v>0.73609999999999998</v>
      </c>
      <c r="U30" s="174">
        <v>0.72750000000000004</v>
      </c>
      <c r="V30" s="174">
        <v>0.72750000000000004</v>
      </c>
      <c r="W30" s="174">
        <v>0.70409999999999995</v>
      </c>
      <c r="X30" s="174">
        <v>0.72589999999999999</v>
      </c>
      <c r="Y30" s="145" t="s">
        <v>294</v>
      </c>
      <c r="Z30" s="134" t="s">
        <v>497</v>
      </c>
      <c r="AA30" s="134" t="s">
        <v>533</v>
      </c>
      <c r="AB30" s="137">
        <v>0.73309999999999997</v>
      </c>
      <c r="AC30" s="137">
        <v>0.74339999999999995</v>
      </c>
      <c r="AD30" s="137">
        <v>0.72709999999999997</v>
      </c>
      <c r="AE30" s="137">
        <v>0.73680000000000001</v>
      </c>
      <c r="AF30" s="137">
        <v>0.73150000000000004</v>
      </c>
      <c r="AG30" s="137">
        <v>0.73480000000000001</v>
      </c>
      <c r="AH30" s="158" t="s">
        <v>294</v>
      </c>
      <c r="AI30" s="134" t="s">
        <v>461</v>
      </c>
      <c r="AJ30" s="134" t="s">
        <v>462</v>
      </c>
      <c r="AK30" s="137">
        <v>0.74390000000000001</v>
      </c>
      <c r="AL30" s="137">
        <v>0.75160000000000005</v>
      </c>
      <c r="AM30" s="137">
        <v>0.73899999999999999</v>
      </c>
      <c r="AN30" s="137">
        <v>0.75739999999999996</v>
      </c>
      <c r="AO30" s="137">
        <v>0.75019999999999998</v>
      </c>
      <c r="AP30" s="137">
        <v>0.74809999999999999</v>
      </c>
      <c r="AQ30" s="150" t="s">
        <v>294</v>
      </c>
      <c r="AR30" s="134" t="s">
        <v>326</v>
      </c>
      <c r="AS30" s="134" t="s">
        <v>327</v>
      </c>
      <c r="AT30" s="137">
        <v>0.75239999999999996</v>
      </c>
      <c r="AU30" s="137">
        <v>0.75219999999999998</v>
      </c>
      <c r="AV30" s="137">
        <v>0.73</v>
      </c>
      <c r="AW30" s="137">
        <v>0.76680000000000004</v>
      </c>
      <c r="AX30" s="137">
        <v>0.76180000000000003</v>
      </c>
      <c r="AY30" s="137">
        <v>0.75119999999999998</v>
      </c>
      <c r="AZ30" s="145" t="s">
        <v>294</v>
      </c>
      <c r="BA30" s="134" t="s">
        <v>630</v>
      </c>
      <c r="BB30" s="134" t="s">
        <v>631</v>
      </c>
      <c r="BC30" s="137">
        <v>0.76080000000000003</v>
      </c>
      <c r="BD30" s="137">
        <v>0.74309999999999998</v>
      </c>
      <c r="BE30" s="137">
        <v>0.72699999999999998</v>
      </c>
      <c r="BF30" s="137">
        <v>0.77290000000000003</v>
      </c>
      <c r="BG30" s="137">
        <v>0.75880000000000003</v>
      </c>
      <c r="BH30" s="137">
        <v>0.75149999999999995</v>
      </c>
      <c r="BI30" s="149" t="s">
        <v>294</v>
      </c>
      <c r="BJ30" s="152">
        <v>475</v>
      </c>
      <c r="BK30" s="152">
        <v>469</v>
      </c>
      <c r="BL30" s="137">
        <v>0.76680000000000004</v>
      </c>
      <c r="BM30" s="137">
        <v>0.7349</v>
      </c>
      <c r="BN30" s="137">
        <v>0.73099999999999998</v>
      </c>
      <c r="BO30" s="137">
        <v>0.77139999999999997</v>
      </c>
      <c r="BP30" s="137">
        <v>0.73899999999999999</v>
      </c>
      <c r="BQ30" s="137">
        <v>0.75009999999999999</v>
      </c>
      <c r="BR30" s="281" t="s">
        <v>294</v>
      </c>
      <c r="BS30" s="270">
        <v>453</v>
      </c>
      <c r="BT30" s="270">
        <v>451</v>
      </c>
      <c r="BU30" s="270">
        <v>0.76959999999999995</v>
      </c>
      <c r="BV30" s="270">
        <v>0.73109999999999997</v>
      </c>
      <c r="BW30" s="270">
        <v>0.74239999999999995</v>
      </c>
      <c r="BX30" s="270">
        <v>0.77969999999999995</v>
      </c>
      <c r="BY30" s="270">
        <v>0.7379</v>
      </c>
      <c r="BZ30" s="270">
        <v>0.75429999999999997</v>
      </c>
      <c r="CA30" s="364" t="s">
        <v>294</v>
      </c>
      <c r="CB30" s="355" t="s">
        <v>583</v>
      </c>
      <c r="CC30" s="355" t="s">
        <v>812</v>
      </c>
      <c r="CD30" s="355">
        <v>0.78139999999999998</v>
      </c>
      <c r="CE30" s="355">
        <v>0.73960000000000004</v>
      </c>
      <c r="CF30" s="355">
        <v>0.76190000000000002</v>
      </c>
      <c r="CG30" s="355">
        <v>0.78649999999999998</v>
      </c>
      <c r="CH30" s="355">
        <v>0.75119999999999998</v>
      </c>
      <c r="CI30" s="355">
        <v>0.7661</v>
      </c>
      <c r="CJ30" s="717" t="s">
        <v>294</v>
      </c>
      <c r="CK30" s="620">
        <v>539</v>
      </c>
      <c r="CL30" s="620">
        <v>538</v>
      </c>
      <c r="CM30" s="620">
        <v>0.78510000000000002</v>
      </c>
      <c r="CN30" s="620">
        <v>0.74229999999999996</v>
      </c>
      <c r="CO30" s="620">
        <v>0.75600000000000001</v>
      </c>
      <c r="CP30" s="620">
        <v>0.78600000000000003</v>
      </c>
      <c r="CQ30" s="620">
        <v>0.77839999999999998</v>
      </c>
      <c r="CR30" s="711">
        <v>0.76819999999999999</v>
      </c>
      <c r="CS30" s="564" t="s">
        <v>293</v>
      </c>
      <c r="CT30" s="564">
        <v>553</v>
      </c>
      <c r="CU30" s="564">
        <v>553</v>
      </c>
      <c r="CV30" s="585">
        <v>0.79100000000000004</v>
      </c>
      <c r="CW30" s="585">
        <v>0.75600000000000001</v>
      </c>
      <c r="CX30" s="585">
        <v>0.75719999999999998</v>
      </c>
      <c r="CY30" s="585">
        <v>0.7883</v>
      </c>
      <c r="CZ30" s="585">
        <v>0.79049999999999998</v>
      </c>
      <c r="DA30" s="585">
        <v>0.77449999999999997</v>
      </c>
      <c r="DB30" s="884" t="s">
        <v>293</v>
      </c>
      <c r="DC30" s="884">
        <v>569</v>
      </c>
      <c r="DD30" s="884">
        <v>569</v>
      </c>
      <c r="DE30" s="884">
        <v>0.7833</v>
      </c>
      <c r="DF30" s="133">
        <v>0.76190000000000002</v>
      </c>
      <c r="DG30" s="133">
        <v>0.748</v>
      </c>
      <c r="DH30" s="133">
        <v>0.78680000000000005</v>
      </c>
      <c r="DI30" s="133">
        <v>0.79320000000000002</v>
      </c>
      <c r="DJ30" s="133">
        <v>0.77180000000000004</v>
      </c>
    </row>
    <row r="31" spans="1:114" x14ac:dyDescent="0.25">
      <c r="A31" s="866" t="s">
        <v>960</v>
      </c>
      <c r="B31" s="881">
        <v>325754003622</v>
      </c>
      <c r="C31" s="741"/>
      <c r="D31" s="741"/>
      <c r="E31" s="741"/>
      <c r="F31" s="741"/>
      <c r="G31" s="744"/>
      <c r="H31" s="743"/>
      <c r="I31" s="743"/>
      <c r="J31" s="743"/>
      <c r="K31" s="743"/>
      <c r="L31" s="743"/>
      <c r="M31" s="743"/>
      <c r="N31" s="743"/>
      <c r="O31" s="743"/>
      <c r="P31" s="742"/>
      <c r="Q31" s="743"/>
      <c r="R31" s="743"/>
      <c r="S31" s="743"/>
      <c r="T31" s="743"/>
      <c r="U31" s="743"/>
      <c r="V31" s="743"/>
      <c r="W31" s="743"/>
      <c r="X31" s="743"/>
      <c r="Y31" s="767"/>
      <c r="Z31" s="741"/>
      <c r="AA31" s="741"/>
      <c r="AB31" s="746"/>
      <c r="AC31" s="746"/>
      <c r="AD31" s="746"/>
      <c r="AE31" s="746"/>
      <c r="AF31" s="746"/>
      <c r="AG31" s="746"/>
      <c r="AH31" s="770"/>
      <c r="AI31" s="741"/>
      <c r="AJ31" s="741"/>
      <c r="AK31" s="746"/>
      <c r="AL31" s="746"/>
      <c r="AM31" s="746"/>
      <c r="AN31" s="746"/>
      <c r="AO31" s="746"/>
      <c r="AP31" s="746"/>
      <c r="AQ31" s="885"/>
      <c r="AR31" s="741"/>
      <c r="AS31" s="741"/>
      <c r="AT31" s="746"/>
      <c r="AU31" s="746"/>
      <c r="AV31" s="746"/>
      <c r="AW31" s="746"/>
      <c r="AX31" s="746"/>
      <c r="AY31" s="746"/>
      <c r="AZ31" s="767"/>
      <c r="BA31" s="741"/>
      <c r="BB31" s="741"/>
      <c r="BC31" s="746"/>
      <c r="BD31" s="746"/>
      <c r="BE31" s="746"/>
      <c r="BF31" s="746"/>
      <c r="BG31" s="746"/>
      <c r="BH31" s="746"/>
      <c r="BI31" s="749"/>
      <c r="BJ31" s="750"/>
      <c r="BK31" s="750"/>
      <c r="BL31" s="746"/>
      <c r="BM31" s="746"/>
      <c r="BN31" s="746"/>
      <c r="BO31" s="746"/>
      <c r="BP31" s="746"/>
      <c r="BQ31" s="746"/>
      <c r="BR31" s="886"/>
      <c r="BS31" s="743"/>
      <c r="BT31" s="743"/>
      <c r="BU31" s="743"/>
      <c r="BV31" s="743"/>
      <c r="BW31" s="743"/>
      <c r="BX31" s="743"/>
      <c r="BY31" s="743"/>
      <c r="BZ31" s="743"/>
      <c r="CA31" s="751"/>
      <c r="CB31" s="752"/>
      <c r="CC31" s="752"/>
      <c r="CD31" s="752"/>
      <c r="CE31" s="752"/>
      <c r="CF31" s="752"/>
      <c r="CG31" s="752"/>
      <c r="CH31" s="752"/>
      <c r="CI31" s="752"/>
      <c r="CJ31" s="887"/>
      <c r="CK31" s="743"/>
      <c r="CL31" s="743"/>
      <c r="CM31" s="743"/>
      <c r="CN31" s="743"/>
      <c r="CO31" s="743"/>
      <c r="CP31" s="743"/>
      <c r="CQ31" s="743"/>
      <c r="CR31" s="753"/>
      <c r="CS31" s="754"/>
      <c r="CT31" s="754"/>
      <c r="CU31" s="754"/>
      <c r="CV31" s="755"/>
      <c r="CW31" s="755"/>
      <c r="CX31" s="755"/>
      <c r="CY31" s="755"/>
      <c r="CZ31" s="755"/>
      <c r="DA31" s="755"/>
      <c r="DB31" s="888" t="s">
        <v>443</v>
      </c>
      <c r="DC31" s="884">
        <v>27</v>
      </c>
      <c r="DD31" s="884">
        <v>25</v>
      </c>
      <c r="DE31" s="884">
        <v>0.60880000000000001</v>
      </c>
      <c r="DF31" s="133">
        <v>0.58799999999999997</v>
      </c>
      <c r="DG31" s="133">
        <v>0.5504</v>
      </c>
      <c r="DH31" s="133">
        <v>0.63590000000000002</v>
      </c>
      <c r="DI31" s="133">
        <v>0.62</v>
      </c>
      <c r="DJ31" s="133">
        <v>0.59760000000000002</v>
      </c>
    </row>
    <row r="32" spans="1:114" x14ac:dyDescent="0.25">
      <c r="A32" s="36" t="s">
        <v>97</v>
      </c>
      <c r="B32" s="668">
        <v>325754000950</v>
      </c>
      <c r="C32" s="134" t="s">
        <v>452</v>
      </c>
      <c r="D32" s="134" t="s">
        <v>307</v>
      </c>
      <c r="E32" s="134" t="s">
        <v>671</v>
      </c>
      <c r="F32" s="134" t="s">
        <v>123</v>
      </c>
      <c r="G32" s="165" t="s">
        <v>295</v>
      </c>
      <c r="H32" s="166">
        <v>80</v>
      </c>
      <c r="I32" s="166">
        <v>80</v>
      </c>
      <c r="J32" s="166">
        <v>0.66579999999999995</v>
      </c>
      <c r="K32" s="166">
        <v>0.67149999999999999</v>
      </c>
      <c r="L32" s="166">
        <v>0.6915</v>
      </c>
      <c r="M32" s="166">
        <v>0.69679999999999997</v>
      </c>
      <c r="N32" s="166">
        <v>0.65890000000000004</v>
      </c>
      <c r="O32" s="166">
        <v>0.67969999999999997</v>
      </c>
      <c r="P32" s="173" t="s">
        <v>295</v>
      </c>
      <c r="Q32" s="174" t="s">
        <v>410</v>
      </c>
      <c r="R32" s="174" t="s">
        <v>410</v>
      </c>
      <c r="S32" s="174">
        <v>0.67290000000000005</v>
      </c>
      <c r="T32" s="174">
        <v>0.67359999999999998</v>
      </c>
      <c r="U32" s="174">
        <v>0.70130000000000003</v>
      </c>
      <c r="V32" s="174">
        <v>0.6976</v>
      </c>
      <c r="W32" s="174">
        <v>0.66469999999999996</v>
      </c>
      <c r="X32" s="174">
        <v>0.68469999999999998</v>
      </c>
      <c r="Y32" s="138" t="s">
        <v>295</v>
      </c>
      <c r="Z32" s="134" t="s">
        <v>423</v>
      </c>
      <c r="AA32" s="134" t="s">
        <v>423</v>
      </c>
      <c r="AB32" s="137">
        <v>0.68030000000000002</v>
      </c>
      <c r="AC32" s="137">
        <v>0.68120000000000003</v>
      </c>
      <c r="AD32" s="137">
        <v>0.69879999999999998</v>
      </c>
      <c r="AE32" s="137">
        <v>0.70330000000000004</v>
      </c>
      <c r="AF32" s="137">
        <v>0.68340000000000001</v>
      </c>
      <c r="AG32" s="137">
        <v>0.69030000000000002</v>
      </c>
      <c r="AH32" s="159" t="s">
        <v>295</v>
      </c>
      <c r="AI32" s="134" t="s">
        <v>340</v>
      </c>
      <c r="AJ32" s="134" t="s">
        <v>341</v>
      </c>
      <c r="AK32" s="137">
        <v>0.68330000000000002</v>
      </c>
      <c r="AL32" s="137">
        <v>0.68310000000000004</v>
      </c>
      <c r="AM32" s="137">
        <v>0.67859999999999998</v>
      </c>
      <c r="AN32" s="137">
        <v>0.70320000000000005</v>
      </c>
      <c r="AO32" s="137">
        <v>0.67689999999999995</v>
      </c>
      <c r="AP32" s="137">
        <v>0.68620000000000003</v>
      </c>
      <c r="AQ32" s="139" t="s">
        <v>295</v>
      </c>
      <c r="AR32" s="134" t="s">
        <v>410</v>
      </c>
      <c r="AS32" s="134" t="s">
        <v>411</v>
      </c>
      <c r="AT32" s="137">
        <v>0.69130000000000003</v>
      </c>
      <c r="AU32" s="137">
        <v>0.68540000000000001</v>
      </c>
      <c r="AV32" s="137">
        <v>0.66139999999999999</v>
      </c>
      <c r="AW32" s="137">
        <v>0.71950000000000003</v>
      </c>
      <c r="AX32" s="137">
        <v>0.69289999999999996</v>
      </c>
      <c r="AY32" s="137">
        <v>0.68969999999999998</v>
      </c>
      <c r="AZ32" s="138" t="s">
        <v>295</v>
      </c>
      <c r="BA32" s="134" t="s">
        <v>323</v>
      </c>
      <c r="BB32" s="134" t="s">
        <v>433</v>
      </c>
      <c r="BC32" s="137">
        <v>0.69820000000000004</v>
      </c>
      <c r="BD32" s="137">
        <v>0.68240000000000001</v>
      </c>
      <c r="BE32" s="137">
        <v>0.6583</v>
      </c>
      <c r="BF32" s="137">
        <v>0.73109999999999997</v>
      </c>
      <c r="BG32" s="137">
        <v>0.70040000000000002</v>
      </c>
      <c r="BH32" s="137">
        <v>0.69310000000000005</v>
      </c>
      <c r="BI32" s="135" t="s">
        <v>295</v>
      </c>
      <c r="BJ32" s="152">
        <v>100</v>
      </c>
      <c r="BK32" s="152">
        <v>98</v>
      </c>
      <c r="BL32" s="137">
        <v>0.71760000000000002</v>
      </c>
      <c r="BM32" s="137">
        <v>0.68269999999999997</v>
      </c>
      <c r="BN32" s="137">
        <v>0.67569999999999997</v>
      </c>
      <c r="BO32" s="137">
        <v>0.74039999999999995</v>
      </c>
      <c r="BP32" s="137">
        <v>0.70140000000000002</v>
      </c>
      <c r="BQ32" s="137">
        <v>0.70389999999999997</v>
      </c>
      <c r="BR32" s="277" t="s">
        <v>295</v>
      </c>
      <c r="BS32" s="270">
        <v>94</v>
      </c>
      <c r="BT32" s="270">
        <v>94</v>
      </c>
      <c r="BU32" s="270">
        <v>0.7097</v>
      </c>
      <c r="BV32" s="270">
        <v>0.68520000000000003</v>
      </c>
      <c r="BW32" s="270">
        <v>0.68100000000000005</v>
      </c>
      <c r="BX32" s="270">
        <v>0.74509999999999998</v>
      </c>
      <c r="BY32" s="270">
        <v>0.72170000000000001</v>
      </c>
      <c r="BZ32" s="270">
        <v>0.70650000000000002</v>
      </c>
      <c r="CA32" s="356" t="s">
        <v>295</v>
      </c>
      <c r="CB32" s="355" t="s">
        <v>441</v>
      </c>
      <c r="CC32" s="355" t="s">
        <v>441</v>
      </c>
      <c r="CD32" s="355">
        <v>0.71830000000000005</v>
      </c>
      <c r="CE32" s="355">
        <v>0.69550000000000001</v>
      </c>
      <c r="CF32" s="355">
        <v>0.69499999999999995</v>
      </c>
      <c r="CG32" s="355">
        <v>0.74850000000000005</v>
      </c>
      <c r="CH32" s="355">
        <v>0.7389</v>
      </c>
      <c r="CI32" s="355">
        <v>0.71619999999999995</v>
      </c>
      <c r="CJ32" s="703" t="s">
        <v>294</v>
      </c>
      <c r="CK32" s="620">
        <v>103</v>
      </c>
      <c r="CL32" s="620">
        <v>103</v>
      </c>
      <c r="CM32" s="620">
        <v>0.71899999999999997</v>
      </c>
      <c r="CN32" s="620">
        <v>0.71040000000000003</v>
      </c>
      <c r="CO32" s="620">
        <v>0.72219999999999995</v>
      </c>
      <c r="CP32" s="620">
        <v>0.75170000000000003</v>
      </c>
      <c r="CQ32" s="620">
        <v>0.76839999999999997</v>
      </c>
      <c r="CR32" s="711">
        <v>0.72909999999999997</v>
      </c>
      <c r="CS32" s="564" t="s">
        <v>294</v>
      </c>
      <c r="CT32" s="564">
        <v>106</v>
      </c>
      <c r="CU32" s="564">
        <v>106</v>
      </c>
      <c r="CV32" s="585">
        <v>0.73080000000000001</v>
      </c>
      <c r="CW32" s="585">
        <v>0.70699999999999996</v>
      </c>
      <c r="CX32" s="585">
        <v>0.71540000000000004</v>
      </c>
      <c r="CY32" s="585">
        <v>0.75970000000000004</v>
      </c>
      <c r="CZ32" s="585">
        <v>0.76529999999999998</v>
      </c>
      <c r="DA32" s="585">
        <v>0.73109999999999997</v>
      </c>
      <c r="DB32" s="884" t="s">
        <v>294</v>
      </c>
      <c r="DC32" s="884">
        <v>106</v>
      </c>
      <c r="DD32" s="884">
        <v>106</v>
      </c>
      <c r="DE32" s="884">
        <v>0.72960000000000003</v>
      </c>
      <c r="DF32" s="133">
        <v>0.70379999999999998</v>
      </c>
      <c r="DG32" s="133">
        <v>0.69689999999999996</v>
      </c>
      <c r="DH32" s="133">
        <v>0.7631</v>
      </c>
      <c r="DI32" s="133">
        <v>0.75529999999999997</v>
      </c>
      <c r="DJ32" s="133">
        <v>0.7258</v>
      </c>
    </row>
    <row r="33" spans="1:114" x14ac:dyDescent="0.25">
      <c r="A33" s="36" t="s">
        <v>51</v>
      </c>
      <c r="B33" s="668">
        <v>325754000721</v>
      </c>
      <c r="C33" s="134" t="s">
        <v>452</v>
      </c>
      <c r="D33" s="134" t="s">
        <v>307</v>
      </c>
      <c r="E33" s="134" t="s">
        <v>671</v>
      </c>
      <c r="F33" s="134" t="s">
        <v>123</v>
      </c>
      <c r="G33" s="168" t="s">
        <v>294</v>
      </c>
      <c r="H33" s="166">
        <v>74</v>
      </c>
      <c r="I33" s="166">
        <v>74</v>
      </c>
      <c r="J33" s="166">
        <v>0.72660000000000002</v>
      </c>
      <c r="K33" s="166">
        <v>0.75229999999999997</v>
      </c>
      <c r="L33" s="166">
        <v>0.75249999999999995</v>
      </c>
      <c r="M33" s="166">
        <v>0.77010000000000001</v>
      </c>
      <c r="N33" s="166">
        <v>0.72030000000000005</v>
      </c>
      <c r="O33" s="166">
        <v>0.74809999999999999</v>
      </c>
      <c r="P33" s="177" t="s">
        <v>294</v>
      </c>
      <c r="Q33" s="174" t="s">
        <v>468</v>
      </c>
      <c r="R33" s="174" t="s">
        <v>468</v>
      </c>
      <c r="S33" s="174">
        <v>0.72419999999999995</v>
      </c>
      <c r="T33" s="174">
        <v>0.73880000000000001</v>
      </c>
      <c r="U33" s="174">
        <v>0.74360000000000004</v>
      </c>
      <c r="V33" s="174">
        <v>0.75170000000000003</v>
      </c>
      <c r="W33" s="174">
        <v>0.72709999999999997</v>
      </c>
      <c r="X33" s="174">
        <v>0.73860000000000003</v>
      </c>
      <c r="Y33" s="145" t="s">
        <v>294</v>
      </c>
      <c r="Z33" s="134" t="s">
        <v>314</v>
      </c>
      <c r="AA33" s="134" t="s">
        <v>314</v>
      </c>
      <c r="AB33" s="137">
        <v>0.73939999999999995</v>
      </c>
      <c r="AC33" s="137">
        <v>0.75029999999999997</v>
      </c>
      <c r="AD33" s="137">
        <v>0.75060000000000004</v>
      </c>
      <c r="AE33" s="137">
        <v>0.75180000000000002</v>
      </c>
      <c r="AF33" s="137">
        <v>0.74309999999999998</v>
      </c>
      <c r="AG33" s="137">
        <v>0.74760000000000004</v>
      </c>
      <c r="AH33" s="158" t="s">
        <v>294</v>
      </c>
      <c r="AI33" s="134" t="s">
        <v>460</v>
      </c>
      <c r="AJ33" s="134" t="s">
        <v>374</v>
      </c>
      <c r="AK33" s="137">
        <v>0.74490000000000001</v>
      </c>
      <c r="AL33" s="137">
        <v>0.75449999999999995</v>
      </c>
      <c r="AM33" s="137">
        <v>0.75409999999999999</v>
      </c>
      <c r="AN33" s="137">
        <v>0.77229999999999999</v>
      </c>
      <c r="AO33" s="137">
        <v>0.75890000000000002</v>
      </c>
      <c r="AP33" s="137">
        <v>0.75660000000000005</v>
      </c>
      <c r="AQ33" s="148" t="s">
        <v>293</v>
      </c>
      <c r="AR33" s="134" t="s">
        <v>311</v>
      </c>
      <c r="AS33" s="134" t="s">
        <v>312</v>
      </c>
      <c r="AT33" s="137">
        <v>0.76670000000000005</v>
      </c>
      <c r="AU33" s="137">
        <v>0.76959999999999995</v>
      </c>
      <c r="AV33" s="137">
        <v>0.78400000000000003</v>
      </c>
      <c r="AW33" s="137">
        <v>0.80210000000000004</v>
      </c>
      <c r="AX33" s="137">
        <v>0.78810000000000002</v>
      </c>
      <c r="AY33" s="137">
        <v>0.78120000000000001</v>
      </c>
      <c r="AZ33" s="147" t="s">
        <v>293</v>
      </c>
      <c r="BA33" s="134" t="s">
        <v>311</v>
      </c>
      <c r="BB33" s="134" t="s">
        <v>453</v>
      </c>
      <c r="BC33" s="137">
        <v>0.76749999999999996</v>
      </c>
      <c r="BD33" s="137">
        <v>0.75560000000000005</v>
      </c>
      <c r="BE33" s="137">
        <v>0.7651</v>
      </c>
      <c r="BF33" s="137">
        <v>0.79649999999999999</v>
      </c>
      <c r="BG33" s="137">
        <v>0.77580000000000005</v>
      </c>
      <c r="BH33" s="137">
        <v>0.77149999999999996</v>
      </c>
      <c r="BI33" s="149" t="s">
        <v>294</v>
      </c>
      <c r="BJ33" s="152">
        <v>67</v>
      </c>
      <c r="BK33" s="152">
        <v>65</v>
      </c>
      <c r="BL33" s="137">
        <v>0.76359999999999995</v>
      </c>
      <c r="BM33" s="137">
        <v>0.74919999999999998</v>
      </c>
      <c r="BN33" s="137">
        <v>0.7702</v>
      </c>
      <c r="BO33" s="137">
        <v>0.7883</v>
      </c>
      <c r="BP33" s="137">
        <v>0.748</v>
      </c>
      <c r="BQ33" s="137">
        <v>0.76629999999999998</v>
      </c>
      <c r="BR33" s="281" t="s">
        <v>294</v>
      </c>
      <c r="BS33" s="270">
        <v>71</v>
      </c>
      <c r="BT33" s="270">
        <v>70</v>
      </c>
      <c r="BU33" s="270">
        <v>0.76370000000000005</v>
      </c>
      <c r="BV33" s="270">
        <v>0.73650000000000004</v>
      </c>
      <c r="BW33" s="270">
        <v>0.755</v>
      </c>
      <c r="BX33" s="270">
        <v>0.77849999999999997</v>
      </c>
      <c r="BY33" s="270">
        <v>0.74539999999999995</v>
      </c>
      <c r="BZ33" s="270">
        <v>0.75739999999999996</v>
      </c>
      <c r="CA33" s="364" t="s">
        <v>294</v>
      </c>
      <c r="CB33" s="355" t="s">
        <v>314</v>
      </c>
      <c r="CC33" s="355" t="s">
        <v>314</v>
      </c>
      <c r="CD33" s="355">
        <v>0.76729999999999998</v>
      </c>
      <c r="CE33" s="355">
        <v>0.74309999999999998</v>
      </c>
      <c r="CF33" s="355">
        <v>0.76959999999999995</v>
      </c>
      <c r="CG33" s="355">
        <v>0.7903</v>
      </c>
      <c r="CH33" s="355">
        <v>0.7591</v>
      </c>
      <c r="CI33" s="355">
        <v>0.76690000000000003</v>
      </c>
      <c r="CJ33" s="716" t="s">
        <v>293</v>
      </c>
      <c r="CK33" s="620">
        <v>57</v>
      </c>
      <c r="CL33" s="620">
        <v>57</v>
      </c>
      <c r="CM33" s="620">
        <v>0.77229999999999999</v>
      </c>
      <c r="CN33" s="620">
        <v>0.74250000000000005</v>
      </c>
      <c r="CO33" s="620">
        <v>0.7702</v>
      </c>
      <c r="CP33" s="620">
        <v>0.79859999999999998</v>
      </c>
      <c r="CQ33" s="620">
        <v>0.78969999999999996</v>
      </c>
      <c r="CR33" s="711">
        <v>0.77229999999999999</v>
      </c>
      <c r="CS33" s="564" t="s">
        <v>293</v>
      </c>
      <c r="CT33" s="564">
        <v>48</v>
      </c>
      <c r="CU33" s="564">
        <v>48</v>
      </c>
      <c r="CV33" s="585">
        <v>0.77210000000000001</v>
      </c>
      <c r="CW33" s="585">
        <v>0.75590000000000002</v>
      </c>
      <c r="CX33" s="585">
        <v>0.77710000000000001</v>
      </c>
      <c r="CY33" s="585">
        <v>0.80769999999999997</v>
      </c>
      <c r="CZ33" s="585">
        <v>0.78800000000000003</v>
      </c>
      <c r="DA33" s="585">
        <v>0.77890000000000004</v>
      </c>
      <c r="DB33" s="884" t="s">
        <v>293</v>
      </c>
      <c r="DC33" s="884">
        <v>38</v>
      </c>
      <c r="DD33" s="884">
        <v>38</v>
      </c>
      <c r="DE33" s="884">
        <v>0.7732</v>
      </c>
      <c r="DF33" s="133">
        <v>0.75309999999999999</v>
      </c>
      <c r="DG33" s="133">
        <v>0.76019999999999999</v>
      </c>
      <c r="DH33" s="133">
        <v>0.79759999999999998</v>
      </c>
      <c r="DI33" s="133">
        <v>0.78790000000000004</v>
      </c>
      <c r="DJ33" s="133">
        <v>0.77229999999999999</v>
      </c>
    </row>
    <row r="34" spans="1:114" x14ac:dyDescent="0.25">
      <c r="A34" s="36" t="s">
        <v>102</v>
      </c>
      <c r="B34" s="668">
        <v>325754004959</v>
      </c>
      <c r="C34" s="134" t="s">
        <v>452</v>
      </c>
      <c r="D34" s="134" t="s">
        <v>307</v>
      </c>
      <c r="E34" s="134" t="s">
        <v>671</v>
      </c>
      <c r="F34" s="134" t="s">
        <v>123</v>
      </c>
      <c r="G34" s="167" t="s">
        <v>427</v>
      </c>
      <c r="H34" s="166">
        <v>28</v>
      </c>
      <c r="I34" s="166">
        <v>24</v>
      </c>
      <c r="J34" s="166">
        <v>0.62539999999999996</v>
      </c>
      <c r="K34" s="166">
        <v>0.63200000000000001</v>
      </c>
      <c r="L34" s="166">
        <v>0.6351</v>
      </c>
      <c r="M34" s="166">
        <v>0.60460000000000003</v>
      </c>
      <c r="N34" s="166">
        <v>0.62039999999999995</v>
      </c>
      <c r="O34" s="166">
        <v>0.624</v>
      </c>
      <c r="P34" s="175" t="s">
        <v>427</v>
      </c>
      <c r="Q34" s="174" t="s">
        <v>368</v>
      </c>
      <c r="R34" s="174" t="s">
        <v>333</v>
      </c>
      <c r="S34" s="174">
        <v>0.63570000000000004</v>
      </c>
      <c r="T34" s="174">
        <v>0.63660000000000005</v>
      </c>
      <c r="U34" s="174">
        <v>0.64070000000000005</v>
      </c>
      <c r="V34" s="174">
        <v>0.62160000000000004</v>
      </c>
      <c r="W34" s="174">
        <v>0.62270000000000003</v>
      </c>
      <c r="X34" s="174">
        <v>0.63280000000000003</v>
      </c>
      <c r="Y34" s="141" t="s">
        <v>427</v>
      </c>
      <c r="Z34" s="134" t="s">
        <v>368</v>
      </c>
      <c r="AA34" s="134" t="s">
        <v>333</v>
      </c>
      <c r="AB34" s="137">
        <v>0.64300000000000002</v>
      </c>
      <c r="AC34" s="137">
        <v>0.65149999999999997</v>
      </c>
      <c r="AD34" s="137">
        <v>0.61819999999999997</v>
      </c>
      <c r="AE34" s="137">
        <v>0.64139999999999997</v>
      </c>
      <c r="AF34" s="137">
        <v>0.62619999999999998</v>
      </c>
      <c r="AG34" s="137">
        <v>0.63759999999999994</v>
      </c>
      <c r="AH34" s="155" t="s">
        <v>427</v>
      </c>
      <c r="AI34" s="134" t="s">
        <v>420</v>
      </c>
      <c r="AJ34" s="134" t="s">
        <v>450</v>
      </c>
      <c r="AK34" s="137">
        <v>0.63160000000000005</v>
      </c>
      <c r="AL34" s="137">
        <v>0.6653</v>
      </c>
      <c r="AM34" s="137">
        <v>0.61419999999999997</v>
      </c>
      <c r="AN34" s="137">
        <v>0.67700000000000005</v>
      </c>
      <c r="AO34" s="137">
        <v>0.62839999999999996</v>
      </c>
      <c r="AP34" s="137">
        <v>0.64559999999999995</v>
      </c>
      <c r="AQ34" s="142" t="s">
        <v>427</v>
      </c>
      <c r="AR34" s="134" t="s">
        <v>370</v>
      </c>
      <c r="AS34" s="134" t="s">
        <v>368</v>
      </c>
      <c r="AT34" s="137">
        <v>0.61529999999999996</v>
      </c>
      <c r="AU34" s="137">
        <v>0.66910000000000003</v>
      </c>
      <c r="AV34" s="137">
        <v>0.59860000000000002</v>
      </c>
      <c r="AW34" s="137">
        <v>0.68059999999999998</v>
      </c>
      <c r="AX34" s="137">
        <v>0.62409999999999999</v>
      </c>
      <c r="AY34" s="137">
        <v>0.63959999999999995</v>
      </c>
      <c r="AZ34" s="143" t="s">
        <v>443</v>
      </c>
      <c r="BA34" s="134" t="s">
        <v>431</v>
      </c>
      <c r="BB34" s="134" t="s">
        <v>492</v>
      </c>
      <c r="BC34" s="137">
        <v>0.59440000000000004</v>
      </c>
      <c r="BD34" s="137">
        <v>0.63190000000000002</v>
      </c>
      <c r="BE34" s="137">
        <v>0.57609999999999995</v>
      </c>
      <c r="BF34" s="137">
        <v>0.66180000000000005</v>
      </c>
      <c r="BG34" s="137">
        <v>0.59499999999999997</v>
      </c>
      <c r="BH34" s="137">
        <v>0.61439999999999995</v>
      </c>
      <c r="BI34" s="151" t="s">
        <v>443</v>
      </c>
      <c r="BJ34" s="152">
        <v>55</v>
      </c>
      <c r="BK34" s="152">
        <v>52</v>
      </c>
      <c r="BL34" s="137">
        <v>0.61499999999999999</v>
      </c>
      <c r="BM34" s="137">
        <v>0.60629999999999995</v>
      </c>
      <c r="BN34" s="137">
        <v>0.5696</v>
      </c>
      <c r="BO34" s="137">
        <v>0.67290000000000005</v>
      </c>
      <c r="BP34" s="137">
        <v>0.60289999999999999</v>
      </c>
      <c r="BQ34" s="137">
        <v>0.61499999999999999</v>
      </c>
      <c r="BR34" s="278" t="s">
        <v>443</v>
      </c>
      <c r="BS34" s="270">
        <v>50</v>
      </c>
      <c r="BT34" s="270">
        <v>50</v>
      </c>
      <c r="BU34" s="270">
        <v>0.62209999999999999</v>
      </c>
      <c r="BV34" s="270">
        <v>0.59799999999999998</v>
      </c>
      <c r="BW34" s="270">
        <v>0.56820000000000004</v>
      </c>
      <c r="BX34" s="270">
        <v>0.67710000000000004</v>
      </c>
      <c r="BY34" s="270">
        <v>0.62160000000000004</v>
      </c>
      <c r="BZ34" s="270">
        <v>0.61670000000000003</v>
      </c>
      <c r="CA34" s="357" t="s">
        <v>427</v>
      </c>
      <c r="CB34" s="355" t="s">
        <v>431</v>
      </c>
      <c r="CC34" s="355" t="s">
        <v>431</v>
      </c>
      <c r="CD34" s="355">
        <v>0.63929999999999998</v>
      </c>
      <c r="CE34" s="355">
        <v>0.59830000000000005</v>
      </c>
      <c r="CF34" s="355">
        <v>0.57350000000000001</v>
      </c>
      <c r="CG34" s="355">
        <v>0.69069999999999998</v>
      </c>
      <c r="CH34" s="355">
        <v>0.64359999999999995</v>
      </c>
      <c r="CI34" s="355">
        <v>0.62690000000000001</v>
      </c>
      <c r="CJ34" s="714"/>
      <c r="CK34" s="618"/>
      <c r="CL34" s="618"/>
      <c r="CM34" s="618"/>
      <c r="CN34" s="618"/>
      <c r="CO34" s="618"/>
      <c r="CP34" s="618"/>
      <c r="CQ34" s="618"/>
      <c r="CR34" s="622"/>
      <c r="CS34" s="564" t="s">
        <v>427</v>
      </c>
      <c r="CT34" s="564">
        <v>49</v>
      </c>
      <c r="CU34" s="564">
        <v>49</v>
      </c>
      <c r="CV34" s="585">
        <v>0.66349999999999998</v>
      </c>
      <c r="CW34" s="585">
        <v>0.64659999999999995</v>
      </c>
      <c r="CX34" s="585">
        <v>0.6381</v>
      </c>
      <c r="CY34" s="585">
        <v>0.7238</v>
      </c>
      <c r="CZ34" s="585">
        <v>0.69230000000000003</v>
      </c>
      <c r="DA34" s="585">
        <v>0.66990000000000005</v>
      </c>
      <c r="DB34" s="884" t="s">
        <v>295</v>
      </c>
      <c r="DC34" s="884">
        <v>49</v>
      </c>
      <c r="DD34" s="884">
        <v>48</v>
      </c>
      <c r="DE34" s="884">
        <v>0.67359999999999998</v>
      </c>
      <c r="DF34" s="133">
        <v>0.66869999999999996</v>
      </c>
      <c r="DG34" s="133">
        <v>0.66200000000000003</v>
      </c>
      <c r="DH34" s="133">
        <v>0.73050000000000004</v>
      </c>
      <c r="DI34" s="133">
        <v>0.69920000000000004</v>
      </c>
      <c r="DJ34" s="133">
        <v>0.68489999999999995</v>
      </c>
    </row>
    <row r="35" spans="1:114" x14ac:dyDescent="0.25">
      <c r="A35" s="36" t="s">
        <v>90</v>
      </c>
      <c r="B35" s="668">
        <v>325754003347</v>
      </c>
      <c r="C35" s="134" t="s">
        <v>452</v>
      </c>
      <c r="D35" s="134" t="s">
        <v>307</v>
      </c>
      <c r="E35" s="134" t="s">
        <v>671</v>
      </c>
      <c r="F35" s="134" t="s">
        <v>123</v>
      </c>
      <c r="G35" s="165" t="s">
        <v>295</v>
      </c>
      <c r="H35" s="166">
        <v>120</v>
      </c>
      <c r="I35" s="166">
        <v>120</v>
      </c>
      <c r="J35" s="166">
        <v>0.67579999999999996</v>
      </c>
      <c r="K35" s="166">
        <v>0.68189999999999995</v>
      </c>
      <c r="L35" s="166">
        <v>0.67530000000000001</v>
      </c>
      <c r="M35" s="166">
        <v>0.68510000000000004</v>
      </c>
      <c r="N35" s="166">
        <v>0.65400000000000003</v>
      </c>
      <c r="O35" s="166">
        <v>0.67759999999999998</v>
      </c>
      <c r="P35" s="173" t="s">
        <v>295</v>
      </c>
      <c r="Q35" s="174" t="s">
        <v>463</v>
      </c>
      <c r="R35" s="174" t="s">
        <v>347</v>
      </c>
      <c r="S35" s="174">
        <v>0.67779999999999996</v>
      </c>
      <c r="T35" s="174">
        <v>0.6895</v>
      </c>
      <c r="U35" s="174">
        <v>0.67179999999999995</v>
      </c>
      <c r="V35" s="174">
        <v>0.67359999999999998</v>
      </c>
      <c r="W35" s="174">
        <v>0.65869999999999995</v>
      </c>
      <c r="X35" s="174">
        <v>0.67669999999999997</v>
      </c>
      <c r="Y35" s="138" t="s">
        <v>295</v>
      </c>
      <c r="Z35" s="134" t="s">
        <v>463</v>
      </c>
      <c r="AA35" s="134" t="s">
        <v>347</v>
      </c>
      <c r="AB35" s="137">
        <v>0.69220000000000004</v>
      </c>
      <c r="AC35" s="137">
        <v>0.69810000000000005</v>
      </c>
      <c r="AD35" s="137">
        <v>0.67220000000000002</v>
      </c>
      <c r="AE35" s="137">
        <v>0.68679999999999997</v>
      </c>
      <c r="AF35" s="137">
        <v>0.68420000000000003</v>
      </c>
      <c r="AG35" s="137">
        <v>0.68710000000000004</v>
      </c>
      <c r="AH35" s="159" t="s">
        <v>295</v>
      </c>
      <c r="AI35" s="134" t="s">
        <v>440</v>
      </c>
      <c r="AJ35" s="134" t="s">
        <v>493</v>
      </c>
      <c r="AK35" s="137">
        <v>0.70889999999999997</v>
      </c>
      <c r="AL35" s="137">
        <v>0.71760000000000002</v>
      </c>
      <c r="AM35" s="137">
        <v>0.6774</v>
      </c>
      <c r="AN35" s="137">
        <v>0.70879999999999999</v>
      </c>
      <c r="AO35" s="137">
        <v>0.68210000000000004</v>
      </c>
      <c r="AP35" s="137">
        <v>0.7016</v>
      </c>
      <c r="AQ35" s="139" t="s">
        <v>295</v>
      </c>
      <c r="AR35" s="134" t="s">
        <v>351</v>
      </c>
      <c r="AS35" s="134" t="s">
        <v>373</v>
      </c>
      <c r="AT35" s="137">
        <v>0.72289999999999999</v>
      </c>
      <c r="AU35" s="137">
        <v>0.71179999999999999</v>
      </c>
      <c r="AV35" s="137">
        <v>0.68179999999999996</v>
      </c>
      <c r="AW35" s="137">
        <v>0.71970000000000001</v>
      </c>
      <c r="AX35" s="137">
        <v>0.6915</v>
      </c>
      <c r="AY35" s="137">
        <v>0.7077</v>
      </c>
      <c r="AZ35" s="138" t="s">
        <v>295</v>
      </c>
      <c r="BA35" s="134" t="s">
        <v>552</v>
      </c>
      <c r="BB35" s="134" t="s">
        <v>421</v>
      </c>
      <c r="BC35" s="137">
        <v>0.72450000000000003</v>
      </c>
      <c r="BD35" s="137">
        <v>0.69550000000000001</v>
      </c>
      <c r="BE35" s="137">
        <v>0.66410000000000002</v>
      </c>
      <c r="BF35" s="137">
        <v>0.72160000000000002</v>
      </c>
      <c r="BG35" s="137">
        <v>0.67279999999999995</v>
      </c>
      <c r="BH35" s="137">
        <v>0.69920000000000004</v>
      </c>
      <c r="BI35" s="135" t="s">
        <v>295</v>
      </c>
      <c r="BJ35" s="152">
        <v>121</v>
      </c>
      <c r="BK35" s="152">
        <v>121</v>
      </c>
      <c r="BL35" s="137">
        <v>0.7409</v>
      </c>
      <c r="BM35" s="137">
        <v>0.68520000000000003</v>
      </c>
      <c r="BN35" s="137">
        <v>0.67789999999999995</v>
      </c>
      <c r="BO35" s="137">
        <v>0.72040000000000004</v>
      </c>
      <c r="BP35" s="137">
        <v>0.67859999999999998</v>
      </c>
      <c r="BQ35" s="137">
        <v>0.70399999999999996</v>
      </c>
      <c r="BR35" s="277" t="s">
        <v>295</v>
      </c>
      <c r="BS35" s="270">
        <v>118</v>
      </c>
      <c r="BT35" s="270">
        <v>118</v>
      </c>
      <c r="BU35" s="270">
        <v>0.73839999999999995</v>
      </c>
      <c r="BV35" s="270">
        <v>0.68700000000000006</v>
      </c>
      <c r="BW35" s="270">
        <v>0.67379999999999995</v>
      </c>
      <c r="BX35" s="270">
        <v>0.72640000000000005</v>
      </c>
      <c r="BY35" s="270">
        <v>0.67810000000000004</v>
      </c>
      <c r="BZ35" s="270">
        <v>0.70420000000000005</v>
      </c>
      <c r="CA35" s="356" t="s">
        <v>295</v>
      </c>
      <c r="CB35" s="355" t="s">
        <v>422</v>
      </c>
      <c r="CC35" s="355" t="s">
        <v>422</v>
      </c>
      <c r="CD35" s="355">
        <v>0.73160000000000003</v>
      </c>
      <c r="CE35" s="355">
        <v>0.68730000000000002</v>
      </c>
      <c r="CF35" s="355">
        <v>0.69240000000000002</v>
      </c>
      <c r="CG35" s="355">
        <v>0.73089999999999999</v>
      </c>
      <c r="CH35" s="355">
        <v>0.69179999999999997</v>
      </c>
      <c r="CI35" s="355">
        <v>0.70909999999999995</v>
      </c>
      <c r="CJ35" s="715" t="s">
        <v>295</v>
      </c>
      <c r="CK35" s="620">
        <v>119</v>
      </c>
      <c r="CL35" s="620">
        <v>119</v>
      </c>
      <c r="CM35" s="620">
        <v>0.73099999999999998</v>
      </c>
      <c r="CN35" s="620">
        <v>0.69699999999999995</v>
      </c>
      <c r="CO35" s="620">
        <v>0.68400000000000005</v>
      </c>
      <c r="CP35" s="620">
        <v>0.7409</v>
      </c>
      <c r="CQ35" s="620">
        <v>0.70199999999999996</v>
      </c>
      <c r="CR35" s="711">
        <v>0.71240000000000003</v>
      </c>
      <c r="CS35" s="564" t="s">
        <v>294</v>
      </c>
      <c r="CT35" s="564">
        <v>135</v>
      </c>
      <c r="CU35" s="564">
        <v>135</v>
      </c>
      <c r="CV35" s="585">
        <v>0.74760000000000004</v>
      </c>
      <c r="CW35" s="585">
        <v>0.70820000000000005</v>
      </c>
      <c r="CX35" s="585">
        <v>0.68920000000000003</v>
      </c>
      <c r="CY35" s="585">
        <v>0.75060000000000004</v>
      </c>
      <c r="CZ35" s="585">
        <v>0.69569999999999999</v>
      </c>
      <c r="DA35" s="585">
        <v>0.72170000000000001</v>
      </c>
      <c r="DB35" s="884" t="s">
        <v>294</v>
      </c>
      <c r="DC35" s="884">
        <v>151</v>
      </c>
      <c r="DD35" s="884">
        <v>150</v>
      </c>
      <c r="DE35" s="884">
        <v>0.75490000000000002</v>
      </c>
      <c r="DF35" s="133">
        <v>0.71060000000000001</v>
      </c>
      <c r="DG35" s="133">
        <v>0.69259999999999999</v>
      </c>
      <c r="DH35" s="133">
        <v>0.75600000000000001</v>
      </c>
      <c r="DI35" s="133">
        <v>0.70220000000000005</v>
      </c>
      <c r="DJ35" s="133">
        <v>0.72650000000000003</v>
      </c>
    </row>
    <row r="36" spans="1:114" x14ac:dyDescent="0.25">
      <c r="A36" s="36" t="s">
        <v>66</v>
      </c>
      <c r="B36" s="668">
        <v>325754004122</v>
      </c>
      <c r="C36" s="134" t="s">
        <v>452</v>
      </c>
      <c r="D36" s="134" t="s">
        <v>307</v>
      </c>
      <c r="E36" s="134" t="s">
        <v>671</v>
      </c>
      <c r="F36" s="134" t="s">
        <v>123</v>
      </c>
      <c r="G36" s="165" t="s">
        <v>295</v>
      </c>
      <c r="H36" s="166">
        <v>70</v>
      </c>
      <c r="I36" s="166">
        <v>66</v>
      </c>
      <c r="J36" s="166">
        <v>0.69169999999999998</v>
      </c>
      <c r="K36" s="166">
        <v>0.69669999999999999</v>
      </c>
      <c r="L36" s="166">
        <v>0.69740000000000002</v>
      </c>
      <c r="M36" s="166">
        <v>0.71160000000000001</v>
      </c>
      <c r="N36" s="166">
        <v>0.70950000000000002</v>
      </c>
      <c r="O36" s="166">
        <v>0.70009999999999994</v>
      </c>
      <c r="P36" s="173" t="s">
        <v>295</v>
      </c>
      <c r="Q36" s="174" t="s">
        <v>310</v>
      </c>
      <c r="R36" s="174" t="s">
        <v>332</v>
      </c>
      <c r="S36" s="174">
        <v>0.71220000000000006</v>
      </c>
      <c r="T36" s="174">
        <v>0.71089999999999998</v>
      </c>
      <c r="U36" s="174">
        <v>0.72009999999999996</v>
      </c>
      <c r="V36" s="174">
        <v>0.72650000000000003</v>
      </c>
      <c r="W36" s="174">
        <v>0.72499999999999998</v>
      </c>
      <c r="X36" s="174">
        <v>0.71799999999999997</v>
      </c>
      <c r="Y36" s="145" t="s">
        <v>294</v>
      </c>
      <c r="Z36" s="134" t="s">
        <v>542</v>
      </c>
      <c r="AA36" s="134" t="s">
        <v>463</v>
      </c>
      <c r="AB36" s="137">
        <v>0.71360000000000001</v>
      </c>
      <c r="AC36" s="137">
        <v>0.72260000000000002</v>
      </c>
      <c r="AD36" s="137">
        <v>0.71870000000000001</v>
      </c>
      <c r="AE36" s="137">
        <v>0.73070000000000002</v>
      </c>
      <c r="AF36" s="137">
        <v>0.73540000000000005</v>
      </c>
      <c r="AG36" s="137">
        <v>0.72250000000000003</v>
      </c>
      <c r="AH36" s="158" t="s">
        <v>294</v>
      </c>
      <c r="AI36" s="134" t="s">
        <v>463</v>
      </c>
      <c r="AJ36" s="134" t="s">
        <v>463</v>
      </c>
      <c r="AK36" s="137">
        <v>0.74060000000000004</v>
      </c>
      <c r="AL36" s="137">
        <v>0.74380000000000002</v>
      </c>
      <c r="AM36" s="137">
        <v>0.7399</v>
      </c>
      <c r="AN36" s="137">
        <v>0.75890000000000002</v>
      </c>
      <c r="AO36" s="137">
        <v>0.74870000000000003</v>
      </c>
      <c r="AP36" s="137">
        <v>0.746</v>
      </c>
      <c r="AQ36" s="150" t="s">
        <v>294</v>
      </c>
      <c r="AR36" s="134" t="s">
        <v>329</v>
      </c>
      <c r="AS36" s="134" t="s">
        <v>329</v>
      </c>
      <c r="AT36" s="137">
        <v>0.75180000000000002</v>
      </c>
      <c r="AU36" s="137">
        <v>0.74299999999999999</v>
      </c>
      <c r="AV36" s="137">
        <v>0.73419999999999996</v>
      </c>
      <c r="AW36" s="137">
        <v>0.76959999999999995</v>
      </c>
      <c r="AX36" s="137">
        <v>0.74919999999999998</v>
      </c>
      <c r="AY36" s="137">
        <v>0.74960000000000004</v>
      </c>
      <c r="AZ36" s="145" t="s">
        <v>294</v>
      </c>
      <c r="BA36" s="134" t="s">
        <v>542</v>
      </c>
      <c r="BB36" s="134" t="s">
        <v>542</v>
      </c>
      <c r="BC36" s="137">
        <v>0.75519999999999998</v>
      </c>
      <c r="BD36" s="137">
        <v>0.73209999999999997</v>
      </c>
      <c r="BE36" s="137">
        <v>0.73829999999999996</v>
      </c>
      <c r="BF36" s="137">
        <v>0.77969999999999995</v>
      </c>
      <c r="BG36" s="137">
        <v>0.72889999999999999</v>
      </c>
      <c r="BH36" s="137">
        <v>0.74960000000000004</v>
      </c>
      <c r="BI36" s="149" t="s">
        <v>294</v>
      </c>
      <c r="BJ36" s="152">
        <v>123</v>
      </c>
      <c r="BK36" s="152">
        <v>122</v>
      </c>
      <c r="BL36" s="137">
        <v>0.75209999999999999</v>
      </c>
      <c r="BM36" s="137">
        <v>0.72150000000000003</v>
      </c>
      <c r="BN36" s="137">
        <v>0.7389</v>
      </c>
      <c r="BO36" s="137">
        <v>0.77569999999999995</v>
      </c>
      <c r="BP36" s="137">
        <v>0.70960000000000001</v>
      </c>
      <c r="BQ36" s="137">
        <v>0.74419999999999997</v>
      </c>
      <c r="BR36" s="281" t="s">
        <v>294</v>
      </c>
      <c r="BS36" s="270">
        <v>134</v>
      </c>
      <c r="BT36" s="270">
        <v>133</v>
      </c>
      <c r="BU36" s="270">
        <v>0.74429999999999996</v>
      </c>
      <c r="BV36" s="270">
        <v>0.72419999999999995</v>
      </c>
      <c r="BW36" s="270">
        <v>0.7419</v>
      </c>
      <c r="BX36" s="270">
        <v>0.7792</v>
      </c>
      <c r="BY36" s="270">
        <v>0.71399999999999997</v>
      </c>
      <c r="BZ36" s="270">
        <v>0.74480000000000002</v>
      </c>
      <c r="CA36" s="364" t="s">
        <v>294</v>
      </c>
      <c r="CB36" s="355" t="s">
        <v>578</v>
      </c>
      <c r="CC36" s="355" t="s">
        <v>553</v>
      </c>
      <c r="CD36" s="355">
        <v>0.75829999999999997</v>
      </c>
      <c r="CE36" s="355">
        <v>0.73409999999999997</v>
      </c>
      <c r="CF36" s="355">
        <v>0.75129999999999997</v>
      </c>
      <c r="CG36" s="355">
        <v>0.78580000000000005</v>
      </c>
      <c r="CH36" s="355">
        <v>0.74199999999999999</v>
      </c>
      <c r="CI36" s="355">
        <v>0.75619999999999998</v>
      </c>
      <c r="CJ36" s="717" t="s">
        <v>294</v>
      </c>
      <c r="CK36" s="620">
        <v>175</v>
      </c>
      <c r="CL36" s="620">
        <v>173</v>
      </c>
      <c r="CM36" s="620">
        <v>0.76100000000000001</v>
      </c>
      <c r="CN36" s="620">
        <v>0.74070000000000003</v>
      </c>
      <c r="CO36" s="620">
        <v>0.74839999999999995</v>
      </c>
      <c r="CP36" s="620">
        <v>0.78900000000000003</v>
      </c>
      <c r="CQ36" s="620">
        <v>0.76300000000000001</v>
      </c>
      <c r="CR36" s="711">
        <v>0.76</v>
      </c>
      <c r="CS36" s="564" t="s">
        <v>294</v>
      </c>
      <c r="CT36" s="564">
        <v>162</v>
      </c>
      <c r="CU36" s="564">
        <v>160</v>
      </c>
      <c r="CV36" s="585">
        <v>0.77449999999999997</v>
      </c>
      <c r="CW36" s="585">
        <v>0.74939999999999996</v>
      </c>
      <c r="CX36" s="585">
        <v>0.74180000000000001</v>
      </c>
      <c r="CY36" s="585">
        <v>0.79190000000000005</v>
      </c>
      <c r="CZ36" s="585">
        <v>0.76700000000000002</v>
      </c>
      <c r="DA36" s="585">
        <v>0.76459999999999995</v>
      </c>
      <c r="DB36" s="884" t="s">
        <v>294</v>
      </c>
      <c r="DC36" s="884">
        <v>173</v>
      </c>
      <c r="DD36" s="884">
        <v>171</v>
      </c>
      <c r="DE36" s="884">
        <v>0.77890000000000004</v>
      </c>
      <c r="DF36" s="133">
        <v>0.75680000000000003</v>
      </c>
      <c r="DG36" s="133">
        <v>0.7429</v>
      </c>
      <c r="DH36" s="133">
        <v>0.79759999999999998</v>
      </c>
      <c r="DI36" s="133">
        <v>0.77790000000000004</v>
      </c>
      <c r="DJ36" s="133">
        <v>0.76970000000000005</v>
      </c>
    </row>
    <row r="37" spans="1:114" x14ac:dyDescent="0.25">
      <c r="A37" s="36" t="s">
        <v>73</v>
      </c>
      <c r="B37" s="668">
        <v>325754002154</v>
      </c>
      <c r="C37" s="134" t="s">
        <v>452</v>
      </c>
      <c r="D37" s="134" t="s">
        <v>307</v>
      </c>
      <c r="E37" s="134" t="s">
        <v>671</v>
      </c>
      <c r="F37" s="134" t="s">
        <v>123</v>
      </c>
      <c r="G37" s="165" t="s">
        <v>295</v>
      </c>
      <c r="H37" s="166">
        <v>65</v>
      </c>
      <c r="I37" s="166">
        <v>65</v>
      </c>
      <c r="J37" s="166">
        <v>0.68320000000000003</v>
      </c>
      <c r="K37" s="166">
        <v>0.70589999999999997</v>
      </c>
      <c r="L37" s="166">
        <v>0.71360000000000001</v>
      </c>
      <c r="M37" s="166">
        <v>0.73150000000000004</v>
      </c>
      <c r="N37" s="166">
        <v>0.71889999999999998</v>
      </c>
      <c r="O37" s="166">
        <v>0.70930000000000004</v>
      </c>
      <c r="P37" s="173" t="s">
        <v>295</v>
      </c>
      <c r="Q37" s="174" t="s">
        <v>314</v>
      </c>
      <c r="R37" s="174" t="s">
        <v>314</v>
      </c>
      <c r="S37" s="174">
        <v>0.69940000000000002</v>
      </c>
      <c r="T37" s="174">
        <v>0.71230000000000004</v>
      </c>
      <c r="U37" s="174">
        <v>0.71279999999999999</v>
      </c>
      <c r="V37" s="174">
        <v>0.72570000000000001</v>
      </c>
      <c r="W37" s="174">
        <v>0.72150000000000003</v>
      </c>
      <c r="X37" s="174">
        <v>0.71319999999999995</v>
      </c>
      <c r="Y37" s="145" t="s">
        <v>294</v>
      </c>
      <c r="Z37" s="134" t="s">
        <v>309</v>
      </c>
      <c r="AA37" s="134" t="s">
        <v>309</v>
      </c>
      <c r="AB37" s="137">
        <v>0.71360000000000001</v>
      </c>
      <c r="AC37" s="137">
        <v>0.7288</v>
      </c>
      <c r="AD37" s="137">
        <v>0.72289999999999999</v>
      </c>
      <c r="AE37" s="137">
        <v>0.73819999999999997</v>
      </c>
      <c r="AF37" s="137">
        <v>0.74619999999999997</v>
      </c>
      <c r="AG37" s="137">
        <v>0.72740000000000005</v>
      </c>
      <c r="AH37" s="158" t="s">
        <v>294</v>
      </c>
      <c r="AI37" s="134" t="s">
        <v>468</v>
      </c>
      <c r="AJ37" s="134" t="s">
        <v>468</v>
      </c>
      <c r="AK37" s="137">
        <v>0.74590000000000001</v>
      </c>
      <c r="AL37" s="137">
        <v>0.73060000000000003</v>
      </c>
      <c r="AM37" s="137">
        <v>0.73170000000000002</v>
      </c>
      <c r="AN37" s="137">
        <v>0.73699999999999999</v>
      </c>
      <c r="AO37" s="137">
        <v>0.7671</v>
      </c>
      <c r="AP37" s="137">
        <v>0.73860000000000003</v>
      </c>
      <c r="AQ37" s="150" t="s">
        <v>294</v>
      </c>
      <c r="AR37" s="134" t="s">
        <v>328</v>
      </c>
      <c r="AS37" s="134" t="s">
        <v>332</v>
      </c>
      <c r="AT37" s="137">
        <v>0.72840000000000005</v>
      </c>
      <c r="AU37" s="137">
        <v>0.73480000000000001</v>
      </c>
      <c r="AV37" s="137">
        <v>0.74219999999999997</v>
      </c>
      <c r="AW37" s="137">
        <v>0.75449999999999995</v>
      </c>
      <c r="AX37" s="137">
        <v>0.77910000000000001</v>
      </c>
      <c r="AY37" s="137">
        <v>0.74299999999999999</v>
      </c>
      <c r="AZ37" s="145" t="s">
        <v>294</v>
      </c>
      <c r="BA37" s="134" t="s">
        <v>563</v>
      </c>
      <c r="BB37" s="134" t="s">
        <v>374</v>
      </c>
      <c r="BC37" s="137">
        <v>0.73760000000000003</v>
      </c>
      <c r="BD37" s="137">
        <v>0.73029999999999995</v>
      </c>
      <c r="BE37" s="137">
        <v>0.73950000000000005</v>
      </c>
      <c r="BF37" s="137">
        <v>0.75819999999999999</v>
      </c>
      <c r="BG37" s="137">
        <v>0.77769999999999995</v>
      </c>
      <c r="BH37" s="137">
        <v>0.74419999999999997</v>
      </c>
      <c r="BI37" s="149" t="s">
        <v>294</v>
      </c>
      <c r="BJ37" s="152">
        <v>70</v>
      </c>
      <c r="BK37" s="152">
        <v>67</v>
      </c>
      <c r="BL37" s="137">
        <v>0.73360000000000003</v>
      </c>
      <c r="BM37" s="137">
        <v>0.73429999999999995</v>
      </c>
      <c r="BN37" s="137">
        <v>0.74250000000000005</v>
      </c>
      <c r="BO37" s="137">
        <v>0.75639999999999996</v>
      </c>
      <c r="BP37" s="137">
        <v>0.75929999999999997</v>
      </c>
      <c r="BQ37" s="137">
        <v>0.74299999999999999</v>
      </c>
      <c r="BR37" s="281" t="s">
        <v>294</v>
      </c>
      <c r="BS37" s="270">
        <v>58</v>
      </c>
      <c r="BT37" s="270">
        <v>58</v>
      </c>
      <c r="BU37" s="270">
        <v>0.75039999999999996</v>
      </c>
      <c r="BV37" s="270">
        <v>0.7268</v>
      </c>
      <c r="BW37" s="270">
        <v>0.73350000000000004</v>
      </c>
      <c r="BX37" s="270">
        <v>0.76300000000000001</v>
      </c>
      <c r="BY37" s="270">
        <v>0.75280000000000002</v>
      </c>
      <c r="BZ37" s="270">
        <v>0.74419999999999997</v>
      </c>
      <c r="CA37" s="364" t="s">
        <v>294</v>
      </c>
      <c r="CB37" s="355" t="s">
        <v>314</v>
      </c>
      <c r="CC37" s="355" t="s">
        <v>314</v>
      </c>
      <c r="CD37" s="355">
        <v>0.74129999999999996</v>
      </c>
      <c r="CE37" s="355">
        <v>0.72350000000000003</v>
      </c>
      <c r="CF37" s="355">
        <v>0.7268</v>
      </c>
      <c r="CG37" s="355">
        <v>0.76119999999999999</v>
      </c>
      <c r="CH37" s="355">
        <v>0.75890000000000002</v>
      </c>
      <c r="CI37" s="355">
        <v>0.73980000000000001</v>
      </c>
      <c r="CJ37" s="717" t="s">
        <v>294</v>
      </c>
      <c r="CK37" s="620">
        <v>75</v>
      </c>
      <c r="CL37" s="620">
        <v>75</v>
      </c>
      <c r="CM37" s="620">
        <v>0.73880000000000001</v>
      </c>
      <c r="CN37" s="620">
        <v>0.72840000000000005</v>
      </c>
      <c r="CO37" s="620">
        <v>0.7258</v>
      </c>
      <c r="CP37" s="620">
        <v>0.76790000000000003</v>
      </c>
      <c r="CQ37" s="620">
        <v>0.77649999999999997</v>
      </c>
      <c r="CR37" s="711">
        <v>0.74299999999999999</v>
      </c>
      <c r="CS37" s="564" t="s">
        <v>294</v>
      </c>
      <c r="CT37" s="564">
        <v>70</v>
      </c>
      <c r="CU37" s="564">
        <v>70</v>
      </c>
      <c r="CV37" s="585">
        <v>0.73599999999999999</v>
      </c>
      <c r="CW37" s="585">
        <v>0.73</v>
      </c>
      <c r="CX37" s="585">
        <v>0.72889999999999999</v>
      </c>
      <c r="CY37" s="585">
        <v>0.76549999999999996</v>
      </c>
      <c r="CZ37" s="585">
        <v>0.77039999999999997</v>
      </c>
      <c r="DA37" s="585">
        <v>0.74239999999999995</v>
      </c>
      <c r="DB37" s="884" t="s">
        <v>294</v>
      </c>
      <c r="DC37" s="884">
        <v>73</v>
      </c>
      <c r="DD37" s="884">
        <v>73</v>
      </c>
      <c r="DE37" s="884">
        <v>0.72809999999999997</v>
      </c>
      <c r="DF37" s="133">
        <v>0.70909999999999995</v>
      </c>
      <c r="DG37" s="133">
        <v>0.71099999999999997</v>
      </c>
      <c r="DH37" s="133">
        <v>0.75060000000000004</v>
      </c>
      <c r="DI37" s="133">
        <v>0.76129999999999998</v>
      </c>
      <c r="DJ37" s="133">
        <v>0.72750000000000004</v>
      </c>
    </row>
    <row r="38" spans="1:114" x14ac:dyDescent="0.25">
      <c r="A38" s="36" t="s">
        <v>89</v>
      </c>
      <c r="B38" s="668">
        <v>325754001662</v>
      </c>
      <c r="C38" s="134" t="s">
        <v>452</v>
      </c>
      <c r="D38" s="134" t="s">
        <v>307</v>
      </c>
      <c r="E38" s="134" t="s">
        <v>671</v>
      </c>
      <c r="F38" s="134" t="s">
        <v>123</v>
      </c>
      <c r="G38" s="165" t="s">
        <v>295</v>
      </c>
      <c r="H38" s="166">
        <v>63</v>
      </c>
      <c r="I38" s="166">
        <v>63</v>
      </c>
      <c r="J38" s="166">
        <v>0.68889999999999996</v>
      </c>
      <c r="K38" s="166">
        <v>0.70269999999999999</v>
      </c>
      <c r="L38" s="166">
        <v>0.70720000000000005</v>
      </c>
      <c r="M38" s="166">
        <v>0.72009999999999996</v>
      </c>
      <c r="N38" s="166">
        <v>0.6694</v>
      </c>
      <c r="O38" s="166">
        <v>0.70199999999999996</v>
      </c>
      <c r="P38" s="173" t="s">
        <v>295</v>
      </c>
      <c r="Q38" s="174" t="s">
        <v>432</v>
      </c>
      <c r="R38" s="174" t="s">
        <v>432</v>
      </c>
      <c r="S38" s="174">
        <v>0.67659999999999998</v>
      </c>
      <c r="T38" s="174">
        <v>0.69630000000000003</v>
      </c>
      <c r="U38" s="174">
        <v>0.69520000000000004</v>
      </c>
      <c r="V38" s="174">
        <v>0.70899999999999996</v>
      </c>
      <c r="W38" s="174">
        <v>0.6673</v>
      </c>
      <c r="X38" s="174">
        <v>0.69220000000000004</v>
      </c>
      <c r="Y38" s="138" t="s">
        <v>295</v>
      </c>
      <c r="Z38" s="134" t="s">
        <v>548</v>
      </c>
      <c r="AA38" s="134" t="s">
        <v>548</v>
      </c>
      <c r="AB38" s="137">
        <v>0.69230000000000003</v>
      </c>
      <c r="AC38" s="137">
        <v>0.72799999999999998</v>
      </c>
      <c r="AD38" s="137">
        <v>0.70030000000000003</v>
      </c>
      <c r="AE38" s="137">
        <v>0.72829999999999995</v>
      </c>
      <c r="AF38" s="137">
        <v>0.69820000000000004</v>
      </c>
      <c r="AG38" s="137">
        <v>0.71120000000000005</v>
      </c>
      <c r="AH38" s="159" t="s">
        <v>295</v>
      </c>
      <c r="AI38" s="134" t="s">
        <v>485</v>
      </c>
      <c r="AJ38" s="134" t="s">
        <v>485</v>
      </c>
      <c r="AK38" s="137">
        <v>0.70579999999999998</v>
      </c>
      <c r="AL38" s="137">
        <v>0.7349</v>
      </c>
      <c r="AM38" s="137">
        <v>0.69689999999999996</v>
      </c>
      <c r="AN38" s="137">
        <v>0.73609999999999998</v>
      </c>
      <c r="AO38" s="137">
        <v>0.71799999999999997</v>
      </c>
      <c r="AP38" s="137">
        <v>0.71840000000000004</v>
      </c>
      <c r="AQ38" s="150" t="s">
        <v>294</v>
      </c>
      <c r="AR38" s="134" t="s">
        <v>324</v>
      </c>
      <c r="AS38" s="134" t="s">
        <v>324</v>
      </c>
      <c r="AT38" s="137">
        <v>0.75929999999999997</v>
      </c>
      <c r="AU38" s="137">
        <v>0.77100000000000002</v>
      </c>
      <c r="AV38" s="137">
        <v>0.73719999999999997</v>
      </c>
      <c r="AW38" s="137">
        <v>0.77380000000000004</v>
      </c>
      <c r="AX38" s="137">
        <v>0.75560000000000005</v>
      </c>
      <c r="AY38" s="137">
        <v>0.75990000000000002</v>
      </c>
      <c r="AZ38" s="145" t="s">
        <v>294</v>
      </c>
      <c r="BA38" s="134" t="s">
        <v>460</v>
      </c>
      <c r="BB38" s="134" t="s">
        <v>460</v>
      </c>
      <c r="BC38" s="137">
        <v>0.78380000000000005</v>
      </c>
      <c r="BD38" s="137">
        <v>0.75370000000000004</v>
      </c>
      <c r="BE38" s="137">
        <v>0.75190000000000001</v>
      </c>
      <c r="BF38" s="137">
        <v>0.79159999999999997</v>
      </c>
      <c r="BG38" s="137">
        <v>0.75680000000000003</v>
      </c>
      <c r="BH38" s="137">
        <v>0.76919999999999999</v>
      </c>
      <c r="BI38" s="146" t="s">
        <v>293</v>
      </c>
      <c r="BJ38" s="152">
        <v>62</v>
      </c>
      <c r="BK38" s="152">
        <v>62</v>
      </c>
      <c r="BL38" s="137">
        <v>0.79759999999999998</v>
      </c>
      <c r="BM38" s="137">
        <v>0.76390000000000002</v>
      </c>
      <c r="BN38" s="137">
        <v>0.7601</v>
      </c>
      <c r="BO38" s="137">
        <v>0.79190000000000005</v>
      </c>
      <c r="BP38" s="137">
        <v>0.76049999999999995</v>
      </c>
      <c r="BQ38" s="137">
        <v>0.77700000000000002</v>
      </c>
      <c r="BR38" s="281" t="s">
        <v>294</v>
      </c>
      <c r="BS38" s="270">
        <v>79</v>
      </c>
      <c r="BT38" s="270">
        <v>79</v>
      </c>
      <c r="BU38" s="270">
        <v>0.77529999999999999</v>
      </c>
      <c r="BV38" s="270">
        <v>0.74350000000000005</v>
      </c>
      <c r="BW38" s="270">
        <v>0.74860000000000004</v>
      </c>
      <c r="BX38" s="270">
        <v>0.78029999999999999</v>
      </c>
      <c r="BY38" s="270">
        <v>0.7429</v>
      </c>
      <c r="BZ38" s="270">
        <v>0.76049999999999995</v>
      </c>
      <c r="CA38" s="358" t="s">
        <v>293</v>
      </c>
      <c r="CB38" s="355" t="s">
        <v>532</v>
      </c>
      <c r="CC38" s="355" t="s">
        <v>532</v>
      </c>
      <c r="CD38" s="355">
        <v>0.78059999999999996</v>
      </c>
      <c r="CE38" s="355">
        <v>0.75349999999999995</v>
      </c>
      <c r="CF38" s="355">
        <v>0.76739999999999997</v>
      </c>
      <c r="CG38" s="355">
        <v>0.79610000000000003</v>
      </c>
      <c r="CH38" s="355">
        <v>0.753</v>
      </c>
      <c r="CI38" s="355">
        <v>0.77280000000000004</v>
      </c>
      <c r="CJ38" s="716" t="s">
        <v>293</v>
      </c>
      <c r="CK38" s="620">
        <v>114</v>
      </c>
      <c r="CL38" s="620">
        <v>114</v>
      </c>
      <c r="CM38" s="620">
        <v>0.78239999999999998</v>
      </c>
      <c r="CN38" s="620">
        <v>0.74909999999999999</v>
      </c>
      <c r="CO38" s="620">
        <v>0.76800000000000002</v>
      </c>
      <c r="CP38" s="620">
        <v>0.80320000000000003</v>
      </c>
      <c r="CQ38" s="620">
        <v>0.75739999999999996</v>
      </c>
      <c r="CR38" s="711">
        <v>0.77429999999999999</v>
      </c>
      <c r="CS38" s="564" t="s">
        <v>293</v>
      </c>
      <c r="CT38" s="564">
        <v>109</v>
      </c>
      <c r="CU38" s="564">
        <v>109</v>
      </c>
      <c r="CV38" s="585">
        <v>0.80649999999999999</v>
      </c>
      <c r="CW38" s="585">
        <v>0.76880000000000004</v>
      </c>
      <c r="CX38" s="585">
        <v>0.77759999999999996</v>
      </c>
      <c r="CY38" s="585">
        <v>0.81489999999999996</v>
      </c>
      <c r="CZ38" s="585">
        <v>0.7722</v>
      </c>
      <c r="DA38" s="585">
        <v>0.79039999999999999</v>
      </c>
      <c r="DB38" s="884" t="s">
        <v>293</v>
      </c>
      <c r="DC38" s="884">
        <v>103</v>
      </c>
      <c r="DD38" s="884">
        <v>103</v>
      </c>
      <c r="DE38" s="884">
        <v>0.8155</v>
      </c>
      <c r="DF38" s="133">
        <v>0.77280000000000004</v>
      </c>
      <c r="DG38" s="133">
        <v>0.77480000000000004</v>
      </c>
      <c r="DH38" s="133">
        <v>0.81179999999999997</v>
      </c>
      <c r="DI38" s="133">
        <v>0.77229999999999999</v>
      </c>
      <c r="DJ38" s="133">
        <v>0.79210000000000003</v>
      </c>
    </row>
    <row r="39" spans="1:114" x14ac:dyDescent="0.25">
      <c r="A39" s="36" t="s">
        <v>38</v>
      </c>
      <c r="B39" s="668">
        <v>325754001671</v>
      </c>
      <c r="C39" s="134" t="s">
        <v>452</v>
      </c>
      <c r="D39" s="134" t="s">
        <v>307</v>
      </c>
      <c r="E39" s="134" t="s">
        <v>671</v>
      </c>
      <c r="F39" s="134" t="s">
        <v>123</v>
      </c>
      <c r="G39" s="165" t="s">
        <v>295</v>
      </c>
      <c r="H39" s="166">
        <v>30</v>
      </c>
      <c r="I39" s="166">
        <v>30</v>
      </c>
      <c r="J39" s="166">
        <v>0.66180000000000005</v>
      </c>
      <c r="K39" s="166">
        <v>0.6754</v>
      </c>
      <c r="L39" s="166">
        <v>0.68140000000000001</v>
      </c>
      <c r="M39" s="166">
        <v>0.68130000000000002</v>
      </c>
      <c r="N39" s="166">
        <v>0.69699999999999995</v>
      </c>
      <c r="O39" s="166">
        <v>0.67659999999999998</v>
      </c>
      <c r="P39" s="173" t="s">
        <v>295</v>
      </c>
      <c r="Q39" s="174" t="s">
        <v>442</v>
      </c>
      <c r="R39" s="174" t="s">
        <v>442</v>
      </c>
      <c r="S39" s="174">
        <v>0.6593</v>
      </c>
      <c r="T39" s="174">
        <v>0.68030000000000002</v>
      </c>
      <c r="U39" s="174">
        <v>0.67859999999999998</v>
      </c>
      <c r="V39" s="174">
        <v>0.66510000000000002</v>
      </c>
      <c r="W39" s="174">
        <v>0.6784</v>
      </c>
      <c r="X39" s="174">
        <v>0.6714</v>
      </c>
      <c r="Y39" s="138" t="s">
        <v>295</v>
      </c>
      <c r="Z39" s="134" t="s">
        <v>82</v>
      </c>
      <c r="AA39" s="134" t="s">
        <v>82</v>
      </c>
      <c r="AB39" s="137">
        <v>0.69950000000000001</v>
      </c>
      <c r="AC39" s="137">
        <v>0.70979999999999999</v>
      </c>
      <c r="AD39" s="137">
        <v>0.70320000000000005</v>
      </c>
      <c r="AE39" s="137">
        <v>0.70509999999999995</v>
      </c>
      <c r="AF39" s="137">
        <v>0.72950000000000004</v>
      </c>
      <c r="AG39" s="137">
        <v>0.70630000000000004</v>
      </c>
      <c r="AH39" s="159" t="s">
        <v>295</v>
      </c>
      <c r="AI39" s="134" t="s">
        <v>359</v>
      </c>
      <c r="AJ39" s="134" t="s">
        <v>386</v>
      </c>
      <c r="AK39" s="137">
        <v>0.67549999999999999</v>
      </c>
      <c r="AL39" s="137">
        <v>0.68869999999999998</v>
      </c>
      <c r="AM39" s="137">
        <v>0.64810000000000001</v>
      </c>
      <c r="AN39" s="137">
        <v>0.68359999999999999</v>
      </c>
      <c r="AO39" s="137">
        <v>0.69020000000000004</v>
      </c>
      <c r="AP39" s="137">
        <v>0.67520000000000002</v>
      </c>
      <c r="AQ39" s="142" t="s">
        <v>427</v>
      </c>
      <c r="AR39" s="134" t="s">
        <v>432</v>
      </c>
      <c r="AS39" s="134" t="s">
        <v>313</v>
      </c>
      <c r="AT39" s="137">
        <v>0.66869999999999996</v>
      </c>
      <c r="AU39" s="137">
        <v>0.67300000000000004</v>
      </c>
      <c r="AV39" s="137">
        <v>0.62709999999999999</v>
      </c>
      <c r="AW39" s="137">
        <v>0.68659999999999999</v>
      </c>
      <c r="AX39" s="137">
        <v>0.69769999999999999</v>
      </c>
      <c r="AY39" s="137">
        <v>0.66649999999999998</v>
      </c>
      <c r="AZ39" s="141" t="s">
        <v>427</v>
      </c>
      <c r="BA39" s="134" t="s">
        <v>337</v>
      </c>
      <c r="BB39" s="134" t="s">
        <v>328</v>
      </c>
      <c r="BC39" s="137">
        <v>0.66549999999999998</v>
      </c>
      <c r="BD39" s="137">
        <v>0.65090000000000003</v>
      </c>
      <c r="BE39" s="137">
        <v>0.6048</v>
      </c>
      <c r="BF39" s="137">
        <v>0.67900000000000005</v>
      </c>
      <c r="BG39" s="137">
        <v>0.6835</v>
      </c>
      <c r="BH39" s="137">
        <v>0.65259999999999996</v>
      </c>
      <c r="BI39" s="140" t="s">
        <v>427</v>
      </c>
      <c r="BJ39" s="152">
        <v>76</v>
      </c>
      <c r="BK39" s="152">
        <v>73</v>
      </c>
      <c r="BL39" s="137">
        <v>0.66139999999999999</v>
      </c>
      <c r="BM39" s="137">
        <v>0.62649999999999995</v>
      </c>
      <c r="BN39" s="137">
        <v>0.5958</v>
      </c>
      <c r="BO39" s="137">
        <v>0.68389999999999995</v>
      </c>
      <c r="BP39" s="137">
        <v>0.68010000000000004</v>
      </c>
      <c r="BQ39" s="137">
        <v>0.64480000000000004</v>
      </c>
      <c r="BR39" s="279" t="s">
        <v>427</v>
      </c>
      <c r="BS39" s="270">
        <v>79</v>
      </c>
      <c r="BT39" s="270">
        <v>78</v>
      </c>
      <c r="BU39" s="270">
        <v>0.66559999999999997</v>
      </c>
      <c r="BV39" s="270">
        <v>0.63129999999999997</v>
      </c>
      <c r="BW39" s="270">
        <v>0.60799999999999998</v>
      </c>
      <c r="BX39" s="270">
        <v>0.69089999999999996</v>
      </c>
      <c r="BY39" s="270">
        <v>0.6734</v>
      </c>
      <c r="BZ39" s="270">
        <v>0.65090000000000003</v>
      </c>
      <c r="CA39" s="357" t="s">
        <v>427</v>
      </c>
      <c r="CB39" s="355" t="s">
        <v>310</v>
      </c>
      <c r="CC39" s="355" t="s">
        <v>310</v>
      </c>
      <c r="CD39" s="355">
        <v>0.66239999999999999</v>
      </c>
      <c r="CE39" s="355">
        <v>0.64470000000000005</v>
      </c>
      <c r="CF39" s="355">
        <v>0.61560000000000004</v>
      </c>
      <c r="CG39" s="355">
        <v>0.68640000000000001</v>
      </c>
      <c r="CH39" s="355">
        <v>0.65359999999999996</v>
      </c>
      <c r="CI39" s="355">
        <v>0.65239999999999998</v>
      </c>
      <c r="CJ39" s="718" t="s">
        <v>427</v>
      </c>
      <c r="CK39" s="620">
        <v>77</v>
      </c>
      <c r="CL39" s="620">
        <v>77</v>
      </c>
      <c r="CM39" s="620">
        <v>0.67030000000000001</v>
      </c>
      <c r="CN39" s="620">
        <v>0.6532</v>
      </c>
      <c r="CO39" s="620">
        <v>0.63700000000000001</v>
      </c>
      <c r="CP39" s="620">
        <v>0.69620000000000004</v>
      </c>
      <c r="CQ39" s="620">
        <v>0.66569999999999996</v>
      </c>
      <c r="CR39" s="711">
        <v>0.6643</v>
      </c>
      <c r="CS39" s="564" t="s">
        <v>427</v>
      </c>
      <c r="CT39" s="564">
        <v>66</v>
      </c>
      <c r="CU39" s="564">
        <v>66</v>
      </c>
      <c r="CV39" s="585">
        <v>0.67249999999999999</v>
      </c>
      <c r="CW39" s="585">
        <v>0.65080000000000005</v>
      </c>
      <c r="CX39" s="585">
        <v>0.63939999999999997</v>
      </c>
      <c r="CY39" s="585">
        <v>0.69579999999999997</v>
      </c>
      <c r="CZ39" s="585">
        <v>0.67420000000000002</v>
      </c>
      <c r="DA39" s="585">
        <v>0.66539999999999999</v>
      </c>
      <c r="DB39" s="884" t="s">
        <v>427</v>
      </c>
      <c r="DC39" s="884">
        <v>52</v>
      </c>
      <c r="DD39" s="884">
        <v>52</v>
      </c>
      <c r="DE39" s="884">
        <v>0.66890000000000005</v>
      </c>
      <c r="DF39" s="133">
        <v>0.63360000000000005</v>
      </c>
      <c r="DG39" s="133">
        <v>0.64170000000000005</v>
      </c>
      <c r="DH39" s="133">
        <v>0.71330000000000005</v>
      </c>
      <c r="DI39" s="133">
        <v>0.69950000000000001</v>
      </c>
      <c r="DJ39" s="133">
        <v>0.66710000000000003</v>
      </c>
    </row>
    <row r="40" spans="1:114" ht="16.5" customHeight="1" x14ac:dyDescent="0.25">
      <c r="A40" s="36" t="s">
        <v>75</v>
      </c>
      <c r="B40" s="668">
        <v>325754002162</v>
      </c>
      <c r="C40" s="134" t="s">
        <v>452</v>
      </c>
      <c r="D40" s="134" t="s">
        <v>307</v>
      </c>
      <c r="E40" s="134" t="s">
        <v>671</v>
      </c>
      <c r="F40" s="134" t="s">
        <v>123</v>
      </c>
      <c r="G40" s="168" t="s">
        <v>294</v>
      </c>
      <c r="H40" s="166">
        <v>114</v>
      </c>
      <c r="I40" s="166">
        <v>114</v>
      </c>
      <c r="J40" s="166">
        <v>0.72119999999999995</v>
      </c>
      <c r="K40" s="166">
        <v>0.74</v>
      </c>
      <c r="L40" s="166">
        <v>0.73980000000000001</v>
      </c>
      <c r="M40" s="166">
        <v>0.73819999999999997</v>
      </c>
      <c r="N40" s="166">
        <v>0.71360000000000001</v>
      </c>
      <c r="O40" s="166">
        <v>0.73319999999999996</v>
      </c>
      <c r="P40" s="177" t="s">
        <v>294</v>
      </c>
      <c r="Q40" s="174" t="s">
        <v>341</v>
      </c>
      <c r="R40" s="174" t="s">
        <v>341</v>
      </c>
      <c r="S40" s="174">
        <v>0.72960000000000003</v>
      </c>
      <c r="T40" s="174">
        <v>0.75309999999999999</v>
      </c>
      <c r="U40" s="174">
        <v>0.74439999999999995</v>
      </c>
      <c r="V40" s="174">
        <v>0.73880000000000001</v>
      </c>
      <c r="W40" s="174">
        <v>0.70730000000000004</v>
      </c>
      <c r="X40" s="174">
        <v>0.73880000000000001</v>
      </c>
      <c r="Y40" s="145" t="s">
        <v>294</v>
      </c>
      <c r="Z40" s="134" t="s">
        <v>387</v>
      </c>
      <c r="AA40" s="134" t="s">
        <v>387</v>
      </c>
      <c r="AB40" s="137">
        <v>0.75639999999999996</v>
      </c>
      <c r="AC40" s="137">
        <v>0.76890000000000003</v>
      </c>
      <c r="AD40" s="137">
        <v>0.75519999999999998</v>
      </c>
      <c r="AE40" s="137">
        <v>0.75260000000000005</v>
      </c>
      <c r="AF40" s="137">
        <v>0.72250000000000003</v>
      </c>
      <c r="AG40" s="137">
        <v>0.75549999999999995</v>
      </c>
      <c r="AH40" s="158" t="s">
        <v>294</v>
      </c>
      <c r="AI40" s="134" t="s">
        <v>354</v>
      </c>
      <c r="AJ40" s="134" t="s">
        <v>354</v>
      </c>
      <c r="AK40" s="137">
        <v>0.75439999999999996</v>
      </c>
      <c r="AL40" s="137">
        <v>0.76439999999999997</v>
      </c>
      <c r="AM40" s="137">
        <v>0.75339999999999996</v>
      </c>
      <c r="AN40" s="137">
        <v>0.75419999999999998</v>
      </c>
      <c r="AO40" s="137">
        <v>0.73680000000000001</v>
      </c>
      <c r="AP40" s="137">
        <v>0.75509999999999999</v>
      </c>
      <c r="AQ40" s="150" t="s">
        <v>294</v>
      </c>
      <c r="AR40" s="134" t="s">
        <v>325</v>
      </c>
      <c r="AS40" s="134" t="s">
        <v>325</v>
      </c>
      <c r="AT40" s="137">
        <v>0.75560000000000005</v>
      </c>
      <c r="AU40" s="137">
        <v>0.75660000000000005</v>
      </c>
      <c r="AV40" s="137">
        <v>0.74909999999999999</v>
      </c>
      <c r="AW40" s="137">
        <v>0.76749999999999996</v>
      </c>
      <c r="AX40" s="137">
        <v>0.74860000000000004</v>
      </c>
      <c r="AY40" s="137">
        <v>0.75649999999999995</v>
      </c>
      <c r="AZ40" s="145" t="s">
        <v>294</v>
      </c>
      <c r="BA40" s="134" t="s">
        <v>413</v>
      </c>
      <c r="BB40" s="134" t="s">
        <v>594</v>
      </c>
      <c r="BC40" s="137">
        <v>0.75139999999999996</v>
      </c>
      <c r="BD40" s="137">
        <v>0.74150000000000005</v>
      </c>
      <c r="BE40" s="137">
        <v>0.72460000000000002</v>
      </c>
      <c r="BF40" s="137">
        <v>0.76300000000000001</v>
      </c>
      <c r="BG40" s="137">
        <v>0.74409999999999998</v>
      </c>
      <c r="BH40" s="137">
        <v>0.745</v>
      </c>
      <c r="BI40" s="149" t="s">
        <v>294</v>
      </c>
      <c r="BJ40" s="152">
        <v>164</v>
      </c>
      <c r="BK40" s="152">
        <v>162</v>
      </c>
      <c r="BL40" s="137">
        <v>0.75419999999999998</v>
      </c>
      <c r="BM40" s="137">
        <v>0.72870000000000001</v>
      </c>
      <c r="BN40" s="137">
        <v>0.70440000000000003</v>
      </c>
      <c r="BO40" s="137">
        <v>0.76559999999999995</v>
      </c>
      <c r="BP40" s="137">
        <v>0.71250000000000002</v>
      </c>
      <c r="BQ40" s="137">
        <v>0.73619999999999997</v>
      </c>
      <c r="BR40" s="281" t="s">
        <v>294</v>
      </c>
      <c r="BS40" s="270">
        <v>135</v>
      </c>
      <c r="BT40" s="270">
        <v>135</v>
      </c>
      <c r="BU40" s="270">
        <v>0.75829999999999997</v>
      </c>
      <c r="BV40" s="270">
        <v>0.72640000000000005</v>
      </c>
      <c r="BW40" s="270">
        <v>0.70350000000000001</v>
      </c>
      <c r="BX40" s="270">
        <v>0.7641</v>
      </c>
      <c r="BY40" s="270">
        <v>0.71609999999999996</v>
      </c>
      <c r="BZ40" s="270">
        <v>0.73640000000000005</v>
      </c>
      <c r="CA40" s="364" t="s">
        <v>294</v>
      </c>
      <c r="CB40" s="355" t="s">
        <v>421</v>
      </c>
      <c r="CC40" s="355" t="s">
        <v>421</v>
      </c>
      <c r="CD40" s="355">
        <v>0.76780000000000004</v>
      </c>
      <c r="CE40" s="355">
        <v>0.73780000000000001</v>
      </c>
      <c r="CF40" s="355">
        <v>0.72860000000000003</v>
      </c>
      <c r="CG40" s="355">
        <v>0.78449999999999998</v>
      </c>
      <c r="CH40" s="355">
        <v>0.71379999999999999</v>
      </c>
      <c r="CI40" s="355">
        <v>0.75149999999999995</v>
      </c>
      <c r="CJ40" s="716" t="s">
        <v>293</v>
      </c>
      <c r="CK40" s="620">
        <v>128</v>
      </c>
      <c r="CL40" s="620">
        <v>128</v>
      </c>
      <c r="CM40" s="620">
        <v>0.78239999999999998</v>
      </c>
      <c r="CN40" s="620">
        <v>0.76219999999999999</v>
      </c>
      <c r="CO40" s="620">
        <v>0.748</v>
      </c>
      <c r="CP40" s="620">
        <v>0.79339999999999999</v>
      </c>
      <c r="CQ40" s="620">
        <v>0.76229999999999998</v>
      </c>
      <c r="CR40" s="711">
        <v>0.77080000000000004</v>
      </c>
      <c r="CS40" s="564" t="s">
        <v>293</v>
      </c>
      <c r="CT40" s="564">
        <v>145</v>
      </c>
      <c r="CU40" s="564">
        <v>144</v>
      </c>
      <c r="CV40" s="585">
        <v>0.8034</v>
      </c>
      <c r="CW40" s="585">
        <v>0.77559999999999996</v>
      </c>
      <c r="CX40" s="585">
        <v>0.75319999999999998</v>
      </c>
      <c r="CY40" s="585">
        <v>0.7964</v>
      </c>
      <c r="CZ40" s="585">
        <v>0.77090000000000003</v>
      </c>
      <c r="DA40" s="585">
        <v>0.78129999999999999</v>
      </c>
      <c r="DB40" s="884" t="s">
        <v>293</v>
      </c>
      <c r="DC40" s="884">
        <v>168</v>
      </c>
      <c r="DD40" s="884">
        <v>166</v>
      </c>
      <c r="DE40" s="884">
        <v>0.80920000000000003</v>
      </c>
      <c r="DF40" s="133">
        <v>0.77859999999999996</v>
      </c>
      <c r="DG40" s="133">
        <v>0.74770000000000003</v>
      </c>
      <c r="DH40" s="133">
        <v>0.78790000000000004</v>
      </c>
      <c r="DI40" s="133">
        <v>0.78210000000000002</v>
      </c>
      <c r="DJ40" s="133">
        <v>0.78090000000000004</v>
      </c>
    </row>
    <row r="41" spans="1:114" x14ac:dyDescent="0.25">
      <c r="A41" s="36" t="s">
        <v>99</v>
      </c>
      <c r="B41" s="668">
        <v>325754003312</v>
      </c>
      <c r="C41" s="134" t="s">
        <v>452</v>
      </c>
      <c r="D41" s="134" t="s">
        <v>307</v>
      </c>
      <c r="E41" s="134" t="s">
        <v>671</v>
      </c>
      <c r="F41" s="134" t="s">
        <v>123</v>
      </c>
      <c r="G41" s="165" t="s">
        <v>295</v>
      </c>
      <c r="H41" s="166">
        <v>399</v>
      </c>
      <c r="I41" s="166">
        <v>399</v>
      </c>
      <c r="J41" s="166">
        <v>0.71450000000000002</v>
      </c>
      <c r="K41" s="166">
        <v>0.71560000000000001</v>
      </c>
      <c r="L41" s="166">
        <v>0.70509999999999995</v>
      </c>
      <c r="M41" s="166">
        <v>0.70740000000000003</v>
      </c>
      <c r="N41" s="166">
        <v>0.69169999999999998</v>
      </c>
      <c r="O41" s="166">
        <v>0.70920000000000005</v>
      </c>
      <c r="P41" s="173" t="s">
        <v>295</v>
      </c>
      <c r="Q41" s="174" t="s">
        <v>695</v>
      </c>
      <c r="R41" s="174" t="s">
        <v>695</v>
      </c>
      <c r="S41" s="174">
        <v>0.72850000000000004</v>
      </c>
      <c r="T41" s="174">
        <v>0.72960000000000003</v>
      </c>
      <c r="U41" s="174">
        <v>0.70860000000000001</v>
      </c>
      <c r="V41" s="174">
        <v>0.71009999999999995</v>
      </c>
      <c r="W41" s="174">
        <v>0.70989999999999998</v>
      </c>
      <c r="X41" s="174">
        <v>0.71850000000000003</v>
      </c>
      <c r="Y41" s="145" t="s">
        <v>294</v>
      </c>
      <c r="Z41" s="134" t="s">
        <v>539</v>
      </c>
      <c r="AA41" s="134" t="s">
        <v>540</v>
      </c>
      <c r="AB41" s="137">
        <v>0.74070000000000003</v>
      </c>
      <c r="AC41" s="137">
        <v>0.7349</v>
      </c>
      <c r="AD41" s="137">
        <v>0.71299999999999997</v>
      </c>
      <c r="AE41" s="137">
        <v>0.7117</v>
      </c>
      <c r="AF41" s="137">
        <v>0.73170000000000002</v>
      </c>
      <c r="AG41" s="137">
        <v>0.72560000000000002</v>
      </c>
      <c r="AH41" s="158" t="s">
        <v>294</v>
      </c>
      <c r="AI41" s="134" t="s">
        <v>471</v>
      </c>
      <c r="AJ41" s="134" t="s">
        <v>472</v>
      </c>
      <c r="AK41" s="137">
        <v>0.75209999999999999</v>
      </c>
      <c r="AL41" s="137">
        <v>0.74380000000000002</v>
      </c>
      <c r="AM41" s="137">
        <v>0.71330000000000005</v>
      </c>
      <c r="AN41" s="137">
        <v>0.72440000000000004</v>
      </c>
      <c r="AO41" s="137">
        <v>0.747</v>
      </c>
      <c r="AP41" s="137">
        <v>0.73440000000000005</v>
      </c>
      <c r="AQ41" s="150" t="s">
        <v>294</v>
      </c>
      <c r="AR41" s="134" t="s">
        <v>344</v>
      </c>
      <c r="AS41" s="134" t="s">
        <v>345</v>
      </c>
      <c r="AT41" s="137">
        <v>0.75060000000000004</v>
      </c>
      <c r="AU41" s="137">
        <v>0.73870000000000002</v>
      </c>
      <c r="AV41" s="137">
        <v>0.70530000000000004</v>
      </c>
      <c r="AW41" s="137">
        <v>0.73650000000000004</v>
      </c>
      <c r="AX41" s="137">
        <v>0.76290000000000002</v>
      </c>
      <c r="AY41" s="137">
        <v>0.73509999999999998</v>
      </c>
      <c r="AZ41" s="145" t="s">
        <v>294</v>
      </c>
      <c r="BA41" s="134" t="s">
        <v>470</v>
      </c>
      <c r="BB41" s="134" t="s">
        <v>634</v>
      </c>
      <c r="BC41" s="137">
        <v>0.75449999999999995</v>
      </c>
      <c r="BD41" s="137">
        <v>0.72150000000000003</v>
      </c>
      <c r="BE41" s="137">
        <v>0.69030000000000002</v>
      </c>
      <c r="BF41" s="137">
        <v>0.74729999999999996</v>
      </c>
      <c r="BG41" s="137">
        <v>0.75409999999999999</v>
      </c>
      <c r="BH41" s="137">
        <v>0.73040000000000005</v>
      </c>
      <c r="BI41" s="149" t="s">
        <v>294</v>
      </c>
      <c r="BJ41" s="152">
        <v>296</v>
      </c>
      <c r="BK41" s="152">
        <v>292</v>
      </c>
      <c r="BL41" s="137">
        <v>0.75519999999999998</v>
      </c>
      <c r="BM41" s="137">
        <v>0.70450000000000002</v>
      </c>
      <c r="BN41" s="137">
        <v>0.69479999999999997</v>
      </c>
      <c r="BO41" s="137">
        <v>0.75280000000000002</v>
      </c>
      <c r="BP41" s="137">
        <v>0.73909999999999998</v>
      </c>
      <c r="BQ41" s="137">
        <v>0.72770000000000001</v>
      </c>
      <c r="BR41" s="281" t="s">
        <v>294</v>
      </c>
      <c r="BS41" s="270">
        <v>300</v>
      </c>
      <c r="BT41" s="270">
        <v>299</v>
      </c>
      <c r="BU41" s="270">
        <v>0.74309999999999998</v>
      </c>
      <c r="BV41" s="270">
        <v>0.69579999999999997</v>
      </c>
      <c r="BW41" s="270">
        <v>0.68769999999999998</v>
      </c>
      <c r="BX41" s="270">
        <v>0.75449999999999995</v>
      </c>
      <c r="BY41" s="270">
        <v>0.73070000000000002</v>
      </c>
      <c r="BZ41" s="270">
        <v>0.72109999999999996</v>
      </c>
      <c r="CA41" s="356" t="s">
        <v>295</v>
      </c>
      <c r="CB41" s="355" t="s">
        <v>345</v>
      </c>
      <c r="CC41" s="355" t="s">
        <v>813</v>
      </c>
      <c r="CD41" s="355">
        <v>0.73180000000000001</v>
      </c>
      <c r="CE41" s="355">
        <v>0.69520000000000004</v>
      </c>
      <c r="CF41" s="355">
        <v>0.69320000000000004</v>
      </c>
      <c r="CG41" s="355">
        <v>0.75429999999999997</v>
      </c>
      <c r="CH41" s="355">
        <v>0.73540000000000005</v>
      </c>
      <c r="CI41" s="355">
        <v>0.71989999999999998</v>
      </c>
      <c r="CJ41" s="717" t="s">
        <v>294</v>
      </c>
      <c r="CK41" s="620">
        <v>333</v>
      </c>
      <c r="CL41" s="620">
        <v>332</v>
      </c>
      <c r="CM41" s="620">
        <v>0.73089999999999999</v>
      </c>
      <c r="CN41" s="620">
        <v>0.70499999999999996</v>
      </c>
      <c r="CO41" s="620">
        <v>0.68720000000000003</v>
      </c>
      <c r="CP41" s="620">
        <v>0.75060000000000004</v>
      </c>
      <c r="CQ41" s="620">
        <v>0.74960000000000004</v>
      </c>
      <c r="CR41" s="711">
        <v>0.7208</v>
      </c>
      <c r="CS41" s="564" t="s">
        <v>294</v>
      </c>
      <c r="CT41" s="564">
        <v>294</v>
      </c>
      <c r="CU41" s="564">
        <v>293</v>
      </c>
      <c r="CV41" s="585">
        <v>0.73970000000000002</v>
      </c>
      <c r="CW41" s="585">
        <v>0.70760000000000001</v>
      </c>
      <c r="CX41" s="585">
        <v>0.69650000000000001</v>
      </c>
      <c r="CY41" s="585">
        <v>0.75629999999999997</v>
      </c>
      <c r="CZ41" s="585">
        <v>0.75480000000000003</v>
      </c>
      <c r="DA41" s="585">
        <v>0.72729999999999995</v>
      </c>
      <c r="DB41" s="884" t="s">
        <v>294</v>
      </c>
      <c r="DC41" s="884">
        <v>248</v>
      </c>
      <c r="DD41" s="884">
        <v>246</v>
      </c>
      <c r="DE41" s="884">
        <v>0.74850000000000005</v>
      </c>
      <c r="DF41" s="133">
        <v>0.71240000000000003</v>
      </c>
      <c r="DG41" s="133">
        <v>0.69530000000000003</v>
      </c>
      <c r="DH41" s="133">
        <v>0.76319999999999999</v>
      </c>
      <c r="DI41" s="133">
        <v>0.75580000000000003</v>
      </c>
      <c r="DJ41" s="133">
        <v>0.73180000000000001</v>
      </c>
    </row>
    <row r="42" spans="1:114" x14ac:dyDescent="0.25">
      <c r="A42" s="36" t="s">
        <v>46</v>
      </c>
      <c r="B42" s="668">
        <v>325754002073</v>
      </c>
      <c r="C42" s="134" t="s">
        <v>452</v>
      </c>
      <c r="D42" s="134" t="s">
        <v>307</v>
      </c>
      <c r="E42" s="134" t="s">
        <v>671</v>
      </c>
      <c r="F42" s="134" t="s">
        <v>123</v>
      </c>
      <c r="G42" s="165" t="s">
        <v>295</v>
      </c>
      <c r="H42" s="166">
        <v>90</v>
      </c>
      <c r="I42" s="166">
        <v>90</v>
      </c>
      <c r="J42" s="166">
        <v>0.66559999999999997</v>
      </c>
      <c r="K42" s="166">
        <v>0.68240000000000001</v>
      </c>
      <c r="L42" s="166">
        <v>0.69179999999999997</v>
      </c>
      <c r="M42" s="166">
        <v>0.68730000000000002</v>
      </c>
      <c r="N42" s="166">
        <v>0.65820000000000001</v>
      </c>
      <c r="O42" s="166">
        <v>0.68</v>
      </c>
      <c r="P42" s="173" t="s">
        <v>295</v>
      </c>
      <c r="Q42" s="174" t="s">
        <v>335</v>
      </c>
      <c r="R42" s="174" t="s">
        <v>335</v>
      </c>
      <c r="S42" s="174">
        <v>0.67310000000000003</v>
      </c>
      <c r="T42" s="174">
        <v>0.69179999999999997</v>
      </c>
      <c r="U42" s="174">
        <v>0.69299999999999995</v>
      </c>
      <c r="V42" s="174">
        <v>0.68600000000000005</v>
      </c>
      <c r="W42" s="174">
        <v>0.67520000000000002</v>
      </c>
      <c r="X42" s="174">
        <v>0.68520000000000003</v>
      </c>
      <c r="Y42" s="138" t="s">
        <v>295</v>
      </c>
      <c r="Z42" s="134" t="s">
        <v>323</v>
      </c>
      <c r="AA42" s="134" t="s">
        <v>323</v>
      </c>
      <c r="AB42" s="137">
        <v>0.67689999999999995</v>
      </c>
      <c r="AC42" s="137">
        <v>0.69779999999999998</v>
      </c>
      <c r="AD42" s="137">
        <v>0.67310000000000003</v>
      </c>
      <c r="AE42" s="137">
        <v>0.6835</v>
      </c>
      <c r="AF42" s="137">
        <v>0.69089999999999996</v>
      </c>
      <c r="AG42" s="137">
        <v>0.6835</v>
      </c>
      <c r="AH42" s="159" t="s">
        <v>295</v>
      </c>
      <c r="AI42" s="134" t="s">
        <v>388</v>
      </c>
      <c r="AJ42" s="134" t="s">
        <v>388</v>
      </c>
      <c r="AK42" s="137">
        <v>0.68110000000000004</v>
      </c>
      <c r="AL42" s="137">
        <v>0.69950000000000001</v>
      </c>
      <c r="AM42" s="137">
        <v>0.66320000000000001</v>
      </c>
      <c r="AN42" s="137">
        <v>0.69399999999999995</v>
      </c>
      <c r="AO42" s="137">
        <v>0.70850000000000002</v>
      </c>
      <c r="AP42" s="137">
        <v>0.68630000000000002</v>
      </c>
      <c r="AQ42" s="139" t="s">
        <v>295</v>
      </c>
      <c r="AR42" s="134" t="s">
        <v>388</v>
      </c>
      <c r="AS42" s="134" t="s">
        <v>388</v>
      </c>
      <c r="AT42" s="137">
        <v>0.69469999999999998</v>
      </c>
      <c r="AU42" s="137">
        <v>0.69899999999999995</v>
      </c>
      <c r="AV42" s="137">
        <v>0.66249999999999998</v>
      </c>
      <c r="AW42" s="137">
        <v>0.71079999999999999</v>
      </c>
      <c r="AX42" s="137">
        <v>0.70540000000000003</v>
      </c>
      <c r="AY42" s="137">
        <v>0.69279999999999997</v>
      </c>
      <c r="AZ42" s="138" t="s">
        <v>295</v>
      </c>
      <c r="BA42" s="134" t="s">
        <v>388</v>
      </c>
      <c r="BB42" s="134" t="s">
        <v>388</v>
      </c>
      <c r="BC42" s="137">
        <v>0.71279999999999999</v>
      </c>
      <c r="BD42" s="137">
        <v>0.68869999999999998</v>
      </c>
      <c r="BE42" s="137">
        <v>0.64959999999999996</v>
      </c>
      <c r="BF42" s="137">
        <v>0.71350000000000002</v>
      </c>
      <c r="BG42" s="137">
        <v>0.69010000000000005</v>
      </c>
      <c r="BH42" s="137">
        <v>0.69110000000000005</v>
      </c>
      <c r="BI42" s="135" t="s">
        <v>295</v>
      </c>
      <c r="BJ42" s="152">
        <v>98</v>
      </c>
      <c r="BK42" s="152">
        <v>98</v>
      </c>
      <c r="BL42" s="137">
        <v>0.72109999999999996</v>
      </c>
      <c r="BM42" s="137">
        <v>0.68340000000000001</v>
      </c>
      <c r="BN42" s="137">
        <v>0.6532</v>
      </c>
      <c r="BO42" s="137">
        <v>0.70889999999999997</v>
      </c>
      <c r="BP42" s="137">
        <v>0.67230000000000001</v>
      </c>
      <c r="BQ42" s="137">
        <v>0.69020000000000004</v>
      </c>
      <c r="BR42" s="691" t="s">
        <v>295</v>
      </c>
      <c r="BS42" s="270">
        <v>104</v>
      </c>
      <c r="BT42" s="270">
        <v>104</v>
      </c>
      <c r="BU42" s="270">
        <v>0.72819999999999996</v>
      </c>
      <c r="BV42" s="270">
        <v>0.68359999999999999</v>
      </c>
      <c r="BW42" s="270">
        <v>0.66120000000000001</v>
      </c>
      <c r="BX42" s="270">
        <v>0.7137</v>
      </c>
      <c r="BY42" s="270">
        <v>0.67589999999999995</v>
      </c>
      <c r="BZ42" s="270">
        <v>0.69510000000000005</v>
      </c>
      <c r="CA42" s="699" t="s">
        <v>295</v>
      </c>
      <c r="CB42" s="672" t="s">
        <v>361</v>
      </c>
      <c r="CC42" s="672" t="s">
        <v>361</v>
      </c>
      <c r="CD42" s="672">
        <v>0.7208</v>
      </c>
      <c r="CE42" s="672">
        <v>0.69430000000000003</v>
      </c>
      <c r="CF42" s="672">
        <v>0.67859999999999998</v>
      </c>
      <c r="CG42" s="672">
        <v>0.72250000000000003</v>
      </c>
      <c r="CH42" s="672">
        <v>0.68730000000000002</v>
      </c>
      <c r="CI42" s="672">
        <v>0.70269999999999999</v>
      </c>
      <c r="CJ42" s="704" t="s">
        <v>295</v>
      </c>
      <c r="CK42" s="620">
        <v>94</v>
      </c>
      <c r="CL42" s="620">
        <v>94</v>
      </c>
      <c r="CM42" s="620">
        <v>0.69950000000000001</v>
      </c>
      <c r="CN42" s="620">
        <v>0.68149999999999999</v>
      </c>
      <c r="CO42" s="620">
        <v>0.65790000000000004</v>
      </c>
      <c r="CP42" s="620">
        <v>0.71930000000000005</v>
      </c>
      <c r="CQ42" s="620">
        <v>0.69810000000000005</v>
      </c>
      <c r="CR42" s="711">
        <v>0.69020000000000004</v>
      </c>
      <c r="CS42" s="564" t="s">
        <v>295</v>
      </c>
      <c r="CT42" s="564">
        <v>106</v>
      </c>
      <c r="CU42" s="564">
        <v>106</v>
      </c>
      <c r="CV42" s="585">
        <v>0.70479999999999998</v>
      </c>
      <c r="CW42" s="585">
        <v>0.69710000000000005</v>
      </c>
      <c r="CX42" s="585">
        <v>0.66339999999999999</v>
      </c>
      <c r="CY42" s="585">
        <v>0.72060000000000002</v>
      </c>
      <c r="CZ42" s="585">
        <v>0.71499999999999997</v>
      </c>
      <c r="DA42" s="585">
        <v>0.69789999999999996</v>
      </c>
      <c r="DB42" s="884" t="s">
        <v>295</v>
      </c>
      <c r="DC42" s="884">
        <v>116</v>
      </c>
      <c r="DD42" s="884">
        <v>115</v>
      </c>
      <c r="DE42" s="884">
        <v>0.72319999999999995</v>
      </c>
      <c r="DF42" s="133">
        <v>0.6986</v>
      </c>
      <c r="DG42" s="133">
        <v>0.66390000000000005</v>
      </c>
      <c r="DH42" s="133">
        <v>0.73399999999999999</v>
      </c>
      <c r="DI42" s="133">
        <v>0.72609999999999997</v>
      </c>
      <c r="DJ42" s="133">
        <v>0.70650000000000002</v>
      </c>
    </row>
    <row r="43" spans="1:114" x14ac:dyDescent="0.25">
      <c r="A43" s="36" t="s">
        <v>21</v>
      </c>
      <c r="B43" s="874">
        <v>125754001833</v>
      </c>
      <c r="C43" s="134" t="s">
        <v>452</v>
      </c>
      <c r="D43" s="134" t="s">
        <v>307</v>
      </c>
      <c r="E43" s="134" t="s">
        <v>671</v>
      </c>
      <c r="F43" s="134" t="s">
        <v>123</v>
      </c>
      <c r="G43" s="671" t="s">
        <v>295</v>
      </c>
      <c r="H43" s="270">
        <v>214</v>
      </c>
      <c r="I43" s="270">
        <v>214</v>
      </c>
      <c r="J43" s="270">
        <v>0.68279999999999996</v>
      </c>
      <c r="K43" s="270">
        <v>0.69950000000000001</v>
      </c>
      <c r="L43" s="270">
        <v>0.70350000000000001</v>
      </c>
      <c r="M43" s="270">
        <v>0.70599999999999996</v>
      </c>
      <c r="N43" s="270">
        <v>0.67610000000000003</v>
      </c>
      <c r="O43" s="270">
        <v>0.69630000000000003</v>
      </c>
      <c r="P43" s="671" t="s">
        <v>295</v>
      </c>
      <c r="Q43" s="270" t="s">
        <v>457</v>
      </c>
      <c r="R43" s="270" t="s">
        <v>696</v>
      </c>
      <c r="S43" s="270">
        <v>0.68910000000000005</v>
      </c>
      <c r="T43" s="270">
        <v>0.69440000000000002</v>
      </c>
      <c r="U43" s="270">
        <v>0.70220000000000005</v>
      </c>
      <c r="V43" s="270">
        <v>0.7</v>
      </c>
      <c r="W43" s="270">
        <v>0.67030000000000001</v>
      </c>
      <c r="X43" s="270">
        <v>0.69440000000000002</v>
      </c>
      <c r="Y43" s="678" t="s">
        <v>295</v>
      </c>
      <c r="Z43" s="269" t="s">
        <v>553</v>
      </c>
      <c r="AA43" s="269" t="s">
        <v>554</v>
      </c>
      <c r="AB43" s="271">
        <v>0.7056</v>
      </c>
      <c r="AC43" s="271">
        <v>0.71140000000000003</v>
      </c>
      <c r="AD43" s="271">
        <v>0.70899999999999996</v>
      </c>
      <c r="AE43" s="271">
        <v>0.71350000000000002</v>
      </c>
      <c r="AF43" s="271">
        <v>0.68430000000000002</v>
      </c>
      <c r="AG43" s="271">
        <v>0.70789999999999997</v>
      </c>
      <c r="AH43" s="273" t="s">
        <v>295</v>
      </c>
      <c r="AI43" s="269" t="s">
        <v>375</v>
      </c>
      <c r="AJ43" s="269" t="s">
        <v>329</v>
      </c>
      <c r="AK43" s="271">
        <v>0.71260000000000001</v>
      </c>
      <c r="AL43" s="271">
        <v>0.7238</v>
      </c>
      <c r="AM43" s="271">
        <v>0.71679999999999999</v>
      </c>
      <c r="AN43" s="271">
        <v>0.72660000000000002</v>
      </c>
      <c r="AO43" s="271">
        <v>0.69089999999999996</v>
      </c>
      <c r="AP43" s="271">
        <v>0.7177</v>
      </c>
      <c r="AQ43" s="276" t="s">
        <v>294</v>
      </c>
      <c r="AR43" s="269" t="s">
        <v>360</v>
      </c>
      <c r="AS43" s="269" t="s">
        <v>361</v>
      </c>
      <c r="AT43" s="271">
        <v>0.71840000000000004</v>
      </c>
      <c r="AU43" s="271">
        <v>0.72430000000000005</v>
      </c>
      <c r="AV43" s="271">
        <v>0.70789999999999997</v>
      </c>
      <c r="AW43" s="271">
        <v>0.73829999999999996</v>
      </c>
      <c r="AX43" s="271">
        <v>0.70840000000000003</v>
      </c>
      <c r="AY43" s="271">
        <v>0.72119999999999995</v>
      </c>
      <c r="AZ43" s="678" t="s">
        <v>295</v>
      </c>
      <c r="BA43" s="269" t="s">
        <v>548</v>
      </c>
      <c r="BB43" s="269" t="s">
        <v>336</v>
      </c>
      <c r="BC43" s="271">
        <v>0.72240000000000004</v>
      </c>
      <c r="BD43" s="271">
        <v>0.70520000000000005</v>
      </c>
      <c r="BE43" s="271">
        <v>0.68240000000000001</v>
      </c>
      <c r="BF43" s="271">
        <v>0.74039999999999995</v>
      </c>
      <c r="BG43" s="271">
        <v>0.70050000000000001</v>
      </c>
      <c r="BH43" s="271">
        <v>0.7117</v>
      </c>
      <c r="BI43" s="692" t="s">
        <v>295</v>
      </c>
      <c r="BJ43" s="272">
        <v>122</v>
      </c>
      <c r="BK43" s="272">
        <v>121</v>
      </c>
      <c r="BL43" s="271">
        <v>0.73819999999999997</v>
      </c>
      <c r="BM43" s="271">
        <v>0.69259999999999999</v>
      </c>
      <c r="BN43" s="271">
        <v>0.69220000000000004</v>
      </c>
      <c r="BO43" s="271">
        <v>0.73970000000000002</v>
      </c>
      <c r="BP43" s="271">
        <v>0.68489999999999995</v>
      </c>
      <c r="BQ43" s="271">
        <v>0.71330000000000005</v>
      </c>
      <c r="BR43" s="277" t="s">
        <v>295</v>
      </c>
      <c r="BS43" s="270">
        <v>130</v>
      </c>
      <c r="BT43" s="270">
        <v>129</v>
      </c>
      <c r="BU43" s="270">
        <v>0.74219999999999997</v>
      </c>
      <c r="BV43" s="270">
        <v>0.69789999999999996</v>
      </c>
      <c r="BW43" s="270">
        <v>0.69640000000000002</v>
      </c>
      <c r="BX43" s="270">
        <v>0.75280000000000002</v>
      </c>
      <c r="BY43" s="270">
        <v>0.69159999999999999</v>
      </c>
      <c r="BZ43" s="270">
        <v>0.71989999999999998</v>
      </c>
      <c r="CA43" s="364" t="s">
        <v>294</v>
      </c>
      <c r="CB43" s="355" t="s">
        <v>403</v>
      </c>
      <c r="CC43" s="355" t="s">
        <v>578</v>
      </c>
      <c r="CD43" s="355">
        <v>0.73609999999999998</v>
      </c>
      <c r="CE43" s="355">
        <v>0.70440000000000003</v>
      </c>
      <c r="CF43" s="355">
        <v>0.70469999999999999</v>
      </c>
      <c r="CG43" s="355">
        <v>0.76349999999999996</v>
      </c>
      <c r="CH43" s="355">
        <v>0.70899999999999996</v>
      </c>
      <c r="CI43" s="355">
        <v>0.7258</v>
      </c>
      <c r="CJ43" s="703" t="s">
        <v>294</v>
      </c>
      <c r="CK43" s="620">
        <v>141</v>
      </c>
      <c r="CL43" s="620">
        <v>140</v>
      </c>
      <c r="CM43" s="620">
        <v>0.72809999999999997</v>
      </c>
      <c r="CN43" s="620">
        <v>0.70650000000000002</v>
      </c>
      <c r="CO43" s="620">
        <v>0.6996</v>
      </c>
      <c r="CP43" s="620">
        <v>0.76500000000000001</v>
      </c>
      <c r="CQ43" s="620">
        <v>0.73870000000000002</v>
      </c>
      <c r="CR43" s="711">
        <v>0.72589999999999999</v>
      </c>
      <c r="CS43" s="564" t="s">
        <v>294</v>
      </c>
      <c r="CT43" s="564">
        <v>171</v>
      </c>
      <c r="CU43" s="564">
        <v>171</v>
      </c>
      <c r="CV43" s="585">
        <v>0.74039999999999995</v>
      </c>
      <c r="CW43" s="585">
        <v>0.71960000000000002</v>
      </c>
      <c r="CX43" s="585">
        <v>0.71730000000000005</v>
      </c>
      <c r="CY43" s="585">
        <v>0.77229999999999999</v>
      </c>
      <c r="CZ43" s="585">
        <v>0.74519999999999997</v>
      </c>
      <c r="DA43" s="585">
        <v>0.73799999999999999</v>
      </c>
      <c r="DB43" s="884" t="s">
        <v>294</v>
      </c>
      <c r="DC43" s="884">
        <v>167</v>
      </c>
      <c r="DD43" s="884">
        <v>166</v>
      </c>
      <c r="DE43" s="884">
        <v>0.73550000000000004</v>
      </c>
      <c r="DF43" s="133">
        <v>0.71309999999999996</v>
      </c>
      <c r="DG43" s="133">
        <v>0.71079999999999999</v>
      </c>
      <c r="DH43" s="133">
        <v>0.76800000000000002</v>
      </c>
      <c r="DI43" s="133">
        <v>0.73950000000000005</v>
      </c>
      <c r="DJ43" s="133">
        <v>0.73240000000000005</v>
      </c>
    </row>
    <row r="44" spans="1:114" x14ac:dyDescent="0.25">
      <c r="A44" s="36" t="s">
        <v>56</v>
      </c>
      <c r="B44" s="668">
        <v>325754002979</v>
      </c>
      <c r="C44" s="134" t="s">
        <v>452</v>
      </c>
      <c r="D44" s="134" t="s">
        <v>307</v>
      </c>
      <c r="E44" s="134" t="s">
        <v>671</v>
      </c>
      <c r="F44" s="134" t="s">
        <v>123</v>
      </c>
      <c r="G44" s="167" t="s">
        <v>427</v>
      </c>
      <c r="H44" s="166">
        <v>34</v>
      </c>
      <c r="I44" s="166">
        <v>34</v>
      </c>
      <c r="J44" s="166">
        <v>0.64490000000000003</v>
      </c>
      <c r="K44" s="166">
        <v>0.63739999999999997</v>
      </c>
      <c r="L44" s="166">
        <v>0.65500000000000003</v>
      </c>
      <c r="M44" s="166">
        <v>0.64359999999999995</v>
      </c>
      <c r="N44" s="166">
        <v>0.63800000000000001</v>
      </c>
      <c r="O44" s="166">
        <v>0.64459999999999995</v>
      </c>
      <c r="P44" s="175" t="s">
        <v>427</v>
      </c>
      <c r="Q44" s="174" t="s">
        <v>368</v>
      </c>
      <c r="R44" s="174" t="s">
        <v>368</v>
      </c>
      <c r="S44" s="174">
        <v>0.64839999999999998</v>
      </c>
      <c r="T44" s="174">
        <v>0.63700000000000001</v>
      </c>
      <c r="U44" s="174">
        <v>0.64339999999999997</v>
      </c>
      <c r="V44" s="174">
        <v>0.6331</v>
      </c>
      <c r="W44" s="174">
        <v>0.63880000000000003</v>
      </c>
      <c r="X44" s="174">
        <v>0.64029999999999998</v>
      </c>
      <c r="Y44" s="134"/>
      <c r="Z44" s="134"/>
      <c r="AA44" s="134"/>
      <c r="AB44" s="137"/>
      <c r="AC44" s="137"/>
      <c r="AD44" s="137"/>
      <c r="AE44" s="137"/>
      <c r="AF44" s="137"/>
      <c r="AG44" s="137"/>
      <c r="AH44" s="159" t="s">
        <v>295</v>
      </c>
      <c r="AI44" s="134" t="s">
        <v>426</v>
      </c>
      <c r="AJ44" s="134" t="s">
        <v>426</v>
      </c>
      <c r="AK44" s="137">
        <v>0.67979999999999996</v>
      </c>
      <c r="AL44" s="137">
        <v>0.68840000000000001</v>
      </c>
      <c r="AM44" s="137">
        <v>0.66810000000000003</v>
      </c>
      <c r="AN44" s="137">
        <v>0.65110000000000001</v>
      </c>
      <c r="AO44" s="137">
        <v>0.65549999999999997</v>
      </c>
      <c r="AP44" s="137">
        <v>0.67059999999999997</v>
      </c>
      <c r="AQ44" s="139" t="s">
        <v>295</v>
      </c>
      <c r="AR44" s="134" t="s">
        <v>426</v>
      </c>
      <c r="AS44" s="134" t="s">
        <v>426</v>
      </c>
      <c r="AT44" s="137">
        <v>0.67979999999999996</v>
      </c>
      <c r="AU44" s="137">
        <v>0.68840000000000001</v>
      </c>
      <c r="AV44" s="137">
        <v>0.66810000000000003</v>
      </c>
      <c r="AW44" s="137">
        <v>0.65110000000000001</v>
      </c>
      <c r="AX44" s="137">
        <v>0.65549999999999997</v>
      </c>
      <c r="AY44" s="137">
        <v>0.67059999999999997</v>
      </c>
      <c r="AZ44" s="134"/>
      <c r="BA44" s="134"/>
      <c r="BB44" s="134"/>
      <c r="BC44" s="137"/>
      <c r="BD44" s="137"/>
      <c r="BE44" s="137"/>
      <c r="BF44" s="137"/>
      <c r="BG44" s="137"/>
      <c r="BH44" s="137"/>
      <c r="BI44" s="151" t="s">
        <v>443</v>
      </c>
      <c r="BJ44" s="152">
        <v>10</v>
      </c>
      <c r="BK44" s="152">
        <v>10</v>
      </c>
      <c r="BL44" s="137">
        <v>0.63959999999999995</v>
      </c>
      <c r="BM44" s="137">
        <v>0.59379999999999999</v>
      </c>
      <c r="BN44" s="137">
        <v>0.55489999999999995</v>
      </c>
      <c r="BO44" s="137">
        <v>0.62619999999999998</v>
      </c>
      <c r="BP44" s="137">
        <v>0.57950000000000002</v>
      </c>
      <c r="BQ44" s="137">
        <v>0.60170000000000001</v>
      </c>
      <c r="BR44" s="633"/>
      <c r="BS44" s="269"/>
      <c r="BT44" s="269"/>
      <c r="BU44" s="269"/>
      <c r="BV44" s="269"/>
      <c r="BW44" s="269"/>
      <c r="BX44" s="269"/>
      <c r="BY44" s="269"/>
      <c r="BZ44" s="269"/>
      <c r="CA44" s="344"/>
      <c r="CB44" s="344"/>
      <c r="CC44" s="344"/>
      <c r="CD44" s="344"/>
      <c r="CE44" s="344"/>
      <c r="CF44" s="344"/>
      <c r="CG44" s="344"/>
      <c r="CH44" s="344"/>
      <c r="CI44" s="344"/>
      <c r="CJ44" s="714"/>
      <c r="CK44" s="618"/>
      <c r="CL44" s="618"/>
      <c r="CM44" s="618"/>
      <c r="CN44" s="618"/>
      <c r="CO44" s="618"/>
      <c r="CP44" s="618"/>
      <c r="CQ44" s="618"/>
      <c r="CR44" s="622"/>
      <c r="CS44" s="564" t="s">
        <v>295</v>
      </c>
      <c r="CT44" s="564">
        <v>9</v>
      </c>
      <c r="CU44" s="564">
        <v>9</v>
      </c>
      <c r="CV44" s="585">
        <v>0.68600000000000005</v>
      </c>
      <c r="CW44" s="585">
        <v>0.62760000000000005</v>
      </c>
      <c r="CX44" s="585">
        <v>0.64800000000000002</v>
      </c>
      <c r="CY44" s="585">
        <v>0.72470000000000001</v>
      </c>
      <c r="CZ44" s="585">
        <v>0.68910000000000005</v>
      </c>
      <c r="DA44" s="585">
        <v>0.67290000000000005</v>
      </c>
      <c r="DB44" s="884" t="s">
        <v>295</v>
      </c>
      <c r="DC44" s="884">
        <v>16</v>
      </c>
      <c r="DD44" s="884">
        <v>15</v>
      </c>
      <c r="DE44" s="884">
        <v>0.71789999999999998</v>
      </c>
      <c r="DF44" s="133">
        <v>0.68389999999999995</v>
      </c>
      <c r="DG44" s="133">
        <v>0.67879999999999996</v>
      </c>
      <c r="DH44" s="133">
        <v>0.75319999999999998</v>
      </c>
      <c r="DI44" s="133">
        <v>0.71009999999999995</v>
      </c>
      <c r="DJ44" s="133">
        <v>0.70860000000000001</v>
      </c>
    </row>
    <row r="45" spans="1:114" x14ac:dyDescent="0.25">
      <c r="A45" s="36" t="s">
        <v>761</v>
      </c>
      <c r="B45" s="878">
        <v>325754001549</v>
      </c>
      <c r="C45" s="134" t="s">
        <v>452</v>
      </c>
      <c r="D45" s="134" t="s">
        <v>307</v>
      </c>
      <c r="E45" s="134" t="s">
        <v>671</v>
      </c>
      <c r="F45" s="134" t="s">
        <v>123</v>
      </c>
      <c r="G45" s="167"/>
      <c r="H45" s="166"/>
      <c r="I45" s="166"/>
      <c r="J45" s="166"/>
      <c r="K45" s="166"/>
      <c r="L45" s="166"/>
      <c r="M45" s="166"/>
      <c r="N45" s="166"/>
      <c r="O45" s="166"/>
      <c r="P45" s="175"/>
      <c r="Q45" s="174"/>
      <c r="R45" s="174"/>
      <c r="S45" s="174"/>
      <c r="T45" s="174"/>
      <c r="U45" s="174"/>
      <c r="V45" s="174"/>
      <c r="W45" s="174"/>
      <c r="X45" s="174"/>
      <c r="Y45" s="134"/>
      <c r="Z45" s="134"/>
      <c r="AA45" s="134"/>
      <c r="AB45" s="137"/>
      <c r="AC45" s="137"/>
      <c r="AD45" s="137"/>
      <c r="AE45" s="137"/>
      <c r="AF45" s="137"/>
      <c r="AG45" s="137"/>
      <c r="AH45" s="159"/>
      <c r="AI45" s="134"/>
      <c r="AJ45" s="134"/>
      <c r="AK45" s="137"/>
      <c r="AL45" s="137"/>
      <c r="AM45" s="137"/>
      <c r="AN45" s="137"/>
      <c r="AO45" s="137"/>
      <c r="AP45" s="137"/>
      <c r="AQ45" s="139"/>
      <c r="AR45" s="134"/>
      <c r="AS45" s="134"/>
      <c r="AT45" s="137"/>
      <c r="AU45" s="137"/>
      <c r="AV45" s="137"/>
      <c r="AW45" s="137"/>
      <c r="AX45" s="137"/>
      <c r="AY45" s="137"/>
      <c r="AZ45" s="134"/>
      <c r="BA45" s="134"/>
      <c r="BB45" s="134"/>
      <c r="BC45" s="137"/>
      <c r="BD45" s="137"/>
      <c r="BE45" s="137"/>
      <c r="BF45" s="137"/>
      <c r="BG45" s="137"/>
      <c r="BH45" s="137"/>
      <c r="BI45" s="151"/>
      <c r="BJ45" s="152"/>
      <c r="BK45" s="152"/>
      <c r="BL45" s="137"/>
      <c r="BM45" s="137"/>
      <c r="BN45" s="137"/>
      <c r="BO45" s="137"/>
      <c r="BP45" s="137"/>
      <c r="BQ45" s="137"/>
      <c r="BR45" s="279" t="s">
        <v>427</v>
      </c>
      <c r="BS45" s="270">
        <v>19</v>
      </c>
      <c r="BT45" s="270">
        <v>18</v>
      </c>
      <c r="BU45" s="270">
        <v>0.67879999999999996</v>
      </c>
      <c r="BV45" s="270">
        <v>0.64180000000000004</v>
      </c>
      <c r="BW45" s="270">
        <v>0.59750000000000003</v>
      </c>
      <c r="BX45" s="270">
        <v>0.72170000000000001</v>
      </c>
      <c r="BY45" s="270">
        <v>0.68359999999999999</v>
      </c>
      <c r="BZ45" s="270">
        <v>0.66180000000000005</v>
      </c>
      <c r="CA45" s="357" t="s">
        <v>427</v>
      </c>
      <c r="CB45" s="355" t="s">
        <v>430</v>
      </c>
      <c r="CC45" s="355" t="s">
        <v>431</v>
      </c>
      <c r="CD45" s="355">
        <v>0.68</v>
      </c>
      <c r="CE45" s="355">
        <v>0.65559999999999996</v>
      </c>
      <c r="CF45" s="355">
        <v>0.60209999999999997</v>
      </c>
      <c r="CG45" s="355">
        <v>0.71450000000000002</v>
      </c>
      <c r="CH45" s="355">
        <v>0.69430000000000003</v>
      </c>
      <c r="CI45" s="355">
        <v>0.66549999999999998</v>
      </c>
      <c r="CJ45" s="714"/>
      <c r="CK45" s="618"/>
      <c r="CL45" s="618"/>
      <c r="CM45" s="618"/>
      <c r="CN45" s="618"/>
      <c r="CO45" s="618"/>
      <c r="CP45" s="618"/>
      <c r="CQ45" s="618"/>
      <c r="CR45" s="622"/>
      <c r="CS45" s="564" t="s">
        <v>295</v>
      </c>
      <c r="CT45" s="564">
        <v>87</v>
      </c>
      <c r="CU45" s="564">
        <v>87</v>
      </c>
      <c r="CV45" s="585">
        <v>0.7218</v>
      </c>
      <c r="CW45" s="585">
        <v>0.68379999999999996</v>
      </c>
      <c r="CX45" s="585">
        <v>0.65639999999999998</v>
      </c>
      <c r="CY45" s="585">
        <v>0.73860000000000003</v>
      </c>
      <c r="CZ45" s="585">
        <v>0.72529999999999994</v>
      </c>
      <c r="DA45" s="585">
        <v>0.70209999999999995</v>
      </c>
      <c r="DB45" s="884" t="s">
        <v>294</v>
      </c>
      <c r="DC45" s="884">
        <v>84</v>
      </c>
      <c r="DD45" s="884">
        <v>84</v>
      </c>
      <c r="DE45" s="884">
        <v>0.75749999999999995</v>
      </c>
      <c r="DF45" s="133">
        <v>0.71560000000000001</v>
      </c>
      <c r="DG45" s="133">
        <v>0.71179999999999999</v>
      </c>
      <c r="DH45" s="133">
        <v>0.77249999999999996</v>
      </c>
      <c r="DI45" s="133">
        <v>0.75609999999999999</v>
      </c>
      <c r="DJ45" s="133">
        <v>0.74060000000000004</v>
      </c>
    </row>
    <row r="46" spans="1:114" x14ac:dyDescent="0.25">
      <c r="A46" s="322" t="s">
        <v>93</v>
      </c>
      <c r="B46" s="876">
        <v>325754001921</v>
      </c>
      <c r="C46" s="134" t="s">
        <v>452</v>
      </c>
      <c r="D46" s="134" t="s">
        <v>307</v>
      </c>
      <c r="E46" s="344" t="s">
        <v>671</v>
      </c>
      <c r="F46" s="134" t="s">
        <v>123</v>
      </c>
      <c r="G46" s="345" t="s">
        <v>427</v>
      </c>
      <c r="H46" s="346">
        <v>73</v>
      </c>
      <c r="I46" s="346">
        <v>72</v>
      </c>
      <c r="J46" s="346">
        <v>0.64400000000000002</v>
      </c>
      <c r="K46" s="346">
        <v>0.65639999999999998</v>
      </c>
      <c r="L46" s="346">
        <v>0.6462</v>
      </c>
      <c r="M46" s="346">
        <v>0.66820000000000002</v>
      </c>
      <c r="N46" s="346">
        <v>0.64780000000000004</v>
      </c>
      <c r="O46" s="346">
        <v>0.65329999999999999</v>
      </c>
      <c r="P46" s="365" t="s">
        <v>427</v>
      </c>
      <c r="Q46" s="346" t="s">
        <v>466</v>
      </c>
      <c r="R46" s="346" t="s">
        <v>328</v>
      </c>
      <c r="S46" s="346">
        <v>0.64249999999999996</v>
      </c>
      <c r="T46" s="346">
        <v>0.64980000000000004</v>
      </c>
      <c r="U46" s="346">
        <v>0.63900000000000001</v>
      </c>
      <c r="V46" s="346">
        <v>0.67120000000000002</v>
      </c>
      <c r="W46" s="346">
        <v>0.6482</v>
      </c>
      <c r="X46" s="346">
        <v>0.65039999999999998</v>
      </c>
      <c r="Y46" s="347" t="s">
        <v>427</v>
      </c>
      <c r="Z46" s="344" t="s">
        <v>359</v>
      </c>
      <c r="AA46" s="344" t="s">
        <v>519</v>
      </c>
      <c r="AB46" s="348">
        <v>0.62660000000000005</v>
      </c>
      <c r="AC46" s="348">
        <v>0.63590000000000002</v>
      </c>
      <c r="AD46" s="348">
        <v>0.628</v>
      </c>
      <c r="AE46" s="348">
        <v>0.66259999999999997</v>
      </c>
      <c r="AF46" s="348">
        <v>0.64270000000000005</v>
      </c>
      <c r="AG46" s="348">
        <v>0.63859999999999995</v>
      </c>
      <c r="AH46" s="349" t="s">
        <v>427</v>
      </c>
      <c r="AI46" s="344" t="s">
        <v>519</v>
      </c>
      <c r="AJ46" s="344" t="s">
        <v>519</v>
      </c>
      <c r="AK46" s="348">
        <v>0.64900000000000002</v>
      </c>
      <c r="AL46" s="348">
        <v>0.65069999999999995</v>
      </c>
      <c r="AM46" s="348">
        <v>0.65510000000000002</v>
      </c>
      <c r="AN46" s="348">
        <v>0.69450000000000001</v>
      </c>
      <c r="AO46" s="348">
        <v>0.63649999999999995</v>
      </c>
      <c r="AP46" s="348">
        <v>0.66039999999999999</v>
      </c>
      <c r="AQ46" s="367" t="s">
        <v>295</v>
      </c>
      <c r="AR46" s="344" t="s">
        <v>386</v>
      </c>
      <c r="AS46" s="344" t="s">
        <v>312</v>
      </c>
      <c r="AT46" s="348">
        <v>0.6825</v>
      </c>
      <c r="AU46" s="348">
        <v>0.69079999999999997</v>
      </c>
      <c r="AV46" s="348">
        <v>0.69540000000000002</v>
      </c>
      <c r="AW46" s="348">
        <v>0.73470000000000002</v>
      </c>
      <c r="AX46" s="348">
        <v>0.66300000000000003</v>
      </c>
      <c r="AY46" s="348">
        <v>0.69789999999999996</v>
      </c>
      <c r="AZ46" s="360" t="s">
        <v>295</v>
      </c>
      <c r="BA46" s="344" t="s">
        <v>314</v>
      </c>
      <c r="BB46" s="344" t="s">
        <v>460</v>
      </c>
      <c r="BC46" s="348">
        <v>0.70220000000000005</v>
      </c>
      <c r="BD46" s="348">
        <v>0.68330000000000002</v>
      </c>
      <c r="BE46" s="348">
        <v>0.70340000000000003</v>
      </c>
      <c r="BF46" s="348">
        <v>0.75009999999999999</v>
      </c>
      <c r="BG46" s="348">
        <v>0.6794</v>
      </c>
      <c r="BH46" s="348">
        <v>0.70740000000000003</v>
      </c>
      <c r="BI46" s="368" t="s">
        <v>295</v>
      </c>
      <c r="BJ46" s="352">
        <v>70</v>
      </c>
      <c r="BK46" s="352">
        <v>67</v>
      </c>
      <c r="BL46" s="348">
        <v>0.70040000000000002</v>
      </c>
      <c r="BM46" s="348">
        <v>0.67989999999999995</v>
      </c>
      <c r="BN46" s="348">
        <v>0.6865</v>
      </c>
      <c r="BO46" s="348">
        <v>0.75009999999999999</v>
      </c>
      <c r="BP46" s="348">
        <v>0.67759999999999998</v>
      </c>
      <c r="BQ46" s="348">
        <v>0.70220000000000005</v>
      </c>
      <c r="BR46" s="369" t="s">
        <v>295</v>
      </c>
      <c r="BS46" s="346">
        <v>63</v>
      </c>
      <c r="BT46" s="346">
        <v>61</v>
      </c>
      <c r="BU46" s="346">
        <v>0.68459999999999999</v>
      </c>
      <c r="BV46" s="346">
        <v>0.64949999999999997</v>
      </c>
      <c r="BW46" s="346">
        <v>0.64100000000000001</v>
      </c>
      <c r="BX46" s="346">
        <v>0.72709999999999997</v>
      </c>
      <c r="BY46" s="346">
        <v>0.64700000000000002</v>
      </c>
      <c r="BZ46" s="346">
        <v>0.67330000000000001</v>
      </c>
      <c r="CA46" s="356" t="s">
        <v>295</v>
      </c>
      <c r="CB46" s="355" t="s">
        <v>314</v>
      </c>
      <c r="CC46" s="355" t="s">
        <v>563</v>
      </c>
      <c r="CD46" s="355">
        <v>0.69199999999999995</v>
      </c>
      <c r="CE46" s="355">
        <v>0.65680000000000005</v>
      </c>
      <c r="CF46" s="355">
        <v>0.64829999999999999</v>
      </c>
      <c r="CG46" s="355">
        <v>0.73250000000000004</v>
      </c>
      <c r="CH46" s="355">
        <v>0.66239999999999999</v>
      </c>
      <c r="CI46" s="355">
        <v>0.68089999999999995</v>
      </c>
      <c r="CJ46" s="715" t="s">
        <v>295</v>
      </c>
      <c r="CK46" s="620">
        <v>65</v>
      </c>
      <c r="CL46" s="620">
        <v>65</v>
      </c>
      <c r="CM46" s="620">
        <v>0.72640000000000005</v>
      </c>
      <c r="CN46" s="620">
        <v>0.68340000000000001</v>
      </c>
      <c r="CO46" s="620">
        <v>0.69210000000000005</v>
      </c>
      <c r="CP46" s="620">
        <v>0.75880000000000003</v>
      </c>
      <c r="CQ46" s="620">
        <v>0.74119999999999997</v>
      </c>
      <c r="CR46" s="711">
        <v>0.71719999999999995</v>
      </c>
      <c r="CS46" s="564" t="s">
        <v>294</v>
      </c>
      <c r="CT46" s="564">
        <v>71</v>
      </c>
      <c r="CU46" s="564">
        <v>70</v>
      </c>
      <c r="CV46" s="585">
        <v>0.74339999999999995</v>
      </c>
      <c r="CW46" s="585">
        <v>0.71719999999999995</v>
      </c>
      <c r="CX46" s="585">
        <v>0.72270000000000001</v>
      </c>
      <c r="CY46" s="585">
        <v>0.77790000000000004</v>
      </c>
      <c r="CZ46" s="585">
        <v>0.77339999999999998</v>
      </c>
      <c r="DA46" s="585">
        <v>0.74280000000000002</v>
      </c>
      <c r="DB46" s="884" t="s">
        <v>294</v>
      </c>
      <c r="DC46" s="884">
        <v>69</v>
      </c>
      <c r="DD46" s="884">
        <v>68</v>
      </c>
      <c r="DE46" s="884">
        <v>0.7641</v>
      </c>
      <c r="DF46" s="133">
        <v>0.74670000000000003</v>
      </c>
      <c r="DG46" s="133">
        <v>0.7399</v>
      </c>
      <c r="DH46" s="133">
        <v>0.78120000000000001</v>
      </c>
      <c r="DI46" s="133">
        <v>0.78220000000000001</v>
      </c>
      <c r="DJ46" s="133">
        <v>0.75980000000000003</v>
      </c>
    </row>
    <row r="47" spans="1:114" x14ac:dyDescent="0.25">
      <c r="A47" s="36" t="s">
        <v>111</v>
      </c>
      <c r="B47" s="668">
        <v>325754004581</v>
      </c>
      <c r="C47" s="134" t="s">
        <v>452</v>
      </c>
      <c r="D47" s="134" t="s">
        <v>307</v>
      </c>
      <c r="E47" s="134" t="s">
        <v>671</v>
      </c>
      <c r="F47" s="134" t="s">
        <v>123</v>
      </c>
      <c r="G47" s="134"/>
      <c r="H47" s="134"/>
      <c r="I47" s="134"/>
      <c r="J47" s="134"/>
      <c r="K47" s="134"/>
      <c r="L47" s="134"/>
      <c r="M47" s="134"/>
      <c r="N47" s="134"/>
      <c r="O47" s="134"/>
      <c r="P47" s="629" t="s">
        <v>427</v>
      </c>
      <c r="Q47" s="166" t="s">
        <v>378</v>
      </c>
      <c r="R47" s="166" t="s">
        <v>426</v>
      </c>
      <c r="S47" s="166">
        <v>0.62090000000000001</v>
      </c>
      <c r="T47" s="166">
        <v>0.64239999999999997</v>
      </c>
      <c r="U47" s="166">
        <v>0.65510000000000002</v>
      </c>
      <c r="V47" s="166">
        <v>0.66149999999999998</v>
      </c>
      <c r="W47" s="166">
        <v>0.67259999999999998</v>
      </c>
      <c r="X47" s="166">
        <v>0.64710000000000001</v>
      </c>
      <c r="Y47" s="138" t="s">
        <v>295</v>
      </c>
      <c r="Z47" s="134" t="s">
        <v>438</v>
      </c>
      <c r="AA47" s="134" t="s">
        <v>486</v>
      </c>
      <c r="AB47" s="137">
        <v>0.65469999999999995</v>
      </c>
      <c r="AC47" s="137">
        <v>0.68710000000000004</v>
      </c>
      <c r="AD47" s="137">
        <v>0.6663</v>
      </c>
      <c r="AE47" s="137">
        <v>0.68130000000000002</v>
      </c>
      <c r="AF47" s="137">
        <v>0.68259999999999998</v>
      </c>
      <c r="AG47" s="137">
        <v>0.67310000000000003</v>
      </c>
      <c r="AH47" s="159" t="s">
        <v>295</v>
      </c>
      <c r="AI47" s="134" t="s">
        <v>492</v>
      </c>
      <c r="AJ47" s="134" t="s">
        <v>91</v>
      </c>
      <c r="AK47" s="137">
        <v>0.65939999999999999</v>
      </c>
      <c r="AL47" s="137">
        <v>0.6875</v>
      </c>
      <c r="AM47" s="137">
        <v>0.67120000000000002</v>
      </c>
      <c r="AN47" s="137">
        <v>0.67779999999999996</v>
      </c>
      <c r="AO47" s="137">
        <v>0.68200000000000005</v>
      </c>
      <c r="AP47" s="137">
        <v>0.67459999999999998</v>
      </c>
      <c r="AQ47" s="139" t="s">
        <v>295</v>
      </c>
      <c r="AR47" s="134" t="s">
        <v>322</v>
      </c>
      <c r="AS47" s="134" t="s">
        <v>420</v>
      </c>
      <c r="AT47" s="137">
        <v>0.6804</v>
      </c>
      <c r="AU47" s="137">
        <v>0.70420000000000005</v>
      </c>
      <c r="AV47" s="137">
        <v>0.66779999999999995</v>
      </c>
      <c r="AW47" s="137">
        <v>0.67969999999999997</v>
      </c>
      <c r="AX47" s="137">
        <v>0.68540000000000001</v>
      </c>
      <c r="AY47" s="137">
        <v>0.68320000000000003</v>
      </c>
      <c r="AZ47" s="138" t="s">
        <v>295</v>
      </c>
      <c r="BA47" s="134" t="s">
        <v>526</v>
      </c>
      <c r="BB47" s="134" t="s">
        <v>534</v>
      </c>
      <c r="BC47" s="137">
        <v>0.69130000000000003</v>
      </c>
      <c r="BD47" s="137">
        <v>0.66139999999999999</v>
      </c>
      <c r="BE47" s="137">
        <v>0.6603</v>
      </c>
      <c r="BF47" s="137">
        <v>0.68969999999999998</v>
      </c>
      <c r="BG47" s="137">
        <v>0.67210000000000003</v>
      </c>
      <c r="BH47" s="137">
        <v>0.6754</v>
      </c>
      <c r="BI47" s="135" t="s">
        <v>295</v>
      </c>
      <c r="BJ47" s="152">
        <v>26</v>
      </c>
      <c r="BK47" s="152">
        <v>25</v>
      </c>
      <c r="BL47" s="137">
        <v>0.70669999999999999</v>
      </c>
      <c r="BM47" s="137">
        <v>0.67230000000000001</v>
      </c>
      <c r="BN47" s="137">
        <v>0.6623</v>
      </c>
      <c r="BO47" s="137">
        <v>0.69620000000000004</v>
      </c>
      <c r="BP47" s="137">
        <v>0.66849999999999998</v>
      </c>
      <c r="BQ47" s="137">
        <v>0.68320000000000003</v>
      </c>
      <c r="BR47" s="277" t="s">
        <v>295</v>
      </c>
      <c r="BS47" s="270">
        <v>28</v>
      </c>
      <c r="BT47" s="270">
        <v>28</v>
      </c>
      <c r="BU47" s="270">
        <v>0.72019999999999995</v>
      </c>
      <c r="BV47" s="270">
        <v>0.68869999999999998</v>
      </c>
      <c r="BW47" s="270">
        <v>0.6885</v>
      </c>
      <c r="BX47" s="270">
        <v>0.7177</v>
      </c>
      <c r="BY47" s="270">
        <v>0.68430000000000002</v>
      </c>
      <c r="BZ47" s="270">
        <v>0.70230000000000004</v>
      </c>
      <c r="CA47" s="699" t="s">
        <v>295</v>
      </c>
      <c r="CB47" s="672" t="s">
        <v>367</v>
      </c>
      <c r="CC47" s="672" t="s">
        <v>367</v>
      </c>
      <c r="CD47" s="672">
        <v>0.71199999999999997</v>
      </c>
      <c r="CE47" s="672">
        <v>0.70379999999999998</v>
      </c>
      <c r="CF47" s="672">
        <v>0.68610000000000004</v>
      </c>
      <c r="CG47" s="672">
        <v>0.71440000000000003</v>
      </c>
      <c r="CH47" s="672">
        <v>0.70850000000000002</v>
      </c>
      <c r="CI47" s="672">
        <v>0.70440000000000003</v>
      </c>
      <c r="CJ47" s="704" t="s">
        <v>295</v>
      </c>
      <c r="CK47" s="620">
        <v>56</v>
      </c>
      <c r="CL47" s="620">
        <v>56</v>
      </c>
      <c r="CM47" s="620">
        <v>0.72519999999999996</v>
      </c>
      <c r="CN47" s="620">
        <v>0.69679999999999997</v>
      </c>
      <c r="CO47" s="620">
        <v>0.68359999999999999</v>
      </c>
      <c r="CP47" s="620">
        <v>0.72550000000000003</v>
      </c>
      <c r="CQ47" s="620">
        <v>0.73280000000000001</v>
      </c>
      <c r="CR47" s="711">
        <v>0.7097</v>
      </c>
      <c r="CS47" s="564" t="s">
        <v>295</v>
      </c>
      <c r="CT47" s="564">
        <v>65</v>
      </c>
      <c r="CU47" s="564">
        <v>64</v>
      </c>
      <c r="CV47" s="585">
        <v>0.73829999999999996</v>
      </c>
      <c r="CW47" s="585">
        <v>0.70689999999999997</v>
      </c>
      <c r="CX47" s="585">
        <v>0.69079999999999997</v>
      </c>
      <c r="CY47" s="585">
        <v>0.73240000000000005</v>
      </c>
      <c r="CZ47" s="585">
        <v>0.74350000000000005</v>
      </c>
      <c r="DA47" s="585">
        <v>0.71909999999999996</v>
      </c>
      <c r="DB47" s="884" t="s">
        <v>294</v>
      </c>
      <c r="DC47" s="884">
        <v>62</v>
      </c>
      <c r="DD47" s="884">
        <v>61</v>
      </c>
      <c r="DE47" s="884">
        <v>0.74719999999999998</v>
      </c>
      <c r="DF47" s="133">
        <v>0.70509999999999995</v>
      </c>
      <c r="DG47" s="133">
        <v>0.70409999999999995</v>
      </c>
      <c r="DH47" s="133">
        <v>0.75029999999999997</v>
      </c>
      <c r="DI47" s="133">
        <v>0.7571</v>
      </c>
      <c r="DJ47" s="133">
        <v>0.72899999999999998</v>
      </c>
    </row>
    <row r="48" spans="1:114" x14ac:dyDescent="0.25">
      <c r="A48" s="126" t="s">
        <v>799</v>
      </c>
      <c r="B48" s="668">
        <v>325754001531</v>
      </c>
      <c r="C48" s="134" t="s">
        <v>452</v>
      </c>
      <c r="D48" s="134" t="s">
        <v>307</v>
      </c>
      <c r="E48" s="134"/>
      <c r="F48" s="134" t="s">
        <v>123</v>
      </c>
      <c r="G48" s="134"/>
      <c r="H48" s="134"/>
      <c r="I48" s="134"/>
      <c r="J48" s="134"/>
      <c r="K48" s="134"/>
      <c r="L48" s="134"/>
      <c r="M48" s="134"/>
      <c r="N48" s="134"/>
      <c r="O48" s="134"/>
      <c r="P48" s="175"/>
      <c r="Q48" s="174"/>
      <c r="R48" s="174"/>
      <c r="S48" s="174"/>
      <c r="T48" s="174"/>
      <c r="U48" s="174"/>
      <c r="V48" s="174"/>
      <c r="W48" s="174"/>
      <c r="X48" s="174"/>
      <c r="Y48" s="138"/>
      <c r="Z48" s="134"/>
      <c r="AA48" s="134"/>
      <c r="AB48" s="137"/>
      <c r="AC48" s="137"/>
      <c r="AD48" s="137"/>
      <c r="AE48" s="137"/>
      <c r="AF48" s="137"/>
      <c r="AG48" s="137"/>
      <c r="AH48" s="159"/>
      <c r="AI48" s="134"/>
      <c r="AJ48" s="134"/>
      <c r="AK48" s="137"/>
      <c r="AL48" s="137"/>
      <c r="AM48" s="137"/>
      <c r="AN48" s="137"/>
      <c r="AO48" s="137"/>
      <c r="AP48" s="137"/>
      <c r="AQ48" s="139"/>
      <c r="AR48" s="134"/>
      <c r="AS48" s="134"/>
      <c r="AT48" s="137"/>
      <c r="AU48" s="137"/>
      <c r="AV48" s="137"/>
      <c r="AW48" s="137"/>
      <c r="AX48" s="137"/>
      <c r="AY48" s="137"/>
      <c r="AZ48" s="138"/>
      <c r="BA48" s="134"/>
      <c r="BB48" s="134"/>
      <c r="BC48" s="137"/>
      <c r="BD48" s="137"/>
      <c r="BE48" s="137"/>
      <c r="BF48" s="137"/>
      <c r="BG48" s="137"/>
      <c r="BH48" s="137"/>
      <c r="BI48" s="135"/>
      <c r="BJ48" s="152"/>
      <c r="BK48" s="152"/>
      <c r="BL48" s="137"/>
      <c r="BM48" s="137"/>
      <c r="BN48" s="137"/>
      <c r="BO48" s="137"/>
      <c r="BP48" s="137"/>
      <c r="BQ48" s="137"/>
      <c r="BR48" s="277"/>
      <c r="BS48" s="270"/>
      <c r="BT48" s="270"/>
      <c r="BU48" s="270"/>
      <c r="BV48" s="270"/>
      <c r="BW48" s="270"/>
      <c r="BX48" s="270"/>
      <c r="BY48" s="270"/>
      <c r="BZ48" s="270"/>
      <c r="CA48" s="356" t="s">
        <v>295</v>
      </c>
      <c r="CB48" s="355" t="s">
        <v>426</v>
      </c>
      <c r="CC48" s="355" t="s">
        <v>426</v>
      </c>
      <c r="CD48" s="355">
        <v>0.6925</v>
      </c>
      <c r="CE48" s="355">
        <v>0.70930000000000004</v>
      </c>
      <c r="CF48" s="355">
        <v>0.67259999999999998</v>
      </c>
      <c r="CG48" s="355">
        <v>0.7147</v>
      </c>
      <c r="CH48" s="355">
        <v>0.72529999999999994</v>
      </c>
      <c r="CI48" s="355">
        <v>0.69940000000000002</v>
      </c>
      <c r="CJ48" s="704" t="s">
        <v>295</v>
      </c>
      <c r="CK48" s="620">
        <v>36</v>
      </c>
      <c r="CL48" s="620">
        <v>36</v>
      </c>
      <c r="CM48" s="620">
        <v>0.69620000000000004</v>
      </c>
      <c r="CN48" s="620">
        <v>0.69769999999999999</v>
      </c>
      <c r="CO48" s="620">
        <v>0.66649999999999998</v>
      </c>
      <c r="CP48" s="620">
        <v>0.71440000000000003</v>
      </c>
      <c r="CQ48" s="620">
        <v>0.72340000000000004</v>
      </c>
      <c r="CR48" s="711">
        <v>0.69599999999999995</v>
      </c>
      <c r="CS48" s="564" t="s">
        <v>295</v>
      </c>
      <c r="CT48" s="564">
        <v>64</v>
      </c>
      <c r="CU48" s="564">
        <v>64</v>
      </c>
      <c r="CV48" s="585">
        <v>0.69699999999999995</v>
      </c>
      <c r="CW48" s="585">
        <v>0.68340000000000001</v>
      </c>
      <c r="CX48" s="585">
        <v>0.65669999999999995</v>
      </c>
      <c r="CY48" s="585">
        <v>0.71830000000000005</v>
      </c>
      <c r="CZ48" s="585">
        <v>0.70499999999999996</v>
      </c>
      <c r="DA48" s="585">
        <v>0.69010000000000005</v>
      </c>
      <c r="DB48" s="884" t="s">
        <v>295</v>
      </c>
      <c r="DC48" s="884">
        <v>91</v>
      </c>
      <c r="DD48" s="884">
        <v>89</v>
      </c>
      <c r="DE48" s="884">
        <v>0.72330000000000005</v>
      </c>
      <c r="DF48" s="133">
        <v>0.69620000000000004</v>
      </c>
      <c r="DG48" s="133">
        <v>0.6694</v>
      </c>
      <c r="DH48" s="133">
        <v>0.72799999999999998</v>
      </c>
      <c r="DI48" s="133">
        <v>0.72850000000000004</v>
      </c>
      <c r="DJ48" s="133">
        <v>0.70609999999999995</v>
      </c>
    </row>
    <row r="49" spans="1:114" x14ac:dyDescent="0.25">
      <c r="A49" s="36" t="s">
        <v>49</v>
      </c>
      <c r="B49" s="668">
        <v>325754001875</v>
      </c>
      <c r="C49" s="134" t="s">
        <v>452</v>
      </c>
      <c r="D49" s="134" t="s">
        <v>307</v>
      </c>
      <c r="E49" s="134" t="s">
        <v>671</v>
      </c>
      <c r="F49" s="134" t="s">
        <v>123</v>
      </c>
      <c r="G49" s="165" t="s">
        <v>295</v>
      </c>
      <c r="H49" s="166">
        <v>10</v>
      </c>
      <c r="I49" s="166">
        <v>10</v>
      </c>
      <c r="J49" s="166">
        <v>0.68240000000000001</v>
      </c>
      <c r="K49" s="166">
        <v>0.63170000000000004</v>
      </c>
      <c r="L49" s="166">
        <v>0.69679999999999997</v>
      </c>
      <c r="M49" s="166">
        <v>0.69469999999999998</v>
      </c>
      <c r="N49" s="166">
        <v>0.66600000000000004</v>
      </c>
      <c r="O49" s="166">
        <v>0.67559999999999998</v>
      </c>
      <c r="P49" s="164"/>
      <c r="Q49" s="134"/>
      <c r="R49" s="134"/>
      <c r="S49" s="134"/>
      <c r="T49" s="134"/>
      <c r="U49" s="134"/>
      <c r="V49" s="134"/>
      <c r="W49" s="134"/>
      <c r="X49" s="134"/>
      <c r="Y49" s="134"/>
      <c r="Z49" s="134"/>
      <c r="AA49" s="134"/>
      <c r="AB49" s="137"/>
      <c r="AC49" s="137"/>
      <c r="AD49" s="137"/>
      <c r="AE49" s="137"/>
      <c r="AF49" s="137"/>
      <c r="AG49" s="137"/>
      <c r="AH49" s="155" t="s">
        <v>427</v>
      </c>
      <c r="AI49" s="134" t="s">
        <v>378</v>
      </c>
      <c r="AJ49" s="134" t="s">
        <v>518</v>
      </c>
      <c r="AK49" s="137">
        <v>0.64080000000000004</v>
      </c>
      <c r="AL49" s="137">
        <v>0.66990000000000005</v>
      </c>
      <c r="AM49" s="137">
        <v>0.63519999999999999</v>
      </c>
      <c r="AN49" s="137">
        <v>0.73019999999999996</v>
      </c>
      <c r="AO49" s="137">
        <v>0.65620000000000001</v>
      </c>
      <c r="AP49" s="137">
        <v>0.66800000000000004</v>
      </c>
      <c r="AQ49" s="139" t="s">
        <v>295</v>
      </c>
      <c r="AR49" s="134" t="s">
        <v>416</v>
      </c>
      <c r="AS49" s="134" t="s">
        <v>417</v>
      </c>
      <c r="AT49" s="137">
        <v>0.66659999999999997</v>
      </c>
      <c r="AU49" s="137">
        <v>0.67659999999999998</v>
      </c>
      <c r="AV49" s="137">
        <v>0.65349999999999997</v>
      </c>
      <c r="AW49" s="137">
        <v>0.74560000000000004</v>
      </c>
      <c r="AX49" s="137">
        <v>0.6996</v>
      </c>
      <c r="AY49" s="137">
        <v>0.68659999999999999</v>
      </c>
      <c r="AZ49" s="141" t="s">
        <v>427</v>
      </c>
      <c r="BA49" s="134" t="s">
        <v>378</v>
      </c>
      <c r="BB49" s="134" t="s">
        <v>518</v>
      </c>
      <c r="BC49" s="137">
        <v>0.64080000000000004</v>
      </c>
      <c r="BD49" s="137">
        <v>0.66990000000000005</v>
      </c>
      <c r="BE49" s="137">
        <v>0.63519999999999999</v>
      </c>
      <c r="BF49" s="137">
        <v>0.73019999999999996</v>
      </c>
      <c r="BG49" s="137">
        <v>0.65620000000000001</v>
      </c>
      <c r="BH49" s="137">
        <v>0.66800000000000004</v>
      </c>
      <c r="BI49" s="140" t="s">
        <v>427</v>
      </c>
      <c r="BJ49" s="152">
        <v>17</v>
      </c>
      <c r="BK49" s="152">
        <v>16</v>
      </c>
      <c r="BL49" s="137">
        <v>0.64080000000000004</v>
      </c>
      <c r="BM49" s="137">
        <v>0.66990000000000005</v>
      </c>
      <c r="BN49" s="137">
        <v>0.63519999999999999</v>
      </c>
      <c r="BO49" s="137">
        <v>0.73019999999999996</v>
      </c>
      <c r="BP49" s="137">
        <v>0.65620000000000001</v>
      </c>
      <c r="BQ49" s="137">
        <v>0.66800000000000004</v>
      </c>
      <c r="BR49" s="279" t="s">
        <v>427</v>
      </c>
      <c r="BS49" s="270">
        <v>71</v>
      </c>
      <c r="BT49" s="270">
        <v>69</v>
      </c>
      <c r="BU49" s="270">
        <v>0.61539999999999995</v>
      </c>
      <c r="BV49" s="270">
        <v>0.61529999999999996</v>
      </c>
      <c r="BW49" s="270">
        <v>0.57840000000000003</v>
      </c>
      <c r="BX49" s="270">
        <v>0.67349999999999999</v>
      </c>
      <c r="BY49" s="270">
        <v>0.63129999999999997</v>
      </c>
      <c r="BZ49" s="270">
        <v>0.62150000000000005</v>
      </c>
      <c r="CA49" s="344"/>
      <c r="CB49" s="344"/>
      <c r="CC49" s="344"/>
      <c r="CD49" s="344"/>
      <c r="CE49" s="344"/>
      <c r="CF49" s="344"/>
      <c r="CG49" s="344"/>
      <c r="CH49" s="344"/>
      <c r="CI49" s="344"/>
      <c r="CJ49" s="714"/>
      <c r="CK49" s="618"/>
      <c r="CL49" s="618"/>
      <c r="CM49" s="618"/>
      <c r="CN49" s="618"/>
      <c r="CO49" s="618"/>
      <c r="CP49" s="618"/>
      <c r="CQ49" s="618"/>
      <c r="CR49" s="622"/>
      <c r="CS49" s="563"/>
      <c r="CT49" s="582"/>
      <c r="CU49" s="582"/>
      <c r="CV49" s="586"/>
      <c r="CW49" s="586"/>
      <c r="CX49" s="586"/>
      <c r="CY49" s="586"/>
      <c r="CZ49" s="586"/>
      <c r="DA49" s="586"/>
      <c r="DB49" s="884"/>
      <c r="DC49" s="884"/>
      <c r="DD49" s="884"/>
      <c r="DE49" s="884"/>
    </row>
    <row r="50" spans="1:114" x14ac:dyDescent="0.25">
      <c r="A50" s="36" t="s">
        <v>94</v>
      </c>
      <c r="B50" s="668">
        <v>325754001221</v>
      </c>
      <c r="C50" s="134" t="s">
        <v>452</v>
      </c>
      <c r="D50" s="134" t="s">
        <v>307</v>
      </c>
      <c r="E50" s="134" t="s">
        <v>671</v>
      </c>
      <c r="F50" s="134" t="s">
        <v>123</v>
      </c>
      <c r="G50" s="169" t="s">
        <v>443</v>
      </c>
      <c r="H50" s="166">
        <v>29</v>
      </c>
      <c r="I50" s="166">
        <v>27</v>
      </c>
      <c r="J50" s="166">
        <v>0.61829999999999996</v>
      </c>
      <c r="K50" s="166">
        <v>0.60929999999999995</v>
      </c>
      <c r="L50" s="166">
        <v>0.61129999999999995</v>
      </c>
      <c r="M50" s="166">
        <v>0.58740000000000003</v>
      </c>
      <c r="N50" s="166">
        <v>0.62980000000000003</v>
      </c>
      <c r="O50" s="166">
        <v>0.60829999999999995</v>
      </c>
      <c r="P50" s="176" t="s">
        <v>443</v>
      </c>
      <c r="Q50" s="174" t="s">
        <v>322</v>
      </c>
      <c r="R50" s="174" t="s">
        <v>450</v>
      </c>
      <c r="S50" s="174">
        <v>0.61339999999999995</v>
      </c>
      <c r="T50" s="174">
        <v>0.61560000000000004</v>
      </c>
      <c r="U50" s="174">
        <v>0.61439999999999995</v>
      </c>
      <c r="V50" s="174">
        <v>0.60319999999999996</v>
      </c>
      <c r="W50" s="174">
        <v>0.64690000000000003</v>
      </c>
      <c r="X50" s="174">
        <v>0.61439999999999995</v>
      </c>
      <c r="Y50" s="134"/>
      <c r="Z50" s="134"/>
      <c r="AA50" s="134"/>
      <c r="AB50" s="137"/>
      <c r="AC50" s="137"/>
      <c r="AD50" s="137"/>
      <c r="AE50" s="137"/>
      <c r="AF50" s="137"/>
      <c r="AG50" s="137"/>
      <c r="AH50" s="157" t="s">
        <v>443</v>
      </c>
      <c r="AI50" s="134" t="s">
        <v>82</v>
      </c>
      <c r="AJ50" s="134" t="s">
        <v>486</v>
      </c>
      <c r="AK50" s="137">
        <v>0.59109999999999996</v>
      </c>
      <c r="AL50" s="137">
        <v>0.64349999999999996</v>
      </c>
      <c r="AM50" s="137">
        <v>0.61339999999999995</v>
      </c>
      <c r="AN50" s="137">
        <v>0.624</v>
      </c>
      <c r="AO50" s="137">
        <v>0.63739999999999997</v>
      </c>
      <c r="AP50" s="137">
        <v>0.61950000000000005</v>
      </c>
      <c r="AQ50" s="142" t="s">
        <v>427</v>
      </c>
      <c r="AR50" s="134" t="s">
        <v>442</v>
      </c>
      <c r="AS50" s="134" t="s">
        <v>401</v>
      </c>
      <c r="AT50" s="137">
        <v>0.60189999999999999</v>
      </c>
      <c r="AU50" s="137">
        <v>0.64449999999999996</v>
      </c>
      <c r="AV50" s="137">
        <v>0.6079</v>
      </c>
      <c r="AW50" s="137">
        <v>0.63029999999999997</v>
      </c>
      <c r="AX50" s="137">
        <v>0.62990000000000002</v>
      </c>
      <c r="AY50" s="137">
        <v>0.62180000000000002</v>
      </c>
      <c r="AZ50" s="141" t="s">
        <v>427</v>
      </c>
      <c r="BA50" s="134" t="s">
        <v>526</v>
      </c>
      <c r="BB50" s="134" t="s">
        <v>534</v>
      </c>
      <c r="BC50" s="137">
        <v>0.6502</v>
      </c>
      <c r="BD50" s="137">
        <v>0.65290000000000004</v>
      </c>
      <c r="BE50" s="137">
        <v>0.62329999999999997</v>
      </c>
      <c r="BF50" s="137">
        <v>0.68010000000000004</v>
      </c>
      <c r="BG50" s="137">
        <v>0.66359999999999997</v>
      </c>
      <c r="BH50" s="137">
        <v>0.65249999999999997</v>
      </c>
      <c r="BI50" s="140" t="s">
        <v>427</v>
      </c>
      <c r="BJ50" s="152">
        <v>35</v>
      </c>
      <c r="BK50" s="152">
        <v>30</v>
      </c>
      <c r="BL50" s="137">
        <v>0.62219999999999998</v>
      </c>
      <c r="BM50" s="137">
        <v>0.63570000000000004</v>
      </c>
      <c r="BN50" s="137">
        <v>0.59740000000000004</v>
      </c>
      <c r="BO50" s="137">
        <v>0.67420000000000002</v>
      </c>
      <c r="BP50" s="137">
        <v>0.62670000000000003</v>
      </c>
      <c r="BQ50" s="137">
        <v>0.63190000000000002</v>
      </c>
      <c r="BR50" s="279" t="s">
        <v>427</v>
      </c>
      <c r="BS50" s="270">
        <v>37</v>
      </c>
      <c r="BT50" s="270">
        <v>37</v>
      </c>
      <c r="BU50" s="270">
        <v>0.65849999999999997</v>
      </c>
      <c r="BV50" s="270">
        <v>0.65810000000000002</v>
      </c>
      <c r="BW50" s="270">
        <v>0.62819999999999998</v>
      </c>
      <c r="BX50" s="270">
        <v>0.70789999999999997</v>
      </c>
      <c r="BY50" s="270">
        <v>0.66859999999999997</v>
      </c>
      <c r="BZ50" s="270">
        <v>0.66359999999999997</v>
      </c>
      <c r="CA50" s="357" t="s">
        <v>427</v>
      </c>
      <c r="CB50" s="355" t="s">
        <v>454</v>
      </c>
      <c r="CC50" s="355" t="s">
        <v>454</v>
      </c>
      <c r="CD50" s="355">
        <v>0.65480000000000005</v>
      </c>
      <c r="CE50" s="355">
        <v>0.64339999999999997</v>
      </c>
      <c r="CF50" s="355">
        <v>0.63949999999999996</v>
      </c>
      <c r="CG50" s="355">
        <v>0.70179999999999998</v>
      </c>
      <c r="CH50" s="355">
        <v>0.66510000000000002</v>
      </c>
      <c r="CI50" s="355">
        <v>0.6603</v>
      </c>
      <c r="CJ50" s="714"/>
      <c r="CK50" s="618"/>
      <c r="CL50" s="618"/>
      <c r="CM50" s="618"/>
      <c r="CN50" s="618"/>
      <c r="CO50" s="618"/>
      <c r="CP50" s="618"/>
      <c r="CQ50" s="618"/>
      <c r="CR50" s="622"/>
      <c r="CS50" s="564" t="s">
        <v>427</v>
      </c>
      <c r="CT50" s="564">
        <v>63</v>
      </c>
      <c r="CU50" s="564">
        <v>60</v>
      </c>
      <c r="CV50" s="585">
        <v>0.62139999999999995</v>
      </c>
      <c r="CW50" s="585">
        <v>0.60029999999999994</v>
      </c>
      <c r="CX50" s="585">
        <v>0.60260000000000002</v>
      </c>
      <c r="CY50" s="585">
        <v>0.66710000000000003</v>
      </c>
      <c r="CZ50" s="585">
        <v>0.65769999999999995</v>
      </c>
      <c r="DA50" s="585">
        <v>0.62560000000000004</v>
      </c>
      <c r="DB50" s="884" t="s">
        <v>427</v>
      </c>
      <c r="DC50" s="884">
        <v>76</v>
      </c>
      <c r="DD50" s="884">
        <v>69</v>
      </c>
      <c r="DE50" s="884">
        <v>0.622</v>
      </c>
      <c r="DF50" s="133">
        <v>0.60389999999999999</v>
      </c>
      <c r="DG50" s="133">
        <v>0.59289999999999998</v>
      </c>
      <c r="DH50" s="133">
        <v>0.66920000000000002</v>
      </c>
      <c r="DI50" s="133">
        <v>0.6482</v>
      </c>
      <c r="DJ50" s="133">
        <v>0.624</v>
      </c>
    </row>
    <row r="51" spans="1:114" x14ac:dyDescent="0.25">
      <c r="A51" s="322" t="s">
        <v>132</v>
      </c>
      <c r="B51" s="876">
        <v>325754003169</v>
      </c>
      <c r="C51" s="134" t="s">
        <v>452</v>
      </c>
      <c r="D51" s="134" t="s">
        <v>307</v>
      </c>
      <c r="E51" s="344" t="s">
        <v>671</v>
      </c>
      <c r="F51" s="134" t="s">
        <v>123</v>
      </c>
      <c r="G51" s="344"/>
      <c r="H51" s="344"/>
      <c r="I51" s="344"/>
      <c r="J51" s="344"/>
      <c r="K51" s="344"/>
      <c r="L51" s="344"/>
      <c r="M51" s="344"/>
      <c r="N51" s="344"/>
      <c r="O51" s="344"/>
      <c r="P51" s="344"/>
      <c r="Q51" s="344"/>
      <c r="R51" s="344"/>
      <c r="S51" s="344"/>
      <c r="T51" s="344"/>
      <c r="U51" s="344"/>
      <c r="V51" s="344"/>
      <c r="W51" s="344"/>
      <c r="X51" s="344"/>
      <c r="Y51" s="344"/>
      <c r="Z51" s="344"/>
      <c r="AA51" s="344"/>
      <c r="AB51" s="348"/>
      <c r="AC51" s="348"/>
      <c r="AD51" s="348"/>
      <c r="AE51" s="348"/>
      <c r="AF51" s="348"/>
      <c r="AG51" s="348"/>
      <c r="AH51" s="686" t="s">
        <v>293</v>
      </c>
      <c r="AI51" s="344" t="s">
        <v>416</v>
      </c>
      <c r="AJ51" s="344" t="s">
        <v>416</v>
      </c>
      <c r="AK51" s="348">
        <v>0.74099999999999999</v>
      </c>
      <c r="AL51" s="348">
        <v>0.77029999999999998</v>
      </c>
      <c r="AM51" s="348">
        <v>0.77659999999999996</v>
      </c>
      <c r="AN51" s="348">
        <v>0.80769999999999997</v>
      </c>
      <c r="AO51" s="348">
        <v>0.78410000000000002</v>
      </c>
      <c r="AP51" s="348">
        <v>0.77470000000000006</v>
      </c>
      <c r="AQ51" s="362" t="s">
        <v>294</v>
      </c>
      <c r="AR51" s="344" t="s">
        <v>82</v>
      </c>
      <c r="AS51" s="344" t="s">
        <v>322</v>
      </c>
      <c r="AT51" s="348">
        <v>0.75160000000000005</v>
      </c>
      <c r="AU51" s="348">
        <v>0.76339999999999997</v>
      </c>
      <c r="AV51" s="348">
        <v>0.76649999999999996</v>
      </c>
      <c r="AW51" s="348">
        <v>0.79459999999999997</v>
      </c>
      <c r="AX51" s="348">
        <v>0.76790000000000003</v>
      </c>
      <c r="AY51" s="348">
        <v>0.76890000000000003</v>
      </c>
      <c r="AZ51" s="363" t="s">
        <v>294</v>
      </c>
      <c r="BA51" s="344" t="s">
        <v>50</v>
      </c>
      <c r="BB51" s="344" t="s">
        <v>543</v>
      </c>
      <c r="BC51" s="348">
        <v>0.75819999999999999</v>
      </c>
      <c r="BD51" s="348">
        <v>0.76629999999999998</v>
      </c>
      <c r="BE51" s="348">
        <v>0.76900000000000002</v>
      </c>
      <c r="BF51" s="348">
        <v>0.78310000000000002</v>
      </c>
      <c r="BG51" s="348">
        <v>0.77510000000000001</v>
      </c>
      <c r="BH51" s="348">
        <v>0.76959999999999995</v>
      </c>
      <c r="BI51" s="373" t="s">
        <v>293</v>
      </c>
      <c r="BJ51" s="352">
        <v>47</v>
      </c>
      <c r="BK51" s="352">
        <v>46</v>
      </c>
      <c r="BL51" s="348">
        <v>0.79149999999999998</v>
      </c>
      <c r="BM51" s="348">
        <v>0.77410000000000001</v>
      </c>
      <c r="BN51" s="348">
        <v>0.78569999999999995</v>
      </c>
      <c r="BO51" s="348">
        <v>0.78959999999999997</v>
      </c>
      <c r="BP51" s="348">
        <v>0.77529999999999999</v>
      </c>
      <c r="BQ51" s="348">
        <v>0.78439999999999999</v>
      </c>
      <c r="BR51" s="698" t="s">
        <v>293</v>
      </c>
      <c r="BS51" s="346">
        <v>52</v>
      </c>
      <c r="BT51" s="346">
        <v>52</v>
      </c>
      <c r="BU51" s="346">
        <v>0.81679999999999997</v>
      </c>
      <c r="BV51" s="346">
        <v>0.79349999999999998</v>
      </c>
      <c r="BW51" s="346">
        <v>0.8054</v>
      </c>
      <c r="BX51" s="346">
        <v>0.80989999999999995</v>
      </c>
      <c r="BY51" s="346">
        <v>0.81</v>
      </c>
      <c r="BZ51" s="346">
        <v>0.80669999999999997</v>
      </c>
      <c r="CA51" s="358" t="s">
        <v>293</v>
      </c>
      <c r="CB51" s="355" t="s">
        <v>359</v>
      </c>
      <c r="CC51" s="355" t="s">
        <v>359</v>
      </c>
      <c r="CD51" s="355">
        <v>0.82410000000000005</v>
      </c>
      <c r="CE51" s="355">
        <v>0.79949999999999999</v>
      </c>
      <c r="CF51" s="355">
        <v>0.80989999999999995</v>
      </c>
      <c r="CG51" s="355">
        <v>0.82340000000000002</v>
      </c>
      <c r="CH51" s="355">
        <v>0.82750000000000001</v>
      </c>
      <c r="CI51" s="355">
        <v>0.81520000000000004</v>
      </c>
      <c r="CJ51" s="716" t="s">
        <v>293</v>
      </c>
      <c r="CK51" s="620">
        <v>75</v>
      </c>
      <c r="CL51" s="620">
        <v>75</v>
      </c>
      <c r="CM51" s="620">
        <v>0.82479999999999998</v>
      </c>
      <c r="CN51" s="620">
        <v>0.7913</v>
      </c>
      <c r="CO51" s="620">
        <v>0.79710000000000003</v>
      </c>
      <c r="CP51" s="620">
        <v>0.81689999999999996</v>
      </c>
      <c r="CQ51" s="620">
        <v>0.84319999999999995</v>
      </c>
      <c r="CR51" s="711">
        <v>0.81030000000000002</v>
      </c>
      <c r="CS51" s="564" t="s">
        <v>293</v>
      </c>
      <c r="CT51" s="564">
        <v>74</v>
      </c>
      <c r="CU51" s="564">
        <v>74</v>
      </c>
      <c r="CV51" s="585">
        <v>0.83299999999999996</v>
      </c>
      <c r="CW51" s="585">
        <v>0.79090000000000005</v>
      </c>
      <c r="CX51" s="585">
        <v>0.79569999999999996</v>
      </c>
      <c r="CY51" s="585">
        <v>0.82150000000000001</v>
      </c>
      <c r="CZ51" s="585">
        <v>0.84709999999999996</v>
      </c>
      <c r="DA51" s="585">
        <v>0.81310000000000004</v>
      </c>
      <c r="DB51" s="884" t="s">
        <v>293</v>
      </c>
      <c r="DC51" s="884">
        <v>76</v>
      </c>
      <c r="DD51" s="884">
        <v>76</v>
      </c>
      <c r="DE51" s="884">
        <v>0.84440000000000004</v>
      </c>
      <c r="DF51" s="133">
        <v>0.7913</v>
      </c>
      <c r="DG51" s="133">
        <v>0.79339999999999999</v>
      </c>
      <c r="DH51" s="133">
        <v>0.83050000000000002</v>
      </c>
      <c r="DI51" s="133">
        <v>0.85270000000000001</v>
      </c>
      <c r="DJ51" s="133">
        <v>0.81779999999999997</v>
      </c>
    </row>
    <row r="52" spans="1:114" x14ac:dyDescent="0.25">
      <c r="A52" s="36" t="s">
        <v>30</v>
      </c>
      <c r="B52" s="668">
        <v>325754001212</v>
      </c>
      <c r="C52" s="134" t="s">
        <v>452</v>
      </c>
      <c r="D52" s="134" t="s">
        <v>307</v>
      </c>
      <c r="E52" s="134" t="s">
        <v>671</v>
      </c>
      <c r="F52" s="134" t="s">
        <v>123</v>
      </c>
      <c r="G52" s="165" t="s">
        <v>295</v>
      </c>
      <c r="H52" s="166">
        <v>85</v>
      </c>
      <c r="I52" s="166">
        <v>85</v>
      </c>
      <c r="J52" s="166">
        <v>0.69740000000000002</v>
      </c>
      <c r="K52" s="166">
        <v>0.72060000000000002</v>
      </c>
      <c r="L52" s="166">
        <v>0.70820000000000005</v>
      </c>
      <c r="M52" s="166">
        <v>0.71179999999999999</v>
      </c>
      <c r="N52" s="166">
        <v>0.67600000000000005</v>
      </c>
      <c r="O52" s="166">
        <v>0.70699999999999996</v>
      </c>
      <c r="P52" s="173" t="s">
        <v>295</v>
      </c>
      <c r="Q52" s="174" t="s">
        <v>485</v>
      </c>
      <c r="R52" s="174" t="s">
        <v>485</v>
      </c>
      <c r="S52" s="174">
        <v>0.6986</v>
      </c>
      <c r="T52" s="174">
        <v>0.72540000000000004</v>
      </c>
      <c r="U52" s="174">
        <v>0.70420000000000005</v>
      </c>
      <c r="V52" s="174">
        <v>0.70950000000000002</v>
      </c>
      <c r="W52" s="174">
        <v>0.69589999999999996</v>
      </c>
      <c r="X52" s="174">
        <v>0.70840000000000003</v>
      </c>
      <c r="Y52" s="145" t="s">
        <v>294</v>
      </c>
      <c r="Z52" s="134" t="s">
        <v>485</v>
      </c>
      <c r="AA52" s="134" t="s">
        <v>465</v>
      </c>
      <c r="AB52" s="137">
        <v>0.71930000000000005</v>
      </c>
      <c r="AC52" s="137">
        <v>0.73250000000000004</v>
      </c>
      <c r="AD52" s="137">
        <v>0.73080000000000001</v>
      </c>
      <c r="AE52" s="137">
        <v>0.73060000000000003</v>
      </c>
      <c r="AF52" s="137">
        <v>0.71479999999999999</v>
      </c>
      <c r="AG52" s="137">
        <v>0.72729999999999995</v>
      </c>
      <c r="AH52" s="158" t="s">
        <v>294</v>
      </c>
      <c r="AI52" s="134" t="s">
        <v>465</v>
      </c>
      <c r="AJ52" s="134" t="s">
        <v>466</v>
      </c>
      <c r="AK52" s="137">
        <v>0.73329999999999995</v>
      </c>
      <c r="AL52" s="137">
        <v>0.74150000000000005</v>
      </c>
      <c r="AM52" s="137">
        <v>0.74570000000000003</v>
      </c>
      <c r="AN52" s="137">
        <v>0.75470000000000004</v>
      </c>
      <c r="AO52" s="137">
        <v>0.73470000000000002</v>
      </c>
      <c r="AP52" s="137">
        <v>0.74309999999999998</v>
      </c>
      <c r="AQ52" s="150" t="s">
        <v>294</v>
      </c>
      <c r="AR52" s="134" t="s">
        <v>334</v>
      </c>
      <c r="AS52" s="134" t="s">
        <v>335</v>
      </c>
      <c r="AT52" s="137">
        <v>0.73660000000000003</v>
      </c>
      <c r="AU52" s="137">
        <v>0.7238</v>
      </c>
      <c r="AV52" s="137">
        <v>0.74609999999999999</v>
      </c>
      <c r="AW52" s="137">
        <v>0.76459999999999995</v>
      </c>
      <c r="AX52" s="137">
        <v>0.71360000000000001</v>
      </c>
      <c r="AY52" s="137">
        <v>0.74050000000000005</v>
      </c>
      <c r="AZ52" s="145" t="s">
        <v>294</v>
      </c>
      <c r="BA52" s="134" t="s">
        <v>335</v>
      </c>
      <c r="BB52" s="134" t="s">
        <v>548</v>
      </c>
      <c r="BC52" s="137">
        <v>0.73550000000000004</v>
      </c>
      <c r="BD52" s="137">
        <v>0.71450000000000002</v>
      </c>
      <c r="BE52" s="137">
        <v>0.73460000000000003</v>
      </c>
      <c r="BF52" s="137">
        <v>0.76359999999999995</v>
      </c>
      <c r="BG52" s="137">
        <v>0.71260000000000001</v>
      </c>
      <c r="BH52" s="137">
        <v>0.73519999999999996</v>
      </c>
      <c r="BI52" s="149" t="s">
        <v>294</v>
      </c>
      <c r="BJ52" s="152">
        <v>92</v>
      </c>
      <c r="BK52" s="152">
        <v>88</v>
      </c>
      <c r="BL52" s="137">
        <v>0.74790000000000001</v>
      </c>
      <c r="BM52" s="137">
        <v>0.70899999999999996</v>
      </c>
      <c r="BN52" s="137">
        <v>0.73560000000000003</v>
      </c>
      <c r="BO52" s="137">
        <v>0.76129999999999998</v>
      </c>
      <c r="BP52" s="137">
        <v>0.70089999999999997</v>
      </c>
      <c r="BQ52" s="137">
        <v>0.73560000000000003</v>
      </c>
      <c r="BR52" s="697" t="s">
        <v>294</v>
      </c>
      <c r="BS52" s="270">
        <v>101</v>
      </c>
      <c r="BT52" s="270">
        <v>100</v>
      </c>
      <c r="BU52" s="270">
        <v>0.75780000000000003</v>
      </c>
      <c r="BV52" s="270">
        <v>0.7147</v>
      </c>
      <c r="BW52" s="270">
        <v>0.72960000000000003</v>
      </c>
      <c r="BX52" s="270">
        <v>0.75639999999999996</v>
      </c>
      <c r="BY52" s="270">
        <v>0.7077</v>
      </c>
      <c r="BZ52" s="270">
        <v>0.73719999999999997</v>
      </c>
      <c r="CA52" s="700" t="s">
        <v>294</v>
      </c>
      <c r="CB52" s="672" t="s">
        <v>494</v>
      </c>
      <c r="CC52" s="672" t="s">
        <v>494</v>
      </c>
      <c r="CD52" s="672">
        <v>0.77159999999999995</v>
      </c>
      <c r="CE52" s="672">
        <v>0.73150000000000004</v>
      </c>
      <c r="CF52" s="672">
        <v>0.73870000000000002</v>
      </c>
      <c r="CG52" s="672">
        <v>0.76539999999999997</v>
      </c>
      <c r="CH52" s="672">
        <v>0.71779999999999999</v>
      </c>
      <c r="CI52" s="672">
        <v>0.74919999999999998</v>
      </c>
      <c r="CJ52" s="703" t="s">
        <v>294</v>
      </c>
      <c r="CK52" s="620">
        <v>110</v>
      </c>
      <c r="CL52" s="620">
        <v>109</v>
      </c>
      <c r="CM52" s="620">
        <v>0.78220000000000001</v>
      </c>
      <c r="CN52" s="620">
        <v>0.73650000000000004</v>
      </c>
      <c r="CO52" s="620">
        <v>0.74129999999999996</v>
      </c>
      <c r="CP52" s="620">
        <v>0.77190000000000003</v>
      </c>
      <c r="CQ52" s="620">
        <v>0.72799999999999998</v>
      </c>
      <c r="CR52" s="711">
        <v>0.75570000000000004</v>
      </c>
      <c r="CS52" s="564" t="s">
        <v>293</v>
      </c>
      <c r="CT52" s="564">
        <v>98</v>
      </c>
      <c r="CU52" s="564">
        <v>96</v>
      </c>
      <c r="CV52" s="585">
        <v>0.78910000000000002</v>
      </c>
      <c r="CW52" s="585">
        <v>0.75309999999999999</v>
      </c>
      <c r="CX52" s="585">
        <v>0.7611</v>
      </c>
      <c r="CY52" s="585">
        <v>0.79</v>
      </c>
      <c r="CZ52" s="585">
        <v>0.73850000000000005</v>
      </c>
      <c r="DA52" s="585">
        <v>0.77059999999999995</v>
      </c>
      <c r="DB52" s="884" t="s">
        <v>294</v>
      </c>
      <c r="DC52" s="884">
        <v>89</v>
      </c>
      <c r="DD52" s="884">
        <v>87</v>
      </c>
      <c r="DE52" s="884">
        <v>0.78580000000000005</v>
      </c>
      <c r="DF52" s="133">
        <v>0.74360000000000004</v>
      </c>
      <c r="DG52" s="133">
        <v>0.75539999999999996</v>
      </c>
      <c r="DH52" s="133">
        <v>0.78339999999999999</v>
      </c>
      <c r="DI52" s="133">
        <v>0.7369</v>
      </c>
      <c r="DJ52" s="133">
        <v>0.76470000000000005</v>
      </c>
    </row>
    <row r="53" spans="1:114" ht="15" x14ac:dyDescent="0.25">
      <c r="A53" s="126" t="s">
        <v>800</v>
      </c>
      <c r="B53" s="668">
        <v>325754004335</v>
      </c>
      <c r="C53" s="134" t="s">
        <v>452</v>
      </c>
      <c r="D53" s="134" t="s">
        <v>307</v>
      </c>
      <c r="E53" s="134"/>
      <c r="F53" s="134" t="s">
        <v>123</v>
      </c>
      <c r="G53" s="134"/>
      <c r="H53" s="134"/>
      <c r="I53" s="134"/>
      <c r="J53" s="134"/>
      <c r="K53" s="134"/>
      <c r="L53" s="134"/>
      <c r="M53" s="134"/>
      <c r="N53" s="134"/>
      <c r="O53" s="134"/>
      <c r="P53" s="134"/>
      <c r="Q53" s="134"/>
      <c r="R53" s="134"/>
      <c r="S53" s="134"/>
      <c r="T53" s="134"/>
      <c r="U53" s="134"/>
      <c r="V53" s="134"/>
      <c r="W53" s="134"/>
      <c r="X53" s="134"/>
      <c r="Y53" s="134"/>
      <c r="Z53" s="134"/>
      <c r="AA53" s="134"/>
      <c r="AB53" s="134"/>
      <c r="AC53" s="134"/>
      <c r="AD53" s="134"/>
      <c r="AE53" s="134"/>
      <c r="AF53" s="134"/>
      <c r="AG53" s="134"/>
      <c r="AH53" s="134"/>
      <c r="AI53" s="134"/>
      <c r="AJ53" s="134"/>
      <c r="AK53" s="134"/>
      <c r="AL53" s="134"/>
      <c r="AM53" s="134"/>
      <c r="AN53" s="134"/>
      <c r="AO53" s="134"/>
      <c r="AP53" s="134"/>
      <c r="AQ53" s="134"/>
      <c r="AR53" s="134"/>
      <c r="AS53" s="134"/>
      <c r="AT53" s="134"/>
      <c r="AU53" s="134"/>
      <c r="AV53" s="134"/>
      <c r="AW53" s="134"/>
      <c r="AX53" s="134"/>
      <c r="AY53" s="134"/>
      <c r="AZ53" s="134"/>
      <c r="BA53" s="134"/>
      <c r="BB53" s="134"/>
      <c r="BC53" s="134"/>
      <c r="BD53" s="134"/>
      <c r="BE53" s="134"/>
      <c r="BF53" s="134"/>
      <c r="BG53" s="134"/>
      <c r="BH53" s="134"/>
      <c r="BI53" s="134"/>
      <c r="BJ53" s="134"/>
      <c r="BK53" s="134"/>
      <c r="BL53" s="134"/>
      <c r="BM53" s="134"/>
      <c r="BN53" s="134"/>
      <c r="BO53" s="134"/>
      <c r="BP53" s="134"/>
      <c r="BQ53" s="134"/>
      <c r="BR53" s="134"/>
      <c r="BS53" s="134"/>
      <c r="BT53" s="134"/>
      <c r="BU53" s="134"/>
      <c r="BV53" s="134"/>
      <c r="BW53" s="134"/>
      <c r="BX53" s="134"/>
      <c r="BY53" s="134"/>
      <c r="BZ53" s="134"/>
      <c r="CA53" s="364" t="s">
        <v>294</v>
      </c>
      <c r="CB53" s="355" t="s">
        <v>547</v>
      </c>
      <c r="CC53" s="355" t="s">
        <v>547</v>
      </c>
      <c r="CD53" s="355">
        <v>0.75439999999999996</v>
      </c>
      <c r="CE53" s="355">
        <v>0.71319999999999995</v>
      </c>
      <c r="CF53" s="355">
        <v>0.71909999999999996</v>
      </c>
      <c r="CG53" s="355">
        <v>0.7621</v>
      </c>
      <c r="CH53" s="355">
        <v>0.81169999999999998</v>
      </c>
      <c r="CI53" s="355">
        <v>0.7429</v>
      </c>
      <c r="CJ53" s="704" t="s">
        <v>295</v>
      </c>
      <c r="CK53" s="620">
        <v>34</v>
      </c>
      <c r="CL53" s="620">
        <v>34</v>
      </c>
      <c r="CM53" s="620">
        <v>0.71530000000000005</v>
      </c>
      <c r="CN53" s="620">
        <v>0.67449999999999999</v>
      </c>
      <c r="CO53" s="620">
        <v>0.64839999999999998</v>
      </c>
      <c r="CP53" s="620">
        <v>0.70879999999999999</v>
      </c>
      <c r="CQ53" s="620">
        <v>0.75019999999999998</v>
      </c>
      <c r="CR53" s="711">
        <v>0.69159999999999999</v>
      </c>
      <c r="CS53" s="564" t="s">
        <v>295</v>
      </c>
      <c r="CT53" s="564">
        <v>54</v>
      </c>
      <c r="CU53" s="564">
        <v>54</v>
      </c>
      <c r="CV53" s="585">
        <v>0.71879999999999999</v>
      </c>
      <c r="CW53" s="585">
        <v>0.67710000000000004</v>
      </c>
      <c r="CX53" s="585">
        <v>0.6663</v>
      </c>
      <c r="CY53" s="585">
        <v>0.72740000000000005</v>
      </c>
      <c r="CZ53" s="585">
        <v>0.75229999999999997</v>
      </c>
      <c r="DA53" s="585">
        <v>0.7016</v>
      </c>
      <c r="DB53" s="884" t="s">
        <v>295</v>
      </c>
      <c r="DC53" s="884">
        <v>57</v>
      </c>
      <c r="DD53" s="884">
        <v>56</v>
      </c>
      <c r="DE53" s="884">
        <v>0.70979999999999999</v>
      </c>
      <c r="DF53" s="133">
        <v>0.66879999999999995</v>
      </c>
      <c r="DG53" s="133">
        <v>0.64600000000000002</v>
      </c>
      <c r="DH53" s="133">
        <v>0.72240000000000004</v>
      </c>
      <c r="DI53" s="133">
        <v>0.73360000000000003</v>
      </c>
      <c r="DJ53" s="133">
        <v>0.69030000000000002</v>
      </c>
    </row>
    <row r="54" spans="1:114" x14ac:dyDescent="0.25">
      <c r="A54" s="126" t="s">
        <v>956</v>
      </c>
      <c r="B54" s="668">
        <v>325754004927</v>
      </c>
      <c r="C54" s="134" t="s">
        <v>452</v>
      </c>
      <c r="D54" s="134" t="s">
        <v>307</v>
      </c>
      <c r="E54" s="134" t="s">
        <v>671</v>
      </c>
      <c r="F54" s="134" t="s">
        <v>123</v>
      </c>
      <c r="G54" s="134"/>
      <c r="H54" s="134"/>
      <c r="I54" s="134"/>
      <c r="J54" s="134"/>
      <c r="K54" s="134"/>
      <c r="L54" s="134"/>
      <c r="M54" s="134"/>
      <c r="N54" s="134"/>
      <c r="O54" s="134"/>
      <c r="P54" s="169" t="s">
        <v>443</v>
      </c>
      <c r="Q54" s="166" t="s">
        <v>447</v>
      </c>
      <c r="R54" s="166" t="s">
        <v>448</v>
      </c>
      <c r="S54" s="166">
        <v>0.54900000000000004</v>
      </c>
      <c r="T54" s="166">
        <v>0.61070000000000002</v>
      </c>
      <c r="U54" s="166">
        <v>0.59619999999999995</v>
      </c>
      <c r="V54" s="166">
        <v>0.61829999999999996</v>
      </c>
      <c r="W54" s="166">
        <v>0.64639999999999997</v>
      </c>
      <c r="X54" s="166">
        <v>0.59760000000000002</v>
      </c>
      <c r="Y54" s="143" t="s">
        <v>443</v>
      </c>
      <c r="Z54" s="134" t="s">
        <v>447</v>
      </c>
      <c r="AA54" s="134" t="s">
        <v>448</v>
      </c>
      <c r="AB54" s="137">
        <v>0.54900000000000004</v>
      </c>
      <c r="AC54" s="137">
        <v>0.61070000000000002</v>
      </c>
      <c r="AD54" s="137">
        <v>0.59619999999999995</v>
      </c>
      <c r="AE54" s="137">
        <v>0.61829999999999996</v>
      </c>
      <c r="AF54" s="137">
        <v>0.64639999999999997</v>
      </c>
      <c r="AG54" s="137">
        <v>0.59760000000000002</v>
      </c>
      <c r="AH54" s="157" t="s">
        <v>443</v>
      </c>
      <c r="AI54" s="134" t="s">
        <v>447</v>
      </c>
      <c r="AJ54" s="134" t="s">
        <v>448</v>
      </c>
      <c r="AK54" s="137">
        <v>0.54900000000000004</v>
      </c>
      <c r="AL54" s="137">
        <v>0.61070000000000002</v>
      </c>
      <c r="AM54" s="137">
        <v>0.59619999999999995</v>
      </c>
      <c r="AN54" s="137">
        <v>0.61829999999999996</v>
      </c>
      <c r="AO54" s="137">
        <v>0.64639999999999997</v>
      </c>
      <c r="AP54" s="137">
        <v>0.59760000000000002</v>
      </c>
      <c r="AQ54" s="144" t="s">
        <v>443</v>
      </c>
      <c r="AR54" s="134" t="s">
        <v>447</v>
      </c>
      <c r="AS54" s="134" t="s">
        <v>448</v>
      </c>
      <c r="AT54" s="137">
        <v>0.54900000000000004</v>
      </c>
      <c r="AU54" s="137">
        <v>0.61070000000000002</v>
      </c>
      <c r="AV54" s="137">
        <v>0.59619999999999995</v>
      </c>
      <c r="AW54" s="137">
        <v>0.61829999999999996</v>
      </c>
      <c r="AX54" s="137">
        <v>0.64639999999999997</v>
      </c>
      <c r="AY54" s="137">
        <v>0.59760000000000002</v>
      </c>
      <c r="AZ54" s="143" t="s">
        <v>443</v>
      </c>
      <c r="BA54" s="134" t="s">
        <v>447</v>
      </c>
      <c r="BB54" s="134" t="s">
        <v>448</v>
      </c>
      <c r="BC54" s="137">
        <v>0.54900000000000004</v>
      </c>
      <c r="BD54" s="137">
        <v>0.61070000000000002</v>
      </c>
      <c r="BE54" s="137">
        <v>0.59619999999999995</v>
      </c>
      <c r="BF54" s="137">
        <v>0.61829999999999996</v>
      </c>
      <c r="BG54" s="137">
        <v>0.64639999999999997</v>
      </c>
      <c r="BH54" s="137">
        <v>0.59760000000000002</v>
      </c>
      <c r="BI54" s="151" t="s">
        <v>443</v>
      </c>
      <c r="BJ54" s="152">
        <v>12</v>
      </c>
      <c r="BK54" s="152">
        <v>11</v>
      </c>
      <c r="BL54" s="137">
        <v>0.54900000000000004</v>
      </c>
      <c r="BM54" s="137">
        <v>0.61070000000000002</v>
      </c>
      <c r="BN54" s="137">
        <v>0.59619999999999995</v>
      </c>
      <c r="BO54" s="137">
        <v>0.61829999999999996</v>
      </c>
      <c r="BP54" s="137">
        <v>0.64639999999999997</v>
      </c>
      <c r="BQ54" s="137">
        <v>0.59760000000000002</v>
      </c>
      <c r="BR54" s="134"/>
      <c r="BS54" s="134"/>
      <c r="BT54" s="134"/>
      <c r="BU54" s="134"/>
      <c r="BV54" s="134"/>
      <c r="BW54" s="134"/>
      <c r="BX54" s="134"/>
      <c r="BY54" s="134"/>
      <c r="BZ54" s="134"/>
      <c r="CA54" s="134"/>
      <c r="CB54" s="134"/>
      <c r="CC54" s="134"/>
      <c r="CD54" s="134"/>
      <c r="CE54" s="134"/>
      <c r="CF54" s="134"/>
      <c r="CG54" s="134"/>
      <c r="CH54" s="134"/>
      <c r="CI54" s="134"/>
      <c r="CJ54" s="714"/>
      <c r="CK54" s="618"/>
      <c r="CL54" s="618"/>
      <c r="CM54" s="618"/>
      <c r="CN54" s="618"/>
      <c r="CO54" s="618"/>
      <c r="CP54" s="618"/>
      <c r="CQ54" s="618"/>
      <c r="CR54" s="622"/>
      <c r="CS54" s="563"/>
      <c r="CT54" s="582"/>
      <c r="CU54" s="582"/>
      <c r="CV54" s="586"/>
      <c r="CW54" s="586"/>
      <c r="CX54" s="586"/>
      <c r="CY54" s="586"/>
      <c r="CZ54" s="586"/>
      <c r="DA54" s="586"/>
      <c r="DB54" s="884"/>
      <c r="DC54" s="884"/>
      <c r="DD54" s="884"/>
      <c r="DE54" s="884"/>
    </row>
    <row r="55" spans="1:114" x14ac:dyDescent="0.25">
      <c r="A55" s="36" t="s">
        <v>63</v>
      </c>
      <c r="B55" s="668">
        <v>325754003509</v>
      </c>
      <c r="C55" s="134" t="s">
        <v>452</v>
      </c>
      <c r="D55" s="134" t="s">
        <v>307</v>
      </c>
      <c r="E55" s="134" t="s">
        <v>671</v>
      </c>
      <c r="F55" s="134" t="s">
        <v>123</v>
      </c>
      <c r="G55" s="168" t="s">
        <v>294</v>
      </c>
      <c r="H55" s="166">
        <v>55</v>
      </c>
      <c r="I55" s="166">
        <v>54</v>
      </c>
      <c r="J55" s="166">
        <v>0.70179999999999998</v>
      </c>
      <c r="K55" s="166">
        <v>0.71609999999999996</v>
      </c>
      <c r="L55" s="166">
        <v>0.73980000000000001</v>
      </c>
      <c r="M55" s="166">
        <v>0.75060000000000004</v>
      </c>
      <c r="N55" s="166">
        <v>0.72260000000000002</v>
      </c>
      <c r="O55" s="166">
        <v>0.72670000000000001</v>
      </c>
      <c r="P55" s="173" t="s">
        <v>295</v>
      </c>
      <c r="Q55" s="174" t="s">
        <v>308</v>
      </c>
      <c r="R55" s="174" t="s">
        <v>454</v>
      </c>
      <c r="S55" s="174">
        <v>0.70760000000000001</v>
      </c>
      <c r="T55" s="174">
        <v>0.71279999999999999</v>
      </c>
      <c r="U55" s="174">
        <v>0.72319999999999995</v>
      </c>
      <c r="V55" s="174">
        <v>0.73019999999999996</v>
      </c>
      <c r="W55" s="174">
        <v>0.72040000000000004</v>
      </c>
      <c r="X55" s="174">
        <v>0.71860000000000002</v>
      </c>
      <c r="Y55" s="145" t="s">
        <v>294</v>
      </c>
      <c r="Z55" s="134" t="s">
        <v>492</v>
      </c>
      <c r="AA55" s="134" t="s">
        <v>369</v>
      </c>
      <c r="AB55" s="137">
        <v>0.71079999999999999</v>
      </c>
      <c r="AC55" s="137">
        <v>0.73839999999999995</v>
      </c>
      <c r="AD55" s="137">
        <v>0.74770000000000003</v>
      </c>
      <c r="AE55" s="137">
        <v>0.74199999999999999</v>
      </c>
      <c r="AF55" s="137">
        <v>0.72970000000000002</v>
      </c>
      <c r="AG55" s="137">
        <v>0.73429999999999995</v>
      </c>
      <c r="AH55" s="159" t="s">
        <v>295</v>
      </c>
      <c r="AI55" s="134" t="s">
        <v>431</v>
      </c>
      <c r="AJ55" s="134" t="s">
        <v>353</v>
      </c>
      <c r="AK55" s="137">
        <v>0.68879999999999997</v>
      </c>
      <c r="AL55" s="137">
        <v>0.70650000000000002</v>
      </c>
      <c r="AM55" s="137">
        <v>0.7097</v>
      </c>
      <c r="AN55" s="137">
        <v>0.72509999999999997</v>
      </c>
      <c r="AO55" s="137">
        <v>0.71809999999999996</v>
      </c>
      <c r="AP55" s="137">
        <v>0.70830000000000004</v>
      </c>
      <c r="AQ55" s="139" t="s">
        <v>295</v>
      </c>
      <c r="AR55" s="134" t="s">
        <v>369</v>
      </c>
      <c r="AS55" s="134" t="s">
        <v>370</v>
      </c>
      <c r="AT55" s="137">
        <v>0.68820000000000003</v>
      </c>
      <c r="AU55" s="137">
        <v>0.70089999999999997</v>
      </c>
      <c r="AV55" s="137">
        <v>0.70240000000000002</v>
      </c>
      <c r="AW55" s="137">
        <v>0.74239999999999995</v>
      </c>
      <c r="AX55" s="137">
        <v>0.73409999999999997</v>
      </c>
      <c r="AY55" s="137">
        <v>0.71050000000000002</v>
      </c>
      <c r="AZ55" s="138" t="s">
        <v>295</v>
      </c>
      <c r="BA55" s="134" t="s">
        <v>492</v>
      </c>
      <c r="BB55" s="134" t="s">
        <v>369</v>
      </c>
      <c r="BC55" s="137">
        <v>0.69799999999999995</v>
      </c>
      <c r="BD55" s="137">
        <v>0.68889999999999996</v>
      </c>
      <c r="BE55" s="137">
        <v>0.68740000000000001</v>
      </c>
      <c r="BF55" s="137">
        <v>0.74280000000000002</v>
      </c>
      <c r="BG55" s="137">
        <v>0.73229999999999995</v>
      </c>
      <c r="BH55" s="137">
        <v>0.70640000000000003</v>
      </c>
      <c r="BI55" s="135" t="s">
        <v>295</v>
      </c>
      <c r="BJ55" s="152">
        <v>46</v>
      </c>
      <c r="BK55" s="152">
        <v>46</v>
      </c>
      <c r="BL55" s="137">
        <v>0.71789999999999998</v>
      </c>
      <c r="BM55" s="137">
        <v>0.69940000000000002</v>
      </c>
      <c r="BN55" s="137">
        <v>0.70309999999999995</v>
      </c>
      <c r="BO55" s="137">
        <v>0.745</v>
      </c>
      <c r="BP55" s="137">
        <v>0.71340000000000003</v>
      </c>
      <c r="BQ55" s="137">
        <v>0.71619999999999995</v>
      </c>
      <c r="BR55" s="277" t="s">
        <v>295</v>
      </c>
      <c r="BS55" s="270">
        <v>48</v>
      </c>
      <c r="BT55" s="270">
        <v>48</v>
      </c>
      <c r="BU55" s="270">
        <v>0.72309999999999997</v>
      </c>
      <c r="BV55" s="270">
        <v>0.70350000000000001</v>
      </c>
      <c r="BW55" s="270">
        <v>0.69330000000000003</v>
      </c>
      <c r="BX55" s="270">
        <v>0.73529999999999995</v>
      </c>
      <c r="BY55" s="270">
        <v>0.71379999999999999</v>
      </c>
      <c r="BZ55" s="270">
        <v>0.71379999999999999</v>
      </c>
      <c r="CA55" s="356" t="s">
        <v>295</v>
      </c>
      <c r="CB55" s="355" t="s">
        <v>367</v>
      </c>
      <c r="CC55" s="355" t="s">
        <v>367</v>
      </c>
      <c r="CD55" s="355">
        <v>0.70240000000000002</v>
      </c>
      <c r="CE55" s="355">
        <v>0.67259999999999998</v>
      </c>
      <c r="CF55" s="355">
        <v>0.67200000000000004</v>
      </c>
      <c r="CG55" s="355">
        <v>0.71799999999999997</v>
      </c>
      <c r="CH55" s="355">
        <v>0.6986</v>
      </c>
      <c r="CI55" s="355">
        <v>0.69179999999999997</v>
      </c>
      <c r="CJ55" s="714"/>
      <c r="CK55" s="618"/>
      <c r="CL55" s="618"/>
      <c r="CM55" s="618"/>
      <c r="CN55" s="618"/>
      <c r="CO55" s="618"/>
      <c r="CP55" s="618"/>
      <c r="CQ55" s="618"/>
      <c r="CR55" s="622"/>
      <c r="CS55" s="563"/>
      <c r="CT55" s="582"/>
      <c r="CU55" s="582"/>
      <c r="CV55" s="586"/>
      <c r="CW55" s="586"/>
      <c r="CX55" s="586"/>
      <c r="CY55" s="586"/>
      <c r="CZ55" s="586"/>
      <c r="DA55" s="586"/>
      <c r="DB55" s="884"/>
      <c r="DC55" s="884"/>
      <c r="DD55" s="884"/>
      <c r="DE55" s="884"/>
    </row>
    <row r="56" spans="1:114" ht="15" x14ac:dyDescent="0.25">
      <c r="A56" s="126" t="s">
        <v>949</v>
      </c>
      <c r="B56" s="668">
        <v>325754004971</v>
      </c>
      <c r="C56" s="134" t="s">
        <v>452</v>
      </c>
      <c r="D56" s="134" t="s">
        <v>307</v>
      </c>
      <c r="E56" s="134" t="s">
        <v>671</v>
      </c>
      <c r="F56" s="134" t="s">
        <v>123</v>
      </c>
      <c r="G56" s="166"/>
      <c r="H56" s="166"/>
      <c r="I56" s="166"/>
      <c r="J56" s="166"/>
      <c r="K56" s="166"/>
      <c r="L56" s="166"/>
      <c r="M56" s="166"/>
      <c r="N56" s="166"/>
      <c r="O56" s="166"/>
      <c r="P56" s="174"/>
      <c r="Q56" s="174"/>
      <c r="R56" s="174"/>
      <c r="S56" s="174"/>
      <c r="T56" s="174"/>
      <c r="U56" s="174"/>
      <c r="V56" s="174"/>
      <c r="W56" s="174"/>
      <c r="X56" s="174"/>
      <c r="Y56" s="166"/>
      <c r="Z56" s="166"/>
      <c r="AA56" s="166"/>
      <c r="AB56" s="166"/>
      <c r="AC56" s="166"/>
      <c r="AD56" s="166"/>
      <c r="AE56" s="166"/>
      <c r="AF56" s="166"/>
      <c r="AG56" s="166"/>
      <c r="AH56" s="166"/>
      <c r="AI56" s="166"/>
      <c r="AJ56" s="166"/>
      <c r="AK56" s="166"/>
      <c r="AL56" s="166"/>
      <c r="AM56" s="166"/>
      <c r="AN56" s="166"/>
      <c r="AO56" s="166"/>
      <c r="AP56" s="166"/>
      <c r="AQ56" s="166"/>
      <c r="AR56" s="166"/>
      <c r="AS56" s="166"/>
      <c r="AT56" s="166"/>
      <c r="AU56" s="166"/>
      <c r="AV56" s="166"/>
      <c r="AW56" s="166"/>
      <c r="AX56" s="166"/>
      <c r="AY56" s="166"/>
      <c r="AZ56" s="166"/>
      <c r="BA56" s="166"/>
      <c r="BB56" s="166"/>
      <c r="BC56" s="166"/>
      <c r="BD56" s="166"/>
      <c r="BE56" s="166"/>
      <c r="BF56" s="166"/>
      <c r="BG56" s="166"/>
      <c r="BH56" s="166"/>
      <c r="BI56" s="166"/>
      <c r="BJ56" s="166"/>
      <c r="BK56" s="166"/>
      <c r="BL56" s="166"/>
      <c r="BM56" s="166"/>
      <c r="BN56" s="166"/>
      <c r="BO56" s="166"/>
      <c r="BP56" s="166"/>
      <c r="BQ56" s="166"/>
      <c r="BR56" s="696"/>
      <c r="BS56" s="270"/>
      <c r="BT56" s="270"/>
      <c r="BU56" s="270"/>
      <c r="BV56" s="270"/>
      <c r="BW56" s="270"/>
      <c r="BX56" s="270"/>
      <c r="BY56" s="270"/>
      <c r="BZ56" s="270"/>
      <c r="CA56" s="346"/>
      <c r="CB56" s="346"/>
      <c r="CC56" s="346"/>
      <c r="CD56" s="346"/>
      <c r="CE56" s="346"/>
      <c r="CF56" s="346"/>
      <c r="CG56" s="346"/>
      <c r="CH56" s="346"/>
      <c r="CI56" s="346"/>
      <c r="CJ56" s="712"/>
      <c r="CK56" s="620"/>
      <c r="CL56" s="620"/>
      <c r="CM56" s="620"/>
      <c r="CN56" s="620"/>
      <c r="CO56" s="620"/>
      <c r="CP56" s="620"/>
      <c r="CQ56" s="620"/>
      <c r="CR56" s="620"/>
      <c r="CS56" s="564" t="s">
        <v>427</v>
      </c>
      <c r="CT56" s="564">
        <v>9</v>
      </c>
      <c r="CU56" s="564">
        <v>9</v>
      </c>
      <c r="CV56" s="585">
        <v>0.65159999999999996</v>
      </c>
      <c r="CW56" s="585">
        <v>0.61460000000000004</v>
      </c>
      <c r="CX56" s="585">
        <v>0.6008</v>
      </c>
      <c r="CY56" s="585">
        <v>0.68479999999999996</v>
      </c>
      <c r="CZ56" s="585">
        <v>0.65400000000000003</v>
      </c>
      <c r="DA56" s="585">
        <v>0.63919999999999999</v>
      </c>
      <c r="DB56" s="884"/>
      <c r="DC56" s="884"/>
      <c r="DD56" s="884"/>
      <c r="DE56" s="884"/>
    </row>
    <row r="57" spans="1:114" x14ac:dyDescent="0.25">
      <c r="A57" s="322" t="s">
        <v>28</v>
      </c>
      <c r="B57" s="874">
        <v>325754001859</v>
      </c>
      <c r="C57" s="134" t="s">
        <v>452</v>
      </c>
      <c r="D57" s="134" t="s">
        <v>307</v>
      </c>
      <c r="E57" s="344" t="s">
        <v>671</v>
      </c>
      <c r="F57" s="134" t="s">
        <v>123</v>
      </c>
      <c r="G57" s="359" t="s">
        <v>295</v>
      </c>
      <c r="H57" s="346">
        <v>93</v>
      </c>
      <c r="I57" s="346">
        <v>92</v>
      </c>
      <c r="J57" s="346">
        <v>0.70230000000000004</v>
      </c>
      <c r="K57" s="346">
        <v>0.71340000000000003</v>
      </c>
      <c r="L57" s="346">
        <v>0.70009999999999994</v>
      </c>
      <c r="M57" s="346">
        <v>0.70540000000000003</v>
      </c>
      <c r="N57" s="346">
        <v>0.6895</v>
      </c>
      <c r="O57" s="346">
        <v>0.70409999999999995</v>
      </c>
      <c r="P57" s="676" t="s">
        <v>295</v>
      </c>
      <c r="Q57" s="346" t="s">
        <v>484</v>
      </c>
      <c r="R57" s="346" t="s">
        <v>361</v>
      </c>
      <c r="S57" s="346">
        <v>0.71550000000000002</v>
      </c>
      <c r="T57" s="346">
        <v>0.71960000000000002</v>
      </c>
      <c r="U57" s="346">
        <v>0.71750000000000003</v>
      </c>
      <c r="V57" s="346">
        <v>0.70760000000000001</v>
      </c>
      <c r="W57" s="346">
        <v>0.6946</v>
      </c>
      <c r="X57" s="346">
        <v>0.71350000000000002</v>
      </c>
      <c r="Y57" s="363" t="s">
        <v>294</v>
      </c>
      <c r="Z57" s="344" t="s">
        <v>410</v>
      </c>
      <c r="AA57" s="344" t="s">
        <v>484</v>
      </c>
      <c r="AB57" s="348">
        <v>0.72760000000000002</v>
      </c>
      <c r="AC57" s="348">
        <v>0.74470000000000003</v>
      </c>
      <c r="AD57" s="348">
        <v>0.72770000000000001</v>
      </c>
      <c r="AE57" s="348">
        <v>0.72450000000000003</v>
      </c>
      <c r="AF57" s="348">
        <v>0.71619999999999995</v>
      </c>
      <c r="AG57" s="348">
        <v>0.73</v>
      </c>
      <c r="AH57" s="366" t="s">
        <v>295</v>
      </c>
      <c r="AI57" s="344" t="s">
        <v>441</v>
      </c>
      <c r="AJ57" s="344" t="s">
        <v>484</v>
      </c>
      <c r="AK57" s="348">
        <v>0.70699999999999996</v>
      </c>
      <c r="AL57" s="348">
        <v>0.73780000000000001</v>
      </c>
      <c r="AM57" s="348">
        <v>0.71530000000000005</v>
      </c>
      <c r="AN57" s="348">
        <v>0.72089999999999999</v>
      </c>
      <c r="AO57" s="348">
        <v>0.70909999999999995</v>
      </c>
      <c r="AP57" s="348">
        <v>0.71940000000000004</v>
      </c>
      <c r="AQ57" s="367" t="s">
        <v>295</v>
      </c>
      <c r="AR57" s="344" t="s">
        <v>340</v>
      </c>
      <c r="AS57" s="344" t="s">
        <v>364</v>
      </c>
      <c r="AT57" s="348">
        <v>0.7087</v>
      </c>
      <c r="AU57" s="348">
        <v>0.72650000000000003</v>
      </c>
      <c r="AV57" s="348">
        <v>0.69510000000000005</v>
      </c>
      <c r="AW57" s="348">
        <v>0.73670000000000002</v>
      </c>
      <c r="AX57" s="348">
        <v>0.70920000000000005</v>
      </c>
      <c r="AY57" s="348">
        <v>0.71619999999999995</v>
      </c>
      <c r="AZ57" s="360" t="s">
        <v>295</v>
      </c>
      <c r="BA57" s="344" t="s">
        <v>599</v>
      </c>
      <c r="BB57" s="344" t="s">
        <v>599</v>
      </c>
      <c r="BC57" s="348">
        <v>0.71719999999999995</v>
      </c>
      <c r="BD57" s="348">
        <v>0.69930000000000003</v>
      </c>
      <c r="BE57" s="348">
        <v>0.67449999999999999</v>
      </c>
      <c r="BF57" s="348">
        <v>0.73719999999999997</v>
      </c>
      <c r="BG57" s="348">
        <v>0.71479999999999999</v>
      </c>
      <c r="BH57" s="348">
        <v>0.70760000000000001</v>
      </c>
      <c r="BI57" s="368" t="s">
        <v>295</v>
      </c>
      <c r="BJ57" s="352">
        <v>179</v>
      </c>
      <c r="BK57" s="352">
        <v>178</v>
      </c>
      <c r="BL57" s="348">
        <v>0.72130000000000005</v>
      </c>
      <c r="BM57" s="348">
        <v>0.67520000000000002</v>
      </c>
      <c r="BN57" s="348">
        <v>0.67669999999999997</v>
      </c>
      <c r="BO57" s="348">
        <v>0.74</v>
      </c>
      <c r="BP57" s="348">
        <v>0.68410000000000004</v>
      </c>
      <c r="BQ57" s="348">
        <v>0.70179999999999998</v>
      </c>
      <c r="BR57" s="369" t="s">
        <v>295</v>
      </c>
      <c r="BS57" s="346">
        <v>201</v>
      </c>
      <c r="BT57" s="346">
        <v>201</v>
      </c>
      <c r="BU57" s="346">
        <v>0.71240000000000003</v>
      </c>
      <c r="BV57" s="346">
        <v>0.66469999999999996</v>
      </c>
      <c r="BW57" s="346">
        <v>0.66710000000000003</v>
      </c>
      <c r="BX57" s="346">
        <v>0.73570000000000002</v>
      </c>
      <c r="BY57" s="346">
        <v>0.68259999999999998</v>
      </c>
      <c r="BZ57" s="346">
        <v>0.69399999999999995</v>
      </c>
      <c r="CA57" s="356" t="s">
        <v>295</v>
      </c>
      <c r="CB57" s="355" t="s">
        <v>342</v>
      </c>
      <c r="CC57" s="355" t="s">
        <v>814</v>
      </c>
      <c r="CD57" s="355">
        <v>0.70020000000000004</v>
      </c>
      <c r="CE57" s="355">
        <v>0.65769999999999995</v>
      </c>
      <c r="CF57" s="355">
        <v>0.6583</v>
      </c>
      <c r="CG57" s="355">
        <v>0.73040000000000005</v>
      </c>
      <c r="CH57" s="355">
        <v>0.67679999999999996</v>
      </c>
      <c r="CI57" s="355">
        <v>0.68589999999999995</v>
      </c>
      <c r="CJ57" s="704" t="s">
        <v>295</v>
      </c>
      <c r="CK57" s="620">
        <v>225</v>
      </c>
      <c r="CL57" s="620">
        <v>222</v>
      </c>
      <c r="CM57" s="620">
        <v>0.69699999999999995</v>
      </c>
      <c r="CN57" s="620">
        <v>0.66679999999999995</v>
      </c>
      <c r="CO57" s="620">
        <v>0.66420000000000001</v>
      </c>
      <c r="CP57" s="620">
        <v>0.73299999999999998</v>
      </c>
      <c r="CQ57" s="620">
        <v>0.70520000000000005</v>
      </c>
      <c r="CR57" s="711">
        <v>0.69140000000000001</v>
      </c>
      <c r="CS57" s="564" t="s">
        <v>295</v>
      </c>
      <c r="CT57" s="564">
        <v>210</v>
      </c>
      <c r="CU57" s="564">
        <v>207</v>
      </c>
      <c r="CV57" s="585">
        <v>0.69830000000000003</v>
      </c>
      <c r="CW57" s="585">
        <v>0.66910000000000003</v>
      </c>
      <c r="CX57" s="585">
        <v>0.67069999999999996</v>
      </c>
      <c r="CY57" s="585">
        <v>0.73850000000000005</v>
      </c>
      <c r="CZ57" s="585">
        <v>0.70430000000000004</v>
      </c>
      <c r="DA57" s="585">
        <v>0.69489999999999996</v>
      </c>
      <c r="DB57" s="884" t="s">
        <v>295</v>
      </c>
      <c r="DC57" s="884">
        <v>197</v>
      </c>
      <c r="DD57" s="884">
        <v>194</v>
      </c>
      <c r="DE57" s="884">
        <v>0.69320000000000004</v>
      </c>
      <c r="DF57" s="133">
        <v>0.67400000000000004</v>
      </c>
      <c r="DG57" s="133">
        <v>0.67069999999999996</v>
      </c>
      <c r="DH57" s="133">
        <v>0.73470000000000002</v>
      </c>
      <c r="DI57" s="133">
        <v>0.69910000000000005</v>
      </c>
      <c r="DJ57" s="133">
        <v>0.69359999999999999</v>
      </c>
    </row>
    <row r="58" spans="1:114" x14ac:dyDescent="0.25">
      <c r="A58" s="36" t="s">
        <v>101</v>
      </c>
      <c r="B58" s="874">
        <v>325754002782</v>
      </c>
      <c r="C58" s="134" t="s">
        <v>452</v>
      </c>
      <c r="D58" s="134" t="s">
        <v>307</v>
      </c>
      <c r="E58" s="134" t="s">
        <v>671</v>
      </c>
      <c r="F58" s="134" t="s">
        <v>123</v>
      </c>
      <c r="G58" s="671" t="s">
        <v>295</v>
      </c>
      <c r="H58" s="270">
        <v>22</v>
      </c>
      <c r="I58" s="270">
        <v>22</v>
      </c>
      <c r="J58" s="270">
        <v>0.65939999999999999</v>
      </c>
      <c r="K58" s="270">
        <v>0.69030000000000002</v>
      </c>
      <c r="L58" s="270">
        <v>0.68240000000000001</v>
      </c>
      <c r="M58" s="270">
        <v>0.68679999999999997</v>
      </c>
      <c r="N58" s="270">
        <v>0.67210000000000003</v>
      </c>
      <c r="O58" s="270">
        <v>0.67910000000000004</v>
      </c>
      <c r="P58" s="675" t="s">
        <v>295</v>
      </c>
      <c r="Q58" s="270" t="s">
        <v>370</v>
      </c>
      <c r="R58" s="270" t="s">
        <v>437</v>
      </c>
      <c r="S58" s="270">
        <v>0.65239999999999998</v>
      </c>
      <c r="T58" s="270">
        <v>0.68520000000000003</v>
      </c>
      <c r="U58" s="270">
        <v>0.67459999999999998</v>
      </c>
      <c r="V58" s="270">
        <v>0.66779999999999995</v>
      </c>
      <c r="W58" s="270">
        <v>0.67300000000000004</v>
      </c>
      <c r="X58" s="270">
        <v>0.67020000000000002</v>
      </c>
      <c r="Y58" s="678" t="s">
        <v>295</v>
      </c>
      <c r="Z58" s="269" t="s">
        <v>543</v>
      </c>
      <c r="AA58" s="269" t="s">
        <v>352</v>
      </c>
      <c r="AB58" s="271">
        <v>0.68110000000000004</v>
      </c>
      <c r="AC58" s="271">
        <v>0.71870000000000001</v>
      </c>
      <c r="AD58" s="271">
        <v>0.69679999999999997</v>
      </c>
      <c r="AE58" s="271">
        <v>0.69440000000000002</v>
      </c>
      <c r="AF58" s="271">
        <v>0.71409999999999996</v>
      </c>
      <c r="AG58" s="271">
        <v>0.69899999999999995</v>
      </c>
      <c r="AH58" s="273" t="s">
        <v>295</v>
      </c>
      <c r="AI58" s="269" t="s">
        <v>314</v>
      </c>
      <c r="AJ58" s="269" t="s">
        <v>460</v>
      </c>
      <c r="AK58" s="271">
        <v>0.68030000000000002</v>
      </c>
      <c r="AL58" s="271">
        <v>0.70979999999999999</v>
      </c>
      <c r="AM58" s="271">
        <v>0.68430000000000002</v>
      </c>
      <c r="AN58" s="271">
        <v>0.69910000000000005</v>
      </c>
      <c r="AO58" s="271">
        <v>0.69599999999999995</v>
      </c>
      <c r="AP58" s="271">
        <v>0.69359999999999999</v>
      </c>
      <c r="AQ58" s="274" t="s">
        <v>295</v>
      </c>
      <c r="AR58" s="269" t="s">
        <v>374</v>
      </c>
      <c r="AS58" s="269" t="s">
        <v>374</v>
      </c>
      <c r="AT58" s="271">
        <v>0.69079999999999997</v>
      </c>
      <c r="AU58" s="271">
        <v>0.71460000000000001</v>
      </c>
      <c r="AV58" s="271">
        <v>0.69099999999999995</v>
      </c>
      <c r="AW58" s="271">
        <v>0.72840000000000005</v>
      </c>
      <c r="AX58" s="271">
        <v>0.7077</v>
      </c>
      <c r="AY58" s="271">
        <v>0.70630000000000004</v>
      </c>
      <c r="AZ58" s="678" t="s">
        <v>295</v>
      </c>
      <c r="BA58" s="269" t="s">
        <v>519</v>
      </c>
      <c r="BB58" s="269" t="s">
        <v>481</v>
      </c>
      <c r="BC58" s="271">
        <v>0.67359999999999998</v>
      </c>
      <c r="BD58" s="271">
        <v>0.69330000000000003</v>
      </c>
      <c r="BE58" s="271">
        <v>0.66820000000000002</v>
      </c>
      <c r="BF58" s="271">
        <v>0.72440000000000004</v>
      </c>
      <c r="BG58" s="271">
        <v>0.68920000000000003</v>
      </c>
      <c r="BH58" s="271">
        <v>0.68979999999999997</v>
      </c>
      <c r="BI58" s="692" t="s">
        <v>295</v>
      </c>
      <c r="BJ58" s="272">
        <v>61</v>
      </c>
      <c r="BK58" s="272">
        <v>56</v>
      </c>
      <c r="BL58" s="271">
        <v>0.67879999999999996</v>
      </c>
      <c r="BM58" s="271">
        <v>0.69799999999999995</v>
      </c>
      <c r="BN58" s="271">
        <v>0.67869999999999997</v>
      </c>
      <c r="BO58" s="271">
        <v>0.7298</v>
      </c>
      <c r="BP58" s="271">
        <v>0.71819999999999995</v>
      </c>
      <c r="BQ58" s="271">
        <v>0.69799999999999995</v>
      </c>
      <c r="BR58" s="277" t="s">
        <v>295</v>
      </c>
      <c r="BS58" s="270">
        <v>70</v>
      </c>
      <c r="BT58" s="270">
        <v>70</v>
      </c>
      <c r="BU58" s="270">
        <v>0.69179999999999997</v>
      </c>
      <c r="BV58" s="270">
        <v>0.7026</v>
      </c>
      <c r="BW58" s="270">
        <v>0.67989999999999995</v>
      </c>
      <c r="BX58" s="270">
        <v>0.73399999999999999</v>
      </c>
      <c r="BY58" s="270">
        <v>0.74580000000000002</v>
      </c>
      <c r="BZ58" s="270">
        <v>0.70540000000000003</v>
      </c>
      <c r="CA58" s="356" t="s">
        <v>295</v>
      </c>
      <c r="CB58" s="355" t="s">
        <v>314</v>
      </c>
      <c r="CC58" s="355" t="s">
        <v>314</v>
      </c>
      <c r="CD58" s="355">
        <v>0.69479999999999997</v>
      </c>
      <c r="CE58" s="355">
        <v>0.69720000000000004</v>
      </c>
      <c r="CF58" s="355">
        <v>0.68579999999999997</v>
      </c>
      <c r="CG58" s="355">
        <v>0.73470000000000002</v>
      </c>
      <c r="CH58" s="355">
        <v>0.74099999999999999</v>
      </c>
      <c r="CI58" s="355">
        <v>0.70599999999999996</v>
      </c>
      <c r="CJ58" s="715" t="s">
        <v>295</v>
      </c>
      <c r="CK58" s="620">
        <v>61</v>
      </c>
      <c r="CL58" s="620">
        <v>61</v>
      </c>
      <c r="CM58" s="620">
        <v>0.6784</v>
      </c>
      <c r="CN58" s="620">
        <v>0.68230000000000002</v>
      </c>
      <c r="CO58" s="620">
        <v>0.66910000000000003</v>
      </c>
      <c r="CP58" s="620">
        <v>0.72330000000000005</v>
      </c>
      <c r="CQ58" s="620">
        <v>0.72840000000000005</v>
      </c>
      <c r="CR58" s="711">
        <v>0.69140000000000001</v>
      </c>
      <c r="CS58" s="564" t="s">
        <v>295</v>
      </c>
      <c r="CT58" s="564">
        <v>50</v>
      </c>
      <c r="CU58" s="564">
        <v>50</v>
      </c>
      <c r="CV58" s="585">
        <v>0.67989999999999995</v>
      </c>
      <c r="CW58" s="585">
        <v>0.67169999999999996</v>
      </c>
      <c r="CX58" s="585">
        <v>0.66610000000000003</v>
      </c>
      <c r="CY58" s="585">
        <v>0.72970000000000002</v>
      </c>
      <c r="CZ58" s="585">
        <v>0.72340000000000004</v>
      </c>
      <c r="DA58" s="585">
        <v>0.68969999999999998</v>
      </c>
      <c r="DB58" s="884" t="s">
        <v>295</v>
      </c>
      <c r="DC58" s="884">
        <v>58</v>
      </c>
      <c r="DD58" s="884">
        <v>58</v>
      </c>
      <c r="DE58" s="884">
        <v>0.7016</v>
      </c>
      <c r="DF58" s="133">
        <v>0.68889999999999996</v>
      </c>
      <c r="DG58" s="133">
        <v>0.68489999999999995</v>
      </c>
      <c r="DH58" s="133">
        <v>0.73909999999999998</v>
      </c>
      <c r="DI58" s="133">
        <v>0.72870000000000001</v>
      </c>
      <c r="DJ58" s="133">
        <v>0.7056</v>
      </c>
    </row>
    <row r="59" spans="1:114" x14ac:dyDescent="0.25">
      <c r="A59" s="36" t="s">
        <v>64</v>
      </c>
      <c r="B59" s="668">
        <v>325754000046</v>
      </c>
      <c r="C59" s="134" t="s">
        <v>452</v>
      </c>
      <c r="D59" s="134" t="s">
        <v>307</v>
      </c>
      <c r="E59" s="134" t="s">
        <v>671</v>
      </c>
      <c r="F59" s="134" t="s">
        <v>123</v>
      </c>
      <c r="G59" s="168" t="s">
        <v>294</v>
      </c>
      <c r="H59" s="166">
        <v>230</v>
      </c>
      <c r="I59" s="166">
        <v>229</v>
      </c>
      <c r="J59" s="166">
        <v>0.74780000000000002</v>
      </c>
      <c r="K59" s="166">
        <v>0.76190000000000002</v>
      </c>
      <c r="L59" s="166">
        <v>0.77129999999999999</v>
      </c>
      <c r="M59" s="166">
        <v>0.78200000000000003</v>
      </c>
      <c r="N59" s="166">
        <v>0.79630000000000001</v>
      </c>
      <c r="O59" s="166">
        <v>0.7681</v>
      </c>
      <c r="P59" s="627" t="s">
        <v>294</v>
      </c>
      <c r="Q59" s="166" t="s">
        <v>496</v>
      </c>
      <c r="R59" s="166" t="s">
        <v>424</v>
      </c>
      <c r="S59" s="166">
        <v>0.74709999999999999</v>
      </c>
      <c r="T59" s="166">
        <v>0.76359999999999995</v>
      </c>
      <c r="U59" s="166">
        <v>0.76729999999999998</v>
      </c>
      <c r="V59" s="166">
        <v>0.76680000000000004</v>
      </c>
      <c r="W59" s="166">
        <v>0.80800000000000005</v>
      </c>
      <c r="X59" s="166">
        <v>0.76480000000000004</v>
      </c>
      <c r="Y59" s="147" t="s">
        <v>293</v>
      </c>
      <c r="Z59" s="134" t="s">
        <v>528</v>
      </c>
      <c r="AA59" s="134" t="s">
        <v>529</v>
      </c>
      <c r="AB59" s="137">
        <v>0.75690000000000002</v>
      </c>
      <c r="AC59" s="137">
        <v>0.77439999999999998</v>
      </c>
      <c r="AD59" s="137">
        <v>0.76819999999999999</v>
      </c>
      <c r="AE59" s="137">
        <v>0.7742</v>
      </c>
      <c r="AF59" s="137">
        <v>0.83020000000000005</v>
      </c>
      <c r="AG59" s="137">
        <v>0.7732</v>
      </c>
      <c r="AH59" s="160" t="s">
        <v>293</v>
      </c>
      <c r="AI59" s="134" t="s">
        <v>455</v>
      </c>
      <c r="AJ59" s="134" t="s">
        <v>371</v>
      </c>
      <c r="AK59" s="137">
        <v>0.76180000000000003</v>
      </c>
      <c r="AL59" s="137">
        <v>0.77459999999999996</v>
      </c>
      <c r="AM59" s="137">
        <v>0.76600000000000001</v>
      </c>
      <c r="AN59" s="137">
        <v>0.77569999999999995</v>
      </c>
      <c r="AO59" s="137">
        <v>0.83120000000000005</v>
      </c>
      <c r="AP59" s="137">
        <v>0.77429999999999999</v>
      </c>
      <c r="AQ59" s="148" t="s">
        <v>293</v>
      </c>
      <c r="AR59" s="134" t="s">
        <v>315</v>
      </c>
      <c r="AS59" s="134" t="s">
        <v>316</v>
      </c>
      <c r="AT59" s="137">
        <v>0.7661</v>
      </c>
      <c r="AU59" s="137">
        <v>0.77439999999999998</v>
      </c>
      <c r="AV59" s="137">
        <v>0.76390000000000002</v>
      </c>
      <c r="AW59" s="137">
        <v>0.79290000000000005</v>
      </c>
      <c r="AX59" s="137">
        <v>0.83099999999999996</v>
      </c>
      <c r="AY59" s="137">
        <v>0.77869999999999995</v>
      </c>
      <c r="AZ59" s="147" t="s">
        <v>293</v>
      </c>
      <c r="BA59" s="134" t="s">
        <v>356</v>
      </c>
      <c r="BB59" s="134" t="s">
        <v>482</v>
      </c>
      <c r="BC59" s="137">
        <v>0.77190000000000003</v>
      </c>
      <c r="BD59" s="137">
        <v>0.76700000000000002</v>
      </c>
      <c r="BE59" s="137">
        <v>0.76129999999999998</v>
      </c>
      <c r="BF59" s="137">
        <v>0.79349999999999998</v>
      </c>
      <c r="BG59" s="137">
        <v>0.82869999999999999</v>
      </c>
      <c r="BH59" s="137">
        <v>0.77769999999999995</v>
      </c>
      <c r="BI59" s="146" t="s">
        <v>293</v>
      </c>
      <c r="BJ59" s="152">
        <v>135</v>
      </c>
      <c r="BK59" s="152">
        <v>131</v>
      </c>
      <c r="BL59" s="137">
        <v>0.79320000000000002</v>
      </c>
      <c r="BM59" s="137">
        <v>0.76600000000000001</v>
      </c>
      <c r="BN59" s="137">
        <v>0.77239999999999998</v>
      </c>
      <c r="BO59" s="137">
        <v>0.79710000000000003</v>
      </c>
      <c r="BP59" s="137">
        <v>0.83240000000000003</v>
      </c>
      <c r="BQ59" s="137">
        <v>0.78600000000000003</v>
      </c>
      <c r="BR59" s="698" t="s">
        <v>293</v>
      </c>
      <c r="BS59" s="270">
        <v>120</v>
      </c>
      <c r="BT59" s="270">
        <v>120</v>
      </c>
      <c r="BU59" s="270">
        <v>0.80100000000000005</v>
      </c>
      <c r="BV59" s="270">
        <v>0.77259999999999995</v>
      </c>
      <c r="BW59" s="270">
        <v>0.77680000000000005</v>
      </c>
      <c r="BX59" s="270">
        <v>0.80689999999999995</v>
      </c>
      <c r="BY59" s="270">
        <v>0.84370000000000001</v>
      </c>
      <c r="BZ59" s="270">
        <v>0.79349999999999998</v>
      </c>
      <c r="CA59" s="702" t="s">
        <v>293</v>
      </c>
      <c r="CB59" s="672" t="s">
        <v>484</v>
      </c>
      <c r="CC59" s="672" t="s">
        <v>484</v>
      </c>
      <c r="CD59" s="672">
        <v>0.80510000000000004</v>
      </c>
      <c r="CE59" s="672">
        <v>0.77580000000000005</v>
      </c>
      <c r="CF59" s="672">
        <v>0.78339999999999999</v>
      </c>
      <c r="CG59" s="672">
        <v>0.81740000000000002</v>
      </c>
      <c r="CH59" s="672">
        <v>0.84899999999999998</v>
      </c>
      <c r="CI59" s="672">
        <v>0.79949999999999999</v>
      </c>
      <c r="CJ59" s="635" t="s">
        <v>293</v>
      </c>
      <c r="CK59" s="620">
        <v>78</v>
      </c>
      <c r="CL59" s="620">
        <v>78</v>
      </c>
      <c r="CM59" s="620">
        <v>0.80430000000000001</v>
      </c>
      <c r="CN59" s="620">
        <v>0.7843</v>
      </c>
      <c r="CO59" s="620">
        <v>0.78820000000000001</v>
      </c>
      <c r="CP59" s="620">
        <v>0.82899999999999996</v>
      </c>
      <c r="CQ59" s="620">
        <v>0.8659</v>
      </c>
      <c r="CR59" s="711">
        <v>0.80640000000000001</v>
      </c>
      <c r="CS59" s="564" t="s">
        <v>293</v>
      </c>
      <c r="CT59" s="564">
        <v>68</v>
      </c>
      <c r="CU59" s="564">
        <v>68</v>
      </c>
      <c r="CV59" s="585">
        <v>0.82310000000000005</v>
      </c>
      <c r="CW59" s="585">
        <v>0.81040000000000001</v>
      </c>
      <c r="CX59" s="585">
        <v>0.8044</v>
      </c>
      <c r="CY59" s="585">
        <v>0.83899999999999997</v>
      </c>
      <c r="CZ59" s="585">
        <v>0.88109999999999999</v>
      </c>
      <c r="DA59" s="585">
        <v>0.82399999999999995</v>
      </c>
      <c r="DB59" s="884" t="s">
        <v>293</v>
      </c>
      <c r="DC59" s="884">
        <v>70</v>
      </c>
      <c r="DD59" s="884">
        <v>70</v>
      </c>
      <c r="DE59" s="884">
        <v>0.81079999999999997</v>
      </c>
      <c r="DF59" s="133">
        <v>0.80700000000000005</v>
      </c>
      <c r="DG59" s="133">
        <v>0.79520000000000002</v>
      </c>
      <c r="DH59" s="133">
        <v>0.82879999999999998</v>
      </c>
      <c r="DI59" s="133">
        <v>0.87260000000000004</v>
      </c>
      <c r="DJ59" s="133">
        <v>0.81520000000000004</v>
      </c>
    </row>
    <row r="60" spans="1:114" x14ac:dyDescent="0.25">
      <c r="A60" s="126" t="s">
        <v>801</v>
      </c>
      <c r="B60" s="668">
        <v>325754005358</v>
      </c>
      <c r="C60" s="134" t="s">
        <v>452</v>
      </c>
      <c r="D60" s="134" t="s">
        <v>307</v>
      </c>
      <c r="E60" s="134"/>
      <c r="F60" s="134" t="s">
        <v>123</v>
      </c>
      <c r="G60" s="168"/>
      <c r="H60" s="166"/>
      <c r="I60" s="166"/>
      <c r="J60" s="166"/>
      <c r="K60" s="166"/>
      <c r="L60" s="166"/>
      <c r="M60" s="166"/>
      <c r="N60" s="166"/>
      <c r="O60" s="166"/>
      <c r="P60" s="177"/>
      <c r="Q60" s="174"/>
      <c r="R60" s="174"/>
      <c r="S60" s="174"/>
      <c r="T60" s="174"/>
      <c r="U60" s="174"/>
      <c r="V60" s="174"/>
      <c r="W60" s="174"/>
      <c r="X60" s="174"/>
      <c r="Y60" s="147"/>
      <c r="Z60" s="134"/>
      <c r="AA60" s="134"/>
      <c r="AB60" s="137"/>
      <c r="AC60" s="137"/>
      <c r="AD60" s="137"/>
      <c r="AE60" s="137"/>
      <c r="AF60" s="137"/>
      <c r="AG60" s="137"/>
      <c r="AH60" s="160"/>
      <c r="AI60" s="134"/>
      <c r="AJ60" s="134"/>
      <c r="AK60" s="137"/>
      <c r="AL60" s="137"/>
      <c r="AM60" s="137"/>
      <c r="AN60" s="137"/>
      <c r="AO60" s="137"/>
      <c r="AP60" s="137"/>
      <c r="AQ60" s="148"/>
      <c r="AR60" s="134"/>
      <c r="AS60" s="134"/>
      <c r="AT60" s="137"/>
      <c r="AU60" s="137"/>
      <c r="AV60" s="137"/>
      <c r="AW60" s="137"/>
      <c r="AX60" s="137"/>
      <c r="AY60" s="137"/>
      <c r="AZ60" s="147"/>
      <c r="BA60" s="134"/>
      <c r="BB60" s="134"/>
      <c r="BC60" s="137"/>
      <c r="BD60" s="137"/>
      <c r="BE60" s="137"/>
      <c r="BF60" s="137"/>
      <c r="BG60" s="137"/>
      <c r="BH60" s="137"/>
      <c r="BI60" s="146"/>
      <c r="BJ60" s="152"/>
      <c r="BK60" s="152"/>
      <c r="BL60" s="137"/>
      <c r="BM60" s="137"/>
      <c r="BN60" s="137"/>
      <c r="BO60" s="137"/>
      <c r="BP60" s="137"/>
      <c r="BQ60" s="137"/>
      <c r="BR60" s="280"/>
      <c r="BS60" s="270"/>
      <c r="BT60" s="270"/>
      <c r="BU60" s="270"/>
      <c r="BV60" s="270"/>
      <c r="BW60" s="270"/>
      <c r="BX60" s="270"/>
      <c r="BY60" s="270"/>
      <c r="BZ60" s="270"/>
      <c r="CA60" s="354" t="s">
        <v>443</v>
      </c>
      <c r="CB60" s="355" t="s">
        <v>379</v>
      </c>
      <c r="CC60" s="355" t="s">
        <v>378</v>
      </c>
      <c r="CD60" s="355">
        <v>0.57450000000000001</v>
      </c>
      <c r="CE60" s="355">
        <v>0.55610000000000004</v>
      </c>
      <c r="CF60" s="355">
        <v>0.5746</v>
      </c>
      <c r="CG60" s="355">
        <v>0.63500000000000001</v>
      </c>
      <c r="CH60" s="355">
        <v>0.60980000000000001</v>
      </c>
      <c r="CI60" s="355">
        <v>0.58699999999999997</v>
      </c>
      <c r="CJ60" s="714"/>
      <c r="CK60" s="618"/>
      <c r="CL60" s="618"/>
      <c r="CM60" s="618"/>
      <c r="CN60" s="618"/>
      <c r="CO60" s="618"/>
      <c r="CP60" s="618"/>
      <c r="CQ60" s="618"/>
      <c r="CR60" s="622"/>
      <c r="CS60" s="563"/>
      <c r="CT60" s="582"/>
      <c r="CU60" s="582"/>
      <c r="CV60" s="586"/>
      <c r="CW60" s="586"/>
      <c r="CX60" s="586"/>
      <c r="CY60" s="586"/>
      <c r="CZ60" s="586"/>
      <c r="DA60" s="586"/>
      <c r="DB60" s="884"/>
      <c r="DC60" s="884"/>
      <c r="DD60" s="884"/>
      <c r="DE60" s="884"/>
    </row>
    <row r="61" spans="1:114" x14ac:dyDescent="0.25">
      <c r="A61" s="36" t="s">
        <v>162</v>
      </c>
      <c r="B61" s="878">
        <v>325754800018</v>
      </c>
      <c r="C61" s="134" t="s">
        <v>452</v>
      </c>
      <c r="D61" s="134" t="s">
        <v>307</v>
      </c>
      <c r="E61" s="134" t="s">
        <v>671</v>
      </c>
      <c r="F61" s="134" t="s">
        <v>123</v>
      </c>
      <c r="G61" s="168"/>
      <c r="H61" s="166"/>
      <c r="I61" s="166"/>
      <c r="J61" s="166"/>
      <c r="K61" s="166"/>
      <c r="L61" s="166"/>
      <c r="M61" s="166"/>
      <c r="N61" s="166"/>
      <c r="O61" s="166"/>
      <c r="P61" s="177"/>
      <c r="Q61" s="174"/>
      <c r="R61" s="174"/>
      <c r="S61" s="174"/>
      <c r="T61" s="174"/>
      <c r="U61" s="174"/>
      <c r="V61" s="174"/>
      <c r="W61" s="174"/>
      <c r="X61" s="174"/>
      <c r="Y61" s="147"/>
      <c r="Z61" s="134"/>
      <c r="AA61" s="134"/>
      <c r="AB61" s="137"/>
      <c r="AC61" s="137"/>
      <c r="AD61" s="137"/>
      <c r="AE61" s="137"/>
      <c r="AF61" s="137"/>
      <c r="AG61" s="137"/>
      <c r="AH61" s="160"/>
      <c r="AI61" s="134"/>
      <c r="AJ61" s="134"/>
      <c r="AK61" s="137"/>
      <c r="AL61" s="137"/>
      <c r="AM61" s="137"/>
      <c r="AN61" s="137"/>
      <c r="AO61" s="137"/>
      <c r="AP61" s="137"/>
      <c r="AQ61" s="148"/>
      <c r="AR61" s="134"/>
      <c r="AS61" s="134"/>
      <c r="AT61" s="137"/>
      <c r="AU61" s="137"/>
      <c r="AV61" s="137"/>
      <c r="AW61" s="137"/>
      <c r="AX61" s="137"/>
      <c r="AY61" s="137"/>
      <c r="AZ61" s="147"/>
      <c r="BA61" s="134"/>
      <c r="BB61" s="134"/>
      <c r="BC61" s="137"/>
      <c r="BD61" s="137"/>
      <c r="BE61" s="137"/>
      <c r="BF61" s="137"/>
      <c r="BG61" s="137"/>
      <c r="BH61" s="137"/>
      <c r="BI61" s="146"/>
      <c r="BJ61" s="152"/>
      <c r="BK61" s="152"/>
      <c r="BL61" s="137"/>
      <c r="BM61" s="137"/>
      <c r="BN61" s="137"/>
      <c r="BO61" s="137"/>
      <c r="BP61" s="137"/>
      <c r="BQ61" s="137"/>
      <c r="BR61" s="281" t="s">
        <v>294</v>
      </c>
      <c r="BS61" s="270">
        <v>18</v>
      </c>
      <c r="BT61" s="270">
        <v>17</v>
      </c>
      <c r="BU61" s="270">
        <v>0.79590000000000005</v>
      </c>
      <c r="BV61" s="270">
        <v>0.72340000000000004</v>
      </c>
      <c r="BW61" s="270">
        <v>0.71299999999999997</v>
      </c>
      <c r="BX61" s="270">
        <v>0.78559999999999997</v>
      </c>
      <c r="BY61" s="270">
        <v>0.73550000000000004</v>
      </c>
      <c r="BZ61" s="270">
        <v>0.753</v>
      </c>
      <c r="CA61" s="358" t="s">
        <v>293</v>
      </c>
      <c r="CB61" s="355" t="s">
        <v>438</v>
      </c>
      <c r="CC61" s="355" t="s">
        <v>333</v>
      </c>
      <c r="CD61" s="355">
        <v>0.78449999999999998</v>
      </c>
      <c r="CE61" s="355">
        <v>0.74299999999999999</v>
      </c>
      <c r="CF61" s="355">
        <v>0.75890000000000002</v>
      </c>
      <c r="CG61" s="355">
        <v>0.8075</v>
      </c>
      <c r="CH61" s="355">
        <v>0.80879999999999996</v>
      </c>
      <c r="CI61" s="355">
        <v>0.7762</v>
      </c>
      <c r="CJ61" s="716" t="s">
        <v>293</v>
      </c>
      <c r="CK61" s="620">
        <v>37</v>
      </c>
      <c r="CL61" s="620">
        <v>37</v>
      </c>
      <c r="CM61" s="620">
        <v>0.78739999999999999</v>
      </c>
      <c r="CN61" s="620">
        <v>0.76639999999999997</v>
      </c>
      <c r="CO61" s="620">
        <v>0.77259999999999995</v>
      </c>
      <c r="CP61" s="620">
        <v>0.8165</v>
      </c>
      <c r="CQ61" s="620">
        <v>0.84340000000000004</v>
      </c>
      <c r="CR61" s="711">
        <v>0.79020000000000001</v>
      </c>
      <c r="CS61" s="564" t="s">
        <v>293</v>
      </c>
      <c r="CT61" s="564">
        <v>46</v>
      </c>
      <c r="CU61" s="564">
        <v>46</v>
      </c>
      <c r="CV61" s="585">
        <v>0.77939999999999998</v>
      </c>
      <c r="CW61" s="585">
        <v>0.7732</v>
      </c>
      <c r="CX61" s="585">
        <v>0.7712</v>
      </c>
      <c r="CY61" s="585">
        <v>0.81310000000000004</v>
      </c>
      <c r="CZ61" s="585">
        <v>0.8448</v>
      </c>
      <c r="DA61" s="585">
        <v>0.78890000000000005</v>
      </c>
      <c r="DB61" s="884" t="s">
        <v>293</v>
      </c>
      <c r="DC61" s="884">
        <v>52</v>
      </c>
      <c r="DD61" s="884">
        <v>52</v>
      </c>
      <c r="DE61" s="884">
        <v>0.78590000000000004</v>
      </c>
      <c r="DF61" s="133">
        <v>0.77239999999999998</v>
      </c>
      <c r="DG61" s="133">
        <v>0.74990000000000001</v>
      </c>
      <c r="DH61" s="133">
        <v>0.80649999999999999</v>
      </c>
      <c r="DI61" s="133">
        <v>0.85070000000000001</v>
      </c>
      <c r="DJ61" s="133">
        <v>0.78420000000000001</v>
      </c>
    </row>
    <row r="62" spans="1:114" x14ac:dyDescent="0.25">
      <c r="A62" s="36" t="s">
        <v>134</v>
      </c>
      <c r="B62" s="668">
        <v>325754001972</v>
      </c>
      <c r="C62" s="134" t="s">
        <v>452</v>
      </c>
      <c r="D62" s="134" t="s">
        <v>307</v>
      </c>
      <c r="E62" s="134" t="s">
        <v>671</v>
      </c>
      <c r="F62" s="134" t="s">
        <v>123</v>
      </c>
      <c r="G62" s="134"/>
      <c r="H62" s="134"/>
      <c r="I62" s="134"/>
      <c r="J62" s="134"/>
      <c r="K62" s="134"/>
      <c r="L62" s="134"/>
      <c r="M62" s="134"/>
      <c r="N62" s="134"/>
      <c r="O62" s="134"/>
      <c r="P62" s="563"/>
      <c r="Q62" s="563"/>
      <c r="R62" s="563"/>
      <c r="S62" s="563"/>
      <c r="T62" s="563"/>
      <c r="U62" s="563"/>
      <c r="V62" s="563"/>
      <c r="W62" s="563"/>
      <c r="X62" s="563"/>
      <c r="Y62" s="134"/>
      <c r="Z62" s="134"/>
      <c r="AA62" s="134"/>
      <c r="AB62" s="137"/>
      <c r="AC62" s="137"/>
      <c r="AD62" s="137"/>
      <c r="AE62" s="137"/>
      <c r="AF62" s="137"/>
      <c r="AG62" s="137"/>
      <c r="AH62" s="156"/>
      <c r="AI62" s="134"/>
      <c r="AJ62" s="134"/>
      <c r="AK62" s="137"/>
      <c r="AL62" s="137"/>
      <c r="AM62" s="137"/>
      <c r="AN62" s="137"/>
      <c r="AO62" s="137"/>
      <c r="AP62" s="137"/>
      <c r="AQ62" s="134"/>
      <c r="AR62" s="134"/>
      <c r="AS62" s="134"/>
      <c r="AT62" s="137"/>
      <c r="AU62" s="137"/>
      <c r="AV62" s="137"/>
      <c r="AW62" s="137"/>
      <c r="AX62" s="137"/>
      <c r="AY62" s="137"/>
      <c r="AZ62" s="143" t="s">
        <v>443</v>
      </c>
      <c r="BA62" s="134" t="s">
        <v>547</v>
      </c>
      <c r="BB62" s="134" t="s">
        <v>447</v>
      </c>
      <c r="BC62" s="137">
        <v>0.61040000000000005</v>
      </c>
      <c r="BD62" s="137">
        <v>0.60529999999999995</v>
      </c>
      <c r="BE62" s="137">
        <v>0.57220000000000004</v>
      </c>
      <c r="BF62" s="137">
        <v>0.68520000000000003</v>
      </c>
      <c r="BG62" s="137">
        <v>0.61180000000000001</v>
      </c>
      <c r="BH62" s="137">
        <v>0.61780000000000002</v>
      </c>
      <c r="BI62" s="151" t="s">
        <v>443</v>
      </c>
      <c r="BJ62" s="152">
        <v>14</v>
      </c>
      <c r="BK62" s="152">
        <v>12</v>
      </c>
      <c r="BL62" s="137">
        <v>0.61040000000000005</v>
      </c>
      <c r="BM62" s="137">
        <v>0.60529999999999995</v>
      </c>
      <c r="BN62" s="137">
        <v>0.57220000000000004</v>
      </c>
      <c r="BO62" s="137">
        <v>0.68520000000000003</v>
      </c>
      <c r="BP62" s="137">
        <v>0.61180000000000001</v>
      </c>
      <c r="BQ62" s="137">
        <v>0.61780000000000002</v>
      </c>
      <c r="BR62" s="633"/>
      <c r="BS62" s="269"/>
      <c r="BT62" s="269"/>
      <c r="BU62" s="269"/>
      <c r="BV62" s="269"/>
      <c r="BW62" s="269"/>
      <c r="BX62" s="269"/>
      <c r="BY62" s="269"/>
      <c r="BZ62" s="269"/>
      <c r="CA62" s="344"/>
      <c r="CB62" s="344"/>
      <c r="CC62" s="344"/>
      <c r="CD62" s="344"/>
      <c r="CE62" s="344"/>
      <c r="CF62" s="344"/>
      <c r="CG62" s="344"/>
      <c r="CH62" s="344"/>
      <c r="CI62" s="344"/>
      <c r="CJ62" s="714"/>
      <c r="CK62" s="618"/>
      <c r="CL62" s="618"/>
      <c r="CM62" s="618"/>
      <c r="CN62" s="618"/>
      <c r="CO62" s="618"/>
      <c r="CP62" s="618"/>
      <c r="CQ62" s="618"/>
      <c r="CR62" s="622"/>
      <c r="CS62" s="563"/>
      <c r="CT62" s="582"/>
      <c r="CU62" s="582"/>
      <c r="CV62" s="586"/>
      <c r="CW62" s="586"/>
      <c r="CX62" s="586"/>
      <c r="CY62" s="586"/>
      <c r="CZ62" s="586"/>
      <c r="DA62" s="586"/>
      <c r="DB62" s="884"/>
      <c r="DC62" s="884"/>
      <c r="DD62" s="884"/>
      <c r="DE62" s="884"/>
    </row>
    <row r="63" spans="1:114" x14ac:dyDescent="0.25">
      <c r="A63" s="36" t="s">
        <v>86</v>
      </c>
      <c r="B63" s="668">
        <v>325754001450</v>
      </c>
      <c r="C63" s="134" t="s">
        <v>452</v>
      </c>
      <c r="D63" s="134" t="s">
        <v>307</v>
      </c>
      <c r="E63" s="134" t="s">
        <v>671</v>
      </c>
      <c r="F63" s="134" t="s">
        <v>123</v>
      </c>
      <c r="G63" s="168" t="s">
        <v>294</v>
      </c>
      <c r="H63" s="166">
        <v>92</v>
      </c>
      <c r="I63" s="166">
        <v>91</v>
      </c>
      <c r="J63" s="166">
        <v>0.72060000000000002</v>
      </c>
      <c r="K63" s="166">
        <v>0.73209999999999997</v>
      </c>
      <c r="L63" s="166">
        <v>0.72030000000000005</v>
      </c>
      <c r="M63" s="166">
        <v>0.72570000000000001</v>
      </c>
      <c r="N63" s="166">
        <v>0.71730000000000005</v>
      </c>
      <c r="O63" s="166">
        <v>0.72409999999999997</v>
      </c>
      <c r="P63" s="173" t="s">
        <v>295</v>
      </c>
      <c r="Q63" s="174" t="s">
        <v>323</v>
      </c>
      <c r="R63" s="174" t="s">
        <v>335</v>
      </c>
      <c r="S63" s="174">
        <v>0.71240000000000003</v>
      </c>
      <c r="T63" s="174">
        <v>0.71279999999999999</v>
      </c>
      <c r="U63" s="174">
        <v>0.71109999999999995</v>
      </c>
      <c r="V63" s="174">
        <v>0.70430000000000004</v>
      </c>
      <c r="W63" s="174">
        <v>0.70660000000000001</v>
      </c>
      <c r="X63" s="174">
        <v>0.70989999999999998</v>
      </c>
      <c r="Y63" s="138" t="s">
        <v>295</v>
      </c>
      <c r="Z63" s="134" t="s">
        <v>523</v>
      </c>
      <c r="AA63" s="134" t="s">
        <v>337</v>
      </c>
      <c r="AB63" s="137">
        <v>0.72770000000000001</v>
      </c>
      <c r="AC63" s="137">
        <v>0.71540000000000004</v>
      </c>
      <c r="AD63" s="137">
        <v>0.7228</v>
      </c>
      <c r="AE63" s="137">
        <v>0.70589999999999997</v>
      </c>
      <c r="AF63" s="137">
        <v>0.71840000000000004</v>
      </c>
      <c r="AG63" s="137">
        <v>0.71799999999999997</v>
      </c>
      <c r="AH63" s="158" t="s">
        <v>294</v>
      </c>
      <c r="AI63" s="134" t="s">
        <v>336</v>
      </c>
      <c r="AJ63" s="134" t="s">
        <v>465</v>
      </c>
      <c r="AK63" s="137">
        <v>0.74560000000000004</v>
      </c>
      <c r="AL63" s="137">
        <v>0.72919999999999996</v>
      </c>
      <c r="AM63" s="137">
        <v>0.73360000000000003</v>
      </c>
      <c r="AN63" s="137">
        <v>0.72370000000000001</v>
      </c>
      <c r="AO63" s="137">
        <v>0.73350000000000004</v>
      </c>
      <c r="AP63" s="137">
        <v>0.73309999999999997</v>
      </c>
      <c r="AQ63" s="150" t="s">
        <v>294</v>
      </c>
      <c r="AR63" s="134" t="s">
        <v>336</v>
      </c>
      <c r="AS63" s="134" t="s">
        <v>337</v>
      </c>
      <c r="AT63" s="137">
        <v>0.75370000000000004</v>
      </c>
      <c r="AU63" s="137">
        <v>0.73160000000000003</v>
      </c>
      <c r="AV63" s="137">
        <v>0.72319999999999995</v>
      </c>
      <c r="AW63" s="137">
        <v>0.75180000000000002</v>
      </c>
      <c r="AX63" s="137">
        <v>0.74429999999999996</v>
      </c>
      <c r="AY63" s="137">
        <v>0.74039999999999995</v>
      </c>
      <c r="AZ63" s="145" t="s">
        <v>294</v>
      </c>
      <c r="BA63" s="134" t="s">
        <v>485</v>
      </c>
      <c r="BB63" s="134" t="s">
        <v>337</v>
      </c>
      <c r="BC63" s="137">
        <v>0.75009999999999999</v>
      </c>
      <c r="BD63" s="137">
        <v>0.72160000000000002</v>
      </c>
      <c r="BE63" s="137">
        <v>0.72260000000000002</v>
      </c>
      <c r="BF63" s="137">
        <v>0.76029999999999998</v>
      </c>
      <c r="BG63" s="137">
        <v>0.73319999999999996</v>
      </c>
      <c r="BH63" s="137">
        <v>0.73819999999999997</v>
      </c>
      <c r="BI63" s="149" t="s">
        <v>294</v>
      </c>
      <c r="BJ63" s="152">
        <v>95</v>
      </c>
      <c r="BK63" s="152">
        <v>93</v>
      </c>
      <c r="BL63" s="137">
        <v>0.73939999999999995</v>
      </c>
      <c r="BM63" s="137">
        <v>0.71379999999999999</v>
      </c>
      <c r="BN63" s="137">
        <v>0.72170000000000001</v>
      </c>
      <c r="BO63" s="137">
        <v>0.75890000000000002</v>
      </c>
      <c r="BP63" s="137">
        <v>0.71289999999999998</v>
      </c>
      <c r="BQ63" s="137">
        <v>0.7319</v>
      </c>
      <c r="BR63" s="281" t="s">
        <v>294</v>
      </c>
      <c r="BS63" s="270">
        <v>123</v>
      </c>
      <c r="BT63" s="270">
        <v>122</v>
      </c>
      <c r="BU63" s="270">
        <v>0.73099999999999998</v>
      </c>
      <c r="BV63" s="270">
        <v>0.70079999999999998</v>
      </c>
      <c r="BW63" s="270">
        <v>0.71340000000000003</v>
      </c>
      <c r="BX63" s="270">
        <v>0.75609999999999999</v>
      </c>
      <c r="BY63" s="270">
        <v>0.71930000000000005</v>
      </c>
      <c r="BZ63" s="270">
        <v>0.72489999999999999</v>
      </c>
      <c r="CA63" s="364" t="s">
        <v>294</v>
      </c>
      <c r="CB63" s="355" t="s">
        <v>676</v>
      </c>
      <c r="CC63" s="355" t="s">
        <v>554</v>
      </c>
      <c r="CD63" s="355">
        <v>0.72360000000000002</v>
      </c>
      <c r="CE63" s="355">
        <v>0.69750000000000001</v>
      </c>
      <c r="CF63" s="355">
        <v>0.70250000000000001</v>
      </c>
      <c r="CG63" s="355">
        <v>0.75609999999999999</v>
      </c>
      <c r="CH63" s="355">
        <v>0.72740000000000005</v>
      </c>
      <c r="CI63" s="355">
        <v>0.72050000000000003</v>
      </c>
      <c r="CJ63" s="717" t="s">
        <v>294</v>
      </c>
      <c r="CK63" s="620">
        <v>145</v>
      </c>
      <c r="CL63" s="620">
        <v>145</v>
      </c>
      <c r="CM63" s="620">
        <v>0.72919999999999996</v>
      </c>
      <c r="CN63" s="620">
        <v>0.69389999999999996</v>
      </c>
      <c r="CO63" s="620">
        <v>0.7026</v>
      </c>
      <c r="CP63" s="620">
        <v>0.76180000000000003</v>
      </c>
      <c r="CQ63" s="620">
        <v>0.73850000000000005</v>
      </c>
      <c r="CR63" s="711">
        <v>0.72319999999999995</v>
      </c>
      <c r="CS63" s="564" t="s">
        <v>294</v>
      </c>
      <c r="CT63" s="564">
        <v>122</v>
      </c>
      <c r="CU63" s="564">
        <v>122</v>
      </c>
      <c r="CV63" s="585">
        <v>0.73</v>
      </c>
      <c r="CW63" s="585">
        <v>0.69630000000000003</v>
      </c>
      <c r="CX63" s="585">
        <v>0.70550000000000002</v>
      </c>
      <c r="CY63" s="585">
        <v>0.76239999999999997</v>
      </c>
      <c r="CZ63" s="585">
        <v>0.7359</v>
      </c>
      <c r="DA63" s="585">
        <v>0.72450000000000003</v>
      </c>
      <c r="DB63" s="884" t="s">
        <v>294</v>
      </c>
      <c r="DC63" s="884">
        <v>106</v>
      </c>
      <c r="DD63" s="884">
        <v>105</v>
      </c>
      <c r="DE63" s="884">
        <v>0.72929999999999995</v>
      </c>
      <c r="DF63" s="133">
        <v>0.69530000000000003</v>
      </c>
      <c r="DG63" s="133">
        <v>0.71550000000000002</v>
      </c>
      <c r="DH63" s="133">
        <v>0.76629999999999998</v>
      </c>
      <c r="DI63" s="133">
        <v>0.73219999999999996</v>
      </c>
      <c r="DJ63" s="133">
        <v>0.72699999999999998</v>
      </c>
    </row>
    <row r="64" spans="1:114" x14ac:dyDescent="0.25">
      <c r="A64" s="36" t="s">
        <v>77</v>
      </c>
      <c r="B64" s="668">
        <v>325754004521</v>
      </c>
      <c r="C64" s="134" t="s">
        <v>452</v>
      </c>
      <c r="D64" s="134" t="s">
        <v>307</v>
      </c>
      <c r="E64" s="134" t="s">
        <v>671</v>
      </c>
      <c r="F64" s="134" t="s">
        <v>123</v>
      </c>
      <c r="G64" s="167" t="s">
        <v>427</v>
      </c>
      <c r="H64" s="166">
        <v>92</v>
      </c>
      <c r="I64" s="166">
        <v>91</v>
      </c>
      <c r="J64" s="166">
        <v>0.66810000000000003</v>
      </c>
      <c r="K64" s="166">
        <v>0.67020000000000002</v>
      </c>
      <c r="L64" s="166">
        <v>0.66790000000000005</v>
      </c>
      <c r="M64" s="166">
        <v>0.66390000000000005</v>
      </c>
      <c r="N64" s="166">
        <v>0.65039999999999998</v>
      </c>
      <c r="O64" s="166">
        <v>0.66620000000000001</v>
      </c>
      <c r="P64" s="175" t="s">
        <v>427</v>
      </c>
      <c r="Q64" s="174" t="s">
        <v>697</v>
      </c>
      <c r="R64" s="174" t="s">
        <v>387</v>
      </c>
      <c r="S64" s="174">
        <v>0.67049999999999998</v>
      </c>
      <c r="T64" s="174">
        <v>0.67769999999999997</v>
      </c>
      <c r="U64" s="174">
        <v>0.67030000000000001</v>
      </c>
      <c r="V64" s="174">
        <v>0.66449999999999998</v>
      </c>
      <c r="W64" s="174">
        <v>0.64829999999999999</v>
      </c>
      <c r="X64" s="166">
        <v>0.66900000000000004</v>
      </c>
      <c r="Y64" s="138" t="s">
        <v>295</v>
      </c>
      <c r="Z64" s="134" t="s">
        <v>335</v>
      </c>
      <c r="AA64" s="134" t="s">
        <v>399</v>
      </c>
      <c r="AB64" s="137">
        <v>0.66610000000000003</v>
      </c>
      <c r="AC64" s="137">
        <v>0.68020000000000003</v>
      </c>
      <c r="AD64" s="137">
        <v>0.66539999999999999</v>
      </c>
      <c r="AE64" s="137">
        <v>0.6704</v>
      </c>
      <c r="AF64" s="137">
        <v>0.66379999999999995</v>
      </c>
      <c r="AG64" s="137">
        <v>0.67</v>
      </c>
      <c r="AH64" s="159" t="s">
        <v>295</v>
      </c>
      <c r="AI64" s="134" t="s">
        <v>360</v>
      </c>
      <c r="AJ64" s="134" t="s">
        <v>361</v>
      </c>
      <c r="AK64" s="137">
        <v>0.68920000000000003</v>
      </c>
      <c r="AL64" s="137">
        <v>0.68589999999999995</v>
      </c>
      <c r="AM64" s="137">
        <v>0.67959999999999998</v>
      </c>
      <c r="AN64" s="137">
        <v>0.70609999999999995</v>
      </c>
      <c r="AO64" s="137">
        <v>0.66690000000000005</v>
      </c>
      <c r="AP64" s="137">
        <v>0.68840000000000001</v>
      </c>
      <c r="AQ64" s="139" t="s">
        <v>295</v>
      </c>
      <c r="AR64" s="134" t="s">
        <v>387</v>
      </c>
      <c r="AS64" s="134" t="s">
        <v>388</v>
      </c>
      <c r="AT64" s="137">
        <v>0.70040000000000002</v>
      </c>
      <c r="AU64" s="137">
        <v>0.69220000000000004</v>
      </c>
      <c r="AV64" s="137">
        <v>0.67910000000000004</v>
      </c>
      <c r="AW64" s="137">
        <v>0.72819999999999996</v>
      </c>
      <c r="AX64" s="137">
        <v>0.67</v>
      </c>
      <c r="AY64" s="137">
        <v>0.69769999999999999</v>
      </c>
      <c r="AZ64" s="138" t="s">
        <v>295</v>
      </c>
      <c r="BA64" s="134" t="s">
        <v>351</v>
      </c>
      <c r="BB64" s="134" t="s">
        <v>376</v>
      </c>
      <c r="BC64" s="137">
        <v>0.70620000000000005</v>
      </c>
      <c r="BD64" s="137">
        <v>0.67279999999999995</v>
      </c>
      <c r="BE64" s="137">
        <v>0.67349999999999999</v>
      </c>
      <c r="BF64" s="137">
        <v>0.73380000000000001</v>
      </c>
      <c r="BG64" s="137">
        <v>0.65880000000000005</v>
      </c>
      <c r="BH64" s="137">
        <v>0.69369999999999998</v>
      </c>
      <c r="BI64" s="135" t="s">
        <v>295</v>
      </c>
      <c r="BJ64" s="152">
        <v>127</v>
      </c>
      <c r="BK64" s="152">
        <v>124</v>
      </c>
      <c r="BL64" s="137">
        <v>0.7087</v>
      </c>
      <c r="BM64" s="137">
        <v>0.67120000000000002</v>
      </c>
      <c r="BN64" s="137">
        <v>0.67469999999999997</v>
      </c>
      <c r="BO64" s="137">
        <v>0.73129999999999995</v>
      </c>
      <c r="BP64" s="137">
        <v>0.65339999999999998</v>
      </c>
      <c r="BQ64" s="137">
        <v>0.69320000000000004</v>
      </c>
      <c r="BR64" s="277" t="s">
        <v>295</v>
      </c>
      <c r="BS64" s="270">
        <v>134</v>
      </c>
      <c r="BT64" s="270">
        <v>134</v>
      </c>
      <c r="BU64" s="270">
        <v>0.71330000000000005</v>
      </c>
      <c r="BV64" s="270">
        <v>0.67200000000000004</v>
      </c>
      <c r="BW64" s="270">
        <v>0.67390000000000005</v>
      </c>
      <c r="BX64" s="270">
        <v>0.73450000000000004</v>
      </c>
      <c r="BY64" s="270">
        <v>0.66610000000000003</v>
      </c>
      <c r="BZ64" s="270">
        <v>0.69589999999999996</v>
      </c>
      <c r="CA64" s="356" t="s">
        <v>295</v>
      </c>
      <c r="CB64" s="355" t="s">
        <v>678</v>
      </c>
      <c r="CC64" s="355" t="s">
        <v>678</v>
      </c>
      <c r="CD64" s="355">
        <v>0.72629999999999995</v>
      </c>
      <c r="CE64" s="355">
        <v>0.69920000000000004</v>
      </c>
      <c r="CF64" s="355">
        <v>0.69140000000000001</v>
      </c>
      <c r="CG64" s="355">
        <v>0.74850000000000005</v>
      </c>
      <c r="CH64" s="355">
        <v>0.68240000000000001</v>
      </c>
      <c r="CI64" s="355">
        <v>0.7137</v>
      </c>
      <c r="CJ64" s="715" t="s">
        <v>295</v>
      </c>
      <c r="CK64" s="620">
        <v>172</v>
      </c>
      <c r="CL64" s="620">
        <v>172</v>
      </c>
      <c r="CM64" s="620">
        <v>0.70520000000000005</v>
      </c>
      <c r="CN64" s="620">
        <v>0.67920000000000003</v>
      </c>
      <c r="CO64" s="620">
        <v>0.66690000000000005</v>
      </c>
      <c r="CP64" s="620">
        <v>0.73029999999999995</v>
      </c>
      <c r="CQ64" s="620">
        <v>0.68540000000000001</v>
      </c>
      <c r="CR64" s="711">
        <v>0.69469999999999998</v>
      </c>
      <c r="CS64" s="564" t="s">
        <v>295</v>
      </c>
      <c r="CT64" s="564">
        <v>207</v>
      </c>
      <c r="CU64" s="564">
        <v>207</v>
      </c>
      <c r="CV64" s="585">
        <v>0.72219999999999995</v>
      </c>
      <c r="CW64" s="585">
        <v>0.68410000000000004</v>
      </c>
      <c r="CX64" s="585">
        <v>0.67649999999999999</v>
      </c>
      <c r="CY64" s="585">
        <v>0.74919999999999998</v>
      </c>
      <c r="CZ64" s="585">
        <v>0.68740000000000001</v>
      </c>
      <c r="DA64" s="585">
        <v>0.70640000000000003</v>
      </c>
      <c r="DB64" s="884" t="s">
        <v>295</v>
      </c>
      <c r="DC64" s="884">
        <v>212</v>
      </c>
      <c r="DD64" s="884">
        <v>211</v>
      </c>
      <c r="DE64" s="884">
        <v>0.72789999999999999</v>
      </c>
      <c r="DF64" s="133">
        <v>0.68120000000000003</v>
      </c>
      <c r="DG64" s="133">
        <v>0.67479999999999996</v>
      </c>
      <c r="DH64" s="133">
        <v>0.75009999999999999</v>
      </c>
      <c r="DI64" s="133">
        <v>0.69289999999999996</v>
      </c>
      <c r="DJ64" s="133">
        <v>0.70730000000000004</v>
      </c>
    </row>
    <row r="65" spans="1:114" x14ac:dyDescent="0.25">
      <c r="A65" s="36" t="s">
        <v>58</v>
      </c>
      <c r="B65" s="668">
        <v>325754005129</v>
      </c>
      <c r="C65" s="134" t="s">
        <v>452</v>
      </c>
      <c r="D65" s="134" t="s">
        <v>307</v>
      </c>
      <c r="E65" s="134" t="s">
        <v>671</v>
      </c>
      <c r="F65" s="134" t="s">
        <v>123</v>
      </c>
      <c r="G65" s="165" t="s">
        <v>295</v>
      </c>
      <c r="H65" s="166">
        <v>22</v>
      </c>
      <c r="I65" s="166">
        <v>22</v>
      </c>
      <c r="J65" s="166">
        <v>0.67330000000000001</v>
      </c>
      <c r="K65" s="166">
        <v>0.68989999999999996</v>
      </c>
      <c r="L65" s="166">
        <v>0.67290000000000005</v>
      </c>
      <c r="M65" s="166">
        <v>0.71460000000000001</v>
      </c>
      <c r="N65" s="166">
        <v>0.68759999999999999</v>
      </c>
      <c r="O65" s="166">
        <v>0.68769999999999998</v>
      </c>
      <c r="P65" s="173" t="s">
        <v>295</v>
      </c>
      <c r="Q65" s="174" t="s">
        <v>447</v>
      </c>
      <c r="R65" s="174" t="s">
        <v>448</v>
      </c>
      <c r="S65" s="174">
        <v>0.66320000000000001</v>
      </c>
      <c r="T65" s="174">
        <v>0.7097</v>
      </c>
      <c r="U65" s="174">
        <v>0.68730000000000002</v>
      </c>
      <c r="V65" s="174">
        <v>0.69640000000000002</v>
      </c>
      <c r="W65" s="174">
        <v>0.66610000000000003</v>
      </c>
      <c r="X65" s="174">
        <v>0.68740000000000001</v>
      </c>
      <c r="Y65" s="145" t="s">
        <v>294</v>
      </c>
      <c r="Z65" s="134" t="s">
        <v>446</v>
      </c>
      <c r="AA65" s="134" t="s">
        <v>447</v>
      </c>
      <c r="AB65" s="137">
        <v>0.70840000000000003</v>
      </c>
      <c r="AC65" s="137">
        <v>0.75860000000000005</v>
      </c>
      <c r="AD65" s="137">
        <v>0.75939999999999996</v>
      </c>
      <c r="AE65" s="137">
        <v>0.74160000000000004</v>
      </c>
      <c r="AF65" s="137">
        <v>0.71319999999999995</v>
      </c>
      <c r="AG65" s="137">
        <v>0.73980000000000001</v>
      </c>
      <c r="AH65" s="159" t="s">
        <v>295</v>
      </c>
      <c r="AI65" s="134" t="s">
        <v>439</v>
      </c>
      <c r="AJ65" s="134" t="s">
        <v>429</v>
      </c>
      <c r="AK65" s="137">
        <v>0.66769999999999996</v>
      </c>
      <c r="AL65" s="137">
        <v>0.69550000000000001</v>
      </c>
      <c r="AM65" s="137">
        <v>0.6966</v>
      </c>
      <c r="AN65" s="137">
        <v>0.7036</v>
      </c>
      <c r="AO65" s="137">
        <v>0.68940000000000001</v>
      </c>
      <c r="AP65" s="137">
        <v>0.69069999999999998</v>
      </c>
      <c r="AQ65" s="142" t="s">
        <v>427</v>
      </c>
      <c r="AR65" s="134" t="s">
        <v>428</v>
      </c>
      <c r="AS65" s="134" t="s">
        <v>439</v>
      </c>
      <c r="AT65" s="137">
        <v>0.63229999999999997</v>
      </c>
      <c r="AU65" s="137">
        <v>0.65229999999999999</v>
      </c>
      <c r="AV65" s="137">
        <v>0.61990000000000001</v>
      </c>
      <c r="AW65" s="137">
        <v>0.66710000000000003</v>
      </c>
      <c r="AX65" s="137">
        <v>0.67910000000000004</v>
      </c>
      <c r="AY65" s="137">
        <v>0.64570000000000005</v>
      </c>
      <c r="AZ65" s="143" t="s">
        <v>443</v>
      </c>
      <c r="BA65" s="134" t="s">
        <v>400</v>
      </c>
      <c r="BB65" s="134" t="s">
        <v>401</v>
      </c>
      <c r="BC65" s="137">
        <v>0.62290000000000001</v>
      </c>
      <c r="BD65" s="137">
        <v>0.60519999999999996</v>
      </c>
      <c r="BE65" s="137">
        <v>0.56620000000000004</v>
      </c>
      <c r="BF65" s="137">
        <v>0.64829999999999999</v>
      </c>
      <c r="BG65" s="137">
        <v>0.66169999999999995</v>
      </c>
      <c r="BH65" s="137">
        <v>0.61460000000000004</v>
      </c>
      <c r="BI65" s="151" t="s">
        <v>443</v>
      </c>
      <c r="BJ65" s="152">
        <v>27</v>
      </c>
      <c r="BK65" s="152">
        <v>26</v>
      </c>
      <c r="BL65" s="137">
        <v>0.6381</v>
      </c>
      <c r="BM65" s="137">
        <v>0.61929999999999996</v>
      </c>
      <c r="BN65" s="137">
        <v>0.55810000000000004</v>
      </c>
      <c r="BO65" s="137">
        <v>0.65710000000000002</v>
      </c>
      <c r="BP65" s="137">
        <v>0.6381</v>
      </c>
      <c r="BQ65" s="137">
        <v>0.61970000000000003</v>
      </c>
      <c r="BR65" s="279" t="s">
        <v>427</v>
      </c>
      <c r="BS65" s="270">
        <v>26</v>
      </c>
      <c r="BT65" s="270">
        <v>26</v>
      </c>
      <c r="BU65" s="270">
        <v>0.66800000000000004</v>
      </c>
      <c r="BV65" s="270">
        <v>0.629</v>
      </c>
      <c r="BW65" s="270">
        <v>0.5655</v>
      </c>
      <c r="BX65" s="270">
        <v>0.67900000000000005</v>
      </c>
      <c r="BY65" s="270">
        <v>0.64200000000000002</v>
      </c>
      <c r="BZ65" s="270">
        <v>0.63590000000000002</v>
      </c>
      <c r="CA65" s="357" t="s">
        <v>427</v>
      </c>
      <c r="CB65" s="355" t="s">
        <v>439</v>
      </c>
      <c r="CC65" s="355" t="s">
        <v>439</v>
      </c>
      <c r="CD65" s="355">
        <v>0.66830000000000001</v>
      </c>
      <c r="CE65" s="355">
        <v>0.64349999999999996</v>
      </c>
      <c r="CF65" s="355">
        <v>0.55840000000000001</v>
      </c>
      <c r="CG65" s="355">
        <v>0.6845</v>
      </c>
      <c r="CH65" s="355">
        <v>0.62929999999999997</v>
      </c>
      <c r="CI65" s="355">
        <v>0.63800000000000001</v>
      </c>
      <c r="CJ65" s="704" t="s">
        <v>295</v>
      </c>
      <c r="CK65" s="620">
        <v>17</v>
      </c>
      <c r="CL65" s="620">
        <v>17</v>
      </c>
      <c r="CM65" s="620">
        <v>0.70830000000000004</v>
      </c>
      <c r="CN65" s="620">
        <v>0.66339999999999999</v>
      </c>
      <c r="CO65" s="620">
        <v>0.61819999999999997</v>
      </c>
      <c r="CP65" s="620">
        <v>0.72240000000000004</v>
      </c>
      <c r="CQ65" s="620">
        <v>0.71130000000000004</v>
      </c>
      <c r="CR65" s="711">
        <v>0.68059999999999998</v>
      </c>
      <c r="CS65" s="564" t="s">
        <v>295</v>
      </c>
      <c r="CT65" s="564">
        <v>18</v>
      </c>
      <c r="CU65" s="564">
        <v>17</v>
      </c>
      <c r="CV65" s="585">
        <v>0.72489999999999999</v>
      </c>
      <c r="CW65" s="585">
        <v>0.68189999999999995</v>
      </c>
      <c r="CX65" s="585">
        <v>0.67569999999999997</v>
      </c>
      <c r="CY65" s="585">
        <v>0.75990000000000002</v>
      </c>
      <c r="CZ65" s="585">
        <v>0.7379</v>
      </c>
      <c r="DA65" s="585">
        <v>0.7127</v>
      </c>
      <c r="DB65" s="884" t="s">
        <v>295</v>
      </c>
      <c r="DC65" s="884">
        <v>20</v>
      </c>
      <c r="DD65" s="884">
        <v>19</v>
      </c>
      <c r="DE65" s="884">
        <v>0.7228</v>
      </c>
      <c r="DF65" s="133">
        <v>0.69830000000000003</v>
      </c>
      <c r="DG65" s="133">
        <v>0.67889999999999995</v>
      </c>
      <c r="DH65" s="133">
        <v>0.76529999999999998</v>
      </c>
      <c r="DI65" s="133">
        <v>0.74570000000000003</v>
      </c>
      <c r="DJ65" s="133">
        <v>0.71860000000000002</v>
      </c>
    </row>
    <row r="66" spans="1:114" x14ac:dyDescent="0.25">
      <c r="A66" s="36" t="s">
        <v>100</v>
      </c>
      <c r="B66" s="668">
        <v>325754003461</v>
      </c>
      <c r="C66" s="134" t="s">
        <v>452</v>
      </c>
      <c r="D66" s="134" t="s">
        <v>307</v>
      </c>
      <c r="E66" s="134" t="s">
        <v>671</v>
      </c>
      <c r="F66" s="134" t="s">
        <v>123</v>
      </c>
      <c r="G66" s="168" t="s">
        <v>294</v>
      </c>
      <c r="H66" s="166">
        <v>74</v>
      </c>
      <c r="I66" s="166">
        <v>74</v>
      </c>
      <c r="J66" s="166">
        <v>0.73409999999999997</v>
      </c>
      <c r="K66" s="166">
        <v>0.74270000000000003</v>
      </c>
      <c r="L66" s="166">
        <v>0.73399999999999999</v>
      </c>
      <c r="M66" s="166">
        <v>0.74870000000000003</v>
      </c>
      <c r="N66" s="166">
        <v>0.72050000000000003</v>
      </c>
      <c r="O66" s="166">
        <v>0.73839999999999995</v>
      </c>
      <c r="P66" s="177" t="s">
        <v>294</v>
      </c>
      <c r="Q66" s="174" t="s">
        <v>328</v>
      </c>
      <c r="R66" s="174" t="s">
        <v>328</v>
      </c>
      <c r="S66" s="174">
        <v>0.74170000000000003</v>
      </c>
      <c r="T66" s="174">
        <v>0.75460000000000005</v>
      </c>
      <c r="U66" s="174">
        <v>0.74329999999999996</v>
      </c>
      <c r="V66" s="174">
        <v>0.74109999999999998</v>
      </c>
      <c r="W66" s="174">
        <v>0.71579999999999999</v>
      </c>
      <c r="X66" s="174">
        <v>0.7429</v>
      </c>
      <c r="Y66" s="145" t="s">
        <v>294</v>
      </c>
      <c r="Z66" s="134" t="s">
        <v>309</v>
      </c>
      <c r="AA66" s="134" t="s">
        <v>309</v>
      </c>
      <c r="AB66" s="137">
        <v>0.76519999999999999</v>
      </c>
      <c r="AC66" s="137">
        <v>0.77390000000000003</v>
      </c>
      <c r="AD66" s="137">
        <v>0.73709999999999998</v>
      </c>
      <c r="AE66" s="137">
        <v>0.75370000000000004</v>
      </c>
      <c r="AF66" s="137">
        <v>0.73799999999999999</v>
      </c>
      <c r="AG66" s="137">
        <v>0.75600000000000001</v>
      </c>
      <c r="AH66" s="158" t="s">
        <v>294</v>
      </c>
      <c r="AI66" s="134" t="s">
        <v>335</v>
      </c>
      <c r="AJ66" s="134" t="s">
        <v>335</v>
      </c>
      <c r="AK66" s="137">
        <v>0.76729999999999998</v>
      </c>
      <c r="AL66" s="137">
        <v>0.78169999999999995</v>
      </c>
      <c r="AM66" s="137">
        <v>0.74170000000000003</v>
      </c>
      <c r="AN66" s="137">
        <v>0.7671</v>
      </c>
      <c r="AO66" s="137">
        <v>0.73960000000000004</v>
      </c>
      <c r="AP66" s="137">
        <v>0.76249999999999996</v>
      </c>
      <c r="AQ66" s="150" t="s">
        <v>294</v>
      </c>
      <c r="AR66" s="134" t="s">
        <v>323</v>
      </c>
      <c r="AS66" s="134" t="s">
        <v>323</v>
      </c>
      <c r="AT66" s="137">
        <v>0.77610000000000001</v>
      </c>
      <c r="AU66" s="137">
        <v>0.77910000000000001</v>
      </c>
      <c r="AV66" s="137">
        <v>0.73350000000000004</v>
      </c>
      <c r="AW66" s="137">
        <v>0.77410000000000001</v>
      </c>
      <c r="AX66" s="137">
        <v>0.74929999999999997</v>
      </c>
      <c r="AY66" s="137">
        <v>0.76439999999999997</v>
      </c>
      <c r="AZ66" s="145" t="s">
        <v>294</v>
      </c>
      <c r="BA66" s="134" t="s">
        <v>340</v>
      </c>
      <c r="BB66" s="134" t="s">
        <v>341</v>
      </c>
      <c r="BC66" s="137">
        <v>0.75219999999999998</v>
      </c>
      <c r="BD66" s="137">
        <v>0.74339999999999995</v>
      </c>
      <c r="BE66" s="137">
        <v>0.71060000000000001</v>
      </c>
      <c r="BF66" s="137">
        <v>0.76190000000000002</v>
      </c>
      <c r="BG66" s="137">
        <v>0.73709999999999998</v>
      </c>
      <c r="BH66" s="137">
        <v>0.74170000000000003</v>
      </c>
      <c r="BI66" s="149" t="s">
        <v>294</v>
      </c>
      <c r="BJ66" s="152">
        <v>147</v>
      </c>
      <c r="BK66" s="152">
        <v>146</v>
      </c>
      <c r="BL66" s="137">
        <v>0.74039999999999995</v>
      </c>
      <c r="BM66" s="137">
        <v>0.72850000000000004</v>
      </c>
      <c r="BN66" s="137">
        <v>0.70709999999999995</v>
      </c>
      <c r="BO66" s="137">
        <v>0.75209999999999999</v>
      </c>
      <c r="BP66" s="137">
        <v>0.71930000000000005</v>
      </c>
      <c r="BQ66" s="137">
        <v>0.73109999999999997</v>
      </c>
      <c r="BR66" s="281" t="s">
        <v>294</v>
      </c>
      <c r="BS66" s="270">
        <v>189</v>
      </c>
      <c r="BT66" s="270">
        <v>188</v>
      </c>
      <c r="BU66" s="270">
        <v>0.74260000000000004</v>
      </c>
      <c r="BV66" s="270">
        <v>0.7198</v>
      </c>
      <c r="BW66" s="270">
        <v>0.71950000000000003</v>
      </c>
      <c r="BX66" s="270">
        <v>0.76529999999999998</v>
      </c>
      <c r="BY66" s="270">
        <v>0.73340000000000005</v>
      </c>
      <c r="BZ66" s="270">
        <v>0.73650000000000004</v>
      </c>
      <c r="CA66" s="364" t="s">
        <v>294</v>
      </c>
      <c r="CB66" s="355" t="s">
        <v>487</v>
      </c>
      <c r="CC66" s="355" t="s">
        <v>815</v>
      </c>
      <c r="CD66" s="355">
        <v>0.74060000000000004</v>
      </c>
      <c r="CE66" s="355">
        <v>0.72240000000000004</v>
      </c>
      <c r="CF66" s="355">
        <v>0.73370000000000002</v>
      </c>
      <c r="CG66" s="355">
        <v>0.77569999999999995</v>
      </c>
      <c r="CH66" s="355">
        <v>0.74419999999999997</v>
      </c>
      <c r="CI66" s="355">
        <v>0.74319999999999997</v>
      </c>
      <c r="CJ66" s="717" t="s">
        <v>294</v>
      </c>
      <c r="CK66" s="620">
        <v>233</v>
      </c>
      <c r="CL66" s="620">
        <v>232</v>
      </c>
      <c r="CM66" s="620">
        <v>0.74319999999999997</v>
      </c>
      <c r="CN66" s="620">
        <v>0.72540000000000004</v>
      </c>
      <c r="CO66" s="620">
        <v>0.73740000000000006</v>
      </c>
      <c r="CP66" s="620">
        <v>0.78210000000000002</v>
      </c>
      <c r="CQ66" s="620">
        <v>0.76619999999999999</v>
      </c>
      <c r="CR66" s="711">
        <v>0.74850000000000005</v>
      </c>
      <c r="CS66" s="564" t="s">
        <v>294</v>
      </c>
      <c r="CT66" s="564">
        <v>253</v>
      </c>
      <c r="CU66" s="564">
        <v>252</v>
      </c>
      <c r="CV66" s="585">
        <v>0.74029999999999996</v>
      </c>
      <c r="CW66" s="585">
        <v>0.72430000000000005</v>
      </c>
      <c r="CX66" s="585">
        <v>0.7228</v>
      </c>
      <c r="CY66" s="585">
        <v>0.77690000000000003</v>
      </c>
      <c r="CZ66" s="585">
        <v>0.76160000000000005</v>
      </c>
      <c r="DA66" s="585">
        <v>0.74270000000000003</v>
      </c>
      <c r="DB66" s="884" t="s">
        <v>294</v>
      </c>
      <c r="DC66" s="884">
        <v>267</v>
      </c>
      <c r="DD66" s="884">
        <v>266</v>
      </c>
      <c r="DE66" s="884">
        <v>0.75280000000000002</v>
      </c>
      <c r="DF66" s="133">
        <v>0.72909999999999997</v>
      </c>
      <c r="DG66" s="133">
        <v>0.72109999999999996</v>
      </c>
      <c r="DH66" s="133">
        <v>0.7792</v>
      </c>
      <c r="DI66" s="133">
        <v>0.76770000000000005</v>
      </c>
      <c r="DJ66" s="133">
        <v>0.74719999999999998</v>
      </c>
    </row>
    <row r="67" spans="1:114" x14ac:dyDescent="0.25">
      <c r="A67" s="36" t="s">
        <v>95</v>
      </c>
      <c r="B67" s="668">
        <v>325754005161</v>
      </c>
      <c r="C67" s="134" t="s">
        <v>452</v>
      </c>
      <c r="D67" s="134" t="s">
        <v>307</v>
      </c>
      <c r="E67" s="134" t="s">
        <v>671</v>
      </c>
      <c r="F67" s="134" t="s">
        <v>123</v>
      </c>
      <c r="G67" s="165" t="s">
        <v>295</v>
      </c>
      <c r="H67" s="166">
        <v>165</v>
      </c>
      <c r="I67" s="166">
        <v>163</v>
      </c>
      <c r="J67" s="166">
        <v>0.70599999999999996</v>
      </c>
      <c r="K67" s="166">
        <v>0.71440000000000003</v>
      </c>
      <c r="L67" s="166">
        <v>0.72799999999999998</v>
      </c>
      <c r="M67" s="166">
        <v>0.72260000000000002</v>
      </c>
      <c r="N67" s="166">
        <v>0.72470000000000001</v>
      </c>
      <c r="O67" s="166">
        <v>0.71830000000000005</v>
      </c>
      <c r="P67" s="174" t="s">
        <v>578</v>
      </c>
      <c r="Q67" s="174" t="s">
        <v>590</v>
      </c>
      <c r="R67" s="174">
        <v>0.70860000000000001</v>
      </c>
      <c r="S67" s="174">
        <v>0.71189999999999998</v>
      </c>
      <c r="T67" s="174">
        <v>0.7218</v>
      </c>
      <c r="U67" s="174">
        <v>0.71230000000000004</v>
      </c>
      <c r="V67" s="174">
        <v>0.73429999999999995</v>
      </c>
      <c r="W67" s="174">
        <v>0.71519999999999995</v>
      </c>
      <c r="X67" s="563"/>
      <c r="Y67" s="145" t="s">
        <v>294</v>
      </c>
      <c r="Z67" s="134" t="s">
        <v>535</v>
      </c>
      <c r="AA67" s="134" t="s">
        <v>536</v>
      </c>
      <c r="AB67" s="137">
        <v>0.72089999999999999</v>
      </c>
      <c r="AC67" s="137">
        <v>0.72850000000000004</v>
      </c>
      <c r="AD67" s="137">
        <v>0.72850000000000004</v>
      </c>
      <c r="AE67" s="137">
        <v>0.72470000000000001</v>
      </c>
      <c r="AF67" s="137">
        <v>0.76370000000000005</v>
      </c>
      <c r="AG67" s="137">
        <v>0.72860000000000003</v>
      </c>
      <c r="AH67" s="158" t="s">
        <v>294</v>
      </c>
      <c r="AI67" s="134" t="s">
        <v>340</v>
      </c>
      <c r="AJ67" s="134" t="s">
        <v>341</v>
      </c>
      <c r="AK67" s="137">
        <v>0.72960000000000003</v>
      </c>
      <c r="AL67" s="137">
        <v>0.73780000000000001</v>
      </c>
      <c r="AM67" s="137">
        <v>0.7288</v>
      </c>
      <c r="AN67" s="137">
        <v>0.73519999999999996</v>
      </c>
      <c r="AO67" s="137">
        <v>0.77539999999999998</v>
      </c>
      <c r="AP67" s="137">
        <v>0.73609999999999998</v>
      </c>
      <c r="AQ67" s="150" t="s">
        <v>294</v>
      </c>
      <c r="AR67" s="134" t="s">
        <v>346</v>
      </c>
      <c r="AS67" s="134" t="s">
        <v>347</v>
      </c>
      <c r="AT67" s="137">
        <v>0.72870000000000001</v>
      </c>
      <c r="AU67" s="137">
        <v>0.72970000000000002</v>
      </c>
      <c r="AV67" s="137">
        <v>0.71850000000000003</v>
      </c>
      <c r="AW67" s="137">
        <v>0.74609999999999999</v>
      </c>
      <c r="AX67" s="137">
        <v>0.78339999999999999</v>
      </c>
      <c r="AY67" s="137">
        <v>0.73480000000000001</v>
      </c>
      <c r="AZ67" s="138" t="s">
        <v>295</v>
      </c>
      <c r="BA67" s="134" t="s">
        <v>410</v>
      </c>
      <c r="BB67" s="134" t="s">
        <v>544</v>
      </c>
      <c r="BC67" s="137">
        <v>0.72089999999999999</v>
      </c>
      <c r="BD67" s="137">
        <v>0.71150000000000002</v>
      </c>
      <c r="BE67" s="137">
        <v>0.69099999999999995</v>
      </c>
      <c r="BF67" s="137">
        <v>0.74160000000000004</v>
      </c>
      <c r="BG67" s="137">
        <v>0.75460000000000005</v>
      </c>
      <c r="BH67" s="137">
        <v>0.71919999999999995</v>
      </c>
      <c r="BI67" s="135" t="s">
        <v>295</v>
      </c>
      <c r="BJ67" s="152">
        <v>132</v>
      </c>
      <c r="BK67" s="152">
        <v>126</v>
      </c>
      <c r="BL67" s="137">
        <v>0.72509999999999997</v>
      </c>
      <c r="BM67" s="137">
        <v>0.69579999999999997</v>
      </c>
      <c r="BN67" s="137">
        <v>0.68200000000000005</v>
      </c>
      <c r="BO67" s="137">
        <v>0.73780000000000001</v>
      </c>
      <c r="BP67" s="137">
        <v>0.73580000000000001</v>
      </c>
      <c r="BQ67" s="137">
        <v>0.71220000000000006</v>
      </c>
      <c r="BR67" s="281" t="s">
        <v>294</v>
      </c>
      <c r="BS67" s="270">
        <v>149</v>
      </c>
      <c r="BT67" s="270">
        <v>149</v>
      </c>
      <c r="BU67" s="270">
        <v>0.73880000000000001</v>
      </c>
      <c r="BV67" s="270">
        <v>0.7036</v>
      </c>
      <c r="BW67" s="270">
        <v>0.69789999999999996</v>
      </c>
      <c r="BX67" s="270">
        <v>0.75519999999999998</v>
      </c>
      <c r="BY67" s="270">
        <v>0.73960000000000004</v>
      </c>
      <c r="BZ67" s="270">
        <v>0.72509999999999997</v>
      </c>
      <c r="CA67" s="364" t="s">
        <v>294</v>
      </c>
      <c r="CB67" s="355" t="s">
        <v>590</v>
      </c>
      <c r="CC67" s="355" t="s">
        <v>590</v>
      </c>
      <c r="CD67" s="355">
        <v>0.74529999999999996</v>
      </c>
      <c r="CE67" s="355">
        <v>0.7087</v>
      </c>
      <c r="CF67" s="355">
        <v>0.71220000000000006</v>
      </c>
      <c r="CG67" s="355">
        <v>0.76680000000000004</v>
      </c>
      <c r="CH67" s="355">
        <v>0.75670000000000004</v>
      </c>
      <c r="CI67" s="355">
        <v>0.73499999999999999</v>
      </c>
      <c r="CJ67" s="717" t="s">
        <v>294</v>
      </c>
      <c r="CK67" s="620">
        <v>125</v>
      </c>
      <c r="CL67" s="620">
        <v>124</v>
      </c>
      <c r="CM67" s="620">
        <v>0.74409999999999998</v>
      </c>
      <c r="CN67" s="620">
        <v>0.7147</v>
      </c>
      <c r="CO67" s="620">
        <v>0.71789999999999998</v>
      </c>
      <c r="CP67" s="620">
        <v>0.77610000000000001</v>
      </c>
      <c r="CQ67" s="620">
        <v>0.77680000000000005</v>
      </c>
      <c r="CR67" s="711">
        <v>0.74119999999999997</v>
      </c>
      <c r="CS67" s="564" t="s">
        <v>294</v>
      </c>
      <c r="CT67" s="564">
        <v>109</v>
      </c>
      <c r="CU67" s="564">
        <v>107</v>
      </c>
      <c r="CV67" s="585">
        <v>0.73229999999999995</v>
      </c>
      <c r="CW67" s="585">
        <v>0.70860000000000001</v>
      </c>
      <c r="CX67" s="585">
        <v>0.71050000000000002</v>
      </c>
      <c r="CY67" s="585">
        <v>0.77249999999999996</v>
      </c>
      <c r="CZ67" s="585">
        <v>0.77729999999999999</v>
      </c>
      <c r="DA67" s="585">
        <v>0.73460000000000003</v>
      </c>
      <c r="DB67" s="884" t="s">
        <v>295</v>
      </c>
      <c r="DC67" s="884">
        <v>100</v>
      </c>
      <c r="DD67" s="884">
        <v>97</v>
      </c>
      <c r="DE67" s="884">
        <v>0.71489999999999998</v>
      </c>
      <c r="DF67" s="133">
        <v>0.69589999999999996</v>
      </c>
      <c r="DG67" s="133">
        <v>0.69240000000000002</v>
      </c>
      <c r="DH67" s="133">
        <v>0.75549999999999995</v>
      </c>
      <c r="DI67" s="133">
        <v>0.75519999999999998</v>
      </c>
      <c r="DJ67" s="133">
        <v>0.71779999999999999</v>
      </c>
    </row>
    <row r="68" spans="1:114" x14ac:dyDescent="0.25">
      <c r="A68" s="36" t="s">
        <v>47</v>
      </c>
      <c r="B68" s="668">
        <v>325754002839</v>
      </c>
      <c r="C68" s="134" t="s">
        <v>452</v>
      </c>
      <c r="D68" s="134" t="s">
        <v>307</v>
      </c>
      <c r="E68" s="134" t="s">
        <v>671</v>
      </c>
      <c r="F68" s="134" t="s">
        <v>123</v>
      </c>
      <c r="G68" s="165" t="s">
        <v>295</v>
      </c>
      <c r="H68" s="166">
        <v>55</v>
      </c>
      <c r="I68" s="166">
        <v>55</v>
      </c>
      <c r="J68" s="166">
        <v>0.67</v>
      </c>
      <c r="K68" s="166">
        <v>0.65410000000000001</v>
      </c>
      <c r="L68" s="166">
        <v>0.68640000000000001</v>
      </c>
      <c r="M68" s="166">
        <v>0.69599999999999995</v>
      </c>
      <c r="N68" s="166">
        <v>0.67500000000000004</v>
      </c>
      <c r="O68" s="166">
        <v>0.67649999999999999</v>
      </c>
      <c r="P68" s="173" t="s">
        <v>295</v>
      </c>
      <c r="Q68" s="174" t="s">
        <v>430</v>
      </c>
      <c r="R68" s="174" t="s">
        <v>430</v>
      </c>
      <c r="S68" s="174">
        <v>0.67090000000000005</v>
      </c>
      <c r="T68" s="174">
        <v>0.66959999999999997</v>
      </c>
      <c r="U68" s="174">
        <v>0.66820000000000002</v>
      </c>
      <c r="V68" s="174">
        <v>0.66979999999999995</v>
      </c>
      <c r="W68" s="174">
        <v>0.67620000000000002</v>
      </c>
      <c r="X68" s="174">
        <v>0.67010000000000003</v>
      </c>
      <c r="Y68" s="138" t="s">
        <v>295</v>
      </c>
      <c r="Z68" s="134" t="s">
        <v>430</v>
      </c>
      <c r="AA68" s="134" t="s">
        <v>431</v>
      </c>
      <c r="AB68" s="137">
        <v>0.67059999999999997</v>
      </c>
      <c r="AC68" s="137">
        <v>0.68640000000000001</v>
      </c>
      <c r="AD68" s="137">
        <v>0.66469999999999996</v>
      </c>
      <c r="AE68" s="137">
        <v>0.68459999999999999</v>
      </c>
      <c r="AF68" s="137">
        <v>0.67459999999999998</v>
      </c>
      <c r="AG68" s="137">
        <v>0.6764</v>
      </c>
      <c r="AH68" s="155" t="s">
        <v>427</v>
      </c>
      <c r="AI68" s="134" t="s">
        <v>430</v>
      </c>
      <c r="AJ68" s="134" t="s">
        <v>431</v>
      </c>
      <c r="AK68" s="137">
        <v>0.64339999999999997</v>
      </c>
      <c r="AL68" s="137">
        <v>0.67879999999999996</v>
      </c>
      <c r="AM68" s="137">
        <v>0.6452</v>
      </c>
      <c r="AN68" s="137">
        <v>0.68120000000000003</v>
      </c>
      <c r="AO68" s="137">
        <v>0.64270000000000005</v>
      </c>
      <c r="AP68" s="137">
        <v>0.66069999999999995</v>
      </c>
      <c r="AQ68" s="142" t="s">
        <v>427</v>
      </c>
      <c r="AR68" s="134" t="s">
        <v>430</v>
      </c>
      <c r="AS68" s="134" t="s">
        <v>431</v>
      </c>
      <c r="AT68" s="137">
        <v>0.64180000000000004</v>
      </c>
      <c r="AU68" s="137">
        <v>0.6764</v>
      </c>
      <c r="AV68" s="137">
        <v>0.65200000000000002</v>
      </c>
      <c r="AW68" s="137">
        <v>0.70450000000000002</v>
      </c>
      <c r="AX68" s="137">
        <v>0.64059999999999995</v>
      </c>
      <c r="AY68" s="137">
        <v>0.66649999999999998</v>
      </c>
      <c r="AZ68" s="141" t="s">
        <v>427</v>
      </c>
      <c r="BA68" s="134" t="s">
        <v>370</v>
      </c>
      <c r="BB68" s="134" t="s">
        <v>370</v>
      </c>
      <c r="BC68" s="137">
        <v>0.63529999999999998</v>
      </c>
      <c r="BD68" s="137">
        <v>0.66249999999999998</v>
      </c>
      <c r="BE68" s="137">
        <v>0.6341</v>
      </c>
      <c r="BF68" s="137">
        <v>0.69579999999999997</v>
      </c>
      <c r="BG68" s="137">
        <v>0.63149999999999995</v>
      </c>
      <c r="BH68" s="137">
        <v>0.65490000000000004</v>
      </c>
      <c r="BI68" s="135" t="s">
        <v>295</v>
      </c>
      <c r="BJ68" s="152">
        <v>42</v>
      </c>
      <c r="BK68" s="152">
        <v>40</v>
      </c>
      <c r="BL68" s="137">
        <v>0.68069999999999997</v>
      </c>
      <c r="BM68" s="137">
        <v>0.6694</v>
      </c>
      <c r="BN68" s="137">
        <v>0.65600000000000003</v>
      </c>
      <c r="BO68" s="137">
        <v>0.71740000000000004</v>
      </c>
      <c r="BP68" s="137">
        <v>0.64370000000000005</v>
      </c>
      <c r="BQ68" s="137">
        <v>0.67800000000000005</v>
      </c>
      <c r="BR68" s="277" t="s">
        <v>295</v>
      </c>
      <c r="BS68" s="270">
        <v>33</v>
      </c>
      <c r="BT68" s="270">
        <v>32</v>
      </c>
      <c r="BU68" s="270">
        <v>0.6925</v>
      </c>
      <c r="BV68" s="270">
        <v>0.66279999999999994</v>
      </c>
      <c r="BW68" s="270">
        <v>0.64880000000000004</v>
      </c>
      <c r="BX68" s="270">
        <v>0.71819999999999995</v>
      </c>
      <c r="BY68" s="270">
        <v>0.64770000000000005</v>
      </c>
      <c r="BZ68" s="270">
        <v>0.67810000000000004</v>
      </c>
      <c r="CA68" s="356" t="s">
        <v>295</v>
      </c>
      <c r="CB68" s="355" t="s">
        <v>450</v>
      </c>
      <c r="CC68" s="355" t="s">
        <v>486</v>
      </c>
      <c r="CD68" s="355">
        <v>0.70069999999999999</v>
      </c>
      <c r="CE68" s="355">
        <v>0.6573</v>
      </c>
      <c r="CF68" s="355">
        <v>0.66910000000000003</v>
      </c>
      <c r="CG68" s="355">
        <v>0.74099999999999999</v>
      </c>
      <c r="CH68" s="355">
        <v>0.65139999999999998</v>
      </c>
      <c r="CI68" s="355">
        <v>0.68889999999999996</v>
      </c>
      <c r="CJ68" s="714"/>
      <c r="CK68" s="618"/>
      <c r="CL68" s="618"/>
      <c r="CM68" s="618"/>
      <c r="CN68" s="618"/>
      <c r="CO68" s="618"/>
      <c r="CP68" s="618"/>
      <c r="CQ68" s="618"/>
      <c r="CR68" s="622"/>
      <c r="CS68" s="564" t="s">
        <v>295</v>
      </c>
      <c r="CT68" s="564">
        <v>24</v>
      </c>
      <c r="CU68" s="564">
        <v>23</v>
      </c>
      <c r="CV68" s="585">
        <v>0.68430000000000002</v>
      </c>
      <c r="CW68" s="585">
        <v>0.67630000000000001</v>
      </c>
      <c r="CX68" s="585">
        <v>0.67610000000000003</v>
      </c>
      <c r="CY68" s="585">
        <v>0.76129999999999998</v>
      </c>
      <c r="CZ68" s="585">
        <v>0.70879999999999999</v>
      </c>
      <c r="DA68" s="585">
        <v>0.70020000000000004</v>
      </c>
      <c r="DB68" s="884" t="s">
        <v>295</v>
      </c>
      <c r="DC68" s="884">
        <v>21</v>
      </c>
      <c r="DD68" s="884">
        <v>20</v>
      </c>
      <c r="DE68" s="884">
        <v>0.72140000000000004</v>
      </c>
      <c r="DF68" s="133">
        <v>0.69230000000000003</v>
      </c>
      <c r="DG68" s="133">
        <v>0.68079999999999996</v>
      </c>
      <c r="DH68" s="133">
        <v>0.74450000000000005</v>
      </c>
      <c r="DI68" s="133">
        <v>0.72829999999999995</v>
      </c>
      <c r="DJ68" s="133">
        <v>0.71120000000000005</v>
      </c>
    </row>
    <row r="69" spans="1:114" x14ac:dyDescent="0.25">
      <c r="A69" s="36" t="s">
        <v>27</v>
      </c>
      <c r="B69" s="668">
        <v>225754000661</v>
      </c>
      <c r="C69" s="134" t="s">
        <v>452</v>
      </c>
      <c r="D69" s="134" t="s">
        <v>307</v>
      </c>
      <c r="E69" s="134" t="s">
        <v>672</v>
      </c>
      <c r="F69" s="134" t="s">
        <v>121</v>
      </c>
      <c r="G69" s="167" t="s">
        <v>427</v>
      </c>
      <c r="H69" s="166">
        <v>140</v>
      </c>
      <c r="I69" s="166">
        <v>136</v>
      </c>
      <c r="J69" s="166">
        <v>0.65890000000000004</v>
      </c>
      <c r="K69" s="166">
        <v>0.65759999999999996</v>
      </c>
      <c r="L69" s="166">
        <v>0.64829999999999999</v>
      </c>
      <c r="M69" s="166">
        <v>0.64570000000000005</v>
      </c>
      <c r="N69" s="166">
        <v>0.6472</v>
      </c>
      <c r="O69" s="166">
        <v>0.6522</v>
      </c>
      <c r="P69" s="629" t="s">
        <v>427</v>
      </c>
      <c r="Q69" s="166" t="s">
        <v>329</v>
      </c>
      <c r="R69" s="166" t="s">
        <v>552</v>
      </c>
      <c r="S69" s="166">
        <v>0.66320000000000001</v>
      </c>
      <c r="T69" s="166">
        <v>0.66949999999999998</v>
      </c>
      <c r="U69" s="166">
        <v>0.65880000000000005</v>
      </c>
      <c r="V69" s="166">
        <v>0.64790000000000003</v>
      </c>
      <c r="W69" s="166">
        <v>0.63780000000000003</v>
      </c>
      <c r="X69" s="166">
        <v>0.65820000000000001</v>
      </c>
      <c r="Y69" s="138" t="s">
        <v>295</v>
      </c>
      <c r="Z69" s="134" t="s">
        <v>375</v>
      </c>
      <c r="AA69" s="134" t="s">
        <v>351</v>
      </c>
      <c r="AB69" s="137">
        <v>0.68020000000000003</v>
      </c>
      <c r="AC69" s="137">
        <v>0.68720000000000003</v>
      </c>
      <c r="AD69" s="137">
        <v>0.66159999999999997</v>
      </c>
      <c r="AE69" s="137">
        <v>0.67210000000000003</v>
      </c>
      <c r="AF69" s="137">
        <v>0.64659999999999995</v>
      </c>
      <c r="AG69" s="137">
        <v>0.67300000000000004</v>
      </c>
      <c r="AH69" s="159" t="s">
        <v>295</v>
      </c>
      <c r="AI69" s="134" t="s">
        <v>516</v>
      </c>
      <c r="AJ69" s="134" t="s">
        <v>351</v>
      </c>
      <c r="AK69" s="137">
        <v>0.68769999999999998</v>
      </c>
      <c r="AL69" s="137">
        <v>0.69930000000000003</v>
      </c>
      <c r="AM69" s="137">
        <v>0.66710000000000003</v>
      </c>
      <c r="AN69" s="137">
        <v>0.68120000000000003</v>
      </c>
      <c r="AO69" s="137">
        <v>0.62560000000000004</v>
      </c>
      <c r="AP69" s="137">
        <v>0.6794</v>
      </c>
      <c r="AQ69" s="139" t="s">
        <v>295</v>
      </c>
      <c r="AR69" s="134" t="s">
        <v>421</v>
      </c>
      <c r="AS69" s="134" t="s">
        <v>423</v>
      </c>
      <c r="AT69" s="137">
        <v>0.69430000000000003</v>
      </c>
      <c r="AU69" s="137">
        <v>0.69920000000000004</v>
      </c>
      <c r="AV69" s="137">
        <v>0.66049999999999998</v>
      </c>
      <c r="AW69" s="137">
        <v>0.69620000000000004</v>
      </c>
      <c r="AX69" s="137">
        <v>0.62429999999999997</v>
      </c>
      <c r="AY69" s="137">
        <v>0.68269999999999997</v>
      </c>
      <c r="AZ69" s="135" t="s">
        <v>295</v>
      </c>
      <c r="BA69" s="136" t="s">
        <v>593</v>
      </c>
      <c r="BB69" s="136" t="s">
        <v>375</v>
      </c>
      <c r="BC69" s="137">
        <v>0.70569999999999999</v>
      </c>
      <c r="BD69" s="137">
        <v>0.67620000000000002</v>
      </c>
      <c r="BE69" s="137">
        <v>0.64219999999999999</v>
      </c>
      <c r="BF69" s="137">
        <v>0.68769999999999998</v>
      </c>
      <c r="BG69" s="137">
        <v>0.61350000000000005</v>
      </c>
      <c r="BH69" s="137">
        <v>0.67300000000000004</v>
      </c>
      <c r="BI69" s="135" t="s">
        <v>295</v>
      </c>
      <c r="BJ69" s="152">
        <v>126</v>
      </c>
      <c r="BK69" s="152">
        <v>123</v>
      </c>
      <c r="BL69" s="137">
        <v>0.71640000000000004</v>
      </c>
      <c r="BM69" s="137">
        <v>0.65959999999999996</v>
      </c>
      <c r="BN69" s="137">
        <v>0.63519999999999999</v>
      </c>
      <c r="BO69" s="137">
        <v>0.69399999999999995</v>
      </c>
      <c r="BP69" s="137">
        <v>0.60429999999999995</v>
      </c>
      <c r="BQ69" s="137">
        <v>0.67079999999999995</v>
      </c>
      <c r="BR69" s="279" t="s">
        <v>427</v>
      </c>
      <c r="BS69" s="270">
        <v>137</v>
      </c>
      <c r="BT69" s="270">
        <v>133</v>
      </c>
      <c r="BU69" s="270">
        <v>0.71479999999999999</v>
      </c>
      <c r="BV69" s="270">
        <v>0.65139999999999998</v>
      </c>
      <c r="BW69" s="270">
        <v>0.63260000000000005</v>
      </c>
      <c r="BX69" s="270">
        <v>0.69499999999999995</v>
      </c>
      <c r="BY69" s="270">
        <v>0.59809999999999997</v>
      </c>
      <c r="BZ69" s="270">
        <v>0.66769999999999996</v>
      </c>
      <c r="CA69" s="357" t="s">
        <v>427</v>
      </c>
      <c r="CB69" s="355" t="s">
        <v>516</v>
      </c>
      <c r="CC69" s="355" t="s">
        <v>373</v>
      </c>
      <c r="CD69" s="355">
        <v>0.7</v>
      </c>
      <c r="CE69" s="355">
        <v>0.65490000000000004</v>
      </c>
      <c r="CF69" s="355">
        <v>0.6361</v>
      </c>
      <c r="CG69" s="355">
        <v>0.70020000000000004</v>
      </c>
      <c r="CH69" s="355">
        <v>0.60880000000000001</v>
      </c>
      <c r="CI69" s="355">
        <v>0.66790000000000005</v>
      </c>
      <c r="CJ69" s="718" t="s">
        <v>427</v>
      </c>
      <c r="CK69" s="620">
        <v>137</v>
      </c>
      <c r="CL69" s="620">
        <v>134</v>
      </c>
      <c r="CM69" s="620">
        <v>0.68910000000000005</v>
      </c>
      <c r="CN69" s="620">
        <v>0.64700000000000002</v>
      </c>
      <c r="CO69" s="620">
        <v>0.62529999999999997</v>
      </c>
      <c r="CP69" s="620">
        <v>0.69350000000000001</v>
      </c>
      <c r="CQ69" s="620">
        <v>0.63270000000000004</v>
      </c>
      <c r="CR69" s="711">
        <v>0.6613</v>
      </c>
      <c r="CS69" s="564" t="s">
        <v>427</v>
      </c>
      <c r="CT69" s="564">
        <v>140</v>
      </c>
      <c r="CU69" s="564">
        <v>137</v>
      </c>
      <c r="CV69" s="585">
        <v>0.68700000000000006</v>
      </c>
      <c r="CW69" s="585">
        <v>0.64070000000000005</v>
      </c>
      <c r="CX69" s="585">
        <v>0.61739999999999995</v>
      </c>
      <c r="CY69" s="585">
        <v>0.69979999999999998</v>
      </c>
      <c r="CZ69" s="585">
        <v>0.64680000000000004</v>
      </c>
      <c r="DA69" s="585">
        <v>0.66010000000000002</v>
      </c>
      <c r="DB69" s="884" t="s">
        <v>427</v>
      </c>
      <c r="DC69" s="884">
        <v>154</v>
      </c>
      <c r="DD69" s="884">
        <v>149</v>
      </c>
      <c r="DE69" s="884">
        <v>0.69350000000000001</v>
      </c>
      <c r="DF69" s="133">
        <v>0.64870000000000005</v>
      </c>
      <c r="DG69" s="133">
        <v>0.62070000000000003</v>
      </c>
      <c r="DH69" s="133">
        <v>0.70520000000000005</v>
      </c>
      <c r="DI69" s="133">
        <v>0.64870000000000005</v>
      </c>
      <c r="DJ69" s="133">
        <v>0.66559999999999997</v>
      </c>
    </row>
    <row r="70" spans="1:114" ht="15" x14ac:dyDescent="0.25">
      <c r="A70" s="719" t="s">
        <v>127</v>
      </c>
      <c r="B70" s="668">
        <v>325754005587</v>
      </c>
      <c r="C70" s="134" t="s">
        <v>452</v>
      </c>
      <c r="D70" s="134" t="s">
        <v>307</v>
      </c>
      <c r="E70" s="134" t="s">
        <v>671</v>
      </c>
      <c r="F70" s="134" t="s">
        <v>123</v>
      </c>
      <c r="G70" s="134"/>
      <c r="H70" s="134"/>
      <c r="I70" s="134"/>
      <c r="J70" s="134"/>
      <c r="K70" s="134"/>
      <c r="L70" s="134"/>
      <c r="M70" s="134"/>
      <c r="N70" s="134"/>
      <c r="O70" s="134"/>
      <c r="P70" s="563"/>
      <c r="Q70" s="563"/>
      <c r="R70" s="563"/>
      <c r="S70" s="563"/>
      <c r="T70" s="563"/>
      <c r="U70" s="563"/>
      <c r="V70" s="563"/>
      <c r="W70" s="563"/>
      <c r="X70" s="563"/>
      <c r="Y70" s="134"/>
      <c r="Z70" s="134"/>
      <c r="AA70" s="134"/>
      <c r="AB70" s="134"/>
      <c r="AC70" s="134"/>
      <c r="AD70" s="134"/>
      <c r="AE70" s="134"/>
      <c r="AF70" s="134"/>
      <c r="AG70" s="134"/>
      <c r="AH70" s="134"/>
      <c r="AI70" s="134"/>
      <c r="AJ70" s="134"/>
      <c r="AK70" s="134"/>
      <c r="AL70" s="134"/>
      <c r="AM70" s="134"/>
      <c r="AN70" s="134"/>
      <c r="AO70" s="134"/>
      <c r="AP70" s="134"/>
      <c r="AQ70" s="134"/>
      <c r="AR70" s="134"/>
      <c r="AS70" s="134"/>
      <c r="AT70" s="134"/>
      <c r="AU70" s="134"/>
      <c r="AV70" s="134"/>
      <c r="AW70" s="134"/>
      <c r="AX70" s="134"/>
      <c r="AY70" s="134"/>
      <c r="AZ70" s="134"/>
      <c r="BA70" s="134"/>
      <c r="BB70" s="134"/>
      <c r="BC70" s="134"/>
      <c r="BD70" s="134"/>
      <c r="BE70" s="134"/>
      <c r="BF70" s="134"/>
      <c r="BG70" s="134"/>
      <c r="BH70" s="134"/>
      <c r="BI70" s="134"/>
      <c r="BJ70" s="134"/>
      <c r="BK70" s="134"/>
      <c r="BL70" s="134"/>
      <c r="BM70" s="134"/>
      <c r="BN70" s="134"/>
      <c r="BO70" s="134"/>
      <c r="BP70" s="134"/>
      <c r="BQ70" s="134"/>
      <c r="BR70" s="633"/>
      <c r="BS70" s="269"/>
      <c r="BT70" s="269"/>
      <c r="BU70" s="269"/>
      <c r="BV70" s="269"/>
      <c r="BW70" s="269"/>
      <c r="BX70" s="269"/>
      <c r="BY70" s="269"/>
      <c r="BZ70" s="269"/>
      <c r="CA70" s="344"/>
      <c r="CB70" s="344"/>
      <c r="CC70" s="344"/>
      <c r="CD70" s="344"/>
      <c r="CE70" s="344"/>
      <c r="CF70" s="344"/>
      <c r="CG70" s="344"/>
      <c r="CH70" s="344"/>
      <c r="CI70" s="344"/>
      <c r="CJ70" s="714"/>
      <c r="CK70" s="618"/>
      <c r="CL70" s="618"/>
      <c r="CM70" s="618"/>
      <c r="CN70" s="618"/>
      <c r="CO70" s="618"/>
      <c r="CP70" s="618"/>
      <c r="CQ70" s="618"/>
      <c r="CR70" s="618"/>
      <c r="CS70" s="563"/>
      <c r="CT70" s="563"/>
      <c r="CU70" s="563"/>
      <c r="CV70" s="563"/>
      <c r="CW70" s="563"/>
      <c r="CX70" s="563"/>
      <c r="CY70" s="563"/>
      <c r="CZ70" s="563"/>
      <c r="DA70" s="563"/>
      <c r="DB70" s="884"/>
      <c r="DC70" s="884"/>
      <c r="DD70" s="884"/>
      <c r="DE70" s="884"/>
    </row>
    <row r="71" spans="1:114" x14ac:dyDescent="0.25">
      <c r="A71" s="36" t="s">
        <v>55</v>
      </c>
      <c r="B71" s="668">
        <v>125754003569</v>
      </c>
      <c r="C71" s="134" t="s">
        <v>452</v>
      </c>
      <c r="D71" s="134" t="s">
        <v>307</v>
      </c>
      <c r="E71" s="134" t="s">
        <v>671</v>
      </c>
      <c r="F71" s="134" t="s">
        <v>121</v>
      </c>
      <c r="G71" s="167" t="s">
        <v>427</v>
      </c>
      <c r="H71" s="166">
        <v>626</v>
      </c>
      <c r="I71" s="166">
        <v>611</v>
      </c>
      <c r="J71" s="166">
        <v>0.66410000000000002</v>
      </c>
      <c r="K71" s="166">
        <v>0.66710000000000003</v>
      </c>
      <c r="L71" s="166">
        <v>0.67579999999999996</v>
      </c>
      <c r="M71" s="166">
        <v>0.67300000000000004</v>
      </c>
      <c r="N71" s="166">
        <v>0.64900000000000002</v>
      </c>
      <c r="O71" s="166">
        <v>0.66839999999999999</v>
      </c>
      <c r="P71" s="173" t="s">
        <v>295</v>
      </c>
      <c r="Q71" s="174" t="s">
        <v>698</v>
      </c>
      <c r="R71" s="174" t="s">
        <v>699</v>
      </c>
      <c r="S71" s="174">
        <v>0.6704</v>
      </c>
      <c r="T71" s="174">
        <v>0.67669999999999997</v>
      </c>
      <c r="U71" s="174">
        <v>0.67800000000000005</v>
      </c>
      <c r="V71" s="174">
        <v>0.67069999999999996</v>
      </c>
      <c r="W71" s="174">
        <v>0.6603</v>
      </c>
      <c r="X71" s="174">
        <v>0.67290000000000005</v>
      </c>
      <c r="Y71" s="138" t="s">
        <v>295</v>
      </c>
      <c r="Z71" s="134" t="s">
        <v>579</v>
      </c>
      <c r="AA71" s="134" t="s">
        <v>580</v>
      </c>
      <c r="AB71" s="137">
        <v>0.67589999999999995</v>
      </c>
      <c r="AC71" s="137">
        <v>0.68889999999999996</v>
      </c>
      <c r="AD71" s="137">
        <v>0.66920000000000002</v>
      </c>
      <c r="AE71" s="137">
        <v>0.67559999999999998</v>
      </c>
      <c r="AF71" s="137">
        <v>0.6724</v>
      </c>
      <c r="AG71" s="137">
        <v>0.67700000000000005</v>
      </c>
      <c r="AH71" s="159" t="s">
        <v>295</v>
      </c>
      <c r="AI71" s="134" t="s">
        <v>503</v>
      </c>
      <c r="AJ71" s="134" t="s">
        <v>504</v>
      </c>
      <c r="AK71" s="137">
        <v>0.68959999999999999</v>
      </c>
      <c r="AL71" s="137">
        <v>0.70199999999999996</v>
      </c>
      <c r="AM71" s="137">
        <v>0.67490000000000006</v>
      </c>
      <c r="AN71" s="137">
        <v>0.6976</v>
      </c>
      <c r="AO71" s="137">
        <v>0.67659999999999998</v>
      </c>
      <c r="AP71" s="137">
        <v>0.68989999999999996</v>
      </c>
      <c r="AQ71" s="139" t="s">
        <v>295</v>
      </c>
      <c r="AR71" s="134" t="s">
        <v>395</v>
      </c>
      <c r="AS71" s="134" t="s">
        <v>396</v>
      </c>
      <c r="AT71" s="137">
        <v>0.69969999999999999</v>
      </c>
      <c r="AU71" s="137">
        <v>0.70069999999999999</v>
      </c>
      <c r="AV71" s="137">
        <v>0.66790000000000005</v>
      </c>
      <c r="AW71" s="137">
        <v>0.71650000000000003</v>
      </c>
      <c r="AX71" s="137">
        <v>0.6744</v>
      </c>
      <c r="AY71" s="137">
        <v>0.69450000000000001</v>
      </c>
      <c r="AZ71" s="138" t="s">
        <v>295</v>
      </c>
      <c r="BA71" s="134" t="s">
        <v>647</v>
      </c>
      <c r="BB71" s="134" t="s">
        <v>648</v>
      </c>
      <c r="BC71" s="137">
        <v>0.7016</v>
      </c>
      <c r="BD71" s="137">
        <v>0.68540000000000001</v>
      </c>
      <c r="BE71" s="137">
        <v>0.66100000000000003</v>
      </c>
      <c r="BF71" s="137">
        <v>0.72909999999999997</v>
      </c>
      <c r="BG71" s="137">
        <v>0.66749999999999998</v>
      </c>
      <c r="BH71" s="137">
        <v>0.69220000000000004</v>
      </c>
      <c r="BI71" s="135" t="s">
        <v>295</v>
      </c>
      <c r="BJ71" s="152">
        <v>565</v>
      </c>
      <c r="BK71" s="152">
        <v>554</v>
      </c>
      <c r="BL71" s="137">
        <v>0.70430000000000004</v>
      </c>
      <c r="BM71" s="137">
        <v>0.67330000000000001</v>
      </c>
      <c r="BN71" s="137">
        <v>0.65439999999999998</v>
      </c>
      <c r="BO71" s="137">
        <v>0.7228</v>
      </c>
      <c r="BP71" s="137">
        <v>0.66100000000000003</v>
      </c>
      <c r="BQ71" s="137">
        <v>0.68659999999999999</v>
      </c>
      <c r="BR71" s="277" t="s">
        <v>295</v>
      </c>
      <c r="BS71" s="270">
        <v>573</v>
      </c>
      <c r="BT71" s="270">
        <v>570</v>
      </c>
      <c r="BU71" s="270">
        <v>0.7056</v>
      </c>
      <c r="BV71" s="270">
        <v>0.67030000000000001</v>
      </c>
      <c r="BW71" s="270">
        <v>0.65959999999999996</v>
      </c>
      <c r="BX71" s="270">
        <v>0.72850000000000004</v>
      </c>
      <c r="BY71" s="270">
        <v>0.66290000000000004</v>
      </c>
      <c r="BZ71" s="270">
        <v>0.68879999999999997</v>
      </c>
      <c r="CA71" s="356" t="s">
        <v>295</v>
      </c>
      <c r="CB71" s="355" t="s">
        <v>816</v>
      </c>
      <c r="CC71" s="355" t="s">
        <v>673</v>
      </c>
      <c r="CD71" s="355">
        <v>0.69979999999999998</v>
      </c>
      <c r="CE71" s="355">
        <v>0.66620000000000001</v>
      </c>
      <c r="CF71" s="355">
        <v>0.65439999999999998</v>
      </c>
      <c r="CG71" s="355">
        <v>0.72160000000000002</v>
      </c>
      <c r="CH71" s="355">
        <v>0.65610000000000002</v>
      </c>
      <c r="CI71" s="355">
        <v>0.68320000000000003</v>
      </c>
      <c r="CJ71" s="715" t="s">
        <v>295</v>
      </c>
      <c r="CK71" s="620">
        <v>607</v>
      </c>
      <c r="CL71" s="620">
        <v>598</v>
      </c>
      <c r="CM71" s="620">
        <v>0.68930000000000002</v>
      </c>
      <c r="CN71" s="620">
        <v>0.66049999999999998</v>
      </c>
      <c r="CO71" s="620">
        <v>0.64229999999999998</v>
      </c>
      <c r="CP71" s="620">
        <v>0.71399999999999997</v>
      </c>
      <c r="CQ71" s="620">
        <v>0.66020000000000001</v>
      </c>
      <c r="CR71" s="711">
        <v>0.67530000000000001</v>
      </c>
      <c r="CS71" s="564" t="s">
        <v>295</v>
      </c>
      <c r="CT71" s="564">
        <v>615</v>
      </c>
      <c r="CU71" s="564">
        <v>606</v>
      </c>
      <c r="CV71" s="585">
        <v>0.68679999999999997</v>
      </c>
      <c r="CW71" s="585">
        <v>0.6643</v>
      </c>
      <c r="CX71" s="585">
        <v>0.63900000000000001</v>
      </c>
      <c r="CY71" s="585">
        <v>0.71309999999999996</v>
      </c>
      <c r="CZ71" s="585">
        <v>0.66500000000000004</v>
      </c>
      <c r="DA71" s="585">
        <v>0.67500000000000004</v>
      </c>
      <c r="DB71" s="884" t="s">
        <v>295</v>
      </c>
      <c r="DC71" s="884">
        <v>605</v>
      </c>
      <c r="DD71" s="884">
        <v>595</v>
      </c>
      <c r="DE71" s="884">
        <v>0.69710000000000005</v>
      </c>
      <c r="DF71" s="133">
        <v>0.67430000000000001</v>
      </c>
      <c r="DG71" s="133">
        <v>0.64780000000000004</v>
      </c>
      <c r="DH71" s="133">
        <v>0.71909999999999996</v>
      </c>
      <c r="DI71" s="133">
        <v>0.67879999999999996</v>
      </c>
      <c r="DJ71" s="133">
        <v>0.68410000000000004</v>
      </c>
    </row>
    <row r="72" spans="1:114" x14ac:dyDescent="0.25">
      <c r="A72" s="734" t="s">
        <v>22</v>
      </c>
      <c r="B72" s="874">
        <v>325754001590</v>
      </c>
      <c r="C72" s="134" t="s">
        <v>452</v>
      </c>
      <c r="D72" s="134" t="s">
        <v>307</v>
      </c>
      <c r="E72" s="134" t="s">
        <v>671</v>
      </c>
      <c r="F72" s="134" t="s">
        <v>121</v>
      </c>
      <c r="G72" s="671" t="s">
        <v>295</v>
      </c>
      <c r="H72" s="270">
        <v>396</v>
      </c>
      <c r="I72" s="270">
        <v>372</v>
      </c>
      <c r="J72" s="270">
        <v>0.66869999999999996</v>
      </c>
      <c r="K72" s="270">
        <v>0.67430000000000001</v>
      </c>
      <c r="L72" s="270">
        <v>0.67230000000000001</v>
      </c>
      <c r="M72" s="270">
        <v>0.67569999999999997</v>
      </c>
      <c r="N72" s="270">
        <v>0.65890000000000004</v>
      </c>
      <c r="O72" s="270">
        <v>0.67169999999999996</v>
      </c>
      <c r="P72" s="671" t="s">
        <v>295</v>
      </c>
      <c r="Q72" s="270" t="s">
        <v>700</v>
      </c>
      <c r="R72" s="270" t="s">
        <v>701</v>
      </c>
      <c r="S72" s="270">
        <v>0.66869999999999996</v>
      </c>
      <c r="T72" s="270">
        <v>0.67630000000000001</v>
      </c>
      <c r="U72" s="270">
        <v>0.67459999999999998</v>
      </c>
      <c r="V72" s="270">
        <v>0.67530000000000001</v>
      </c>
      <c r="W72" s="270">
        <v>0.66510000000000002</v>
      </c>
      <c r="X72" s="270">
        <v>0.67300000000000004</v>
      </c>
      <c r="Y72" s="678" t="s">
        <v>295</v>
      </c>
      <c r="Z72" s="269" t="s">
        <v>350</v>
      </c>
      <c r="AA72" s="269" t="s">
        <v>570</v>
      </c>
      <c r="AB72" s="271">
        <v>0.67879999999999996</v>
      </c>
      <c r="AC72" s="271">
        <v>0.69199999999999995</v>
      </c>
      <c r="AD72" s="271">
        <v>0.67669999999999997</v>
      </c>
      <c r="AE72" s="271">
        <v>0.68640000000000001</v>
      </c>
      <c r="AF72" s="271">
        <v>0.68799999999999994</v>
      </c>
      <c r="AG72" s="271">
        <v>0.68379999999999996</v>
      </c>
      <c r="AH72" s="156"/>
      <c r="AI72" s="269"/>
      <c r="AJ72" s="269"/>
      <c r="AK72" s="271"/>
      <c r="AL72" s="271"/>
      <c r="AM72" s="271"/>
      <c r="AN72" s="271"/>
      <c r="AO72" s="271"/>
      <c r="AP72" s="271"/>
      <c r="AQ72" s="134"/>
      <c r="AZ72" s="269"/>
      <c r="BA72" s="269"/>
      <c r="BB72" s="269"/>
      <c r="BC72" s="271"/>
      <c r="BD72" s="271"/>
      <c r="BE72" s="271"/>
      <c r="BF72" s="271"/>
      <c r="BG72" s="271"/>
      <c r="BH72" s="271"/>
      <c r="BI72" s="275" t="s">
        <v>427</v>
      </c>
      <c r="BJ72" s="272">
        <v>384</v>
      </c>
      <c r="BK72" s="272">
        <v>354</v>
      </c>
      <c r="BL72" s="271">
        <v>0.67369999999999997</v>
      </c>
      <c r="BM72" s="271">
        <v>0.64429999999999998</v>
      </c>
      <c r="BN72" s="271">
        <v>0.622</v>
      </c>
      <c r="BO72" s="271">
        <v>0.68930000000000002</v>
      </c>
      <c r="BP72" s="271">
        <v>0.66369999999999996</v>
      </c>
      <c r="BQ72" s="271">
        <v>0.65780000000000005</v>
      </c>
      <c r="BR72" s="279" t="s">
        <v>427</v>
      </c>
      <c r="BS72" s="270">
        <v>348</v>
      </c>
      <c r="BT72" s="270">
        <v>339</v>
      </c>
      <c r="BU72" s="270">
        <v>0.68899999999999995</v>
      </c>
      <c r="BV72" s="270">
        <v>0.6462</v>
      </c>
      <c r="BW72" s="270">
        <v>0.63619999999999999</v>
      </c>
      <c r="BX72" s="270">
        <v>0.70430000000000004</v>
      </c>
      <c r="BY72" s="270">
        <v>0.67149999999999999</v>
      </c>
      <c r="BZ72" s="270">
        <v>0.66910000000000003</v>
      </c>
      <c r="CA72" s="357" t="s">
        <v>427</v>
      </c>
      <c r="CB72" s="355" t="s">
        <v>474</v>
      </c>
      <c r="CC72" s="355" t="s">
        <v>407</v>
      </c>
      <c r="CD72" s="355">
        <v>0.68489999999999995</v>
      </c>
      <c r="CE72" s="355">
        <v>0.64949999999999997</v>
      </c>
      <c r="CF72" s="355">
        <v>0.6341</v>
      </c>
      <c r="CG72" s="355">
        <v>0.70079999999999998</v>
      </c>
      <c r="CH72" s="355">
        <v>0.67059999999999997</v>
      </c>
      <c r="CI72" s="355">
        <v>0.66759999999999997</v>
      </c>
      <c r="CJ72" s="718" t="s">
        <v>427</v>
      </c>
      <c r="CK72" s="620">
        <v>352</v>
      </c>
      <c r="CL72" s="620">
        <v>345</v>
      </c>
      <c r="CM72" s="620">
        <v>0.67549999999999999</v>
      </c>
      <c r="CN72" s="620">
        <v>0.65169999999999995</v>
      </c>
      <c r="CO72" s="620">
        <v>0.63100000000000001</v>
      </c>
      <c r="CP72" s="620">
        <v>0.70069999999999999</v>
      </c>
      <c r="CQ72" s="620">
        <v>0.68030000000000002</v>
      </c>
      <c r="CR72" s="711">
        <v>0.66590000000000005</v>
      </c>
      <c r="CS72" s="564" t="s">
        <v>427</v>
      </c>
      <c r="CT72" s="564">
        <v>401</v>
      </c>
      <c r="CU72" s="564">
        <v>389</v>
      </c>
      <c r="CV72" s="585">
        <v>0.67820000000000003</v>
      </c>
      <c r="CW72" s="585">
        <v>0.65480000000000005</v>
      </c>
      <c r="CX72" s="585">
        <v>0.63319999999999999</v>
      </c>
      <c r="CY72" s="585">
        <v>0.70220000000000005</v>
      </c>
      <c r="CZ72" s="585">
        <v>0.67779999999999996</v>
      </c>
      <c r="DA72" s="585">
        <v>0.66790000000000005</v>
      </c>
      <c r="DB72" s="884" t="s">
        <v>295</v>
      </c>
      <c r="DC72" s="884">
        <v>432</v>
      </c>
      <c r="DD72" s="884">
        <v>417</v>
      </c>
      <c r="DE72" s="884">
        <v>0.68479999999999996</v>
      </c>
      <c r="DF72" s="133">
        <v>0.66739999999999999</v>
      </c>
      <c r="DG72" s="133">
        <v>0.64300000000000002</v>
      </c>
      <c r="DH72" s="133">
        <v>0.7097</v>
      </c>
      <c r="DI72" s="133">
        <v>0.67749999999999999</v>
      </c>
      <c r="DJ72" s="133">
        <v>0.67630000000000001</v>
      </c>
    </row>
    <row r="73" spans="1:114" x14ac:dyDescent="0.25">
      <c r="A73" s="36" t="s">
        <v>83</v>
      </c>
      <c r="B73" s="668">
        <v>125754002147</v>
      </c>
      <c r="C73" s="134" t="s">
        <v>452</v>
      </c>
      <c r="D73" s="134" t="s">
        <v>307</v>
      </c>
      <c r="E73" s="134" t="s">
        <v>671</v>
      </c>
      <c r="F73" s="134" t="s">
        <v>121</v>
      </c>
      <c r="G73" s="165" t="s">
        <v>295</v>
      </c>
      <c r="H73" s="166">
        <v>928</v>
      </c>
      <c r="I73" s="166">
        <v>852</v>
      </c>
      <c r="J73" s="166">
        <v>0.68540000000000001</v>
      </c>
      <c r="K73" s="166">
        <v>0.69679999999999997</v>
      </c>
      <c r="L73" s="166">
        <v>0.69499999999999995</v>
      </c>
      <c r="M73" s="166">
        <v>0.69930000000000003</v>
      </c>
      <c r="N73" s="166">
        <v>0.66069999999999995</v>
      </c>
      <c r="O73" s="166">
        <v>0.69159999999999999</v>
      </c>
      <c r="P73" s="563"/>
      <c r="Q73" s="563"/>
      <c r="R73" s="563"/>
      <c r="S73" s="563"/>
      <c r="T73" s="563"/>
      <c r="U73" s="563"/>
      <c r="V73" s="563"/>
      <c r="W73" s="563"/>
      <c r="X73" s="563"/>
      <c r="Y73" s="134"/>
      <c r="Z73" s="134"/>
      <c r="AA73" s="134"/>
      <c r="AB73" s="137"/>
      <c r="AC73" s="137"/>
      <c r="AD73" s="137"/>
      <c r="AE73" s="137"/>
      <c r="AF73" s="137"/>
      <c r="AG73" s="137"/>
      <c r="AH73" s="156"/>
      <c r="AI73" s="134"/>
      <c r="AJ73" s="134"/>
      <c r="AK73" s="137"/>
      <c r="AL73" s="137"/>
      <c r="AM73" s="137"/>
      <c r="AN73" s="137"/>
      <c r="AO73" s="137"/>
      <c r="AP73" s="137"/>
      <c r="AQ73" s="139" t="s">
        <v>295</v>
      </c>
      <c r="AR73" s="134" t="s">
        <v>391</v>
      </c>
      <c r="AS73" s="134" t="s">
        <v>392</v>
      </c>
      <c r="AT73" s="137">
        <v>0.69540000000000002</v>
      </c>
      <c r="AU73" s="137">
        <v>0.70150000000000001</v>
      </c>
      <c r="AV73" s="137">
        <v>0.6774</v>
      </c>
      <c r="AW73" s="137">
        <v>0.72</v>
      </c>
      <c r="AX73" s="137">
        <v>0.68020000000000003</v>
      </c>
      <c r="AY73" s="137">
        <v>0.69720000000000004</v>
      </c>
      <c r="AZ73" s="138" t="s">
        <v>295</v>
      </c>
      <c r="BA73" s="134" t="s">
        <v>596</v>
      </c>
      <c r="BB73" s="134" t="s">
        <v>651</v>
      </c>
      <c r="BC73" s="137">
        <v>0.69769999999999999</v>
      </c>
      <c r="BD73" s="137">
        <v>0.67959999999999998</v>
      </c>
      <c r="BE73" s="137">
        <v>0.65890000000000004</v>
      </c>
      <c r="BF73" s="137">
        <v>0.71930000000000005</v>
      </c>
      <c r="BG73" s="137">
        <v>0.66379999999999995</v>
      </c>
      <c r="BH73" s="137">
        <v>0.68689999999999996</v>
      </c>
      <c r="BI73" s="135" t="s">
        <v>295</v>
      </c>
      <c r="BJ73" s="152">
        <v>847</v>
      </c>
      <c r="BK73" s="152">
        <v>782</v>
      </c>
      <c r="BL73" s="137">
        <v>0.6976</v>
      </c>
      <c r="BM73" s="137">
        <v>0.66539999999999999</v>
      </c>
      <c r="BN73" s="137">
        <v>0.65110000000000001</v>
      </c>
      <c r="BO73" s="137">
        <v>0.7167</v>
      </c>
      <c r="BP73" s="137">
        <v>0.65080000000000005</v>
      </c>
      <c r="BQ73" s="137">
        <v>0.68020000000000003</v>
      </c>
      <c r="BR73" s="277" t="s">
        <v>295</v>
      </c>
      <c r="BS73" s="270">
        <v>743</v>
      </c>
      <c r="BT73" s="270">
        <v>735</v>
      </c>
      <c r="BU73" s="270">
        <v>0.71140000000000003</v>
      </c>
      <c r="BV73" s="270">
        <v>0.67030000000000001</v>
      </c>
      <c r="BW73" s="270">
        <v>0.66569999999999996</v>
      </c>
      <c r="BX73" s="270">
        <v>0.72629999999999995</v>
      </c>
      <c r="BY73" s="270">
        <v>0.66069999999999995</v>
      </c>
      <c r="BZ73" s="270">
        <v>0.69089999999999996</v>
      </c>
      <c r="CA73" s="356" t="s">
        <v>295</v>
      </c>
      <c r="CB73" s="355" t="s">
        <v>817</v>
      </c>
      <c r="CC73" s="355" t="s">
        <v>818</v>
      </c>
      <c r="CD73" s="355">
        <v>0.70509999999999995</v>
      </c>
      <c r="CE73" s="355">
        <v>0.6744</v>
      </c>
      <c r="CF73" s="355">
        <v>0.67430000000000001</v>
      </c>
      <c r="CG73" s="355">
        <v>0.7278</v>
      </c>
      <c r="CH73" s="355">
        <v>0.6613</v>
      </c>
      <c r="CI73" s="355">
        <v>0.69279999999999997</v>
      </c>
      <c r="CJ73" s="715" t="s">
        <v>295</v>
      </c>
      <c r="CK73" s="620">
        <v>640</v>
      </c>
      <c r="CL73" s="620">
        <v>626</v>
      </c>
      <c r="CM73" s="620">
        <v>0.7046</v>
      </c>
      <c r="CN73" s="620">
        <v>0.68569999999999998</v>
      </c>
      <c r="CO73" s="620">
        <v>0.67800000000000005</v>
      </c>
      <c r="CP73" s="620">
        <v>0.73180000000000001</v>
      </c>
      <c r="CQ73" s="620">
        <v>0.68989999999999996</v>
      </c>
      <c r="CR73" s="711">
        <v>0.69920000000000004</v>
      </c>
      <c r="CS73" s="564" t="s">
        <v>295</v>
      </c>
      <c r="CT73" s="564">
        <v>581</v>
      </c>
      <c r="CU73" s="564">
        <v>570</v>
      </c>
      <c r="CV73" s="585">
        <v>0.72</v>
      </c>
      <c r="CW73" s="585">
        <v>0.69479999999999997</v>
      </c>
      <c r="CX73" s="585">
        <v>0.68389999999999995</v>
      </c>
      <c r="CY73" s="585">
        <v>0.74209999999999998</v>
      </c>
      <c r="CZ73" s="585">
        <v>0.70379999999999998</v>
      </c>
      <c r="DA73" s="585">
        <v>0.7097</v>
      </c>
      <c r="DB73" s="884" t="s">
        <v>295</v>
      </c>
      <c r="DC73" s="884">
        <v>624</v>
      </c>
      <c r="DD73" s="884">
        <v>608</v>
      </c>
      <c r="DE73" s="884">
        <v>0.72450000000000003</v>
      </c>
      <c r="DF73" s="133">
        <v>0.7</v>
      </c>
      <c r="DG73" s="133">
        <v>0.68420000000000003</v>
      </c>
      <c r="DH73" s="133">
        <v>0.74409999999999998</v>
      </c>
      <c r="DI73" s="133">
        <v>0.7107</v>
      </c>
      <c r="DJ73" s="133">
        <v>0.71299999999999997</v>
      </c>
    </row>
    <row r="74" spans="1:114" x14ac:dyDescent="0.25">
      <c r="A74" s="36" t="s">
        <v>65</v>
      </c>
      <c r="B74" s="668">
        <v>125754002554</v>
      </c>
      <c r="C74" s="134" t="s">
        <v>452</v>
      </c>
      <c r="D74" s="134" t="s">
        <v>307</v>
      </c>
      <c r="E74" s="134" t="s">
        <v>671</v>
      </c>
      <c r="F74" s="134" t="s">
        <v>121</v>
      </c>
      <c r="G74" s="165" t="s">
        <v>295</v>
      </c>
      <c r="H74" s="166">
        <v>282</v>
      </c>
      <c r="I74" s="166">
        <v>279</v>
      </c>
      <c r="J74" s="166">
        <v>0.66539999999999999</v>
      </c>
      <c r="K74" s="166">
        <v>0.6774</v>
      </c>
      <c r="L74" s="166">
        <v>0.68130000000000002</v>
      </c>
      <c r="M74" s="166">
        <v>0.66820000000000002</v>
      </c>
      <c r="N74" s="166">
        <v>0.64870000000000005</v>
      </c>
      <c r="O74" s="166">
        <v>0.67120000000000002</v>
      </c>
      <c r="P74" s="629" t="s">
        <v>427</v>
      </c>
      <c r="Q74" s="166" t="s">
        <v>597</v>
      </c>
      <c r="R74" s="166" t="s">
        <v>685</v>
      </c>
      <c r="S74" s="166">
        <v>0.65410000000000001</v>
      </c>
      <c r="T74" s="166">
        <v>0.66990000000000005</v>
      </c>
      <c r="U74" s="166">
        <v>0.67649999999999999</v>
      </c>
      <c r="V74" s="166">
        <v>0.65720000000000001</v>
      </c>
      <c r="W74" s="166">
        <v>0.64229999999999998</v>
      </c>
      <c r="X74" s="166">
        <v>0.66269999999999996</v>
      </c>
      <c r="Y74" s="141" t="s">
        <v>427</v>
      </c>
      <c r="Z74" s="134" t="s">
        <v>586</v>
      </c>
      <c r="AA74" s="134" t="s">
        <v>338</v>
      </c>
      <c r="AB74" s="137">
        <v>0.64839999999999998</v>
      </c>
      <c r="AC74" s="137">
        <v>0.66190000000000004</v>
      </c>
      <c r="AD74" s="137">
        <v>0.65510000000000002</v>
      </c>
      <c r="AE74" s="137">
        <v>0.65739999999999998</v>
      </c>
      <c r="AF74" s="137">
        <v>0.63649999999999995</v>
      </c>
      <c r="AG74" s="137">
        <v>0.6542</v>
      </c>
      <c r="AH74" s="155" t="s">
        <v>427</v>
      </c>
      <c r="AI74" s="134" t="s">
        <v>338</v>
      </c>
      <c r="AJ74" s="134" t="s">
        <v>339</v>
      </c>
      <c r="AK74" s="137">
        <v>0.6573</v>
      </c>
      <c r="AL74" s="137">
        <v>0.67100000000000004</v>
      </c>
      <c r="AM74" s="137">
        <v>0.65090000000000003</v>
      </c>
      <c r="AN74" s="137">
        <v>0.67079999999999995</v>
      </c>
      <c r="AO74" s="137">
        <v>0.629</v>
      </c>
      <c r="AP74" s="137">
        <v>0.65990000000000004</v>
      </c>
      <c r="AQ74" s="142" t="s">
        <v>427</v>
      </c>
      <c r="AR74" s="134" t="s">
        <v>406</v>
      </c>
      <c r="AS74" s="134" t="s">
        <v>406</v>
      </c>
      <c r="AT74" s="137">
        <v>0.66390000000000005</v>
      </c>
      <c r="AU74" s="137">
        <v>0.66110000000000002</v>
      </c>
      <c r="AV74" s="137">
        <v>0.62590000000000001</v>
      </c>
      <c r="AW74" s="137">
        <v>0.67559999999999998</v>
      </c>
      <c r="AX74" s="137">
        <v>0.63519999999999999</v>
      </c>
      <c r="AY74" s="137">
        <v>0.65500000000000003</v>
      </c>
      <c r="AZ74" s="141" t="s">
        <v>427</v>
      </c>
      <c r="BA74" s="134" t="s">
        <v>600</v>
      </c>
      <c r="BB74" s="134" t="s">
        <v>662</v>
      </c>
      <c r="BC74" s="137">
        <v>0.65580000000000005</v>
      </c>
      <c r="BD74" s="137">
        <v>0.64349999999999996</v>
      </c>
      <c r="BE74" s="137">
        <v>0.5958</v>
      </c>
      <c r="BF74" s="137">
        <v>0.66839999999999999</v>
      </c>
      <c r="BG74" s="137">
        <v>0.62209999999999999</v>
      </c>
      <c r="BH74" s="137">
        <v>0.63939999999999997</v>
      </c>
      <c r="BI74" s="140" t="s">
        <v>427</v>
      </c>
      <c r="BJ74" s="152">
        <v>335</v>
      </c>
      <c r="BK74" s="152">
        <v>329</v>
      </c>
      <c r="BL74" s="137">
        <v>0.64800000000000002</v>
      </c>
      <c r="BM74" s="137">
        <v>0.62390000000000001</v>
      </c>
      <c r="BN74" s="137">
        <v>0.58760000000000001</v>
      </c>
      <c r="BO74" s="137">
        <v>0.66</v>
      </c>
      <c r="BP74" s="137">
        <v>0.6079</v>
      </c>
      <c r="BQ74" s="137">
        <v>0.62819999999999998</v>
      </c>
      <c r="BR74" s="279" t="s">
        <v>427</v>
      </c>
      <c r="BS74" s="270">
        <v>323</v>
      </c>
      <c r="BT74" s="270">
        <v>317</v>
      </c>
      <c r="BU74" s="270">
        <v>0.63180000000000003</v>
      </c>
      <c r="BV74" s="270">
        <v>0.61509999999999998</v>
      </c>
      <c r="BW74" s="270">
        <v>0.5847</v>
      </c>
      <c r="BX74" s="270">
        <v>0.66190000000000004</v>
      </c>
      <c r="BY74" s="270">
        <v>0.60350000000000004</v>
      </c>
      <c r="BZ74" s="270">
        <v>0.62180000000000002</v>
      </c>
      <c r="CA74" s="357" t="s">
        <v>427</v>
      </c>
      <c r="CB74" s="355" t="s">
        <v>819</v>
      </c>
      <c r="CC74" s="355" t="s">
        <v>633</v>
      </c>
      <c r="CD74" s="355">
        <v>0.63619999999999999</v>
      </c>
      <c r="CE74" s="355">
        <v>0.61380000000000001</v>
      </c>
      <c r="CF74" s="355">
        <v>0.60209999999999997</v>
      </c>
      <c r="CG74" s="355">
        <v>0.67730000000000001</v>
      </c>
      <c r="CH74" s="355">
        <v>0.6099</v>
      </c>
      <c r="CI74" s="355">
        <v>0.63060000000000005</v>
      </c>
      <c r="CJ74" s="718" t="s">
        <v>427</v>
      </c>
      <c r="CK74" s="620">
        <v>316</v>
      </c>
      <c r="CL74" s="620">
        <v>309</v>
      </c>
      <c r="CM74" s="620">
        <v>0.63060000000000005</v>
      </c>
      <c r="CN74" s="620">
        <v>0.60729999999999995</v>
      </c>
      <c r="CO74" s="620">
        <v>0.59099999999999997</v>
      </c>
      <c r="CP74" s="620">
        <v>0.67369999999999997</v>
      </c>
      <c r="CQ74" s="620">
        <v>0.61809999999999998</v>
      </c>
      <c r="CR74" s="711">
        <v>0.625</v>
      </c>
      <c r="CS74" s="564" t="s">
        <v>427</v>
      </c>
      <c r="CT74" s="564">
        <v>308</v>
      </c>
      <c r="CU74" s="564">
        <v>303</v>
      </c>
      <c r="CV74" s="585">
        <v>0.63970000000000005</v>
      </c>
      <c r="CW74" s="585">
        <v>0.61209999999999998</v>
      </c>
      <c r="CX74" s="585">
        <v>0.59030000000000005</v>
      </c>
      <c r="CY74" s="585">
        <v>0.67830000000000001</v>
      </c>
      <c r="CZ74" s="585">
        <v>0.62450000000000006</v>
      </c>
      <c r="DA74" s="585">
        <v>0.62970000000000004</v>
      </c>
      <c r="DB74" s="884" t="s">
        <v>427</v>
      </c>
      <c r="DC74" s="884">
        <v>288</v>
      </c>
      <c r="DD74" s="884">
        <v>283</v>
      </c>
      <c r="DE74" s="884">
        <v>0.64180000000000004</v>
      </c>
      <c r="DF74" s="133">
        <v>0.62</v>
      </c>
      <c r="DG74" s="133">
        <v>0.5877</v>
      </c>
      <c r="DH74" s="133">
        <v>0.67630000000000001</v>
      </c>
      <c r="DI74" s="133">
        <v>0.62829999999999997</v>
      </c>
      <c r="DJ74" s="133">
        <v>0.63119999999999998</v>
      </c>
    </row>
    <row r="75" spans="1:114" x14ac:dyDescent="0.25">
      <c r="A75" s="36" t="s">
        <v>33</v>
      </c>
      <c r="B75" s="668">
        <v>125754001973</v>
      </c>
      <c r="C75" s="134" t="s">
        <v>452</v>
      </c>
      <c r="D75" s="134" t="s">
        <v>307</v>
      </c>
      <c r="E75" s="134" t="s">
        <v>671</v>
      </c>
      <c r="F75" s="134" t="s">
        <v>121</v>
      </c>
      <c r="G75" s="167" t="s">
        <v>427</v>
      </c>
      <c r="H75" s="166">
        <v>64</v>
      </c>
      <c r="I75" s="166">
        <v>62</v>
      </c>
      <c r="J75" s="166">
        <v>0.64149999999999996</v>
      </c>
      <c r="K75" s="166">
        <v>0.6653</v>
      </c>
      <c r="L75" s="166">
        <v>0.64190000000000003</v>
      </c>
      <c r="M75" s="166">
        <v>0.62270000000000003</v>
      </c>
      <c r="N75" s="166">
        <v>0.65510000000000002</v>
      </c>
      <c r="O75" s="166">
        <v>0.64380000000000004</v>
      </c>
      <c r="P75" s="175" t="s">
        <v>427</v>
      </c>
      <c r="Q75" s="174" t="s">
        <v>464</v>
      </c>
      <c r="R75" s="174" t="s">
        <v>311</v>
      </c>
      <c r="S75" s="174">
        <v>0.61580000000000001</v>
      </c>
      <c r="T75" s="174">
        <v>0.65200000000000002</v>
      </c>
      <c r="U75" s="174">
        <v>0.63660000000000005</v>
      </c>
      <c r="V75" s="174">
        <v>0.62080000000000002</v>
      </c>
      <c r="W75" s="174">
        <v>0.64700000000000002</v>
      </c>
      <c r="X75" s="174">
        <v>0.63249999999999995</v>
      </c>
      <c r="Y75" s="141" t="s">
        <v>427</v>
      </c>
      <c r="Z75" s="134" t="s">
        <v>460</v>
      </c>
      <c r="AA75" s="134" t="s">
        <v>481</v>
      </c>
      <c r="AB75" s="137">
        <v>0.62409999999999999</v>
      </c>
      <c r="AC75" s="137">
        <v>0.67169999999999996</v>
      </c>
      <c r="AD75" s="137">
        <v>0.64149999999999996</v>
      </c>
      <c r="AE75" s="137">
        <v>0.64480000000000004</v>
      </c>
      <c r="AF75" s="137">
        <v>0.64800000000000002</v>
      </c>
      <c r="AG75" s="137">
        <v>0.64570000000000005</v>
      </c>
      <c r="AH75" s="155" t="s">
        <v>427</v>
      </c>
      <c r="AI75" s="134" t="s">
        <v>328</v>
      </c>
      <c r="AJ75" s="134" t="s">
        <v>522</v>
      </c>
      <c r="AK75" s="137">
        <v>0.62949999999999995</v>
      </c>
      <c r="AL75" s="137">
        <v>0.66930000000000001</v>
      </c>
      <c r="AM75" s="137">
        <v>0.63539999999999996</v>
      </c>
      <c r="AN75" s="137">
        <v>0.65459999999999996</v>
      </c>
      <c r="AO75" s="137">
        <v>0.63859999999999995</v>
      </c>
      <c r="AP75" s="137">
        <v>0.64649999999999996</v>
      </c>
      <c r="AQ75" s="142" t="s">
        <v>427</v>
      </c>
      <c r="AR75" s="134" t="s">
        <v>309</v>
      </c>
      <c r="AS75" s="134" t="s">
        <v>434</v>
      </c>
      <c r="AT75" s="137">
        <v>0.65269999999999995</v>
      </c>
      <c r="AU75" s="137">
        <v>0.66859999999999997</v>
      </c>
      <c r="AV75" s="137">
        <v>0.63519999999999999</v>
      </c>
      <c r="AW75" s="137">
        <v>0.67379999999999995</v>
      </c>
      <c r="AX75" s="137">
        <v>0.6593</v>
      </c>
      <c r="AY75" s="137">
        <v>0.65769999999999995</v>
      </c>
      <c r="AZ75" s="141" t="s">
        <v>427</v>
      </c>
      <c r="BA75" s="134" t="s">
        <v>433</v>
      </c>
      <c r="BB75" s="134" t="s">
        <v>548</v>
      </c>
      <c r="BC75" s="137">
        <v>0.65310000000000001</v>
      </c>
      <c r="BD75" s="137">
        <v>0.64970000000000006</v>
      </c>
      <c r="BE75" s="137">
        <v>0.62570000000000003</v>
      </c>
      <c r="BF75" s="137">
        <v>0.68100000000000005</v>
      </c>
      <c r="BG75" s="137">
        <v>0.6522</v>
      </c>
      <c r="BH75" s="137">
        <v>0.65239999999999998</v>
      </c>
      <c r="BI75" s="140"/>
      <c r="BJ75" s="152"/>
      <c r="BK75" s="152"/>
      <c r="BL75" s="137"/>
      <c r="BM75" s="137"/>
      <c r="BN75" s="137"/>
      <c r="BO75" s="137"/>
      <c r="BP75" s="137"/>
      <c r="BQ75" s="137"/>
      <c r="BR75" s="279" t="s">
        <v>427</v>
      </c>
      <c r="BS75" s="270">
        <v>65</v>
      </c>
      <c r="BT75" s="270">
        <v>65</v>
      </c>
      <c r="BU75" s="270">
        <v>0.65300000000000002</v>
      </c>
      <c r="BV75" s="270">
        <v>0.63339999999999996</v>
      </c>
      <c r="BW75" s="270">
        <v>0.59860000000000002</v>
      </c>
      <c r="BX75" s="270">
        <v>0.68869999999999998</v>
      </c>
      <c r="BY75" s="270">
        <v>0.6411</v>
      </c>
      <c r="BZ75" s="270">
        <v>0.64329999999999998</v>
      </c>
      <c r="CA75" s="357" t="s">
        <v>427</v>
      </c>
      <c r="CB75" s="355" t="s">
        <v>360</v>
      </c>
      <c r="CC75" s="355" t="s">
        <v>697</v>
      </c>
      <c r="CD75" s="355">
        <v>0.65159999999999996</v>
      </c>
      <c r="CE75" s="355">
        <v>0.60860000000000003</v>
      </c>
      <c r="CF75" s="355">
        <v>0.59130000000000005</v>
      </c>
      <c r="CG75" s="355">
        <v>0.68730000000000002</v>
      </c>
      <c r="CH75" s="355">
        <v>0.61370000000000002</v>
      </c>
      <c r="CI75" s="355">
        <v>0.6331</v>
      </c>
      <c r="CJ75" s="718" t="s">
        <v>427</v>
      </c>
      <c r="CK75" s="620">
        <v>96</v>
      </c>
      <c r="CL75" s="620">
        <v>95</v>
      </c>
      <c r="CM75" s="620">
        <v>0.65580000000000005</v>
      </c>
      <c r="CN75" s="620">
        <v>0.62660000000000005</v>
      </c>
      <c r="CO75" s="620">
        <v>0.60260000000000002</v>
      </c>
      <c r="CP75" s="620">
        <v>0.69530000000000003</v>
      </c>
      <c r="CQ75" s="620">
        <v>0.63349999999999995</v>
      </c>
      <c r="CR75" s="711">
        <v>0.64419999999999999</v>
      </c>
      <c r="CS75" s="564" t="s">
        <v>427</v>
      </c>
      <c r="CT75" s="564">
        <v>97</v>
      </c>
      <c r="CU75" s="564">
        <v>95</v>
      </c>
      <c r="CV75" s="585">
        <v>0.67290000000000005</v>
      </c>
      <c r="CW75" s="585">
        <v>0.64159999999999995</v>
      </c>
      <c r="CX75" s="585">
        <v>0.628</v>
      </c>
      <c r="CY75" s="585">
        <v>0.69740000000000002</v>
      </c>
      <c r="CZ75" s="585">
        <v>0.6472</v>
      </c>
      <c r="DA75" s="585">
        <v>0.65900000000000003</v>
      </c>
      <c r="DB75" s="884" t="s">
        <v>427</v>
      </c>
      <c r="DC75" s="884">
        <v>98</v>
      </c>
      <c r="DD75" s="884">
        <v>93</v>
      </c>
      <c r="DE75" s="884">
        <v>0.6835</v>
      </c>
      <c r="DF75" s="133">
        <v>0.65749999999999997</v>
      </c>
      <c r="DG75" s="133">
        <v>0.64259999999999995</v>
      </c>
      <c r="DH75" s="133">
        <v>0.68799999999999994</v>
      </c>
      <c r="DI75" s="133">
        <v>0.65200000000000002</v>
      </c>
      <c r="DJ75" s="133">
        <v>0.66669999999999996</v>
      </c>
    </row>
    <row r="76" spans="1:114" x14ac:dyDescent="0.25">
      <c r="A76" s="126" t="s">
        <v>773</v>
      </c>
      <c r="B76" s="878">
        <v>125754005600</v>
      </c>
      <c r="C76" s="134" t="s">
        <v>452</v>
      </c>
      <c r="D76" s="134" t="s">
        <v>307</v>
      </c>
      <c r="E76" s="134" t="s">
        <v>671</v>
      </c>
      <c r="F76" s="134" t="s">
        <v>121</v>
      </c>
      <c r="G76" s="167"/>
      <c r="H76" s="166"/>
      <c r="I76" s="166"/>
      <c r="J76" s="166"/>
      <c r="K76" s="166"/>
      <c r="L76" s="166"/>
      <c r="M76" s="166"/>
      <c r="N76" s="166"/>
      <c r="O76" s="166"/>
      <c r="P76" s="175"/>
      <c r="Q76" s="174"/>
      <c r="R76" s="174"/>
      <c r="S76" s="174"/>
      <c r="T76" s="174"/>
      <c r="U76" s="174"/>
      <c r="V76" s="174"/>
      <c r="W76" s="174"/>
      <c r="X76" s="174"/>
      <c r="Y76" s="141"/>
      <c r="Z76" s="134"/>
      <c r="AA76" s="134"/>
      <c r="AB76" s="137"/>
      <c r="AC76" s="137"/>
      <c r="AD76" s="137"/>
      <c r="AE76" s="137"/>
      <c r="AF76" s="137"/>
      <c r="AG76" s="137"/>
      <c r="AH76" s="159" t="s">
        <v>295</v>
      </c>
      <c r="AI76" s="166" t="s">
        <v>332</v>
      </c>
      <c r="AJ76" s="166" t="s">
        <v>680</v>
      </c>
      <c r="AK76" s="166">
        <v>0.69499999999999995</v>
      </c>
      <c r="AL76" s="166">
        <v>0.7026</v>
      </c>
      <c r="AM76" s="166">
        <v>0.70930000000000004</v>
      </c>
      <c r="AN76" s="166">
        <v>0.74219999999999997</v>
      </c>
      <c r="AO76" s="166">
        <v>0.69410000000000005</v>
      </c>
      <c r="AP76" s="166">
        <v>0.71089999999999998</v>
      </c>
      <c r="AQ76" s="139" t="s">
        <v>295</v>
      </c>
      <c r="AR76" s="166" t="s">
        <v>775</v>
      </c>
      <c r="AS76" s="166" t="s">
        <v>321</v>
      </c>
      <c r="AT76" s="166">
        <v>0.69910000000000005</v>
      </c>
      <c r="AU76" s="166">
        <v>0.6905</v>
      </c>
      <c r="AV76" s="166">
        <v>0.68700000000000006</v>
      </c>
      <c r="AW76" s="166">
        <v>0.73309999999999997</v>
      </c>
      <c r="AX76" s="166">
        <v>0.70630000000000004</v>
      </c>
      <c r="AY76" s="166">
        <v>0.70269999999999999</v>
      </c>
      <c r="AZ76" s="165" t="s">
        <v>295</v>
      </c>
      <c r="BA76" s="166" t="s">
        <v>598</v>
      </c>
      <c r="BB76" s="166" t="s">
        <v>345</v>
      </c>
      <c r="BC76" s="166">
        <v>0.68469999999999998</v>
      </c>
      <c r="BD76" s="166">
        <v>0.67449999999999999</v>
      </c>
      <c r="BE76" s="166">
        <v>0.6663</v>
      </c>
      <c r="BF76" s="166">
        <v>0.71950000000000003</v>
      </c>
      <c r="BG76" s="166">
        <v>0.69220000000000004</v>
      </c>
      <c r="BH76" s="166">
        <v>0.68669999999999998</v>
      </c>
      <c r="BI76" s="140"/>
      <c r="BJ76" s="152"/>
      <c r="BK76" s="152"/>
      <c r="BL76" s="137"/>
      <c r="BM76" s="137"/>
      <c r="BN76" s="137"/>
      <c r="BO76" s="137"/>
      <c r="BP76" s="137"/>
      <c r="BQ76" s="137"/>
      <c r="BR76" s="277" t="s">
        <v>295</v>
      </c>
      <c r="BS76" s="270">
        <v>378</v>
      </c>
      <c r="BT76" s="270">
        <v>374</v>
      </c>
      <c r="BU76" s="270">
        <v>0.70289999999999997</v>
      </c>
      <c r="BV76" s="270">
        <v>0.67800000000000005</v>
      </c>
      <c r="BW76" s="270">
        <v>0.67600000000000005</v>
      </c>
      <c r="BX76" s="270">
        <v>0.73109999999999997</v>
      </c>
      <c r="BY76" s="270">
        <v>0.66100000000000003</v>
      </c>
      <c r="BZ76" s="270">
        <v>0.69420000000000004</v>
      </c>
      <c r="CA76" s="356" t="s">
        <v>295</v>
      </c>
      <c r="CB76" s="355" t="s">
        <v>820</v>
      </c>
      <c r="CC76" s="355" t="s">
        <v>821</v>
      </c>
      <c r="CD76" s="355">
        <v>0.7107</v>
      </c>
      <c r="CE76" s="355">
        <v>0.68069999999999997</v>
      </c>
      <c r="CF76" s="355">
        <v>0.68049999999999999</v>
      </c>
      <c r="CG76" s="355">
        <v>0.7339</v>
      </c>
      <c r="CH76" s="355">
        <v>0.6784</v>
      </c>
      <c r="CI76" s="355">
        <v>0.69969999999999999</v>
      </c>
      <c r="CJ76" s="715" t="s">
        <v>295</v>
      </c>
      <c r="CK76" s="620">
        <v>613</v>
      </c>
      <c r="CL76" s="620">
        <v>603</v>
      </c>
      <c r="CM76" s="620">
        <v>0.70730000000000004</v>
      </c>
      <c r="CN76" s="620">
        <v>0.68910000000000005</v>
      </c>
      <c r="CO76" s="620">
        <v>0.68</v>
      </c>
      <c r="CP76" s="620">
        <v>0.73799999999999999</v>
      </c>
      <c r="CQ76" s="620">
        <v>0.69720000000000004</v>
      </c>
      <c r="CR76" s="711">
        <v>0.70309999999999995</v>
      </c>
      <c r="CS76" s="564" t="s">
        <v>295</v>
      </c>
      <c r="CT76" s="564">
        <v>634</v>
      </c>
      <c r="CU76" s="564">
        <v>616</v>
      </c>
      <c r="CV76" s="585">
        <v>0.72050000000000003</v>
      </c>
      <c r="CW76" s="585">
        <v>0.70379999999999998</v>
      </c>
      <c r="CX76" s="585">
        <v>0.68720000000000003</v>
      </c>
      <c r="CY76" s="585">
        <v>0.73850000000000005</v>
      </c>
      <c r="CZ76" s="585">
        <v>0.71089999999999998</v>
      </c>
      <c r="DA76" s="585">
        <v>0.71240000000000003</v>
      </c>
      <c r="DB76" s="884" t="s">
        <v>295</v>
      </c>
      <c r="DC76" s="884">
        <v>706</v>
      </c>
      <c r="DD76" s="884">
        <v>686</v>
      </c>
      <c r="DE76" s="884">
        <v>0.71889999999999998</v>
      </c>
      <c r="DF76" s="133">
        <v>0.71150000000000002</v>
      </c>
      <c r="DG76" s="133">
        <v>0.6905</v>
      </c>
      <c r="DH76" s="133">
        <v>0.747</v>
      </c>
      <c r="DI76" s="133">
        <v>0.71189999999999998</v>
      </c>
      <c r="DJ76" s="133">
        <v>0.71660000000000001</v>
      </c>
    </row>
    <row r="77" spans="1:114" x14ac:dyDescent="0.25">
      <c r="A77" s="36" t="s">
        <v>78</v>
      </c>
      <c r="B77" s="668">
        <v>125754001418</v>
      </c>
      <c r="C77" s="134" t="s">
        <v>452</v>
      </c>
      <c r="D77" s="134" t="s">
        <v>307</v>
      </c>
      <c r="E77" s="134" t="s">
        <v>671</v>
      </c>
      <c r="F77" s="134" t="s">
        <v>121</v>
      </c>
      <c r="G77" s="165" t="s">
        <v>295</v>
      </c>
      <c r="H77" s="166">
        <v>279</v>
      </c>
      <c r="I77" s="166">
        <v>271</v>
      </c>
      <c r="J77" s="166">
        <v>0.66290000000000004</v>
      </c>
      <c r="K77" s="166">
        <v>0.66080000000000005</v>
      </c>
      <c r="L77" s="166">
        <v>0.68879999999999997</v>
      </c>
      <c r="M77" s="166">
        <v>0.68289999999999995</v>
      </c>
      <c r="N77" s="166">
        <v>0.66300000000000003</v>
      </c>
      <c r="O77" s="166">
        <v>0.67300000000000004</v>
      </c>
      <c r="P77" s="175" t="s">
        <v>427</v>
      </c>
      <c r="Q77" s="174" t="s">
        <v>585</v>
      </c>
      <c r="R77" s="174" t="s">
        <v>564</v>
      </c>
      <c r="S77" s="174">
        <v>0.65969999999999995</v>
      </c>
      <c r="T77" s="174">
        <v>0.66339999999999999</v>
      </c>
      <c r="U77" s="174">
        <v>0.67910000000000004</v>
      </c>
      <c r="V77" s="174">
        <v>0.6724</v>
      </c>
      <c r="W77" s="174">
        <v>0.65329999999999999</v>
      </c>
      <c r="X77" s="174">
        <v>0.66749999999999998</v>
      </c>
      <c r="Y77" s="138" t="s">
        <v>295</v>
      </c>
      <c r="Z77" s="134" t="s">
        <v>573</v>
      </c>
      <c r="AA77" s="134" t="s">
        <v>574</v>
      </c>
      <c r="AB77" s="137">
        <v>0.67989999999999995</v>
      </c>
      <c r="AC77" s="137">
        <v>0.68510000000000004</v>
      </c>
      <c r="AD77" s="137">
        <v>0.6784</v>
      </c>
      <c r="AE77" s="137">
        <v>0.68700000000000006</v>
      </c>
      <c r="AF77" s="137">
        <v>0.67130000000000001</v>
      </c>
      <c r="AG77" s="137">
        <v>0.68169999999999997</v>
      </c>
      <c r="AH77" s="159" t="s">
        <v>295</v>
      </c>
      <c r="AI77" s="134" t="s">
        <v>499</v>
      </c>
      <c r="AJ77" s="134" t="s">
        <v>500</v>
      </c>
      <c r="AK77" s="137">
        <v>0.68540000000000001</v>
      </c>
      <c r="AL77" s="137">
        <v>0.70040000000000002</v>
      </c>
      <c r="AM77" s="137">
        <v>0.6764</v>
      </c>
      <c r="AN77" s="137">
        <v>0.70789999999999997</v>
      </c>
      <c r="AO77" s="137">
        <v>0.67400000000000004</v>
      </c>
      <c r="AP77" s="137">
        <v>0.69110000000000005</v>
      </c>
      <c r="AQ77" s="139" t="s">
        <v>295</v>
      </c>
      <c r="AR77" s="134" t="s">
        <v>404</v>
      </c>
      <c r="AS77" s="134" t="s">
        <v>405</v>
      </c>
      <c r="AT77" s="137">
        <v>0.68610000000000004</v>
      </c>
      <c r="AU77" s="137">
        <v>0.69799999999999995</v>
      </c>
      <c r="AV77" s="137">
        <v>0.66490000000000005</v>
      </c>
      <c r="AW77" s="137">
        <v>0.71809999999999996</v>
      </c>
      <c r="AX77" s="137">
        <v>0.68740000000000001</v>
      </c>
      <c r="AY77" s="137">
        <v>0.69140000000000001</v>
      </c>
      <c r="AZ77" s="138" t="s">
        <v>295</v>
      </c>
      <c r="BA77" s="134" t="s">
        <v>657</v>
      </c>
      <c r="BB77" s="134" t="s">
        <v>658</v>
      </c>
      <c r="BC77" s="137">
        <v>0.68610000000000004</v>
      </c>
      <c r="BD77" s="137">
        <v>0.67449999999999999</v>
      </c>
      <c r="BE77" s="137">
        <v>0.64649999999999996</v>
      </c>
      <c r="BF77" s="137">
        <v>0.71679999999999999</v>
      </c>
      <c r="BG77" s="137">
        <v>0.67649999999999999</v>
      </c>
      <c r="BH77" s="137">
        <v>0.68059999999999998</v>
      </c>
      <c r="BI77" s="135" t="s">
        <v>295</v>
      </c>
      <c r="BJ77" s="152">
        <v>335</v>
      </c>
      <c r="BK77" s="152">
        <v>325</v>
      </c>
      <c r="BL77" s="137">
        <v>0.68889999999999996</v>
      </c>
      <c r="BM77" s="137">
        <v>0.65910000000000002</v>
      </c>
      <c r="BN77" s="137">
        <v>0.63959999999999995</v>
      </c>
      <c r="BO77" s="137">
        <v>0.71009999999999995</v>
      </c>
      <c r="BP77" s="137">
        <v>0.6643</v>
      </c>
      <c r="BQ77" s="137">
        <v>0.67359999999999998</v>
      </c>
      <c r="BR77" s="277" t="s">
        <v>295</v>
      </c>
      <c r="BS77" s="270">
        <v>340</v>
      </c>
      <c r="BT77" s="270">
        <v>336</v>
      </c>
      <c r="BU77" s="270">
        <v>0.70030000000000003</v>
      </c>
      <c r="BV77" s="270">
        <v>0.66210000000000002</v>
      </c>
      <c r="BW77" s="270">
        <v>0.64739999999999998</v>
      </c>
      <c r="BX77" s="270">
        <v>0.71619999999999995</v>
      </c>
      <c r="BY77" s="270">
        <v>0.66349999999999998</v>
      </c>
      <c r="BZ77" s="270">
        <v>0.68010000000000004</v>
      </c>
      <c r="CA77" s="699" t="s">
        <v>295</v>
      </c>
      <c r="CB77" s="672" t="s">
        <v>348</v>
      </c>
      <c r="CC77" s="672" t="s">
        <v>521</v>
      </c>
      <c r="CD77" s="672">
        <v>0.69289999999999996</v>
      </c>
      <c r="CE77" s="672">
        <v>0.66339999999999999</v>
      </c>
      <c r="CF77" s="672">
        <v>0.65880000000000005</v>
      </c>
      <c r="CG77" s="672">
        <v>0.72319999999999995</v>
      </c>
      <c r="CH77" s="672">
        <v>0.65449999999999997</v>
      </c>
      <c r="CI77" s="672">
        <v>0.68220000000000003</v>
      </c>
      <c r="CJ77" s="704" t="s">
        <v>295</v>
      </c>
      <c r="CK77" s="620">
        <v>347</v>
      </c>
      <c r="CL77" s="620">
        <v>337</v>
      </c>
      <c r="CM77" s="620">
        <v>0.69450000000000001</v>
      </c>
      <c r="CN77" s="620">
        <v>0.65659999999999996</v>
      </c>
      <c r="CO77" s="620">
        <v>0.64649999999999996</v>
      </c>
      <c r="CP77" s="620">
        <v>0.71750000000000003</v>
      </c>
      <c r="CQ77" s="620">
        <v>0.66569999999999996</v>
      </c>
      <c r="CR77" s="711">
        <v>0.67779999999999996</v>
      </c>
      <c r="CS77" s="564" t="s">
        <v>295</v>
      </c>
      <c r="CT77" s="564">
        <v>339</v>
      </c>
      <c r="CU77" s="564">
        <v>328</v>
      </c>
      <c r="CV77" s="585">
        <v>0.69710000000000005</v>
      </c>
      <c r="CW77" s="585">
        <v>0.65300000000000002</v>
      </c>
      <c r="CX77" s="585">
        <v>0.63959999999999995</v>
      </c>
      <c r="CY77" s="585">
        <v>0.71840000000000004</v>
      </c>
      <c r="CZ77" s="585">
        <v>0.65800000000000003</v>
      </c>
      <c r="DA77" s="585">
        <v>0.67559999999999998</v>
      </c>
      <c r="DB77" s="884" t="s">
        <v>427</v>
      </c>
      <c r="DC77" s="884">
        <v>338</v>
      </c>
      <c r="DD77" s="884">
        <v>326</v>
      </c>
      <c r="DE77" s="884">
        <v>0.68500000000000005</v>
      </c>
      <c r="DF77" s="133">
        <v>0.64480000000000004</v>
      </c>
      <c r="DG77" s="133">
        <v>0.62150000000000005</v>
      </c>
      <c r="DH77" s="133">
        <v>0.69889999999999997</v>
      </c>
      <c r="DI77" s="133">
        <v>0.66020000000000001</v>
      </c>
      <c r="DJ77" s="133">
        <v>0.66239999999999999</v>
      </c>
    </row>
    <row r="78" spans="1:114" x14ac:dyDescent="0.25">
      <c r="A78" s="36" t="s">
        <v>177</v>
      </c>
      <c r="B78" s="668">
        <v>125754005464</v>
      </c>
      <c r="C78" s="134" t="s">
        <v>452</v>
      </c>
      <c r="D78" s="134" t="s">
        <v>307</v>
      </c>
      <c r="E78" s="134" t="s">
        <v>671</v>
      </c>
      <c r="F78" s="134" t="s">
        <v>121</v>
      </c>
      <c r="G78" s="134"/>
      <c r="H78" s="134"/>
      <c r="I78" s="134"/>
      <c r="J78" s="134"/>
      <c r="K78" s="134"/>
      <c r="L78" s="134"/>
      <c r="M78" s="134"/>
      <c r="N78" s="134"/>
      <c r="O78" s="134"/>
      <c r="P78" s="563"/>
      <c r="Q78" s="563"/>
      <c r="R78" s="563"/>
      <c r="S78" s="563"/>
      <c r="T78" s="563"/>
      <c r="U78" s="563"/>
      <c r="V78" s="563"/>
      <c r="W78" s="563"/>
      <c r="X78" s="563"/>
      <c r="Y78" s="138" t="s">
        <v>295</v>
      </c>
      <c r="Z78" s="134" t="s">
        <v>466</v>
      </c>
      <c r="AA78" s="134" t="s">
        <v>466</v>
      </c>
      <c r="AB78" s="137">
        <v>0.66420000000000001</v>
      </c>
      <c r="AC78" s="137">
        <v>0.71730000000000005</v>
      </c>
      <c r="AD78" s="137">
        <v>0.66359999999999997</v>
      </c>
      <c r="AE78" s="137">
        <v>0.69230000000000003</v>
      </c>
      <c r="AF78" s="137">
        <v>0.70289999999999997</v>
      </c>
      <c r="AG78" s="137">
        <v>0.68579999999999997</v>
      </c>
      <c r="AH78" s="159" t="s">
        <v>295</v>
      </c>
      <c r="AI78" s="134" t="s">
        <v>597</v>
      </c>
      <c r="AJ78" s="134" t="s">
        <v>591</v>
      </c>
      <c r="AK78" s="137">
        <v>0.68089999999999995</v>
      </c>
      <c r="AL78" s="137">
        <v>0.71309999999999996</v>
      </c>
      <c r="AM78" s="137">
        <v>0.68169999999999997</v>
      </c>
      <c r="AN78" s="137">
        <v>0.71619999999999995</v>
      </c>
      <c r="AO78" s="137">
        <v>0.6905</v>
      </c>
      <c r="AP78" s="137">
        <v>0.69740000000000002</v>
      </c>
      <c r="AQ78" s="139" t="s">
        <v>295</v>
      </c>
      <c r="AR78" s="134" t="s">
        <v>674</v>
      </c>
      <c r="AS78" s="134" t="s">
        <v>458</v>
      </c>
      <c r="AT78" s="137">
        <v>0.68269999999999997</v>
      </c>
      <c r="AU78" s="137">
        <v>0.70489999999999997</v>
      </c>
      <c r="AV78" s="137">
        <v>0.68279999999999996</v>
      </c>
      <c r="AW78" s="137">
        <v>0.72799999999999998</v>
      </c>
      <c r="AX78" s="137">
        <v>0.69550000000000001</v>
      </c>
      <c r="AY78" s="137">
        <v>0.69930000000000003</v>
      </c>
      <c r="AZ78" s="138" t="s">
        <v>295</v>
      </c>
      <c r="BA78" s="134" t="s">
        <v>566</v>
      </c>
      <c r="BB78" s="134" t="s">
        <v>673</v>
      </c>
      <c r="BC78" s="137">
        <v>0.68799999999999994</v>
      </c>
      <c r="BD78" s="137">
        <v>0.69410000000000005</v>
      </c>
      <c r="BE78" s="137">
        <v>0.67520000000000002</v>
      </c>
      <c r="BF78" s="137">
        <v>0.73250000000000004</v>
      </c>
      <c r="BG78" s="137">
        <v>0.6855</v>
      </c>
      <c r="BH78" s="137">
        <v>0.69650000000000001</v>
      </c>
      <c r="BI78" s="135" t="s">
        <v>295</v>
      </c>
      <c r="BJ78" s="152">
        <v>205</v>
      </c>
      <c r="BK78" s="152">
        <v>202</v>
      </c>
      <c r="BL78" s="137">
        <v>0.72829999999999995</v>
      </c>
      <c r="BM78" s="137">
        <v>0.70120000000000005</v>
      </c>
      <c r="BN78" s="137">
        <v>0.69769999999999999</v>
      </c>
      <c r="BO78" s="137">
        <v>0.74770000000000003</v>
      </c>
      <c r="BP78" s="137">
        <v>0.6512</v>
      </c>
      <c r="BQ78" s="137">
        <v>0.71350000000000002</v>
      </c>
      <c r="BR78" s="277" t="s">
        <v>295</v>
      </c>
      <c r="BS78" s="270">
        <v>724</v>
      </c>
      <c r="BT78" s="270">
        <v>716</v>
      </c>
      <c r="BU78" s="270">
        <v>0.69410000000000005</v>
      </c>
      <c r="BV78" s="270">
        <v>0.67400000000000004</v>
      </c>
      <c r="BW78" s="270">
        <v>0.6552</v>
      </c>
      <c r="BX78" s="270">
        <v>0.72589999999999999</v>
      </c>
      <c r="BY78" s="270">
        <v>0.65569999999999995</v>
      </c>
      <c r="BZ78" s="270">
        <v>0.68489999999999995</v>
      </c>
      <c r="CA78" s="356" t="s">
        <v>295</v>
      </c>
      <c r="CB78" s="355" t="s">
        <v>822</v>
      </c>
      <c r="CC78" s="355" t="s">
        <v>823</v>
      </c>
      <c r="CD78" s="355">
        <v>0.72060000000000002</v>
      </c>
      <c r="CE78" s="355">
        <v>0.69410000000000005</v>
      </c>
      <c r="CF78" s="355">
        <v>0.68589999999999995</v>
      </c>
      <c r="CG78" s="355">
        <v>0.74860000000000004</v>
      </c>
      <c r="CH78" s="355">
        <v>0.68559999999999999</v>
      </c>
      <c r="CI78" s="355">
        <v>0.71020000000000005</v>
      </c>
      <c r="CJ78" s="715" t="s">
        <v>295</v>
      </c>
      <c r="CK78" s="620">
        <v>715</v>
      </c>
      <c r="CL78" s="620">
        <v>708</v>
      </c>
      <c r="CM78" s="620">
        <v>0.71640000000000004</v>
      </c>
      <c r="CN78" s="620">
        <v>0.69430000000000003</v>
      </c>
      <c r="CO78" s="620">
        <v>0.68330000000000002</v>
      </c>
      <c r="CP78" s="620">
        <v>0.74980000000000002</v>
      </c>
      <c r="CQ78" s="620">
        <v>0.69989999999999997</v>
      </c>
      <c r="CR78" s="711">
        <v>0.71009999999999995</v>
      </c>
      <c r="CS78" s="564" t="s">
        <v>295</v>
      </c>
      <c r="CT78" s="564">
        <v>692</v>
      </c>
      <c r="CU78" s="564">
        <v>682</v>
      </c>
      <c r="CV78" s="585">
        <v>0.72660000000000002</v>
      </c>
      <c r="CW78" s="585">
        <v>0.70099999999999996</v>
      </c>
      <c r="CX78" s="585">
        <v>0.68910000000000005</v>
      </c>
      <c r="CY78" s="585">
        <v>0.75280000000000002</v>
      </c>
      <c r="CZ78" s="585">
        <v>0.70220000000000005</v>
      </c>
      <c r="DA78" s="585">
        <v>0.71619999999999995</v>
      </c>
      <c r="DB78" s="884" t="s">
        <v>295</v>
      </c>
      <c r="DC78" s="884">
        <v>677</v>
      </c>
      <c r="DD78" s="884">
        <v>666</v>
      </c>
      <c r="DE78" s="884">
        <v>0.72360000000000002</v>
      </c>
      <c r="DF78" s="133">
        <v>0.70850000000000002</v>
      </c>
      <c r="DG78" s="133">
        <v>0.6885</v>
      </c>
      <c r="DH78" s="133">
        <v>0.754</v>
      </c>
      <c r="DI78" s="133">
        <v>0.71030000000000004</v>
      </c>
      <c r="DJ78" s="133">
        <v>0.71799999999999997</v>
      </c>
    </row>
    <row r="79" spans="1:114" x14ac:dyDescent="0.25">
      <c r="A79" s="36" t="s">
        <v>61</v>
      </c>
      <c r="B79" s="668">
        <v>125754001957</v>
      </c>
      <c r="C79" s="134" t="s">
        <v>452</v>
      </c>
      <c r="D79" s="134" t="s">
        <v>307</v>
      </c>
      <c r="E79" s="134" t="s">
        <v>671</v>
      </c>
      <c r="F79" s="134" t="s">
        <v>121</v>
      </c>
      <c r="G79" s="167" t="s">
        <v>427</v>
      </c>
      <c r="H79" s="166">
        <v>372</v>
      </c>
      <c r="I79" s="166">
        <v>365</v>
      </c>
      <c r="J79" s="166">
        <v>0.65580000000000005</v>
      </c>
      <c r="K79" s="166">
        <v>0.65959999999999996</v>
      </c>
      <c r="L79" s="166">
        <v>0.65190000000000003</v>
      </c>
      <c r="M79" s="166">
        <v>0.64839999999999998</v>
      </c>
      <c r="N79" s="166">
        <v>0.63660000000000005</v>
      </c>
      <c r="O79" s="166">
        <v>0.65259999999999996</v>
      </c>
      <c r="P79" s="175" t="s">
        <v>427</v>
      </c>
      <c r="Q79" s="174" t="s">
        <v>684</v>
      </c>
      <c r="R79" s="174" t="s">
        <v>691</v>
      </c>
      <c r="S79" s="174">
        <v>0.64600000000000002</v>
      </c>
      <c r="T79" s="174">
        <v>0.6603</v>
      </c>
      <c r="U79" s="174">
        <v>0.64549999999999996</v>
      </c>
      <c r="V79" s="174">
        <v>0.64700000000000002</v>
      </c>
      <c r="W79" s="174">
        <v>0.63849999999999996</v>
      </c>
      <c r="X79" s="174">
        <v>0.64880000000000004</v>
      </c>
      <c r="Y79" s="141" t="s">
        <v>427</v>
      </c>
      <c r="Z79" s="134" t="s">
        <v>587</v>
      </c>
      <c r="AA79" s="134" t="s">
        <v>588</v>
      </c>
      <c r="AB79" s="137">
        <v>0.6482</v>
      </c>
      <c r="AC79" s="137">
        <v>0.6643</v>
      </c>
      <c r="AD79" s="137">
        <v>0.64370000000000005</v>
      </c>
      <c r="AE79" s="137">
        <v>0.65949999999999998</v>
      </c>
      <c r="AF79" s="137">
        <v>0.64949999999999997</v>
      </c>
      <c r="AG79" s="137">
        <v>0.65359999999999996</v>
      </c>
      <c r="AH79" s="155" t="s">
        <v>427</v>
      </c>
      <c r="AI79" s="134" t="s">
        <v>520</v>
      </c>
      <c r="AJ79" s="134" t="s">
        <v>521</v>
      </c>
      <c r="AK79" s="137">
        <v>0.64629999999999999</v>
      </c>
      <c r="AL79" s="137">
        <v>0.66659999999999997</v>
      </c>
      <c r="AM79" s="137">
        <v>0.63239999999999996</v>
      </c>
      <c r="AN79" s="137">
        <v>0.66849999999999998</v>
      </c>
      <c r="AO79" s="137">
        <v>0.63739999999999997</v>
      </c>
      <c r="AP79" s="137">
        <v>0.6522</v>
      </c>
      <c r="AQ79" s="142" t="s">
        <v>427</v>
      </c>
      <c r="AR79" s="134" t="s">
        <v>436</v>
      </c>
      <c r="AS79" s="134" t="s">
        <v>331</v>
      </c>
      <c r="AT79" s="137">
        <v>0.65500000000000003</v>
      </c>
      <c r="AU79" s="137">
        <v>0.66020000000000001</v>
      </c>
      <c r="AV79" s="137">
        <v>0.62460000000000004</v>
      </c>
      <c r="AW79" s="137">
        <v>0.67659999999999998</v>
      </c>
      <c r="AX79" s="137">
        <v>0.63560000000000005</v>
      </c>
      <c r="AY79" s="137">
        <v>0.65269999999999995</v>
      </c>
      <c r="AZ79" s="141" t="s">
        <v>427</v>
      </c>
      <c r="BA79" s="134" t="s">
        <v>602</v>
      </c>
      <c r="BB79" s="134" t="s">
        <v>633</v>
      </c>
      <c r="BC79" s="137">
        <v>0.64200000000000002</v>
      </c>
      <c r="BD79" s="137">
        <v>0.63239999999999996</v>
      </c>
      <c r="BE79" s="137">
        <v>0.59399999999999997</v>
      </c>
      <c r="BF79" s="137">
        <v>0.67110000000000003</v>
      </c>
      <c r="BG79" s="137">
        <v>0.61460000000000004</v>
      </c>
      <c r="BH79" s="137">
        <v>0.63329999999999997</v>
      </c>
      <c r="BI79" s="140" t="s">
        <v>427</v>
      </c>
      <c r="BJ79" s="152">
        <v>340</v>
      </c>
      <c r="BK79" s="152">
        <v>319</v>
      </c>
      <c r="BL79" s="137">
        <v>0.6452</v>
      </c>
      <c r="BM79" s="137">
        <v>0.61509999999999998</v>
      </c>
      <c r="BN79" s="137">
        <v>0.58789999999999998</v>
      </c>
      <c r="BO79" s="137">
        <v>0.66990000000000005</v>
      </c>
      <c r="BP79" s="137">
        <v>0.60370000000000001</v>
      </c>
      <c r="BQ79" s="137">
        <v>0.62749999999999995</v>
      </c>
      <c r="BR79" s="278" t="s">
        <v>443</v>
      </c>
      <c r="BS79" s="270">
        <v>365</v>
      </c>
      <c r="BT79" s="270">
        <v>346</v>
      </c>
      <c r="BU79" s="270">
        <v>0.63090000000000002</v>
      </c>
      <c r="BV79" s="270">
        <v>0.59640000000000004</v>
      </c>
      <c r="BW79" s="270">
        <v>0.57310000000000005</v>
      </c>
      <c r="BX79" s="270">
        <v>0.65600000000000003</v>
      </c>
      <c r="BY79" s="270">
        <v>0.58169999999999999</v>
      </c>
      <c r="BZ79" s="270">
        <v>0.61160000000000003</v>
      </c>
      <c r="CA79" s="357" t="s">
        <v>427</v>
      </c>
      <c r="CB79" s="355" t="s">
        <v>637</v>
      </c>
      <c r="CC79" s="355" t="s">
        <v>824</v>
      </c>
      <c r="CD79" s="355">
        <v>0.6522</v>
      </c>
      <c r="CE79" s="355">
        <v>0.61660000000000004</v>
      </c>
      <c r="CF79" s="355">
        <v>0.60580000000000001</v>
      </c>
      <c r="CG79" s="355">
        <v>0.67320000000000002</v>
      </c>
      <c r="CH79" s="355">
        <v>0.60629999999999995</v>
      </c>
      <c r="CI79" s="355">
        <v>0.63460000000000005</v>
      </c>
      <c r="CJ79" s="718" t="s">
        <v>427</v>
      </c>
      <c r="CK79" s="620">
        <v>354</v>
      </c>
      <c r="CL79" s="620">
        <v>345</v>
      </c>
      <c r="CM79" s="620">
        <v>0.63970000000000005</v>
      </c>
      <c r="CN79" s="620">
        <v>0.61019999999999996</v>
      </c>
      <c r="CO79" s="620">
        <v>0.59930000000000005</v>
      </c>
      <c r="CP79" s="620">
        <v>0.66549999999999998</v>
      </c>
      <c r="CQ79" s="620">
        <v>0.61339999999999995</v>
      </c>
      <c r="CR79" s="711">
        <v>0.62749999999999995</v>
      </c>
      <c r="CS79" s="564" t="s">
        <v>427</v>
      </c>
      <c r="CT79" s="564">
        <v>356</v>
      </c>
      <c r="CU79" s="564">
        <v>350</v>
      </c>
      <c r="CV79" s="585">
        <v>0.64259999999999995</v>
      </c>
      <c r="CW79" s="585">
        <v>0.61560000000000004</v>
      </c>
      <c r="CX79" s="585">
        <v>0.60629999999999995</v>
      </c>
      <c r="CY79" s="585">
        <v>0.67290000000000005</v>
      </c>
      <c r="CZ79" s="585">
        <v>0.62070000000000003</v>
      </c>
      <c r="DA79" s="585">
        <v>0.63329999999999997</v>
      </c>
      <c r="DB79" s="884" t="s">
        <v>427</v>
      </c>
      <c r="DC79" s="884">
        <v>365</v>
      </c>
      <c r="DD79" s="884">
        <v>352</v>
      </c>
      <c r="DE79" s="884">
        <v>0.64270000000000005</v>
      </c>
      <c r="DF79" s="133">
        <v>0.61890000000000001</v>
      </c>
      <c r="DG79" s="133">
        <v>0.59570000000000001</v>
      </c>
      <c r="DH79" s="133">
        <v>0.67249999999999999</v>
      </c>
      <c r="DI79" s="133">
        <v>0.62290000000000001</v>
      </c>
      <c r="DJ79" s="133">
        <v>0.63170000000000004</v>
      </c>
    </row>
    <row r="80" spans="1:114" x14ac:dyDescent="0.25">
      <c r="A80" s="36" t="s">
        <v>52</v>
      </c>
      <c r="B80" s="668">
        <v>125754003267</v>
      </c>
      <c r="C80" s="134" t="s">
        <v>452</v>
      </c>
      <c r="D80" s="134" t="s">
        <v>307</v>
      </c>
      <c r="E80" s="134" t="s">
        <v>671</v>
      </c>
      <c r="F80" s="134" t="s">
        <v>121</v>
      </c>
      <c r="G80" s="167" t="s">
        <v>427</v>
      </c>
      <c r="H80" s="166">
        <v>829</v>
      </c>
      <c r="I80" s="166">
        <v>805</v>
      </c>
      <c r="J80" s="166">
        <v>0.67010000000000003</v>
      </c>
      <c r="K80" s="166">
        <v>0.66659999999999997</v>
      </c>
      <c r="L80" s="166">
        <v>0.66890000000000005</v>
      </c>
      <c r="M80" s="166">
        <v>0.67969999999999997</v>
      </c>
      <c r="N80" s="166">
        <v>0.64990000000000003</v>
      </c>
      <c r="O80" s="166">
        <v>0.66969999999999996</v>
      </c>
      <c r="P80" s="173" t="s">
        <v>295</v>
      </c>
      <c r="Q80" s="174" t="s">
        <v>702</v>
      </c>
      <c r="R80" s="174" t="s">
        <v>703</v>
      </c>
      <c r="S80" s="174">
        <v>0.66869999999999996</v>
      </c>
      <c r="T80" s="174">
        <v>0.67190000000000005</v>
      </c>
      <c r="U80" s="174">
        <v>0.67200000000000004</v>
      </c>
      <c r="V80" s="174">
        <v>0.68100000000000005</v>
      </c>
      <c r="W80" s="174">
        <v>0.65790000000000004</v>
      </c>
      <c r="X80" s="174">
        <v>0.67220000000000002</v>
      </c>
      <c r="Y80" s="138" t="s">
        <v>295</v>
      </c>
      <c r="Z80" s="134" t="s">
        <v>366</v>
      </c>
      <c r="AA80" s="134" t="s">
        <v>567</v>
      </c>
      <c r="AB80" s="137">
        <v>0.68179999999999996</v>
      </c>
      <c r="AC80" s="137">
        <v>0.69389999999999996</v>
      </c>
      <c r="AD80" s="137">
        <v>0.67910000000000004</v>
      </c>
      <c r="AE80" s="137">
        <v>0.69569999999999999</v>
      </c>
      <c r="AF80" s="137">
        <v>0.67259999999999998</v>
      </c>
      <c r="AG80" s="137">
        <v>0.6865</v>
      </c>
      <c r="AH80" s="159" t="s">
        <v>295</v>
      </c>
      <c r="AI80" s="134" t="s">
        <v>508</v>
      </c>
      <c r="AJ80" s="134" t="s">
        <v>509</v>
      </c>
      <c r="AK80" s="137">
        <v>0.6825</v>
      </c>
      <c r="AL80" s="137">
        <v>0.70189999999999997</v>
      </c>
      <c r="AM80" s="137">
        <v>0.67730000000000001</v>
      </c>
      <c r="AN80" s="137">
        <v>0.69899999999999995</v>
      </c>
      <c r="AO80" s="137">
        <v>0.66869999999999996</v>
      </c>
      <c r="AP80" s="137">
        <v>0.6885</v>
      </c>
      <c r="AQ80" s="139" t="s">
        <v>295</v>
      </c>
      <c r="AR80" s="134" t="s">
        <v>418</v>
      </c>
      <c r="AS80" s="134" t="s">
        <v>419</v>
      </c>
      <c r="AT80" s="137">
        <v>0.68179999999999996</v>
      </c>
      <c r="AU80" s="137">
        <v>0.69520000000000004</v>
      </c>
      <c r="AV80" s="137">
        <v>0.66500000000000004</v>
      </c>
      <c r="AW80" s="137">
        <v>0.70730000000000004</v>
      </c>
      <c r="AX80" s="137">
        <v>0.66759999999999997</v>
      </c>
      <c r="AY80" s="137">
        <v>0.68579999999999997</v>
      </c>
      <c r="AZ80" s="138" t="s">
        <v>295</v>
      </c>
      <c r="BA80" s="134" t="s">
        <v>660</v>
      </c>
      <c r="BB80" s="134" t="s">
        <v>661</v>
      </c>
      <c r="BC80" s="137">
        <v>0.67710000000000004</v>
      </c>
      <c r="BD80" s="137">
        <v>0.67330000000000001</v>
      </c>
      <c r="BE80" s="137">
        <v>0.6512</v>
      </c>
      <c r="BF80" s="137">
        <v>0.70740000000000003</v>
      </c>
      <c r="BG80" s="137">
        <v>0.65710000000000002</v>
      </c>
      <c r="BH80" s="137">
        <v>0.67569999999999997</v>
      </c>
      <c r="BI80" s="140" t="s">
        <v>427</v>
      </c>
      <c r="BJ80" s="152">
        <v>815</v>
      </c>
      <c r="BK80" s="152">
        <v>776</v>
      </c>
      <c r="BL80" s="137">
        <v>0.68110000000000004</v>
      </c>
      <c r="BM80" s="137">
        <v>0.65410000000000001</v>
      </c>
      <c r="BN80" s="137">
        <v>0.64039999999999997</v>
      </c>
      <c r="BO80" s="137">
        <v>0.70469999999999999</v>
      </c>
      <c r="BP80" s="137">
        <v>0.64219999999999999</v>
      </c>
      <c r="BQ80" s="137">
        <v>0.66790000000000005</v>
      </c>
      <c r="BR80" s="279" t="s">
        <v>427</v>
      </c>
      <c r="BS80" s="270">
        <v>708</v>
      </c>
      <c r="BT80" s="270">
        <v>694</v>
      </c>
      <c r="BU80" s="270">
        <v>0.68600000000000005</v>
      </c>
      <c r="BV80" s="270">
        <v>0.64370000000000005</v>
      </c>
      <c r="BW80" s="270">
        <v>0.63790000000000002</v>
      </c>
      <c r="BX80" s="270">
        <v>0.70689999999999997</v>
      </c>
      <c r="BY80" s="270">
        <v>0.63629999999999998</v>
      </c>
      <c r="BZ80" s="270">
        <v>0.66610000000000003</v>
      </c>
      <c r="CA80" s="356" t="s">
        <v>295</v>
      </c>
      <c r="CB80" s="355" t="s">
        <v>825</v>
      </c>
      <c r="CC80" s="355" t="s">
        <v>826</v>
      </c>
      <c r="CD80" s="355">
        <v>0.68740000000000001</v>
      </c>
      <c r="CE80" s="355">
        <v>0.64890000000000003</v>
      </c>
      <c r="CF80" s="355">
        <v>0.64539999999999997</v>
      </c>
      <c r="CG80" s="355">
        <v>0.71</v>
      </c>
      <c r="CH80" s="355">
        <v>0.64249999999999996</v>
      </c>
      <c r="CI80" s="355">
        <v>0.67059999999999997</v>
      </c>
      <c r="CJ80" s="715" t="s">
        <v>295</v>
      </c>
      <c r="CK80" s="620">
        <v>713</v>
      </c>
      <c r="CL80" s="620">
        <v>696</v>
      </c>
      <c r="CM80" s="620">
        <v>0.69379999999999997</v>
      </c>
      <c r="CN80" s="620">
        <v>0.6603</v>
      </c>
      <c r="CO80" s="620">
        <v>0.64639999999999997</v>
      </c>
      <c r="CP80" s="620">
        <v>0.71450000000000002</v>
      </c>
      <c r="CQ80" s="620">
        <v>0.67010000000000003</v>
      </c>
      <c r="CR80" s="711">
        <v>0.67810000000000004</v>
      </c>
      <c r="CS80" s="564" t="s">
        <v>295</v>
      </c>
      <c r="CT80" s="564">
        <v>788</v>
      </c>
      <c r="CU80" s="564">
        <v>773</v>
      </c>
      <c r="CV80" s="585">
        <v>0.70499999999999996</v>
      </c>
      <c r="CW80" s="585">
        <v>0.67969999999999997</v>
      </c>
      <c r="CX80" s="585">
        <v>0.65669999999999995</v>
      </c>
      <c r="CY80" s="585">
        <v>0.72450000000000003</v>
      </c>
      <c r="CZ80" s="585">
        <v>0.68240000000000001</v>
      </c>
      <c r="DA80" s="585">
        <v>0.69079999999999997</v>
      </c>
      <c r="DB80" s="884" t="s">
        <v>295</v>
      </c>
      <c r="DC80" s="884">
        <v>805</v>
      </c>
      <c r="DD80" s="884">
        <v>794</v>
      </c>
      <c r="DE80" s="884">
        <v>0.71299999999999997</v>
      </c>
      <c r="DF80" s="133">
        <v>0.68730000000000002</v>
      </c>
      <c r="DG80" s="133">
        <v>0.6552</v>
      </c>
      <c r="DH80" s="133">
        <v>0.72650000000000003</v>
      </c>
      <c r="DI80" s="133">
        <v>0.68879999999999997</v>
      </c>
      <c r="DJ80" s="133">
        <v>0.69499999999999995</v>
      </c>
    </row>
    <row r="81" spans="1:114" x14ac:dyDescent="0.25">
      <c r="A81" s="36" t="s">
        <v>32</v>
      </c>
      <c r="B81" s="668">
        <v>325754002464</v>
      </c>
      <c r="C81" s="134" t="s">
        <v>452</v>
      </c>
      <c r="D81" s="134" t="s">
        <v>307</v>
      </c>
      <c r="E81" s="134" t="s">
        <v>671</v>
      </c>
      <c r="F81" s="134" t="s">
        <v>123</v>
      </c>
      <c r="G81" s="165" t="s">
        <v>295</v>
      </c>
      <c r="H81" s="166">
        <v>132</v>
      </c>
      <c r="I81" s="166">
        <v>131</v>
      </c>
      <c r="J81" s="166">
        <v>0.70050000000000001</v>
      </c>
      <c r="K81" s="166">
        <v>0.70479999999999998</v>
      </c>
      <c r="L81" s="166">
        <v>0.7097</v>
      </c>
      <c r="M81" s="166">
        <v>0.72019999999999995</v>
      </c>
      <c r="N81" s="166">
        <v>0.70909999999999995</v>
      </c>
      <c r="O81" s="166">
        <v>0.70879999999999999</v>
      </c>
      <c r="P81" s="173" t="s">
        <v>295</v>
      </c>
      <c r="Q81" s="174" t="s">
        <v>589</v>
      </c>
      <c r="R81" s="174" t="s">
        <v>593</v>
      </c>
      <c r="S81" s="174">
        <v>0.69899999999999995</v>
      </c>
      <c r="T81" s="174">
        <v>0.70630000000000004</v>
      </c>
      <c r="U81" s="174">
        <v>0.70520000000000005</v>
      </c>
      <c r="V81" s="174">
        <v>0.71319999999999995</v>
      </c>
      <c r="W81" s="174">
        <v>0.69979999999999998</v>
      </c>
      <c r="X81" s="174">
        <v>0.70550000000000002</v>
      </c>
      <c r="Y81" s="138" t="s">
        <v>295</v>
      </c>
      <c r="Z81" s="134" t="s">
        <v>411</v>
      </c>
      <c r="AA81" s="134" t="s">
        <v>544</v>
      </c>
      <c r="AB81" s="137">
        <v>0.71289999999999998</v>
      </c>
      <c r="AC81" s="137">
        <v>0.71930000000000005</v>
      </c>
      <c r="AD81" s="137">
        <v>0.72030000000000005</v>
      </c>
      <c r="AE81" s="137">
        <v>0.72440000000000004</v>
      </c>
      <c r="AF81" s="137">
        <v>0.71309999999999996</v>
      </c>
      <c r="AG81" s="137">
        <v>0.71870000000000001</v>
      </c>
      <c r="AH81" s="159" t="s">
        <v>295</v>
      </c>
      <c r="AI81" s="134" t="s">
        <v>485</v>
      </c>
      <c r="AJ81" s="134" t="s">
        <v>337</v>
      </c>
      <c r="AK81" s="137">
        <v>0.69330000000000003</v>
      </c>
      <c r="AL81" s="137">
        <v>0.69730000000000003</v>
      </c>
      <c r="AM81" s="137">
        <v>0.6996</v>
      </c>
      <c r="AN81" s="137">
        <v>0.72170000000000001</v>
      </c>
      <c r="AO81" s="137">
        <v>0.70389999999999997</v>
      </c>
      <c r="AP81" s="137">
        <v>0.70299999999999996</v>
      </c>
      <c r="AQ81" s="139" t="s">
        <v>295</v>
      </c>
      <c r="AR81" s="134" t="s">
        <v>328</v>
      </c>
      <c r="AS81" s="134" t="s">
        <v>328</v>
      </c>
      <c r="AT81" s="137">
        <v>0.69230000000000003</v>
      </c>
      <c r="AU81" s="137">
        <v>0.69120000000000004</v>
      </c>
      <c r="AV81" s="137">
        <v>0.68500000000000005</v>
      </c>
      <c r="AW81" s="137">
        <v>0.73109999999999997</v>
      </c>
      <c r="AX81" s="137">
        <v>0.72289999999999999</v>
      </c>
      <c r="AY81" s="137">
        <v>0.70169999999999999</v>
      </c>
      <c r="AZ81" s="138" t="s">
        <v>295</v>
      </c>
      <c r="BA81" s="134" t="s">
        <v>388</v>
      </c>
      <c r="BB81" s="134" t="s">
        <v>319</v>
      </c>
      <c r="BC81" s="137">
        <v>0.68540000000000001</v>
      </c>
      <c r="BD81" s="137">
        <v>0.6663</v>
      </c>
      <c r="BE81" s="137">
        <v>0.66749999999999998</v>
      </c>
      <c r="BF81" s="137">
        <v>0.73529999999999995</v>
      </c>
      <c r="BG81" s="137">
        <v>0.71640000000000004</v>
      </c>
      <c r="BH81" s="137">
        <v>0.69079999999999997</v>
      </c>
      <c r="BI81" s="135" t="s">
        <v>295</v>
      </c>
      <c r="BJ81" s="152">
        <v>84</v>
      </c>
      <c r="BK81" s="152">
        <v>82</v>
      </c>
      <c r="BL81" s="137">
        <v>0.70640000000000003</v>
      </c>
      <c r="BM81" s="137">
        <v>0.65859999999999996</v>
      </c>
      <c r="BN81" s="137">
        <v>0.66</v>
      </c>
      <c r="BO81" s="137">
        <v>0.72799999999999998</v>
      </c>
      <c r="BP81" s="137">
        <v>0.71679999999999999</v>
      </c>
      <c r="BQ81" s="137">
        <v>0.69040000000000001</v>
      </c>
      <c r="BR81" s="277" t="s">
        <v>295</v>
      </c>
      <c r="BS81" s="270">
        <v>80</v>
      </c>
      <c r="BT81" s="270">
        <v>80</v>
      </c>
      <c r="BU81" s="270">
        <v>0.71540000000000004</v>
      </c>
      <c r="BV81" s="270">
        <v>0.68</v>
      </c>
      <c r="BW81" s="270">
        <v>0.69010000000000005</v>
      </c>
      <c r="BX81" s="270">
        <v>0.74639999999999995</v>
      </c>
      <c r="BY81" s="270">
        <v>0.72950000000000004</v>
      </c>
      <c r="BZ81" s="270">
        <v>0.7097</v>
      </c>
      <c r="CA81" s="344"/>
      <c r="CB81" s="344"/>
      <c r="CC81" s="344"/>
      <c r="CD81" s="344"/>
      <c r="CE81" s="344"/>
      <c r="CF81" s="344"/>
      <c r="CG81" s="344"/>
      <c r="CH81" s="344"/>
      <c r="CI81" s="344"/>
      <c r="CJ81" s="714"/>
      <c r="CK81" s="618"/>
      <c r="CL81" s="618"/>
      <c r="CM81" s="618"/>
      <c r="CN81" s="618"/>
      <c r="CO81" s="618"/>
      <c r="CP81" s="618"/>
      <c r="CQ81" s="618"/>
      <c r="CR81" s="622"/>
      <c r="CS81" s="563"/>
      <c r="CT81" s="582"/>
      <c r="CU81" s="582"/>
      <c r="CV81" s="586"/>
      <c r="CW81" s="586"/>
      <c r="CX81" s="586"/>
      <c r="CY81" s="586"/>
      <c r="CZ81" s="586"/>
      <c r="DA81" s="586"/>
      <c r="DB81" s="884"/>
      <c r="DC81" s="884"/>
      <c r="DD81" s="884"/>
      <c r="DE81" s="884"/>
    </row>
    <row r="82" spans="1:114" x14ac:dyDescent="0.25">
      <c r="A82" s="36" t="s">
        <v>39</v>
      </c>
      <c r="B82" s="668">
        <v>125754001183</v>
      </c>
      <c r="C82" s="134" t="s">
        <v>452</v>
      </c>
      <c r="D82" s="134" t="s">
        <v>307</v>
      </c>
      <c r="E82" s="134" t="s">
        <v>671</v>
      </c>
      <c r="F82" s="134" t="s">
        <v>121</v>
      </c>
      <c r="G82" s="167" t="s">
        <v>427</v>
      </c>
      <c r="H82" s="166">
        <v>313</v>
      </c>
      <c r="I82" s="166">
        <v>308</v>
      </c>
      <c r="J82" s="166">
        <v>0.65490000000000004</v>
      </c>
      <c r="K82" s="166">
        <v>0.6522</v>
      </c>
      <c r="L82" s="166">
        <v>0.66979999999999995</v>
      </c>
      <c r="M82" s="166">
        <v>0.67490000000000006</v>
      </c>
      <c r="N82" s="166">
        <v>0.65869999999999995</v>
      </c>
      <c r="O82" s="166">
        <v>0.66269999999999996</v>
      </c>
      <c r="P82" s="175" t="s">
        <v>427</v>
      </c>
      <c r="Q82" s="174" t="s">
        <v>704</v>
      </c>
      <c r="R82" s="174" t="s">
        <v>705</v>
      </c>
      <c r="S82" s="174">
        <v>0.65559999999999996</v>
      </c>
      <c r="T82" s="174">
        <v>0.65600000000000003</v>
      </c>
      <c r="U82" s="174">
        <v>0.66559999999999997</v>
      </c>
      <c r="V82" s="174">
        <v>0.6704</v>
      </c>
      <c r="W82" s="174">
        <v>0.65029999999999999</v>
      </c>
      <c r="X82" s="174">
        <v>0.66100000000000003</v>
      </c>
      <c r="Y82" s="138" t="s">
        <v>295</v>
      </c>
      <c r="Z82" s="134" t="s">
        <v>477</v>
      </c>
      <c r="AA82" s="134" t="s">
        <v>585</v>
      </c>
      <c r="AB82" s="137">
        <v>0.66090000000000004</v>
      </c>
      <c r="AC82" s="137">
        <v>0.67910000000000004</v>
      </c>
      <c r="AD82" s="137">
        <v>0.67110000000000003</v>
      </c>
      <c r="AE82" s="137">
        <v>0.67820000000000003</v>
      </c>
      <c r="AF82" s="137">
        <v>0.66710000000000003</v>
      </c>
      <c r="AG82" s="137">
        <v>0.67190000000000005</v>
      </c>
      <c r="AH82" s="159" t="s">
        <v>295</v>
      </c>
      <c r="AI82" s="134" t="s">
        <v>470</v>
      </c>
      <c r="AJ82" s="134" t="s">
        <v>511</v>
      </c>
      <c r="AK82" s="137">
        <v>0.67530000000000001</v>
      </c>
      <c r="AL82" s="137">
        <v>0.69599999999999995</v>
      </c>
      <c r="AM82" s="137">
        <v>0.67930000000000001</v>
      </c>
      <c r="AN82" s="137">
        <v>0.69640000000000002</v>
      </c>
      <c r="AO82" s="137">
        <v>0.66769999999999996</v>
      </c>
      <c r="AP82" s="137">
        <v>0.68530000000000002</v>
      </c>
      <c r="AQ82" s="139" t="s">
        <v>295</v>
      </c>
      <c r="AR82" s="134" t="s">
        <v>414</v>
      </c>
      <c r="AS82" s="134" t="s">
        <v>415</v>
      </c>
      <c r="AT82" s="137">
        <v>0.68149999999999999</v>
      </c>
      <c r="AU82" s="137">
        <v>0.69469999999999998</v>
      </c>
      <c r="AV82" s="137">
        <v>0.66779999999999995</v>
      </c>
      <c r="AW82" s="137">
        <v>0.7087</v>
      </c>
      <c r="AX82" s="137">
        <v>0.67490000000000006</v>
      </c>
      <c r="AY82" s="137">
        <v>0.68720000000000003</v>
      </c>
      <c r="AZ82" s="138" t="s">
        <v>295</v>
      </c>
      <c r="BA82" s="134" t="s">
        <v>656</v>
      </c>
      <c r="BB82" s="134" t="s">
        <v>598</v>
      </c>
      <c r="BC82" s="137">
        <v>0.69159999999999999</v>
      </c>
      <c r="BD82" s="137">
        <v>0.67549999999999999</v>
      </c>
      <c r="BE82" s="137">
        <v>0.65149999999999997</v>
      </c>
      <c r="BF82" s="137">
        <v>0.7127</v>
      </c>
      <c r="BG82" s="137">
        <v>0.66200000000000003</v>
      </c>
      <c r="BH82" s="137">
        <v>0.68120000000000003</v>
      </c>
      <c r="BI82" s="135" t="s">
        <v>295</v>
      </c>
      <c r="BJ82" s="152">
        <v>370</v>
      </c>
      <c r="BK82" s="152">
        <v>349</v>
      </c>
      <c r="BL82" s="137">
        <v>0.69389999999999996</v>
      </c>
      <c r="BM82" s="137">
        <v>0.65539999999999998</v>
      </c>
      <c r="BN82" s="137">
        <v>0.63739999999999997</v>
      </c>
      <c r="BO82" s="137">
        <v>0.70699999999999996</v>
      </c>
      <c r="BP82" s="137">
        <v>0.64939999999999998</v>
      </c>
      <c r="BQ82" s="137">
        <v>0.67159999999999997</v>
      </c>
      <c r="BR82" s="277" t="s">
        <v>295</v>
      </c>
      <c r="BS82" s="270">
        <v>334</v>
      </c>
      <c r="BT82" s="270">
        <v>331</v>
      </c>
      <c r="BU82" s="270">
        <v>0.70379999999999998</v>
      </c>
      <c r="BV82" s="270">
        <v>0.65269999999999995</v>
      </c>
      <c r="BW82" s="270">
        <v>0.64670000000000005</v>
      </c>
      <c r="BX82" s="270">
        <v>0.71220000000000006</v>
      </c>
      <c r="BY82" s="270">
        <v>0.65800000000000003</v>
      </c>
      <c r="BZ82" s="270">
        <v>0.67720000000000002</v>
      </c>
      <c r="CA82" s="356" t="s">
        <v>295</v>
      </c>
      <c r="CB82" s="355" t="s">
        <v>718</v>
      </c>
      <c r="CC82" s="355" t="s">
        <v>550</v>
      </c>
      <c r="CD82" s="355">
        <v>0.70730000000000004</v>
      </c>
      <c r="CE82" s="355">
        <v>0.6542</v>
      </c>
      <c r="CF82" s="355">
        <v>0.65339999999999998</v>
      </c>
      <c r="CG82" s="355">
        <v>0.7167</v>
      </c>
      <c r="CH82" s="355">
        <v>0.67049999999999998</v>
      </c>
      <c r="CI82" s="355">
        <v>0.68200000000000005</v>
      </c>
      <c r="CJ82" s="715" t="s">
        <v>295</v>
      </c>
      <c r="CK82" s="620">
        <v>321</v>
      </c>
      <c r="CL82" s="620">
        <v>316</v>
      </c>
      <c r="CM82" s="620">
        <v>0.70899999999999996</v>
      </c>
      <c r="CN82" s="620">
        <v>0.65900000000000003</v>
      </c>
      <c r="CO82" s="620">
        <v>0.65210000000000001</v>
      </c>
      <c r="CP82" s="620">
        <v>0.71550000000000002</v>
      </c>
      <c r="CQ82" s="620">
        <v>0.68640000000000001</v>
      </c>
      <c r="CR82" s="711">
        <v>0.68410000000000004</v>
      </c>
      <c r="CS82" s="564" t="s">
        <v>295</v>
      </c>
      <c r="CT82" s="564">
        <v>361</v>
      </c>
      <c r="CU82" s="564">
        <v>349</v>
      </c>
      <c r="CV82" s="585">
        <v>0.71089999999999998</v>
      </c>
      <c r="CW82" s="585">
        <v>0.66600000000000004</v>
      </c>
      <c r="CX82" s="585">
        <v>0.65369999999999995</v>
      </c>
      <c r="CY82" s="585">
        <v>0.7218</v>
      </c>
      <c r="CZ82" s="585">
        <v>0.69359999999999999</v>
      </c>
      <c r="DA82" s="585">
        <v>0.6885</v>
      </c>
      <c r="DB82" s="884" t="s">
        <v>295</v>
      </c>
      <c r="DC82" s="884">
        <v>392</v>
      </c>
      <c r="DD82" s="884">
        <v>379</v>
      </c>
      <c r="DE82" s="884">
        <v>0.70909999999999995</v>
      </c>
      <c r="DF82" s="133">
        <v>0.67130000000000001</v>
      </c>
      <c r="DG82" s="133">
        <v>0.65539999999999998</v>
      </c>
      <c r="DH82" s="133">
        <v>0.72299999999999998</v>
      </c>
      <c r="DI82" s="133">
        <v>0.69099999999999995</v>
      </c>
      <c r="DJ82" s="133">
        <v>0.68979999999999997</v>
      </c>
    </row>
    <row r="83" spans="1:114" x14ac:dyDescent="0.25">
      <c r="A83" s="36" t="s">
        <v>19</v>
      </c>
      <c r="B83" s="668">
        <v>125754002066</v>
      </c>
      <c r="C83" s="134" t="s">
        <v>452</v>
      </c>
      <c r="D83" s="134" t="s">
        <v>307</v>
      </c>
      <c r="E83" s="134" t="s">
        <v>671</v>
      </c>
      <c r="F83" s="134" t="s">
        <v>121</v>
      </c>
      <c r="G83" s="165" t="s">
        <v>295</v>
      </c>
      <c r="H83" s="166">
        <v>599</v>
      </c>
      <c r="I83" s="166">
        <v>595</v>
      </c>
      <c r="J83" s="166">
        <v>0.67490000000000006</v>
      </c>
      <c r="K83" s="166">
        <v>0.68140000000000001</v>
      </c>
      <c r="L83" s="166">
        <v>0.68389999999999995</v>
      </c>
      <c r="M83" s="166">
        <v>0.68440000000000001</v>
      </c>
      <c r="N83" s="166">
        <v>0.67949999999999999</v>
      </c>
      <c r="O83" s="166">
        <v>0.68100000000000005</v>
      </c>
      <c r="P83" s="173" t="s">
        <v>295</v>
      </c>
      <c r="Q83" s="174" t="s">
        <v>706</v>
      </c>
      <c r="R83" s="174" t="s">
        <v>707</v>
      </c>
      <c r="S83" s="174">
        <v>0.67279999999999995</v>
      </c>
      <c r="T83" s="174">
        <v>0.68300000000000005</v>
      </c>
      <c r="U83" s="174">
        <v>0.68379999999999996</v>
      </c>
      <c r="V83" s="174">
        <v>0.67730000000000001</v>
      </c>
      <c r="W83" s="174">
        <v>0.68210000000000004</v>
      </c>
      <c r="X83" s="174">
        <v>0.6794</v>
      </c>
      <c r="Y83" s="138" t="s">
        <v>295</v>
      </c>
      <c r="Z83" s="134" t="s">
        <v>568</v>
      </c>
      <c r="AA83" s="134" t="s">
        <v>569</v>
      </c>
      <c r="AB83" s="137">
        <v>0.67610000000000003</v>
      </c>
      <c r="AC83" s="137">
        <v>0.69589999999999996</v>
      </c>
      <c r="AD83" s="137">
        <v>0.68179999999999996</v>
      </c>
      <c r="AE83" s="137">
        <v>0.68420000000000003</v>
      </c>
      <c r="AF83" s="137">
        <v>0.69120000000000004</v>
      </c>
      <c r="AG83" s="137">
        <v>0.68500000000000005</v>
      </c>
      <c r="AH83" s="156"/>
      <c r="AI83" s="134"/>
      <c r="AJ83" s="134"/>
      <c r="AK83" s="137"/>
      <c r="AL83" s="137"/>
      <c r="AM83" s="137"/>
      <c r="AN83" s="137"/>
      <c r="AO83" s="137"/>
      <c r="AP83" s="137"/>
      <c r="AQ83" s="134"/>
      <c r="AR83" s="134"/>
      <c r="AS83" s="134"/>
      <c r="AT83" s="137"/>
      <c r="AU83" s="137"/>
      <c r="AV83" s="137"/>
      <c r="AW83" s="137"/>
      <c r="AX83" s="137"/>
      <c r="AY83" s="137"/>
      <c r="AZ83" s="134"/>
      <c r="BA83" s="134"/>
      <c r="BB83" s="134"/>
      <c r="BC83" s="137"/>
      <c r="BD83" s="137"/>
      <c r="BE83" s="137"/>
      <c r="BF83" s="137"/>
      <c r="BG83" s="137"/>
      <c r="BH83" s="137"/>
      <c r="BI83" s="140" t="s">
        <v>427</v>
      </c>
      <c r="BJ83" s="152">
        <v>638</v>
      </c>
      <c r="BK83" s="152">
        <v>585</v>
      </c>
      <c r="BL83" s="137">
        <v>0.67059999999999997</v>
      </c>
      <c r="BM83" s="137">
        <v>0.65310000000000001</v>
      </c>
      <c r="BN83" s="137">
        <v>0.63139999999999996</v>
      </c>
      <c r="BO83" s="137">
        <v>0.69630000000000003</v>
      </c>
      <c r="BP83" s="137">
        <v>0.65249999999999997</v>
      </c>
      <c r="BQ83" s="137">
        <v>0.66200000000000003</v>
      </c>
      <c r="BR83" s="279" t="s">
        <v>427</v>
      </c>
      <c r="BS83" s="270">
        <v>573</v>
      </c>
      <c r="BT83" s="270">
        <v>557</v>
      </c>
      <c r="BU83" s="270">
        <v>0.67720000000000002</v>
      </c>
      <c r="BV83" s="270">
        <v>0.65410000000000001</v>
      </c>
      <c r="BW83" s="270">
        <v>0.64029999999999998</v>
      </c>
      <c r="BX83" s="270">
        <v>0.7127</v>
      </c>
      <c r="BY83" s="270">
        <v>0.65610000000000002</v>
      </c>
      <c r="BZ83" s="270">
        <v>0.66990000000000005</v>
      </c>
      <c r="CA83" s="356" t="s">
        <v>295</v>
      </c>
      <c r="CB83" s="355" t="s">
        <v>827</v>
      </c>
      <c r="CC83" s="355" t="s">
        <v>584</v>
      </c>
      <c r="CD83" s="355">
        <v>0.69750000000000001</v>
      </c>
      <c r="CE83" s="355">
        <v>0.66379999999999995</v>
      </c>
      <c r="CF83" s="355">
        <v>0.66110000000000002</v>
      </c>
      <c r="CG83" s="355">
        <v>0.72460000000000002</v>
      </c>
      <c r="CH83" s="355">
        <v>0.67130000000000001</v>
      </c>
      <c r="CI83" s="355">
        <v>0.68559999999999999</v>
      </c>
      <c r="CJ83" s="715" t="s">
        <v>295</v>
      </c>
      <c r="CK83" s="620">
        <v>547</v>
      </c>
      <c r="CL83" s="620">
        <v>535</v>
      </c>
      <c r="CM83" s="620">
        <v>0.69010000000000005</v>
      </c>
      <c r="CN83" s="620">
        <v>0.65910000000000002</v>
      </c>
      <c r="CO83" s="620">
        <v>0.65629999999999999</v>
      </c>
      <c r="CP83" s="620">
        <v>0.71640000000000004</v>
      </c>
      <c r="CQ83" s="620">
        <v>0.6865</v>
      </c>
      <c r="CR83" s="711">
        <v>0.68089999999999995</v>
      </c>
      <c r="CS83" s="564" t="s">
        <v>295</v>
      </c>
      <c r="CT83" s="564">
        <v>568</v>
      </c>
      <c r="CU83" s="564">
        <v>551</v>
      </c>
      <c r="CV83" s="585">
        <v>0.69779999999999998</v>
      </c>
      <c r="CW83" s="585">
        <v>0.66920000000000002</v>
      </c>
      <c r="CX83" s="585">
        <v>0.6623</v>
      </c>
      <c r="CY83" s="585">
        <v>0.71409999999999996</v>
      </c>
      <c r="CZ83" s="585">
        <v>0.6925</v>
      </c>
      <c r="DA83" s="585">
        <v>0.68640000000000001</v>
      </c>
      <c r="DB83" s="884" t="s">
        <v>295</v>
      </c>
      <c r="DC83" s="884">
        <v>607</v>
      </c>
      <c r="DD83" s="884">
        <v>590</v>
      </c>
      <c r="DE83" s="884">
        <v>0.69799999999999995</v>
      </c>
      <c r="DF83" s="133">
        <v>0.67649999999999999</v>
      </c>
      <c r="DG83" s="133">
        <v>0.65759999999999996</v>
      </c>
      <c r="DH83" s="133">
        <v>0.71250000000000002</v>
      </c>
      <c r="DI83" s="133">
        <v>0.69</v>
      </c>
      <c r="DJ83" s="133">
        <v>0.6865</v>
      </c>
    </row>
    <row r="84" spans="1:114" x14ac:dyDescent="0.25">
      <c r="A84" s="36" t="s">
        <v>71</v>
      </c>
      <c r="B84" s="668">
        <v>125754002538</v>
      </c>
      <c r="C84" s="134" t="s">
        <v>452</v>
      </c>
      <c r="D84" s="134" t="s">
        <v>307</v>
      </c>
      <c r="E84" s="134" t="s">
        <v>671</v>
      </c>
      <c r="F84" s="134" t="s">
        <v>121</v>
      </c>
      <c r="G84" s="167" t="s">
        <v>427</v>
      </c>
      <c r="H84" s="166">
        <v>129</v>
      </c>
      <c r="I84" s="166">
        <v>129</v>
      </c>
      <c r="J84" s="166">
        <v>0.64329999999999998</v>
      </c>
      <c r="K84" s="166">
        <v>0.64700000000000002</v>
      </c>
      <c r="L84" s="166">
        <v>0.65639999999999998</v>
      </c>
      <c r="M84" s="166">
        <v>0.65329999999999999</v>
      </c>
      <c r="N84" s="166">
        <v>0.66759999999999997</v>
      </c>
      <c r="O84" s="166">
        <v>0.65129999999999999</v>
      </c>
      <c r="P84" s="175" t="s">
        <v>427</v>
      </c>
      <c r="Q84" s="174" t="s">
        <v>694</v>
      </c>
      <c r="R84" s="174" t="s">
        <v>708</v>
      </c>
      <c r="S84" s="174">
        <v>0.63939999999999997</v>
      </c>
      <c r="T84" s="174">
        <v>0.64810000000000001</v>
      </c>
      <c r="U84" s="174">
        <v>0.64380000000000004</v>
      </c>
      <c r="V84" s="174">
        <v>0.64900000000000002</v>
      </c>
      <c r="W84" s="174">
        <v>0.66949999999999998</v>
      </c>
      <c r="X84" s="174">
        <v>0.64700000000000002</v>
      </c>
      <c r="Y84" s="141" t="s">
        <v>427</v>
      </c>
      <c r="Z84" s="134" t="s">
        <v>578</v>
      </c>
      <c r="AA84" s="134" t="s">
        <v>554</v>
      </c>
      <c r="AB84" s="137">
        <v>0.62339999999999995</v>
      </c>
      <c r="AC84" s="137">
        <v>0.66210000000000002</v>
      </c>
      <c r="AD84" s="137">
        <v>0.63039999999999996</v>
      </c>
      <c r="AE84" s="137">
        <v>0.65239999999999998</v>
      </c>
      <c r="AF84" s="137">
        <v>0.66969999999999996</v>
      </c>
      <c r="AG84" s="137">
        <v>0.64419999999999999</v>
      </c>
      <c r="AH84" s="155" t="s">
        <v>427</v>
      </c>
      <c r="AI84" s="134" t="s">
        <v>527</v>
      </c>
      <c r="AJ84" s="134" t="s">
        <v>403</v>
      </c>
      <c r="AK84" s="137">
        <v>0.60829999999999995</v>
      </c>
      <c r="AL84" s="137">
        <v>0.65290000000000004</v>
      </c>
      <c r="AM84" s="137">
        <v>0.60740000000000005</v>
      </c>
      <c r="AN84" s="137">
        <v>0.64459999999999995</v>
      </c>
      <c r="AO84" s="137">
        <v>0.66449999999999998</v>
      </c>
      <c r="AP84" s="137">
        <v>0.63109999999999999</v>
      </c>
      <c r="AQ84" s="144" t="s">
        <v>443</v>
      </c>
      <c r="AR84" s="134" t="s">
        <v>444</v>
      </c>
      <c r="AS84" s="134" t="s">
        <v>445</v>
      </c>
      <c r="AT84" s="137">
        <v>0.58979999999999999</v>
      </c>
      <c r="AU84" s="137">
        <v>0.63080000000000003</v>
      </c>
      <c r="AV84" s="137">
        <v>0.58220000000000005</v>
      </c>
      <c r="AW84" s="137">
        <v>0.64139999999999997</v>
      </c>
      <c r="AX84" s="137">
        <v>0.65920000000000001</v>
      </c>
      <c r="AY84" s="137">
        <v>0.61470000000000002</v>
      </c>
      <c r="AZ84" s="143" t="s">
        <v>443</v>
      </c>
      <c r="BA84" s="134" t="s">
        <v>555</v>
      </c>
      <c r="BB84" s="134" t="s">
        <v>590</v>
      </c>
      <c r="BC84" s="137">
        <v>0.60040000000000004</v>
      </c>
      <c r="BD84" s="137">
        <v>0.60870000000000002</v>
      </c>
      <c r="BE84" s="137">
        <v>0.57379999999999998</v>
      </c>
      <c r="BF84" s="137">
        <v>0.65239999999999998</v>
      </c>
      <c r="BG84" s="137">
        <v>0.65090000000000003</v>
      </c>
      <c r="BH84" s="137">
        <v>0.61199999999999999</v>
      </c>
      <c r="BI84" s="151" t="s">
        <v>443</v>
      </c>
      <c r="BJ84" s="152">
        <v>164</v>
      </c>
      <c r="BK84" s="152">
        <v>148</v>
      </c>
      <c r="BL84" s="137">
        <v>0.60340000000000005</v>
      </c>
      <c r="BM84" s="137">
        <v>0.58740000000000003</v>
      </c>
      <c r="BN84" s="137">
        <v>0.55410000000000004</v>
      </c>
      <c r="BO84" s="137">
        <v>0.64149999999999996</v>
      </c>
      <c r="BP84" s="137">
        <v>0.61739999999999995</v>
      </c>
      <c r="BQ84" s="137">
        <v>0.59819999999999995</v>
      </c>
      <c r="BR84" s="278" t="s">
        <v>443</v>
      </c>
      <c r="BS84" s="270">
        <v>186</v>
      </c>
      <c r="BT84" s="270">
        <v>181</v>
      </c>
      <c r="BU84" s="270">
        <v>0.63160000000000005</v>
      </c>
      <c r="BV84" s="270">
        <v>0.60440000000000005</v>
      </c>
      <c r="BW84" s="270">
        <v>0.57840000000000003</v>
      </c>
      <c r="BX84" s="270">
        <v>0.66159999999999997</v>
      </c>
      <c r="BY84" s="270">
        <v>0.61240000000000006</v>
      </c>
      <c r="BZ84" s="270">
        <v>0.61850000000000005</v>
      </c>
      <c r="CA84" s="357" t="s">
        <v>427</v>
      </c>
      <c r="CB84" s="355" t="s">
        <v>554</v>
      </c>
      <c r="CC84" s="355" t="s">
        <v>535</v>
      </c>
      <c r="CD84" s="355">
        <v>0.63790000000000002</v>
      </c>
      <c r="CE84" s="355">
        <v>0.61670000000000003</v>
      </c>
      <c r="CF84" s="355">
        <v>0.58699999999999997</v>
      </c>
      <c r="CG84" s="355">
        <v>0.66679999999999995</v>
      </c>
      <c r="CH84" s="355">
        <v>0.62960000000000005</v>
      </c>
      <c r="CI84" s="355">
        <v>0.62729999999999997</v>
      </c>
      <c r="CJ84" s="718" t="s">
        <v>427</v>
      </c>
      <c r="CK84" s="620">
        <v>164</v>
      </c>
      <c r="CL84" s="620">
        <v>160</v>
      </c>
      <c r="CM84" s="620">
        <v>0.6472</v>
      </c>
      <c r="CN84" s="620">
        <v>0.62190000000000001</v>
      </c>
      <c r="CO84" s="620">
        <v>0.59179999999999999</v>
      </c>
      <c r="CP84" s="620">
        <v>0.67</v>
      </c>
      <c r="CQ84" s="620">
        <v>0.65190000000000003</v>
      </c>
      <c r="CR84" s="711">
        <v>0.63419999999999999</v>
      </c>
      <c r="CS84" s="564" t="s">
        <v>427</v>
      </c>
      <c r="CT84" s="564">
        <v>176</v>
      </c>
      <c r="CU84" s="564">
        <v>172</v>
      </c>
      <c r="CV84" s="585">
        <v>0.64970000000000006</v>
      </c>
      <c r="CW84" s="585">
        <v>0.6149</v>
      </c>
      <c r="CX84" s="585">
        <v>0.58789999999999998</v>
      </c>
      <c r="CY84" s="585">
        <v>0.66759999999999997</v>
      </c>
      <c r="CZ84" s="585">
        <v>0.65269999999999995</v>
      </c>
      <c r="DA84" s="585">
        <v>0.63180000000000003</v>
      </c>
      <c r="DB84" s="884" t="s">
        <v>427</v>
      </c>
      <c r="DC84" s="884">
        <v>176</v>
      </c>
      <c r="DD84" s="884">
        <v>172</v>
      </c>
      <c r="DE84" s="884">
        <v>0.65</v>
      </c>
      <c r="DF84" s="133">
        <v>0.61990000000000001</v>
      </c>
      <c r="DG84" s="133">
        <v>0.58330000000000004</v>
      </c>
      <c r="DH84" s="133">
        <v>0.6673</v>
      </c>
      <c r="DI84" s="133">
        <v>0.64490000000000003</v>
      </c>
      <c r="DJ84" s="133">
        <v>0.63129999999999997</v>
      </c>
    </row>
    <row r="85" spans="1:114" x14ac:dyDescent="0.25">
      <c r="A85" s="36" t="s">
        <v>20</v>
      </c>
      <c r="B85" s="668">
        <v>125754000331</v>
      </c>
      <c r="C85" s="134" t="s">
        <v>452</v>
      </c>
      <c r="D85" s="134" t="s">
        <v>307</v>
      </c>
      <c r="E85" s="134" t="s">
        <v>671</v>
      </c>
      <c r="F85" s="134" t="s">
        <v>121</v>
      </c>
      <c r="G85" s="165" t="s">
        <v>295</v>
      </c>
      <c r="H85" s="166">
        <v>903</v>
      </c>
      <c r="I85" s="166">
        <v>893</v>
      </c>
      <c r="J85" s="166">
        <v>0.6865</v>
      </c>
      <c r="K85" s="166">
        <v>0.6996</v>
      </c>
      <c r="L85" s="166">
        <v>0.69079999999999997</v>
      </c>
      <c r="M85" s="166">
        <v>0.69650000000000001</v>
      </c>
      <c r="N85" s="166">
        <v>0.66469999999999996</v>
      </c>
      <c r="O85" s="166">
        <v>0.69110000000000005</v>
      </c>
      <c r="P85" s="173" t="s">
        <v>295</v>
      </c>
      <c r="Q85" s="174" t="s">
        <v>709</v>
      </c>
      <c r="R85" s="174" t="s">
        <v>686</v>
      </c>
      <c r="S85" s="174">
        <v>0.68420000000000003</v>
      </c>
      <c r="T85" s="174">
        <v>0.69479999999999997</v>
      </c>
      <c r="U85" s="174">
        <v>0.68769999999999998</v>
      </c>
      <c r="V85" s="174">
        <v>0.69220000000000004</v>
      </c>
      <c r="W85" s="174">
        <v>0.66190000000000004</v>
      </c>
      <c r="X85" s="174">
        <v>0.68759999999999999</v>
      </c>
      <c r="Y85" s="138" t="s">
        <v>295</v>
      </c>
      <c r="Z85" s="134" t="s">
        <v>557</v>
      </c>
      <c r="AA85" s="134" t="s">
        <v>558</v>
      </c>
      <c r="AB85" s="137">
        <v>0.69589999999999996</v>
      </c>
      <c r="AC85" s="137">
        <v>0.70899999999999996</v>
      </c>
      <c r="AD85" s="137">
        <v>0.69340000000000002</v>
      </c>
      <c r="AE85" s="137">
        <v>0.70389999999999997</v>
      </c>
      <c r="AF85" s="137">
        <v>0.67530000000000001</v>
      </c>
      <c r="AG85" s="137">
        <v>0.6986</v>
      </c>
      <c r="AH85" s="159" t="s">
        <v>295</v>
      </c>
      <c r="AI85" s="134" t="s">
        <v>490</v>
      </c>
      <c r="AJ85" s="134" t="s">
        <v>393</v>
      </c>
      <c r="AK85" s="137">
        <v>0.70509999999999995</v>
      </c>
      <c r="AL85" s="137">
        <v>0.71779999999999999</v>
      </c>
      <c r="AM85" s="137">
        <v>0.69379999999999997</v>
      </c>
      <c r="AN85" s="137">
        <v>0.71440000000000003</v>
      </c>
      <c r="AO85" s="137">
        <v>0.68740000000000001</v>
      </c>
      <c r="AP85" s="137">
        <v>0.70620000000000005</v>
      </c>
      <c r="AQ85" s="139" t="s">
        <v>295</v>
      </c>
      <c r="AR85" s="134" t="s">
        <v>365</v>
      </c>
      <c r="AS85" s="134" t="s">
        <v>366</v>
      </c>
      <c r="AT85" s="137">
        <v>0.70960000000000001</v>
      </c>
      <c r="AU85" s="137">
        <v>0.71940000000000004</v>
      </c>
      <c r="AV85" s="137">
        <v>0.68889999999999996</v>
      </c>
      <c r="AW85" s="137">
        <v>0.72970000000000002</v>
      </c>
      <c r="AX85" s="137">
        <v>0.70050000000000001</v>
      </c>
      <c r="AY85" s="137">
        <v>0.71099999999999997</v>
      </c>
      <c r="AZ85" s="138" t="s">
        <v>295</v>
      </c>
      <c r="BA85" s="134" t="s">
        <v>366</v>
      </c>
      <c r="BB85" s="134" t="s">
        <v>644</v>
      </c>
      <c r="BC85" s="137">
        <v>0.70340000000000003</v>
      </c>
      <c r="BD85" s="137">
        <v>0.69610000000000005</v>
      </c>
      <c r="BE85" s="137">
        <v>0.66590000000000005</v>
      </c>
      <c r="BF85" s="137">
        <v>0.72719999999999996</v>
      </c>
      <c r="BG85" s="137">
        <v>0.69089999999999996</v>
      </c>
      <c r="BH85" s="137">
        <v>0.6976</v>
      </c>
      <c r="BI85" s="135" t="s">
        <v>295</v>
      </c>
      <c r="BJ85" s="152">
        <v>834</v>
      </c>
      <c r="BK85" s="152">
        <v>782</v>
      </c>
      <c r="BL85" s="137">
        <v>0.69969999999999999</v>
      </c>
      <c r="BM85" s="137">
        <v>0.67320000000000002</v>
      </c>
      <c r="BN85" s="137">
        <v>0.66169999999999995</v>
      </c>
      <c r="BO85" s="137">
        <v>0.71819999999999995</v>
      </c>
      <c r="BP85" s="137">
        <v>0.66549999999999998</v>
      </c>
      <c r="BQ85" s="137">
        <v>0.68640000000000001</v>
      </c>
      <c r="BR85" s="277" t="s">
        <v>295</v>
      </c>
      <c r="BS85" s="270">
        <v>892</v>
      </c>
      <c r="BT85" s="270">
        <v>883</v>
      </c>
      <c r="BU85" s="270">
        <v>0.69950000000000001</v>
      </c>
      <c r="BV85" s="270">
        <v>0.67310000000000003</v>
      </c>
      <c r="BW85" s="270">
        <v>0.66859999999999997</v>
      </c>
      <c r="BX85" s="270">
        <v>0.72270000000000001</v>
      </c>
      <c r="BY85" s="270">
        <v>0.66790000000000005</v>
      </c>
      <c r="BZ85" s="270">
        <v>0.68920000000000003</v>
      </c>
      <c r="CA85" s="356" t="s">
        <v>295</v>
      </c>
      <c r="CB85" s="355" t="s">
        <v>828</v>
      </c>
      <c r="CC85" s="355" t="s">
        <v>571</v>
      </c>
      <c r="CD85" s="355">
        <v>0.70120000000000005</v>
      </c>
      <c r="CE85" s="355">
        <v>0.67810000000000004</v>
      </c>
      <c r="CF85" s="355">
        <v>0.67969999999999997</v>
      </c>
      <c r="CG85" s="355">
        <v>0.7238</v>
      </c>
      <c r="CH85" s="355">
        <v>0.67379999999999995</v>
      </c>
      <c r="CI85" s="355">
        <v>0.69399999999999995</v>
      </c>
      <c r="CJ85" s="715" t="s">
        <v>295</v>
      </c>
      <c r="CK85" s="620">
        <v>904</v>
      </c>
      <c r="CL85" s="620">
        <v>896</v>
      </c>
      <c r="CM85" s="620">
        <v>0.70320000000000005</v>
      </c>
      <c r="CN85" s="620">
        <v>0.6835</v>
      </c>
      <c r="CO85" s="620">
        <v>0.6734</v>
      </c>
      <c r="CP85" s="620">
        <v>0.72670000000000001</v>
      </c>
      <c r="CQ85" s="620">
        <v>0.69930000000000003</v>
      </c>
      <c r="CR85" s="711">
        <v>0.69689999999999996</v>
      </c>
      <c r="CS85" s="564" t="s">
        <v>295</v>
      </c>
      <c r="CT85" s="564">
        <v>853</v>
      </c>
      <c r="CU85" s="564">
        <v>845</v>
      </c>
      <c r="CV85" s="585">
        <v>0.71389999999999998</v>
      </c>
      <c r="CW85" s="585">
        <v>0.69269999999999998</v>
      </c>
      <c r="CX85" s="585">
        <v>0.67500000000000004</v>
      </c>
      <c r="CY85" s="585">
        <v>0.73070000000000002</v>
      </c>
      <c r="CZ85" s="585">
        <v>0.70699999999999996</v>
      </c>
      <c r="DA85" s="585">
        <v>0.70340000000000003</v>
      </c>
      <c r="DB85" s="884" t="s">
        <v>295</v>
      </c>
      <c r="DC85" s="884">
        <v>891</v>
      </c>
      <c r="DD85" s="884">
        <v>873</v>
      </c>
      <c r="DE85" s="884">
        <v>0.7107</v>
      </c>
      <c r="DF85" s="133">
        <v>0.69369999999999998</v>
      </c>
      <c r="DG85" s="133">
        <v>0.66849999999999998</v>
      </c>
      <c r="DH85" s="133">
        <v>0.73089999999999999</v>
      </c>
      <c r="DI85" s="133">
        <v>0.70620000000000005</v>
      </c>
      <c r="DJ85" s="133">
        <v>0.70130000000000003</v>
      </c>
    </row>
    <row r="86" spans="1:114" x14ac:dyDescent="0.25">
      <c r="A86" s="36" t="s">
        <v>124</v>
      </c>
      <c r="B86" s="668">
        <v>325754001441</v>
      </c>
      <c r="C86" s="134" t="s">
        <v>452</v>
      </c>
      <c r="D86" s="134" t="s">
        <v>307</v>
      </c>
      <c r="E86" s="134" t="s">
        <v>671</v>
      </c>
      <c r="F86" s="134" t="s">
        <v>123</v>
      </c>
      <c r="G86" s="167" t="s">
        <v>427</v>
      </c>
      <c r="H86" s="166">
        <v>14</v>
      </c>
      <c r="I86" s="166">
        <v>13</v>
      </c>
      <c r="J86" s="166">
        <v>0.66739999999999999</v>
      </c>
      <c r="K86" s="166">
        <v>0.60599999999999998</v>
      </c>
      <c r="L86" s="166">
        <v>0.65200000000000002</v>
      </c>
      <c r="M86" s="166">
        <v>0.63239999999999996</v>
      </c>
      <c r="N86" s="166">
        <v>0.65590000000000004</v>
      </c>
      <c r="O86" s="166">
        <v>0.64070000000000005</v>
      </c>
      <c r="P86" s="173" t="s">
        <v>295</v>
      </c>
      <c r="Q86" s="174" t="s">
        <v>370</v>
      </c>
      <c r="R86" s="174" t="s">
        <v>437</v>
      </c>
      <c r="S86" s="174">
        <v>0.67249999999999999</v>
      </c>
      <c r="T86" s="174">
        <v>0.66490000000000005</v>
      </c>
      <c r="U86" s="174">
        <v>0.68359999999999999</v>
      </c>
      <c r="V86" s="174">
        <v>0.67359999999999998</v>
      </c>
      <c r="W86" s="174">
        <v>0.65369999999999995</v>
      </c>
      <c r="X86" s="174">
        <v>0.67210000000000003</v>
      </c>
      <c r="Y86" s="138" t="s">
        <v>295</v>
      </c>
      <c r="Z86" s="134" t="s">
        <v>433</v>
      </c>
      <c r="AA86" s="134" t="s">
        <v>336</v>
      </c>
      <c r="AB86" s="137">
        <v>0.66779999999999995</v>
      </c>
      <c r="AC86" s="137">
        <v>0.67889999999999995</v>
      </c>
      <c r="AD86" s="137">
        <v>0.67110000000000003</v>
      </c>
      <c r="AE86" s="137">
        <v>0.68379999999999996</v>
      </c>
      <c r="AF86" s="137">
        <v>0.67120000000000002</v>
      </c>
      <c r="AG86" s="137">
        <v>0.67510000000000003</v>
      </c>
      <c r="AH86" s="159" t="s">
        <v>295</v>
      </c>
      <c r="AI86" s="134" t="s">
        <v>422</v>
      </c>
      <c r="AJ86" s="134" t="s">
        <v>440</v>
      </c>
      <c r="AK86" s="137">
        <v>0.69069999999999998</v>
      </c>
      <c r="AL86" s="137">
        <v>0.70099999999999996</v>
      </c>
      <c r="AM86" s="137">
        <v>0.68689999999999996</v>
      </c>
      <c r="AN86" s="137">
        <v>0.71479999999999999</v>
      </c>
      <c r="AO86" s="137">
        <v>0.6794</v>
      </c>
      <c r="AP86" s="137">
        <v>0.69689999999999996</v>
      </c>
      <c r="AQ86" s="139" t="s">
        <v>295</v>
      </c>
      <c r="AR86" s="134" t="s">
        <v>375</v>
      </c>
      <c r="AS86" s="134" t="s">
        <v>376</v>
      </c>
      <c r="AT86" s="137">
        <v>0.71099999999999997</v>
      </c>
      <c r="AU86" s="137">
        <v>0.70799999999999996</v>
      </c>
      <c r="AV86" s="137">
        <v>0.68179999999999996</v>
      </c>
      <c r="AW86" s="137">
        <v>0.72550000000000003</v>
      </c>
      <c r="AX86" s="137">
        <v>0.70150000000000001</v>
      </c>
      <c r="AY86" s="137">
        <v>0.70620000000000005</v>
      </c>
      <c r="AZ86" s="145" t="s">
        <v>294</v>
      </c>
      <c r="BA86" s="134" t="s">
        <v>340</v>
      </c>
      <c r="BB86" s="134" t="s">
        <v>542</v>
      </c>
      <c r="BC86" s="137">
        <v>0.74519999999999997</v>
      </c>
      <c r="BD86" s="137">
        <v>0.7167</v>
      </c>
      <c r="BE86" s="137">
        <v>0.6845</v>
      </c>
      <c r="BF86" s="137">
        <v>0.74990000000000001</v>
      </c>
      <c r="BG86" s="137">
        <v>0.71730000000000005</v>
      </c>
      <c r="BH86" s="137">
        <v>0.72360000000000002</v>
      </c>
      <c r="BI86" s="149" t="s">
        <v>294</v>
      </c>
      <c r="BJ86" s="152">
        <v>122</v>
      </c>
      <c r="BK86" s="152">
        <v>119</v>
      </c>
      <c r="BL86" s="137">
        <v>0.75329999999999997</v>
      </c>
      <c r="BM86" s="137">
        <v>0.70920000000000005</v>
      </c>
      <c r="BN86" s="137">
        <v>0.68489999999999995</v>
      </c>
      <c r="BO86" s="137">
        <v>0.74790000000000001</v>
      </c>
      <c r="BP86" s="137">
        <v>0.71350000000000002</v>
      </c>
      <c r="BQ86" s="137">
        <v>0.72299999999999998</v>
      </c>
      <c r="BR86" s="281" t="s">
        <v>294</v>
      </c>
      <c r="BS86" s="270">
        <v>141</v>
      </c>
      <c r="BT86" s="270">
        <v>140</v>
      </c>
      <c r="BU86" s="270">
        <v>0.75249999999999995</v>
      </c>
      <c r="BV86" s="270">
        <v>0.70909999999999995</v>
      </c>
      <c r="BW86" s="270">
        <v>0.69779999999999998</v>
      </c>
      <c r="BX86" s="270">
        <v>0.76890000000000003</v>
      </c>
      <c r="BY86" s="270">
        <v>0.72829999999999995</v>
      </c>
      <c r="BZ86" s="270">
        <v>0.73180000000000001</v>
      </c>
      <c r="CA86" s="364" t="s">
        <v>294</v>
      </c>
      <c r="CB86" s="355" t="s">
        <v>725</v>
      </c>
      <c r="CC86" s="355" t="s">
        <v>413</v>
      </c>
      <c r="CD86" s="355">
        <v>0.747</v>
      </c>
      <c r="CE86" s="355">
        <v>0.7046</v>
      </c>
      <c r="CF86" s="355">
        <v>0.69730000000000003</v>
      </c>
      <c r="CG86" s="355">
        <v>0.75939999999999996</v>
      </c>
      <c r="CH86" s="355">
        <v>0.72270000000000001</v>
      </c>
      <c r="CI86" s="355">
        <v>0.72670000000000001</v>
      </c>
      <c r="CJ86" s="717" t="s">
        <v>294</v>
      </c>
      <c r="CK86" s="620">
        <v>180</v>
      </c>
      <c r="CL86" s="620">
        <v>180</v>
      </c>
      <c r="CM86" s="620">
        <v>0.75429999999999997</v>
      </c>
      <c r="CN86" s="620">
        <v>0.71809999999999996</v>
      </c>
      <c r="CO86" s="620">
        <v>0.70040000000000002</v>
      </c>
      <c r="CP86" s="620">
        <v>0.76329999999999998</v>
      </c>
      <c r="CQ86" s="620">
        <v>0.74970000000000003</v>
      </c>
      <c r="CR86" s="711">
        <v>0.73519999999999996</v>
      </c>
      <c r="CS86" s="564" t="s">
        <v>294</v>
      </c>
      <c r="CT86" s="564">
        <v>175</v>
      </c>
      <c r="CU86" s="564">
        <v>175</v>
      </c>
      <c r="CV86" s="585">
        <v>0.75960000000000005</v>
      </c>
      <c r="CW86" s="585">
        <v>0.71319999999999995</v>
      </c>
      <c r="CX86" s="585">
        <v>0.69620000000000004</v>
      </c>
      <c r="CY86" s="585">
        <v>0.75280000000000002</v>
      </c>
      <c r="CZ86" s="585">
        <v>0.74680000000000002</v>
      </c>
      <c r="DA86" s="585">
        <v>0.73170000000000002</v>
      </c>
      <c r="DB86" s="884" t="s">
        <v>294</v>
      </c>
      <c r="DC86" s="884">
        <v>168</v>
      </c>
      <c r="DD86" s="884">
        <v>168</v>
      </c>
      <c r="DE86" s="884">
        <v>0.77290000000000003</v>
      </c>
      <c r="DF86" s="133">
        <v>0.72489999999999999</v>
      </c>
      <c r="DG86" s="133">
        <v>0.71179999999999999</v>
      </c>
      <c r="DH86" s="133">
        <v>0.76649999999999996</v>
      </c>
      <c r="DI86" s="133">
        <v>0.77710000000000001</v>
      </c>
      <c r="DJ86" s="133">
        <v>0.74660000000000004</v>
      </c>
    </row>
    <row r="87" spans="1:114" x14ac:dyDescent="0.25">
      <c r="A87" s="36" t="s">
        <v>53</v>
      </c>
      <c r="B87" s="668">
        <v>125754001035</v>
      </c>
      <c r="C87" s="134" t="s">
        <v>452</v>
      </c>
      <c r="D87" s="134" t="s">
        <v>307</v>
      </c>
      <c r="E87" s="134" t="s">
        <v>671</v>
      </c>
      <c r="F87" s="134" t="s">
        <v>121</v>
      </c>
      <c r="G87" s="165" t="s">
        <v>295</v>
      </c>
      <c r="H87" s="166">
        <v>893</v>
      </c>
      <c r="I87" s="166">
        <v>862</v>
      </c>
      <c r="J87" s="166">
        <v>0.67669999999999997</v>
      </c>
      <c r="K87" s="166">
        <v>0.66969999999999996</v>
      </c>
      <c r="L87" s="166">
        <v>0.67549999999999999</v>
      </c>
      <c r="M87" s="166">
        <v>0.68049999999999999</v>
      </c>
      <c r="N87" s="166">
        <v>0.66559999999999997</v>
      </c>
      <c r="O87" s="166">
        <v>0.67479999999999996</v>
      </c>
      <c r="P87" s="173" t="s">
        <v>295</v>
      </c>
      <c r="Q87" s="174" t="s">
        <v>596</v>
      </c>
      <c r="R87" s="174" t="s">
        <v>710</v>
      </c>
      <c r="S87" s="174">
        <v>0.67149999999999999</v>
      </c>
      <c r="T87" s="174">
        <v>0.67510000000000003</v>
      </c>
      <c r="U87" s="174">
        <v>0.67420000000000002</v>
      </c>
      <c r="V87" s="174">
        <v>0.67569999999999997</v>
      </c>
      <c r="W87" s="174">
        <v>0.66220000000000001</v>
      </c>
      <c r="X87" s="174">
        <v>0.67320000000000002</v>
      </c>
      <c r="Y87" s="138" t="s">
        <v>295</v>
      </c>
      <c r="Z87" s="134" t="s">
        <v>571</v>
      </c>
      <c r="AA87" s="134" t="s">
        <v>572</v>
      </c>
      <c r="AB87" s="137">
        <v>0.67330000000000001</v>
      </c>
      <c r="AC87" s="137">
        <v>0.68840000000000001</v>
      </c>
      <c r="AD87" s="137">
        <v>0.68140000000000001</v>
      </c>
      <c r="AE87" s="137">
        <v>0.68759999999999999</v>
      </c>
      <c r="AF87" s="137">
        <v>0.6714</v>
      </c>
      <c r="AG87" s="137">
        <v>0.68179999999999996</v>
      </c>
      <c r="AH87" s="159" t="s">
        <v>295</v>
      </c>
      <c r="AI87" s="134" t="s">
        <v>505</v>
      </c>
      <c r="AJ87" s="134" t="s">
        <v>506</v>
      </c>
      <c r="AK87" s="137">
        <v>0.67759999999999998</v>
      </c>
      <c r="AL87" s="137">
        <v>0.70250000000000001</v>
      </c>
      <c r="AM87" s="137">
        <v>0.68579999999999997</v>
      </c>
      <c r="AN87" s="137">
        <v>0.69950000000000001</v>
      </c>
      <c r="AO87" s="137">
        <v>0.66579999999999995</v>
      </c>
      <c r="AP87" s="137">
        <v>0.68940000000000001</v>
      </c>
      <c r="AQ87" s="139" t="s">
        <v>295</v>
      </c>
      <c r="AR87" s="134" t="s">
        <v>393</v>
      </c>
      <c r="AS87" s="134" t="s">
        <v>394</v>
      </c>
      <c r="AT87" s="137">
        <v>0.68810000000000004</v>
      </c>
      <c r="AU87" s="137">
        <v>0.70389999999999997</v>
      </c>
      <c r="AV87" s="137">
        <v>0.68430000000000002</v>
      </c>
      <c r="AW87" s="137">
        <v>0.71489999999999998</v>
      </c>
      <c r="AX87" s="137">
        <v>0.67920000000000003</v>
      </c>
      <c r="AY87" s="137">
        <v>0.69640000000000002</v>
      </c>
      <c r="AZ87" s="138" t="s">
        <v>295</v>
      </c>
      <c r="BA87" s="134" t="s">
        <v>649</v>
      </c>
      <c r="BB87" s="134" t="s">
        <v>650</v>
      </c>
      <c r="BC87" s="137">
        <v>0.69230000000000003</v>
      </c>
      <c r="BD87" s="137">
        <v>0.6845</v>
      </c>
      <c r="BE87" s="137">
        <v>0.66839999999999999</v>
      </c>
      <c r="BF87" s="137">
        <v>0.71989999999999998</v>
      </c>
      <c r="BG87" s="137">
        <v>0.67659999999999998</v>
      </c>
      <c r="BH87" s="137">
        <v>0.69010000000000005</v>
      </c>
      <c r="BI87" s="135" t="s">
        <v>295</v>
      </c>
      <c r="BJ87" s="152">
        <v>850</v>
      </c>
      <c r="BK87" s="152">
        <v>816</v>
      </c>
      <c r="BL87" s="137">
        <v>0.69950000000000001</v>
      </c>
      <c r="BM87" s="137">
        <v>0.66259999999999997</v>
      </c>
      <c r="BN87" s="137">
        <v>0.65690000000000004</v>
      </c>
      <c r="BO87" s="137">
        <v>0.71830000000000005</v>
      </c>
      <c r="BP87" s="137">
        <v>0.66259999999999997</v>
      </c>
      <c r="BQ87" s="137">
        <v>0.68269999999999997</v>
      </c>
      <c r="BR87" s="277" t="s">
        <v>295</v>
      </c>
      <c r="BS87" s="270">
        <v>821</v>
      </c>
      <c r="BT87" s="270">
        <v>811</v>
      </c>
      <c r="BU87" s="270">
        <v>0.69740000000000002</v>
      </c>
      <c r="BV87" s="270">
        <v>0.65990000000000004</v>
      </c>
      <c r="BW87" s="270">
        <v>0.65720000000000001</v>
      </c>
      <c r="BX87" s="270">
        <v>0.72240000000000004</v>
      </c>
      <c r="BY87" s="270">
        <v>0.66290000000000004</v>
      </c>
      <c r="BZ87" s="270">
        <v>0.68259999999999998</v>
      </c>
      <c r="CA87" s="356" t="s">
        <v>295</v>
      </c>
      <c r="CB87" s="355" t="s">
        <v>490</v>
      </c>
      <c r="CC87" s="355" t="s">
        <v>829</v>
      </c>
      <c r="CD87" s="355">
        <v>0.6865</v>
      </c>
      <c r="CE87" s="355">
        <v>0.65529999999999999</v>
      </c>
      <c r="CF87" s="355">
        <v>0.6502</v>
      </c>
      <c r="CG87" s="355">
        <v>0.71550000000000002</v>
      </c>
      <c r="CH87" s="355">
        <v>0.65310000000000001</v>
      </c>
      <c r="CI87" s="355">
        <v>0.67500000000000004</v>
      </c>
      <c r="CJ87" s="715" t="s">
        <v>295</v>
      </c>
      <c r="CK87" s="620">
        <v>894</v>
      </c>
      <c r="CL87" s="620">
        <v>870</v>
      </c>
      <c r="CM87" s="620">
        <v>0.68269999999999997</v>
      </c>
      <c r="CN87" s="620">
        <v>0.65890000000000004</v>
      </c>
      <c r="CO87" s="620">
        <v>0.64910000000000001</v>
      </c>
      <c r="CP87" s="620">
        <v>0.71650000000000003</v>
      </c>
      <c r="CQ87" s="620">
        <v>0.67159999999999997</v>
      </c>
      <c r="CR87" s="711">
        <v>0.6764</v>
      </c>
      <c r="CS87" s="564" t="s">
        <v>295</v>
      </c>
      <c r="CT87" s="564">
        <v>988</v>
      </c>
      <c r="CU87" s="564">
        <v>963</v>
      </c>
      <c r="CV87" s="585">
        <v>0.6976</v>
      </c>
      <c r="CW87" s="585">
        <v>0.67200000000000004</v>
      </c>
      <c r="CX87" s="585">
        <v>0.66090000000000004</v>
      </c>
      <c r="CY87" s="585">
        <v>0.72599999999999998</v>
      </c>
      <c r="CZ87" s="585">
        <v>0.6845</v>
      </c>
      <c r="DA87" s="585">
        <v>0.68879999999999997</v>
      </c>
      <c r="DB87" s="884" t="s">
        <v>295</v>
      </c>
      <c r="DC87" s="884">
        <v>974</v>
      </c>
      <c r="DD87" s="884">
        <v>949</v>
      </c>
      <c r="DE87" s="884">
        <v>0.71189999999999998</v>
      </c>
      <c r="DF87" s="133">
        <v>0.68659999999999999</v>
      </c>
      <c r="DG87" s="133">
        <v>0.6653</v>
      </c>
      <c r="DH87" s="133">
        <v>0.72729999999999995</v>
      </c>
      <c r="DI87" s="133">
        <v>0.6976</v>
      </c>
      <c r="DJ87" s="133">
        <v>0.69779999999999998</v>
      </c>
    </row>
    <row r="88" spans="1:114" x14ac:dyDescent="0.25">
      <c r="A88" s="126" t="s">
        <v>953</v>
      </c>
      <c r="B88" s="668">
        <v>125754001159</v>
      </c>
      <c r="C88" s="134" t="s">
        <v>452</v>
      </c>
      <c r="D88" s="134" t="s">
        <v>307</v>
      </c>
      <c r="E88" s="134" t="s">
        <v>671</v>
      </c>
      <c r="F88" s="134" t="s">
        <v>121</v>
      </c>
      <c r="G88" s="165" t="s">
        <v>295</v>
      </c>
      <c r="H88" s="166">
        <v>343</v>
      </c>
      <c r="I88" s="166">
        <v>339</v>
      </c>
      <c r="J88" s="166">
        <v>0.68089999999999995</v>
      </c>
      <c r="K88" s="166">
        <v>0.67610000000000003</v>
      </c>
      <c r="L88" s="166">
        <v>0.67920000000000003</v>
      </c>
      <c r="M88" s="166">
        <v>0.68010000000000004</v>
      </c>
      <c r="N88" s="166">
        <v>0.66090000000000004</v>
      </c>
      <c r="O88" s="166">
        <v>0.67769999999999997</v>
      </c>
      <c r="P88" s="173" t="s">
        <v>295</v>
      </c>
      <c r="Q88" s="174" t="s">
        <v>389</v>
      </c>
      <c r="R88" s="174" t="s">
        <v>687</v>
      </c>
      <c r="S88" s="174">
        <v>0.69169999999999998</v>
      </c>
      <c r="T88" s="174">
        <v>0.6925</v>
      </c>
      <c r="U88" s="174">
        <v>0.69130000000000003</v>
      </c>
      <c r="V88" s="174">
        <v>0.68500000000000005</v>
      </c>
      <c r="W88" s="174">
        <v>0.67</v>
      </c>
      <c r="X88" s="174">
        <v>0.68859999999999999</v>
      </c>
      <c r="Y88" s="138" t="s">
        <v>295</v>
      </c>
      <c r="Z88" s="134" t="s">
        <v>326</v>
      </c>
      <c r="AA88" s="134" t="s">
        <v>556</v>
      </c>
      <c r="AB88" s="137">
        <v>0.69679999999999997</v>
      </c>
      <c r="AC88" s="137">
        <v>0.71050000000000002</v>
      </c>
      <c r="AD88" s="137">
        <v>0.69930000000000003</v>
      </c>
      <c r="AE88" s="137">
        <v>0.70379999999999998</v>
      </c>
      <c r="AF88" s="137">
        <v>0.69179999999999997</v>
      </c>
      <c r="AG88" s="137">
        <v>0.70179999999999998</v>
      </c>
      <c r="AH88" s="159" t="s">
        <v>295</v>
      </c>
      <c r="AI88" s="134" t="s">
        <v>489</v>
      </c>
      <c r="AJ88" s="134" t="s">
        <v>326</v>
      </c>
      <c r="AK88" s="137">
        <v>0.7036</v>
      </c>
      <c r="AL88" s="137">
        <v>0.71889999999999998</v>
      </c>
      <c r="AM88" s="137">
        <v>0.70309999999999995</v>
      </c>
      <c r="AN88" s="137">
        <v>0.72309999999999997</v>
      </c>
      <c r="AO88" s="137">
        <v>0.69489999999999996</v>
      </c>
      <c r="AP88" s="137">
        <v>0.71079999999999999</v>
      </c>
      <c r="AQ88" s="139" t="s">
        <v>295</v>
      </c>
      <c r="AR88" s="134" t="s">
        <v>380</v>
      </c>
      <c r="AS88" s="134" t="s">
        <v>381</v>
      </c>
      <c r="AT88" s="137">
        <v>0.69489999999999996</v>
      </c>
      <c r="AU88" s="137">
        <v>0.69550000000000001</v>
      </c>
      <c r="AV88" s="137">
        <v>0.68689999999999996</v>
      </c>
      <c r="AW88" s="137">
        <v>0.73</v>
      </c>
      <c r="AX88" s="137">
        <v>0.69650000000000001</v>
      </c>
      <c r="AY88" s="137">
        <v>0.70140000000000002</v>
      </c>
      <c r="AZ88" s="135" t="s">
        <v>295</v>
      </c>
      <c r="BA88" s="136" t="s">
        <v>655</v>
      </c>
      <c r="BB88" s="136" t="s">
        <v>646</v>
      </c>
      <c r="BC88" s="137">
        <v>0.68179999999999996</v>
      </c>
      <c r="BD88" s="137">
        <v>0.66779999999999995</v>
      </c>
      <c r="BE88" s="137">
        <v>0.66439999999999999</v>
      </c>
      <c r="BF88" s="137">
        <v>0.7238</v>
      </c>
      <c r="BG88" s="137">
        <v>0.67630000000000001</v>
      </c>
      <c r="BH88" s="137">
        <v>0.68379999999999996</v>
      </c>
      <c r="BI88" s="140" t="s">
        <v>427</v>
      </c>
      <c r="BJ88" s="152">
        <v>490</v>
      </c>
      <c r="BK88" s="152">
        <v>474</v>
      </c>
      <c r="BL88" s="137">
        <v>0.67320000000000002</v>
      </c>
      <c r="BM88" s="137">
        <v>0.64319999999999999</v>
      </c>
      <c r="BN88" s="137">
        <v>0.64829999999999999</v>
      </c>
      <c r="BO88" s="137">
        <v>0.71350000000000002</v>
      </c>
      <c r="BP88" s="137">
        <v>0.65500000000000003</v>
      </c>
      <c r="BQ88" s="137">
        <v>0.66839999999999999</v>
      </c>
      <c r="BR88" s="279" t="s">
        <v>427</v>
      </c>
      <c r="BS88" s="270">
        <v>456</v>
      </c>
      <c r="BT88" s="270">
        <v>448</v>
      </c>
      <c r="BU88" s="270">
        <v>0.67269999999999996</v>
      </c>
      <c r="BV88" s="270">
        <v>0.64410000000000001</v>
      </c>
      <c r="BW88" s="270">
        <v>0.6421</v>
      </c>
      <c r="BX88" s="270">
        <v>0.71750000000000003</v>
      </c>
      <c r="BY88" s="270">
        <v>0.64290000000000003</v>
      </c>
      <c r="BZ88" s="270">
        <v>0.66710000000000003</v>
      </c>
      <c r="CA88" s="357" t="s">
        <v>427</v>
      </c>
      <c r="CB88" s="355" t="s">
        <v>810</v>
      </c>
      <c r="CC88" s="355" t="s">
        <v>326</v>
      </c>
      <c r="CD88" s="355">
        <v>0.6764</v>
      </c>
      <c r="CE88" s="355">
        <v>0.63839999999999997</v>
      </c>
      <c r="CF88" s="355">
        <v>0.63900000000000001</v>
      </c>
      <c r="CG88" s="355">
        <v>0.7137</v>
      </c>
      <c r="CH88" s="355">
        <v>0.65269999999999995</v>
      </c>
      <c r="CI88" s="355">
        <v>0.66579999999999995</v>
      </c>
      <c r="CJ88" s="718" t="s">
        <v>427</v>
      </c>
      <c r="CK88" s="620">
        <v>447</v>
      </c>
      <c r="CL88" s="620">
        <v>439</v>
      </c>
      <c r="CM88" s="620">
        <v>0.67779999999999996</v>
      </c>
      <c r="CN88" s="620">
        <v>0.64710000000000001</v>
      </c>
      <c r="CO88" s="620">
        <v>0.63570000000000004</v>
      </c>
      <c r="CP88" s="620">
        <v>0.71179999999999999</v>
      </c>
      <c r="CQ88" s="620">
        <v>0.68340000000000001</v>
      </c>
      <c r="CR88" s="711">
        <v>0.66930000000000001</v>
      </c>
      <c r="CS88" s="564" t="s">
        <v>295</v>
      </c>
      <c r="CT88" s="564">
        <v>440</v>
      </c>
      <c r="CU88" s="564">
        <v>431</v>
      </c>
      <c r="CV88" s="585">
        <v>0.68489999999999995</v>
      </c>
      <c r="CW88" s="585">
        <v>0.65200000000000002</v>
      </c>
      <c r="CX88" s="585">
        <v>0.64259999999999995</v>
      </c>
      <c r="CY88" s="585">
        <v>0.71360000000000001</v>
      </c>
      <c r="CZ88" s="585">
        <v>0.69569999999999999</v>
      </c>
      <c r="DA88" s="585">
        <v>0.67500000000000004</v>
      </c>
      <c r="DB88" s="884" t="s">
        <v>295</v>
      </c>
      <c r="DC88" s="884">
        <v>458</v>
      </c>
      <c r="DD88" s="884">
        <v>444</v>
      </c>
      <c r="DE88" s="884">
        <v>0.68059999999999998</v>
      </c>
      <c r="DF88" s="133">
        <v>0.65559999999999996</v>
      </c>
      <c r="DG88" s="133">
        <v>0.64500000000000002</v>
      </c>
      <c r="DH88" s="133">
        <v>0.71909999999999996</v>
      </c>
      <c r="DI88" s="133">
        <v>0.69530000000000003</v>
      </c>
      <c r="DJ88" s="133">
        <v>0.67659999999999998</v>
      </c>
    </row>
    <row r="89" spans="1:114" x14ac:dyDescent="0.25">
      <c r="A89" s="126" t="s">
        <v>954</v>
      </c>
      <c r="B89" s="668">
        <v>325754002596</v>
      </c>
      <c r="C89" s="134" t="s">
        <v>452</v>
      </c>
      <c r="D89" s="134" t="s">
        <v>307</v>
      </c>
      <c r="E89" s="134" t="s">
        <v>671</v>
      </c>
      <c r="F89" s="134" t="s">
        <v>123</v>
      </c>
      <c r="G89" s="167" t="s">
        <v>427</v>
      </c>
      <c r="H89" s="166">
        <v>67</v>
      </c>
      <c r="I89" s="166">
        <v>67</v>
      </c>
      <c r="J89" s="166">
        <v>0.65239999999999998</v>
      </c>
      <c r="K89" s="166">
        <v>0.65039999999999998</v>
      </c>
      <c r="L89" s="166">
        <v>0.63780000000000003</v>
      </c>
      <c r="M89" s="166">
        <v>0.65129999999999999</v>
      </c>
      <c r="N89" s="166">
        <v>0.64459999999999995</v>
      </c>
      <c r="O89" s="166">
        <v>0.64770000000000005</v>
      </c>
      <c r="P89" s="175" t="s">
        <v>427</v>
      </c>
      <c r="Q89" s="174" t="s">
        <v>432</v>
      </c>
      <c r="R89" s="174" t="s">
        <v>313</v>
      </c>
      <c r="S89" s="174">
        <v>0.63770000000000004</v>
      </c>
      <c r="T89" s="174">
        <v>0.65969999999999995</v>
      </c>
      <c r="U89" s="174">
        <v>0.63719999999999999</v>
      </c>
      <c r="V89" s="174">
        <v>0.6462</v>
      </c>
      <c r="W89" s="174">
        <v>0.64290000000000003</v>
      </c>
      <c r="X89" s="174">
        <v>0.64500000000000002</v>
      </c>
      <c r="Y89" s="141" t="s">
        <v>427</v>
      </c>
      <c r="Z89" s="134" t="s">
        <v>532</v>
      </c>
      <c r="AA89" s="134" t="s">
        <v>336</v>
      </c>
      <c r="AB89" s="137">
        <v>0.63600000000000001</v>
      </c>
      <c r="AC89" s="137">
        <v>0.67279999999999995</v>
      </c>
      <c r="AD89" s="137">
        <v>0.63529999999999998</v>
      </c>
      <c r="AE89" s="137">
        <v>0.65269999999999995</v>
      </c>
      <c r="AF89" s="137">
        <v>0.65100000000000002</v>
      </c>
      <c r="AG89" s="137">
        <v>0.64939999999999998</v>
      </c>
      <c r="AH89" s="155" t="s">
        <v>427</v>
      </c>
      <c r="AI89" s="134" t="s">
        <v>523</v>
      </c>
      <c r="AJ89" s="134" t="s">
        <v>524</v>
      </c>
      <c r="AK89" s="137">
        <v>0.62970000000000004</v>
      </c>
      <c r="AL89" s="137">
        <v>0.66159999999999997</v>
      </c>
      <c r="AM89" s="137">
        <v>0.621</v>
      </c>
      <c r="AN89" s="137">
        <v>0.65290000000000004</v>
      </c>
      <c r="AO89" s="137">
        <v>0.64239999999999997</v>
      </c>
      <c r="AP89" s="137">
        <v>0.64139999999999997</v>
      </c>
      <c r="AQ89" s="142" t="s">
        <v>427</v>
      </c>
      <c r="AR89" s="134" t="s">
        <v>332</v>
      </c>
      <c r="AS89" s="134" t="s">
        <v>383</v>
      </c>
      <c r="AT89" s="137">
        <v>0.62739999999999996</v>
      </c>
      <c r="AU89" s="137">
        <v>0.65339999999999998</v>
      </c>
      <c r="AV89" s="137">
        <v>0.61080000000000001</v>
      </c>
      <c r="AW89" s="137">
        <v>0.66239999999999999</v>
      </c>
      <c r="AX89" s="137">
        <v>0.6482</v>
      </c>
      <c r="AY89" s="137">
        <v>0.63919999999999999</v>
      </c>
      <c r="AZ89" s="143" t="s">
        <v>443</v>
      </c>
      <c r="BA89" s="134" t="s">
        <v>311</v>
      </c>
      <c r="BB89" s="134" t="s">
        <v>50</v>
      </c>
      <c r="BC89" s="137">
        <v>0.61040000000000005</v>
      </c>
      <c r="BD89" s="137">
        <v>0.61960000000000004</v>
      </c>
      <c r="BE89" s="137">
        <v>0.58279999999999998</v>
      </c>
      <c r="BF89" s="137">
        <v>0.66390000000000005</v>
      </c>
      <c r="BG89" s="137">
        <v>0.61499999999999999</v>
      </c>
      <c r="BH89" s="137">
        <v>0.61890000000000001</v>
      </c>
      <c r="BI89" s="140" t="s">
        <v>427</v>
      </c>
      <c r="BJ89" s="152">
        <v>67</v>
      </c>
      <c r="BK89" s="152">
        <v>63</v>
      </c>
      <c r="BL89" s="137">
        <v>0.65990000000000004</v>
      </c>
      <c r="BM89" s="137">
        <v>0.63200000000000001</v>
      </c>
      <c r="BN89" s="137">
        <v>0.62260000000000004</v>
      </c>
      <c r="BO89" s="137">
        <v>0.68789999999999996</v>
      </c>
      <c r="BP89" s="137">
        <v>0.61180000000000001</v>
      </c>
      <c r="BQ89" s="137">
        <v>0.64759999999999995</v>
      </c>
      <c r="BR89" s="277" t="s">
        <v>295</v>
      </c>
      <c r="BS89" s="270">
        <v>71</v>
      </c>
      <c r="BT89" s="270">
        <v>71</v>
      </c>
      <c r="BU89" s="270">
        <v>0.69020000000000004</v>
      </c>
      <c r="BV89" s="270">
        <v>0.65949999999999998</v>
      </c>
      <c r="BW89" s="270">
        <v>0.65569999999999995</v>
      </c>
      <c r="BX89" s="270">
        <v>0.71950000000000003</v>
      </c>
      <c r="BY89" s="270">
        <v>0.6381</v>
      </c>
      <c r="BZ89" s="270">
        <v>0.67789999999999995</v>
      </c>
      <c r="CA89" s="356" t="s">
        <v>295</v>
      </c>
      <c r="CB89" s="355" t="s">
        <v>314</v>
      </c>
      <c r="CC89" s="355" t="s">
        <v>314</v>
      </c>
      <c r="CD89" s="355">
        <v>0.70720000000000005</v>
      </c>
      <c r="CE89" s="355">
        <v>0.67049999999999998</v>
      </c>
      <c r="CF89" s="355">
        <v>0.67700000000000005</v>
      </c>
      <c r="CG89" s="355">
        <v>0.73</v>
      </c>
      <c r="CH89" s="355">
        <v>0.66100000000000003</v>
      </c>
      <c r="CI89" s="355">
        <v>0.69350000000000001</v>
      </c>
      <c r="CJ89" s="715" t="s">
        <v>295</v>
      </c>
      <c r="CK89" s="620">
        <v>67</v>
      </c>
      <c r="CL89" s="620">
        <v>67</v>
      </c>
      <c r="CM89" s="620">
        <v>0.71340000000000003</v>
      </c>
      <c r="CN89" s="620">
        <v>0.67679999999999996</v>
      </c>
      <c r="CO89" s="620">
        <v>0.67710000000000004</v>
      </c>
      <c r="CP89" s="620">
        <v>0.73580000000000001</v>
      </c>
      <c r="CQ89" s="620">
        <v>0.69479999999999997</v>
      </c>
      <c r="CR89" s="711">
        <v>0.70030000000000003</v>
      </c>
      <c r="CS89" s="564" t="s">
        <v>295</v>
      </c>
      <c r="CT89" s="564">
        <v>65</v>
      </c>
      <c r="CU89" s="564">
        <v>65</v>
      </c>
      <c r="CV89" s="585">
        <v>0.73919999999999997</v>
      </c>
      <c r="CW89" s="585">
        <v>0.69059999999999999</v>
      </c>
      <c r="CX89" s="585">
        <v>0.69430000000000003</v>
      </c>
      <c r="CY89" s="585">
        <v>0.74050000000000005</v>
      </c>
      <c r="CZ89" s="585">
        <v>0.71209999999999996</v>
      </c>
      <c r="DA89" s="585">
        <v>0.71579999999999999</v>
      </c>
      <c r="DB89" s="884" t="s">
        <v>295</v>
      </c>
      <c r="DC89" s="884">
        <v>79</v>
      </c>
      <c r="DD89" s="884">
        <v>78</v>
      </c>
      <c r="DE89" s="884">
        <v>0.73009999999999997</v>
      </c>
      <c r="DF89" s="133">
        <v>0.69499999999999995</v>
      </c>
      <c r="DG89" s="133">
        <v>0.69299999999999995</v>
      </c>
      <c r="DH89" s="133">
        <v>0.73809999999999998</v>
      </c>
      <c r="DI89" s="133">
        <v>0.70469999999999999</v>
      </c>
      <c r="DJ89" s="133">
        <v>0.71330000000000005</v>
      </c>
    </row>
    <row r="90" spans="1:114" x14ac:dyDescent="0.25">
      <c r="A90" s="36" t="s">
        <v>96</v>
      </c>
      <c r="B90" s="668">
        <v>125754000713</v>
      </c>
      <c r="C90" s="134" t="s">
        <v>452</v>
      </c>
      <c r="D90" s="134" t="s">
        <v>307</v>
      </c>
      <c r="E90" s="134" t="s">
        <v>671</v>
      </c>
      <c r="F90" s="134" t="s">
        <v>121</v>
      </c>
      <c r="G90" s="165" t="s">
        <v>295</v>
      </c>
      <c r="H90" s="166">
        <v>382</v>
      </c>
      <c r="I90" s="166">
        <v>379</v>
      </c>
      <c r="J90" s="166">
        <v>0.6734</v>
      </c>
      <c r="K90" s="166">
        <v>0.67610000000000003</v>
      </c>
      <c r="L90" s="166">
        <v>0.67910000000000004</v>
      </c>
      <c r="M90" s="166">
        <v>0.68899999999999995</v>
      </c>
      <c r="N90" s="166">
        <v>0.6653</v>
      </c>
      <c r="O90" s="166">
        <v>0.67830000000000001</v>
      </c>
      <c r="P90" s="173" t="s">
        <v>295</v>
      </c>
      <c r="Q90" s="174" t="s">
        <v>711</v>
      </c>
      <c r="R90" s="174" t="s">
        <v>712</v>
      </c>
      <c r="S90" s="174">
        <v>0.66620000000000001</v>
      </c>
      <c r="T90" s="174">
        <v>0.68200000000000005</v>
      </c>
      <c r="U90" s="174">
        <v>0.67549999999999999</v>
      </c>
      <c r="V90" s="174">
        <v>0.68330000000000002</v>
      </c>
      <c r="W90" s="174">
        <v>0.66110000000000002</v>
      </c>
      <c r="X90" s="174">
        <v>0.67549999999999999</v>
      </c>
      <c r="Y90" s="138" t="s">
        <v>295</v>
      </c>
      <c r="Z90" s="134" t="s">
        <v>576</v>
      </c>
      <c r="AA90" s="134" t="s">
        <v>577</v>
      </c>
      <c r="AB90" s="137">
        <v>0.66339999999999999</v>
      </c>
      <c r="AC90" s="137">
        <v>0.69599999999999995</v>
      </c>
      <c r="AD90" s="137">
        <v>0.67410000000000003</v>
      </c>
      <c r="AE90" s="137">
        <v>0.69059999999999999</v>
      </c>
      <c r="AF90" s="137">
        <v>0.67049999999999998</v>
      </c>
      <c r="AG90" s="137">
        <v>0.68020000000000003</v>
      </c>
      <c r="AH90" s="159" t="s">
        <v>295</v>
      </c>
      <c r="AI90" s="134" t="s">
        <v>514</v>
      </c>
      <c r="AJ90" s="134" t="s">
        <v>515</v>
      </c>
      <c r="AK90" s="137">
        <v>0.66869999999999996</v>
      </c>
      <c r="AL90" s="137">
        <v>0.69789999999999996</v>
      </c>
      <c r="AM90" s="137">
        <v>0.67300000000000004</v>
      </c>
      <c r="AN90" s="137">
        <v>0.69820000000000004</v>
      </c>
      <c r="AO90" s="137">
        <v>0.67100000000000004</v>
      </c>
      <c r="AP90" s="137">
        <v>0.68340000000000001</v>
      </c>
      <c r="AQ90" s="139" t="s">
        <v>295</v>
      </c>
      <c r="AR90" s="134" t="s">
        <v>408</v>
      </c>
      <c r="AS90" s="134" t="s">
        <v>409</v>
      </c>
      <c r="AT90" s="137">
        <v>0.67720000000000002</v>
      </c>
      <c r="AU90" s="137">
        <v>0.69710000000000005</v>
      </c>
      <c r="AV90" s="137">
        <v>0.67449999999999999</v>
      </c>
      <c r="AW90" s="137">
        <v>0.71560000000000001</v>
      </c>
      <c r="AX90" s="137">
        <v>0.68120000000000003</v>
      </c>
      <c r="AY90" s="137">
        <v>0.69030000000000002</v>
      </c>
      <c r="AZ90" s="138" t="s">
        <v>295</v>
      </c>
      <c r="BA90" s="134" t="s">
        <v>652</v>
      </c>
      <c r="BB90" s="134" t="s">
        <v>653</v>
      </c>
      <c r="BC90" s="137">
        <v>0.6835</v>
      </c>
      <c r="BD90" s="137">
        <v>0.68179999999999996</v>
      </c>
      <c r="BE90" s="137">
        <v>0.66259999999999997</v>
      </c>
      <c r="BF90" s="137">
        <v>0.72160000000000002</v>
      </c>
      <c r="BG90" s="137">
        <v>0.67320000000000002</v>
      </c>
      <c r="BH90" s="137">
        <v>0.68630000000000002</v>
      </c>
      <c r="BI90" s="135" t="s">
        <v>295</v>
      </c>
      <c r="BJ90" s="152">
        <v>769</v>
      </c>
      <c r="BK90" s="152">
        <v>750</v>
      </c>
      <c r="BL90" s="137">
        <v>0.68230000000000002</v>
      </c>
      <c r="BM90" s="137">
        <v>0.6694</v>
      </c>
      <c r="BN90" s="137">
        <v>0.65210000000000001</v>
      </c>
      <c r="BO90" s="137">
        <v>0.7208</v>
      </c>
      <c r="BP90" s="137">
        <v>0.66359999999999997</v>
      </c>
      <c r="BQ90" s="137">
        <v>0.67979999999999996</v>
      </c>
      <c r="BR90" s="279" t="s">
        <v>427</v>
      </c>
      <c r="BS90" s="270">
        <v>346</v>
      </c>
      <c r="BT90" s="270">
        <v>334</v>
      </c>
      <c r="BU90" s="270">
        <v>0.67390000000000005</v>
      </c>
      <c r="BV90" s="270">
        <v>0.64200000000000002</v>
      </c>
      <c r="BW90" s="270">
        <v>0.63139999999999996</v>
      </c>
      <c r="BX90" s="270">
        <v>0.70689999999999997</v>
      </c>
      <c r="BY90" s="270">
        <v>0.62480000000000002</v>
      </c>
      <c r="BZ90" s="270">
        <v>0.66059999999999997</v>
      </c>
      <c r="CA90" s="357" t="s">
        <v>427</v>
      </c>
      <c r="CB90" s="355" t="s">
        <v>830</v>
      </c>
      <c r="CC90" s="355" t="s">
        <v>331</v>
      </c>
      <c r="CD90" s="355">
        <v>0.67149999999999999</v>
      </c>
      <c r="CE90" s="355">
        <v>0.64829999999999999</v>
      </c>
      <c r="CF90" s="355">
        <v>0.64400000000000002</v>
      </c>
      <c r="CG90" s="355">
        <v>0.70720000000000005</v>
      </c>
      <c r="CH90" s="355">
        <v>0.63349999999999995</v>
      </c>
      <c r="CI90" s="355">
        <v>0.66510000000000002</v>
      </c>
      <c r="CJ90" s="718" t="s">
        <v>427</v>
      </c>
      <c r="CK90" s="620">
        <v>359</v>
      </c>
      <c r="CL90" s="620">
        <v>342</v>
      </c>
      <c r="CM90" s="620">
        <v>0.6724</v>
      </c>
      <c r="CN90" s="620">
        <v>0.64939999999999998</v>
      </c>
      <c r="CO90" s="620">
        <v>0.64410000000000001</v>
      </c>
      <c r="CP90" s="620">
        <v>0.70589999999999997</v>
      </c>
      <c r="CQ90" s="620">
        <v>0.64449999999999996</v>
      </c>
      <c r="CR90" s="711">
        <v>0.66620000000000001</v>
      </c>
      <c r="CS90" s="564" t="s">
        <v>295</v>
      </c>
      <c r="CT90" s="564">
        <v>318</v>
      </c>
      <c r="CU90" s="564">
        <v>311</v>
      </c>
      <c r="CV90" s="585">
        <v>0.68269999999999997</v>
      </c>
      <c r="CW90" s="585">
        <v>0.65890000000000004</v>
      </c>
      <c r="CX90" s="585">
        <v>0.65259999999999996</v>
      </c>
      <c r="CY90" s="585">
        <v>0.70789999999999997</v>
      </c>
      <c r="CZ90" s="585">
        <v>0.66290000000000004</v>
      </c>
      <c r="DA90" s="585">
        <v>0.67449999999999999</v>
      </c>
      <c r="DB90" s="884" t="s">
        <v>295</v>
      </c>
      <c r="DC90" s="884">
        <v>304</v>
      </c>
      <c r="DD90" s="884">
        <v>296</v>
      </c>
      <c r="DE90" s="884">
        <v>0.67949999999999999</v>
      </c>
      <c r="DF90" s="133">
        <v>0.6663</v>
      </c>
      <c r="DG90" s="133">
        <v>0.6462</v>
      </c>
      <c r="DH90" s="133">
        <v>0.70050000000000001</v>
      </c>
      <c r="DI90" s="133">
        <v>0.66420000000000001</v>
      </c>
      <c r="DJ90" s="133">
        <v>0.6724</v>
      </c>
    </row>
    <row r="91" spans="1:114" x14ac:dyDescent="0.25">
      <c r="A91" s="322" t="s">
        <v>25</v>
      </c>
      <c r="B91" s="876">
        <v>125754001019</v>
      </c>
      <c r="C91" s="134" t="s">
        <v>452</v>
      </c>
      <c r="D91" s="134" t="s">
        <v>307</v>
      </c>
      <c r="E91" s="344" t="s">
        <v>671</v>
      </c>
      <c r="F91" s="134" t="s">
        <v>121</v>
      </c>
      <c r="G91" s="345" t="s">
        <v>427</v>
      </c>
      <c r="H91" s="346">
        <v>573</v>
      </c>
      <c r="I91" s="346">
        <v>561</v>
      </c>
      <c r="J91" s="346">
        <v>0.6613</v>
      </c>
      <c r="K91" s="346">
        <v>0.66320000000000001</v>
      </c>
      <c r="L91" s="346">
        <v>0.66710000000000003</v>
      </c>
      <c r="M91" s="346">
        <v>0.67159999999999997</v>
      </c>
      <c r="N91" s="346">
        <v>0.65680000000000005</v>
      </c>
      <c r="O91" s="346">
        <v>0.66510000000000002</v>
      </c>
      <c r="P91" s="345" t="s">
        <v>427</v>
      </c>
      <c r="Q91" s="346" t="s">
        <v>531</v>
      </c>
      <c r="R91" s="346" t="s">
        <v>713</v>
      </c>
      <c r="S91" s="346">
        <v>0.66959999999999997</v>
      </c>
      <c r="T91" s="346">
        <v>0.67589999999999995</v>
      </c>
      <c r="U91" s="346">
        <v>0.66749999999999998</v>
      </c>
      <c r="V91" s="346">
        <v>0.66949999999999998</v>
      </c>
      <c r="W91" s="346">
        <v>0.6462</v>
      </c>
      <c r="X91" s="346">
        <v>0.66869999999999996</v>
      </c>
      <c r="Y91" s="360" t="s">
        <v>295</v>
      </c>
      <c r="Z91" s="344" t="s">
        <v>583</v>
      </c>
      <c r="AA91" s="344" t="s">
        <v>584</v>
      </c>
      <c r="AB91" s="348">
        <v>0.67030000000000001</v>
      </c>
      <c r="AC91" s="348">
        <v>0.68769999999999998</v>
      </c>
      <c r="AD91" s="348">
        <v>0.6694</v>
      </c>
      <c r="AE91" s="348">
        <v>0.67979999999999996</v>
      </c>
      <c r="AF91" s="348">
        <v>0.65259999999999996</v>
      </c>
      <c r="AG91" s="348">
        <v>0.67490000000000006</v>
      </c>
      <c r="AH91" s="366" t="s">
        <v>295</v>
      </c>
      <c r="AI91" s="344" t="s">
        <v>512</v>
      </c>
      <c r="AJ91" s="344" t="s">
        <v>513</v>
      </c>
      <c r="AK91" s="348">
        <v>0.6865</v>
      </c>
      <c r="AL91" s="348">
        <v>0.69520000000000004</v>
      </c>
      <c r="AM91" s="348">
        <v>0.67669999999999997</v>
      </c>
      <c r="AN91" s="348">
        <v>0.69159999999999999</v>
      </c>
      <c r="AO91" s="348">
        <v>0.65239999999999998</v>
      </c>
      <c r="AP91" s="348">
        <v>0.68479999999999996</v>
      </c>
      <c r="AQ91" s="367" t="s">
        <v>295</v>
      </c>
      <c r="AR91" s="344" t="s">
        <v>384</v>
      </c>
      <c r="AS91" s="344" t="s">
        <v>385</v>
      </c>
      <c r="AT91" s="348">
        <v>0.70489999999999997</v>
      </c>
      <c r="AU91" s="348">
        <v>0.7046</v>
      </c>
      <c r="AV91" s="348">
        <v>0.68340000000000001</v>
      </c>
      <c r="AW91" s="348">
        <v>0.71389999999999998</v>
      </c>
      <c r="AX91" s="348">
        <v>0.67920000000000003</v>
      </c>
      <c r="AY91" s="348">
        <v>0.7</v>
      </c>
      <c r="AZ91" s="360" t="s">
        <v>295</v>
      </c>
      <c r="BA91" s="344" t="s">
        <v>645</v>
      </c>
      <c r="BB91" s="344" t="s">
        <v>646</v>
      </c>
      <c r="BC91" s="348">
        <v>0.71450000000000002</v>
      </c>
      <c r="BD91" s="348">
        <v>0.69010000000000005</v>
      </c>
      <c r="BE91" s="348">
        <v>0.66310000000000002</v>
      </c>
      <c r="BF91" s="348">
        <v>0.71599999999999997</v>
      </c>
      <c r="BG91" s="348">
        <v>0.67949999999999999</v>
      </c>
      <c r="BH91" s="348">
        <v>0.69469999999999998</v>
      </c>
      <c r="BI91" s="368" t="s">
        <v>295</v>
      </c>
      <c r="BJ91" s="352">
        <v>532</v>
      </c>
      <c r="BK91" s="352">
        <v>505</v>
      </c>
      <c r="BL91" s="348">
        <v>0.71279999999999999</v>
      </c>
      <c r="BM91" s="348">
        <v>0.67259999999999998</v>
      </c>
      <c r="BN91" s="348">
        <v>0.65469999999999995</v>
      </c>
      <c r="BO91" s="348">
        <v>0.71819999999999995</v>
      </c>
      <c r="BP91" s="348">
        <v>0.66449999999999998</v>
      </c>
      <c r="BQ91" s="348">
        <v>0.68759999999999999</v>
      </c>
      <c r="BR91" s="369" t="s">
        <v>295</v>
      </c>
      <c r="BS91" s="346">
        <v>560</v>
      </c>
      <c r="BT91" s="346">
        <v>551</v>
      </c>
      <c r="BU91" s="346">
        <v>0.69950000000000001</v>
      </c>
      <c r="BV91" s="346">
        <v>0.65749999999999997</v>
      </c>
      <c r="BW91" s="346">
        <v>0.64559999999999995</v>
      </c>
      <c r="BX91" s="346">
        <v>0.7147</v>
      </c>
      <c r="BY91" s="346">
        <v>0.66</v>
      </c>
      <c r="BZ91" s="346">
        <v>0.67779999999999996</v>
      </c>
      <c r="CA91" s="356" t="s">
        <v>295</v>
      </c>
      <c r="CB91" s="355" t="s">
        <v>831</v>
      </c>
      <c r="CC91" s="355" t="s">
        <v>576</v>
      </c>
      <c r="CD91" s="355">
        <v>0.69279999999999997</v>
      </c>
      <c r="CE91" s="355">
        <v>0.65680000000000005</v>
      </c>
      <c r="CF91" s="355">
        <v>0.64639999999999997</v>
      </c>
      <c r="CG91" s="355">
        <v>0.71560000000000001</v>
      </c>
      <c r="CH91" s="355">
        <v>0.67300000000000004</v>
      </c>
      <c r="CI91" s="355">
        <v>0.67749999999999999</v>
      </c>
      <c r="CJ91" s="715" t="s">
        <v>295</v>
      </c>
      <c r="CK91" s="620">
        <v>577</v>
      </c>
      <c r="CL91" s="620">
        <v>559</v>
      </c>
      <c r="CM91" s="620">
        <v>0.67930000000000001</v>
      </c>
      <c r="CN91" s="620">
        <v>0.6573</v>
      </c>
      <c r="CO91" s="620">
        <v>0.63470000000000004</v>
      </c>
      <c r="CP91" s="620">
        <v>0.70589999999999997</v>
      </c>
      <c r="CQ91" s="620">
        <v>0.69020000000000004</v>
      </c>
      <c r="CR91" s="711">
        <v>0.67090000000000005</v>
      </c>
      <c r="CS91" s="564" t="s">
        <v>427</v>
      </c>
      <c r="CT91" s="564">
        <v>567</v>
      </c>
      <c r="CU91" s="564">
        <v>550</v>
      </c>
      <c r="CV91" s="585">
        <v>0.67500000000000004</v>
      </c>
      <c r="CW91" s="585">
        <v>0.65580000000000005</v>
      </c>
      <c r="CX91" s="585">
        <v>0.63090000000000002</v>
      </c>
      <c r="CY91" s="585">
        <v>0.70789999999999997</v>
      </c>
      <c r="CZ91" s="585">
        <v>0.69930000000000003</v>
      </c>
      <c r="DA91" s="585">
        <v>0.66979999999999995</v>
      </c>
      <c r="DB91" s="884" t="s">
        <v>427</v>
      </c>
      <c r="DC91" s="884">
        <v>518</v>
      </c>
      <c r="DD91" s="884">
        <v>496</v>
      </c>
      <c r="DE91" s="884">
        <v>0.67049999999999998</v>
      </c>
      <c r="DF91" s="133">
        <v>0.66010000000000002</v>
      </c>
      <c r="DG91" s="133">
        <v>0.62770000000000004</v>
      </c>
      <c r="DH91" s="133">
        <v>0.70779999999999998</v>
      </c>
      <c r="DI91" s="133">
        <v>0.69669999999999999</v>
      </c>
      <c r="DJ91" s="133">
        <v>0.66879999999999995</v>
      </c>
    </row>
    <row r="92" spans="1:114" x14ac:dyDescent="0.25">
      <c r="A92" s="36" t="s">
        <v>41</v>
      </c>
      <c r="B92" s="668">
        <v>125754003291</v>
      </c>
      <c r="C92" s="134" t="s">
        <v>452</v>
      </c>
      <c r="D92" s="134" t="s">
        <v>307</v>
      </c>
      <c r="E92" s="134" t="s">
        <v>671</v>
      </c>
      <c r="F92" s="134" t="s">
        <v>121</v>
      </c>
      <c r="G92" s="165" t="s">
        <v>295</v>
      </c>
      <c r="H92" s="166">
        <v>715</v>
      </c>
      <c r="I92" s="166">
        <v>709</v>
      </c>
      <c r="J92" s="166">
        <v>0.68030000000000002</v>
      </c>
      <c r="K92" s="166">
        <v>0.67430000000000001</v>
      </c>
      <c r="L92" s="166">
        <v>0.67649999999999999</v>
      </c>
      <c r="M92" s="166">
        <v>0.6845</v>
      </c>
      <c r="N92" s="166">
        <v>0.65029999999999999</v>
      </c>
      <c r="O92" s="166">
        <v>0.67669999999999997</v>
      </c>
      <c r="P92" s="173" t="s">
        <v>295</v>
      </c>
      <c r="Q92" s="174" t="s">
        <v>714</v>
      </c>
      <c r="R92" s="174" t="s">
        <v>715</v>
      </c>
      <c r="S92" s="174">
        <v>0.68179999999999996</v>
      </c>
      <c r="T92" s="174">
        <v>0.67689999999999995</v>
      </c>
      <c r="U92" s="174">
        <v>0.67720000000000002</v>
      </c>
      <c r="V92" s="174">
        <v>0.68620000000000003</v>
      </c>
      <c r="W92" s="174">
        <v>0.65459999999999996</v>
      </c>
      <c r="X92" s="174">
        <v>0.67849999999999999</v>
      </c>
      <c r="Y92" s="138" t="s">
        <v>295</v>
      </c>
      <c r="Z92" s="134" t="s">
        <v>565</v>
      </c>
      <c r="AA92" s="134" t="s">
        <v>566</v>
      </c>
      <c r="AB92" s="137">
        <v>0.68520000000000003</v>
      </c>
      <c r="AC92" s="137">
        <v>0.69169999999999998</v>
      </c>
      <c r="AD92" s="137">
        <v>0.68610000000000004</v>
      </c>
      <c r="AE92" s="137">
        <v>0.69910000000000005</v>
      </c>
      <c r="AF92" s="137">
        <v>0.66790000000000005</v>
      </c>
      <c r="AG92" s="137">
        <v>0.68879999999999997</v>
      </c>
      <c r="AH92" s="159" t="s">
        <v>295</v>
      </c>
      <c r="AI92" s="134" t="s">
        <v>501</v>
      </c>
      <c r="AJ92" s="134" t="s">
        <v>502</v>
      </c>
      <c r="AK92" s="137">
        <v>0.68120000000000003</v>
      </c>
      <c r="AL92" s="137">
        <v>0.69399999999999995</v>
      </c>
      <c r="AM92" s="137">
        <v>0.68730000000000002</v>
      </c>
      <c r="AN92" s="137">
        <v>0.70879999999999999</v>
      </c>
      <c r="AO92" s="137">
        <v>0.66900000000000004</v>
      </c>
      <c r="AP92" s="137">
        <v>0.69099999999999995</v>
      </c>
      <c r="AQ92" s="139" t="s">
        <v>295</v>
      </c>
      <c r="AR92" s="134" t="s">
        <v>397</v>
      </c>
      <c r="AS92" s="134" t="s">
        <v>398</v>
      </c>
      <c r="AT92" s="137">
        <v>0.68820000000000003</v>
      </c>
      <c r="AU92" s="137">
        <v>0.68959999999999999</v>
      </c>
      <c r="AV92" s="137">
        <v>0.67969999999999997</v>
      </c>
      <c r="AW92" s="137">
        <v>0.72170000000000001</v>
      </c>
      <c r="AX92" s="137">
        <v>0.68230000000000002</v>
      </c>
      <c r="AY92" s="137">
        <v>0.69379999999999997</v>
      </c>
      <c r="AZ92" s="138" t="s">
        <v>295</v>
      </c>
      <c r="BA92" s="134" t="s">
        <v>659</v>
      </c>
      <c r="BB92" s="134" t="s">
        <v>392</v>
      </c>
      <c r="BC92" s="137">
        <v>0.68020000000000003</v>
      </c>
      <c r="BD92" s="137">
        <v>0.66710000000000003</v>
      </c>
      <c r="BE92" s="137">
        <v>0.6583</v>
      </c>
      <c r="BF92" s="137">
        <v>0.71789999999999998</v>
      </c>
      <c r="BG92" s="137">
        <v>0.67210000000000003</v>
      </c>
      <c r="BH92" s="137">
        <v>0.68020000000000003</v>
      </c>
      <c r="BI92" s="135" t="s">
        <v>295</v>
      </c>
      <c r="BJ92" s="152">
        <v>863</v>
      </c>
      <c r="BK92" s="152">
        <v>790</v>
      </c>
      <c r="BL92" s="137">
        <v>0.68030000000000002</v>
      </c>
      <c r="BM92" s="137">
        <v>0.65329999999999999</v>
      </c>
      <c r="BN92" s="137">
        <v>0.64419999999999999</v>
      </c>
      <c r="BO92" s="137">
        <v>0.71309999999999996</v>
      </c>
      <c r="BP92" s="137">
        <v>0.66169999999999995</v>
      </c>
      <c r="BQ92" s="137">
        <v>0.67190000000000005</v>
      </c>
      <c r="BR92" s="277" t="s">
        <v>295</v>
      </c>
      <c r="BS92" s="270">
        <v>682</v>
      </c>
      <c r="BT92" s="270">
        <v>671</v>
      </c>
      <c r="BU92" s="270">
        <v>0.68740000000000001</v>
      </c>
      <c r="BV92" s="270">
        <v>0.65569999999999995</v>
      </c>
      <c r="BW92" s="270">
        <v>0.65039999999999998</v>
      </c>
      <c r="BX92" s="270">
        <v>0.72309999999999997</v>
      </c>
      <c r="BY92" s="270">
        <v>0.66110000000000002</v>
      </c>
      <c r="BZ92" s="270">
        <v>0.67779999999999996</v>
      </c>
      <c r="CA92" s="356" t="s">
        <v>295</v>
      </c>
      <c r="CB92" s="355" t="s">
        <v>688</v>
      </c>
      <c r="CC92" s="355" t="s">
        <v>580</v>
      </c>
      <c r="CD92" s="355">
        <v>0.68489999999999995</v>
      </c>
      <c r="CE92" s="355">
        <v>0.64990000000000003</v>
      </c>
      <c r="CF92" s="355">
        <v>0.64319999999999999</v>
      </c>
      <c r="CG92" s="355">
        <v>0.71609999999999996</v>
      </c>
      <c r="CH92" s="355">
        <v>0.65169999999999995</v>
      </c>
      <c r="CI92" s="355">
        <v>0.67190000000000005</v>
      </c>
      <c r="CJ92" s="718" t="s">
        <v>427</v>
      </c>
      <c r="CK92" s="620">
        <v>639</v>
      </c>
      <c r="CL92" s="620">
        <v>622</v>
      </c>
      <c r="CM92" s="620">
        <v>0.66910000000000003</v>
      </c>
      <c r="CN92" s="620">
        <v>0.64539999999999997</v>
      </c>
      <c r="CO92" s="620">
        <v>0.63260000000000005</v>
      </c>
      <c r="CP92" s="620">
        <v>0.71</v>
      </c>
      <c r="CQ92" s="620">
        <v>0.66749999999999998</v>
      </c>
      <c r="CR92" s="711">
        <v>0.66449999999999998</v>
      </c>
      <c r="CS92" s="564" t="s">
        <v>295</v>
      </c>
      <c r="CT92" s="564">
        <v>677</v>
      </c>
      <c r="CU92" s="564">
        <v>659</v>
      </c>
      <c r="CV92" s="585">
        <v>0.67820000000000003</v>
      </c>
      <c r="CW92" s="585">
        <v>0.65059999999999996</v>
      </c>
      <c r="CX92" s="585">
        <v>0.6431</v>
      </c>
      <c r="CY92" s="585">
        <v>0.71830000000000005</v>
      </c>
      <c r="CZ92" s="585">
        <v>0.68120000000000003</v>
      </c>
      <c r="DA92" s="585">
        <v>0.67320000000000002</v>
      </c>
      <c r="DB92" s="884" t="s">
        <v>295</v>
      </c>
      <c r="DC92" s="884">
        <v>697</v>
      </c>
      <c r="DD92" s="884">
        <v>679</v>
      </c>
      <c r="DE92" s="884">
        <v>0.67610000000000003</v>
      </c>
      <c r="DF92" s="133">
        <v>0.65549999999999997</v>
      </c>
      <c r="DG92" s="133">
        <v>0.64090000000000003</v>
      </c>
      <c r="DH92" s="133">
        <v>0.7177</v>
      </c>
      <c r="DI92" s="133">
        <v>0.68569999999999998</v>
      </c>
      <c r="DJ92" s="133">
        <v>0.67349999999999999</v>
      </c>
    </row>
    <row r="93" spans="1:114" x14ac:dyDescent="0.25">
      <c r="A93" s="322" t="s">
        <v>62</v>
      </c>
      <c r="B93" s="876">
        <v>325754004076</v>
      </c>
      <c r="C93" s="134" t="s">
        <v>452</v>
      </c>
      <c r="D93" s="134" t="s">
        <v>307</v>
      </c>
      <c r="E93" s="344" t="s">
        <v>671</v>
      </c>
      <c r="F93" s="134" t="s">
        <v>123</v>
      </c>
      <c r="G93" s="359" t="s">
        <v>295</v>
      </c>
      <c r="H93" s="346">
        <v>114</v>
      </c>
      <c r="I93" s="346">
        <v>114</v>
      </c>
      <c r="J93" s="346">
        <v>0.73350000000000004</v>
      </c>
      <c r="K93" s="346">
        <v>0.7006</v>
      </c>
      <c r="L93" s="346">
        <v>0.72140000000000004</v>
      </c>
      <c r="M93" s="346">
        <v>0.71360000000000001</v>
      </c>
      <c r="N93" s="346">
        <v>0.66500000000000004</v>
      </c>
      <c r="O93" s="346">
        <v>0.71319999999999995</v>
      </c>
      <c r="P93" s="370" t="s">
        <v>294</v>
      </c>
      <c r="Q93" s="346" t="s">
        <v>440</v>
      </c>
      <c r="R93" s="346" t="s">
        <v>440</v>
      </c>
      <c r="S93" s="346">
        <v>0.74229999999999996</v>
      </c>
      <c r="T93" s="346">
        <v>0.71509999999999996</v>
      </c>
      <c r="U93" s="346">
        <v>0.72870000000000001</v>
      </c>
      <c r="V93" s="346">
        <v>0.72340000000000004</v>
      </c>
      <c r="W93" s="346">
        <v>0.66579999999999995</v>
      </c>
      <c r="X93" s="346">
        <v>0.72270000000000001</v>
      </c>
      <c r="Y93" s="363" t="s">
        <v>294</v>
      </c>
      <c r="Z93" s="344" t="s">
        <v>484</v>
      </c>
      <c r="AA93" s="344" t="s">
        <v>484</v>
      </c>
      <c r="AB93" s="348">
        <v>0.74670000000000003</v>
      </c>
      <c r="AC93" s="348">
        <v>0.74470000000000003</v>
      </c>
      <c r="AD93" s="348">
        <v>0.74160000000000004</v>
      </c>
      <c r="AE93" s="348">
        <v>0.73799999999999999</v>
      </c>
      <c r="AF93" s="348">
        <v>0.68720000000000003</v>
      </c>
      <c r="AG93" s="348">
        <v>0.73850000000000005</v>
      </c>
      <c r="AH93" s="361" t="s">
        <v>294</v>
      </c>
      <c r="AI93" s="344" t="s">
        <v>361</v>
      </c>
      <c r="AJ93" s="344" t="s">
        <v>361</v>
      </c>
      <c r="AK93" s="348">
        <v>0.74929999999999997</v>
      </c>
      <c r="AL93" s="348">
        <v>0.76559999999999995</v>
      </c>
      <c r="AM93" s="348">
        <v>0.74670000000000003</v>
      </c>
      <c r="AN93" s="348">
        <v>0.75260000000000005</v>
      </c>
      <c r="AO93" s="348">
        <v>0.69979999999999998</v>
      </c>
      <c r="AP93" s="348">
        <v>0.74939999999999996</v>
      </c>
      <c r="AQ93" s="362" t="s">
        <v>294</v>
      </c>
      <c r="AR93" s="344" t="s">
        <v>340</v>
      </c>
      <c r="AS93" s="344" t="s">
        <v>341</v>
      </c>
      <c r="AT93" s="348">
        <v>0.73319999999999996</v>
      </c>
      <c r="AU93" s="348">
        <v>0.751</v>
      </c>
      <c r="AV93" s="348">
        <v>0.71950000000000003</v>
      </c>
      <c r="AW93" s="348">
        <v>0.75360000000000005</v>
      </c>
      <c r="AX93" s="348">
        <v>0.7097</v>
      </c>
      <c r="AY93" s="348">
        <v>0.73699999999999999</v>
      </c>
      <c r="AZ93" s="360" t="s">
        <v>295</v>
      </c>
      <c r="BA93" s="344" t="s">
        <v>373</v>
      </c>
      <c r="BB93" s="344" t="s">
        <v>376</v>
      </c>
      <c r="BC93" s="348">
        <v>0.72350000000000003</v>
      </c>
      <c r="BD93" s="348">
        <v>0.71279999999999999</v>
      </c>
      <c r="BE93" s="348">
        <v>0.67200000000000004</v>
      </c>
      <c r="BF93" s="348">
        <v>0.74139999999999995</v>
      </c>
      <c r="BG93" s="348">
        <v>0.68010000000000004</v>
      </c>
      <c r="BH93" s="348">
        <v>0.70989999999999998</v>
      </c>
      <c r="BI93" s="368" t="s">
        <v>295</v>
      </c>
      <c r="BJ93" s="352">
        <v>106</v>
      </c>
      <c r="BK93" s="352">
        <v>105</v>
      </c>
      <c r="BL93" s="348">
        <v>0.71919999999999995</v>
      </c>
      <c r="BM93" s="348">
        <v>0.68820000000000003</v>
      </c>
      <c r="BN93" s="348">
        <v>0.64910000000000001</v>
      </c>
      <c r="BO93" s="348">
        <v>0.73150000000000004</v>
      </c>
      <c r="BP93" s="348">
        <v>0.66710000000000003</v>
      </c>
      <c r="BQ93" s="348">
        <v>0.69469999999999998</v>
      </c>
      <c r="BR93" s="369" t="s">
        <v>295</v>
      </c>
      <c r="BS93" s="346">
        <v>96</v>
      </c>
      <c r="BT93" s="346">
        <v>96</v>
      </c>
      <c r="BU93" s="346">
        <v>0.71689999999999998</v>
      </c>
      <c r="BV93" s="346">
        <v>0.67320000000000002</v>
      </c>
      <c r="BW93" s="346">
        <v>0.64319999999999999</v>
      </c>
      <c r="BX93" s="346">
        <v>0.73350000000000004</v>
      </c>
      <c r="BY93" s="346">
        <v>0.65880000000000005</v>
      </c>
      <c r="BZ93" s="346">
        <v>0.68920000000000003</v>
      </c>
      <c r="CA93" s="356" t="s">
        <v>295</v>
      </c>
      <c r="CB93" s="355" t="s">
        <v>467</v>
      </c>
      <c r="CC93" s="355" t="s">
        <v>467</v>
      </c>
      <c r="CD93" s="355">
        <v>0.73450000000000004</v>
      </c>
      <c r="CE93" s="355">
        <v>0.70730000000000004</v>
      </c>
      <c r="CF93" s="355">
        <v>0.68669999999999998</v>
      </c>
      <c r="CG93" s="355">
        <v>0.74980000000000002</v>
      </c>
      <c r="CH93" s="355">
        <v>0.69540000000000002</v>
      </c>
      <c r="CI93" s="355">
        <v>0.7177</v>
      </c>
      <c r="CJ93" s="717" t="s">
        <v>294</v>
      </c>
      <c r="CK93" s="620">
        <v>129</v>
      </c>
      <c r="CL93" s="620">
        <v>129</v>
      </c>
      <c r="CM93" s="620">
        <v>0.746</v>
      </c>
      <c r="CN93" s="620">
        <v>0.72960000000000003</v>
      </c>
      <c r="CO93" s="620">
        <v>0.70640000000000003</v>
      </c>
      <c r="CP93" s="620">
        <v>0.76949999999999996</v>
      </c>
      <c r="CQ93" s="620">
        <v>0.72299999999999998</v>
      </c>
      <c r="CR93" s="711">
        <v>0.73670000000000002</v>
      </c>
      <c r="CS93" s="564" t="s">
        <v>294</v>
      </c>
      <c r="CT93" s="564">
        <v>140</v>
      </c>
      <c r="CU93" s="564">
        <v>140</v>
      </c>
      <c r="CV93" s="585">
        <v>0.76229999999999998</v>
      </c>
      <c r="CW93" s="585">
        <v>0.73939999999999995</v>
      </c>
      <c r="CX93" s="585">
        <v>0.70540000000000003</v>
      </c>
      <c r="CY93" s="585">
        <v>0.77359999999999995</v>
      </c>
      <c r="CZ93" s="585">
        <v>0.73770000000000002</v>
      </c>
      <c r="DA93" s="585">
        <v>0.74460000000000004</v>
      </c>
      <c r="DB93" s="884" t="s">
        <v>294</v>
      </c>
      <c r="DC93" s="884">
        <v>148</v>
      </c>
      <c r="DD93" s="884">
        <v>147</v>
      </c>
      <c r="DE93" s="884">
        <v>0.76719999999999999</v>
      </c>
      <c r="DF93" s="133">
        <v>0.74329999999999996</v>
      </c>
      <c r="DG93" s="133">
        <v>0.71760000000000002</v>
      </c>
      <c r="DH93" s="133">
        <v>0.78090000000000004</v>
      </c>
      <c r="DI93" s="133">
        <v>0.74680000000000002</v>
      </c>
      <c r="DJ93" s="133">
        <v>0.75190000000000001</v>
      </c>
    </row>
    <row r="94" spans="1:114" x14ac:dyDescent="0.25">
      <c r="A94" s="36" t="s">
        <v>103</v>
      </c>
      <c r="B94" s="668">
        <v>125754000934</v>
      </c>
      <c r="C94" s="134" t="s">
        <v>452</v>
      </c>
      <c r="D94" s="134" t="s">
        <v>307</v>
      </c>
      <c r="E94" s="134" t="s">
        <v>671</v>
      </c>
      <c r="F94" s="134" t="s">
        <v>121</v>
      </c>
      <c r="G94" s="167" t="s">
        <v>427</v>
      </c>
      <c r="H94" s="166">
        <v>96</v>
      </c>
      <c r="I94" s="166">
        <v>93</v>
      </c>
      <c r="J94" s="166">
        <v>0.65110000000000001</v>
      </c>
      <c r="K94" s="166">
        <v>0.65490000000000004</v>
      </c>
      <c r="L94" s="166">
        <v>0.64990000000000003</v>
      </c>
      <c r="M94" s="166">
        <v>0.64139999999999997</v>
      </c>
      <c r="N94" s="166">
        <v>0.65310000000000001</v>
      </c>
      <c r="O94" s="166">
        <v>0.64959999999999996</v>
      </c>
      <c r="P94" s="175" t="s">
        <v>427</v>
      </c>
      <c r="Q94" s="174" t="s">
        <v>346</v>
      </c>
      <c r="R94" s="174" t="s">
        <v>411</v>
      </c>
      <c r="S94" s="174">
        <v>0.64059999999999995</v>
      </c>
      <c r="T94" s="174">
        <v>0.64319999999999999</v>
      </c>
      <c r="U94" s="174">
        <v>0.63629999999999998</v>
      </c>
      <c r="V94" s="174">
        <v>0.64139999999999997</v>
      </c>
      <c r="W94" s="174">
        <v>0.64700000000000002</v>
      </c>
      <c r="X94" s="174">
        <v>0.64090000000000003</v>
      </c>
      <c r="Y94" s="141" t="s">
        <v>427</v>
      </c>
      <c r="Z94" s="134" t="s">
        <v>340</v>
      </c>
      <c r="AA94" s="134" t="s">
        <v>463</v>
      </c>
      <c r="AB94" s="137">
        <v>0.62439999999999996</v>
      </c>
      <c r="AC94" s="137">
        <v>0.65049999999999997</v>
      </c>
      <c r="AD94" s="137">
        <v>0.63900000000000001</v>
      </c>
      <c r="AE94" s="137">
        <v>0.64429999999999998</v>
      </c>
      <c r="AF94" s="137">
        <v>0.64590000000000003</v>
      </c>
      <c r="AG94" s="137">
        <v>0.64</v>
      </c>
      <c r="AH94" s="155" t="s">
        <v>427</v>
      </c>
      <c r="AI94" s="134" t="s">
        <v>421</v>
      </c>
      <c r="AJ94" s="134" t="s">
        <v>440</v>
      </c>
      <c r="AK94" s="137">
        <v>0.61739999999999995</v>
      </c>
      <c r="AL94" s="137">
        <v>0.6532</v>
      </c>
      <c r="AM94" s="137">
        <v>0.63619999999999999</v>
      </c>
      <c r="AN94" s="137">
        <v>0.66220000000000001</v>
      </c>
      <c r="AO94" s="137">
        <v>0.6411</v>
      </c>
      <c r="AP94" s="137">
        <v>0.64219999999999999</v>
      </c>
      <c r="AQ94" s="142" t="s">
        <v>427</v>
      </c>
      <c r="AR94" s="134" t="s">
        <v>440</v>
      </c>
      <c r="AS94" s="134" t="s">
        <v>441</v>
      </c>
      <c r="AT94" s="137">
        <v>0.59460000000000002</v>
      </c>
      <c r="AU94" s="137">
        <v>0.64610000000000001</v>
      </c>
      <c r="AV94" s="137">
        <v>0.62719999999999998</v>
      </c>
      <c r="AW94" s="137">
        <v>0.66810000000000003</v>
      </c>
      <c r="AX94" s="137">
        <v>0.63749999999999996</v>
      </c>
      <c r="AY94" s="137">
        <v>0.63429999999999997</v>
      </c>
      <c r="AZ94" s="141" t="s">
        <v>427</v>
      </c>
      <c r="BA94" s="134" t="s">
        <v>422</v>
      </c>
      <c r="BB94" s="134" t="s">
        <v>542</v>
      </c>
      <c r="BC94" s="137">
        <v>0.6079</v>
      </c>
      <c r="BD94" s="137">
        <v>0.62350000000000005</v>
      </c>
      <c r="BE94" s="137">
        <v>0.60660000000000003</v>
      </c>
      <c r="BF94" s="137">
        <v>0.67749999999999999</v>
      </c>
      <c r="BG94" s="137">
        <v>0.63429999999999997</v>
      </c>
      <c r="BH94" s="137">
        <v>0.62929999999999997</v>
      </c>
      <c r="BI94" s="151" t="s">
        <v>443</v>
      </c>
      <c r="BJ94" s="152">
        <v>113</v>
      </c>
      <c r="BK94" s="152">
        <v>106</v>
      </c>
      <c r="BL94" s="137">
        <v>0.60199999999999998</v>
      </c>
      <c r="BM94" s="137">
        <v>0.60770000000000002</v>
      </c>
      <c r="BN94" s="137">
        <v>0.59330000000000005</v>
      </c>
      <c r="BO94" s="137">
        <v>0.66620000000000001</v>
      </c>
      <c r="BP94" s="137">
        <v>0.62539999999999996</v>
      </c>
      <c r="BQ94" s="137">
        <v>0.6179</v>
      </c>
      <c r="BR94" s="279" t="s">
        <v>427</v>
      </c>
      <c r="BS94" s="270">
        <v>104</v>
      </c>
      <c r="BT94" s="270">
        <v>103</v>
      </c>
      <c r="BU94" s="270">
        <v>0.63660000000000005</v>
      </c>
      <c r="BV94" s="270">
        <v>0.61919999999999997</v>
      </c>
      <c r="BW94" s="270">
        <v>0.61129999999999995</v>
      </c>
      <c r="BX94" s="270">
        <v>0.67849999999999999</v>
      </c>
      <c r="BY94" s="270">
        <v>0.61919999999999997</v>
      </c>
      <c r="BZ94" s="270">
        <v>0.6351</v>
      </c>
      <c r="CA94" s="357" t="s">
        <v>427</v>
      </c>
      <c r="CB94" s="355" t="s">
        <v>494</v>
      </c>
      <c r="CC94" s="355" t="s">
        <v>387</v>
      </c>
      <c r="CD94" s="355">
        <v>0.64419999999999999</v>
      </c>
      <c r="CE94" s="355">
        <v>0.62309999999999999</v>
      </c>
      <c r="CF94" s="355">
        <v>0.63429999999999997</v>
      </c>
      <c r="CG94" s="355">
        <v>0.66820000000000002</v>
      </c>
      <c r="CH94" s="355">
        <v>0.62909999999999999</v>
      </c>
      <c r="CI94" s="355">
        <v>0.64139999999999997</v>
      </c>
      <c r="CJ94" s="718" t="s">
        <v>427</v>
      </c>
      <c r="CK94" s="620">
        <v>99</v>
      </c>
      <c r="CL94" s="620">
        <v>98</v>
      </c>
      <c r="CM94" s="620">
        <v>0.65620000000000001</v>
      </c>
      <c r="CN94" s="620">
        <v>0.62549999999999994</v>
      </c>
      <c r="CO94" s="620">
        <v>0.63670000000000004</v>
      </c>
      <c r="CP94" s="620">
        <v>0.66559999999999997</v>
      </c>
      <c r="CQ94" s="620">
        <v>0.64729999999999999</v>
      </c>
      <c r="CR94" s="711">
        <v>0.64610000000000001</v>
      </c>
      <c r="CS94" s="564" t="s">
        <v>427</v>
      </c>
      <c r="CT94" s="564">
        <v>98</v>
      </c>
      <c r="CU94" s="564">
        <v>98</v>
      </c>
      <c r="CV94" s="585">
        <v>0.64349999999999996</v>
      </c>
      <c r="CW94" s="585">
        <v>0.63239999999999996</v>
      </c>
      <c r="CX94" s="585">
        <v>0.63549999999999995</v>
      </c>
      <c r="CY94" s="585">
        <v>0.6633</v>
      </c>
      <c r="CZ94" s="585">
        <v>0.65890000000000004</v>
      </c>
      <c r="DA94" s="585">
        <v>0.64480000000000004</v>
      </c>
      <c r="DB94" s="884" t="s">
        <v>427</v>
      </c>
      <c r="DC94" s="884">
        <v>99</v>
      </c>
      <c r="DD94" s="884">
        <v>99</v>
      </c>
      <c r="DE94" s="884">
        <v>0.64149999999999996</v>
      </c>
      <c r="DF94" s="133">
        <v>0.63870000000000005</v>
      </c>
      <c r="DG94" s="133">
        <v>0.62270000000000003</v>
      </c>
      <c r="DH94" s="133">
        <v>0.67820000000000003</v>
      </c>
      <c r="DI94" s="133">
        <v>0.65369999999999995</v>
      </c>
      <c r="DJ94" s="133">
        <v>0.64590000000000003</v>
      </c>
    </row>
    <row r="95" spans="1:114" x14ac:dyDescent="0.25">
      <c r="A95" s="126" t="s">
        <v>802</v>
      </c>
      <c r="B95" s="668">
        <v>125754800141</v>
      </c>
      <c r="C95" s="134" t="s">
        <v>452</v>
      </c>
      <c r="D95" s="134" t="s">
        <v>307</v>
      </c>
      <c r="E95" s="134"/>
      <c r="F95" s="134" t="s">
        <v>121</v>
      </c>
      <c r="G95" s="167"/>
      <c r="H95" s="166"/>
      <c r="I95" s="166"/>
      <c r="J95" s="166"/>
      <c r="K95" s="166"/>
      <c r="L95" s="166"/>
      <c r="M95" s="166"/>
      <c r="N95" s="166"/>
      <c r="O95" s="166"/>
      <c r="P95" s="175"/>
      <c r="Q95" s="174"/>
      <c r="R95" s="174"/>
      <c r="S95" s="174"/>
      <c r="T95" s="174"/>
      <c r="U95" s="174"/>
      <c r="V95" s="174"/>
      <c r="W95" s="174"/>
      <c r="X95" s="174"/>
      <c r="Y95" s="141"/>
      <c r="Z95" s="134"/>
      <c r="AA95" s="134"/>
      <c r="AB95" s="137"/>
      <c r="AC95" s="137"/>
      <c r="AD95" s="137"/>
      <c r="AE95" s="137"/>
      <c r="AF95" s="137"/>
      <c r="AG95" s="137"/>
      <c r="AH95" s="155"/>
      <c r="AI95" s="134"/>
      <c r="AJ95" s="134"/>
      <c r="AK95" s="137"/>
      <c r="AL95" s="137"/>
      <c r="AM95" s="137"/>
      <c r="AN95" s="137"/>
      <c r="AO95" s="137"/>
      <c r="AP95" s="137"/>
      <c r="AQ95" s="142"/>
      <c r="AR95" s="134"/>
      <c r="AS95" s="134"/>
      <c r="AT95" s="137"/>
      <c r="AU95" s="137"/>
      <c r="AV95" s="137"/>
      <c r="AW95" s="137"/>
      <c r="AX95" s="137"/>
      <c r="AY95" s="137"/>
      <c r="AZ95" s="141"/>
      <c r="BA95" s="134"/>
      <c r="BB95" s="134"/>
      <c r="BC95" s="137"/>
      <c r="BD95" s="137"/>
      <c r="BE95" s="137"/>
      <c r="BF95" s="137"/>
      <c r="BG95" s="137"/>
      <c r="BH95" s="137"/>
      <c r="BI95" s="151"/>
      <c r="BJ95" s="152"/>
      <c r="BK95" s="152"/>
      <c r="BL95" s="137"/>
      <c r="BM95" s="137"/>
      <c r="BN95" s="137"/>
      <c r="BO95" s="137"/>
      <c r="BP95" s="137"/>
      <c r="BQ95" s="137"/>
      <c r="BR95" s="279"/>
      <c r="BS95" s="270"/>
      <c r="BT95" s="270"/>
      <c r="BU95" s="270"/>
      <c r="BV95" s="270"/>
      <c r="BW95" s="270"/>
      <c r="BX95" s="270"/>
      <c r="BY95" s="270"/>
      <c r="BZ95" s="270"/>
      <c r="CA95" s="356" t="s">
        <v>295</v>
      </c>
      <c r="CB95" s="355" t="s">
        <v>82</v>
      </c>
      <c r="CC95" s="355" t="s">
        <v>82</v>
      </c>
      <c r="CD95" s="355">
        <v>0.71640000000000004</v>
      </c>
      <c r="CE95" s="355">
        <v>0.69189999999999996</v>
      </c>
      <c r="CF95" s="355">
        <v>0.68459999999999999</v>
      </c>
      <c r="CG95" s="355">
        <v>0.7369</v>
      </c>
      <c r="CH95" s="355">
        <v>0.70620000000000005</v>
      </c>
      <c r="CI95" s="355">
        <v>0.70730000000000004</v>
      </c>
      <c r="CJ95" s="704" t="s">
        <v>295</v>
      </c>
      <c r="CK95" s="620">
        <v>115</v>
      </c>
      <c r="CL95" s="620">
        <v>115</v>
      </c>
      <c r="CM95" s="620">
        <v>0.70209999999999995</v>
      </c>
      <c r="CN95" s="620">
        <v>0.6784</v>
      </c>
      <c r="CO95" s="620">
        <v>0.67479999999999996</v>
      </c>
      <c r="CP95" s="620">
        <v>0.73550000000000004</v>
      </c>
      <c r="CQ95" s="620">
        <v>0.69550000000000001</v>
      </c>
      <c r="CR95" s="711">
        <v>0.69750000000000001</v>
      </c>
      <c r="CS95" s="564" t="s">
        <v>295</v>
      </c>
      <c r="CT95" s="564">
        <v>222</v>
      </c>
      <c r="CU95" s="564">
        <v>220</v>
      </c>
      <c r="CV95" s="585">
        <v>0.70540000000000003</v>
      </c>
      <c r="CW95" s="585">
        <v>0.67610000000000003</v>
      </c>
      <c r="CX95" s="585">
        <v>0.66020000000000001</v>
      </c>
      <c r="CY95" s="585">
        <v>0.7268</v>
      </c>
      <c r="CZ95" s="585">
        <v>0.69030000000000002</v>
      </c>
      <c r="DA95" s="585">
        <v>0.69199999999999995</v>
      </c>
      <c r="DB95" s="884" t="s">
        <v>295</v>
      </c>
      <c r="DC95" s="884">
        <v>259</v>
      </c>
      <c r="DD95" s="884">
        <v>253</v>
      </c>
      <c r="DE95" s="884">
        <v>0.71030000000000004</v>
      </c>
      <c r="DF95" s="133">
        <v>0.6744</v>
      </c>
      <c r="DG95" s="133">
        <v>0.64990000000000003</v>
      </c>
      <c r="DH95" s="133">
        <v>0.72550000000000003</v>
      </c>
      <c r="DI95" s="133">
        <v>0.68730000000000002</v>
      </c>
      <c r="DJ95" s="133">
        <v>0.68979999999999997</v>
      </c>
    </row>
    <row r="96" spans="1:114" x14ac:dyDescent="0.25">
      <c r="A96" s="322" t="s">
        <v>74</v>
      </c>
      <c r="B96" s="876">
        <v>225754000238</v>
      </c>
      <c r="C96" s="134" t="s">
        <v>452</v>
      </c>
      <c r="D96" s="134" t="s">
        <v>307</v>
      </c>
      <c r="E96" s="344" t="s">
        <v>671</v>
      </c>
      <c r="F96" s="134" t="s">
        <v>121</v>
      </c>
      <c r="G96" s="345" t="s">
        <v>427</v>
      </c>
      <c r="H96" s="346">
        <v>420</v>
      </c>
      <c r="I96" s="346">
        <v>415</v>
      </c>
      <c r="J96" s="346">
        <v>0.65780000000000005</v>
      </c>
      <c r="K96" s="346">
        <v>0.66600000000000004</v>
      </c>
      <c r="L96" s="346">
        <v>0.67169999999999996</v>
      </c>
      <c r="M96" s="346">
        <v>0.66639999999999999</v>
      </c>
      <c r="N96" s="346">
        <v>0.64029999999999998</v>
      </c>
      <c r="O96" s="346">
        <v>0.66349999999999998</v>
      </c>
      <c r="P96" s="345" t="s">
        <v>427</v>
      </c>
      <c r="Q96" s="346" t="s">
        <v>716</v>
      </c>
      <c r="R96" s="346" t="s">
        <v>717</v>
      </c>
      <c r="S96" s="346">
        <v>0.66080000000000005</v>
      </c>
      <c r="T96" s="346">
        <v>0.66979999999999995</v>
      </c>
      <c r="U96" s="346">
        <v>0.67400000000000004</v>
      </c>
      <c r="V96" s="346">
        <v>0.66410000000000002</v>
      </c>
      <c r="W96" s="346">
        <v>0.64459999999999995</v>
      </c>
      <c r="X96" s="346">
        <v>0.66539999999999999</v>
      </c>
      <c r="Y96" s="360" t="s">
        <v>295</v>
      </c>
      <c r="Z96" s="344" t="s">
        <v>575</v>
      </c>
      <c r="AA96" s="344" t="s">
        <v>389</v>
      </c>
      <c r="AB96" s="348">
        <v>0.66969999999999996</v>
      </c>
      <c r="AC96" s="348">
        <v>0.6875</v>
      </c>
      <c r="AD96" s="348">
        <v>0.68059999999999998</v>
      </c>
      <c r="AE96" s="348">
        <v>0.68759999999999999</v>
      </c>
      <c r="AF96" s="348">
        <v>0.66920000000000002</v>
      </c>
      <c r="AG96" s="348">
        <v>0.6804</v>
      </c>
      <c r="AH96" s="366" t="s">
        <v>295</v>
      </c>
      <c r="AI96" s="344" t="s">
        <v>507</v>
      </c>
      <c r="AJ96" s="344" t="s">
        <v>389</v>
      </c>
      <c r="AK96" s="348">
        <v>0.67649999999999999</v>
      </c>
      <c r="AL96" s="348">
        <v>0.69350000000000001</v>
      </c>
      <c r="AM96" s="348">
        <v>0.68140000000000001</v>
      </c>
      <c r="AN96" s="348">
        <v>0.7077</v>
      </c>
      <c r="AO96" s="348">
        <v>0.67549999999999999</v>
      </c>
      <c r="AP96" s="348">
        <v>0.68869999999999998</v>
      </c>
      <c r="AQ96" s="367" t="s">
        <v>295</v>
      </c>
      <c r="AR96" s="344" t="s">
        <v>389</v>
      </c>
      <c r="AS96" s="344" t="s">
        <v>390</v>
      </c>
      <c r="AT96" s="348">
        <v>0.68310000000000004</v>
      </c>
      <c r="AU96" s="348">
        <v>0.70089999999999997</v>
      </c>
      <c r="AV96" s="348">
        <v>0.68330000000000002</v>
      </c>
      <c r="AW96" s="348">
        <v>0.72860000000000003</v>
      </c>
      <c r="AX96" s="348">
        <v>0.68130000000000002</v>
      </c>
      <c r="AY96" s="348">
        <v>0.6976</v>
      </c>
      <c r="AZ96" s="360" t="s">
        <v>295</v>
      </c>
      <c r="BA96" s="344" t="s">
        <v>656</v>
      </c>
      <c r="BB96" s="344" t="s">
        <v>587</v>
      </c>
      <c r="BC96" s="348">
        <v>0.6835</v>
      </c>
      <c r="BD96" s="348">
        <v>0.67979999999999996</v>
      </c>
      <c r="BE96" s="348">
        <v>0.65629999999999999</v>
      </c>
      <c r="BF96" s="348">
        <v>0.71960000000000002</v>
      </c>
      <c r="BG96" s="348">
        <v>0.66569999999999996</v>
      </c>
      <c r="BH96" s="348">
        <v>0.68330000000000002</v>
      </c>
      <c r="BI96" s="368" t="s">
        <v>295</v>
      </c>
      <c r="BJ96" s="352">
        <v>321</v>
      </c>
      <c r="BK96" s="352">
        <v>308</v>
      </c>
      <c r="BL96" s="348">
        <v>0.68569999999999998</v>
      </c>
      <c r="BM96" s="348">
        <v>0.66439999999999999</v>
      </c>
      <c r="BN96" s="348">
        <v>0.64170000000000005</v>
      </c>
      <c r="BO96" s="348">
        <v>0.70530000000000004</v>
      </c>
      <c r="BP96" s="348">
        <v>0.65380000000000005</v>
      </c>
      <c r="BQ96" s="348">
        <v>0.67269999999999996</v>
      </c>
      <c r="BR96" s="375" t="s">
        <v>427</v>
      </c>
      <c r="BS96" s="346">
        <v>313</v>
      </c>
      <c r="BT96" s="346">
        <v>308</v>
      </c>
      <c r="BU96" s="346">
        <v>0.68530000000000002</v>
      </c>
      <c r="BV96" s="346">
        <v>0.65869999999999995</v>
      </c>
      <c r="BW96" s="346">
        <v>0.63290000000000002</v>
      </c>
      <c r="BX96" s="346">
        <v>0.70409999999999995</v>
      </c>
      <c r="BY96" s="346">
        <v>0.65429999999999999</v>
      </c>
      <c r="BZ96" s="346">
        <v>0.66900000000000004</v>
      </c>
      <c r="CA96" s="356" t="s">
        <v>295</v>
      </c>
      <c r="CB96" s="355" t="s">
        <v>832</v>
      </c>
      <c r="CC96" s="355" t="s">
        <v>597</v>
      </c>
      <c r="CD96" s="355">
        <v>0.69</v>
      </c>
      <c r="CE96" s="355">
        <v>0.66310000000000002</v>
      </c>
      <c r="CF96" s="355">
        <v>0.65629999999999999</v>
      </c>
      <c r="CG96" s="355">
        <v>0.71179999999999999</v>
      </c>
      <c r="CH96" s="355">
        <v>0.66600000000000004</v>
      </c>
      <c r="CI96" s="355">
        <v>0.67920000000000003</v>
      </c>
      <c r="CJ96" s="715" t="s">
        <v>295</v>
      </c>
      <c r="CK96" s="620">
        <v>325</v>
      </c>
      <c r="CL96" s="620">
        <v>313</v>
      </c>
      <c r="CM96" s="620">
        <v>0.69469999999999998</v>
      </c>
      <c r="CN96" s="620">
        <v>0.67179999999999995</v>
      </c>
      <c r="CO96" s="620">
        <v>0.65759999999999996</v>
      </c>
      <c r="CP96" s="620">
        <v>0.72099999999999997</v>
      </c>
      <c r="CQ96" s="620">
        <v>0.67500000000000004</v>
      </c>
      <c r="CR96" s="711">
        <v>0.68540000000000001</v>
      </c>
      <c r="CS96" s="564" t="s">
        <v>295</v>
      </c>
      <c r="CT96" s="564">
        <v>309</v>
      </c>
      <c r="CU96" s="564">
        <v>300</v>
      </c>
      <c r="CV96" s="585">
        <v>0.70679999999999998</v>
      </c>
      <c r="CW96" s="585">
        <v>0.67720000000000002</v>
      </c>
      <c r="CX96" s="585">
        <v>0.65429999999999999</v>
      </c>
      <c r="CY96" s="585">
        <v>0.7248</v>
      </c>
      <c r="CZ96" s="585">
        <v>0.68440000000000001</v>
      </c>
      <c r="DA96" s="585">
        <v>0.69030000000000002</v>
      </c>
      <c r="DB96" s="884" t="s">
        <v>295</v>
      </c>
      <c r="DC96" s="884">
        <v>349</v>
      </c>
      <c r="DD96" s="884">
        <v>341</v>
      </c>
      <c r="DE96" s="884">
        <v>0.69950000000000001</v>
      </c>
      <c r="DF96" s="133">
        <v>0.6724</v>
      </c>
      <c r="DG96" s="133">
        <v>0.63900000000000001</v>
      </c>
      <c r="DH96" s="133">
        <v>0.71760000000000002</v>
      </c>
      <c r="DI96" s="133">
        <v>0.68049999999999999</v>
      </c>
      <c r="DJ96" s="133">
        <v>0.68200000000000005</v>
      </c>
    </row>
    <row r="97" spans="1:114" x14ac:dyDescent="0.25">
      <c r="A97" s="126" t="s">
        <v>803</v>
      </c>
      <c r="B97" s="668">
        <v>125754800132</v>
      </c>
      <c r="C97" s="134" t="s">
        <v>452</v>
      </c>
      <c r="D97" s="134" t="s">
        <v>307</v>
      </c>
      <c r="E97" s="134"/>
      <c r="F97" s="134" t="s">
        <v>121</v>
      </c>
      <c r="G97" s="167"/>
      <c r="H97" s="166"/>
      <c r="I97" s="166"/>
      <c r="J97" s="166"/>
      <c r="K97" s="166"/>
      <c r="L97" s="166"/>
      <c r="M97" s="166"/>
      <c r="N97" s="166"/>
      <c r="O97" s="166"/>
      <c r="P97" s="175"/>
      <c r="Q97" s="174"/>
      <c r="R97" s="174"/>
      <c r="S97" s="174"/>
      <c r="T97" s="174"/>
      <c r="U97" s="174"/>
      <c r="V97" s="174"/>
      <c r="W97" s="174"/>
      <c r="X97" s="174"/>
      <c r="Y97" s="138"/>
      <c r="Z97" s="134"/>
      <c r="AA97" s="134"/>
      <c r="AB97" s="137"/>
      <c r="AC97" s="137"/>
      <c r="AD97" s="137"/>
      <c r="AE97" s="137"/>
      <c r="AF97" s="137"/>
      <c r="AG97" s="137"/>
      <c r="AH97" s="159"/>
      <c r="AI97" s="134"/>
      <c r="AJ97" s="134"/>
      <c r="AK97" s="137"/>
      <c r="AL97" s="137"/>
      <c r="AM97" s="137"/>
      <c r="AN97" s="137"/>
      <c r="AO97" s="137"/>
      <c r="AP97" s="137"/>
      <c r="AQ97" s="139"/>
      <c r="AR97" s="134"/>
      <c r="AS97" s="134"/>
      <c r="AT97" s="137"/>
      <c r="AU97" s="137"/>
      <c r="AV97" s="137"/>
      <c r="AW97" s="137"/>
      <c r="AX97" s="137"/>
      <c r="AY97" s="137"/>
      <c r="AZ97" s="138"/>
      <c r="BA97" s="134"/>
      <c r="BB97" s="134"/>
      <c r="BC97" s="137"/>
      <c r="BD97" s="137"/>
      <c r="BE97" s="137"/>
      <c r="BF97" s="137"/>
      <c r="BG97" s="137"/>
      <c r="BH97" s="137"/>
      <c r="BI97" s="135"/>
      <c r="BJ97" s="152"/>
      <c r="BK97" s="152"/>
      <c r="BL97" s="137"/>
      <c r="BM97" s="137"/>
      <c r="BN97" s="137"/>
      <c r="BO97" s="137"/>
      <c r="BP97" s="137"/>
      <c r="BQ97" s="137"/>
      <c r="BR97" s="279"/>
      <c r="BS97" s="270"/>
      <c r="BT97" s="270"/>
      <c r="BU97" s="270"/>
      <c r="BV97" s="270"/>
      <c r="BW97" s="270"/>
      <c r="BX97" s="270"/>
      <c r="BY97" s="270"/>
      <c r="BZ97" s="270"/>
      <c r="CA97" s="356" t="s">
        <v>295</v>
      </c>
      <c r="CB97" s="355" t="s">
        <v>322</v>
      </c>
      <c r="CC97" s="355" t="s">
        <v>322</v>
      </c>
      <c r="CD97" s="355">
        <v>0.69299999999999995</v>
      </c>
      <c r="CE97" s="355">
        <v>0.66690000000000005</v>
      </c>
      <c r="CF97" s="355">
        <v>0.64970000000000006</v>
      </c>
      <c r="CG97" s="355">
        <v>0.7329</v>
      </c>
      <c r="CH97" s="355">
        <v>0.67330000000000001</v>
      </c>
      <c r="CI97" s="355">
        <v>0.68469999999999998</v>
      </c>
      <c r="CJ97" s="715" t="s">
        <v>295</v>
      </c>
      <c r="CK97" s="620">
        <v>110</v>
      </c>
      <c r="CL97" s="620">
        <v>109</v>
      </c>
      <c r="CM97" s="620">
        <v>0.71550000000000002</v>
      </c>
      <c r="CN97" s="620">
        <v>0.69020000000000004</v>
      </c>
      <c r="CO97" s="620">
        <v>0.66200000000000003</v>
      </c>
      <c r="CP97" s="620">
        <v>0.73229999999999995</v>
      </c>
      <c r="CQ97" s="620">
        <v>0.67859999999999998</v>
      </c>
      <c r="CR97" s="711">
        <v>0.69840000000000002</v>
      </c>
      <c r="CS97" s="564" t="s">
        <v>295</v>
      </c>
      <c r="CT97" s="564">
        <v>218</v>
      </c>
      <c r="CU97" s="564">
        <v>215</v>
      </c>
      <c r="CV97" s="585">
        <v>0.70789999999999997</v>
      </c>
      <c r="CW97" s="585">
        <v>0.68049999999999999</v>
      </c>
      <c r="CX97" s="585">
        <v>0.64339999999999997</v>
      </c>
      <c r="CY97" s="585">
        <v>0.72650000000000003</v>
      </c>
      <c r="CZ97" s="585">
        <v>0.66879999999999995</v>
      </c>
      <c r="DA97" s="585">
        <v>0.68799999999999994</v>
      </c>
      <c r="DB97" s="884" t="s">
        <v>295</v>
      </c>
      <c r="DC97" s="884">
        <v>254</v>
      </c>
      <c r="DD97" s="884">
        <v>249</v>
      </c>
      <c r="DE97" s="884">
        <v>0.71230000000000004</v>
      </c>
      <c r="DF97" s="133">
        <v>0.68579999999999997</v>
      </c>
      <c r="DG97" s="133">
        <v>0.6452</v>
      </c>
      <c r="DH97" s="133">
        <v>0.72360000000000002</v>
      </c>
      <c r="DI97" s="133">
        <v>0.6714</v>
      </c>
      <c r="DJ97" s="133">
        <v>0.69020000000000004</v>
      </c>
    </row>
    <row r="98" spans="1:114" x14ac:dyDescent="0.25">
      <c r="A98" s="322" t="s">
        <v>54</v>
      </c>
      <c r="B98" s="876">
        <v>125754000250</v>
      </c>
      <c r="C98" s="134" t="s">
        <v>452</v>
      </c>
      <c r="D98" s="134" t="s">
        <v>307</v>
      </c>
      <c r="E98" s="344" t="s">
        <v>671</v>
      </c>
      <c r="F98" s="134" t="s">
        <v>121</v>
      </c>
      <c r="G98" s="359" t="s">
        <v>295</v>
      </c>
      <c r="H98" s="346">
        <v>309</v>
      </c>
      <c r="I98" s="346">
        <v>303</v>
      </c>
      <c r="J98" s="346">
        <v>0.70709999999999995</v>
      </c>
      <c r="K98" s="346">
        <v>0.71030000000000004</v>
      </c>
      <c r="L98" s="346">
        <v>0.70630000000000004</v>
      </c>
      <c r="M98" s="346">
        <v>0.71509999999999996</v>
      </c>
      <c r="N98" s="346">
        <v>0.68320000000000003</v>
      </c>
      <c r="O98" s="346">
        <v>0.70760000000000001</v>
      </c>
      <c r="P98" s="359" t="s">
        <v>295</v>
      </c>
      <c r="Q98" s="346" t="s">
        <v>718</v>
      </c>
      <c r="R98" s="346" t="s">
        <v>719</v>
      </c>
      <c r="S98" s="346">
        <v>0.70520000000000005</v>
      </c>
      <c r="T98" s="346">
        <v>0.70169999999999999</v>
      </c>
      <c r="U98" s="346">
        <v>0.70340000000000003</v>
      </c>
      <c r="V98" s="346">
        <v>0.70920000000000005</v>
      </c>
      <c r="W98" s="346">
        <v>0.67720000000000002</v>
      </c>
      <c r="X98" s="346">
        <v>0.70269999999999999</v>
      </c>
      <c r="Y98" s="360" t="s">
        <v>295</v>
      </c>
      <c r="Z98" s="344" t="s">
        <v>549</v>
      </c>
      <c r="AA98" s="344" t="s">
        <v>550</v>
      </c>
      <c r="AB98" s="348">
        <v>0.71060000000000001</v>
      </c>
      <c r="AC98" s="348">
        <v>0.71409999999999996</v>
      </c>
      <c r="AD98" s="348">
        <v>0.70660000000000001</v>
      </c>
      <c r="AE98" s="348">
        <v>0.71870000000000001</v>
      </c>
      <c r="AF98" s="348">
        <v>0.69350000000000001</v>
      </c>
      <c r="AG98" s="348">
        <v>0.71099999999999997</v>
      </c>
      <c r="AH98" s="361" t="s">
        <v>294</v>
      </c>
      <c r="AI98" s="344" t="s">
        <v>477</v>
      </c>
      <c r="AJ98" s="344" t="s">
        <v>478</v>
      </c>
      <c r="AK98" s="348">
        <v>0.72840000000000005</v>
      </c>
      <c r="AL98" s="348">
        <v>0.73540000000000005</v>
      </c>
      <c r="AM98" s="348">
        <v>0.72019999999999995</v>
      </c>
      <c r="AN98" s="348">
        <v>0.73470000000000002</v>
      </c>
      <c r="AO98" s="348">
        <v>0.70689999999999997</v>
      </c>
      <c r="AP98" s="348">
        <v>0.72789999999999999</v>
      </c>
      <c r="AQ98" s="362" t="s">
        <v>294</v>
      </c>
      <c r="AR98" s="344" t="s">
        <v>338</v>
      </c>
      <c r="AS98" s="344" t="s">
        <v>339</v>
      </c>
      <c r="AT98" s="348">
        <v>0.74219999999999997</v>
      </c>
      <c r="AU98" s="348">
        <v>0.74239999999999995</v>
      </c>
      <c r="AV98" s="348">
        <v>0.71430000000000005</v>
      </c>
      <c r="AW98" s="348">
        <v>0.75249999999999995</v>
      </c>
      <c r="AX98" s="348">
        <v>0.73150000000000004</v>
      </c>
      <c r="AY98" s="348">
        <v>0.73740000000000006</v>
      </c>
      <c r="AZ98" s="363" t="s">
        <v>294</v>
      </c>
      <c r="BA98" s="344" t="s">
        <v>344</v>
      </c>
      <c r="BB98" s="344" t="s">
        <v>637</v>
      </c>
      <c r="BC98" s="348">
        <v>0.74299999999999999</v>
      </c>
      <c r="BD98" s="348">
        <v>0.72130000000000005</v>
      </c>
      <c r="BE98" s="348">
        <v>0.68840000000000001</v>
      </c>
      <c r="BF98" s="348">
        <v>0.75219999999999998</v>
      </c>
      <c r="BG98" s="348">
        <v>0.72450000000000003</v>
      </c>
      <c r="BH98" s="348">
        <v>0.72609999999999997</v>
      </c>
      <c r="BI98" s="368" t="s">
        <v>295</v>
      </c>
      <c r="BJ98" s="352">
        <v>346</v>
      </c>
      <c r="BK98" s="352">
        <v>335</v>
      </c>
      <c r="BL98" s="348">
        <v>0.74029999999999996</v>
      </c>
      <c r="BM98" s="348">
        <v>0.69930000000000003</v>
      </c>
      <c r="BN98" s="348">
        <v>0.67410000000000003</v>
      </c>
      <c r="BO98" s="348">
        <v>0.74450000000000005</v>
      </c>
      <c r="BP98" s="348">
        <v>0.69769999999999999</v>
      </c>
      <c r="BQ98" s="348">
        <v>0.71330000000000005</v>
      </c>
      <c r="BR98" s="691" t="s">
        <v>295</v>
      </c>
      <c r="BS98" s="346">
        <v>353</v>
      </c>
      <c r="BT98" s="346">
        <v>351</v>
      </c>
      <c r="BU98" s="346">
        <v>0.73140000000000005</v>
      </c>
      <c r="BV98" s="346">
        <v>0.68940000000000001</v>
      </c>
      <c r="BW98" s="346">
        <v>0.67279999999999995</v>
      </c>
      <c r="BX98" s="346">
        <v>0.74450000000000005</v>
      </c>
      <c r="BY98" s="346">
        <v>0.68520000000000003</v>
      </c>
      <c r="BZ98" s="346">
        <v>0.7077</v>
      </c>
      <c r="CA98" s="356" t="s">
        <v>295</v>
      </c>
      <c r="CB98" s="355" t="s">
        <v>833</v>
      </c>
      <c r="CC98" s="355" t="s">
        <v>415</v>
      </c>
      <c r="CD98" s="355">
        <v>0.72330000000000005</v>
      </c>
      <c r="CE98" s="355">
        <v>0.67989999999999995</v>
      </c>
      <c r="CF98" s="355">
        <v>0.67720000000000002</v>
      </c>
      <c r="CG98" s="355">
        <v>0.73760000000000003</v>
      </c>
      <c r="CH98" s="355">
        <v>0.67279999999999995</v>
      </c>
      <c r="CI98" s="355">
        <v>0.70209999999999995</v>
      </c>
      <c r="CJ98" s="715" t="s">
        <v>295</v>
      </c>
      <c r="CK98" s="620">
        <v>350</v>
      </c>
      <c r="CL98" s="620">
        <v>344</v>
      </c>
      <c r="CM98" s="620">
        <v>0.71430000000000005</v>
      </c>
      <c r="CN98" s="620">
        <v>0.68059999999999998</v>
      </c>
      <c r="CO98" s="620">
        <v>0.66520000000000001</v>
      </c>
      <c r="CP98" s="620">
        <v>0.72629999999999995</v>
      </c>
      <c r="CQ98" s="620">
        <v>0.69199999999999995</v>
      </c>
      <c r="CR98" s="711">
        <v>0.69620000000000004</v>
      </c>
      <c r="CS98" s="564" t="s">
        <v>295</v>
      </c>
      <c r="CT98" s="564">
        <v>346</v>
      </c>
      <c r="CU98" s="564">
        <v>340</v>
      </c>
      <c r="CV98" s="585">
        <v>0.72109999999999996</v>
      </c>
      <c r="CW98" s="585">
        <v>0.69399999999999995</v>
      </c>
      <c r="CX98" s="585">
        <v>0.66920000000000002</v>
      </c>
      <c r="CY98" s="585">
        <v>0.72799999999999998</v>
      </c>
      <c r="CZ98" s="585">
        <v>0.6966</v>
      </c>
      <c r="DA98" s="585">
        <v>0.7026</v>
      </c>
      <c r="DB98" s="884" t="s">
        <v>295</v>
      </c>
      <c r="DC98" s="884">
        <v>371</v>
      </c>
      <c r="DD98" s="884">
        <v>368</v>
      </c>
      <c r="DE98" s="884">
        <v>0.71799999999999997</v>
      </c>
      <c r="DF98" s="133">
        <v>0.70199999999999996</v>
      </c>
      <c r="DG98" s="133">
        <v>0.67469999999999997</v>
      </c>
      <c r="DH98" s="133">
        <v>0.73209999999999997</v>
      </c>
      <c r="DI98" s="133">
        <v>0.70269999999999999</v>
      </c>
      <c r="DJ98" s="133">
        <v>0.70640000000000003</v>
      </c>
    </row>
    <row r="99" spans="1:114" x14ac:dyDescent="0.25">
      <c r="A99" s="36" t="s">
        <v>34</v>
      </c>
      <c r="B99" s="668">
        <v>425754001811</v>
      </c>
      <c r="C99" s="134" t="s">
        <v>452</v>
      </c>
      <c r="D99" s="134" t="s">
        <v>307</v>
      </c>
      <c r="E99" s="134" t="s">
        <v>671</v>
      </c>
      <c r="F99" s="134" t="s">
        <v>123</v>
      </c>
      <c r="G99" s="165" t="s">
        <v>295</v>
      </c>
      <c r="H99" s="166">
        <v>248</v>
      </c>
      <c r="I99" s="166">
        <v>246</v>
      </c>
      <c r="J99" s="166">
        <v>0.66539999999999999</v>
      </c>
      <c r="K99" s="166">
        <v>0.67969999999999997</v>
      </c>
      <c r="L99" s="166">
        <v>0.7046</v>
      </c>
      <c r="M99" s="166">
        <v>0.71350000000000002</v>
      </c>
      <c r="N99" s="166">
        <v>0.68200000000000005</v>
      </c>
      <c r="O99" s="166">
        <v>0.69010000000000005</v>
      </c>
      <c r="P99" s="173" t="s">
        <v>295</v>
      </c>
      <c r="Q99" s="174" t="s">
        <v>726</v>
      </c>
      <c r="R99" s="174" t="s">
        <v>559</v>
      </c>
      <c r="S99" s="174">
        <v>0.66490000000000005</v>
      </c>
      <c r="T99" s="174">
        <v>0.6835</v>
      </c>
      <c r="U99" s="174">
        <v>0.69830000000000003</v>
      </c>
      <c r="V99" s="174">
        <v>0.70730000000000004</v>
      </c>
      <c r="W99" s="174">
        <v>0.68189999999999995</v>
      </c>
      <c r="X99" s="174">
        <v>0.68799999999999994</v>
      </c>
      <c r="Y99" s="138" t="s">
        <v>295</v>
      </c>
      <c r="Z99" s="134" t="s">
        <v>559</v>
      </c>
      <c r="AA99" s="134" t="s">
        <v>560</v>
      </c>
      <c r="AB99" s="137">
        <v>0.67620000000000002</v>
      </c>
      <c r="AC99" s="137">
        <v>0.70209999999999995</v>
      </c>
      <c r="AD99" s="137">
        <v>0.69450000000000001</v>
      </c>
      <c r="AE99" s="137">
        <v>0.71220000000000006</v>
      </c>
      <c r="AF99" s="137">
        <v>0.69840000000000002</v>
      </c>
      <c r="AG99" s="137">
        <v>0.69640000000000002</v>
      </c>
      <c r="AH99" s="159" t="s">
        <v>295</v>
      </c>
      <c r="AI99" s="134" t="s">
        <v>496</v>
      </c>
      <c r="AJ99" s="134" t="s">
        <v>497</v>
      </c>
      <c r="AK99" s="137">
        <v>0.68179999999999996</v>
      </c>
      <c r="AL99" s="137">
        <v>0.70169999999999999</v>
      </c>
      <c r="AM99" s="137">
        <v>0.68810000000000004</v>
      </c>
      <c r="AN99" s="137">
        <v>0.70899999999999996</v>
      </c>
      <c r="AO99" s="137">
        <v>0.69220000000000004</v>
      </c>
      <c r="AP99" s="137">
        <v>0.69489999999999996</v>
      </c>
      <c r="AQ99" s="139" t="s">
        <v>295</v>
      </c>
      <c r="AR99" s="134" t="s">
        <v>371</v>
      </c>
      <c r="AS99" s="134" t="s">
        <v>372</v>
      </c>
      <c r="AT99" s="137">
        <v>0.70450000000000002</v>
      </c>
      <c r="AU99" s="137">
        <v>0.71250000000000002</v>
      </c>
      <c r="AV99" s="137">
        <v>0.69059999999999999</v>
      </c>
      <c r="AW99" s="137">
        <v>0.72619999999999996</v>
      </c>
      <c r="AX99" s="137">
        <v>0.70320000000000005</v>
      </c>
      <c r="AY99" s="137">
        <v>0.70799999999999996</v>
      </c>
      <c r="AZ99" s="138" t="s">
        <v>295</v>
      </c>
      <c r="BA99" s="134" t="s">
        <v>642</v>
      </c>
      <c r="BB99" s="134" t="s">
        <v>643</v>
      </c>
      <c r="BC99" s="137">
        <v>0.70499999999999996</v>
      </c>
      <c r="BD99" s="137">
        <v>0.70069999999999999</v>
      </c>
      <c r="BE99" s="137">
        <v>0.67530000000000001</v>
      </c>
      <c r="BF99" s="137">
        <v>0.72350000000000003</v>
      </c>
      <c r="BG99" s="137">
        <v>0.69320000000000004</v>
      </c>
      <c r="BH99" s="137">
        <v>0.70050000000000001</v>
      </c>
      <c r="BI99" s="135" t="s">
        <v>295</v>
      </c>
      <c r="BJ99" s="152">
        <v>193</v>
      </c>
      <c r="BK99" s="152">
        <v>193</v>
      </c>
      <c r="BL99" s="137">
        <v>0.71140000000000003</v>
      </c>
      <c r="BM99" s="137">
        <v>0.70130000000000003</v>
      </c>
      <c r="BN99" s="137">
        <v>0.67549999999999999</v>
      </c>
      <c r="BO99" s="137">
        <v>0.73099999999999998</v>
      </c>
      <c r="BP99" s="137">
        <v>0.68799999999999994</v>
      </c>
      <c r="BQ99" s="137">
        <v>0.70350000000000001</v>
      </c>
      <c r="BR99" s="691" t="s">
        <v>295</v>
      </c>
      <c r="BS99" s="270">
        <v>180</v>
      </c>
      <c r="BT99" s="270">
        <v>178</v>
      </c>
      <c r="BU99" s="270">
        <v>0.69879999999999998</v>
      </c>
      <c r="BV99" s="270">
        <v>0.68820000000000003</v>
      </c>
      <c r="BW99" s="270">
        <v>0.66259999999999997</v>
      </c>
      <c r="BX99" s="270">
        <v>0.7218</v>
      </c>
      <c r="BY99" s="270">
        <v>0.68530000000000002</v>
      </c>
      <c r="BZ99" s="270">
        <v>0.69230000000000003</v>
      </c>
      <c r="CA99" s="699" t="s">
        <v>295</v>
      </c>
      <c r="CB99" s="672" t="s">
        <v>834</v>
      </c>
      <c r="CC99" s="672" t="s">
        <v>551</v>
      </c>
      <c r="CD99" s="672">
        <v>0.69140000000000001</v>
      </c>
      <c r="CE99" s="672">
        <v>0.68440000000000001</v>
      </c>
      <c r="CF99" s="672">
        <v>0.67620000000000002</v>
      </c>
      <c r="CG99" s="672">
        <v>0.7349</v>
      </c>
      <c r="CH99" s="672">
        <v>0.69589999999999996</v>
      </c>
      <c r="CI99" s="672">
        <v>0.69669999999999999</v>
      </c>
      <c r="CK99" s="618"/>
      <c r="CL99" s="618"/>
      <c r="CM99" s="618"/>
      <c r="CN99" s="618"/>
      <c r="CO99" s="618"/>
      <c r="CP99" s="618"/>
      <c r="CQ99" s="618"/>
      <c r="CR99" s="622"/>
      <c r="CS99" s="563"/>
      <c r="CT99" s="582"/>
      <c r="CU99" s="582"/>
      <c r="CV99" s="586"/>
      <c r="CW99" s="586"/>
      <c r="CX99" s="586"/>
      <c r="CY99" s="586"/>
      <c r="CZ99" s="586"/>
      <c r="DA99" s="586"/>
      <c r="DB99" s="884"/>
      <c r="DC99" s="884"/>
      <c r="DD99" s="884"/>
      <c r="DE99" s="884"/>
    </row>
    <row r="100" spans="1:114" x14ac:dyDescent="0.25">
      <c r="A100" s="555" t="s">
        <v>804</v>
      </c>
      <c r="B100" s="668">
        <v>125754800329</v>
      </c>
      <c r="C100" s="134" t="s">
        <v>452</v>
      </c>
      <c r="D100" s="134" t="s">
        <v>307</v>
      </c>
      <c r="E100" s="134"/>
      <c r="F100" s="134" t="s">
        <v>121</v>
      </c>
      <c r="G100" s="165"/>
      <c r="H100" s="166"/>
      <c r="I100" s="166"/>
      <c r="J100" s="166"/>
      <c r="K100" s="166"/>
      <c r="L100" s="166"/>
      <c r="M100" s="166"/>
      <c r="N100" s="166"/>
      <c r="O100" s="166"/>
      <c r="P100" s="173"/>
      <c r="Q100" s="174"/>
      <c r="R100" s="174"/>
      <c r="S100" s="174"/>
      <c r="T100" s="174"/>
      <c r="U100" s="174"/>
      <c r="V100" s="174"/>
      <c r="W100" s="174"/>
      <c r="X100" s="174"/>
      <c r="Y100" s="138"/>
      <c r="Z100" s="134"/>
      <c r="AA100" s="134"/>
      <c r="AB100" s="137"/>
      <c r="AC100" s="137"/>
      <c r="AD100" s="137"/>
      <c r="AE100" s="137"/>
      <c r="AF100" s="137"/>
      <c r="AG100" s="137"/>
      <c r="AH100" s="159"/>
      <c r="AI100" s="134"/>
      <c r="AJ100" s="134"/>
      <c r="AK100" s="137"/>
      <c r="AL100" s="137"/>
      <c r="AM100" s="137"/>
      <c r="AN100" s="137"/>
      <c r="AO100" s="137"/>
      <c r="AP100" s="137"/>
      <c r="AQ100" s="139"/>
      <c r="AR100" s="134"/>
      <c r="AS100" s="134"/>
      <c r="AT100" s="137"/>
      <c r="AU100" s="137"/>
      <c r="AV100" s="137"/>
      <c r="AW100" s="137"/>
      <c r="AX100" s="137"/>
      <c r="AY100" s="137"/>
      <c r="AZ100" s="138"/>
      <c r="BA100" s="134"/>
      <c r="BB100" s="134"/>
      <c r="BC100" s="137"/>
      <c r="BD100" s="137"/>
      <c r="BE100" s="137"/>
      <c r="BF100" s="137"/>
      <c r="BG100" s="137"/>
      <c r="BH100" s="137"/>
      <c r="BI100" s="135"/>
      <c r="BJ100" s="152"/>
      <c r="BK100" s="152"/>
      <c r="BL100" s="137"/>
      <c r="BM100" s="137"/>
      <c r="BN100" s="137"/>
      <c r="BO100" s="137"/>
      <c r="BP100" s="137"/>
      <c r="BQ100" s="137"/>
      <c r="BR100" s="277"/>
      <c r="BS100" s="270"/>
      <c r="BT100" s="270"/>
      <c r="BU100" s="270"/>
      <c r="BV100" s="270"/>
      <c r="BW100" s="270"/>
      <c r="BX100" s="270"/>
      <c r="BY100" s="270"/>
      <c r="BZ100" s="270"/>
      <c r="CA100" s="356" t="s">
        <v>295</v>
      </c>
      <c r="CB100" s="355" t="s">
        <v>336</v>
      </c>
      <c r="CC100" s="355" t="s">
        <v>309</v>
      </c>
      <c r="CD100" s="355">
        <v>0.71679999999999999</v>
      </c>
      <c r="CE100" s="355">
        <v>0.67279999999999995</v>
      </c>
      <c r="CF100" s="355">
        <v>0.68869999999999998</v>
      </c>
      <c r="CG100" s="355">
        <v>0.72089999999999999</v>
      </c>
      <c r="CH100" s="355">
        <v>0.69840000000000002</v>
      </c>
      <c r="CI100" s="355">
        <v>0.69969999999999999</v>
      </c>
      <c r="CJ100" s="715" t="s">
        <v>295</v>
      </c>
      <c r="CK100" s="620">
        <v>228</v>
      </c>
      <c r="CL100" s="620">
        <v>227</v>
      </c>
      <c r="CM100" s="620">
        <v>0.71419999999999995</v>
      </c>
      <c r="CN100" s="620">
        <v>0.68779999999999997</v>
      </c>
      <c r="CO100" s="620">
        <v>0.69099999999999995</v>
      </c>
      <c r="CP100" s="620">
        <v>0.73009999999999997</v>
      </c>
      <c r="CQ100" s="620">
        <v>0.71120000000000005</v>
      </c>
      <c r="CR100" s="711">
        <v>0.70620000000000005</v>
      </c>
      <c r="CS100" s="564" t="s">
        <v>295</v>
      </c>
      <c r="CT100" s="564">
        <v>420</v>
      </c>
      <c r="CU100" s="564">
        <v>417</v>
      </c>
      <c r="CV100" s="585">
        <v>0.73329999999999995</v>
      </c>
      <c r="CW100" s="585">
        <v>0.69450000000000001</v>
      </c>
      <c r="CX100" s="585">
        <v>0.69199999999999995</v>
      </c>
      <c r="CY100" s="585">
        <v>0.74280000000000002</v>
      </c>
      <c r="CZ100" s="585">
        <v>0.71719999999999995</v>
      </c>
      <c r="DA100" s="585">
        <v>0.71579999999999999</v>
      </c>
      <c r="DB100" s="884" t="s">
        <v>294</v>
      </c>
      <c r="DC100" s="884">
        <v>531</v>
      </c>
      <c r="DD100" s="884">
        <v>525</v>
      </c>
      <c r="DE100" s="884">
        <v>0.73429999999999995</v>
      </c>
      <c r="DF100" s="133">
        <v>0.69799999999999995</v>
      </c>
      <c r="DG100" s="133">
        <v>0.69730000000000003</v>
      </c>
      <c r="DH100" s="133">
        <v>0.753</v>
      </c>
      <c r="DI100" s="133">
        <v>0.72519999999999996</v>
      </c>
      <c r="DJ100" s="133">
        <v>0.72099999999999997</v>
      </c>
    </row>
    <row r="101" spans="1:114" x14ac:dyDescent="0.25">
      <c r="A101" s="36" t="s">
        <v>176</v>
      </c>
      <c r="B101" s="668">
        <v>325754005404</v>
      </c>
      <c r="C101" s="134" t="s">
        <v>452</v>
      </c>
      <c r="D101" s="134" t="s">
        <v>307</v>
      </c>
      <c r="E101" s="134" t="s">
        <v>671</v>
      </c>
      <c r="F101" s="720" t="s">
        <v>121</v>
      </c>
      <c r="G101" s="165" t="s">
        <v>295</v>
      </c>
      <c r="H101" s="166">
        <v>124</v>
      </c>
      <c r="I101" s="166">
        <v>124</v>
      </c>
      <c r="J101" s="166">
        <v>0.66879999999999995</v>
      </c>
      <c r="K101" s="166">
        <v>0.66520000000000001</v>
      </c>
      <c r="L101" s="166">
        <v>0.68630000000000002</v>
      </c>
      <c r="M101" s="166">
        <v>0.68969999999999998</v>
      </c>
      <c r="N101" s="166">
        <v>0.65869999999999995</v>
      </c>
      <c r="O101" s="166">
        <v>0.67610000000000003</v>
      </c>
      <c r="P101" s="173" t="s">
        <v>295</v>
      </c>
      <c r="Q101" s="174" t="s">
        <v>479</v>
      </c>
      <c r="R101" s="174" t="s">
        <v>479</v>
      </c>
      <c r="S101" s="174">
        <v>0.66749999999999998</v>
      </c>
      <c r="T101" s="174">
        <v>0.6724</v>
      </c>
      <c r="U101" s="174">
        <v>0.69399999999999995</v>
      </c>
      <c r="V101" s="174">
        <v>0.69110000000000005</v>
      </c>
      <c r="W101" s="174">
        <v>0.66139999999999999</v>
      </c>
      <c r="X101" s="174">
        <v>0.67969999999999997</v>
      </c>
      <c r="Y101" s="138" t="s">
        <v>295</v>
      </c>
      <c r="Z101" s="134" t="s">
        <v>564</v>
      </c>
      <c r="AA101" s="134" t="s">
        <v>160</v>
      </c>
      <c r="AB101" s="137">
        <v>0.67349999999999999</v>
      </c>
      <c r="AC101" s="137">
        <v>0.68859999999999999</v>
      </c>
      <c r="AD101" s="137">
        <v>0.69210000000000005</v>
      </c>
      <c r="AE101" s="137">
        <v>0.70669999999999999</v>
      </c>
      <c r="AF101" s="137">
        <v>0.68079999999999996</v>
      </c>
      <c r="AG101" s="137">
        <v>0.6895</v>
      </c>
      <c r="AH101" s="159" t="s">
        <v>295</v>
      </c>
      <c r="AI101" s="134" t="s">
        <v>498</v>
      </c>
      <c r="AJ101" s="134" t="s">
        <v>338</v>
      </c>
      <c r="AK101" s="137">
        <v>0.6724</v>
      </c>
      <c r="AL101" s="137">
        <v>0.69550000000000001</v>
      </c>
      <c r="AM101" s="137">
        <v>0.68840000000000001</v>
      </c>
      <c r="AN101" s="137">
        <v>0.71209999999999996</v>
      </c>
      <c r="AO101" s="137">
        <v>0.69310000000000005</v>
      </c>
      <c r="AP101" s="137">
        <v>0.69220000000000004</v>
      </c>
      <c r="AQ101" s="139" t="s">
        <v>295</v>
      </c>
      <c r="AR101" s="134" t="s">
        <v>406</v>
      </c>
      <c r="AS101" s="134" t="s">
        <v>407</v>
      </c>
      <c r="AT101" s="137">
        <v>0.67549999999999999</v>
      </c>
      <c r="AU101" s="137">
        <v>0.69110000000000005</v>
      </c>
      <c r="AV101" s="137">
        <v>0.67520000000000002</v>
      </c>
      <c r="AW101" s="137">
        <v>0.71989999999999998</v>
      </c>
      <c r="AX101" s="137">
        <v>0.70389999999999997</v>
      </c>
      <c r="AY101" s="137">
        <v>0.69140000000000001</v>
      </c>
      <c r="AZ101" s="138" t="s">
        <v>295</v>
      </c>
      <c r="BA101" s="134" t="s">
        <v>474</v>
      </c>
      <c r="BB101" s="134" t="s">
        <v>474</v>
      </c>
      <c r="BC101" s="137">
        <v>0.68049999999999999</v>
      </c>
      <c r="BD101" s="137">
        <v>0.67659999999999998</v>
      </c>
      <c r="BE101" s="137">
        <v>0.65580000000000005</v>
      </c>
      <c r="BF101" s="137">
        <v>0.71560000000000001</v>
      </c>
      <c r="BG101" s="137">
        <v>0.6905</v>
      </c>
      <c r="BH101" s="137">
        <v>0.68279999999999996</v>
      </c>
      <c r="BI101" s="135" t="s">
        <v>295</v>
      </c>
      <c r="BJ101" s="152">
        <v>336</v>
      </c>
      <c r="BK101" s="152">
        <v>333</v>
      </c>
      <c r="BL101" s="137">
        <v>0.68620000000000003</v>
      </c>
      <c r="BM101" s="137">
        <v>0.66569999999999996</v>
      </c>
      <c r="BN101" s="137">
        <v>0.64410000000000001</v>
      </c>
      <c r="BO101" s="137">
        <v>0.71599999999999997</v>
      </c>
      <c r="BP101" s="137">
        <v>0.67249999999999999</v>
      </c>
      <c r="BQ101" s="137">
        <v>0.67759999999999998</v>
      </c>
      <c r="BR101" s="277" t="s">
        <v>295</v>
      </c>
      <c r="BS101" s="270">
        <v>345</v>
      </c>
      <c r="BT101" s="270">
        <v>340</v>
      </c>
      <c r="BU101" s="270">
        <v>0.68</v>
      </c>
      <c r="BV101" s="270">
        <v>0.6542</v>
      </c>
      <c r="BW101" s="270">
        <v>0.63419999999999999</v>
      </c>
      <c r="BX101" s="270">
        <v>0.71430000000000005</v>
      </c>
      <c r="BY101" s="270">
        <v>0.66459999999999997</v>
      </c>
      <c r="BZ101" s="270">
        <v>0.67020000000000002</v>
      </c>
      <c r="CA101" s="357" t="s">
        <v>427</v>
      </c>
      <c r="CB101" s="355" t="s">
        <v>835</v>
      </c>
      <c r="CC101" s="355" t="s">
        <v>813</v>
      </c>
      <c r="CD101" s="355">
        <v>0.66520000000000001</v>
      </c>
      <c r="CE101" s="355">
        <v>0.64529999999999998</v>
      </c>
      <c r="CF101" s="355">
        <v>0.63360000000000005</v>
      </c>
      <c r="CG101" s="355">
        <v>0.70940000000000003</v>
      </c>
      <c r="CH101" s="355">
        <v>0.66779999999999995</v>
      </c>
      <c r="CI101" s="355">
        <v>0.66369999999999996</v>
      </c>
      <c r="CJ101" s="718" t="s">
        <v>427</v>
      </c>
      <c r="CK101" s="620">
        <v>333</v>
      </c>
      <c r="CL101" s="620">
        <v>328</v>
      </c>
      <c r="CM101" s="620">
        <v>0.65810000000000002</v>
      </c>
      <c r="CN101" s="620">
        <v>0.64490000000000003</v>
      </c>
      <c r="CO101" s="620">
        <v>0.63390000000000002</v>
      </c>
      <c r="CP101" s="620">
        <v>0.70689999999999997</v>
      </c>
      <c r="CQ101" s="620">
        <v>0.68610000000000004</v>
      </c>
      <c r="CR101" s="711">
        <v>0.66290000000000004</v>
      </c>
      <c r="CS101" s="564" t="s">
        <v>295</v>
      </c>
      <c r="CT101" s="564">
        <v>330</v>
      </c>
      <c r="CU101" s="564">
        <v>327</v>
      </c>
      <c r="CV101" s="585">
        <v>0.6784</v>
      </c>
      <c r="CW101" s="585">
        <v>0.66269999999999996</v>
      </c>
      <c r="CX101" s="585">
        <v>0.65139999999999998</v>
      </c>
      <c r="CY101" s="585">
        <v>0.7218</v>
      </c>
      <c r="CZ101" s="585">
        <v>0.69330000000000003</v>
      </c>
      <c r="DA101" s="585">
        <v>0.67969999999999997</v>
      </c>
      <c r="DB101" s="884" t="s">
        <v>295</v>
      </c>
      <c r="DC101" s="884">
        <v>332</v>
      </c>
      <c r="DD101" s="884">
        <v>330</v>
      </c>
      <c r="DE101" s="884">
        <v>0.69469999999999998</v>
      </c>
      <c r="DF101" s="133">
        <v>0.68110000000000004</v>
      </c>
      <c r="DG101" s="133">
        <v>0.6744</v>
      </c>
      <c r="DH101" s="133">
        <v>0.73560000000000003</v>
      </c>
      <c r="DI101" s="133">
        <v>0.71020000000000005</v>
      </c>
      <c r="DJ101" s="133">
        <v>0.69750000000000001</v>
      </c>
    </row>
    <row r="102" spans="1:114" x14ac:dyDescent="0.25">
      <c r="A102" s="36" t="s">
        <v>805</v>
      </c>
      <c r="B102" s="668">
        <v>125754800256</v>
      </c>
      <c r="C102" s="134" t="s">
        <v>452</v>
      </c>
      <c r="D102" s="134" t="s">
        <v>307</v>
      </c>
      <c r="E102" s="134"/>
      <c r="F102" s="134" t="s">
        <v>121</v>
      </c>
      <c r="G102" s="165"/>
      <c r="H102" s="166"/>
      <c r="I102" s="166"/>
      <c r="J102" s="166"/>
      <c r="K102" s="166"/>
      <c r="L102" s="166"/>
      <c r="M102" s="166"/>
      <c r="N102" s="166"/>
      <c r="O102" s="166"/>
      <c r="P102" s="173"/>
      <c r="Q102" s="174"/>
      <c r="R102" s="174"/>
      <c r="S102" s="174"/>
      <c r="T102" s="174"/>
      <c r="U102" s="174"/>
      <c r="V102" s="174"/>
      <c r="W102" s="174"/>
      <c r="X102" s="174"/>
      <c r="Y102" s="138"/>
      <c r="Z102" s="134"/>
      <c r="AA102" s="134"/>
      <c r="AB102" s="137"/>
      <c r="AC102" s="137"/>
      <c r="AD102" s="137"/>
      <c r="AE102" s="137"/>
      <c r="AF102" s="137"/>
      <c r="AG102" s="137"/>
      <c r="AH102" s="159"/>
      <c r="AI102" s="134"/>
      <c r="AJ102" s="134"/>
      <c r="AK102" s="137"/>
      <c r="AL102" s="137"/>
      <c r="AM102" s="137"/>
      <c r="AN102" s="137"/>
      <c r="AO102" s="137"/>
      <c r="AP102" s="137"/>
      <c r="AQ102" s="139"/>
      <c r="AR102" s="134"/>
      <c r="AS102" s="134"/>
      <c r="AT102" s="137"/>
      <c r="AU102" s="137"/>
      <c r="AV102" s="137"/>
      <c r="AW102" s="137"/>
      <c r="AX102" s="137"/>
      <c r="AY102" s="137"/>
      <c r="AZ102" s="138"/>
      <c r="BA102" s="134"/>
      <c r="BB102" s="134"/>
      <c r="BC102" s="137"/>
      <c r="BD102" s="137"/>
      <c r="BE102" s="137"/>
      <c r="BF102" s="137"/>
      <c r="BG102" s="137"/>
      <c r="BH102" s="137"/>
      <c r="BI102" s="135"/>
      <c r="BJ102" s="152"/>
      <c r="BK102" s="152"/>
      <c r="BL102" s="137"/>
      <c r="BM102" s="137"/>
      <c r="BN102" s="137"/>
      <c r="BO102" s="137"/>
      <c r="BP102" s="137"/>
      <c r="BQ102" s="137"/>
      <c r="BR102" s="277"/>
      <c r="BS102" s="270"/>
      <c r="BT102" s="270"/>
      <c r="BU102" s="270"/>
      <c r="BV102" s="270"/>
      <c r="BW102" s="270"/>
      <c r="BX102" s="270"/>
      <c r="BY102" s="270"/>
      <c r="BZ102" s="270"/>
      <c r="CA102" s="356" t="s">
        <v>295</v>
      </c>
      <c r="CB102" s="355" t="s">
        <v>437</v>
      </c>
      <c r="CC102" s="355" t="s">
        <v>437</v>
      </c>
      <c r="CD102" s="355">
        <v>0.6734</v>
      </c>
      <c r="CE102" s="355">
        <v>0.65110000000000001</v>
      </c>
      <c r="CF102" s="355">
        <v>0.64100000000000001</v>
      </c>
      <c r="CG102" s="355">
        <v>0.72030000000000005</v>
      </c>
      <c r="CH102" s="355">
        <v>0.66339999999999999</v>
      </c>
      <c r="CI102" s="355">
        <v>0.67090000000000005</v>
      </c>
      <c r="CJ102" s="715" t="s">
        <v>295</v>
      </c>
      <c r="CK102" s="620">
        <v>168</v>
      </c>
      <c r="CL102" s="620">
        <v>160</v>
      </c>
      <c r="CM102" s="620">
        <v>0.6804</v>
      </c>
      <c r="CN102" s="620">
        <v>0.65620000000000001</v>
      </c>
      <c r="CO102" s="620">
        <v>0.64429999999999998</v>
      </c>
      <c r="CP102" s="620">
        <v>0.71509999999999996</v>
      </c>
      <c r="CQ102" s="620">
        <v>0.65410000000000001</v>
      </c>
      <c r="CR102" s="711">
        <v>0.67249999999999999</v>
      </c>
      <c r="CS102" s="564" t="s">
        <v>295</v>
      </c>
      <c r="CT102" s="564">
        <v>325</v>
      </c>
      <c r="CU102" s="564">
        <v>315</v>
      </c>
      <c r="CV102" s="585">
        <v>0.70699999999999996</v>
      </c>
      <c r="CW102" s="585">
        <v>0.67620000000000002</v>
      </c>
      <c r="CX102" s="585">
        <v>0.67210000000000003</v>
      </c>
      <c r="CY102" s="585">
        <v>0.73419999999999996</v>
      </c>
      <c r="CZ102" s="585">
        <v>0.68930000000000002</v>
      </c>
      <c r="DA102" s="585">
        <v>0.69669999999999999</v>
      </c>
      <c r="DB102" s="884" t="s">
        <v>295</v>
      </c>
      <c r="DC102" s="884">
        <v>536</v>
      </c>
      <c r="DD102" s="884">
        <v>524</v>
      </c>
      <c r="DE102" s="884">
        <v>0.73199999999999998</v>
      </c>
      <c r="DF102" s="133">
        <v>0.69550000000000001</v>
      </c>
      <c r="DG102" s="133">
        <v>0.68459999999999999</v>
      </c>
      <c r="DH102" s="133">
        <v>0.74480000000000002</v>
      </c>
      <c r="DI102" s="133">
        <v>0.71319999999999995</v>
      </c>
      <c r="DJ102" s="133">
        <v>0.71409999999999996</v>
      </c>
    </row>
    <row r="103" spans="1:114" ht="15" x14ac:dyDescent="0.25">
      <c r="A103" s="763" t="s">
        <v>106</v>
      </c>
      <c r="B103" s="668">
        <v>325754005366</v>
      </c>
      <c r="C103" s="134" t="s">
        <v>452</v>
      </c>
      <c r="D103" s="134" t="s">
        <v>307</v>
      </c>
      <c r="E103" s="134" t="s">
        <v>671</v>
      </c>
      <c r="F103" s="134" t="s">
        <v>123</v>
      </c>
      <c r="G103" s="134"/>
      <c r="H103" s="134"/>
      <c r="I103" s="134"/>
      <c r="J103" s="134"/>
      <c r="K103" s="134"/>
      <c r="L103" s="134"/>
      <c r="M103" s="134"/>
      <c r="N103" s="134"/>
      <c r="O103" s="134"/>
      <c r="P103" s="563"/>
      <c r="Q103" s="563"/>
      <c r="R103" s="563"/>
      <c r="S103" s="563"/>
      <c r="T103" s="563"/>
      <c r="U103" s="563"/>
      <c r="V103" s="563"/>
      <c r="W103" s="563"/>
      <c r="X103" s="563"/>
      <c r="Y103" s="134"/>
      <c r="Z103" s="134"/>
      <c r="AA103" s="134"/>
      <c r="AB103" s="134"/>
      <c r="AC103" s="134"/>
      <c r="AD103" s="134"/>
      <c r="AE103" s="134"/>
      <c r="AF103" s="134"/>
      <c r="AG103" s="134"/>
      <c r="AH103" s="134"/>
      <c r="AI103" s="134"/>
      <c r="AJ103" s="134"/>
      <c r="AK103" s="134"/>
      <c r="AL103" s="134"/>
      <c r="AM103" s="134"/>
      <c r="AN103" s="134"/>
      <c r="AO103" s="134"/>
      <c r="AP103" s="134"/>
      <c r="AQ103" s="134"/>
      <c r="AR103" s="134"/>
      <c r="AS103" s="134"/>
      <c r="AT103" s="134"/>
      <c r="AU103" s="134"/>
      <c r="AV103" s="134"/>
      <c r="AW103" s="134"/>
      <c r="AX103" s="134"/>
      <c r="AY103" s="134"/>
      <c r="AZ103" s="134"/>
      <c r="BA103" s="134"/>
      <c r="BB103" s="134"/>
      <c r="BC103" s="134"/>
      <c r="BD103" s="134"/>
      <c r="BE103" s="134"/>
      <c r="BF103" s="134"/>
      <c r="BG103" s="134"/>
      <c r="BH103" s="134"/>
      <c r="BI103" s="134"/>
      <c r="BJ103" s="134"/>
      <c r="BK103" s="134"/>
      <c r="BL103" s="134"/>
      <c r="BM103" s="134"/>
      <c r="BN103" s="134"/>
      <c r="BO103" s="134"/>
      <c r="BP103" s="134"/>
      <c r="BQ103" s="134"/>
      <c r="BR103" s="633"/>
      <c r="BS103" s="269"/>
      <c r="BT103" s="269"/>
      <c r="BU103" s="269"/>
      <c r="BV103" s="269"/>
      <c r="BW103" s="269"/>
      <c r="BX103" s="269"/>
      <c r="BY103" s="269"/>
      <c r="BZ103" s="269"/>
      <c r="CA103" s="344"/>
      <c r="CB103" s="344"/>
      <c r="CC103" s="344"/>
      <c r="CD103" s="344"/>
      <c r="CE103" s="344"/>
      <c r="CF103" s="344"/>
      <c r="CG103" s="344"/>
      <c r="CH103" s="344"/>
      <c r="CI103" s="344"/>
      <c r="CJ103" s="714"/>
      <c r="CK103" s="618"/>
      <c r="CL103" s="618"/>
      <c r="CM103" s="618"/>
      <c r="CN103" s="618"/>
      <c r="CO103" s="618"/>
      <c r="CP103" s="618"/>
      <c r="CQ103" s="618"/>
      <c r="CR103" s="618"/>
      <c r="CS103" s="563"/>
      <c r="CT103" s="563"/>
      <c r="CU103" s="563"/>
      <c r="CV103" s="563"/>
      <c r="CW103" s="563"/>
      <c r="CX103" s="563"/>
      <c r="CY103" s="563"/>
      <c r="CZ103" s="563"/>
      <c r="DA103" s="563"/>
      <c r="DB103" s="884" t="s">
        <v>443</v>
      </c>
      <c r="DC103" s="884">
        <v>42</v>
      </c>
      <c r="DD103" s="884">
        <v>36</v>
      </c>
      <c r="DE103" s="884">
        <v>0.61209999999999998</v>
      </c>
      <c r="DF103" s="133">
        <v>0.58850000000000002</v>
      </c>
      <c r="DG103" s="133">
        <v>0.57909999999999995</v>
      </c>
      <c r="DH103" s="133">
        <v>0.6694</v>
      </c>
      <c r="DI103" s="133">
        <v>0.63560000000000005</v>
      </c>
      <c r="DJ103" s="133">
        <v>0.61409999999999998</v>
      </c>
    </row>
    <row r="104" spans="1:114" x14ac:dyDescent="0.25">
      <c r="A104" s="322" t="s">
        <v>133</v>
      </c>
      <c r="B104" s="876">
        <v>325754003916</v>
      </c>
      <c r="C104" s="134" t="s">
        <v>452</v>
      </c>
      <c r="D104" s="134" t="s">
        <v>307</v>
      </c>
      <c r="E104" s="344" t="s">
        <v>671</v>
      </c>
      <c r="F104" s="134" t="s">
        <v>123</v>
      </c>
      <c r="G104" s="766" t="s">
        <v>443</v>
      </c>
      <c r="H104" s="346">
        <v>44</v>
      </c>
      <c r="I104" s="346">
        <v>41</v>
      </c>
      <c r="J104" s="346">
        <v>0.57399999999999995</v>
      </c>
      <c r="K104" s="346">
        <v>0.59750000000000003</v>
      </c>
      <c r="L104" s="346">
        <v>0.59189999999999998</v>
      </c>
      <c r="M104" s="346">
        <v>0.59130000000000005</v>
      </c>
      <c r="N104" s="346">
        <v>0.61040000000000005</v>
      </c>
      <c r="O104" s="346">
        <v>0.59030000000000005</v>
      </c>
      <c r="P104" s="766" t="s">
        <v>443</v>
      </c>
      <c r="Q104" s="346" t="s">
        <v>82</v>
      </c>
      <c r="R104" s="346" t="s">
        <v>420</v>
      </c>
      <c r="S104" s="346">
        <v>0.5766</v>
      </c>
      <c r="T104" s="346">
        <v>0.58330000000000004</v>
      </c>
      <c r="U104" s="346">
        <v>0.58620000000000005</v>
      </c>
      <c r="V104" s="346">
        <v>0.5776</v>
      </c>
      <c r="W104" s="346">
        <v>0.59130000000000005</v>
      </c>
      <c r="X104" s="346">
        <v>0.58169999999999999</v>
      </c>
      <c r="Y104" s="768" t="s">
        <v>443</v>
      </c>
      <c r="Z104" s="344" t="s">
        <v>82</v>
      </c>
      <c r="AA104" s="344" t="s">
        <v>420</v>
      </c>
      <c r="AB104" s="348">
        <v>0.5766</v>
      </c>
      <c r="AC104" s="348">
        <v>0.58330000000000004</v>
      </c>
      <c r="AD104" s="348">
        <v>0.58620000000000005</v>
      </c>
      <c r="AE104" s="348">
        <v>0.5776</v>
      </c>
      <c r="AF104" s="348">
        <v>0.59130000000000005</v>
      </c>
      <c r="AG104" s="348">
        <v>0.58169999999999999</v>
      </c>
      <c r="AH104" s="771" t="s">
        <v>443</v>
      </c>
      <c r="AI104" s="344" t="s">
        <v>82</v>
      </c>
      <c r="AJ104" s="344" t="s">
        <v>420</v>
      </c>
      <c r="AK104" s="348">
        <v>0.5766</v>
      </c>
      <c r="AL104" s="348">
        <v>0.58330000000000004</v>
      </c>
      <c r="AM104" s="348">
        <v>0.58620000000000005</v>
      </c>
      <c r="AN104" s="348">
        <v>0.5776</v>
      </c>
      <c r="AO104" s="348">
        <v>0.59130000000000005</v>
      </c>
      <c r="AP104" s="348">
        <v>0.58169999999999999</v>
      </c>
      <c r="AQ104" s="344"/>
      <c r="AR104" s="344"/>
      <c r="AS104" s="344"/>
      <c r="AT104" s="348"/>
      <c r="AU104" s="348"/>
      <c r="AV104" s="348"/>
      <c r="AW104" s="348"/>
      <c r="AX104" s="348"/>
      <c r="AY104" s="348"/>
      <c r="AZ104" s="768" t="s">
        <v>443</v>
      </c>
      <c r="BA104" s="344" t="s">
        <v>82</v>
      </c>
      <c r="BB104" s="344" t="s">
        <v>420</v>
      </c>
      <c r="BC104" s="348">
        <v>0.5766</v>
      </c>
      <c r="BD104" s="348">
        <v>0.58330000000000004</v>
      </c>
      <c r="BE104" s="348">
        <v>0.58620000000000005</v>
      </c>
      <c r="BF104" s="348">
        <v>0.5776</v>
      </c>
      <c r="BG104" s="348">
        <v>0.59130000000000005</v>
      </c>
      <c r="BH104" s="348">
        <v>0.58169999999999999</v>
      </c>
      <c r="BI104" s="374" t="s">
        <v>443</v>
      </c>
      <c r="BJ104" s="352">
        <v>38</v>
      </c>
      <c r="BK104" s="352">
        <v>33</v>
      </c>
      <c r="BL104" s="348">
        <v>0.5766</v>
      </c>
      <c r="BM104" s="348">
        <v>0.58330000000000004</v>
      </c>
      <c r="BN104" s="348">
        <v>0.58620000000000005</v>
      </c>
      <c r="BO104" s="348">
        <v>0.5776</v>
      </c>
      <c r="BP104" s="348">
        <v>0.59130000000000005</v>
      </c>
      <c r="BQ104" s="348">
        <v>0.58169999999999999</v>
      </c>
      <c r="BR104" s="780"/>
      <c r="BS104" s="344"/>
      <c r="BT104" s="344"/>
      <c r="BU104" s="344"/>
      <c r="BV104" s="344"/>
      <c r="BW104" s="344"/>
      <c r="BX104" s="344"/>
      <c r="BY104" s="344"/>
      <c r="BZ104" s="344"/>
      <c r="CA104" s="344"/>
      <c r="CB104" s="344"/>
      <c r="CC104" s="344"/>
      <c r="CD104" s="344"/>
      <c r="CE104" s="344"/>
      <c r="CF104" s="344"/>
      <c r="CG104" s="344"/>
      <c r="CH104" s="344"/>
      <c r="CI104" s="344"/>
      <c r="CJ104" s="714"/>
      <c r="CK104" s="618"/>
      <c r="CL104" s="618"/>
      <c r="CM104" s="618"/>
      <c r="CN104" s="618"/>
      <c r="CO104" s="618"/>
      <c r="CP104" s="618"/>
      <c r="CQ104" s="618"/>
      <c r="CR104" s="622"/>
      <c r="CS104" s="563"/>
      <c r="CT104" s="582"/>
      <c r="CU104" s="582"/>
      <c r="CV104" s="586"/>
      <c r="CW104" s="586"/>
      <c r="CX104" s="586"/>
      <c r="CY104" s="586"/>
      <c r="CZ104" s="586"/>
      <c r="DA104" s="586"/>
      <c r="DB104" s="884"/>
      <c r="DC104" s="884"/>
      <c r="DD104" s="884"/>
      <c r="DE104" s="884"/>
    </row>
    <row r="105" spans="1:114" x14ac:dyDescent="0.25">
      <c r="A105" s="126" t="s">
        <v>955</v>
      </c>
      <c r="B105" s="668">
        <v>325754005196</v>
      </c>
      <c r="C105" s="134" t="s">
        <v>452</v>
      </c>
      <c r="D105" s="134" t="s">
        <v>307</v>
      </c>
      <c r="E105" s="134" t="s">
        <v>671</v>
      </c>
      <c r="F105" s="134" t="s">
        <v>123</v>
      </c>
      <c r="G105" s="168" t="s">
        <v>294</v>
      </c>
      <c r="H105" s="166">
        <v>78</v>
      </c>
      <c r="I105" s="166">
        <v>78</v>
      </c>
      <c r="J105" s="166">
        <v>0.70279999999999998</v>
      </c>
      <c r="K105" s="166">
        <v>0.7248</v>
      </c>
      <c r="L105" s="166">
        <v>0.72929999999999995</v>
      </c>
      <c r="M105" s="166">
        <v>0.72889999999999999</v>
      </c>
      <c r="N105" s="166">
        <v>0.72929999999999995</v>
      </c>
      <c r="O105" s="166">
        <v>0.72209999999999996</v>
      </c>
      <c r="P105" s="177" t="s">
        <v>294</v>
      </c>
      <c r="Q105" s="174" t="s">
        <v>328</v>
      </c>
      <c r="R105" s="174" t="s">
        <v>328</v>
      </c>
      <c r="S105" s="174">
        <v>0.70520000000000005</v>
      </c>
      <c r="T105" s="174">
        <v>0.73</v>
      </c>
      <c r="U105" s="174">
        <v>0.73319999999999996</v>
      </c>
      <c r="V105" s="174">
        <v>0.73219999999999996</v>
      </c>
      <c r="W105" s="174">
        <v>0.73350000000000004</v>
      </c>
      <c r="X105" s="174">
        <v>0.7258</v>
      </c>
      <c r="Y105" s="145" t="s">
        <v>294</v>
      </c>
      <c r="Z105" s="134" t="s">
        <v>309</v>
      </c>
      <c r="AA105" s="134" t="s">
        <v>309</v>
      </c>
      <c r="AB105" s="137">
        <v>0.71479999999999999</v>
      </c>
      <c r="AC105" s="137">
        <v>0.73640000000000005</v>
      </c>
      <c r="AD105" s="137">
        <v>0.72940000000000005</v>
      </c>
      <c r="AE105" s="137">
        <v>0.74139999999999995</v>
      </c>
      <c r="AF105" s="137">
        <v>0.74539999999999995</v>
      </c>
      <c r="AG105" s="137">
        <v>0.73160000000000003</v>
      </c>
      <c r="AH105" s="158" t="s">
        <v>294</v>
      </c>
      <c r="AI105" s="134" t="s">
        <v>463</v>
      </c>
      <c r="AJ105" s="134" t="s">
        <v>463</v>
      </c>
      <c r="AK105" s="137">
        <v>0.71589999999999998</v>
      </c>
      <c r="AL105" s="137">
        <v>0.7329</v>
      </c>
      <c r="AM105" s="137">
        <v>0.72470000000000001</v>
      </c>
      <c r="AN105" s="137">
        <v>0.746</v>
      </c>
      <c r="AO105" s="137">
        <v>0.7429</v>
      </c>
      <c r="AP105" s="137">
        <v>0.73089999999999999</v>
      </c>
      <c r="AQ105" s="150" t="s">
        <v>294</v>
      </c>
      <c r="AR105" s="134" t="s">
        <v>354</v>
      </c>
      <c r="AS105" s="134" t="s">
        <v>354</v>
      </c>
      <c r="AT105" s="137">
        <v>0.71479999999999999</v>
      </c>
      <c r="AU105" s="137">
        <v>0.72319999999999995</v>
      </c>
      <c r="AV105" s="137">
        <v>0.71619999999999995</v>
      </c>
      <c r="AW105" s="137">
        <v>0.746</v>
      </c>
      <c r="AX105" s="137">
        <v>0.74399999999999999</v>
      </c>
      <c r="AY105" s="137">
        <v>0.72650000000000003</v>
      </c>
      <c r="AZ105" s="138" t="s">
        <v>295</v>
      </c>
      <c r="BA105" s="134" t="s">
        <v>595</v>
      </c>
      <c r="BB105" s="134" t="s">
        <v>535</v>
      </c>
      <c r="BC105" s="137">
        <v>0.7157</v>
      </c>
      <c r="BD105" s="137">
        <v>0.70230000000000004</v>
      </c>
      <c r="BE105" s="137">
        <v>0.68440000000000001</v>
      </c>
      <c r="BF105" s="137">
        <v>0.74229999999999996</v>
      </c>
      <c r="BG105" s="137">
        <v>0.73060000000000003</v>
      </c>
      <c r="BH105" s="137">
        <v>0.7127</v>
      </c>
      <c r="BI105" s="135" t="s">
        <v>295</v>
      </c>
      <c r="BJ105" s="152">
        <v>155</v>
      </c>
      <c r="BK105" s="152">
        <v>154</v>
      </c>
      <c r="BL105" s="137">
        <v>0.73</v>
      </c>
      <c r="BM105" s="137">
        <v>0.70020000000000004</v>
      </c>
      <c r="BN105" s="137">
        <v>0.68510000000000004</v>
      </c>
      <c r="BO105" s="137">
        <v>0.74150000000000005</v>
      </c>
      <c r="BP105" s="137">
        <v>0.7137</v>
      </c>
      <c r="BQ105" s="137">
        <v>0.71409999999999996</v>
      </c>
      <c r="BR105" s="277" t="s">
        <v>295</v>
      </c>
      <c r="BS105" s="270">
        <v>164</v>
      </c>
      <c r="BT105" s="270">
        <v>163</v>
      </c>
      <c r="BU105" s="270">
        <v>0.7268</v>
      </c>
      <c r="BV105" s="270">
        <v>0.69450000000000001</v>
      </c>
      <c r="BW105" s="270">
        <v>0.68220000000000003</v>
      </c>
      <c r="BX105" s="270">
        <v>0.74990000000000001</v>
      </c>
      <c r="BY105" s="270">
        <v>0.70630000000000004</v>
      </c>
      <c r="BZ105" s="270">
        <v>0.71279999999999999</v>
      </c>
      <c r="CA105" s="356" t="s">
        <v>295</v>
      </c>
      <c r="CB105" s="355" t="s">
        <v>545</v>
      </c>
      <c r="CC105" s="355" t="s">
        <v>320</v>
      </c>
      <c r="CD105" s="355">
        <v>0.73209999999999997</v>
      </c>
      <c r="CE105" s="355">
        <v>0.69059999999999999</v>
      </c>
      <c r="CF105" s="355">
        <v>0.69240000000000002</v>
      </c>
      <c r="CG105" s="355">
        <v>0.74950000000000006</v>
      </c>
      <c r="CH105" s="355">
        <v>0.71650000000000003</v>
      </c>
      <c r="CI105" s="355">
        <v>0.71619999999999995</v>
      </c>
      <c r="CJ105" s="715" t="s">
        <v>295</v>
      </c>
      <c r="CK105" s="620">
        <v>191</v>
      </c>
      <c r="CL105" s="620">
        <v>190</v>
      </c>
      <c r="CM105" s="620">
        <v>0.72560000000000002</v>
      </c>
      <c r="CN105" s="620">
        <v>0.69279999999999997</v>
      </c>
      <c r="CO105" s="620">
        <v>0.69169999999999998</v>
      </c>
      <c r="CP105" s="620">
        <v>0.75319999999999998</v>
      </c>
      <c r="CQ105" s="620">
        <v>0.72419999999999995</v>
      </c>
      <c r="CR105" s="711">
        <v>0.71650000000000003</v>
      </c>
      <c r="CS105" s="564" t="s">
        <v>295</v>
      </c>
      <c r="CT105" s="564">
        <v>193</v>
      </c>
      <c r="CU105" s="564">
        <v>193</v>
      </c>
      <c r="CV105" s="585">
        <v>0.72870000000000001</v>
      </c>
      <c r="CW105" s="585">
        <v>0.68789999999999996</v>
      </c>
      <c r="CX105" s="585">
        <v>0.6885</v>
      </c>
      <c r="CY105" s="585">
        <v>0.74980000000000002</v>
      </c>
      <c r="CZ105" s="585">
        <v>0.72309999999999997</v>
      </c>
      <c r="DA105" s="585">
        <v>0.71450000000000002</v>
      </c>
      <c r="DB105" s="884" t="s">
        <v>295</v>
      </c>
      <c r="DC105" s="884">
        <v>187</v>
      </c>
      <c r="DD105" s="884">
        <v>185</v>
      </c>
      <c r="DE105" s="884">
        <v>0.7167</v>
      </c>
      <c r="DF105" s="133">
        <v>0.7</v>
      </c>
      <c r="DG105" s="133">
        <v>0.68369999999999997</v>
      </c>
      <c r="DH105" s="133">
        <v>0.7591</v>
      </c>
      <c r="DI105" s="133">
        <v>0.72199999999999998</v>
      </c>
      <c r="DJ105" s="133">
        <v>0.71540000000000004</v>
      </c>
    </row>
    <row r="106" spans="1:114" ht="15" x14ac:dyDescent="0.25">
      <c r="A106" s="763" t="s">
        <v>117</v>
      </c>
      <c r="B106" s="876">
        <v>325754005595</v>
      </c>
      <c r="C106" s="134" t="s">
        <v>452</v>
      </c>
      <c r="D106" s="134" t="s">
        <v>307</v>
      </c>
      <c r="E106" s="134" t="s">
        <v>671</v>
      </c>
      <c r="F106" s="134" t="s">
        <v>123</v>
      </c>
      <c r="G106" s="134"/>
      <c r="H106" s="134"/>
      <c r="I106" s="134"/>
      <c r="J106" s="134"/>
      <c r="K106" s="134"/>
      <c r="L106" s="134"/>
      <c r="M106" s="134"/>
      <c r="N106" s="134"/>
      <c r="O106" s="134"/>
      <c r="P106" s="164"/>
      <c r="Q106" s="134"/>
      <c r="R106" s="134"/>
      <c r="S106" s="134"/>
      <c r="T106" s="134"/>
      <c r="U106" s="134"/>
      <c r="V106" s="134"/>
      <c r="W106" s="134"/>
      <c r="X106" s="134"/>
      <c r="Y106" s="134"/>
      <c r="Z106" s="134"/>
      <c r="AA106" s="134"/>
      <c r="AB106" s="134"/>
      <c r="AC106" s="134"/>
      <c r="AD106" s="134"/>
      <c r="AE106" s="134"/>
      <c r="AF106" s="134"/>
      <c r="AG106" s="134"/>
      <c r="AH106" s="134"/>
      <c r="AI106" s="134"/>
      <c r="AJ106" s="134"/>
      <c r="AK106" s="134"/>
      <c r="AL106" s="134"/>
      <c r="AM106" s="134"/>
      <c r="AN106" s="134"/>
      <c r="AO106" s="134"/>
      <c r="AP106" s="134"/>
      <c r="AQ106" s="134"/>
      <c r="AR106" s="134"/>
      <c r="AS106" s="134"/>
      <c r="AT106" s="134"/>
      <c r="AU106" s="134"/>
      <c r="AV106" s="134"/>
      <c r="AW106" s="134"/>
      <c r="AX106" s="134"/>
      <c r="AY106" s="134"/>
      <c r="AZ106" s="134"/>
      <c r="BA106" s="134"/>
      <c r="BB106" s="134"/>
      <c r="BC106" s="134"/>
      <c r="BD106" s="134"/>
      <c r="BE106" s="134"/>
      <c r="BF106" s="134"/>
      <c r="BG106" s="134"/>
      <c r="BH106" s="134"/>
      <c r="BI106" s="134"/>
      <c r="BJ106" s="134"/>
      <c r="BK106" s="134"/>
      <c r="BL106" s="134"/>
      <c r="BM106" s="134"/>
      <c r="BN106" s="134"/>
      <c r="BO106" s="134"/>
      <c r="BP106" s="134"/>
      <c r="BQ106" s="134"/>
      <c r="BR106" s="633"/>
      <c r="BS106" s="269"/>
      <c r="BT106" s="269"/>
      <c r="BU106" s="269"/>
      <c r="BV106" s="269"/>
      <c r="BW106" s="269"/>
      <c r="BX106" s="269"/>
      <c r="BY106" s="269"/>
      <c r="BZ106" s="269"/>
      <c r="CA106" s="344"/>
      <c r="CB106" s="344"/>
      <c r="CC106" s="344"/>
      <c r="CD106" s="344"/>
      <c r="CE106" s="344"/>
      <c r="CF106" s="344"/>
      <c r="CG106" s="344"/>
      <c r="CH106" s="344"/>
      <c r="CI106" s="344"/>
      <c r="CJ106" s="714"/>
      <c r="CK106" s="618"/>
      <c r="CL106" s="618"/>
      <c r="CM106" s="618"/>
      <c r="CN106" s="618"/>
      <c r="CO106" s="618"/>
      <c r="CP106" s="618"/>
      <c r="CQ106" s="618"/>
      <c r="CR106" s="618"/>
      <c r="CS106" s="563"/>
      <c r="CT106" s="563"/>
      <c r="CU106" s="563"/>
      <c r="CV106" s="563"/>
      <c r="CW106" s="563"/>
      <c r="CX106" s="563"/>
      <c r="CY106" s="563"/>
      <c r="CZ106" s="563"/>
      <c r="DA106" s="563"/>
      <c r="DB106" s="884"/>
      <c r="DC106" s="884"/>
      <c r="DD106" s="884"/>
      <c r="DE106" s="884"/>
    </row>
    <row r="107" spans="1:114" x14ac:dyDescent="0.25">
      <c r="A107" s="36" t="s">
        <v>69</v>
      </c>
      <c r="B107" s="876">
        <v>325754004629</v>
      </c>
      <c r="C107" s="134" t="s">
        <v>452</v>
      </c>
      <c r="D107" s="134" t="s">
        <v>307</v>
      </c>
      <c r="E107" s="134" t="s">
        <v>671</v>
      </c>
      <c r="F107" s="134" t="s">
        <v>123</v>
      </c>
      <c r="G107" s="167" t="s">
        <v>427</v>
      </c>
      <c r="H107" s="166">
        <v>47</v>
      </c>
      <c r="I107" s="166">
        <v>46</v>
      </c>
      <c r="J107" s="166">
        <v>0.64539999999999997</v>
      </c>
      <c r="K107" s="166">
        <v>0.64659999999999995</v>
      </c>
      <c r="L107" s="166">
        <v>0.64359999999999995</v>
      </c>
      <c r="M107" s="166">
        <v>0.66759999999999997</v>
      </c>
      <c r="N107" s="166">
        <v>0.64429999999999998</v>
      </c>
      <c r="O107" s="166">
        <v>0.65029999999999999</v>
      </c>
      <c r="P107" s="175" t="s">
        <v>427</v>
      </c>
      <c r="Q107" s="174" t="s">
        <v>543</v>
      </c>
      <c r="R107" s="174" t="s">
        <v>431</v>
      </c>
      <c r="S107" s="174">
        <v>0.63190000000000002</v>
      </c>
      <c r="T107" s="174">
        <v>0.65139999999999998</v>
      </c>
      <c r="U107" s="174">
        <v>0.63590000000000002</v>
      </c>
      <c r="V107" s="174">
        <v>0.64270000000000005</v>
      </c>
      <c r="W107" s="174">
        <v>0.64600000000000002</v>
      </c>
      <c r="X107" s="174">
        <v>0.64090000000000003</v>
      </c>
      <c r="Y107" s="141" t="s">
        <v>427</v>
      </c>
      <c r="Z107" s="134" t="s">
        <v>353</v>
      </c>
      <c r="AA107" s="134" t="s">
        <v>437</v>
      </c>
      <c r="AB107" s="137">
        <v>0.63380000000000003</v>
      </c>
      <c r="AC107" s="137">
        <v>0.67320000000000002</v>
      </c>
      <c r="AD107" s="137">
        <v>0.64359999999999995</v>
      </c>
      <c r="AE107" s="137">
        <v>0.6482</v>
      </c>
      <c r="AF107" s="137">
        <v>0.67130000000000001</v>
      </c>
      <c r="AG107" s="137">
        <v>0.65129999999999999</v>
      </c>
      <c r="AH107" s="155" t="s">
        <v>427</v>
      </c>
      <c r="AI107" s="134" t="s">
        <v>386</v>
      </c>
      <c r="AJ107" s="134" t="s">
        <v>308</v>
      </c>
      <c r="AK107" s="137">
        <v>0.63839999999999997</v>
      </c>
      <c r="AL107" s="137">
        <v>0.69379999999999997</v>
      </c>
      <c r="AM107" s="137">
        <v>0.65759999999999996</v>
      </c>
      <c r="AN107" s="137">
        <v>0.66069999999999995</v>
      </c>
      <c r="AO107" s="137">
        <v>0.68510000000000004</v>
      </c>
      <c r="AP107" s="137">
        <v>0.6643</v>
      </c>
      <c r="AQ107" s="134"/>
      <c r="AR107" s="134"/>
      <c r="AS107" s="134"/>
      <c r="AT107" s="137"/>
      <c r="AU107" s="137"/>
      <c r="AV107" s="137"/>
      <c r="AW107" s="137"/>
      <c r="AX107" s="137"/>
      <c r="AY107" s="137"/>
      <c r="AZ107" s="138" t="s">
        <v>295</v>
      </c>
      <c r="BA107" s="134" t="s">
        <v>592</v>
      </c>
      <c r="BB107" s="134" t="s">
        <v>367</v>
      </c>
      <c r="BC107" s="137">
        <v>0.68969999999999998</v>
      </c>
      <c r="BD107" s="137">
        <v>0.70309999999999995</v>
      </c>
      <c r="BE107" s="137">
        <v>0.68469999999999998</v>
      </c>
      <c r="BF107" s="137">
        <v>0.72960000000000003</v>
      </c>
      <c r="BG107" s="137">
        <v>0.72370000000000001</v>
      </c>
      <c r="BH107" s="137">
        <v>0.70350000000000001</v>
      </c>
      <c r="BI107" s="135"/>
      <c r="BJ107" s="152"/>
      <c r="BK107" s="152"/>
      <c r="BL107" s="137"/>
      <c r="BM107" s="137"/>
      <c r="BN107" s="137"/>
      <c r="BO107" s="137"/>
      <c r="BP107" s="137"/>
      <c r="BQ107" s="137"/>
      <c r="BR107" s="277" t="s">
        <v>295</v>
      </c>
      <c r="BS107" s="270">
        <v>47</v>
      </c>
      <c r="BT107" s="270">
        <v>47</v>
      </c>
      <c r="BU107" s="270">
        <v>0.72360000000000002</v>
      </c>
      <c r="BV107" s="270">
        <v>0.7036</v>
      </c>
      <c r="BW107" s="270">
        <v>0.69010000000000005</v>
      </c>
      <c r="BX107" s="270">
        <v>0.74950000000000006</v>
      </c>
      <c r="BY107" s="270">
        <v>0.7006</v>
      </c>
      <c r="BZ107" s="270">
        <v>0.71540000000000004</v>
      </c>
      <c r="CA107" s="364" t="s">
        <v>294</v>
      </c>
      <c r="CB107" s="355" t="s">
        <v>352</v>
      </c>
      <c r="CC107" s="355" t="s">
        <v>352</v>
      </c>
      <c r="CD107" s="355">
        <v>0.74560000000000004</v>
      </c>
      <c r="CE107" s="355">
        <v>0.72929999999999995</v>
      </c>
      <c r="CF107" s="355">
        <v>0.70899999999999996</v>
      </c>
      <c r="CG107" s="355">
        <v>0.76570000000000005</v>
      </c>
      <c r="CH107" s="355">
        <v>0.72740000000000005</v>
      </c>
      <c r="CI107" s="355">
        <v>0.73660000000000003</v>
      </c>
      <c r="CJ107" s="715" t="s">
        <v>295</v>
      </c>
      <c r="CK107" s="620">
        <v>62</v>
      </c>
      <c r="CL107" s="620">
        <v>61</v>
      </c>
      <c r="CM107" s="620">
        <v>0.72409999999999997</v>
      </c>
      <c r="CN107" s="620">
        <v>0.71220000000000006</v>
      </c>
      <c r="CO107" s="620">
        <v>0.68130000000000002</v>
      </c>
      <c r="CP107" s="620">
        <v>0.74029999999999996</v>
      </c>
      <c r="CQ107" s="620">
        <v>0.73939999999999995</v>
      </c>
      <c r="CR107" s="711">
        <v>0.71640000000000004</v>
      </c>
      <c r="CS107" s="564" t="s">
        <v>294</v>
      </c>
      <c r="CT107" s="564">
        <v>73</v>
      </c>
      <c r="CU107" s="564">
        <v>72</v>
      </c>
      <c r="CV107" s="585">
        <v>0.75019999999999998</v>
      </c>
      <c r="CW107" s="585">
        <v>0.75019999999999998</v>
      </c>
      <c r="CX107" s="585">
        <v>0.73009999999999997</v>
      </c>
      <c r="CY107" s="585">
        <v>0.7621</v>
      </c>
      <c r="CZ107" s="585">
        <v>0.76229999999999998</v>
      </c>
      <c r="DA107" s="585">
        <v>0.74929999999999997</v>
      </c>
      <c r="DB107" s="884" t="s">
        <v>294</v>
      </c>
      <c r="DC107" s="884">
        <v>94</v>
      </c>
      <c r="DD107" s="884">
        <v>93</v>
      </c>
      <c r="DE107" s="884">
        <v>0.74219999999999997</v>
      </c>
      <c r="DF107" s="133">
        <v>0.7298</v>
      </c>
      <c r="DG107" s="133">
        <v>0.71099999999999997</v>
      </c>
      <c r="DH107" s="133">
        <v>0.75260000000000005</v>
      </c>
      <c r="DI107" s="133">
        <v>0.75590000000000002</v>
      </c>
      <c r="DJ107" s="133">
        <v>0.73560000000000003</v>
      </c>
    </row>
    <row r="108" spans="1:114" x14ac:dyDescent="0.25">
      <c r="A108" s="36" t="s">
        <v>35</v>
      </c>
      <c r="B108" s="876">
        <v>325754003592</v>
      </c>
      <c r="C108" s="134" t="s">
        <v>452</v>
      </c>
      <c r="D108" s="134" t="s">
        <v>307</v>
      </c>
      <c r="E108" s="134" t="s">
        <v>671</v>
      </c>
      <c r="F108" s="134" t="s">
        <v>123</v>
      </c>
      <c r="G108" s="165" t="s">
        <v>295</v>
      </c>
      <c r="H108" s="166">
        <v>147</v>
      </c>
      <c r="I108" s="166">
        <v>146</v>
      </c>
      <c r="J108" s="166">
        <v>0.67400000000000004</v>
      </c>
      <c r="K108" s="166">
        <v>0.69299999999999995</v>
      </c>
      <c r="L108" s="166">
        <v>0.68320000000000003</v>
      </c>
      <c r="M108" s="166">
        <v>0.68569999999999998</v>
      </c>
      <c r="N108" s="166">
        <v>0.67420000000000002</v>
      </c>
      <c r="O108" s="166">
        <v>0.68320000000000003</v>
      </c>
      <c r="P108" s="628" t="s">
        <v>295</v>
      </c>
      <c r="Q108" s="166" t="s">
        <v>720</v>
      </c>
      <c r="R108" s="166" t="s">
        <v>720</v>
      </c>
      <c r="S108" s="166">
        <v>0.67649999999999999</v>
      </c>
      <c r="T108" s="166">
        <v>0.69740000000000002</v>
      </c>
      <c r="U108" s="166">
        <v>0.6794</v>
      </c>
      <c r="V108" s="166">
        <v>0.68200000000000005</v>
      </c>
      <c r="W108" s="166">
        <v>0.67520000000000002</v>
      </c>
      <c r="X108" s="166">
        <v>0.68320000000000003</v>
      </c>
      <c r="Y108" s="138" t="s">
        <v>295</v>
      </c>
      <c r="Z108" s="134" t="s">
        <v>316</v>
      </c>
      <c r="AA108" s="134" t="s">
        <v>320</v>
      </c>
      <c r="AB108" s="137">
        <v>0.68589999999999995</v>
      </c>
      <c r="AC108" s="137">
        <v>0.71179999999999999</v>
      </c>
      <c r="AD108" s="137">
        <v>0.69430000000000003</v>
      </c>
      <c r="AE108" s="137">
        <v>0.70050000000000001</v>
      </c>
      <c r="AF108" s="137">
        <v>0.70520000000000005</v>
      </c>
      <c r="AG108" s="137">
        <v>0.69869999999999999</v>
      </c>
      <c r="AH108" s="159" t="s">
        <v>295</v>
      </c>
      <c r="AI108" s="134" t="s">
        <v>342</v>
      </c>
      <c r="AJ108" s="134" t="s">
        <v>487</v>
      </c>
      <c r="AK108" s="137">
        <v>0.70809999999999995</v>
      </c>
      <c r="AL108" s="137">
        <v>0.72660000000000002</v>
      </c>
      <c r="AM108" s="137">
        <v>0.7046</v>
      </c>
      <c r="AN108" s="137">
        <v>0.72109999999999996</v>
      </c>
      <c r="AO108" s="137">
        <v>0.71660000000000001</v>
      </c>
      <c r="AP108" s="137">
        <v>0.71519999999999995</v>
      </c>
      <c r="AQ108" s="150" t="s">
        <v>294</v>
      </c>
      <c r="AR108" s="134" t="s">
        <v>355</v>
      </c>
      <c r="AS108" s="134" t="s">
        <v>315</v>
      </c>
      <c r="AT108" s="137">
        <v>0.72040000000000004</v>
      </c>
      <c r="AU108" s="137">
        <v>0.73150000000000004</v>
      </c>
      <c r="AV108" s="137">
        <v>0.70850000000000002</v>
      </c>
      <c r="AW108" s="137">
        <v>0.74150000000000005</v>
      </c>
      <c r="AX108" s="137">
        <v>0.72819999999999996</v>
      </c>
      <c r="AY108" s="137">
        <v>0.72570000000000001</v>
      </c>
      <c r="AZ108" s="145" t="s">
        <v>294</v>
      </c>
      <c r="BA108" s="134" t="s">
        <v>316</v>
      </c>
      <c r="BB108" s="134" t="s">
        <v>561</v>
      </c>
      <c r="BC108" s="137">
        <v>0.72719999999999996</v>
      </c>
      <c r="BD108" s="137">
        <v>0.72109999999999996</v>
      </c>
      <c r="BE108" s="137">
        <v>0.69499999999999995</v>
      </c>
      <c r="BF108" s="137">
        <v>0.75249999999999995</v>
      </c>
      <c r="BG108" s="137">
        <v>0.72540000000000004</v>
      </c>
      <c r="BH108" s="137">
        <v>0.72409999999999997</v>
      </c>
      <c r="BI108" s="135" t="s">
        <v>295</v>
      </c>
      <c r="BJ108" s="152">
        <v>188</v>
      </c>
      <c r="BK108" s="152">
        <v>186</v>
      </c>
      <c r="BL108" s="137">
        <v>0.73660000000000003</v>
      </c>
      <c r="BM108" s="137">
        <v>0.70509999999999995</v>
      </c>
      <c r="BN108" s="137">
        <v>0.68969999999999998</v>
      </c>
      <c r="BO108" s="137">
        <v>0.74770000000000003</v>
      </c>
      <c r="BP108" s="137">
        <v>0.71199999999999997</v>
      </c>
      <c r="BQ108" s="137">
        <v>0.71919999999999995</v>
      </c>
      <c r="BR108" s="277" t="s">
        <v>295</v>
      </c>
      <c r="BS108" s="270">
        <v>184</v>
      </c>
      <c r="BT108" s="270">
        <v>183</v>
      </c>
      <c r="BU108" s="270">
        <v>0.73650000000000004</v>
      </c>
      <c r="BV108" s="270">
        <v>0.69689999999999996</v>
      </c>
      <c r="BW108" s="270">
        <v>0.68769999999999998</v>
      </c>
      <c r="BX108" s="270">
        <v>0.74609999999999999</v>
      </c>
      <c r="BY108" s="270">
        <v>0.70950000000000002</v>
      </c>
      <c r="BZ108" s="270">
        <v>0.71619999999999995</v>
      </c>
      <c r="CA108" s="364" t="s">
        <v>294</v>
      </c>
      <c r="CB108" s="355" t="s">
        <v>562</v>
      </c>
      <c r="CC108" s="355" t="s">
        <v>696</v>
      </c>
      <c r="CD108" s="355">
        <v>0.74909999999999999</v>
      </c>
      <c r="CE108" s="355">
        <v>0.70630000000000004</v>
      </c>
      <c r="CF108" s="355">
        <v>0.70520000000000005</v>
      </c>
      <c r="CG108" s="355">
        <v>0.75129999999999997</v>
      </c>
      <c r="CH108" s="355">
        <v>0.71279999999999999</v>
      </c>
      <c r="CI108" s="355">
        <v>0.7268</v>
      </c>
      <c r="CJ108" s="717" t="s">
        <v>294</v>
      </c>
      <c r="CK108" s="620">
        <v>156</v>
      </c>
      <c r="CL108" s="620">
        <v>155</v>
      </c>
      <c r="CM108" s="620">
        <v>0.74719999999999998</v>
      </c>
      <c r="CN108" s="620">
        <v>0.71460000000000001</v>
      </c>
      <c r="CO108" s="620">
        <v>0.70220000000000005</v>
      </c>
      <c r="CP108" s="620">
        <v>0.75249999999999995</v>
      </c>
      <c r="CQ108" s="620">
        <v>0.73650000000000004</v>
      </c>
      <c r="CR108" s="711">
        <v>0.72970000000000002</v>
      </c>
      <c r="CS108" s="564" t="s">
        <v>294</v>
      </c>
      <c r="CT108" s="564">
        <v>166</v>
      </c>
      <c r="CU108" s="564">
        <v>165</v>
      </c>
      <c r="CV108" s="585">
        <v>0.76129999999999998</v>
      </c>
      <c r="CW108" s="585">
        <v>0.73140000000000005</v>
      </c>
      <c r="CX108" s="585">
        <v>0.71799999999999997</v>
      </c>
      <c r="CY108" s="585">
        <v>0.76570000000000005</v>
      </c>
      <c r="CZ108" s="585">
        <v>0.75390000000000001</v>
      </c>
      <c r="DA108" s="585">
        <v>0.74490000000000001</v>
      </c>
      <c r="DB108" s="884" t="s">
        <v>294</v>
      </c>
      <c r="DC108" s="884">
        <v>161</v>
      </c>
      <c r="DD108" s="884">
        <v>158</v>
      </c>
      <c r="DE108" s="884">
        <v>0.76880000000000004</v>
      </c>
      <c r="DF108" s="133">
        <v>0.74409999999999998</v>
      </c>
      <c r="DG108" s="133">
        <v>0.72099999999999997</v>
      </c>
      <c r="DH108" s="133">
        <v>0.77190000000000003</v>
      </c>
      <c r="DI108" s="133">
        <v>0.76139999999999997</v>
      </c>
      <c r="DJ108" s="133">
        <v>0.75219999999999998</v>
      </c>
    </row>
    <row r="109" spans="1:114" x14ac:dyDescent="0.25">
      <c r="A109" s="36" t="s">
        <v>29</v>
      </c>
      <c r="B109" s="876">
        <v>325754003606</v>
      </c>
      <c r="C109" s="134" t="s">
        <v>452</v>
      </c>
      <c r="D109" s="134" t="s">
        <v>307</v>
      </c>
      <c r="E109" s="134" t="s">
        <v>671</v>
      </c>
      <c r="F109" s="134" t="s">
        <v>123</v>
      </c>
      <c r="G109" s="167" t="s">
        <v>427</v>
      </c>
      <c r="H109" s="166">
        <v>123</v>
      </c>
      <c r="I109" s="166">
        <v>122</v>
      </c>
      <c r="J109" s="166">
        <v>0.6421</v>
      </c>
      <c r="K109" s="166">
        <v>0.66359999999999997</v>
      </c>
      <c r="L109" s="166">
        <v>0.66149999999999998</v>
      </c>
      <c r="M109" s="166">
        <v>0.66239999999999999</v>
      </c>
      <c r="N109" s="166">
        <v>0.64059999999999995</v>
      </c>
      <c r="O109" s="166">
        <v>0.65610000000000002</v>
      </c>
      <c r="P109" s="175" t="s">
        <v>427</v>
      </c>
      <c r="Q109" s="174" t="s">
        <v>482</v>
      </c>
      <c r="R109" s="174" t="s">
        <v>682</v>
      </c>
      <c r="S109" s="174">
        <v>0.65990000000000004</v>
      </c>
      <c r="T109" s="174">
        <v>0.6774</v>
      </c>
      <c r="U109" s="174">
        <v>0.66830000000000001</v>
      </c>
      <c r="V109" s="174">
        <v>0.67210000000000003</v>
      </c>
      <c r="W109" s="174">
        <v>0.64300000000000002</v>
      </c>
      <c r="X109" s="174">
        <v>0.66739999999999999</v>
      </c>
      <c r="Y109" s="138" t="s">
        <v>295</v>
      </c>
      <c r="Z109" s="134" t="s">
        <v>581</v>
      </c>
      <c r="AA109" s="134" t="s">
        <v>582</v>
      </c>
      <c r="AB109" s="137">
        <v>0.67279999999999995</v>
      </c>
      <c r="AC109" s="137">
        <v>0.68520000000000003</v>
      </c>
      <c r="AD109" s="137">
        <v>0.66739999999999999</v>
      </c>
      <c r="AE109" s="137">
        <v>0.68210000000000004</v>
      </c>
      <c r="AF109" s="137">
        <v>0.65369999999999995</v>
      </c>
      <c r="AG109" s="137">
        <v>0.67510000000000003</v>
      </c>
      <c r="AH109" s="159" t="s">
        <v>295</v>
      </c>
      <c r="AI109" s="134" t="s">
        <v>510</v>
      </c>
      <c r="AJ109" s="134" t="s">
        <v>456</v>
      </c>
      <c r="AK109" s="137">
        <v>0.6855</v>
      </c>
      <c r="AL109" s="137">
        <v>0.69299999999999995</v>
      </c>
      <c r="AM109" s="137">
        <v>0.67879999999999996</v>
      </c>
      <c r="AN109" s="137">
        <v>0.70369999999999999</v>
      </c>
      <c r="AO109" s="137">
        <v>0.65600000000000003</v>
      </c>
      <c r="AP109" s="137">
        <v>0.68759999999999999</v>
      </c>
      <c r="AQ109" s="139" t="s">
        <v>295</v>
      </c>
      <c r="AR109" s="134" t="s">
        <v>412</v>
      </c>
      <c r="AS109" s="134" t="s">
        <v>413</v>
      </c>
      <c r="AT109" s="137">
        <v>0.68669999999999998</v>
      </c>
      <c r="AU109" s="137">
        <v>0.68930000000000002</v>
      </c>
      <c r="AV109" s="137">
        <v>0.67010000000000003</v>
      </c>
      <c r="AW109" s="137">
        <v>0.71719999999999995</v>
      </c>
      <c r="AX109" s="137">
        <v>0.66790000000000005</v>
      </c>
      <c r="AY109" s="137">
        <v>0.68899999999999995</v>
      </c>
      <c r="AZ109" s="138" t="s">
        <v>295</v>
      </c>
      <c r="BA109" s="134" t="s">
        <v>316</v>
      </c>
      <c r="BB109" s="134" t="s">
        <v>654</v>
      </c>
      <c r="BC109" s="137">
        <v>0.69710000000000005</v>
      </c>
      <c r="BD109" s="137">
        <v>0.67510000000000003</v>
      </c>
      <c r="BE109" s="137">
        <v>0.65500000000000003</v>
      </c>
      <c r="BF109" s="137">
        <v>0.72199999999999998</v>
      </c>
      <c r="BG109" s="137">
        <v>0.65580000000000005</v>
      </c>
      <c r="BH109" s="137">
        <v>0.68489999999999995</v>
      </c>
      <c r="BI109" s="135" t="s">
        <v>295</v>
      </c>
      <c r="BJ109" s="152">
        <v>183</v>
      </c>
      <c r="BK109" s="152">
        <v>175</v>
      </c>
      <c r="BL109" s="137">
        <v>0.70420000000000005</v>
      </c>
      <c r="BM109" s="137">
        <v>0.6663</v>
      </c>
      <c r="BN109" s="137">
        <v>0.63649999999999995</v>
      </c>
      <c r="BO109" s="137">
        <v>0.71960000000000002</v>
      </c>
      <c r="BP109" s="137">
        <v>0.64729999999999999</v>
      </c>
      <c r="BQ109" s="137">
        <v>0.67900000000000005</v>
      </c>
      <c r="BR109" s="277" t="s">
        <v>295</v>
      </c>
      <c r="BS109" s="270">
        <v>165</v>
      </c>
      <c r="BT109" s="270">
        <v>165</v>
      </c>
      <c r="BU109" s="270">
        <v>0.71699999999999997</v>
      </c>
      <c r="BV109" s="270">
        <v>0.66879999999999995</v>
      </c>
      <c r="BW109" s="270">
        <v>0.65110000000000001</v>
      </c>
      <c r="BX109" s="270">
        <v>0.73050000000000004</v>
      </c>
      <c r="BY109" s="270">
        <v>0.66279999999999994</v>
      </c>
      <c r="BZ109" s="270">
        <v>0.68959999999999999</v>
      </c>
      <c r="CA109" s="356" t="s">
        <v>295</v>
      </c>
      <c r="CB109" s="355" t="s">
        <v>413</v>
      </c>
      <c r="CC109" s="355" t="s">
        <v>594</v>
      </c>
      <c r="CD109" s="355">
        <v>0.69689999999999996</v>
      </c>
      <c r="CE109" s="355">
        <v>0.66239999999999999</v>
      </c>
      <c r="CF109" s="355">
        <v>0.65129999999999999</v>
      </c>
      <c r="CG109" s="355">
        <v>0.72519999999999996</v>
      </c>
      <c r="CH109" s="355">
        <v>0.67069999999999996</v>
      </c>
      <c r="CI109" s="355">
        <v>0.68289999999999995</v>
      </c>
      <c r="CJ109" s="715" t="s">
        <v>295</v>
      </c>
      <c r="CK109" s="620">
        <v>184</v>
      </c>
      <c r="CL109" s="620">
        <v>182</v>
      </c>
      <c r="CM109" s="620">
        <v>0.69730000000000003</v>
      </c>
      <c r="CN109" s="620">
        <v>0.67</v>
      </c>
      <c r="CO109" s="620">
        <v>0.65469999999999995</v>
      </c>
      <c r="CP109" s="620">
        <v>0.72450000000000003</v>
      </c>
      <c r="CQ109" s="620">
        <v>0.68959999999999999</v>
      </c>
      <c r="CR109" s="711">
        <v>0.68689999999999996</v>
      </c>
      <c r="CS109" s="564" t="s">
        <v>295</v>
      </c>
      <c r="CT109" s="564">
        <v>169</v>
      </c>
      <c r="CU109" s="564">
        <v>167</v>
      </c>
      <c r="CV109" s="585">
        <v>0.70979999999999999</v>
      </c>
      <c r="CW109" s="585">
        <v>0.68340000000000001</v>
      </c>
      <c r="CX109" s="585">
        <v>0.6673</v>
      </c>
      <c r="CY109" s="585">
        <v>0.73240000000000005</v>
      </c>
      <c r="CZ109" s="585">
        <v>0.69040000000000001</v>
      </c>
      <c r="DA109" s="585">
        <v>0.6976</v>
      </c>
      <c r="DB109" s="884" t="s">
        <v>294</v>
      </c>
      <c r="DC109" s="884">
        <v>144</v>
      </c>
      <c r="DD109" s="884">
        <v>141</v>
      </c>
      <c r="DE109" s="884">
        <v>0.7369</v>
      </c>
      <c r="DF109" s="133">
        <v>0.71579999999999999</v>
      </c>
      <c r="DG109" s="133">
        <v>0.68589999999999995</v>
      </c>
      <c r="DH109" s="133">
        <v>0.74590000000000001</v>
      </c>
      <c r="DI109" s="133">
        <v>0.71089999999999998</v>
      </c>
      <c r="DJ109" s="133">
        <v>0.72030000000000005</v>
      </c>
    </row>
    <row r="110" spans="1:114" ht="15" x14ac:dyDescent="0.25">
      <c r="A110" s="764" t="s">
        <v>129</v>
      </c>
      <c r="B110" s="876">
        <v>325754005021</v>
      </c>
      <c r="C110" s="134" t="s">
        <v>452</v>
      </c>
      <c r="D110" s="134" t="s">
        <v>307</v>
      </c>
      <c r="E110" s="134" t="s">
        <v>671</v>
      </c>
      <c r="F110" s="134" t="s">
        <v>123</v>
      </c>
      <c r="G110" s="269"/>
      <c r="H110" s="269"/>
      <c r="I110" s="269"/>
      <c r="J110" s="269"/>
      <c r="K110" s="269"/>
      <c r="L110" s="269"/>
      <c r="M110" s="269"/>
      <c r="N110" s="269"/>
      <c r="O110" s="269"/>
      <c r="P110" s="269"/>
      <c r="Q110" s="269"/>
      <c r="R110" s="269"/>
      <c r="S110" s="269"/>
      <c r="T110" s="269"/>
      <c r="U110" s="269"/>
      <c r="V110" s="269"/>
      <c r="W110" s="269"/>
      <c r="X110" s="269"/>
      <c r="Y110" s="269"/>
      <c r="Z110" s="269"/>
      <c r="AA110" s="269"/>
      <c r="AB110" s="269"/>
      <c r="AC110" s="269"/>
      <c r="AD110" s="269"/>
      <c r="AE110" s="269"/>
      <c r="AF110" s="269"/>
      <c r="AG110" s="269"/>
      <c r="AH110" s="269"/>
      <c r="AI110" s="269"/>
      <c r="AJ110" s="269"/>
      <c r="AK110" s="269"/>
      <c r="AL110" s="269"/>
      <c r="AM110" s="269"/>
      <c r="AN110" s="269"/>
      <c r="AO110" s="269"/>
      <c r="AP110" s="269"/>
      <c r="AQ110" s="269"/>
      <c r="AR110" s="269"/>
      <c r="AS110" s="269"/>
      <c r="AT110" s="269"/>
      <c r="AU110" s="269"/>
      <c r="AV110" s="269"/>
      <c r="AW110" s="269"/>
      <c r="AX110" s="269"/>
      <c r="AY110" s="269"/>
      <c r="AZ110" s="269"/>
      <c r="BA110" s="269"/>
      <c r="BB110" s="269"/>
      <c r="BC110" s="269"/>
      <c r="BD110" s="269"/>
      <c r="BE110" s="269"/>
      <c r="BF110" s="269"/>
      <c r="BG110" s="269"/>
      <c r="BH110" s="269"/>
      <c r="BI110" s="269"/>
      <c r="BJ110" s="269"/>
      <c r="BK110" s="269"/>
      <c r="BL110" s="269"/>
      <c r="BM110" s="269"/>
      <c r="BN110" s="269"/>
      <c r="BO110" s="269"/>
      <c r="BP110" s="269"/>
      <c r="BQ110" s="269"/>
      <c r="BR110" s="633"/>
      <c r="BS110" s="269"/>
      <c r="BT110" s="269"/>
      <c r="BU110" s="269"/>
      <c r="BV110" s="269"/>
      <c r="BW110" s="269"/>
      <c r="BX110" s="269"/>
      <c r="BY110" s="269"/>
      <c r="BZ110" s="269"/>
      <c r="CA110" s="344"/>
      <c r="CB110" s="344"/>
      <c r="CC110" s="344"/>
      <c r="CD110" s="344"/>
      <c r="CE110" s="344"/>
      <c r="CF110" s="344"/>
      <c r="CG110" s="344"/>
      <c r="CH110" s="344"/>
      <c r="CI110" s="344"/>
      <c r="CJ110" s="714"/>
      <c r="CK110" s="618"/>
      <c r="CL110" s="618"/>
      <c r="CM110" s="618"/>
      <c r="CN110" s="618"/>
      <c r="CO110" s="618"/>
      <c r="CP110" s="618"/>
      <c r="CQ110" s="618"/>
      <c r="CR110" s="618"/>
      <c r="CS110" s="563"/>
      <c r="CT110" s="563"/>
      <c r="CU110" s="563"/>
      <c r="CV110" s="563"/>
      <c r="CW110" s="563"/>
      <c r="CX110" s="563"/>
      <c r="CY110" s="563"/>
      <c r="CZ110" s="563"/>
      <c r="DA110" s="563"/>
      <c r="DB110" s="884"/>
      <c r="DC110" s="884"/>
      <c r="DD110" s="884"/>
      <c r="DE110" s="884"/>
    </row>
    <row r="111" spans="1:114" x14ac:dyDescent="0.25">
      <c r="A111" s="126" t="s">
        <v>806</v>
      </c>
      <c r="B111" s="874">
        <v>325754005510</v>
      </c>
      <c r="C111" s="134" t="s">
        <v>452</v>
      </c>
      <c r="D111" s="134" t="s">
        <v>307</v>
      </c>
      <c r="E111" s="134"/>
      <c r="F111" s="741" t="s">
        <v>123</v>
      </c>
      <c r="G111" s="765"/>
      <c r="H111" s="743"/>
      <c r="I111" s="743"/>
      <c r="J111" s="743"/>
      <c r="K111" s="743"/>
      <c r="L111" s="743"/>
      <c r="M111" s="743"/>
      <c r="N111" s="743"/>
      <c r="O111" s="743"/>
      <c r="P111" s="765"/>
      <c r="Q111" s="743"/>
      <c r="R111" s="743"/>
      <c r="S111" s="743"/>
      <c r="T111" s="743"/>
      <c r="U111" s="743"/>
      <c r="V111" s="743"/>
      <c r="W111" s="743"/>
      <c r="X111" s="743"/>
      <c r="Y111" s="745"/>
      <c r="Z111" s="741"/>
      <c r="AA111" s="741"/>
      <c r="AB111" s="746"/>
      <c r="AC111" s="746"/>
      <c r="AD111" s="746"/>
      <c r="AE111" s="746"/>
      <c r="AF111" s="746"/>
      <c r="AG111" s="746"/>
      <c r="AH111" s="747"/>
      <c r="AI111" s="741"/>
      <c r="AJ111" s="741"/>
      <c r="AK111" s="746"/>
      <c r="AL111" s="746"/>
      <c r="AM111" s="746"/>
      <c r="AN111" s="746"/>
      <c r="AO111" s="746"/>
      <c r="AP111" s="746"/>
      <c r="AQ111" s="748"/>
      <c r="AR111" s="741"/>
      <c r="AS111" s="741"/>
      <c r="AT111" s="746"/>
      <c r="AU111" s="746"/>
      <c r="AV111" s="746"/>
      <c r="AW111" s="746"/>
      <c r="AX111" s="746"/>
      <c r="AY111" s="746"/>
      <c r="AZ111" s="745"/>
      <c r="BA111" s="741"/>
      <c r="BB111" s="741"/>
      <c r="BC111" s="746"/>
      <c r="BD111" s="746"/>
      <c r="BE111" s="746"/>
      <c r="BF111" s="746"/>
      <c r="BG111" s="746"/>
      <c r="BH111" s="746"/>
      <c r="BI111" s="761"/>
      <c r="BJ111" s="750"/>
      <c r="BK111" s="750"/>
      <c r="BL111" s="746"/>
      <c r="BM111" s="746"/>
      <c r="BN111" s="746"/>
      <c r="BO111" s="746"/>
      <c r="BP111" s="746"/>
      <c r="BQ111" s="746"/>
      <c r="BR111" s="761"/>
      <c r="BS111" s="743"/>
      <c r="BT111" s="743"/>
      <c r="BU111" s="743"/>
      <c r="BV111" s="743"/>
      <c r="BW111" s="743"/>
      <c r="BX111" s="743"/>
      <c r="BY111" s="743"/>
      <c r="BZ111" s="743"/>
      <c r="CA111" s="783" t="s">
        <v>443</v>
      </c>
      <c r="CB111" s="752" t="s">
        <v>369</v>
      </c>
      <c r="CC111" s="752" t="s">
        <v>420</v>
      </c>
      <c r="CD111" s="752">
        <v>0.57789999999999997</v>
      </c>
      <c r="CE111" s="752">
        <v>0.57769999999999999</v>
      </c>
      <c r="CF111" s="752">
        <v>0.54390000000000005</v>
      </c>
      <c r="CG111" s="752">
        <v>0.63249999999999995</v>
      </c>
      <c r="CH111" s="752">
        <v>0.5665</v>
      </c>
      <c r="CI111" s="752">
        <v>0.58169999999999999</v>
      </c>
      <c r="CJ111" s="788" t="s">
        <v>443</v>
      </c>
      <c r="CK111" s="743">
        <v>51</v>
      </c>
      <c r="CL111" s="743">
        <v>41</v>
      </c>
      <c r="CM111" s="743">
        <v>0.54139999999999999</v>
      </c>
      <c r="CN111" s="743">
        <v>0.55100000000000005</v>
      </c>
      <c r="CO111" s="743">
        <v>0.52370000000000005</v>
      </c>
      <c r="CP111" s="743">
        <v>0.59030000000000005</v>
      </c>
      <c r="CQ111" s="743">
        <v>0.5484</v>
      </c>
      <c r="CR111" s="753">
        <v>0.55130000000000001</v>
      </c>
      <c r="CS111" s="741"/>
      <c r="CT111" s="792"/>
      <c r="CU111" s="792"/>
      <c r="CV111" s="746"/>
      <c r="CW111" s="746"/>
      <c r="CX111" s="746"/>
      <c r="CY111" s="746"/>
      <c r="CZ111" s="746"/>
      <c r="DA111" s="746"/>
      <c r="DB111" s="884"/>
      <c r="DC111" s="884"/>
      <c r="DD111" s="884"/>
      <c r="DE111" s="884"/>
    </row>
    <row r="112" spans="1:114" x14ac:dyDescent="0.25">
      <c r="A112" s="36" t="s">
        <v>87</v>
      </c>
      <c r="B112" s="668">
        <v>325754004173</v>
      </c>
      <c r="C112" s="134" t="s">
        <v>452</v>
      </c>
      <c r="D112" s="134" t="s">
        <v>307</v>
      </c>
      <c r="E112" s="134" t="s">
        <v>671</v>
      </c>
      <c r="F112" s="134" t="s">
        <v>123</v>
      </c>
      <c r="G112" s="168" t="s">
        <v>294</v>
      </c>
      <c r="H112" s="166">
        <v>21</v>
      </c>
      <c r="I112" s="166">
        <v>21</v>
      </c>
      <c r="J112" s="166">
        <v>0.71199999999999997</v>
      </c>
      <c r="K112" s="166">
        <v>0.77159999999999995</v>
      </c>
      <c r="L112" s="166">
        <v>0.73019999999999996</v>
      </c>
      <c r="M112" s="166">
        <v>0.72709999999999997</v>
      </c>
      <c r="N112" s="166">
        <v>0.70899999999999996</v>
      </c>
      <c r="O112" s="166">
        <v>0.73319999999999996</v>
      </c>
      <c r="P112" s="177" t="s">
        <v>294</v>
      </c>
      <c r="Q112" s="174" t="s">
        <v>379</v>
      </c>
      <c r="R112" s="174" t="s">
        <v>379</v>
      </c>
      <c r="S112" s="174">
        <v>0.72050000000000003</v>
      </c>
      <c r="T112" s="174">
        <v>0.75609999999999999</v>
      </c>
      <c r="U112" s="174">
        <v>0.73760000000000003</v>
      </c>
      <c r="V112" s="174">
        <v>0.71489999999999998</v>
      </c>
      <c r="W112" s="174">
        <v>0.74360000000000004</v>
      </c>
      <c r="X112" s="174">
        <v>0.73309999999999997</v>
      </c>
      <c r="Y112" s="145" t="s">
        <v>294</v>
      </c>
      <c r="Z112" s="134" t="s">
        <v>426</v>
      </c>
      <c r="AA112" s="134" t="s">
        <v>426</v>
      </c>
      <c r="AB112" s="137">
        <v>0.72440000000000004</v>
      </c>
      <c r="AC112" s="137">
        <v>0.75609999999999999</v>
      </c>
      <c r="AD112" s="137">
        <v>0.74219999999999997</v>
      </c>
      <c r="AE112" s="137">
        <v>0.71130000000000004</v>
      </c>
      <c r="AF112" s="137">
        <v>0.71089999999999998</v>
      </c>
      <c r="AG112" s="137">
        <v>0.73180000000000001</v>
      </c>
      <c r="AH112" s="158" t="s">
        <v>294</v>
      </c>
      <c r="AI112" s="134" t="s">
        <v>428</v>
      </c>
      <c r="AJ112" s="134" t="s">
        <v>428</v>
      </c>
      <c r="AK112" s="137">
        <v>0.73170000000000002</v>
      </c>
      <c r="AL112" s="137">
        <v>0.74809999999999999</v>
      </c>
      <c r="AM112" s="137">
        <v>0.71919999999999995</v>
      </c>
      <c r="AN112" s="137">
        <v>0.73660000000000003</v>
      </c>
      <c r="AO112" s="137">
        <v>0.69159999999999999</v>
      </c>
      <c r="AP112" s="137">
        <v>0.73070000000000002</v>
      </c>
      <c r="AQ112" s="139" t="s">
        <v>295</v>
      </c>
      <c r="AR112" s="134" t="s">
        <v>378</v>
      </c>
      <c r="AS112" s="134" t="s">
        <v>378</v>
      </c>
      <c r="AT112" s="137">
        <v>0.69910000000000005</v>
      </c>
      <c r="AU112" s="137">
        <v>0.72240000000000004</v>
      </c>
      <c r="AV112" s="137">
        <v>0.6875</v>
      </c>
      <c r="AW112" s="137">
        <v>0.73209999999999997</v>
      </c>
      <c r="AX112" s="137">
        <v>0.65</v>
      </c>
      <c r="AY112" s="137">
        <v>0.70569999999999999</v>
      </c>
      <c r="AZ112" s="138" t="s">
        <v>295</v>
      </c>
      <c r="BA112" s="134" t="s">
        <v>429</v>
      </c>
      <c r="BB112" s="134" t="s">
        <v>429</v>
      </c>
      <c r="BC112" s="137">
        <v>0.6845</v>
      </c>
      <c r="BD112" s="137">
        <v>0.69920000000000004</v>
      </c>
      <c r="BE112" s="137">
        <v>0.65659999999999996</v>
      </c>
      <c r="BF112" s="137">
        <v>0.71009999999999995</v>
      </c>
      <c r="BG112" s="137">
        <v>0.65400000000000003</v>
      </c>
      <c r="BH112" s="137">
        <v>0.68500000000000005</v>
      </c>
      <c r="BI112" s="140" t="s">
        <v>427</v>
      </c>
      <c r="BJ112" s="152">
        <v>10</v>
      </c>
      <c r="BK112" s="152">
        <v>10</v>
      </c>
      <c r="BL112" s="137">
        <v>0.68540000000000001</v>
      </c>
      <c r="BM112" s="137">
        <v>0.63680000000000003</v>
      </c>
      <c r="BN112" s="137">
        <v>0.64849999999999997</v>
      </c>
      <c r="BO112" s="137">
        <v>0.67930000000000001</v>
      </c>
      <c r="BP112" s="137">
        <v>0.58640000000000003</v>
      </c>
      <c r="BQ112" s="137">
        <v>0.65659999999999996</v>
      </c>
      <c r="BR112" s="277" t="s">
        <v>295</v>
      </c>
      <c r="BS112" s="270">
        <v>14</v>
      </c>
      <c r="BT112" s="270">
        <v>14</v>
      </c>
      <c r="BU112" s="270">
        <v>0.70920000000000005</v>
      </c>
      <c r="BV112" s="270">
        <v>0.66559999999999997</v>
      </c>
      <c r="BW112" s="270">
        <v>0.69230000000000003</v>
      </c>
      <c r="BX112" s="270">
        <v>0.70950000000000002</v>
      </c>
      <c r="BY112" s="270">
        <v>0.65969999999999995</v>
      </c>
      <c r="BZ112" s="271">
        <v>0.6915</v>
      </c>
      <c r="CA112" s="356" t="s">
        <v>295</v>
      </c>
      <c r="CB112" s="355" t="s">
        <v>446</v>
      </c>
      <c r="CC112" s="355" t="s">
        <v>446</v>
      </c>
      <c r="CD112" s="355">
        <v>0.72099999999999997</v>
      </c>
      <c r="CE112" s="355">
        <v>0.68959999999999999</v>
      </c>
      <c r="CF112" s="355">
        <v>0.72430000000000005</v>
      </c>
      <c r="CG112" s="355">
        <v>0.72250000000000003</v>
      </c>
      <c r="CH112" s="355">
        <v>0.66990000000000005</v>
      </c>
      <c r="CI112" s="355">
        <v>0.71089999999999998</v>
      </c>
      <c r="CJ112" s="715" t="s">
        <v>295</v>
      </c>
      <c r="CK112" s="620">
        <v>14</v>
      </c>
      <c r="CL112" s="620">
        <v>14</v>
      </c>
      <c r="CM112" s="620">
        <v>0.71050000000000002</v>
      </c>
      <c r="CN112" s="620">
        <v>0.70030000000000003</v>
      </c>
      <c r="CO112" s="620">
        <v>0.68889999999999996</v>
      </c>
      <c r="CP112" s="620">
        <v>0.72819999999999996</v>
      </c>
      <c r="CQ112" s="620">
        <v>0.71660000000000001</v>
      </c>
      <c r="CR112" s="711">
        <v>0.7077</v>
      </c>
      <c r="CS112" s="564" t="s">
        <v>295</v>
      </c>
      <c r="CT112" s="564">
        <v>15</v>
      </c>
      <c r="CU112" s="564">
        <v>15</v>
      </c>
      <c r="CV112" s="585">
        <v>0.73619999999999997</v>
      </c>
      <c r="CW112" s="585">
        <v>0.69310000000000005</v>
      </c>
      <c r="CX112" s="585">
        <v>0.64059999999999995</v>
      </c>
      <c r="CY112" s="585">
        <v>0.72599999999999998</v>
      </c>
      <c r="CZ112" s="585">
        <v>0.72070000000000001</v>
      </c>
      <c r="DA112" s="585">
        <v>0.7006</v>
      </c>
      <c r="DB112" s="884" t="s">
        <v>295</v>
      </c>
      <c r="DC112" s="884">
        <v>21</v>
      </c>
      <c r="DD112" s="884">
        <v>21</v>
      </c>
      <c r="DE112" s="884">
        <v>0.73309999999999997</v>
      </c>
      <c r="DF112" s="133">
        <v>0.66539999999999999</v>
      </c>
      <c r="DG112" s="133">
        <v>0.61329999999999996</v>
      </c>
      <c r="DH112" s="133">
        <v>0.75460000000000005</v>
      </c>
      <c r="DI112" s="133">
        <v>0.71189999999999998</v>
      </c>
      <c r="DJ112" s="133">
        <v>0.69320000000000004</v>
      </c>
    </row>
    <row r="113" spans="1:114" x14ac:dyDescent="0.25">
      <c r="A113" s="36" t="s">
        <v>135</v>
      </c>
      <c r="B113" s="668">
        <v>325754000968</v>
      </c>
      <c r="C113" s="134" t="s">
        <v>452</v>
      </c>
      <c r="D113" s="134" t="s">
        <v>307</v>
      </c>
      <c r="E113" s="134" t="s">
        <v>671</v>
      </c>
      <c r="F113" s="134" t="s">
        <v>123</v>
      </c>
      <c r="G113" s="134"/>
      <c r="H113" s="134"/>
      <c r="I113" s="134"/>
      <c r="J113" s="134"/>
      <c r="K113" s="134"/>
      <c r="L113" s="134"/>
      <c r="M113" s="134"/>
      <c r="N113" s="134"/>
      <c r="O113" s="134"/>
      <c r="P113" s="563"/>
      <c r="Q113" s="563"/>
      <c r="R113" s="563"/>
      <c r="S113" s="563"/>
      <c r="T113" s="563"/>
      <c r="U113" s="563"/>
      <c r="V113" s="563"/>
      <c r="W113" s="563"/>
      <c r="X113" s="563"/>
      <c r="Y113" s="134"/>
      <c r="Z113" s="134"/>
      <c r="AA113" s="134"/>
      <c r="AB113" s="137"/>
      <c r="AC113" s="137"/>
      <c r="AD113" s="137"/>
      <c r="AE113" s="137"/>
      <c r="AF113" s="137"/>
      <c r="AG113" s="137"/>
      <c r="AH113" s="156"/>
      <c r="AI113" s="134"/>
      <c r="AJ113" s="134"/>
      <c r="AK113" s="137"/>
      <c r="AL113" s="137"/>
      <c r="AM113" s="137"/>
      <c r="AN113" s="137"/>
      <c r="AO113" s="137"/>
      <c r="AP113" s="137"/>
      <c r="AQ113" s="134"/>
      <c r="AR113" s="134"/>
      <c r="AS113" s="134"/>
      <c r="AT113" s="137"/>
      <c r="AU113" s="137"/>
      <c r="AV113" s="137"/>
      <c r="AW113" s="137"/>
      <c r="AX113" s="137"/>
      <c r="AY113" s="137"/>
      <c r="AZ113" s="134"/>
      <c r="BA113" s="134"/>
      <c r="BB113" s="134"/>
      <c r="BC113" s="137"/>
      <c r="BD113" s="137"/>
      <c r="BE113" s="137"/>
      <c r="BF113" s="137"/>
      <c r="BG113" s="137"/>
      <c r="BH113" s="137"/>
      <c r="BI113" s="140" t="s">
        <v>427</v>
      </c>
      <c r="BJ113" s="152">
        <v>10</v>
      </c>
      <c r="BK113" s="152">
        <v>9</v>
      </c>
      <c r="BL113" s="137">
        <v>0.64549999999999996</v>
      </c>
      <c r="BM113" s="137">
        <v>0.64229999999999998</v>
      </c>
      <c r="BN113" s="137">
        <v>0.64639999999999997</v>
      </c>
      <c r="BO113" s="137">
        <v>0.70279999999999998</v>
      </c>
      <c r="BP113" s="137">
        <v>0.63649999999999995</v>
      </c>
      <c r="BQ113" s="137">
        <v>0.65749999999999997</v>
      </c>
      <c r="BR113" s="277" t="s">
        <v>295</v>
      </c>
      <c r="BS113" s="270">
        <v>23</v>
      </c>
      <c r="BT113" s="270">
        <v>23</v>
      </c>
      <c r="BU113" s="270">
        <v>0.6764</v>
      </c>
      <c r="BV113" s="270">
        <v>0.65229999999999999</v>
      </c>
      <c r="BW113" s="270">
        <v>0.65500000000000003</v>
      </c>
      <c r="BX113" s="270">
        <v>0.72389999999999999</v>
      </c>
      <c r="BY113" s="270">
        <v>0.63859999999999995</v>
      </c>
      <c r="BZ113" s="270">
        <v>0.67390000000000005</v>
      </c>
      <c r="CA113" s="356" t="s">
        <v>295</v>
      </c>
      <c r="CB113" s="355" t="s">
        <v>91</v>
      </c>
      <c r="CC113" s="355" t="s">
        <v>82</v>
      </c>
      <c r="CD113" s="355">
        <v>0.68289999999999995</v>
      </c>
      <c r="CE113" s="355">
        <v>0.66080000000000005</v>
      </c>
      <c r="CF113" s="355">
        <v>0.64290000000000003</v>
      </c>
      <c r="CG113" s="355">
        <v>0.70789999999999997</v>
      </c>
      <c r="CH113" s="355">
        <v>0.64410000000000001</v>
      </c>
      <c r="CI113" s="355">
        <v>0.67130000000000001</v>
      </c>
      <c r="CJ113" s="718" t="s">
        <v>427</v>
      </c>
      <c r="CK113" s="620">
        <v>56</v>
      </c>
      <c r="CL113" s="620">
        <v>54</v>
      </c>
      <c r="CM113" s="620">
        <v>0.66859999999999997</v>
      </c>
      <c r="CN113" s="620">
        <v>0.64539999999999997</v>
      </c>
      <c r="CO113" s="620">
        <v>0.63290000000000002</v>
      </c>
      <c r="CP113" s="620">
        <v>0.70020000000000004</v>
      </c>
      <c r="CQ113" s="620">
        <v>0.63400000000000001</v>
      </c>
      <c r="CR113" s="711">
        <v>0.65959999999999996</v>
      </c>
      <c r="CS113" s="564" t="s">
        <v>427</v>
      </c>
      <c r="CT113" s="564">
        <v>54</v>
      </c>
      <c r="CU113" s="564">
        <v>52</v>
      </c>
      <c r="CV113" s="585">
        <v>0.66569999999999996</v>
      </c>
      <c r="CW113" s="585">
        <v>0.63649999999999995</v>
      </c>
      <c r="CX113" s="585">
        <v>0.62390000000000001</v>
      </c>
      <c r="CY113" s="585">
        <v>0.68820000000000003</v>
      </c>
      <c r="CZ113" s="585">
        <v>0.64300000000000002</v>
      </c>
      <c r="DA113" s="585">
        <v>0.65280000000000005</v>
      </c>
      <c r="DB113" s="884" t="s">
        <v>427</v>
      </c>
      <c r="DC113" s="884">
        <v>39</v>
      </c>
      <c r="DD113" s="884">
        <v>39</v>
      </c>
      <c r="DE113" s="884">
        <v>0.65200000000000002</v>
      </c>
      <c r="DF113" s="133">
        <v>0.62480000000000002</v>
      </c>
      <c r="DG113" s="133">
        <v>0.6119</v>
      </c>
      <c r="DH113" s="133">
        <v>0.67379999999999995</v>
      </c>
      <c r="DI113" s="133">
        <v>0.63170000000000004</v>
      </c>
      <c r="DJ113" s="133">
        <v>0.63990000000000002</v>
      </c>
    </row>
    <row r="114" spans="1:114" x14ac:dyDescent="0.25">
      <c r="A114" s="36" t="s">
        <v>81</v>
      </c>
      <c r="B114" s="668">
        <v>325754004530</v>
      </c>
      <c r="C114" s="134" t="s">
        <v>452</v>
      </c>
      <c r="D114" s="134" t="s">
        <v>307</v>
      </c>
      <c r="E114" s="134" t="s">
        <v>671</v>
      </c>
      <c r="F114" s="134" t="s">
        <v>123</v>
      </c>
      <c r="G114" s="168" t="s">
        <v>294</v>
      </c>
      <c r="H114" s="166">
        <v>66</v>
      </c>
      <c r="I114" s="166">
        <v>65</v>
      </c>
      <c r="J114" s="166">
        <v>0.72560000000000002</v>
      </c>
      <c r="K114" s="166">
        <v>0.71619999999999995</v>
      </c>
      <c r="L114" s="166">
        <v>0.73099999999999998</v>
      </c>
      <c r="M114" s="166">
        <v>0.72989999999999999</v>
      </c>
      <c r="N114" s="166">
        <v>0.67900000000000005</v>
      </c>
      <c r="O114" s="166">
        <v>0.72209999999999996</v>
      </c>
      <c r="P114" s="173" t="s">
        <v>295</v>
      </c>
      <c r="Q114" s="174" t="s">
        <v>337</v>
      </c>
      <c r="R114" s="174" t="s">
        <v>465</v>
      </c>
      <c r="S114" s="174">
        <v>0.7137</v>
      </c>
      <c r="T114" s="174">
        <v>0.70379999999999998</v>
      </c>
      <c r="U114" s="174">
        <v>0.71840000000000004</v>
      </c>
      <c r="V114" s="174">
        <v>0.71389999999999998</v>
      </c>
      <c r="W114" s="174">
        <v>0.67579999999999996</v>
      </c>
      <c r="X114" s="174">
        <v>0.70960000000000001</v>
      </c>
      <c r="Y114" s="138" t="s">
        <v>295</v>
      </c>
      <c r="Z114" s="134" t="s">
        <v>399</v>
      </c>
      <c r="AA114" s="134" t="s">
        <v>309</v>
      </c>
      <c r="AB114" s="137">
        <v>0.68759999999999999</v>
      </c>
      <c r="AC114" s="137">
        <v>0.68979999999999997</v>
      </c>
      <c r="AD114" s="137">
        <v>0.71140000000000003</v>
      </c>
      <c r="AE114" s="137">
        <v>0.70889999999999997</v>
      </c>
      <c r="AF114" s="137">
        <v>0.67669999999999997</v>
      </c>
      <c r="AG114" s="137">
        <v>0.69769999999999999</v>
      </c>
      <c r="AH114" s="159" t="s">
        <v>295</v>
      </c>
      <c r="AI114" s="134" t="s">
        <v>347</v>
      </c>
      <c r="AJ114" s="134" t="s">
        <v>494</v>
      </c>
      <c r="AK114" s="137">
        <v>0.68110000000000004</v>
      </c>
      <c r="AL114" s="137">
        <v>0.69199999999999995</v>
      </c>
      <c r="AM114" s="137">
        <v>0.70489999999999997</v>
      </c>
      <c r="AN114" s="137">
        <v>0.71189999999999998</v>
      </c>
      <c r="AO114" s="137">
        <v>0.68110000000000004</v>
      </c>
      <c r="AP114" s="137">
        <v>0.69620000000000004</v>
      </c>
      <c r="AQ114" s="139" t="s">
        <v>295</v>
      </c>
      <c r="AR114" s="134" t="s">
        <v>377</v>
      </c>
      <c r="AS114" s="134" t="s">
        <v>376</v>
      </c>
      <c r="AT114" s="137">
        <v>0.69730000000000003</v>
      </c>
      <c r="AU114" s="137">
        <v>0.69969999999999999</v>
      </c>
      <c r="AV114" s="137">
        <v>0.70320000000000005</v>
      </c>
      <c r="AW114" s="137">
        <v>0.72919999999999996</v>
      </c>
      <c r="AX114" s="137">
        <v>0.6925</v>
      </c>
      <c r="AY114" s="137">
        <v>0.70620000000000005</v>
      </c>
      <c r="AZ114" s="138" t="s">
        <v>295</v>
      </c>
      <c r="BA114" s="134" t="s">
        <v>603</v>
      </c>
      <c r="BB114" s="134" t="s">
        <v>354</v>
      </c>
      <c r="BC114" s="137">
        <v>0.72670000000000001</v>
      </c>
      <c r="BD114" s="137">
        <v>0.70230000000000004</v>
      </c>
      <c r="BE114" s="137">
        <v>0.70150000000000001</v>
      </c>
      <c r="BF114" s="137">
        <v>0.74629999999999996</v>
      </c>
      <c r="BG114" s="137">
        <v>0.70330000000000004</v>
      </c>
      <c r="BH114" s="137">
        <v>0.71799999999999997</v>
      </c>
      <c r="BI114" s="149" t="s">
        <v>294</v>
      </c>
      <c r="BJ114" s="152">
        <v>151</v>
      </c>
      <c r="BK114" s="152">
        <v>148</v>
      </c>
      <c r="BL114" s="137">
        <v>0.74360000000000004</v>
      </c>
      <c r="BM114" s="137">
        <v>0.70750000000000002</v>
      </c>
      <c r="BN114" s="137">
        <v>0.70499999999999996</v>
      </c>
      <c r="BO114" s="137">
        <v>0.75390000000000001</v>
      </c>
      <c r="BP114" s="137">
        <v>0.70109999999999995</v>
      </c>
      <c r="BQ114" s="137">
        <v>0.72550000000000003</v>
      </c>
      <c r="BR114" s="697" t="s">
        <v>294</v>
      </c>
      <c r="BS114" s="270">
        <v>159</v>
      </c>
      <c r="BT114" s="270">
        <v>159</v>
      </c>
      <c r="BU114" s="270">
        <v>0.75600000000000001</v>
      </c>
      <c r="BV114" s="270">
        <v>0.71220000000000006</v>
      </c>
      <c r="BW114" s="270">
        <v>0.70430000000000004</v>
      </c>
      <c r="BX114" s="270">
        <v>0.76419999999999999</v>
      </c>
      <c r="BY114" s="270">
        <v>0.71779999999999999</v>
      </c>
      <c r="BZ114" s="270">
        <v>0.7329</v>
      </c>
      <c r="CA114" s="700" t="s">
        <v>294</v>
      </c>
      <c r="CB114" s="672" t="s">
        <v>836</v>
      </c>
      <c r="CC114" s="672" t="s">
        <v>836</v>
      </c>
      <c r="CD114" s="672">
        <v>0.74650000000000005</v>
      </c>
      <c r="CE114" s="672">
        <v>0.70589999999999997</v>
      </c>
      <c r="CF114" s="672">
        <v>0.70130000000000003</v>
      </c>
      <c r="CG114" s="672">
        <v>0.7601</v>
      </c>
      <c r="CH114" s="672">
        <v>0.71909999999999996</v>
      </c>
      <c r="CI114" s="672">
        <v>0.72770000000000001</v>
      </c>
      <c r="CJ114" s="703" t="s">
        <v>294</v>
      </c>
      <c r="CK114" s="620">
        <v>253</v>
      </c>
      <c r="CL114" s="620">
        <v>252</v>
      </c>
      <c r="CM114" s="620">
        <v>0.73480000000000001</v>
      </c>
      <c r="CN114" s="620">
        <v>0.70109999999999995</v>
      </c>
      <c r="CO114" s="620">
        <v>0.69279999999999997</v>
      </c>
      <c r="CP114" s="620">
        <v>0.75519999999999998</v>
      </c>
      <c r="CQ114" s="620">
        <v>0.72589999999999999</v>
      </c>
      <c r="CR114" s="711">
        <v>0.72140000000000004</v>
      </c>
      <c r="CS114" s="564" t="s">
        <v>294</v>
      </c>
      <c r="CT114" s="564">
        <v>286</v>
      </c>
      <c r="CU114" s="564">
        <v>283</v>
      </c>
      <c r="CV114" s="585">
        <v>0.73480000000000001</v>
      </c>
      <c r="CW114" s="585">
        <v>0.70079999999999998</v>
      </c>
      <c r="CX114" s="585">
        <v>0.69399999999999995</v>
      </c>
      <c r="CY114" s="585">
        <v>0.75260000000000005</v>
      </c>
      <c r="CZ114" s="585">
        <v>0.72219999999999995</v>
      </c>
      <c r="DA114" s="585">
        <v>0.72070000000000001</v>
      </c>
      <c r="DB114" s="884" t="s">
        <v>294</v>
      </c>
      <c r="DC114" s="884">
        <v>294</v>
      </c>
      <c r="DD114" s="884">
        <v>291</v>
      </c>
      <c r="DE114" s="884">
        <v>0.74370000000000003</v>
      </c>
      <c r="DF114" s="133">
        <v>0.71479999999999999</v>
      </c>
      <c r="DG114" s="133">
        <v>0.69720000000000004</v>
      </c>
      <c r="DH114" s="133">
        <v>0.75939999999999996</v>
      </c>
      <c r="DI114" s="133">
        <v>0.72889999999999999</v>
      </c>
      <c r="DJ114" s="133">
        <v>0.7288</v>
      </c>
    </row>
    <row r="115" spans="1:114" x14ac:dyDescent="0.25">
      <c r="A115" s="36" t="s">
        <v>114</v>
      </c>
      <c r="B115" s="668">
        <v>325754003134</v>
      </c>
      <c r="C115" s="134" t="s">
        <v>452</v>
      </c>
      <c r="D115" s="134" t="s">
        <v>307</v>
      </c>
      <c r="E115" s="134" t="s">
        <v>671</v>
      </c>
      <c r="F115" s="134" t="s">
        <v>123</v>
      </c>
      <c r="G115" s="134"/>
      <c r="H115" s="134"/>
      <c r="I115" s="134"/>
      <c r="J115" s="134"/>
      <c r="K115" s="134"/>
      <c r="L115" s="134"/>
      <c r="M115" s="134"/>
      <c r="N115" s="134"/>
      <c r="O115" s="134"/>
      <c r="P115" s="563"/>
      <c r="Q115" s="563"/>
      <c r="R115" s="563"/>
      <c r="S115" s="563"/>
      <c r="T115" s="563"/>
      <c r="U115" s="563"/>
      <c r="V115" s="563"/>
      <c r="W115" s="563"/>
      <c r="X115" s="563"/>
      <c r="Y115" s="138" t="s">
        <v>295</v>
      </c>
      <c r="Z115" s="134" t="s">
        <v>426</v>
      </c>
      <c r="AA115" s="134" t="s">
        <v>547</v>
      </c>
      <c r="AB115" s="137">
        <v>0.71719999999999995</v>
      </c>
      <c r="AC115" s="137">
        <v>0.70420000000000005</v>
      </c>
      <c r="AD115" s="137">
        <v>0.70960000000000001</v>
      </c>
      <c r="AE115" s="137">
        <v>0.72209999999999996</v>
      </c>
      <c r="AF115" s="137">
        <v>0.70479999999999998</v>
      </c>
      <c r="AG115" s="137">
        <v>0.71260000000000001</v>
      </c>
      <c r="AH115" s="159" t="s">
        <v>295</v>
      </c>
      <c r="AI115" s="134" t="s">
        <v>450</v>
      </c>
      <c r="AJ115" s="134" t="s">
        <v>486</v>
      </c>
      <c r="AK115" s="137">
        <v>0.72260000000000002</v>
      </c>
      <c r="AL115" s="137">
        <v>0.7077</v>
      </c>
      <c r="AM115" s="137">
        <v>0.70450000000000002</v>
      </c>
      <c r="AN115" s="137">
        <v>0.73309999999999997</v>
      </c>
      <c r="AO115" s="137">
        <v>0.70399999999999996</v>
      </c>
      <c r="AP115" s="137">
        <v>0.71599999999999997</v>
      </c>
      <c r="AQ115" s="139" t="s">
        <v>295</v>
      </c>
      <c r="AR115" s="134" t="s">
        <v>367</v>
      </c>
      <c r="AS115" s="134" t="s">
        <v>368</v>
      </c>
      <c r="AT115" s="137">
        <v>0.71609999999999996</v>
      </c>
      <c r="AU115" s="137">
        <v>0.70330000000000004</v>
      </c>
      <c r="AV115" s="137">
        <v>0.69440000000000002</v>
      </c>
      <c r="AW115" s="137">
        <v>0.73250000000000004</v>
      </c>
      <c r="AX115" s="137">
        <v>0.70140000000000002</v>
      </c>
      <c r="AY115" s="137">
        <v>0.71079999999999999</v>
      </c>
      <c r="AZ115" s="138" t="s">
        <v>295</v>
      </c>
      <c r="BA115" s="134" t="s">
        <v>492</v>
      </c>
      <c r="BB115" s="134" t="s">
        <v>370</v>
      </c>
      <c r="BC115" s="137">
        <v>0.73199999999999998</v>
      </c>
      <c r="BD115" s="137">
        <v>0.70389999999999997</v>
      </c>
      <c r="BE115" s="137">
        <v>0.68920000000000003</v>
      </c>
      <c r="BF115" s="137">
        <v>0.7419</v>
      </c>
      <c r="BG115" s="137">
        <v>0.71960000000000002</v>
      </c>
      <c r="BH115" s="137">
        <v>0.71699999999999997</v>
      </c>
      <c r="BI115" s="135" t="s">
        <v>295</v>
      </c>
      <c r="BJ115" s="152">
        <v>55</v>
      </c>
      <c r="BK115" s="152">
        <v>51</v>
      </c>
      <c r="BL115" s="137">
        <v>0.72960000000000003</v>
      </c>
      <c r="BM115" s="137">
        <v>0.69369999999999998</v>
      </c>
      <c r="BN115" s="137">
        <v>0.70450000000000002</v>
      </c>
      <c r="BO115" s="137">
        <v>0.74650000000000005</v>
      </c>
      <c r="BP115" s="137">
        <v>0.71189999999999998</v>
      </c>
      <c r="BQ115" s="137">
        <v>0.71809999999999996</v>
      </c>
      <c r="BR115" s="277" t="s">
        <v>295</v>
      </c>
      <c r="BS115" s="270">
        <v>67</v>
      </c>
      <c r="BT115" s="270">
        <v>67</v>
      </c>
      <c r="BU115" s="270">
        <v>0.72970000000000002</v>
      </c>
      <c r="BV115" s="270">
        <v>0.68579999999999997</v>
      </c>
      <c r="BW115" s="270">
        <v>0.70530000000000004</v>
      </c>
      <c r="BX115" s="270">
        <v>0.74399999999999999</v>
      </c>
      <c r="BY115" s="270">
        <v>0.71220000000000006</v>
      </c>
      <c r="BZ115" s="270">
        <v>0.71589999999999998</v>
      </c>
      <c r="CA115" s="364" t="s">
        <v>294</v>
      </c>
      <c r="CB115" s="355" t="s">
        <v>466</v>
      </c>
      <c r="CC115" s="355" t="s">
        <v>466</v>
      </c>
      <c r="CD115" s="355">
        <v>0.72489999999999999</v>
      </c>
      <c r="CE115" s="355">
        <v>0.69040000000000001</v>
      </c>
      <c r="CF115" s="355">
        <v>0.71960000000000002</v>
      </c>
      <c r="CG115" s="355">
        <v>0.75609999999999999</v>
      </c>
      <c r="CH115" s="355">
        <v>0.72719999999999996</v>
      </c>
      <c r="CI115" s="355">
        <v>0.72309999999999997</v>
      </c>
      <c r="CJ115" s="717" t="s">
        <v>294</v>
      </c>
      <c r="CK115" s="620">
        <v>101</v>
      </c>
      <c r="CL115" s="620">
        <v>100</v>
      </c>
      <c r="CM115" s="620">
        <v>0.71799999999999997</v>
      </c>
      <c r="CN115" s="620">
        <v>0.6966</v>
      </c>
      <c r="CO115" s="620">
        <v>0.70920000000000005</v>
      </c>
      <c r="CP115" s="620">
        <v>0.75580000000000003</v>
      </c>
      <c r="CQ115" s="620">
        <v>0.74629999999999996</v>
      </c>
      <c r="CR115" s="711">
        <v>0.72189999999999999</v>
      </c>
      <c r="CS115" s="564" t="s">
        <v>294</v>
      </c>
      <c r="CT115" s="564">
        <v>129</v>
      </c>
      <c r="CU115" s="564">
        <v>127</v>
      </c>
      <c r="CV115" s="585">
        <v>0.71709999999999996</v>
      </c>
      <c r="CW115" s="585">
        <v>0.70899999999999996</v>
      </c>
      <c r="CX115" s="585">
        <v>0.71489999999999998</v>
      </c>
      <c r="CY115" s="585">
        <v>0.76129999999999998</v>
      </c>
      <c r="CZ115" s="585">
        <v>0.75960000000000005</v>
      </c>
      <c r="DA115" s="585">
        <v>0.72819999999999996</v>
      </c>
      <c r="DB115" s="884" t="s">
        <v>294</v>
      </c>
      <c r="DC115" s="884">
        <v>150</v>
      </c>
      <c r="DD115" s="884">
        <v>146</v>
      </c>
      <c r="DE115" s="884">
        <v>0.71679999999999999</v>
      </c>
      <c r="DF115" s="133">
        <v>0.70399999999999996</v>
      </c>
      <c r="DG115" s="133">
        <v>0.69640000000000002</v>
      </c>
      <c r="DH115" s="133">
        <v>0.7581</v>
      </c>
      <c r="DI115" s="133">
        <v>0.75060000000000004</v>
      </c>
      <c r="DJ115" s="133">
        <v>0.72130000000000005</v>
      </c>
    </row>
    <row r="116" spans="1:114" x14ac:dyDescent="0.25">
      <c r="A116" s="36" t="s">
        <v>42</v>
      </c>
      <c r="B116" s="668">
        <v>325754003410</v>
      </c>
      <c r="C116" s="134" t="s">
        <v>452</v>
      </c>
      <c r="D116" s="134" t="s">
        <v>307</v>
      </c>
      <c r="E116" s="134" t="s">
        <v>671</v>
      </c>
      <c r="F116" s="134" t="s">
        <v>123</v>
      </c>
      <c r="G116" s="168" t="s">
        <v>294</v>
      </c>
      <c r="H116" s="166">
        <v>359</v>
      </c>
      <c r="I116" s="166">
        <v>358</v>
      </c>
      <c r="J116" s="166">
        <v>0.71450000000000002</v>
      </c>
      <c r="K116" s="166">
        <v>0.73699999999999999</v>
      </c>
      <c r="L116" s="166">
        <v>0.72950000000000004</v>
      </c>
      <c r="M116" s="166">
        <v>0.73619999999999997</v>
      </c>
      <c r="N116" s="166">
        <v>0.71389999999999998</v>
      </c>
      <c r="O116" s="166">
        <v>0.72809999999999997</v>
      </c>
      <c r="P116" s="177" t="s">
        <v>294</v>
      </c>
      <c r="Q116" s="174" t="s">
        <v>721</v>
      </c>
      <c r="R116" s="174" t="s">
        <v>722</v>
      </c>
      <c r="S116" s="174">
        <v>0.71499999999999997</v>
      </c>
      <c r="T116" s="174">
        <v>0.73209999999999997</v>
      </c>
      <c r="U116" s="174">
        <v>0.72119999999999995</v>
      </c>
      <c r="V116" s="174">
        <v>0.7218</v>
      </c>
      <c r="W116" s="174">
        <v>0.7056</v>
      </c>
      <c r="X116" s="174">
        <v>0.72119999999999995</v>
      </c>
      <c r="Y116" s="145" t="s">
        <v>294</v>
      </c>
      <c r="Z116" s="134" t="s">
        <v>541</v>
      </c>
      <c r="AA116" s="134" t="s">
        <v>541</v>
      </c>
      <c r="AB116" s="137">
        <v>0.72030000000000005</v>
      </c>
      <c r="AC116" s="137">
        <v>0.73080000000000001</v>
      </c>
      <c r="AD116" s="137">
        <v>0.71970000000000001</v>
      </c>
      <c r="AE116" s="137">
        <v>0.73040000000000005</v>
      </c>
      <c r="AF116" s="137">
        <v>0.71030000000000004</v>
      </c>
      <c r="AG116" s="137">
        <v>0.72409999999999997</v>
      </c>
      <c r="AH116" s="158" t="s">
        <v>294</v>
      </c>
      <c r="AI116" s="134" t="s">
        <v>475</v>
      </c>
      <c r="AJ116" s="134" t="s">
        <v>476</v>
      </c>
      <c r="AK116" s="137">
        <v>0.72909999999999997</v>
      </c>
      <c r="AL116" s="137">
        <v>0.73399999999999999</v>
      </c>
      <c r="AM116" s="137">
        <v>0.72399999999999998</v>
      </c>
      <c r="AN116" s="137">
        <v>0.74180000000000001</v>
      </c>
      <c r="AO116" s="137">
        <v>0.71630000000000005</v>
      </c>
      <c r="AP116" s="137">
        <v>0.73099999999999998</v>
      </c>
      <c r="AQ116" s="150" t="s">
        <v>294</v>
      </c>
      <c r="AR116" s="134" t="s">
        <v>349</v>
      </c>
      <c r="AS116" s="134" t="s">
        <v>350</v>
      </c>
      <c r="AT116" s="137">
        <v>0.72989999999999999</v>
      </c>
      <c r="AU116" s="137">
        <v>0.73070000000000002</v>
      </c>
      <c r="AV116" s="137">
        <v>0.71389999999999998</v>
      </c>
      <c r="AW116" s="137">
        <v>0.75290000000000001</v>
      </c>
      <c r="AX116" s="137">
        <v>0.72729999999999995</v>
      </c>
      <c r="AY116" s="137">
        <v>0.73150000000000004</v>
      </c>
      <c r="AZ116" s="145" t="s">
        <v>294</v>
      </c>
      <c r="BA116" s="134" t="s">
        <v>636</v>
      </c>
      <c r="BB116" s="134" t="s">
        <v>601</v>
      </c>
      <c r="BC116" s="137">
        <v>0.7339</v>
      </c>
      <c r="BD116" s="137">
        <v>0.71899999999999997</v>
      </c>
      <c r="BE116" s="137">
        <v>0.70599999999999996</v>
      </c>
      <c r="BF116" s="137">
        <v>0.76070000000000004</v>
      </c>
      <c r="BG116" s="137">
        <v>0.72060000000000002</v>
      </c>
      <c r="BH116" s="137">
        <v>0.72919999999999996</v>
      </c>
      <c r="BI116" s="149" t="s">
        <v>294</v>
      </c>
      <c r="BJ116" s="152">
        <v>351</v>
      </c>
      <c r="BK116" s="152">
        <v>345</v>
      </c>
      <c r="BL116" s="137">
        <v>0.74280000000000002</v>
      </c>
      <c r="BM116" s="137">
        <v>0.70199999999999996</v>
      </c>
      <c r="BN116" s="137">
        <v>0.69820000000000004</v>
      </c>
      <c r="BO116" s="137">
        <v>0.75729999999999997</v>
      </c>
      <c r="BP116" s="137">
        <v>0.70140000000000002</v>
      </c>
      <c r="BQ116" s="137">
        <v>0.72319999999999995</v>
      </c>
      <c r="BR116" s="281" t="s">
        <v>294</v>
      </c>
      <c r="BS116" s="270">
        <v>365</v>
      </c>
      <c r="BT116" s="270">
        <v>363</v>
      </c>
      <c r="BU116" s="270">
        <v>0.754</v>
      </c>
      <c r="BV116" s="270">
        <v>0.70320000000000005</v>
      </c>
      <c r="BW116" s="270">
        <v>0.70389999999999997</v>
      </c>
      <c r="BX116" s="270">
        <v>0.76529999999999998</v>
      </c>
      <c r="BY116" s="270">
        <v>0.71730000000000005</v>
      </c>
      <c r="BZ116" s="270">
        <v>0.73050000000000004</v>
      </c>
      <c r="CA116" s="364" t="s">
        <v>294</v>
      </c>
      <c r="CB116" s="355" t="s">
        <v>541</v>
      </c>
      <c r="CC116" s="355" t="s">
        <v>684</v>
      </c>
      <c r="CD116" s="355">
        <v>0.76959999999999995</v>
      </c>
      <c r="CE116" s="355">
        <v>0.71160000000000001</v>
      </c>
      <c r="CF116" s="355">
        <v>0.71760000000000002</v>
      </c>
      <c r="CG116" s="355">
        <v>0.77370000000000005</v>
      </c>
      <c r="CH116" s="355">
        <v>0.73599999999999999</v>
      </c>
      <c r="CI116" s="355">
        <v>0.74260000000000004</v>
      </c>
      <c r="CJ116" s="717" t="s">
        <v>294</v>
      </c>
      <c r="CK116" s="620">
        <v>387</v>
      </c>
      <c r="CL116" s="620">
        <v>384</v>
      </c>
      <c r="CM116" s="620">
        <v>0.77470000000000006</v>
      </c>
      <c r="CN116" s="620">
        <v>0.72109999999999996</v>
      </c>
      <c r="CO116" s="620">
        <v>0.71879999999999999</v>
      </c>
      <c r="CP116" s="620">
        <v>0.77729999999999999</v>
      </c>
      <c r="CQ116" s="620">
        <v>0.76200000000000001</v>
      </c>
      <c r="CR116" s="711">
        <v>0.74909999999999999</v>
      </c>
      <c r="CS116" s="564" t="s">
        <v>294</v>
      </c>
      <c r="CT116" s="564">
        <v>385</v>
      </c>
      <c r="CU116" s="564">
        <v>383</v>
      </c>
      <c r="CV116" s="585">
        <v>0.78310000000000002</v>
      </c>
      <c r="CW116" s="585">
        <v>0.72560000000000002</v>
      </c>
      <c r="CX116" s="585">
        <v>0.71860000000000002</v>
      </c>
      <c r="CY116" s="585">
        <v>0.77829999999999999</v>
      </c>
      <c r="CZ116" s="585">
        <v>0.76729999999999998</v>
      </c>
      <c r="DA116" s="585">
        <v>0.75260000000000005</v>
      </c>
      <c r="DB116" s="884" t="s">
        <v>294</v>
      </c>
      <c r="DC116" s="884">
        <v>347</v>
      </c>
      <c r="DD116" s="884">
        <v>344</v>
      </c>
      <c r="DE116" s="884">
        <v>0.77500000000000002</v>
      </c>
      <c r="DF116" s="133">
        <v>0.72529999999999994</v>
      </c>
      <c r="DG116" s="133">
        <v>0.7147</v>
      </c>
      <c r="DH116" s="133">
        <v>0.78029999999999999</v>
      </c>
      <c r="DI116" s="133">
        <v>0.76719999999999999</v>
      </c>
      <c r="DJ116" s="133">
        <v>0.75029999999999997</v>
      </c>
    </row>
    <row r="117" spans="1:114" x14ac:dyDescent="0.25">
      <c r="A117" s="36" t="s">
        <v>774</v>
      </c>
      <c r="B117" s="878">
        <v>325754005498</v>
      </c>
      <c r="C117" s="134" t="s">
        <v>452</v>
      </c>
      <c r="D117" s="134" t="s">
        <v>307</v>
      </c>
      <c r="E117" s="134" t="s">
        <v>671</v>
      </c>
      <c r="F117" s="134" t="s">
        <v>123</v>
      </c>
      <c r="G117" s="168"/>
      <c r="H117" s="166"/>
      <c r="I117" s="166"/>
      <c r="J117" s="166"/>
      <c r="K117" s="166"/>
      <c r="L117" s="166"/>
      <c r="M117" s="166"/>
      <c r="N117" s="166"/>
      <c r="O117" s="166"/>
      <c r="P117" s="177"/>
      <c r="Q117" s="174"/>
      <c r="R117" s="174"/>
      <c r="S117" s="174"/>
      <c r="T117" s="174"/>
      <c r="U117" s="174"/>
      <c r="V117" s="174"/>
      <c r="W117" s="174"/>
      <c r="X117" s="174"/>
      <c r="Y117" s="145"/>
      <c r="Z117" s="134"/>
      <c r="AA117" s="134"/>
      <c r="AB117" s="137"/>
      <c r="AC117" s="137"/>
      <c r="AD117" s="137"/>
      <c r="AE117" s="137"/>
      <c r="AF117" s="137"/>
      <c r="AG117" s="137"/>
      <c r="AH117" s="158"/>
      <c r="AI117" s="134"/>
      <c r="AJ117" s="134"/>
      <c r="AK117" s="137"/>
      <c r="AL117" s="137"/>
      <c r="AM117" s="137"/>
      <c r="AN117" s="137"/>
      <c r="AO117" s="137"/>
      <c r="AP117" s="137"/>
      <c r="AQ117" s="150"/>
      <c r="AR117" s="134"/>
      <c r="AS117" s="134"/>
      <c r="AT117" s="137"/>
      <c r="AU117" s="137"/>
      <c r="AV117" s="137"/>
      <c r="AW117" s="137"/>
      <c r="AX117" s="137"/>
      <c r="AY117" s="137"/>
      <c r="AZ117" s="145"/>
      <c r="BA117" s="134"/>
      <c r="BB117" s="134"/>
      <c r="BC117" s="137"/>
      <c r="BD117" s="137"/>
      <c r="BE117" s="137"/>
      <c r="BF117" s="137"/>
      <c r="BG117" s="137"/>
      <c r="BH117" s="137"/>
      <c r="BI117" s="149"/>
      <c r="BJ117" s="152"/>
      <c r="BK117" s="152"/>
      <c r="BL117" s="137"/>
      <c r="BM117" s="137"/>
      <c r="BN117" s="137"/>
      <c r="BO117" s="137"/>
      <c r="BP117" s="137"/>
      <c r="BQ117" s="137"/>
      <c r="BR117" s="278" t="s">
        <v>443</v>
      </c>
      <c r="BS117" s="270">
        <v>14</v>
      </c>
      <c r="BT117" s="270">
        <v>12</v>
      </c>
      <c r="BU117" s="270">
        <v>0.60289999999999999</v>
      </c>
      <c r="BV117" s="270">
        <v>0.59630000000000005</v>
      </c>
      <c r="BW117" s="270">
        <v>0.56689999999999996</v>
      </c>
      <c r="BX117" s="270">
        <v>0.64929999999999999</v>
      </c>
      <c r="BY117" s="270">
        <v>0.61309999999999998</v>
      </c>
      <c r="BZ117" s="270">
        <v>0.60460000000000003</v>
      </c>
      <c r="CA117" s="354" t="s">
        <v>443</v>
      </c>
      <c r="CB117" s="355" t="s">
        <v>416</v>
      </c>
      <c r="CC117" s="355" t="s">
        <v>429</v>
      </c>
      <c r="CD117" s="355">
        <v>0.59499999999999997</v>
      </c>
      <c r="CE117" s="355">
        <v>0.59799999999999998</v>
      </c>
      <c r="CF117" s="355">
        <v>0.57150000000000001</v>
      </c>
      <c r="CG117" s="355">
        <v>0.63719999999999999</v>
      </c>
      <c r="CH117" s="355">
        <v>0.60399999999999998</v>
      </c>
      <c r="CI117" s="355">
        <v>0.60070000000000001</v>
      </c>
      <c r="CJ117" s="713" t="s">
        <v>443</v>
      </c>
      <c r="CK117" s="620">
        <v>20</v>
      </c>
      <c r="CL117" s="620">
        <v>18</v>
      </c>
      <c r="CM117" s="620">
        <v>0.60740000000000005</v>
      </c>
      <c r="CN117" s="620">
        <v>0.5837</v>
      </c>
      <c r="CO117" s="620">
        <v>0.56999999999999995</v>
      </c>
      <c r="CP117" s="620">
        <v>0.64100000000000001</v>
      </c>
      <c r="CQ117" s="620">
        <v>0.61170000000000002</v>
      </c>
      <c r="CR117" s="711">
        <v>0.60140000000000005</v>
      </c>
      <c r="CS117" s="564" t="s">
        <v>443</v>
      </c>
      <c r="CT117" s="791">
        <v>10</v>
      </c>
      <c r="CU117" s="791">
        <v>10</v>
      </c>
      <c r="CV117" s="795">
        <v>0.5706</v>
      </c>
      <c r="CW117" s="795">
        <v>0.5121</v>
      </c>
      <c r="CX117" s="795">
        <v>0.57289999999999996</v>
      </c>
      <c r="CY117" s="795">
        <v>0.59589999999999999</v>
      </c>
      <c r="CZ117" s="795">
        <v>0.60029999999999994</v>
      </c>
      <c r="DA117" s="795">
        <v>0.56579999999999997</v>
      </c>
      <c r="DB117" s="884" t="s">
        <v>443</v>
      </c>
      <c r="DC117" s="884">
        <v>61</v>
      </c>
      <c r="DD117" s="884">
        <v>55</v>
      </c>
      <c r="DE117" s="884">
        <v>0.58950000000000002</v>
      </c>
      <c r="DF117" s="133">
        <v>0.57099999999999995</v>
      </c>
      <c r="DG117" s="133">
        <v>0.53159999999999996</v>
      </c>
      <c r="DH117" s="133">
        <v>0.64690000000000003</v>
      </c>
      <c r="DI117" s="133">
        <v>0.60550000000000004</v>
      </c>
      <c r="DJ117" s="133">
        <v>0.58630000000000004</v>
      </c>
    </row>
    <row r="118" spans="1:114" x14ac:dyDescent="0.25">
      <c r="A118" s="36" t="s">
        <v>24</v>
      </c>
      <c r="B118" s="668">
        <v>325754004050</v>
      </c>
      <c r="C118" s="134" t="s">
        <v>452</v>
      </c>
      <c r="D118" s="134" t="s">
        <v>307</v>
      </c>
      <c r="E118" s="134" t="s">
        <v>671</v>
      </c>
      <c r="F118" s="134" t="s">
        <v>123</v>
      </c>
      <c r="G118" s="165" t="s">
        <v>295</v>
      </c>
      <c r="H118" s="166">
        <v>36</v>
      </c>
      <c r="I118" s="166">
        <v>36</v>
      </c>
      <c r="J118" s="166">
        <v>0.69350000000000001</v>
      </c>
      <c r="K118" s="166">
        <v>0.66659999999999997</v>
      </c>
      <c r="L118" s="166">
        <v>0.6835</v>
      </c>
      <c r="M118" s="166">
        <v>0.70320000000000005</v>
      </c>
      <c r="N118" s="166">
        <v>0.64039999999999997</v>
      </c>
      <c r="O118" s="166">
        <v>0.68320000000000003</v>
      </c>
      <c r="P118" s="173" t="s">
        <v>295</v>
      </c>
      <c r="Q118" s="174" t="s">
        <v>428</v>
      </c>
      <c r="R118" s="174" t="s">
        <v>428</v>
      </c>
      <c r="S118" s="174">
        <v>0.70879999999999999</v>
      </c>
      <c r="T118" s="174">
        <v>0.65620000000000001</v>
      </c>
      <c r="U118" s="174">
        <v>0.69630000000000003</v>
      </c>
      <c r="V118" s="174">
        <v>0.72019999999999995</v>
      </c>
      <c r="W118" s="174">
        <v>0.67410000000000003</v>
      </c>
      <c r="X118" s="174">
        <v>0.69369999999999998</v>
      </c>
      <c r="Y118" s="138" t="s">
        <v>295</v>
      </c>
      <c r="Z118" s="134" t="s">
        <v>439</v>
      </c>
      <c r="AA118" s="134" t="s">
        <v>439</v>
      </c>
      <c r="AB118" s="137">
        <v>0.70599999999999996</v>
      </c>
      <c r="AC118" s="137">
        <v>0.70950000000000002</v>
      </c>
      <c r="AD118" s="137">
        <v>0.71389999999999998</v>
      </c>
      <c r="AE118" s="137">
        <v>0.72270000000000001</v>
      </c>
      <c r="AF118" s="137">
        <v>0.68700000000000006</v>
      </c>
      <c r="AG118" s="137">
        <v>0.71099999999999997</v>
      </c>
      <c r="AH118" s="159" t="s">
        <v>295</v>
      </c>
      <c r="AI118" s="134" t="s">
        <v>400</v>
      </c>
      <c r="AJ118" s="134" t="s">
        <v>401</v>
      </c>
      <c r="AK118" s="137">
        <v>0.68940000000000001</v>
      </c>
      <c r="AL118" s="137">
        <v>0.68500000000000005</v>
      </c>
      <c r="AM118" s="137">
        <v>0.69430000000000003</v>
      </c>
      <c r="AN118" s="137">
        <v>0.71579999999999999</v>
      </c>
      <c r="AO118" s="137">
        <v>0.6754</v>
      </c>
      <c r="AP118" s="137">
        <v>0.69450000000000001</v>
      </c>
      <c r="AQ118" s="142" t="s">
        <v>427</v>
      </c>
      <c r="AR118" s="134" t="s">
        <v>428</v>
      </c>
      <c r="AS118" s="134" t="s">
        <v>429</v>
      </c>
      <c r="AT118" s="137">
        <v>0.65759999999999996</v>
      </c>
      <c r="AU118" s="137">
        <v>0.6613</v>
      </c>
      <c r="AV118" s="137">
        <v>0.66490000000000005</v>
      </c>
      <c r="AW118" s="137">
        <v>0.69510000000000005</v>
      </c>
      <c r="AX118" s="137">
        <v>0.65569999999999995</v>
      </c>
      <c r="AY118" s="137">
        <v>0.66859999999999997</v>
      </c>
      <c r="AZ118" s="141" t="s">
        <v>427</v>
      </c>
      <c r="BA118" s="134" t="s">
        <v>379</v>
      </c>
      <c r="BB118" s="134" t="s">
        <v>518</v>
      </c>
      <c r="BC118" s="137">
        <v>0.63360000000000005</v>
      </c>
      <c r="BD118" s="137">
        <v>0.61980000000000002</v>
      </c>
      <c r="BE118" s="137">
        <v>0.64049999999999996</v>
      </c>
      <c r="BF118" s="137">
        <v>0.68430000000000002</v>
      </c>
      <c r="BG118" s="137">
        <v>0.61350000000000005</v>
      </c>
      <c r="BH118" s="137">
        <v>0.64219999999999999</v>
      </c>
      <c r="BI118" s="140" t="s">
        <v>427</v>
      </c>
      <c r="BJ118" s="152">
        <v>17</v>
      </c>
      <c r="BK118" s="152">
        <v>16</v>
      </c>
      <c r="BL118" s="137">
        <v>0.68279999999999996</v>
      </c>
      <c r="BM118" s="137">
        <v>0.65259999999999996</v>
      </c>
      <c r="BN118" s="137">
        <v>0.66849999999999998</v>
      </c>
      <c r="BO118" s="137">
        <v>0.69099999999999995</v>
      </c>
      <c r="BP118" s="137">
        <v>0.61680000000000001</v>
      </c>
      <c r="BQ118" s="137">
        <v>0.6694</v>
      </c>
      <c r="BR118" s="277" t="s">
        <v>295</v>
      </c>
      <c r="BS118" s="270">
        <v>13</v>
      </c>
      <c r="BT118" s="270">
        <v>13</v>
      </c>
      <c r="BU118" s="270">
        <v>0.70069999999999999</v>
      </c>
      <c r="BV118" s="270">
        <v>0.69259999999999999</v>
      </c>
      <c r="BW118" s="270">
        <v>0.66390000000000005</v>
      </c>
      <c r="BX118" s="270">
        <v>0.72019999999999995</v>
      </c>
      <c r="BY118" s="270">
        <v>0.64370000000000005</v>
      </c>
      <c r="BZ118" s="270">
        <v>0.69040000000000001</v>
      </c>
      <c r="CA118" s="356" t="s">
        <v>295</v>
      </c>
      <c r="CB118" s="355" t="s">
        <v>429</v>
      </c>
      <c r="CC118" s="355" t="s">
        <v>429</v>
      </c>
      <c r="CD118" s="355">
        <v>0.68069999999999997</v>
      </c>
      <c r="CE118" s="355">
        <v>0.69689999999999996</v>
      </c>
      <c r="CF118" s="355">
        <v>0.65590000000000004</v>
      </c>
      <c r="CG118" s="355">
        <v>0.71589999999999998</v>
      </c>
      <c r="CH118" s="355">
        <v>0.66639999999999999</v>
      </c>
      <c r="CI118" s="355">
        <v>0.68579999999999997</v>
      </c>
      <c r="CJ118" s="715" t="s">
        <v>295</v>
      </c>
      <c r="CK118" s="620">
        <v>22</v>
      </c>
      <c r="CL118" s="620">
        <v>22</v>
      </c>
      <c r="CM118" s="620">
        <v>0.68920000000000003</v>
      </c>
      <c r="CN118" s="620">
        <v>0.70179999999999998</v>
      </c>
      <c r="CO118" s="620">
        <v>0.6784</v>
      </c>
      <c r="CP118" s="620">
        <v>0.72030000000000005</v>
      </c>
      <c r="CQ118" s="620">
        <v>0.71850000000000003</v>
      </c>
      <c r="CR118" s="711">
        <v>0.69899999999999995</v>
      </c>
      <c r="CS118" s="567" t="s">
        <v>295</v>
      </c>
      <c r="CT118" s="602">
        <v>27</v>
      </c>
      <c r="CU118" s="602">
        <v>27</v>
      </c>
      <c r="CV118" s="587">
        <v>0.68149999999999999</v>
      </c>
      <c r="CW118" s="587">
        <v>0.66649999999999998</v>
      </c>
      <c r="CX118" s="587">
        <v>0.65880000000000005</v>
      </c>
      <c r="CY118" s="587">
        <v>0.71330000000000005</v>
      </c>
      <c r="CZ118" s="587">
        <v>0.71289999999999998</v>
      </c>
      <c r="DA118" s="587">
        <v>0.6825</v>
      </c>
      <c r="DB118" s="884" t="s">
        <v>295</v>
      </c>
      <c r="DC118" s="884">
        <v>38</v>
      </c>
      <c r="DD118" s="884">
        <v>38</v>
      </c>
      <c r="DE118" s="884">
        <v>0.73119999999999996</v>
      </c>
      <c r="DF118" s="133">
        <v>0.69469999999999998</v>
      </c>
      <c r="DG118" s="133">
        <v>0.68410000000000004</v>
      </c>
      <c r="DH118" s="133">
        <v>0.7268</v>
      </c>
      <c r="DI118" s="133">
        <v>0.73540000000000005</v>
      </c>
      <c r="DJ118" s="133">
        <v>0.71120000000000005</v>
      </c>
    </row>
    <row r="119" spans="1:114" x14ac:dyDescent="0.25">
      <c r="A119" s="36" t="s">
        <v>36</v>
      </c>
      <c r="B119" s="668">
        <v>425754001551</v>
      </c>
      <c r="C119" s="134" t="s">
        <v>452</v>
      </c>
      <c r="D119" s="134" t="s">
        <v>307</v>
      </c>
      <c r="E119" s="134" t="s">
        <v>671</v>
      </c>
      <c r="F119" s="134" t="s">
        <v>123</v>
      </c>
      <c r="G119" s="168" t="s">
        <v>294</v>
      </c>
      <c r="H119" s="166">
        <v>151</v>
      </c>
      <c r="I119" s="166">
        <v>151</v>
      </c>
      <c r="J119" s="166">
        <v>0.73670000000000002</v>
      </c>
      <c r="K119" s="166">
        <v>0.749</v>
      </c>
      <c r="L119" s="166">
        <v>0.74380000000000002</v>
      </c>
      <c r="M119" s="166">
        <v>0.74270000000000003</v>
      </c>
      <c r="N119" s="166">
        <v>0.72209999999999996</v>
      </c>
      <c r="O119" s="166">
        <v>0.74139999999999995</v>
      </c>
      <c r="P119" s="177" t="s">
        <v>294</v>
      </c>
      <c r="Q119" s="174" t="s">
        <v>553</v>
      </c>
      <c r="R119" s="174" t="s">
        <v>553</v>
      </c>
      <c r="S119" s="174">
        <v>0.73499999999999999</v>
      </c>
      <c r="T119" s="174">
        <v>0.74939999999999996</v>
      </c>
      <c r="U119" s="174">
        <v>0.74280000000000002</v>
      </c>
      <c r="V119" s="174">
        <v>0.73540000000000005</v>
      </c>
      <c r="W119" s="174">
        <v>0.72419999999999995</v>
      </c>
      <c r="X119" s="174">
        <v>0.73939999999999995</v>
      </c>
      <c r="Y119" s="145" t="s">
        <v>294</v>
      </c>
      <c r="Z119" s="134" t="s">
        <v>354</v>
      </c>
      <c r="AA119" s="134" t="s">
        <v>354</v>
      </c>
      <c r="AB119" s="137">
        <v>0.75039999999999996</v>
      </c>
      <c r="AC119" s="137">
        <v>0.76349999999999996</v>
      </c>
      <c r="AD119" s="137">
        <v>0.748</v>
      </c>
      <c r="AE119" s="137">
        <v>0.73899999999999999</v>
      </c>
      <c r="AF119" s="137">
        <v>0.7369</v>
      </c>
      <c r="AG119" s="137">
        <v>0.74919999999999998</v>
      </c>
      <c r="AH119" s="158" t="s">
        <v>294</v>
      </c>
      <c r="AI119" s="134" t="s">
        <v>341</v>
      </c>
      <c r="AJ119" s="134" t="s">
        <v>341</v>
      </c>
      <c r="AK119" s="137">
        <v>0.76959999999999995</v>
      </c>
      <c r="AL119" s="137">
        <v>0.77359999999999995</v>
      </c>
      <c r="AM119" s="137">
        <v>0.75790000000000002</v>
      </c>
      <c r="AN119" s="137">
        <v>0.75380000000000003</v>
      </c>
      <c r="AO119" s="137">
        <v>0.75170000000000003</v>
      </c>
      <c r="AP119" s="137">
        <v>0.76280000000000003</v>
      </c>
      <c r="AQ119" s="148" t="s">
        <v>293</v>
      </c>
      <c r="AR119" s="134" t="s">
        <v>319</v>
      </c>
      <c r="AS119" s="134" t="s">
        <v>319</v>
      </c>
      <c r="AT119" s="137">
        <v>0.78759999999999997</v>
      </c>
      <c r="AU119" s="137">
        <v>0.77739999999999998</v>
      </c>
      <c r="AV119" s="137">
        <v>0.76449999999999996</v>
      </c>
      <c r="AW119" s="137">
        <v>0.77</v>
      </c>
      <c r="AX119" s="137">
        <v>0.75590000000000002</v>
      </c>
      <c r="AY119" s="137">
        <v>0.77339999999999998</v>
      </c>
      <c r="AZ119" s="147" t="s">
        <v>293</v>
      </c>
      <c r="BA119" s="134" t="s">
        <v>335</v>
      </c>
      <c r="BB119" s="134" t="s">
        <v>335</v>
      </c>
      <c r="BC119" s="137">
        <v>0.79320000000000002</v>
      </c>
      <c r="BD119" s="137">
        <v>0.77210000000000001</v>
      </c>
      <c r="BE119" s="137">
        <v>0.76449999999999996</v>
      </c>
      <c r="BF119" s="137">
        <v>0.77600000000000002</v>
      </c>
      <c r="BG119" s="137">
        <v>0.75449999999999995</v>
      </c>
      <c r="BH119" s="137">
        <v>0.77470000000000006</v>
      </c>
      <c r="BI119" s="149" t="s">
        <v>294</v>
      </c>
      <c r="BJ119" s="152">
        <v>80</v>
      </c>
      <c r="BK119" s="152">
        <v>80</v>
      </c>
      <c r="BL119" s="137">
        <v>0.78449999999999998</v>
      </c>
      <c r="BM119" s="137">
        <v>0.75039999999999996</v>
      </c>
      <c r="BN119" s="137">
        <v>0.754</v>
      </c>
      <c r="BO119" s="137">
        <v>0.77159999999999995</v>
      </c>
      <c r="BP119" s="137">
        <v>0.74129999999999996</v>
      </c>
      <c r="BQ119" s="137">
        <v>0.76329999999999998</v>
      </c>
      <c r="BR119" s="281" t="s">
        <v>294</v>
      </c>
      <c r="BS119" s="270">
        <v>86</v>
      </c>
      <c r="BT119" s="270">
        <v>86</v>
      </c>
      <c r="BU119" s="270">
        <v>0.77700000000000002</v>
      </c>
      <c r="BV119" s="270">
        <v>0.74650000000000005</v>
      </c>
      <c r="BW119" s="270">
        <v>0.753</v>
      </c>
      <c r="BX119" s="270">
        <v>0.78349999999999997</v>
      </c>
      <c r="BY119" s="270">
        <v>0.76229999999999998</v>
      </c>
      <c r="BZ119" s="270">
        <v>0.76480000000000004</v>
      </c>
      <c r="CA119" s="364" t="s">
        <v>294</v>
      </c>
      <c r="CB119" s="355" t="s">
        <v>524</v>
      </c>
      <c r="CC119" s="355" t="s">
        <v>524</v>
      </c>
      <c r="CD119" s="355">
        <v>0.7742</v>
      </c>
      <c r="CE119" s="355">
        <v>0.74470000000000003</v>
      </c>
      <c r="CF119" s="355">
        <v>0.73950000000000005</v>
      </c>
      <c r="CG119" s="355">
        <v>0.79349999999999998</v>
      </c>
      <c r="CH119" s="355">
        <v>0.77039999999999997</v>
      </c>
      <c r="CI119" s="355">
        <v>0.76349999999999996</v>
      </c>
      <c r="CJ119" s="716" t="s">
        <v>293</v>
      </c>
      <c r="CK119" s="620">
        <v>80</v>
      </c>
      <c r="CL119" s="620">
        <v>80</v>
      </c>
      <c r="CM119" s="620">
        <v>0.78510000000000002</v>
      </c>
      <c r="CN119" s="620">
        <v>0.75870000000000004</v>
      </c>
      <c r="CO119" s="620">
        <v>0.75180000000000002</v>
      </c>
      <c r="CP119" s="620">
        <v>0.80889999999999995</v>
      </c>
      <c r="CQ119" s="620">
        <v>0.80969999999999998</v>
      </c>
      <c r="CR119" s="711">
        <v>0.77869999999999995</v>
      </c>
      <c r="CS119" s="567" t="s">
        <v>293</v>
      </c>
      <c r="CT119" s="602">
        <v>70</v>
      </c>
      <c r="CU119" s="602">
        <v>70</v>
      </c>
      <c r="CV119" s="587">
        <v>0.79910000000000003</v>
      </c>
      <c r="CW119" s="587">
        <v>0.75729999999999997</v>
      </c>
      <c r="CX119" s="587">
        <v>0.74980000000000002</v>
      </c>
      <c r="CY119" s="587">
        <v>0.81659999999999999</v>
      </c>
      <c r="CZ119" s="587">
        <v>0.80859999999999999</v>
      </c>
      <c r="DA119" s="587">
        <v>0.78280000000000005</v>
      </c>
      <c r="DB119" s="884" t="s">
        <v>293</v>
      </c>
      <c r="DC119" s="884">
        <v>70</v>
      </c>
      <c r="DD119" s="884">
        <v>70</v>
      </c>
      <c r="DE119" s="884">
        <v>0.79669999999999996</v>
      </c>
      <c r="DF119" s="133">
        <v>0.75</v>
      </c>
      <c r="DG119" s="133">
        <v>0.75290000000000001</v>
      </c>
      <c r="DH119" s="133">
        <v>0.81299999999999994</v>
      </c>
      <c r="DI119" s="133">
        <v>0.79720000000000002</v>
      </c>
      <c r="DJ119" s="133">
        <v>0.77959999999999996</v>
      </c>
    </row>
    <row r="120" spans="1:114" x14ac:dyDescent="0.25">
      <c r="A120" s="126" t="s">
        <v>728</v>
      </c>
      <c r="B120" s="668">
        <v>325754004203</v>
      </c>
      <c r="C120" s="134" t="s">
        <v>452</v>
      </c>
      <c r="D120" s="134" t="s">
        <v>307</v>
      </c>
      <c r="E120" s="134" t="s">
        <v>671</v>
      </c>
      <c r="F120" s="134" t="s">
        <v>123</v>
      </c>
      <c r="G120" s="167" t="s">
        <v>427</v>
      </c>
      <c r="H120" s="166">
        <v>16</v>
      </c>
      <c r="I120" s="166">
        <v>16</v>
      </c>
      <c r="J120" s="166">
        <v>0.66439999999999999</v>
      </c>
      <c r="K120" s="166">
        <v>0.65410000000000001</v>
      </c>
      <c r="L120" s="166">
        <v>0.63719999999999999</v>
      </c>
      <c r="M120" s="166">
        <v>0.67220000000000002</v>
      </c>
      <c r="N120" s="166">
        <v>0.66679999999999995</v>
      </c>
      <c r="O120" s="166">
        <v>0.65769999999999995</v>
      </c>
      <c r="P120" s="175" t="s">
        <v>427</v>
      </c>
      <c r="Q120" s="174" t="s">
        <v>416</v>
      </c>
      <c r="R120" s="174" t="s">
        <v>416</v>
      </c>
      <c r="S120" s="174">
        <v>0.65239999999999998</v>
      </c>
      <c r="T120" s="174">
        <v>0.65329999999999999</v>
      </c>
      <c r="U120" s="174">
        <v>0.64749999999999996</v>
      </c>
      <c r="V120" s="174">
        <v>0.65590000000000004</v>
      </c>
      <c r="W120" s="174">
        <v>0.6512</v>
      </c>
      <c r="X120" s="174">
        <v>0.6522</v>
      </c>
      <c r="Y120" s="141" t="s">
        <v>427</v>
      </c>
      <c r="Z120" s="134" t="s">
        <v>416</v>
      </c>
      <c r="AA120" s="134" t="s">
        <v>416</v>
      </c>
      <c r="AB120" s="137">
        <v>0.65239999999999998</v>
      </c>
      <c r="AC120" s="137">
        <v>0.65329999999999999</v>
      </c>
      <c r="AD120" s="137">
        <v>0.64749999999999996</v>
      </c>
      <c r="AE120" s="137">
        <v>0.65590000000000004</v>
      </c>
      <c r="AF120" s="137">
        <v>0.6512</v>
      </c>
      <c r="AG120" s="137">
        <v>0.6522</v>
      </c>
      <c r="AH120" s="155" t="s">
        <v>427</v>
      </c>
      <c r="AI120" s="134" t="s">
        <v>416</v>
      </c>
      <c r="AJ120" s="134" t="s">
        <v>416</v>
      </c>
      <c r="AK120" s="137">
        <v>0.65239999999999998</v>
      </c>
      <c r="AL120" s="137">
        <v>0.65329999999999999</v>
      </c>
      <c r="AM120" s="137">
        <v>0.64749999999999996</v>
      </c>
      <c r="AN120" s="137">
        <v>0.65590000000000004</v>
      </c>
      <c r="AO120" s="137">
        <v>0.6512</v>
      </c>
      <c r="AP120" s="137">
        <v>0.6522</v>
      </c>
      <c r="AQ120" s="142" t="s">
        <v>427</v>
      </c>
      <c r="AR120" s="134" t="s">
        <v>416</v>
      </c>
      <c r="AS120" s="134" t="s">
        <v>416</v>
      </c>
      <c r="AT120" s="137">
        <v>0.65239999999999998</v>
      </c>
      <c r="AU120" s="137">
        <v>0.65329999999999999</v>
      </c>
      <c r="AV120" s="137">
        <v>0.64749999999999996</v>
      </c>
      <c r="AW120" s="137">
        <v>0.65590000000000004</v>
      </c>
      <c r="AX120" s="137">
        <v>0.6512</v>
      </c>
      <c r="AY120" s="137">
        <v>0.6522</v>
      </c>
      <c r="AZ120" s="141" t="s">
        <v>427</v>
      </c>
      <c r="BA120" s="134" t="s">
        <v>416</v>
      </c>
      <c r="BB120" s="134" t="s">
        <v>416</v>
      </c>
      <c r="BC120" s="137">
        <v>0.65239999999999998</v>
      </c>
      <c r="BD120" s="137">
        <v>0.65329999999999999</v>
      </c>
      <c r="BE120" s="137">
        <v>0.64749999999999996</v>
      </c>
      <c r="BF120" s="137">
        <v>0.65590000000000004</v>
      </c>
      <c r="BG120" s="137">
        <v>0.6512</v>
      </c>
      <c r="BH120" s="137">
        <v>0.6522</v>
      </c>
      <c r="BI120" s="140" t="s">
        <v>427</v>
      </c>
      <c r="BJ120" s="152">
        <v>23</v>
      </c>
      <c r="BK120" s="152">
        <v>23</v>
      </c>
      <c r="BL120" s="137">
        <v>0.65239999999999998</v>
      </c>
      <c r="BM120" s="137">
        <v>0.65329999999999999</v>
      </c>
      <c r="BN120" s="137">
        <v>0.64749999999999996</v>
      </c>
      <c r="BO120" s="137">
        <v>0.65590000000000004</v>
      </c>
      <c r="BP120" s="137">
        <v>0.6512</v>
      </c>
      <c r="BQ120" s="137">
        <v>0.6522</v>
      </c>
      <c r="BR120" s="633"/>
      <c r="BS120" s="269"/>
      <c r="BT120" s="269"/>
      <c r="BU120" s="269"/>
      <c r="BV120" s="269"/>
      <c r="BW120" s="269"/>
      <c r="BX120" s="269"/>
      <c r="BY120" s="269"/>
      <c r="BZ120" s="269"/>
      <c r="CA120" s="344"/>
      <c r="CB120" s="344"/>
      <c r="CC120" s="344"/>
      <c r="CD120" s="344"/>
      <c r="CE120" s="344"/>
      <c r="CF120" s="344"/>
      <c r="CG120" s="344"/>
      <c r="CH120" s="344"/>
      <c r="CI120" s="681"/>
      <c r="CJ120" s="787"/>
      <c r="CK120" s="618"/>
      <c r="CL120" s="618"/>
      <c r="CM120" s="618"/>
      <c r="CN120" s="618"/>
      <c r="CO120" s="618"/>
      <c r="CP120" s="618"/>
      <c r="CQ120" s="618"/>
      <c r="CR120" s="622"/>
      <c r="CS120" s="784"/>
      <c r="CT120" s="790"/>
      <c r="CU120" s="790"/>
      <c r="CV120" s="794"/>
      <c r="CW120" s="794"/>
      <c r="CX120" s="794"/>
      <c r="CY120" s="794"/>
      <c r="CZ120" s="794"/>
      <c r="DA120" s="794"/>
      <c r="DB120" s="884" t="s">
        <v>295</v>
      </c>
      <c r="DC120" s="884">
        <v>21</v>
      </c>
      <c r="DD120" s="884">
        <v>20</v>
      </c>
      <c r="DE120" s="884">
        <v>0.73950000000000005</v>
      </c>
      <c r="DF120" s="133">
        <v>0.69410000000000005</v>
      </c>
      <c r="DG120" s="133">
        <v>0.69850000000000001</v>
      </c>
      <c r="DH120" s="133">
        <v>0.74270000000000003</v>
      </c>
      <c r="DI120" s="133">
        <v>0.73470000000000002</v>
      </c>
      <c r="DJ120" s="133">
        <v>0.71989999999999998</v>
      </c>
    </row>
    <row r="121" spans="1:114" x14ac:dyDescent="0.25">
      <c r="A121" s="36" t="s">
        <v>80</v>
      </c>
      <c r="B121" s="668">
        <v>325754004902</v>
      </c>
      <c r="C121" s="134" t="s">
        <v>452</v>
      </c>
      <c r="D121" s="134" t="s">
        <v>307</v>
      </c>
      <c r="E121" s="134" t="s">
        <v>671</v>
      </c>
      <c r="F121" s="134" t="s">
        <v>123</v>
      </c>
      <c r="G121" s="167" t="s">
        <v>427</v>
      </c>
      <c r="H121" s="166">
        <v>49</v>
      </c>
      <c r="I121" s="166">
        <v>47</v>
      </c>
      <c r="J121" s="166">
        <v>0.64039999999999997</v>
      </c>
      <c r="K121" s="166">
        <v>0.6401</v>
      </c>
      <c r="L121" s="166">
        <v>0.65339999999999998</v>
      </c>
      <c r="M121" s="166">
        <v>0.65159999999999996</v>
      </c>
      <c r="N121" s="166">
        <v>0.64980000000000004</v>
      </c>
      <c r="O121" s="166">
        <v>0.64659999999999995</v>
      </c>
      <c r="P121" s="629" t="s">
        <v>427</v>
      </c>
      <c r="Q121" s="166" t="s">
        <v>322</v>
      </c>
      <c r="R121" s="166" t="s">
        <v>420</v>
      </c>
      <c r="S121" s="166">
        <v>0.63109999999999999</v>
      </c>
      <c r="T121" s="166">
        <v>0.63839999999999997</v>
      </c>
      <c r="U121" s="166">
        <v>0.65900000000000003</v>
      </c>
      <c r="V121" s="166">
        <v>0.63170000000000004</v>
      </c>
      <c r="W121" s="166">
        <v>0.64759999999999995</v>
      </c>
      <c r="X121" s="166">
        <v>0.64059999999999995</v>
      </c>
      <c r="Y121" s="143" t="s">
        <v>443</v>
      </c>
      <c r="Z121" s="134" t="s">
        <v>82</v>
      </c>
      <c r="AA121" s="134" t="s">
        <v>486</v>
      </c>
      <c r="AB121" s="137">
        <v>0.58599999999999997</v>
      </c>
      <c r="AC121" s="137">
        <v>0.59430000000000005</v>
      </c>
      <c r="AD121" s="137">
        <v>0.58399999999999996</v>
      </c>
      <c r="AE121" s="137">
        <v>0.60719999999999996</v>
      </c>
      <c r="AF121" s="137">
        <v>0.63060000000000005</v>
      </c>
      <c r="AG121" s="137">
        <v>0.5958</v>
      </c>
      <c r="AH121" s="155" t="s">
        <v>427</v>
      </c>
      <c r="AI121" s="134" t="s">
        <v>450</v>
      </c>
      <c r="AJ121" s="134" t="s">
        <v>526</v>
      </c>
      <c r="AK121" s="137">
        <v>0.60860000000000003</v>
      </c>
      <c r="AL121" s="137">
        <v>0.64039999999999997</v>
      </c>
      <c r="AM121" s="137">
        <v>0.61360000000000003</v>
      </c>
      <c r="AN121" s="137">
        <v>0.65049999999999997</v>
      </c>
      <c r="AO121" s="137">
        <v>0.62919999999999998</v>
      </c>
      <c r="AP121" s="137">
        <v>0.62829999999999997</v>
      </c>
      <c r="AQ121" s="142" t="s">
        <v>427</v>
      </c>
      <c r="AR121" s="134" t="s">
        <v>437</v>
      </c>
      <c r="AS121" s="134" t="s">
        <v>438</v>
      </c>
      <c r="AT121" s="137">
        <v>0.63629999999999998</v>
      </c>
      <c r="AU121" s="137">
        <v>0.65129999999999999</v>
      </c>
      <c r="AV121" s="137">
        <v>0.62270000000000003</v>
      </c>
      <c r="AW121" s="137">
        <v>0.67659999999999998</v>
      </c>
      <c r="AX121" s="137">
        <v>0.6431</v>
      </c>
      <c r="AY121" s="137">
        <v>0.64649999999999996</v>
      </c>
      <c r="AZ121" s="141" t="s">
        <v>427</v>
      </c>
      <c r="BA121" s="134" t="s">
        <v>333</v>
      </c>
      <c r="BB121" s="134" t="s">
        <v>450</v>
      </c>
      <c r="BC121" s="137">
        <v>0.63880000000000003</v>
      </c>
      <c r="BD121" s="137">
        <v>0.64019999999999999</v>
      </c>
      <c r="BE121" s="137">
        <v>0.62</v>
      </c>
      <c r="BF121" s="137">
        <v>0.67869999999999997</v>
      </c>
      <c r="BG121" s="137">
        <v>0.63819999999999999</v>
      </c>
      <c r="BH121" s="137">
        <v>0.64400000000000002</v>
      </c>
      <c r="BI121" s="140" t="s">
        <v>427</v>
      </c>
      <c r="BJ121" s="152">
        <v>42</v>
      </c>
      <c r="BK121" s="152">
        <v>39</v>
      </c>
      <c r="BL121" s="137">
        <v>0.63919999999999999</v>
      </c>
      <c r="BM121" s="137">
        <v>0.61470000000000002</v>
      </c>
      <c r="BN121" s="137">
        <v>0.59370000000000001</v>
      </c>
      <c r="BO121" s="137">
        <v>0.6663</v>
      </c>
      <c r="BP121" s="137">
        <v>0.63290000000000002</v>
      </c>
      <c r="BQ121" s="137">
        <v>0.62880000000000003</v>
      </c>
      <c r="BR121" s="279" t="s">
        <v>427</v>
      </c>
      <c r="BS121" s="270">
        <v>38</v>
      </c>
      <c r="BT121" s="270">
        <v>38</v>
      </c>
      <c r="BU121" s="270">
        <v>0.65429999999999999</v>
      </c>
      <c r="BV121" s="270">
        <v>0.63590000000000002</v>
      </c>
      <c r="BW121" s="270">
        <v>0.60909999999999997</v>
      </c>
      <c r="BX121" s="270">
        <v>0.69279999999999997</v>
      </c>
      <c r="BY121" s="270">
        <v>0.64559999999999995</v>
      </c>
      <c r="BZ121" s="270">
        <v>0.64780000000000004</v>
      </c>
      <c r="CA121" s="356" t="s">
        <v>295</v>
      </c>
      <c r="CB121" s="355" t="s">
        <v>437</v>
      </c>
      <c r="CC121" s="355" t="s">
        <v>437</v>
      </c>
      <c r="CD121" s="355">
        <v>0.70830000000000004</v>
      </c>
      <c r="CE121" s="355">
        <v>0.67959999999999998</v>
      </c>
      <c r="CF121" s="355">
        <v>0.67079999999999995</v>
      </c>
      <c r="CG121" s="355">
        <v>0.73970000000000002</v>
      </c>
      <c r="CH121" s="355">
        <v>0.69130000000000003</v>
      </c>
      <c r="CI121" s="566">
        <v>0.69899999999999995</v>
      </c>
      <c r="CJ121" s="789" t="s">
        <v>294</v>
      </c>
      <c r="CK121" s="620">
        <v>46</v>
      </c>
      <c r="CL121" s="620">
        <v>46</v>
      </c>
      <c r="CM121" s="620">
        <v>0.72019999999999995</v>
      </c>
      <c r="CN121" s="620">
        <v>0.70909999999999995</v>
      </c>
      <c r="CO121" s="620">
        <v>0.71579999999999999</v>
      </c>
      <c r="CP121" s="620">
        <v>0.75309999999999999</v>
      </c>
      <c r="CQ121" s="620">
        <v>0.71540000000000004</v>
      </c>
      <c r="CR121" s="711">
        <v>0.72389999999999999</v>
      </c>
      <c r="CS121" s="567" t="s">
        <v>294</v>
      </c>
      <c r="CT121" s="602">
        <v>52</v>
      </c>
      <c r="CU121" s="602">
        <v>52</v>
      </c>
      <c r="CV121" s="587">
        <v>0.745</v>
      </c>
      <c r="CW121" s="587">
        <v>0.7268</v>
      </c>
      <c r="CX121" s="587">
        <v>0.74560000000000004</v>
      </c>
      <c r="CY121" s="587">
        <v>0.76939999999999997</v>
      </c>
      <c r="CZ121" s="587">
        <v>0.73870000000000002</v>
      </c>
      <c r="DA121" s="587">
        <v>0.74609999999999999</v>
      </c>
      <c r="DB121" s="884"/>
      <c r="DC121" s="884"/>
      <c r="DD121" s="884"/>
      <c r="DE121" s="884"/>
    </row>
    <row r="122" spans="1:114" x14ac:dyDescent="0.25">
      <c r="A122" s="36" t="s">
        <v>84</v>
      </c>
      <c r="B122" s="668">
        <v>325754003860</v>
      </c>
      <c r="C122" s="134" t="s">
        <v>452</v>
      </c>
      <c r="D122" s="134" t="s">
        <v>307</v>
      </c>
      <c r="E122" s="134" t="s">
        <v>671</v>
      </c>
      <c r="F122" s="134" t="s">
        <v>123</v>
      </c>
      <c r="G122" s="167" t="s">
        <v>427</v>
      </c>
      <c r="H122" s="166">
        <v>146</v>
      </c>
      <c r="I122" s="166">
        <v>146</v>
      </c>
      <c r="J122" s="166">
        <v>0.65349999999999997</v>
      </c>
      <c r="K122" s="166">
        <v>0.66259999999999997</v>
      </c>
      <c r="L122" s="166">
        <v>0.67169999999999996</v>
      </c>
      <c r="M122" s="166">
        <v>0.68430000000000002</v>
      </c>
      <c r="N122" s="166">
        <v>0.66120000000000001</v>
      </c>
      <c r="O122" s="166">
        <v>0.66749999999999998</v>
      </c>
      <c r="P122" s="175" t="s">
        <v>427</v>
      </c>
      <c r="Q122" s="174" t="s">
        <v>682</v>
      </c>
      <c r="R122" s="174" t="s">
        <v>683</v>
      </c>
      <c r="S122" s="174">
        <v>0.63900000000000001</v>
      </c>
      <c r="T122" s="174">
        <v>0.66239999999999999</v>
      </c>
      <c r="U122" s="174">
        <v>0.65439999999999998</v>
      </c>
      <c r="V122" s="174">
        <v>0.66930000000000001</v>
      </c>
      <c r="W122" s="174">
        <v>0.65720000000000001</v>
      </c>
      <c r="X122" s="174">
        <v>0.65639999999999998</v>
      </c>
      <c r="Y122" s="141" t="s">
        <v>427</v>
      </c>
      <c r="Z122" s="134" t="s">
        <v>589</v>
      </c>
      <c r="AA122" s="134" t="s">
        <v>377</v>
      </c>
      <c r="AB122" s="137">
        <v>0.62690000000000001</v>
      </c>
      <c r="AC122" s="137">
        <v>0.66349999999999998</v>
      </c>
      <c r="AD122" s="137">
        <v>0.64249999999999996</v>
      </c>
      <c r="AE122" s="137">
        <v>0.66039999999999999</v>
      </c>
      <c r="AF122" s="137">
        <v>0.67179999999999995</v>
      </c>
      <c r="AG122" s="137">
        <v>0.65010000000000001</v>
      </c>
      <c r="AH122" s="155" t="s">
        <v>427</v>
      </c>
      <c r="AI122" s="134" t="s">
        <v>364</v>
      </c>
      <c r="AJ122" s="134" t="s">
        <v>493</v>
      </c>
      <c r="AK122" s="137">
        <v>0.62319999999999998</v>
      </c>
      <c r="AL122" s="137">
        <v>0.67059999999999997</v>
      </c>
      <c r="AM122" s="137">
        <v>0.64159999999999995</v>
      </c>
      <c r="AN122" s="137">
        <v>0.67010000000000003</v>
      </c>
      <c r="AO122" s="137">
        <v>0.66910000000000003</v>
      </c>
      <c r="AP122" s="137">
        <v>0.65269999999999995</v>
      </c>
      <c r="AQ122" s="142" t="s">
        <v>427</v>
      </c>
      <c r="AR122" s="134" t="s">
        <v>388</v>
      </c>
      <c r="AS122" s="134" t="s">
        <v>433</v>
      </c>
      <c r="AT122" s="137">
        <v>0.63600000000000001</v>
      </c>
      <c r="AU122" s="137">
        <v>0.66459999999999997</v>
      </c>
      <c r="AV122" s="137">
        <v>0.6421</v>
      </c>
      <c r="AW122" s="137">
        <v>0.68810000000000004</v>
      </c>
      <c r="AX122" s="137">
        <v>0.67049999999999998</v>
      </c>
      <c r="AY122" s="137">
        <v>0.65869999999999995</v>
      </c>
      <c r="AZ122" s="141" t="s">
        <v>427</v>
      </c>
      <c r="BA122" s="134" t="s">
        <v>335</v>
      </c>
      <c r="BB122" s="134" t="s">
        <v>337</v>
      </c>
      <c r="BC122" s="137">
        <v>0.63090000000000002</v>
      </c>
      <c r="BD122" s="137">
        <v>0.63380000000000003</v>
      </c>
      <c r="BE122" s="137">
        <v>0.61839999999999995</v>
      </c>
      <c r="BF122" s="137">
        <v>0.69089999999999996</v>
      </c>
      <c r="BG122" s="137">
        <v>0.65039999999999998</v>
      </c>
      <c r="BH122" s="137">
        <v>0.64400000000000002</v>
      </c>
      <c r="BI122" s="140" t="s">
        <v>427</v>
      </c>
      <c r="BJ122" s="152">
        <v>75</v>
      </c>
      <c r="BK122" s="152">
        <v>69</v>
      </c>
      <c r="BL122" s="137">
        <v>0.62560000000000004</v>
      </c>
      <c r="BM122" s="137">
        <v>0.61780000000000002</v>
      </c>
      <c r="BN122" s="137">
        <v>0.61070000000000002</v>
      </c>
      <c r="BO122" s="137">
        <v>0.68379999999999996</v>
      </c>
      <c r="BP122" s="137">
        <v>0.63090000000000002</v>
      </c>
      <c r="BQ122" s="137">
        <v>0.63419999999999999</v>
      </c>
      <c r="BR122" s="279" t="s">
        <v>427</v>
      </c>
      <c r="BS122" s="270">
        <v>76</v>
      </c>
      <c r="BT122" s="270">
        <v>76</v>
      </c>
      <c r="BU122" s="270">
        <v>0.65429999999999999</v>
      </c>
      <c r="BV122" s="270">
        <v>0.63370000000000004</v>
      </c>
      <c r="BW122" s="270">
        <v>0.63970000000000005</v>
      </c>
      <c r="BX122" s="270">
        <v>0.71509999999999996</v>
      </c>
      <c r="BY122" s="270">
        <v>0.64159999999999995</v>
      </c>
      <c r="BZ122" s="270">
        <v>0.65920000000000001</v>
      </c>
      <c r="CA122" s="357" t="s">
        <v>427</v>
      </c>
      <c r="CB122" s="355" t="s">
        <v>466</v>
      </c>
      <c r="CC122" s="355" t="s">
        <v>466</v>
      </c>
      <c r="CD122" s="355">
        <v>0.64449999999999996</v>
      </c>
      <c r="CE122" s="355">
        <v>0.63149999999999995</v>
      </c>
      <c r="CF122" s="355">
        <v>0.628</v>
      </c>
      <c r="CG122" s="355">
        <v>0.71</v>
      </c>
      <c r="CH122" s="355">
        <v>0.63300000000000001</v>
      </c>
      <c r="CI122" s="565">
        <v>0.65190000000000003</v>
      </c>
      <c r="CJ122" s="718" t="s">
        <v>427</v>
      </c>
      <c r="CK122" s="620">
        <v>91</v>
      </c>
      <c r="CL122" s="620">
        <v>90</v>
      </c>
      <c r="CM122" s="620">
        <v>0.65480000000000005</v>
      </c>
      <c r="CN122" s="620">
        <v>0.64190000000000003</v>
      </c>
      <c r="CO122" s="620">
        <v>0.62350000000000005</v>
      </c>
      <c r="CP122" s="620">
        <v>0.71379999999999999</v>
      </c>
      <c r="CQ122" s="620">
        <v>0.66790000000000005</v>
      </c>
      <c r="CR122" s="711">
        <v>0.65920000000000001</v>
      </c>
      <c r="CS122" s="567" t="s">
        <v>295</v>
      </c>
      <c r="CT122" s="602">
        <v>110</v>
      </c>
      <c r="CU122" s="602">
        <v>105</v>
      </c>
      <c r="CV122" s="587">
        <v>0.67010000000000003</v>
      </c>
      <c r="CW122" s="587">
        <v>0.65849999999999997</v>
      </c>
      <c r="CX122" s="587">
        <v>0.64339999999999997</v>
      </c>
      <c r="CY122" s="587">
        <v>0.72719999999999996</v>
      </c>
      <c r="CZ122" s="587">
        <v>0.68059999999999998</v>
      </c>
      <c r="DA122" s="587">
        <v>0.67520000000000002</v>
      </c>
      <c r="DB122" s="884" t="s">
        <v>295</v>
      </c>
      <c r="DC122" s="884">
        <v>130</v>
      </c>
      <c r="DD122" s="884">
        <v>123</v>
      </c>
      <c r="DE122" s="884">
        <v>0.66700000000000004</v>
      </c>
      <c r="DF122" s="133">
        <v>0.65959999999999996</v>
      </c>
      <c r="DG122" s="133">
        <v>0.63219999999999998</v>
      </c>
      <c r="DH122" s="133">
        <v>0.72009999999999996</v>
      </c>
      <c r="DI122" s="133">
        <v>0.68179999999999996</v>
      </c>
      <c r="DJ122" s="133">
        <v>0.67059999999999997</v>
      </c>
    </row>
    <row r="123" spans="1:114" x14ac:dyDescent="0.25">
      <c r="A123" s="36" t="s">
        <v>79</v>
      </c>
      <c r="B123" s="668">
        <v>325754001883</v>
      </c>
      <c r="C123" s="134" t="s">
        <v>452</v>
      </c>
      <c r="D123" s="134" t="s">
        <v>307</v>
      </c>
      <c r="E123" s="134" t="s">
        <v>671</v>
      </c>
      <c r="F123" s="134" t="s">
        <v>123</v>
      </c>
      <c r="G123" s="167" t="s">
        <v>427</v>
      </c>
      <c r="H123" s="166">
        <v>46</v>
      </c>
      <c r="I123" s="166">
        <v>46</v>
      </c>
      <c r="J123" s="166">
        <v>0.66900000000000004</v>
      </c>
      <c r="K123" s="166">
        <v>0.67600000000000005</v>
      </c>
      <c r="L123" s="166">
        <v>0.67490000000000006</v>
      </c>
      <c r="M123" s="166">
        <v>0.6653</v>
      </c>
      <c r="N123" s="166">
        <v>0.64780000000000004</v>
      </c>
      <c r="O123" s="166">
        <v>0.66949999999999998</v>
      </c>
      <c r="P123" s="173" t="s">
        <v>295</v>
      </c>
      <c r="Q123" s="174" t="s">
        <v>431</v>
      </c>
      <c r="R123" s="174" t="s">
        <v>431</v>
      </c>
      <c r="S123" s="174">
        <v>0.65800000000000003</v>
      </c>
      <c r="T123" s="174">
        <v>0.6764</v>
      </c>
      <c r="U123" s="174">
        <v>0.69669999999999999</v>
      </c>
      <c r="V123" s="174">
        <v>0.67290000000000005</v>
      </c>
      <c r="W123" s="174">
        <v>0.65859999999999996</v>
      </c>
      <c r="X123" s="174">
        <v>0.67459999999999998</v>
      </c>
      <c r="Y123" s="138" t="s">
        <v>295</v>
      </c>
      <c r="Z123" s="134" t="s">
        <v>322</v>
      </c>
      <c r="AA123" s="134" t="s">
        <v>333</v>
      </c>
      <c r="AB123" s="137">
        <v>0.64449999999999996</v>
      </c>
      <c r="AC123" s="137">
        <v>0.68279999999999996</v>
      </c>
      <c r="AD123" s="137">
        <v>0.70760000000000001</v>
      </c>
      <c r="AE123" s="137">
        <v>0.67030000000000001</v>
      </c>
      <c r="AF123" s="137">
        <v>0.67520000000000002</v>
      </c>
      <c r="AG123" s="137">
        <v>0.67620000000000002</v>
      </c>
      <c r="AH123" s="159" t="s">
        <v>295</v>
      </c>
      <c r="AI123" s="134" t="s">
        <v>492</v>
      </c>
      <c r="AJ123" s="134" t="s">
        <v>367</v>
      </c>
      <c r="AK123" s="137">
        <v>0.66839999999999999</v>
      </c>
      <c r="AL123" s="137">
        <v>0.70379999999999998</v>
      </c>
      <c r="AM123" s="137">
        <v>0.71879999999999999</v>
      </c>
      <c r="AN123" s="137">
        <v>0.7198</v>
      </c>
      <c r="AO123" s="137">
        <v>0.69840000000000002</v>
      </c>
      <c r="AP123" s="137">
        <v>0.70240000000000002</v>
      </c>
      <c r="AQ123" s="150" t="s">
        <v>294</v>
      </c>
      <c r="AR123" s="134" t="s">
        <v>352</v>
      </c>
      <c r="AS123" s="134" t="s">
        <v>353</v>
      </c>
      <c r="AT123" s="137">
        <v>0.70830000000000004</v>
      </c>
      <c r="AU123" s="137">
        <v>0.71589999999999998</v>
      </c>
      <c r="AV123" s="137">
        <v>0.72270000000000001</v>
      </c>
      <c r="AW123" s="137">
        <v>0.76339999999999997</v>
      </c>
      <c r="AX123" s="137">
        <v>0.73570000000000002</v>
      </c>
      <c r="AY123" s="137">
        <v>0.72819999999999996</v>
      </c>
      <c r="AZ123" s="145" t="s">
        <v>294</v>
      </c>
      <c r="BA123" s="134" t="s">
        <v>328</v>
      </c>
      <c r="BB123" s="134" t="s">
        <v>332</v>
      </c>
      <c r="BC123" s="137">
        <v>0.72189999999999999</v>
      </c>
      <c r="BD123" s="137">
        <v>0.71479999999999999</v>
      </c>
      <c r="BE123" s="137">
        <v>0.7077</v>
      </c>
      <c r="BF123" s="137">
        <v>0.75580000000000003</v>
      </c>
      <c r="BG123" s="137">
        <v>0.72799999999999998</v>
      </c>
      <c r="BH123" s="137">
        <v>0.72529999999999994</v>
      </c>
      <c r="BI123" s="135" t="s">
        <v>295</v>
      </c>
      <c r="BJ123" s="152">
        <v>87</v>
      </c>
      <c r="BK123" s="152">
        <v>87</v>
      </c>
      <c r="BL123" s="137">
        <v>0.70820000000000005</v>
      </c>
      <c r="BM123" s="137">
        <v>0.69079999999999997</v>
      </c>
      <c r="BN123" s="137">
        <v>0.68920000000000003</v>
      </c>
      <c r="BO123" s="137">
        <v>0.74409999999999998</v>
      </c>
      <c r="BP123" s="137">
        <v>0.69510000000000005</v>
      </c>
      <c r="BQ123" s="137">
        <v>0.70709999999999995</v>
      </c>
      <c r="BR123" s="277" t="s">
        <v>295</v>
      </c>
      <c r="BS123" s="270">
        <v>98</v>
      </c>
      <c r="BT123" s="270">
        <v>98</v>
      </c>
      <c r="BU123" s="270">
        <v>0.68930000000000002</v>
      </c>
      <c r="BV123" s="270">
        <v>0.67579999999999996</v>
      </c>
      <c r="BW123" s="270">
        <v>0.65920000000000001</v>
      </c>
      <c r="BX123" s="270">
        <v>0.72599999999999998</v>
      </c>
      <c r="BY123" s="270">
        <v>0.67949999999999999</v>
      </c>
      <c r="BZ123" s="270">
        <v>0.68689999999999996</v>
      </c>
      <c r="CA123" s="356" t="s">
        <v>295</v>
      </c>
      <c r="CB123" s="355" t="s">
        <v>411</v>
      </c>
      <c r="CC123" s="355" t="s">
        <v>411</v>
      </c>
      <c r="CD123" s="355">
        <v>0.68320000000000003</v>
      </c>
      <c r="CE123" s="355">
        <v>0.66910000000000003</v>
      </c>
      <c r="CF123" s="355">
        <v>0.65410000000000001</v>
      </c>
      <c r="CG123" s="355">
        <v>0.72499999999999998</v>
      </c>
      <c r="CH123" s="355">
        <v>0.69240000000000002</v>
      </c>
      <c r="CI123" s="565">
        <v>0.68359999999999999</v>
      </c>
      <c r="CJ123" s="715" t="s">
        <v>295</v>
      </c>
      <c r="CK123" s="620">
        <v>115</v>
      </c>
      <c r="CL123" s="620">
        <v>115</v>
      </c>
      <c r="CM123" s="620">
        <v>0.68459999999999999</v>
      </c>
      <c r="CN123" s="620">
        <v>0.67630000000000001</v>
      </c>
      <c r="CO123" s="620">
        <v>0.65500000000000003</v>
      </c>
      <c r="CP123" s="620">
        <v>0.72529999999999994</v>
      </c>
      <c r="CQ123" s="620">
        <v>0.72250000000000003</v>
      </c>
      <c r="CR123" s="711">
        <v>0.68810000000000004</v>
      </c>
      <c r="CS123" s="567" t="s">
        <v>295</v>
      </c>
      <c r="CT123" s="602">
        <v>119</v>
      </c>
      <c r="CU123" s="602">
        <v>119</v>
      </c>
      <c r="CV123" s="587">
        <v>0.69399999999999995</v>
      </c>
      <c r="CW123" s="587">
        <v>0.68120000000000003</v>
      </c>
      <c r="CX123" s="587">
        <v>0.6583</v>
      </c>
      <c r="CY123" s="587">
        <v>0.72499999999999998</v>
      </c>
      <c r="CZ123" s="587">
        <v>0.7198</v>
      </c>
      <c r="DA123" s="587">
        <v>0.69199999999999995</v>
      </c>
      <c r="DB123" s="884" t="s">
        <v>295</v>
      </c>
      <c r="DC123" s="884">
        <v>132</v>
      </c>
      <c r="DD123" s="884">
        <v>131</v>
      </c>
      <c r="DE123" s="884">
        <v>0.70720000000000005</v>
      </c>
      <c r="DF123" s="133">
        <v>0.69399999999999995</v>
      </c>
      <c r="DG123" s="133">
        <v>0.68220000000000003</v>
      </c>
      <c r="DH123" s="133">
        <v>0.74239999999999995</v>
      </c>
      <c r="DI123" s="133">
        <v>0.72419999999999995</v>
      </c>
      <c r="DJ123" s="133">
        <v>0.70779999999999998</v>
      </c>
    </row>
    <row r="124" spans="1:114" x14ac:dyDescent="0.25">
      <c r="A124" s="36" t="s">
        <v>70</v>
      </c>
      <c r="B124" s="668">
        <v>325754004238</v>
      </c>
      <c r="C124" s="134" t="s">
        <v>452</v>
      </c>
      <c r="D124" s="134" t="s">
        <v>307</v>
      </c>
      <c r="E124" s="134" t="s">
        <v>671</v>
      </c>
      <c r="F124" s="134" t="s">
        <v>123</v>
      </c>
      <c r="G124" s="165" t="s">
        <v>295</v>
      </c>
      <c r="H124" s="166">
        <v>252</v>
      </c>
      <c r="I124" s="166">
        <v>251</v>
      </c>
      <c r="J124" s="166">
        <v>0.68520000000000003</v>
      </c>
      <c r="K124" s="166">
        <v>0.70399999999999996</v>
      </c>
      <c r="L124" s="166">
        <v>0.70079999999999998</v>
      </c>
      <c r="M124" s="166">
        <v>0.71779999999999999</v>
      </c>
      <c r="N124" s="166">
        <v>0.67959999999999998</v>
      </c>
      <c r="O124" s="166">
        <v>0.70030000000000003</v>
      </c>
      <c r="P124" s="173" t="s">
        <v>295</v>
      </c>
      <c r="Q124" s="174" t="s">
        <v>723</v>
      </c>
      <c r="R124" s="174" t="s">
        <v>591</v>
      </c>
      <c r="S124" s="174">
        <v>0.70099999999999996</v>
      </c>
      <c r="T124" s="174">
        <v>0.72870000000000001</v>
      </c>
      <c r="U124" s="174">
        <v>0.71489999999999998</v>
      </c>
      <c r="V124" s="174">
        <v>0.72389999999999999</v>
      </c>
      <c r="W124" s="174">
        <v>0.68840000000000001</v>
      </c>
      <c r="X124" s="174">
        <v>0.71489999999999998</v>
      </c>
      <c r="Y124" s="145" t="s">
        <v>294</v>
      </c>
      <c r="Z124" s="134" t="s">
        <v>537</v>
      </c>
      <c r="AA124" s="134" t="s">
        <v>538</v>
      </c>
      <c r="AB124" s="137">
        <v>0.71789999999999998</v>
      </c>
      <c r="AC124" s="137">
        <v>0.74470000000000003</v>
      </c>
      <c r="AD124" s="137">
        <v>0.71879999999999999</v>
      </c>
      <c r="AE124" s="137">
        <v>0.73399999999999999</v>
      </c>
      <c r="AF124" s="137">
        <v>0.71530000000000005</v>
      </c>
      <c r="AG124" s="137">
        <v>0.7278</v>
      </c>
      <c r="AH124" s="158" t="s">
        <v>294</v>
      </c>
      <c r="AI124" s="134" t="s">
        <v>469</v>
      </c>
      <c r="AJ124" s="134" t="s">
        <v>470</v>
      </c>
      <c r="AK124" s="137">
        <v>0.73560000000000003</v>
      </c>
      <c r="AL124" s="137">
        <v>0.74790000000000001</v>
      </c>
      <c r="AM124" s="137">
        <v>0.72460000000000002</v>
      </c>
      <c r="AN124" s="137">
        <v>0.74919999999999998</v>
      </c>
      <c r="AO124" s="137">
        <v>0.72189999999999999</v>
      </c>
      <c r="AP124" s="137">
        <v>0.73799999999999999</v>
      </c>
      <c r="AQ124" s="150" t="s">
        <v>294</v>
      </c>
      <c r="AR124" s="134" t="s">
        <v>331</v>
      </c>
      <c r="AS124" s="134" t="s">
        <v>348</v>
      </c>
      <c r="AT124" s="137">
        <v>0.7339</v>
      </c>
      <c r="AU124" s="137">
        <v>0.73089999999999999</v>
      </c>
      <c r="AV124" s="137">
        <v>0.71179999999999999</v>
      </c>
      <c r="AW124" s="137">
        <v>0.76270000000000004</v>
      </c>
      <c r="AX124" s="137">
        <v>0.73280000000000001</v>
      </c>
      <c r="AY124" s="137">
        <v>0.73470000000000002</v>
      </c>
      <c r="AZ124" s="145" t="s">
        <v>294</v>
      </c>
      <c r="BA124" s="134" t="s">
        <v>638</v>
      </c>
      <c r="BB124" s="134" t="s">
        <v>639</v>
      </c>
      <c r="BC124" s="137">
        <v>0.73140000000000005</v>
      </c>
      <c r="BD124" s="137">
        <v>0.70479999999999998</v>
      </c>
      <c r="BE124" s="137">
        <v>0.69610000000000005</v>
      </c>
      <c r="BF124" s="137">
        <v>0.76490000000000002</v>
      </c>
      <c r="BG124" s="137">
        <v>0.73260000000000003</v>
      </c>
      <c r="BH124" s="137">
        <v>0.72489999999999999</v>
      </c>
      <c r="BI124" s="135" t="s">
        <v>295</v>
      </c>
      <c r="BJ124" s="152">
        <v>427</v>
      </c>
      <c r="BK124" s="152">
        <v>425</v>
      </c>
      <c r="BL124" s="137">
        <v>0.72</v>
      </c>
      <c r="BM124" s="137">
        <v>0.67900000000000005</v>
      </c>
      <c r="BN124" s="137">
        <v>0.68149999999999999</v>
      </c>
      <c r="BO124" s="137">
        <v>0.75600000000000001</v>
      </c>
      <c r="BP124" s="137">
        <v>0.71740000000000004</v>
      </c>
      <c r="BQ124" s="137">
        <v>0.70979999999999999</v>
      </c>
      <c r="BR124" s="277" t="s">
        <v>295</v>
      </c>
      <c r="BS124" s="270">
        <v>448</v>
      </c>
      <c r="BT124" s="270">
        <v>446</v>
      </c>
      <c r="BU124" s="270">
        <v>0.71319999999999995</v>
      </c>
      <c r="BV124" s="270">
        <v>0.6663</v>
      </c>
      <c r="BW124" s="270">
        <v>0.66949999999999998</v>
      </c>
      <c r="BX124" s="270">
        <v>0.75019999999999998</v>
      </c>
      <c r="BY124" s="270">
        <v>0.70840000000000003</v>
      </c>
      <c r="BZ124" s="270">
        <v>0.70050000000000001</v>
      </c>
      <c r="CA124" s="356" t="s">
        <v>295</v>
      </c>
      <c r="CB124" s="355" t="s">
        <v>837</v>
      </c>
      <c r="CC124" s="355" t="s">
        <v>838</v>
      </c>
      <c r="CD124" s="355">
        <v>0.71419999999999995</v>
      </c>
      <c r="CE124" s="355">
        <v>0.66690000000000005</v>
      </c>
      <c r="CF124" s="355">
        <v>0.67479999999999996</v>
      </c>
      <c r="CG124" s="355">
        <v>0.74750000000000005</v>
      </c>
      <c r="CH124" s="355">
        <v>0.71060000000000001</v>
      </c>
      <c r="CI124" s="565">
        <v>0.7016</v>
      </c>
      <c r="CJ124" s="715" t="s">
        <v>295</v>
      </c>
      <c r="CK124" s="620">
        <v>487</v>
      </c>
      <c r="CL124" s="620">
        <v>483</v>
      </c>
      <c r="CM124" s="620">
        <v>0.72099999999999997</v>
      </c>
      <c r="CN124" s="620">
        <v>0.68340000000000001</v>
      </c>
      <c r="CO124" s="620">
        <v>0.6804</v>
      </c>
      <c r="CP124" s="620">
        <v>0.75590000000000002</v>
      </c>
      <c r="CQ124" s="620">
        <v>0.73480000000000001</v>
      </c>
      <c r="CR124" s="711">
        <v>0.71209999999999996</v>
      </c>
      <c r="CS124" s="567" t="s">
        <v>294</v>
      </c>
      <c r="CT124" s="602">
        <v>480</v>
      </c>
      <c r="CU124" s="602">
        <v>477</v>
      </c>
      <c r="CV124" s="587">
        <v>0.73580000000000001</v>
      </c>
      <c r="CW124" s="587">
        <v>0.6925</v>
      </c>
      <c r="CX124" s="587">
        <v>0.68810000000000004</v>
      </c>
      <c r="CY124" s="587">
        <v>0.75980000000000003</v>
      </c>
      <c r="CZ124" s="587">
        <v>0.73970000000000002</v>
      </c>
      <c r="DA124" s="587">
        <v>0.72060000000000002</v>
      </c>
      <c r="DB124" s="884" t="s">
        <v>294</v>
      </c>
      <c r="DC124" s="884">
        <v>453</v>
      </c>
      <c r="DD124" s="884">
        <v>449</v>
      </c>
      <c r="DE124" s="884">
        <v>0.74619999999999997</v>
      </c>
      <c r="DF124" s="133">
        <v>0.71199999999999997</v>
      </c>
      <c r="DG124" s="133">
        <v>0.69799999999999995</v>
      </c>
      <c r="DH124" s="133">
        <v>0.76719999999999999</v>
      </c>
      <c r="DI124" s="133">
        <v>0.74260000000000004</v>
      </c>
      <c r="DJ124" s="133">
        <v>0.73180000000000001</v>
      </c>
    </row>
    <row r="125" spans="1:114" x14ac:dyDescent="0.25">
      <c r="A125" s="643" t="s">
        <v>108</v>
      </c>
      <c r="B125" s="880">
        <v>325754005099</v>
      </c>
      <c r="C125" s="618" t="s">
        <v>452</v>
      </c>
      <c r="D125" s="618" t="s">
        <v>307</v>
      </c>
      <c r="E125" s="618" t="s">
        <v>671</v>
      </c>
      <c r="F125" s="618" t="s">
        <v>123</v>
      </c>
      <c r="G125" s="619" t="s">
        <v>294</v>
      </c>
      <c r="H125" s="620">
        <v>13</v>
      </c>
      <c r="I125" s="620">
        <v>13</v>
      </c>
      <c r="J125" s="620">
        <v>0.71120000000000005</v>
      </c>
      <c r="K125" s="620">
        <v>0.73340000000000005</v>
      </c>
      <c r="L125" s="620">
        <v>0.72909999999999997</v>
      </c>
      <c r="M125" s="620">
        <v>0.70830000000000004</v>
      </c>
      <c r="N125" s="620">
        <v>0.72599999999999998</v>
      </c>
      <c r="O125" s="620">
        <v>0.72089999999999999</v>
      </c>
      <c r="P125" s="619" t="s">
        <v>294</v>
      </c>
      <c r="Q125" s="620" t="s">
        <v>449</v>
      </c>
      <c r="R125" s="620" t="s">
        <v>449</v>
      </c>
      <c r="S125" s="620">
        <v>0.72919999999999996</v>
      </c>
      <c r="T125" s="620">
        <v>0.74490000000000001</v>
      </c>
      <c r="U125" s="620">
        <v>0.72589999999999999</v>
      </c>
      <c r="V125" s="620">
        <v>0.72370000000000001</v>
      </c>
      <c r="W125" s="620">
        <v>0.74770000000000003</v>
      </c>
      <c r="X125" s="620">
        <v>0.73219999999999996</v>
      </c>
      <c r="Y125" s="621" t="s">
        <v>294</v>
      </c>
      <c r="Z125" s="618" t="s">
        <v>50</v>
      </c>
      <c r="AA125" s="618" t="s">
        <v>50</v>
      </c>
      <c r="AB125" s="622">
        <v>0.76500000000000001</v>
      </c>
      <c r="AC125" s="622">
        <v>0.76970000000000005</v>
      </c>
      <c r="AD125" s="622">
        <v>0.75129999999999997</v>
      </c>
      <c r="AE125" s="622">
        <v>0.74670000000000003</v>
      </c>
      <c r="AF125" s="622">
        <v>0.77139999999999997</v>
      </c>
      <c r="AG125" s="622">
        <v>0.75919999999999999</v>
      </c>
      <c r="AH125" s="685" t="s">
        <v>293</v>
      </c>
      <c r="AI125" s="618" t="s">
        <v>453</v>
      </c>
      <c r="AJ125" s="618" t="s">
        <v>453</v>
      </c>
      <c r="AK125" s="622">
        <v>0.78959999999999997</v>
      </c>
      <c r="AL125" s="622">
        <v>0.78610000000000002</v>
      </c>
      <c r="AM125" s="622">
        <v>0.77529999999999999</v>
      </c>
      <c r="AN125" s="622">
        <v>0.76770000000000005</v>
      </c>
      <c r="AO125" s="622">
        <v>0.78979999999999995</v>
      </c>
      <c r="AP125" s="622">
        <v>0.78039999999999998</v>
      </c>
      <c r="AQ125" s="623" t="s">
        <v>293</v>
      </c>
      <c r="AR125" s="618" t="s">
        <v>309</v>
      </c>
      <c r="AS125" s="618" t="s">
        <v>310</v>
      </c>
      <c r="AT125" s="622">
        <v>0.79820000000000002</v>
      </c>
      <c r="AU125" s="622">
        <v>0.78749999999999998</v>
      </c>
      <c r="AV125" s="622">
        <v>0.77639999999999998</v>
      </c>
      <c r="AW125" s="622">
        <v>0.78680000000000005</v>
      </c>
      <c r="AX125" s="622">
        <v>0.80459999999999998</v>
      </c>
      <c r="AY125" s="622">
        <v>0.78859999999999997</v>
      </c>
      <c r="AZ125" s="621" t="s">
        <v>294</v>
      </c>
      <c r="BA125" s="618" t="s">
        <v>542</v>
      </c>
      <c r="BB125" s="618" t="s">
        <v>411</v>
      </c>
      <c r="BC125" s="622">
        <v>0.77900000000000003</v>
      </c>
      <c r="BD125" s="622">
        <v>0.75939999999999996</v>
      </c>
      <c r="BE125" s="622">
        <v>0.7349</v>
      </c>
      <c r="BF125" s="622">
        <v>0.77400000000000002</v>
      </c>
      <c r="BG125" s="622">
        <v>0.78310000000000002</v>
      </c>
      <c r="BH125" s="622">
        <v>0.76349999999999996</v>
      </c>
      <c r="BI125" s="775" t="s">
        <v>294</v>
      </c>
      <c r="BJ125" s="624">
        <v>151</v>
      </c>
      <c r="BK125" s="624">
        <v>135</v>
      </c>
      <c r="BL125" s="622">
        <v>0.76339999999999997</v>
      </c>
      <c r="BM125" s="622">
        <v>0.73640000000000005</v>
      </c>
      <c r="BN125" s="622">
        <v>0.71060000000000001</v>
      </c>
      <c r="BO125" s="622">
        <v>0.75900000000000001</v>
      </c>
      <c r="BP125" s="622">
        <v>0.74209999999999998</v>
      </c>
      <c r="BQ125" s="622">
        <v>0.74229999999999996</v>
      </c>
      <c r="BR125" s="778" t="s">
        <v>294</v>
      </c>
      <c r="BS125" s="620">
        <v>146</v>
      </c>
      <c r="BT125" s="620">
        <v>146</v>
      </c>
      <c r="BU125" s="620">
        <v>0.77070000000000005</v>
      </c>
      <c r="BV125" s="620">
        <v>0.73380000000000001</v>
      </c>
      <c r="BW125" s="620">
        <v>0.72319999999999995</v>
      </c>
      <c r="BX125" s="620">
        <v>0.7702</v>
      </c>
      <c r="BY125" s="620">
        <v>0.74660000000000004</v>
      </c>
      <c r="BZ125" s="620">
        <v>0.74929999999999997</v>
      </c>
      <c r="CA125" s="781" t="s">
        <v>294</v>
      </c>
      <c r="CB125" s="625" t="s">
        <v>554</v>
      </c>
      <c r="CC125" s="625" t="s">
        <v>554</v>
      </c>
      <c r="CD125" s="625">
        <v>0.77559999999999996</v>
      </c>
      <c r="CE125" s="625">
        <v>0.7369</v>
      </c>
      <c r="CF125" s="625">
        <v>0.74719999999999998</v>
      </c>
      <c r="CG125" s="625">
        <v>0.78169999999999995</v>
      </c>
      <c r="CH125" s="625">
        <v>0.76749999999999996</v>
      </c>
      <c r="CI125" s="565">
        <v>0.76090000000000002</v>
      </c>
      <c r="CJ125" s="716" t="s">
        <v>293</v>
      </c>
      <c r="CK125" s="620">
        <v>164</v>
      </c>
      <c r="CL125" s="620">
        <v>164</v>
      </c>
      <c r="CM125" s="620">
        <v>0.79169999999999996</v>
      </c>
      <c r="CN125" s="620">
        <v>0.74909999999999999</v>
      </c>
      <c r="CO125" s="620">
        <v>0.75280000000000002</v>
      </c>
      <c r="CP125" s="620">
        <v>0.80020000000000002</v>
      </c>
      <c r="CQ125" s="620">
        <v>0.81359999999999999</v>
      </c>
      <c r="CR125" s="711">
        <v>0.77659999999999996</v>
      </c>
      <c r="CS125" s="567" t="s">
        <v>293</v>
      </c>
      <c r="CT125" s="602">
        <v>178</v>
      </c>
      <c r="CU125" s="602">
        <v>177</v>
      </c>
      <c r="CV125" s="587">
        <v>0.80530000000000002</v>
      </c>
      <c r="CW125" s="587">
        <v>0.75800000000000001</v>
      </c>
      <c r="CX125" s="587">
        <v>0.75870000000000004</v>
      </c>
      <c r="CY125" s="587">
        <v>0.81200000000000006</v>
      </c>
      <c r="CZ125" s="587">
        <v>0.82389999999999997</v>
      </c>
      <c r="DA125" s="587">
        <v>0.78659999999999997</v>
      </c>
      <c r="DB125" s="884" t="s">
        <v>293</v>
      </c>
      <c r="DC125" s="884">
        <v>210</v>
      </c>
      <c r="DD125" s="884">
        <v>209</v>
      </c>
      <c r="DE125" s="884">
        <v>0.79959999999999998</v>
      </c>
      <c r="DF125" s="133">
        <v>0.75670000000000004</v>
      </c>
      <c r="DG125" s="133">
        <v>0.74960000000000004</v>
      </c>
      <c r="DH125" s="133">
        <v>0.81059999999999999</v>
      </c>
      <c r="DI125" s="133">
        <v>0.8226</v>
      </c>
      <c r="DJ125" s="133">
        <v>0.78249999999999997</v>
      </c>
    </row>
    <row r="126" spans="1:114" x14ac:dyDescent="0.25">
      <c r="A126" s="643" t="s">
        <v>92</v>
      </c>
      <c r="B126" s="880">
        <v>325754001905</v>
      </c>
      <c r="C126" s="618" t="s">
        <v>452</v>
      </c>
      <c r="D126" s="618" t="s">
        <v>307</v>
      </c>
      <c r="E126" s="618" t="s">
        <v>671</v>
      </c>
      <c r="F126" s="618" t="s">
        <v>123</v>
      </c>
      <c r="G126" s="626" t="s">
        <v>295</v>
      </c>
      <c r="H126" s="620">
        <v>43</v>
      </c>
      <c r="I126" s="620">
        <v>42</v>
      </c>
      <c r="J126" s="620">
        <v>0.67689999999999995</v>
      </c>
      <c r="K126" s="620">
        <v>0.6694</v>
      </c>
      <c r="L126" s="620">
        <v>0.6724</v>
      </c>
      <c r="M126" s="620">
        <v>0.69199999999999995</v>
      </c>
      <c r="N126" s="620">
        <v>0.67290000000000005</v>
      </c>
      <c r="O126" s="620">
        <v>0.67730000000000001</v>
      </c>
      <c r="P126" s="626" t="s">
        <v>295</v>
      </c>
      <c r="Q126" s="620" t="s">
        <v>492</v>
      </c>
      <c r="R126" s="620" t="s">
        <v>370</v>
      </c>
      <c r="S126" s="620">
        <v>0.67530000000000001</v>
      </c>
      <c r="T126" s="620">
        <v>0.68159999999999998</v>
      </c>
      <c r="U126" s="620">
        <v>0.65359999999999996</v>
      </c>
      <c r="V126" s="620">
        <v>0.68369999999999997</v>
      </c>
      <c r="W126" s="620">
        <v>0.66600000000000004</v>
      </c>
      <c r="X126" s="620">
        <v>0.67300000000000004</v>
      </c>
      <c r="Y126" s="630" t="s">
        <v>295</v>
      </c>
      <c r="Z126" s="618" t="s">
        <v>563</v>
      </c>
      <c r="AA126" s="618" t="s">
        <v>374</v>
      </c>
      <c r="AB126" s="622">
        <v>0.6956</v>
      </c>
      <c r="AC126" s="622">
        <v>0.71089999999999998</v>
      </c>
      <c r="AD126" s="622">
        <v>0.67210000000000003</v>
      </c>
      <c r="AE126" s="622">
        <v>0.68969999999999998</v>
      </c>
      <c r="AF126" s="622">
        <v>0.68120000000000003</v>
      </c>
      <c r="AG126" s="622">
        <v>0.69120000000000004</v>
      </c>
      <c r="AH126" s="631" t="s">
        <v>295</v>
      </c>
      <c r="AI126" s="618" t="s">
        <v>465</v>
      </c>
      <c r="AJ126" s="618" t="s">
        <v>310</v>
      </c>
      <c r="AK126" s="622">
        <v>0.7026</v>
      </c>
      <c r="AL126" s="622">
        <v>0.71199999999999997</v>
      </c>
      <c r="AM126" s="622">
        <v>0.66590000000000005</v>
      </c>
      <c r="AN126" s="622">
        <v>0.6895</v>
      </c>
      <c r="AO126" s="622">
        <v>0.68010000000000004</v>
      </c>
      <c r="AP126" s="622">
        <v>0.6915</v>
      </c>
      <c r="AQ126" s="632" t="s">
        <v>295</v>
      </c>
      <c r="AR126" s="618" t="s">
        <v>399</v>
      </c>
      <c r="AS126" s="618" t="s">
        <v>336</v>
      </c>
      <c r="AT126" s="622">
        <v>0.70609999999999995</v>
      </c>
      <c r="AU126" s="622">
        <v>0.71050000000000002</v>
      </c>
      <c r="AV126" s="622">
        <v>0.66239999999999999</v>
      </c>
      <c r="AW126" s="622">
        <v>0.69310000000000005</v>
      </c>
      <c r="AX126" s="622">
        <v>0.68769999999999998</v>
      </c>
      <c r="AY126" s="622">
        <v>0.69259999999999999</v>
      </c>
      <c r="AZ126" s="630" t="s">
        <v>295</v>
      </c>
      <c r="BA126" s="618" t="s">
        <v>332</v>
      </c>
      <c r="BB126" s="618" t="s">
        <v>432</v>
      </c>
      <c r="BC126" s="622">
        <v>0.70630000000000004</v>
      </c>
      <c r="BD126" s="622">
        <v>0.69440000000000002</v>
      </c>
      <c r="BE126" s="622">
        <v>0.64570000000000005</v>
      </c>
      <c r="BF126" s="622">
        <v>0.70330000000000004</v>
      </c>
      <c r="BG126" s="622">
        <v>0.69020000000000004</v>
      </c>
      <c r="BH126" s="622">
        <v>0.68759999999999999</v>
      </c>
      <c r="BI126" s="777" t="s">
        <v>295</v>
      </c>
      <c r="BJ126" s="624">
        <v>92</v>
      </c>
      <c r="BK126" s="624">
        <v>88</v>
      </c>
      <c r="BL126" s="622">
        <v>0.69799999999999995</v>
      </c>
      <c r="BM126" s="622">
        <v>0.66249999999999998</v>
      </c>
      <c r="BN126" s="622">
        <v>0.62980000000000003</v>
      </c>
      <c r="BO126" s="622">
        <v>0.70920000000000005</v>
      </c>
      <c r="BP126" s="622">
        <v>0.68230000000000002</v>
      </c>
      <c r="BQ126" s="622">
        <v>0.67549999999999999</v>
      </c>
      <c r="BR126" s="779" t="s">
        <v>295</v>
      </c>
      <c r="BS126" s="620">
        <v>126</v>
      </c>
      <c r="BT126" s="620">
        <v>125</v>
      </c>
      <c r="BU126" s="620">
        <v>0.68740000000000001</v>
      </c>
      <c r="BV126" s="620">
        <v>0.66080000000000005</v>
      </c>
      <c r="BW126" s="620">
        <v>0.64370000000000005</v>
      </c>
      <c r="BX126" s="620">
        <v>0.71430000000000005</v>
      </c>
      <c r="BY126" s="620">
        <v>0.67359999999999998</v>
      </c>
      <c r="BZ126" s="620">
        <v>0.67630000000000001</v>
      </c>
      <c r="CA126" s="634" t="s">
        <v>295</v>
      </c>
      <c r="CB126" s="625" t="s">
        <v>325</v>
      </c>
      <c r="CC126" s="625" t="s">
        <v>403</v>
      </c>
      <c r="CD126" s="625">
        <v>0.68320000000000003</v>
      </c>
      <c r="CE126" s="625">
        <v>0.66100000000000003</v>
      </c>
      <c r="CF126" s="625">
        <v>0.65659999999999996</v>
      </c>
      <c r="CG126" s="625">
        <v>0.71250000000000002</v>
      </c>
      <c r="CH126" s="625">
        <v>0.67600000000000005</v>
      </c>
      <c r="CI126" s="565">
        <v>0.67810000000000004</v>
      </c>
      <c r="CJ126" s="715" t="s">
        <v>295</v>
      </c>
      <c r="CK126" s="620">
        <v>157</v>
      </c>
      <c r="CL126" s="620">
        <v>156</v>
      </c>
      <c r="CM126" s="620">
        <v>0.69079999999999997</v>
      </c>
      <c r="CN126" s="620">
        <v>0.67210000000000003</v>
      </c>
      <c r="CO126" s="620">
        <v>0.66959999999999997</v>
      </c>
      <c r="CP126" s="620">
        <v>0.71079999999999999</v>
      </c>
      <c r="CQ126" s="620">
        <v>0.68579999999999997</v>
      </c>
      <c r="CR126" s="711">
        <v>0.68579999999999997</v>
      </c>
      <c r="CS126" s="567" t="s">
        <v>295</v>
      </c>
      <c r="CT126" s="602">
        <v>152</v>
      </c>
      <c r="CU126" s="602">
        <v>151</v>
      </c>
      <c r="CV126" s="587">
        <v>0.71550000000000002</v>
      </c>
      <c r="CW126" s="587">
        <v>0.68169999999999997</v>
      </c>
      <c r="CX126" s="587">
        <v>0.66739999999999999</v>
      </c>
      <c r="CY126" s="587">
        <v>0.72299999999999998</v>
      </c>
      <c r="CZ126" s="587">
        <v>0.69579999999999997</v>
      </c>
      <c r="DA126" s="587">
        <v>0.69689999999999996</v>
      </c>
      <c r="DB126" s="884" t="s">
        <v>295</v>
      </c>
      <c r="DC126" s="884">
        <v>176</v>
      </c>
      <c r="DD126" s="884">
        <v>172</v>
      </c>
      <c r="DE126" s="884">
        <v>0.72689999999999999</v>
      </c>
      <c r="DF126" s="133">
        <v>0.69450000000000001</v>
      </c>
      <c r="DG126" s="133">
        <v>0.65900000000000003</v>
      </c>
      <c r="DH126" s="133">
        <v>0.72640000000000005</v>
      </c>
      <c r="DI126" s="133">
        <v>0.69620000000000004</v>
      </c>
      <c r="DJ126" s="133">
        <v>0.70130000000000003</v>
      </c>
    </row>
    <row r="127" spans="1:114" ht="15" x14ac:dyDescent="0.25">
      <c r="A127" s="763" t="s">
        <v>130</v>
      </c>
      <c r="B127" s="668">
        <v>325754004246</v>
      </c>
      <c r="C127" s="134" t="s">
        <v>452</v>
      </c>
      <c r="D127" s="134" t="s">
        <v>307</v>
      </c>
      <c r="E127" s="134" t="s">
        <v>671</v>
      </c>
      <c r="F127" s="618" t="s">
        <v>123</v>
      </c>
      <c r="G127" s="134"/>
      <c r="H127" s="134"/>
      <c r="I127" s="134"/>
      <c r="J127" s="134"/>
      <c r="K127" s="134"/>
      <c r="L127" s="134"/>
      <c r="M127" s="134"/>
      <c r="N127" s="134"/>
      <c r="O127" s="134"/>
      <c r="P127" s="563"/>
      <c r="Q127" s="563"/>
      <c r="R127" s="563"/>
      <c r="S127" s="563"/>
      <c r="T127" s="563"/>
      <c r="U127" s="563"/>
      <c r="V127" s="563"/>
      <c r="W127" s="563"/>
      <c r="X127" s="563"/>
      <c r="Y127" s="134"/>
      <c r="Z127" s="134"/>
      <c r="AA127" s="134"/>
      <c r="AB127" s="134"/>
      <c r="AC127" s="134"/>
      <c r="AD127" s="134"/>
      <c r="AE127" s="134"/>
      <c r="AF127" s="134"/>
      <c r="AG127" s="134"/>
      <c r="AH127" s="134"/>
      <c r="AI127" s="134"/>
      <c r="AJ127" s="134"/>
      <c r="AK127" s="134"/>
      <c r="AL127" s="134"/>
      <c r="AM127" s="134"/>
      <c r="AN127" s="134"/>
      <c r="AO127" s="134"/>
      <c r="AP127" s="134"/>
      <c r="AQ127" s="134"/>
      <c r="AR127" s="134"/>
      <c r="AS127" s="134"/>
      <c r="AT127" s="134"/>
      <c r="AU127" s="134"/>
      <c r="AV127" s="134"/>
      <c r="AW127" s="134"/>
      <c r="AX127" s="134"/>
      <c r="AY127" s="134"/>
      <c r="AZ127" s="134"/>
      <c r="BA127" s="134"/>
      <c r="BB127" s="134"/>
      <c r="BC127" s="134"/>
      <c r="BD127" s="134"/>
      <c r="BE127" s="134"/>
      <c r="BF127" s="134"/>
      <c r="BG127" s="134"/>
      <c r="BH127" s="134"/>
      <c r="BI127" s="134"/>
      <c r="BJ127" s="134"/>
      <c r="BK127" s="134"/>
      <c r="BL127" s="134"/>
      <c r="BM127" s="134"/>
      <c r="BN127" s="134"/>
      <c r="BO127" s="134"/>
      <c r="BP127" s="134"/>
      <c r="BQ127" s="134"/>
      <c r="BR127" s="633"/>
      <c r="BS127" s="269"/>
      <c r="BT127" s="269"/>
      <c r="BU127" s="269"/>
      <c r="BV127" s="269"/>
      <c r="BW127" s="269"/>
      <c r="BX127" s="269"/>
      <c r="BY127" s="269"/>
      <c r="BZ127" s="269"/>
      <c r="CA127" s="344"/>
      <c r="CB127" s="344"/>
      <c r="CC127" s="344"/>
      <c r="CD127" s="344"/>
      <c r="CE127" s="344"/>
      <c r="CF127" s="344"/>
      <c r="CG127" s="344"/>
      <c r="CH127" s="344"/>
      <c r="CI127" s="784"/>
      <c r="CJ127" s="714"/>
      <c r="CK127" s="618"/>
      <c r="CL127" s="618"/>
      <c r="CM127" s="618"/>
      <c r="CN127" s="618"/>
      <c r="CO127" s="618"/>
      <c r="CP127" s="618"/>
      <c r="CQ127" s="618"/>
      <c r="CR127" s="618"/>
      <c r="CS127" s="784"/>
      <c r="CT127" s="793"/>
      <c r="CU127" s="793"/>
      <c r="CV127" s="793"/>
      <c r="CW127" s="793"/>
      <c r="CX127" s="793"/>
      <c r="CY127" s="793"/>
      <c r="CZ127" s="793"/>
      <c r="DA127" s="793"/>
      <c r="DB127" s="884"/>
      <c r="DC127" s="884"/>
      <c r="DD127" s="884"/>
      <c r="DE127" s="884"/>
    </row>
    <row r="128" spans="1:114" x14ac:dyDescent="0.25">
      <c r="A128" s="36" t="s">
        <v>115</v>
      </c>
      <c r="B128" s="668">
        <v>325754004033</v>
      </c>
      <c r="C128" s="134" t="s">
        <v>452</v>
      </c>
      <c r="D128" s="134" t="s">
        <v>307</v>
      </c>
      <c r="E128" s="134" t="s">
        <v>671</v>
      </c>
      <c r="F128" s="134" t="s">
        <v>123</v>
      </c>
      <c r="G128" s="134"/>
      <c r="H128" s="134"/>
      <c r="I128" s="134"/>
      <c r="J128" s="134"/>
      <c r="K128" s="134"/>
      <c r="L128" s="134"/>
      <c r="M128" s="134"/>
      <c r="N128" s="134"/>
      <c r="O128" s="134"/>
      <c r="P128" s="563"/>
      <c r="Q128" s="563"/>
      <c r="R128" s="563"/>
      <c r="S128" s="563"/>
      <c r="T128" s="563"/>
      <c r="U128" s="563"/>
      <c r="V128" s="563"/>
      <c r="W128" s="563"/>
      <c r="X128" s="563"/>
      <c r="Y128" s="145" t="s">
        <v>294</v>
      </c>
      <c r="Z128" s="134" t="s">
        <v>518</v>
      </c>
      <c r="AA128" s="134" t="s">
        <v>518</v>
      </c>
      <c r="AB128" s="137">
        <v>0.75419999999999998</v>
      </c>
      <c r="AC128" s="137">
        <v>0.73250000000000004</v>
      </c>
      <c r="AD128" s="137">
        <v>0.751</v>
      </c>
      <c r="AE128" s="137">
        <v>0.77759999999999996</v>
      </c>
      <c r="AF128" s="137">
        <v>0.74419999999999997</v>
      </c>
      <c r="AG128" s="137">
        <v>0.75309999999999999</v>
      </c>
      <c r="AH128" s="158" t="s">
        <v>294</v>
      </c>
      <c r="AI128" s="134" t="s">
        <v>429</v>
      </c>
      <c r="AJ128" s="134" t="s">
        <v>429</v>
      </c>
      <c r="AK128" s="137">
        <v>0.74029999999999996</v>
      </c>
      <c r="AL128" s="137">
        <v>0.71499999999999997</v>
      </c>
      <c r="AM128" s="137">
        <v>0.7218</v>
      </c>
      <c r="AN128" s="137">
        <v>0.75719999999999998</v>
      </c>
      <c r="AO128" s="137">
        <v>0.72130000000000005</v>
      </c>
      <c r="AP128" s="137">
        <v>0.73260000000000003</v>
      </c>
      <c r="AQ128" s="139" t="s">
        <v>295</v>
      </c>
      <c r="AR128" s="134" t="s">
        <v>322</v>
      </c>
      <c r="AS128" s="134" t="s">
        <v>333</v>
      </c>
      <c r="AT128" s="137">
        <v>0.71120000000000005</v>
      </c>
      <c r="AU128" s="137">
        <v>0.69720000000000004</v>
      </c>
      <c r="AV128" s="137">
        <v>0.70479999999999998</v>
      </c>
      <c r="AW128" s="137">
        <v>0.75009999999999999</v>
      </c>
      <c r="AX128" s="137">
        <v>0.68430000000000002</v>
      </c>
      <c r="AY128" s="137">
        <v>0.71340000000000003</v>
      </c>
      <c r="AZ128" s="138" t="s">
        <v>295</v>
      </c>
      <c r="BA128" s="134" t="s">
        <v>437</v>
      </c>
      <c r="BB128" s="134" t="s">
        <v>368</v>
      </c>
      <c r="BC128" s="137">
        <v>0.68510000000000004</v>
      </c>
      <c r="BD128" s="137">
        <v>0.6855</v>
      </c>
      <c r="BE128" s="137">
        <v>0.67200000000000004</v>
      </c>
      <c r="BF128" s="137">
        <v>0.73509999999999998</v>
      </c>
      <c r="BG128" s="137">
        <v>0.66359999999999997</v>
      </c>
      <c r="BH128" s="137">
        <v>0.69210000000000005</v>
      </c>
      <c r="BI128" s="135" t="s">
        <v>295</v>
      </c>
      <c r="BJ128" s="152">
        <v>64</v>
      </c>
      <c r="BK128" s="152">
        <v>62</v>
      </c>
      <c r="BL128" s="137">
        <v>0.67810000000000004</v>
      </c>
      <c r="BM128" s="137">
        <v>0.68969999999999998</v>
      </c>
      <c r="BN128" s="137">
        <v>0.69069999999999998</v>
      </c>
      <c r="BO128" s="137">
        <v>0.73199999999999998</v>
      </c>
      <c r="BP128" s="137">
        <v>0.65529999999999999</v>
      </c>
      <c r="BQ128" s="137">
        <v>0.69440000000000002</v>
      </c>
      <c r="BR128" s="277" t="s">
        <v>295</v>
      </c>
      <c r="BS128" s="270">
        <v>71</v>
      </c>
      <c r="BT128" s="270">
        <v>71</v>
      </c>
      <c r="BU128" s="270">
        <v>0.6855</v>
      </c>
      <c r="BV128" s="270">
        <v>0.69010000000000005</v>
      </c>
      <c r="BW128" s="270">
        <v>0.69110000000000005</v>
      </c>
      <c r="BX128" s="270">
        <v>0.72660000000000002</v>
      </c>
      <c r="BY128" s="270">
        <v>0.6663</v>
      </c>
      <c r="BZ128" s="270">
        <v>0.69589999999999996</v>
      </c>
      <c r="CA128" s="356" t="s">
        <v>295</v>
      </c>
      <c r="CB128" s="355" t="s">
        <v>310</v>
      </c>
      <c r="CC128" s="355" t="s">
        <v>434</v>
      </c>
      <c r="CD128" s="355">
        <v>0.67530000000000001</v>
      </c>
      <c r="CE128" s="355">
        <v>0.66590000000000005</v>
      </c>
      <c r="CF128" s="355">
        <v>0.6764</v>
      </c>
      <c r="CG128" s="355">
        <v>0.70920000000000005</v>
      </c>
      <c r="CH128" s="355">
        <v>0.64810000000000001</v>
      </c>
      <c r="CI128" s="565">
        <v>0.67910000000000004</v>
      </c>
      <c r="CJ128" s="715" t="s">
        <v>295</v>
      </c>
      <c r="CK128" s="620">
        <v>80</v>
      </c>
      <c r="CL128" s="620">
        <v>79</v>
      </c>
      <c r="CM128" s="620">
        <v>0.68469999999999998</v>
      </c>
      <c r="CN128" s="620">
        <v>0.66979999999999995</v>
      </c>
      <c r="CO128" s="620">
        <v>0.65620000000000001</v>
      </c>
      <c r="CP128" s="620">
        <v>0.71560000000000001</v>
      </c>
      <c r="CQ128" s="620">
        <v>0.66600000000000004</v>
      </c>
      <c r="CR128" s="711">
        <v>0.6804</v>
      </c>
      <c r="CS128" s="567" t="s">
        <v>295</v>
      </c>
      <c r="CT128" s="602">
        <v>86</v>
      </c>
      <c r="CU128" s="602">
        <v>83</v>
      </c>
      <c r="CV128" s="587">
        <v>0.68720000000000003</v>
      </c>
      <c r="CW128" s="587">
        <v>0.67159999999999997</v>
      </c>
      <c r="CX128" s="587">
        <v>0.65680000000000005</v>
      </c>
      <c r="CY128" s="587">
        <v>0.71970000000000001</v>
      </c>
      <c r="CZ128" s="587">
        <v>0.67659999999999998</v>
      </c>
      <c r="DA128" s="587">
        <v>0.68330000000000002</v>
      </c>
      <c r="DB128" s="884" t="s">
        <v>295</v>
      </c>
      <c r="DC128" s="884">
        <v>78</v>
      </c>
      <c r="DD128" s="884">
        <v>76</v>
      </c>
      <c r="DE128" s="884">
        <v>0.70909999999999995</v>
      </c>
      <c r="DF128" s="133">
        <v>0.69830000000000003</v>
      </c>
      <c r="DG128" s="133">
        <v>0.67769999999999997</v>
      </c>
      <c r="DH128" s="133">
        <v>0.74270000000000003</v>
      </c>
      <c r="DI128" s="133">
        <v>0.70320000000000005</v>
      </c>
      <c r="DJ128" s="133">
        <v>0.70669999999999999</v>
      </c>
    </row>
    <row r="129" spans="1:114" x14ac:dyDescent="0.25">
      <c r="A129" s="36" t="s">
        <v>37</v>
      </c>
      <c r="B129" s="881">
        <v>325754004211</v>
      </c>
      <c r="C129" s="134" t="s">
        <v>452</v>
      </c>
      <c r="D129" s="134" t="s">
        <v>307</v>
      </c>
      <c r="E129" s="134" t="s">
        <v>671</v>
      </c>
      <c r="F129" s="741" t="s">
        <v>123</v>
      </c>
      <c r="G129" s="744" t="s">
        <v>295</v>
      </c>
      <c r="H129" s="743">
        <v>102</v>
      </c>
      <c r="I129" s="743">
        <v>101</v>
      </c>
      <c r="J129" s="743">
        <v>0.66830000000000001</v>
      </c>
      <c r="K129" s="743">
        <v>0.65600000000000003</v>
      </c>
      <c r="L129" s="743">
        <v>0.68179999999999996</v>
      </c>
      <c r="M129" s="743">
        <v>0.70050000000000001</v>
      </c>
      <c r="N129" s="743">
        <v>0.65210000000000001</v>
      </c>
      <c r="O129" s="743">
        <v>0.67479999999999996</v>
      </c>
      <c r="P129" s="744" t="s">
        <v>295</v>
      </c>
      <c r="Q129" s="743" t="s">
        <v>354</v>
      </c>
      <c r="R129" s="743" t="s">
        <v>375</v>
      </c>
      <c r="S129" s="743">
        <v>0.6633</v>
      </c>
      <c r="T129" s="743">
        <v>0.65739999999999998</v>
      </c>
      <c r="U129" s="743">
        <v>0.68159999999999998</v>
      </c>
      <c r="V129" s="743">
        <v>0.68779999999999997</v>
      </c>
      <c r="W129" s="743">
        <v>0.65620000000000001</v>
      </c>
      <c r="X129" s="743">
        <v>0.67130000000000001</v>
      </c>
      <c r="Y129" s="745" t="s">
        <v>295</v>
      </c>
      <c r="Z129" s="741" t="s">
        <v>578</v>
      </c>
      <c r="AA129" s="741" t="s">
        <v>578</v>
      </c>
      <c r="AB129" s="746">
        <v>0.67200000000000004</v>
      </c>
      <c r="AC129" s="746">
        <v>0.67920000000000003</v>
      </c>
      <c r="AD129" s="746">
        <v>0.67420000000000002</v>
      </c>
      <c r="AE129" s="746">
        <v>0.69750000000000001</v>
      </c>
      <c r="AF129" s="746">
        <v>0.66920000000000002</v>
      </c>
      <c r="AG129" s="746">
        <v>0.67979999999999996</v>
      </c>
      <c r="AH129" s="747" t="s">
        <v>295</v>
      </c>
      <c r="AI129" s="741" t="s">
        <v>517</v>
      </c>
      <c r="AJ129" s="741" t="s">
        <v>517</v>
      </c>
      <c r="AK129" s="746">
        <v>0.66169999999999995</v>
      </c>
      <c r="AL129" s="746">
        <v>0.68220000000000003</v>
      </c>
      <c r="AM129" s="746">
        <v>0.67530000000000001</v>
      </c>
      <c r="AN129" s="746">
        <v>0.69679999999999997</v>
      </c>
      <c r="AO129" s="746">
        <v>0.66549999999999998</v>
      </c>
      <c r="AP129" s="746">
        <v>0.67800000000000005</v>
      </c>
      <c r="AQ129" s="748" t="s">
        <v>295</v>
      </c>
      <c r="AR129" s="741" t="s">
        <v>421</v>
      </c>
      <c r="AS129" s="741" t="s">
        <v>422</v>
      </c>
      <c r="AT129" s="746">
        <v>0.66479999999999995</v>
      </c>
      <c r="AU129" s="746">
        <v>0.68669999999999998</v>
      </c>
      <c r="AV129" s="746">
        <v>0.6704</v>
      </c>
      <c r="AW129" s="746">
        <v>0.71679999999999999</v>
      </c>
      <c r="AX129" s="746">
        <v>0.66359999999999997</v>
      </c>
      <c r="AY129" s="746">
        <v>0.68300000000000005</v>
      </c>
      <c r="AZ129" s="745" t="s">
        <v>295</v>
      </c>
      <c r="BA129" s="741" t="s">
        <v>319</v>
      </c>
      <c r="BB129" s="741" t="s">
        <v>467</v>
      </c>
      <c r="BC129" s="746">
        <v>0.64800000000000002</v>
      </c>
      <c r="BD129" s="746">
        <v>0.66669999999999996</v>
      </c>
      <c r="BE129" s="746">
        <v>0.65439999999999998</v>
      </c>
      <c r="BF129" s="746">
        <v>0.71860000000000002</v>
      </c>
      <c r="BG129" s="746">
        <v>0.65669999999999995</v>
      </c>
      <c r="BH129" s="746">
        <v>0.67079999999999995</v>
      </c>
      <c r="BI129" s="774" t="s">
        <v>427</v>
      </c>
      <c r="BJ129" s="750">
        <v>98</v>
      </c>
      <c r="BK129" s="750">
        <v>93</v>
      </c>
      <c r="BL129" s="746">
        <v>0.64770000000000005</v>
      </c>
      <c r="BM129" s="746">
        <v>0.6532</v>
      </c>
      <c r="BN129" s="746">
        <v>0.64180000000000004</v>
      </c>
      <c r="BO129" s="746">
        <v>0.7087</v>
      </c>
      <c r="BP129" s="746">
        <v>0.64419999999999999</v>
      </c>
      <c r="BQ129" s="746">
        <v>0.66139999999999999</v>
      </c>
      <c r="BR129" s="774" t="s">
        <v>427</v>
      </c>
      <c r="BS129" s="743">
        <v>90</v>
      </c>
      <c r="BT129" s="743">
        <v>88</v>
      </c>
      <c r="BU129" s="743">
        <v>0.66149999999999998</v>
      </c>
      <c r="BV129" s="743">
        <v>0.66090000000000004</v>
      </c>
      <c r="BW129" s="743">
        <v>0.64300000000000002</v>
      </c>
      <c r="BX129" s="743">
        <v>0.71419999999999995</v>
      </c>
      <c r="BY129" s="743">
        <v>0.63119999999999998</v>
      </c>
      <c r="BZ129" s="743">
        <v>0.66690000000000005</v>
      </c>
      <c r="CA129" s="762" t="s">
        <v>295</v>
      </c>
      <c r="CB129" s="752" t="s">
        <v>524</v>
      </c>
      <c r="CC129" s="752" t="s">
        <v>310</v>
      </c>
      <c r="CD129" s="752">
        <v>0.68130000000000002</v>
      </c>
      <c r="CE129" s="752">
        <v>0.66830000000000001</v>
      </c>
      <c r="CF129" s="752">
        <v>0.66390000000000005</v>
      </c>
      <c r="CG129" s="752">
        <v>0.71750000000000003</v>
      </c>
      <c r="CH129" s="752">
        <v>0.62780000000000002</v>
      </c>
      <c r="CI129" s="752">
        <v>0.67849999999999999</v>
      </c>
      <c r="CJ129" s="785" t="s">
        <v>295</v>
      </c>
      <c r="CK129" s="743">
        <v>91</v>
      </c>
      <c r="CL129" s="743">
        <v>90</v>
      </c>
      <c r="CM129" s="743">
        <v>0.69469999999999998</v>
      </c>
      <c r="CN129" s="743">
        <v>0.67100000000000004</v>
      </c>
      <c r="CO129" s="743">
        <v>0.67300000000000004</v>
      </c>
      <c r="CP129" s="743">
        <v>0.72250000000000003</v>
      </c>
      <c r="CQ129" s="743">
        <v>0.66600000000000004</v>
      </c>
      <c r="CR129" s="753">
        <v>0.68840000000000001</v>
      </c>
      <c r="CS129" s="754" t="s">
        <v>295</v>
      </c>
      <c r="CT129" s="754">
        <v>89</v>
      </c>
      <c r="CU129" s="754">
        <v>88</v>
      </c>
      <c r="CV129" s="755">
        <v>0.69030000000000002</v>
      </c>
      <c r="CW129" s="755">
        <v>0.67710000000000004</v>
      </c>
      <c r="CX129" s="755">
        <v>0.6825</v>
      </c>
      <c r="CY129" s="755">
        <v>0.72750000000000004</v>
      </c>
      <c r="CZ129" s="755">
        <v>0.70079999999999998</v>
      </c>
      <c r="DA129" s="755">
        <v>0.69489999999999996</v>
      </c>
      <c r="DB129" s="884" t="s">
        <v>295</v>
      </c>
      <c r="DC129" s="884">
        <v>90</v>
      </c>
      <c r="DD129" s="884">
        <v>90</v>
      </c>
      <c r="DE129" s="884">
        <v>0.68420000000000003</v>
      </c>
      <c r="DF129" s="133">
        <v>0.67759999999999998</v>
      </c>
      <c r="DG129" s="133">
        <v>0.67610000000000003</v>
      </c>
      <c r="DH129" s="133">
        <v>0.73199999999999998</v>
      </c>
      <c r="DI129" s="133">
        <v>0.70150000000000001</v>
      </c>
      <c r="DJ129" s="133">
        <v>0.69320000000000004</v>
      </c>
    </row>
    <row r="130" spans="1:114" x14ac:dyDescent="0.25">
      <c r="A130" s="36" t="s">
        <v>107</v>
      </c>
      <c r="B130" s="881">
        <v>325754003517</v>
      </c>
      <c r="C130" s="134" t="s">
        <v>452</v>
      </c>
      <c r="D130" s="134" t="s">
        <v>307</v>
      </c>
      <c r="E130" s="134" t="s">
        <v>671</v>
      </c>
      <c r="F130" s="741" t="s">
        <v>123</v>
      </c>
      <c r="G130" s="742" t="s">
        <v>294</v>
      </c>
      <c r="H130" s="743">
        <v>21</v>
      </c>
      <c r="I130" s="743">
        <v>21</v>
      </c>
      <c r="J130" s="743">
        <v>0.7399</v>
      </c>
      <c r="K130" s="743">
        <v>0.79079999999999995</v>
      </c>
      <c r="L130" s="743">
        <v>0.75160000000000005</v>
      </c>
      <c r="M130" s="743">
        <v>0.77329999999999999</v>
      </c>
      <c r="N130" s="743">
        <v>0.71679999999999999</v>
      </c>
      <c r="O130" s="743">
        <v>0.76029999999999998</v>
      </c>
      <c r="P130" s="742" t="s">
        <v>294</v>
      </c>
      <c r="Q130" s="743" t="s">
        <v>368</v>
      </c>
      <c r="R130" s="743" t="s">
        <v>368</v>
      </c>
      <c r="S130" s="743">
        <v>0.753</v>
      </c>
      <c r="T130" s="743">
        <v>0.76790000000000003</v>
      </c>
      <c r="U130" s="743">
        <v>0.73850000000000005</v>
      </c>
      <c r="V130" s="743">
        <v>0.74980000000000002</v>
      </c>
      <c r="W130" s="743">
        <v>0.71750000000000003</v>
      </c>
      <c r="X130" s="743">
        <v>0.74960000000000004</v>
      </c>
      <c r="Y130" s="767" t="s">
        <v>294</v>
      </c>
      <c r="Z130" s="741" t="s">
        <v>430</v>
      </c>
      <c r="AA130" s="741" t="s">
        <v>430</v>
      </c>
      <c r="AB130" s="746">
        <v>0.7722</v>
      </c>
      <c r="AC130" s="746">
        <v>0.78180000000000005</v>
      </c>
      <c r="AD130" s="746">
        <v>0.75409999999999999</v>
      </c>
      <c r="AE130" s="746">
        <v>0.76039999999999996</v>
      </c>
      <c r="AF130" s="746">
        <v>0.747</v>
      </c>
      <c r="AG130" s="746">
        <v>0.76559999999999995</v>
      </c>
      <c r="AH130" s="769" t="s">
        <v>293</v>
      </c>
      <c r="AI130" s="741" t="s">
        <v>454</v>
      </c>
      <c r="AJ130" s="741" t="s">
        <v>454</v>
      </c>
      <c r="AK130" s="746">
        <v>0.79079999999999995</v>
      </c>
      <c r="AL130" s="746">
        <v>0.78159999999999996</v>
      </c>
      <c r="AM130" s="746">
        <v>0.76290000000000002</v>
      </c>
      <c r="AN130" s="746">
        <v>0.76060000000000005</v>
      </c>
      <c r="AO130" s="746">
        <v>0.78090000000000004</v>
      </c>
      <c r="AP130" s="746">
        <v>0.77449999999999997</v>
      </c>
      <c r="AQ130" s="772" t="s">
        <v>293</v>
      </c>
      <c r="AR130" s="741" t="s">
        <v>308</v>
      </c>
      <c r="AS130" s="741" t="s">
        <v>308</v>
      </c>
      <c r="AT130" s="746">
        <v>0.80149999999999999</v>
      </c>
      <c r="AU130" s="746">
        <v>0.7974</v>
      </c>
      <c r="AV130" s="746">
        <v>0.77280000000000004</v>
      </c>
      <c r="AW130" s="746">
        <v>0.79479999999999995</v>
      </c>
      <c r="AX130" s="746">
        <v>0.82489999999999997</v>
      </c>
      <c r="AY130" s="746">
        <v>0.79420000000000002</v>
      </c>
      <c r="AZ130" s="773" t="s">
        <v>293</v>
      </c>
      <c r="BA130" s="741" t="s">
        <v>481</v>
      </c>
      <c r="BB130" s="741" t="s">
        <v>481</v>
      </c>
      <c r="BC130" s="746">
        <v>0.81179999999999997</v>
      </c>
      <c r="BD130" s="746">
        <v>0.78969999999999996</v>
      </c>
      <c r="BE130" s="746">
        <v>0.7581</v>
      </c>
      <c r="BF130" s="746">
        <v>0.79749999999999999</v>
      </c>
      <c r="BG130" s="746">
        <v>0.81420000000000003</v>
      </c>
      <c r="BH130" s="746">
        <v>0.79120000000000001</v>
      </c>
      <c r="BI130" s="776" t="s">
        <v>293</v>
      </c>
      <c r="BJ130" s="750">
        <v>75</v>
      </c>
      <c r="BK130" s="750">
        <v>75</v>
      </c>
      <c r="BL130" s="746">
        <v>0.8054</v>
      </c>
      <c r="BM130" s="746">
        <v>0.77969999999999995</v>
      </c>
      <c r="BN130" s="746">
        <v>0.7581</v>
      </c>
      <c r="BO130" s="746">
        <v>0.80030000000000001</v>
      </c>
      <c r="BP130" s="746">
        <v>0.77939999999999998</v>
      </c>
      <c r="BQ130" s="746">
        <v>0.78539999999999999</v>
      </c>
      <c r="BR130" s="776" t="s">
        <v>293</v>
      </c>
      <c r="BS130" s="743">
        <v>93</v>
      </c>
      <c r="BT130" s="743">
        <v>93</v>
      </c>
      <c r="BU130" s="743">
        <v>0.80730000000000002</v>
      </c>
      <c r="BV130" s="743">
        <v>0.77590000000000003</v>
      </c>
      <c r="BW130" s="743">
        <v>0.75929999999999997</v>
      </c>
      <c r="BX130" s="743">
        <v>0.80400000000000005</v>
      </c>
      <c r="BY130" s="743">
        <v>0.7732</v>
      </c>
      <c r="BZ130" s="743">
        <v>0.78559999999999997</v>
      </c>
      <c r="CA130" s="782" t="s">
        <v>293</v>
      </c>
      <c r="CB130" s="752" t="s">
        <v>532</v>
      </c>
      <c r="CC130" s="752" t="s">
        <v>532</v>
      </c>
      <c r="CD130" s="752">
        <v>0.79510000000000003</v>
      </c>
      <c r="CE130" s="752">
        <v>0.77159999999999995</v>
      </c>
      <c r="CF130" s="752">
        <v>0.76380000000000003</v>
      </c>
      <c r="CG130" s="752">
        <v>0.80940000000000001</v>
      </c>
      <c r="CH130" s="752">
        <v>0.76400000000000001</v>
      </c>
      <c r="CI130" s="752">
        <v>0.7833</v>
      </c>
      <c r="CJ130" s="786" t="s">
        <v>293</v>
      </c>
      <c r="CK130" s="743">
        <v>76</v>
      </c>
      <c r="CL130" s="743">
        <v>76</v>
      </c>
      <c r="CM130" s="743">
        <v>0.80879999999999996</v>
      </c>
      <c r="CN130" s="743">
        <v>0.7823</v>
      </c>
      <c r="CO130" s="743">
        <v>0.77339999999999998</v>
      </c>
      <c r="CP130" s="743">
        <v>0.82089999999999996</v>
      </c>
      <c r="CQ130" s="743">
        <v>0.79530000000000001</v>
      </c>
      <c r="CR130" s="753">
        <v>0.79630000000000001</v>
      </c>
      <c r="CS130" s="754" t="s">
        <v>293</v>
      </c>
      <c r="CT130" s="754">
        <v>72</v>
      </c>
      <c r="CU130" s="754">
        <v>72</v>
      </c>
      <c r="CV130" s="755">
        <v>0.81759999999999999</v>
      </c>
      <c r="CW130" s="755">
        <v>0.79630000000000001</v>
      </c>
      <c r="CX130" s="755">
        <v>0.79479999999999995</v>
      </c>
      <c r="CY130" s="755">
        <v>0.82879999999999998</v>
      </c>
      <c r="CZ130" s="755">
        <v>0.80889999999999995</v>
      </c>
      <c r="DA130" s="755">
        <v>0.80930000000000002</v>
      </c>
      <c r="DB130" s="884" t="s">
        <v>293</v>
      </c>
      <c r="DC130" s="884">
        <v>87</v>
      </c>
      <c r="DD130" s="884">
        <v>87</v>
      </c>
      <c r="DE130" s="884">
        <v>0.83579999999999999</v>
      </c>
      <c r="DF130" s="133">
        <v>0.80789999999999995</v>
      </c>
      <c r="DG130" s="133">
        <v>0.7984</v>
      </c>
      <c r="DH130" s="133">
        <v>0.82550000000000001</v>
      </c>
      <c r="DI130" s="133">
        <v>0.81630000000000003</v>
      </c>
      <c r="DJ130" s="133">
        <v>0.81689999999999996</v>
      </c>
    </row>
    <row r="131" spans="1:114" x14ac:dyDescent="0.25">
      <c r="A131" s="36" t="s">
        <v>18</v>
      </c>
      <c r="B131" s="881">
        <v>325754002901</v>
      </c>
      <c r="C131" s="134" t="s">
        <v>452</v>
      </c>
      <c r="D131" s="134" t="s">
        <v>307</v>
      </c>
      <c r="E131" s="134" t="s">
        <v>671</v>
      </c>
      <c r="F131" s="741" t="s">
        <v>123</v>
      </c>
      <c r="G131" s="742" t="s">
        <v>294</v>
      </c>
      <c r="H131" s="743">
        <v>197</v>
      </c>
      <c r="I131" s="743">
        <v>197</v>
      </c>
      <c r="J131" s="743">
        <v>0.73960000000000004</v>
      </c>
      <c r="K131" s="743">
        <v>0.74990000000000001</v>
      </c>
      <c r="L131" s="743">
        <v>0.75049999999999994</v>
      </c>
      <c r="M131" s="743">
        <v>0.74960000000000004</v>
      </c>
      <c r="N131" s="743">
        <v>0.71789999999999998</v>
      </c>
      <c r="O131" s="743">
        <v>0.74509999999999998</v>
      </c>
      <c r="P131" s="742" t="s">
        <v>294</v>
      </c>
      <c r="Q131" s="743" t="s">
        <v>355</v>
      </c>
      <c r="R131" s="743" t="s">
        <v>355</v>
      </c>
      <c r="S131" s="743">
        <v>0.74880000000000002</v>
      </c>
      <c r="T131" s="743">
        <v>0.75590000000000002</v>
      </c>
      <c r="U131" s="743">
        <v>0.75509999999999999</v>
      </c>
      <c r="V131" s="743">
        <v>0.75280000000000002</v>
      </c>
      <c r="W131" s="743">
        <v>0.71540000000000004</v>
      </c>
      <c r="X131" s="743">
        <v>0.75029999999999997</v>
      </c>
      <c r="Y131" s="767" t="s">
        <v>294</v>
      </c>
      <c r="Z131" s="741" t="s">
        <v>456</v>
      </c>
      <c r="AA131" s="741" t="s">
        <v>456</v>
      </c>
      <c r="AB131" s="746">
        <v>0.76039999999999996</v>
      </c>
      <c r="AC131" s="746">
        <v>0.77380000000000004</v>
      </c>
      <c r="AD131" s="746">
        <v>0.75629999999999997</v>
      </c>
      <c r="AE131" s="746">
        <v>0.76380000000000003</v>
      </c>
      <c r="AF131" s="746">
        <v>0.74199999999999999</v>
      </c>
      <c r="AG131" s="746">
        <v>0.76190000000000002</v>
      </c>
      <c r="AH131" s="770" t="s">
        <v>294</v>
      </c>
      <c r="AI131" s="741" t="s">
        <v>456</v>
      </c>
      <c r="AJ131" s="741" t="s">
        <v>457</v>
      </c>
      <c r="AK131" s="746">
        <v>0.76670000000000005</v>
      </c>
      <c r="AL131" s="746">
        <v>0.77680000000000005</v>
      </c>
      <c r="AM131" s="746">
        <v>0.7611</v>
      </c>
      <c r="AN131" s="746">
        <v>0.76990000000000003</v>
      </c>
      <c r="AO131" s="746">
        <v>0.76049999999999995</v>
      </c>
      <c r="AP131" s="746">
        <v>0.76800000000000002</v>
      </c>
      <c r="AQ131" s="772" t="s">
        <v>293</v>
      </c>
      <c r="AR131" s="741" t="s">
        <v>320</v>
      </c>
      <c r="AS131" s="741" t="s">
        <v>321</v>
      </c>
      <c r="AT131" s="746">
        <v>0.77280000000000004</v>
      </c>
      <c r="AU131" s="746">
        <v>0.77710000000000001</v>
      </c>
      <c r="AV131" s="746">
        <v>0.75690000000000002</v>
      </c>
      <c r="AW131" s="746">
        <v>0.77859999999999996</v>
      </c>
      <c r="AX131" s="746">
        <v>0.78320000000000001</v>
      </c>
      <c r="AY131" s="746">
        <v>0.77229999999999999</v>
      </c>
      <c r="AZ131" s="773" t="s">
        <v>293</v>
      </c>
      <c r="BA131" s="741" t="s">
        <v>628</v>
      </c>
      <c r="BB131" s="741" t="s">
        <v>629</v>
      </c>
      <c r="BC131" s="746">
        <v>0.77700000000000002</v>
      </c>
      <c r="BD131" s="746">
        <v>0.76419999999999999</v>
      </c>
      <c r="BE131" s="746">
        <v>0.75249999999999995</v>
      </c>
      <c r="BF131" s="746">
        <v>0.79139999999999999</v>
      </c>
      <c r="BG131" s="746">
        <v>0.77929999999999999</v>
      </c>
      <c r="BH131" s="746">
        <v>0.77190000000000003</v>
      </c>
      <c r="BI131" s="749" t="s">
        <v>294</v>
      </c>
      <c r="BJ131" s="750">
        <v>211</v>
      </c>
      <c r="BK131" s="750">
        <v>210</v>
      </c>
      <c r="BL131" s="746">
        <v>0.77510000000000001</v>
      </c>
      <c r="BM131" s="746">
        <v>0.75029999999999997</v>
      </c>
      <c r="BN131" s="746">
        <v>0.74970000000000003</v>
      </c>
      <c r="BO131" s="746">
        <v>0.78959999999999997</v>
      </c>
      <c r="BP131" s="746">
        <v>0.748</v>
      </c>
      <c r="BQ131" s="746">
        <v>0.76470000000000005</v>
      </c>
      <c r="BR131" s="749" t="s">
        <v>294</v>
      </c>
      <c r="BS131" s="743">
        <v>198</v>
      </c>
      <c r="BT131" s="743">
        <v>198</v>
      </c>
      <c r="BU131" s="743">
        <v>0.77129999999999999</v>
      </c>
      <c r="BV131" s="743">
        <v>0.74070000000000003</v>
      </c>
      <c r="BW131" s="743">
        <v>0.75119999999999998</v>
      </c>
      <c r="BX131" s="743">
        <v>0.78790000000000004</v>
      </c>
      <c r="BY131" s="743">
        <v>0.7399</v>
      </c>
      <c r="BZ131" s="743">
        <v>0.76100000000000001</v>
      </c>
      <c r="CA131" s="751" t="s">
        <v>294</v>
      </c>
      <c r="CB131" s="752" t="s">
        <v>342</v>
      </c>
      <c r="CC131" s="752" t="s">
        <v>342</v>
      </c>
      <c r="CD131" s="752">
        <v>0.7621</v>
      </c>
      <c r="CE131" s="752">
        <v>0.73529999999999995</v>
      </c>
      <c r="CF131" s="752">
        <v>0.74819999999999998</v>
      </c>
      <c r="CG131" s="752">
        <v>0.78210000000000002</v>
      </c>
      <c r="CH131" s="752">
        <v>0.74219999999999997</v>
      </c>
      <c r="CI131" s="752">
        <v>0.75580000000000003</v>
      </c>
      <c r="CJ131" s="756" t="s">
        <v>294</v>
      </c>
      <c r="CK131" s="743">
        <v>217</v>
      </c>
      <c r="CL131" s="743">
        <v>217</v>
      </c>
      <c r="CM131" s="743">
        <v>0.7571</v>
      </c>
      <c r="CN131" s="743">
        <v>0.74070000000000003</v>
      </c>
      <c r="CO131" s="743">
        <v>0.75360000000000005</v>
      </c>
      <c r="CP131" s="743">
        <v>0.7853</v>
      </c>
      <c r="CQ131" s="743">
        <v>0.77359999999999995</v>
      </c>
      <c r="CR131" s="753">
        <v>0.76029999999999998</v>
      </c>
      <c r="CS131" s="754" t="s">
        <v>294</v>
      </c>
      <c r="CT131" s="754">
        <v>242</v>
      </c>
      <c r="CU131" s="754">
        <v>241</v>
      </c>
      <c r="CV131" s="755">
        <v>0.74919999999999998</v>
      </c>
      <c r="CW131" s="755">
        <v>0.74</v>
      </c>
      <c r="CX131" s="755">
        <v>0.75470000000000004</v>
      </c>
      <c r="CY131" s="755">
        <v>0.79359999999999997</v>
      </c>
      <c r="CZ131" s="755">
        <v>0.77959999999999996</v>
      </c>
      <c r="DA131" s="755">
        <v>0.76090000000000002</v>
      </c>
      <c r="DB131" s="884" t="s">
        <v>294</v>
      </c>
      <c r="DC131" s="884">
        <v>241</v>
      </c>
      <c r="DD131" s="884">
        <v>240</v>
      </c>
      <c r="DE131" s="884">
        <v>0.75319999999999998</v>
      </c>
      <c r="DF131" s="133">
        <v>0.75039999999999996</v>
      </c>
      <c r="DG131" s="133">
        <v>0.75819999999999999</v>
      </c>
      <c r="DH131" s="133">
        <v>0.79510000000000003</v>
      </c>
      <c r="DI131" s="133">
        <v>0.79179999999999995</v>
      </c>
      <c r="DJ131" s="133">
        <v>0.76629999999999998</v>
      </c>
    </row>
    <row r="132" spans="1:114" x14ac:dyDescent="0.25">
      <c r="A132" s="36" t="s">
        <v>68</v>
      </c>
      <c r="B132" s="881">
        <v>325754004661</v>
      </c>
      <c r="C132" s="134" t="s">
        <v>452</v>
      </c>
      <c r="D132" s="134" t="s">
        <v>307</v>
      </c>
      <c r="E132" s="134" t="s">
        <v>671</v>
      </c>
      <c r="F132" s="741" t="s">
        <v>123</v>
      </c>
      <c r="G132" s="744" t="s">
        <v>295</v>
      </c>
      <c r="H132" s="743">
        <v>87</v>
      </c>
      <c r="I132" s="743">
        <v>87</v>
      </c>
      <c r="J132" s="743">
        <v>0.69650000000000001</v>
      </c>
      <c r="K132" s="743">
        <v>0.68859999999999999</v>
      </c>
      <c r="L132" s="743">
        <v>0.71840000000000004</v>
      </c>
      <c r="M132" s="743">
        <v>0.71660000000000001</v>
      </c>
      <c r="N132" s="743">
        <v>0.67700000000000005</v>
      </c>
      <c r="O132" s="743">
        <v>0.70289999999999997</v>
      </c>
      <c r="P132" s="744" t="s">
        <v>295</v>
      </c>
      <c r="Q132" s="743" t="s">
        <v>548</v>
      </c>
      <c r="R132" s="743" t="s">
        <v>548</v>
      </c>
      <c r="S132" s="743">
        <v>0.69550000000000001</v>
      </c>
      <c r="T132" s="743">
        <v>0.69669999999999999</v>
      </c>
      <c r="U132" s="743">
        <v>0.71840000000000004</v>
      </c>
      <c r="V132" s="743">
        <v>0.71489999999999998</v>
      </c>
      <c r="W132" s="743">
        <v>0.68279999999999996</v>
      </c>
      <c r="X132" s="743">
        <v>0.7046</v>
      </c>
      <c r="Y132" s="745" t="s">
        <v>295</v>
      </c>
      <c r="Z132" s="741" t="s">
        <v>335</v>
      </c>
      <c r="AA132" s="741" t="s">
        <v>335</v>
      </c>
      <c r="AB132" s="746">
        <v>0.70330000000000004</v>
      </c>
      <c r="AC132" s="746">
        <v>0.71579999999999999</v>
      </c>
      <c r="AD132" s="746">
        <v>0.71609999999999996</v>
      </c>
      <c r="AE132" s="746">
        <v>0.71789999999999998</v>
      </c>
      <c r="AF132" s="746">
        <v>0.70669999999999999</v>
      </c>
      <c r="AG132" s="746">
        <v>0.71279999999999999</v>
      </c>
      <c r="AH132" s="747" t="s">
        <v>295</v>
      </c>
      <c r="AI132" s="741" t="s">
        <v>434</v>
      </c>
      <c r="AJ132" s="741" t="s">
        <v>434</v>
      </c>
      <c r="AK132" s="746">
        <v>0.69399999999999995</v>
      </c>
      <c r="AL132" s="746">
        <v>0.72070000000000001</v>
      </c>
      <c r="AM132" s="746">
        <v>0.70440000000000003</v>
      </c>
      <c r="AN132" s="746">
        <v>0.72019999999999995</v>
      </c>
      <c r="AO132" s="746">
        <v>0.72470000000000001</v>
      </c>
      <c r="AP132" s="746">
        <v>0.71099999999999997</v>
      </c>
      <c r="AQ132" s="748" t="s">
        <v>295</v>
      </c>
      <c r="AR132" s="741" t="s">
        <v>336</v>
      </c>
      <c r="AS132" s="741" t="s">
        <v>336</v>
      </c>
      <c r="AT132" s="746">
        <v>0.70299999999999996</v>
      </c>
      <c r="AU132" s="746">
        <v>0.7167</v>
      </c>
      <c r="AV132" s="746">
        <v>0.69799999999999995</v>
      </c>
      <c r="AW132" s="746">
        <v>0.73499999999999999</v>
      </c>
      <c r="AX132" s="746">
        <v>0.72689999999999999</v>
      </c>
      <c r="AY132" s="746">
        <v>0.71419999999999995</v>
      </c>
      <c r="AZ132" s="745" t="s">
        <v>295</v>
      </c>
      <c r="BA132" s="741" t="s">
        <v>336</v>
      </c>
      <c r="BB132" s="741" t="s">
        <v>309</v>
      </c>
      <c r="BC132" s="746">
        <v>0.70760000000000001</v>
      </c>
      <c r="BD132" s="746">
        <v>0.69820000000000004</v>
      </c>
      <c r="BE132" s="746">
        <v>0.67930000000000001</v>
      </c>
      <c r="BF132" s="746">
        <v>0.73299999999999998</v>
      </c>
      <c r="BG132" s="746">
        <v>0.70420000000000005</v>
      </c>
      <c r="BH132" s="746">
        <v>0.70450000000000002</v>
      </c>
      <c r="BI132" s="761" t="s">
        <v>295</v>
      </c>
      <c r="BJ132" s="750">
        <v>88</v>
      </c>
      <c r="BK132" s="750">
        <v>86</v>
      </c>
      <c r="BL132" s="746">
        <v>0.71450000000000002</v>
      </c>
      <c r="BM132" s="746">
        <v>0.67020000000000002</v>
      </c>
      <c r="BN132" s="746">
        <v>0.64990000000000003</v>
      </c>
      <c r="BO132" s="746">
        <v>0.71189999999999998</v>
      </c>
      <c r="BP132" s="746">
        <v>0.66810000000000003</v>
      </c>
      <c r="BQ132" s="746">
        <v>0.68520000000000003</v>
      </c>
      <c r="BR132" s="761" t="s">
        <v>295</v>
      </c>
      <c r="BS132" s="743">
        <v>96</v>
      </c>
      <c r="BT132" s="743">
        <v>95</v>
      </c>
      <c r="BU132" s="743">
        <v>0.73050000000000004</v>
      </c>
      <c r="BV132" s="743">
        <v>0.67930000000000001</v>
      </c>
      <c r="BW132" s="743">
        <v>0.64990000000000003</v>
      </c>
      <c r="BX132" s="743">
        <v>0.72219999999999995</v>
      </c>
      <c r="BY132" s="743">
        <v>0.67449999999999999</v>
      </c>
      <c r="BZ132" s="743">
        <v>0.69389999999999996</v>
      </c>
      <c r="CA132" s="762" t="s">
        <v>295</v>
      </c>
      <c r="CB132" s="752" t="s">
        <v>410</v>
      </c>
      <c r="CC132" s="752" t="s">
        <v>441</v>
      </c>
      <c r="CD132" s="752">
        <v>0.7359</v>
      </c>
      <c r="CE132" s="752">
        <v>0.68020000000000003</v>
      </c>
      <c r="CF132" s="752">
        <v>0.67169999999999996</v>
      </c>
      <c r="CG132" s="752">
        <v>0.72940000000000005</v>
      </c>
      <c r="CH132" s="752">
        <v>0.6885</v>
      </c>
      <c r="CI132" s="752">
        <v>0.70309999999999995</v>
      </c>
      <c r="CJ132" s="785" t="s">
        <v>295</v>
      </c>
      <c r="CK132" s="743">
        <v>107</v>
      </c>
      <c r="CL132" s="743">
        <v>107</v>
      </c>
      <c r="CM132" s="743">
        <v>0.74019999999999997</v>
      </c>
      <c r="CN132" s="743">
        <v>0.69679999999999997</v>
      </c>
      <c r="CO132" s="743">
        <v>0.68899999999999995</v>
      </c>
      <c r="CP132" s="743">
        <v>0.74490000000000001</v>
      </c>
      <c r="CQ132" s="743">
        <v>0.72140000000000004</v>
      </c>
      <c r="CR132" s="753">
        <v>0.71799999999999997</v>
      </c>
      <c r="CS132" s="754" t="s">
        <v>295</v>
      </c>
      <c r="CT132" s="754">
        <v>92</v>
      </c>
      <c r="CU132" s="754">
        <v>92</v>
      </c>
      <c r="CV132" s="755">
        <v>0.71809999999999996</v>
      </c>
      <c r="CW132" s="755">
        <v>0.67889999999999995</v>
      </c>
      <c r="CX132" s="755">
        <v>0.68059999999999998</v>
      </c>
      <c r="CY132" s="755">
        <v>0.73209999999999997</v>
      </c>
      <c r="CZ132" s="755">
        <v>0.71789999999999998</v>
      </c>
      <c r="DA132" s="755">
        <v>0.7036</v>
      </c>
      <c r="DB132" s="884" t="s">
        <v>295</v>
      </c>
      <c r="DC132" s="884">
        <v>74</v>
      </c>
      <c r="DD132" s="884">
        <v>74</v>
      </c>
      <c r="DE132" s="884">
        <v>0.69630000000000003</v>
      </c>
      <c r="DF132" s="133">
        <v>0.66690000000000005</v>
      </c>
      <c r="DG132" s="133">
        <v>0.65610000000000002</v>
      </c>
      <c r="DH132" s="133">
        <v>0.72299999999999998</v>
      </c>
      <c r="DI132" s="133">
        <v>0.72399999999999998</v>
      </c>
      <c r="DJ132" s="133">
        <v>0.68859999999999999</v>
      </c>
    </row>
    <row r="133" spans="1:114" x14ac:dyDescent="0.25">
      <c r="A133" s="36" t="s">
        <v>112</v>
      </c>
      <c r="B133" s="668">
        <v>325754004441</v>
      </c>
      <c r="C133" s="134" t="s">
        <v>452</v>
      </c>
      <c r="D133" s="134" t="s">
        <v>307</v>
      </c>
      <c r="E133" s="134" t="s">
        <v>671</v>
      </c>
      <c r="F133" s="134" t="s">
        <v>123</v>
      </c>
      <c r="G133" s="134"/>
      <c r="H133" s="134"/>
      <c r="I133" s="134"/>
      <c r="J133" s="134"/>
      <c r="K133" s="134"/>
      <c r="L133" s="134"/>
      <c r="M133" s="134"/>
      <c r="N133" s="134"/>
      <c r="O133" s="134"/>
      <c r="P133" s="173" t="s">
        <v>295</v>
      </c>
      <c r="Q133" s="174" t="s">
        <v>420</v>
      </c>
      <c r="R133" s="174" t="s">
        <v>420</v>
      </c>
      <c r="S133" s="174">
        <v>0.65590000000000004</v>
      </c>
      <c r="T133" s="174">
        <v>0.70109999999999995</v>
      </c>
      <c r="U133" s="174">
        <v>0.6774</v>
      </c>
      <c r="V133" s="174">
        <v>0.68500000000000005</v>
      </c>
      <c r="W133" s="174">
        <v>0.68840000000000001</v>
      </c>
      <c r="X133" s="174">
        <v>0.68049999999999999</v>
      </c>
      <c r="Y133" s="138" t="s">
        <v>295</v>
      </c>
      <c r="Z133" s="134" t="s">
        <v>374</v>
      </c>
      <c r="AA133" s="134" t="s">
        <v>374</v>
      </c>
      <c r="AB133" s="137">
        <v>0.66890000000000005</v>
      </c>
      <c r="AC133" s="137">
        <v>0.7147</v>
      </c>
      <c r="AD133" s="137">
        <v>0.68679999999999997</v>
      </c>
      <c r="AE133" s="137">
        <v>0.69979999999999998</v>
      </c>
      <c r="AF133" s="137">
        <v>0.71379999999999999</v>
      </c>
      <c r="AG133" s="137">
        <v>0.69420000000000004</v>
      </c>
      <c r="AH133" s="159" t="s">
        <v>295</v>
      </c>
      <c r="AI133" s="134" t="s">
        <v>411</v>
      </c>
      <c r="AJ133" s="134" t="s">
        <v>411</v>
      </c>
      <c r="AK133" s="137">
        <v>0.70269999999999999</v>
      </c>
      <c r="AL133" s="137">
        <v>0.73009999999999997</v>
      </c>
      <c r="AM133" s="137">
        <v>0.70079999999999998</v>
      </c>
      <c r="AN133" s="137">
        <v>0.72799999999999998</v>
      </c>
      <c r="AO133" s="137">
        <v>0.71650000000000003</v>
      </c>
      <c r="AP133" s="137">
        <v>0.71550000000000002</v>
      </c>
      <c r="AQ133" s="150" t="s">
        <v>294</v>
      </c>
      <c r="AR133" s="134" t="s">
        <v>351</v>
      </c>
      <c r="AS133" s="134" t="s">
        <v>351</v>
      </c>
      <c r="AT133" s="137">
        <v>0.72709999999999997</v>
      </c>
      <c r="AU133" s="137">
        <v>0.73109999999999997</v>
      </c>
      <c r="AV133" s="137">
        <v>0.70579999999999998</v>
      </c>
      <c r="AW133" s="137">
        <v>0.74670000000000003</v>
      </c>
      <c r="AX133" s="137">
        <v>0.74119999999999997</v>
      </c>
      <c r="AY133" s="137">
        <v>0.72870000000000001</v>
      </c>
      <c r="AZ133" s="145" t="s">
        <v>294</v>
      </c>
      <c r="BA133" s="134" t="s">
        <v>444</v>
      </c>
      <c r="BB133" s="134" t="s">
        <v>444</v>
      </c>
      <c r="BC133" s="137">
        <v>0.74390000000000001</v>
      </c>
      <c r="BD133" s="137">
        <v>0.72870000000000001</v>
      </c>
      <c r="BE133" s="137">
        <v>0.70399999999999996</v>
      </c>
      <c r="BF133" s="137">
        <v>0.75819999999999999</v>
      </c>
      <c r="BG133" s="137">
        <v>0.75</v>
      </c>
      <c r="BH133" s="137">
        <v>0.73499999999999999</v>
      </c>
      <c r="BI133" s="149" t="s">
        <v>294</v>
      </c>
      <c r="BJ133" s="152">
        <v>143</v>
      </c>
      <c r="BK133" s="152">
        <v>143</v>
      </c>
      <c r="BL133" s="137">
        <v>0.74860000000000004</v>
      </c>
      <c r="BM133" s="137">
        <v>0.72160000000000002</v>
      </c>
      <c r="BN133" s="137">
        <v>0.70799999999999996</v>
      </c>
      <c r="BO133" s="137">
        <v>0.75760000000000005</v>
      </c>
      <c r="BP133" s="137">
        <v>0.74960000000000004</v>
      </c>
      <c r="BQ133" s="137">
        <v>0.73519999999999996</v>
      </c>
      <c r="BR133" s="281" t="s">
        <v>294</v>
      </c>
      <c r="BS133" s="270">
        <v>150</v>
      </c>
      <c r="BT133" s="270">
        <v>150</v>
      </c>
      <c r="BU133" s="270">
        <v>0.75390000000000001</v>
      </c>
      <c r="BV133" s="270">
        <v>0.71940000000000004</v>
      </c>
      <c r="BW133" s="270">
        <v>0.69979999999999998</v>
      </c>
      <c r="BX133" s="270">
        <v>0.76519999999999999</v>
      </c>
      <c r="BY133" s="270">
        <v>0.74639999999999995</v>
      </c>
      <c r="BZ133" s="270">
        <v>0.73550000000000004</v>
      </c>
      <c r="CA133" s="364" t="s">
        <v>294</v>
      </c>
      <c r="CB133" s="355" t="s">
        <v>595</v>
      </c>
      <c r="CC133" s="355" t="s">
        <v>535</v>
      </c>
      <c r="CD133" s="355">
        <v>0.76359999999999995</v>
      </c>
      <c r="CE133" s="355">
        <v>0.73109999999999997</v>
      </c>
      <c r="CF133" s="355">
        <v>0.71040000000000003</v>
      </c>
      <c r="CG133" s="355">
        <v>0.77359999999999995</v>
      </c>
      <c r="CH133" s="355">
        <v>0.74929999999999997</v>
      </c>
      <c r="CI133" s="565">
        <v>0.745</v>
      </c>
      <c r="CJ133" s="717" t="s">
        <v>294</v>
      </c>
      <c r="CK133" s="620">
        <v>151</v>
      </c>
      <c r="CL133" s="620">
        <v>150</v>
      </c>
      <c r="CM133" s="620">
        <v>0.75849999999999995</v>
      </c>
      <c r="CN133" s="620">
        <v>0.73309999999999997</v>
      </c>
      <c r="CO133" s="620">
        <v>0.69940000000000002</v>
      </c>
      <c r="CP133" s="620">
        <v>0.77329999999999999</v>
      </c>
      <c r="CQ133" s="620">
        <v>0.75939999999999996</v>
      </c>
      <c r="CR133" s="711">
        <v>0.74250000000000005</v>
      </c>
      <c r="CS133" s="567" t="s">
        <v>294</v>
      </c>
      <c r="CT133" s="602">
        <v>136</v>
      </c>
      <c r="CU133" s="602">
        <v>134</v>
      </c>
      <c r="CV133" s="587">
        <v>0.76490000000000002</v>
      </c>
      <c r="CW133" s="587">
        <v>0.73699999999999999</v>
      </c>
      <c r="CX133" s="587">
        <v>0.70789999999999997</v>
      </c>
      <c r="CY133" s="587">
        <v>0.77590000000000003</v>
      </c>
      <c r="CZ133" s="587">
        <v>0.75960000000000005</v>
      </c>
      <c r="DA133" s="587">
        <v>0.74739999999999995</v>
      </c>
      <c r="DB133" s="884" t="s">
        <v>294</v>
      </c>
      <c r="DC133" s="884">
        <v>149</v>
      </c>
      <c r="DD133" s="884">
        <v>147</v>
      </c>
      <c r="DE133" s="884">
        <v>0.76890000000000003</v>
      </c>
      <c r="DF133" s="133">
        <v>0.73350000000000004</v>
      </c>
      <c r="DG133" s="133">
        <v>0.70130000000000003</v>
      </c>
      <c r="DH133" s="133">
        <v>0.77270000000000005</v>
      </c>
      <c r="DI133" s="133">
        <v>0.74880000000000002</v>
      </c>
      <c r="DJ133" s="133">
        <v>0.74450000000000005</v>
      </c>
    </row>
    <row r="134" spans="1:114" x14ac:dyDescent="0.25">
      <c r="A134" s="36" t="s">
        <v>110</v>
      </c>
      <c r="B134" s="668">
        <v>325754005471</v>
      </c>
      <c r="C134" s="134" t="s">
        <v>452</v>
      </c>
      <c r="D134" s="134" t="s">
        <v>307</v>
      </c>
      <c r="E134" s="134" t="s">
        <v>671</v>
      </c>
      <c r="F134" s="720" t="s">
        <v>121</v>
      </c>
      <c r="G134" s="165" t="s">
        <v>295</v>
      </c>
      <c r="H134" s="166">
        <v>38</v>
      </c>
      <c r="I134" s="166">
        <v>37</v>
      </c>
      <c r="J134" s="166">
        <v>0.67190000000000005</v>
      </c>
      <c r="K134" s="166">
        <v>0.71140000000000003</v>
      </c>
      <c r="L134" s="166">
        <v>0.69420000000000004</v>
      </c>
      <c r="M134" s="166">
        <v>0.71079999999999999</v>
      </c>
      <c r="N134" s="166">
        <v>0.68140000000000001</v>
      </c>
      <c r="O134" s="166">
        <v>0.69589999999999996</v>
      </c>
      <c r="P134" s="628" t="s">
        <v>295</v>
      </c>
      <c r="Q134" s="166" t="s">
        <v>678</v>
      </c>
      <c r="R134" s="166" t="s">
        <v>724</v>
      </c>
      <c r="S134" s="166">
        <v>0.69140000000000001</v>
      </c>
      <c r="T134" s="166">
        <v>0.71</v>
      </c>
      <c r="U134" s="166">
        <v>0.70050000000000001</v>
      </c>
      <c r="V134" s="166">
        <v>0.70540000000000003</v>
      </c>
      <c r="W134" s="166">
        <v>0.69069999999999998</v>
      </c>
      <c r="X134" s="166">
        <v>0.70099999999999996</v>
      </c>
      <c r="Y134" s="138" t="s">
        <v>295</v>
      </c>
      <c r="Z134" s="134" t="s">
        <v>546</v>
      </c>
      <c r="AA134" s="134" t="s">
        <v>161</v>
      </c>
      <c r="AB134" s="137">
        <v>0.70530000000000004</v>
      </c>
      <c r="AC134" s="137">
        <v>0.72640000000000005</v>
      </c>
      <c r="AD134" s="137">
        <v>0.7077</v>
      </c>
      <c r="AE134" s="137">
        <v>0.72589999999999999</v>
      </c>
      <c r="AF134" s="137">
        <v>0.70860000000000001</v>
      </c>
      <c r="AG134" s="137">
        <v>0.7157</v>
      </c>
      <c r="AH134" s="158" t="s">
        <v>294</v>
      </c>
      <c r="AI134" s="134" t="s">
        <v>473</v>
      </c>
      <c r="AJ134" s="134" t="s">
        <v>474</v>
      </c>
      <c r="AK134" s="137">
        <v>0.72330000000000005</v>
      </c>
      <c r="AL134" s="137">
        <v>0.73829999999999996</v>
      </c>
      <c r="AM134" s="137">
        <v>0.72650000000000003</v>
      </c>
      <c r="AN134" s="137">
        <v>0.748</v>
      </c>
      <c r="AO134" s="137">
        <v>0.71830000000000005</v>
      </c>
      <c r="AP134" s="137">
        <v>0.73280000000000001</v>
      </c>
      <c r="AQ134" s="150" t="s">
        <v>294</v>
      </c>
      <c r="AR134" s="134" t="s">
        <v>330</v>
      </c>
      <c r="AS134" s="134" t="s">
        <v>331</v>
      </c>
      <c r="AT134" s="137">
        <v>0.73719999999999997</v>
      </c>
      <c r="AU134" s="137">
        <v>0.74050000000000005</v>
      </c>
      <c r="AV134" s="137">
        <v>0.73719999999999997</v>
      </c>
      <c r="AW134" s="137">
        <v>0.76529999999999998</v>
      </c>
      <c r="AX134" s="137">
        <v>0.73089999999999999</v>
      </c>
      <c r="AY134" s="137">
        <v>0.74399999999999999</v>
      </c>
      <c r="AZ134" s="145" t="s">
        <v>294</v>
      </c>
      <c r="BA134" s="134" t="s">
        <v>632</v>
      </c>
      <c r="BB134" s="134" t="s">
        <v>633</v>
      </c>
      <c r="BC134" s="137">
        <v>0.75029999999999997</v>
      </c>
      <c r="BD134" s="137">
        <v>0.73619999999999997</v>
      </c>
      <c r="BE134" s="137">
        <v>0.74550000000000005</v>
      </c>
      <c r="BF134" s="137">
        <v>0.77300000000000002</v>
      </c>
      <c r="BG134" s="137">
        <v>0.73650000000000004</v>
      </c>
      <c r="BH134" s="137">
        <v>0.75009999999999999</v>
      </c>
      <c r="BI134" s="149" t="s">
        <v>294</v>
      </c>
      <c r="BJ134" s="152">
        <v>321</v>
      </c>
      <c r="BK134" s="152">
        <v>320</v>
      </c>
      <c r="BL134" s="137">
        <v>0.7621</v>
      </c>
      <c r="BM134" s="137">
        <v>0.73760000000000003</v>
      </c>
      <c r="BN134" s="137">
        <v>0.74819999999999998</v>
      </c>
      <c r="BO134" s="137">
        <v>0.77429999999999999</v>
      </c>
      <c r="BP134" s="137">
        <v>0.73099999999999998</v>
      </c>
      <c r="BQ134" s="137">
        <v>0.75360000000000005</v>
      </c>
      <c r="BR134" s="281" t="s">
        <v>294</v>
      </c>
      <c r="BS134" s="270">
        <v>313</v>
      </c>
      <c r="BT134" s="270">
        <v>313</v>
      </c>
      <c r="BU134" s="270">
        <v>0.76670000000000005</v>
      </c>
      <c r="BV134" s="270">
        <v>0.74099999999999999</v>
      </c>
      <c r="BW134" s="270">
        <v>0.74739999999999995</v>
      </c>
      <c r="BX134" s="270">
        <v>0.78100000000000003</v>
      </c>
      <c r="BY134" s="270">
        <v>0.73970000000000002</v>
      </c>
      <c r="BZ134" s="270">
        <v>0.75749999999999995</v>
      </c>
      <c r="CA134" s="364" t="s">
        <v>294</v>
      </c>
      <c r="CB134" s="355" t="s">
        <v>499</v>
      </c>
      <c r="CC134" s="355" t="s">
        <v>662</v>
      </c>
      <c r="CD134" s="355">
        <v>0.77339999999999998</v>
      </c>
      <c r="CE134" s="355">
        <v>0.75009999999999999</v>
      </c>
      <c r="CF134" s="355">
        <v>0.755</v>
      </c>
      <c r="CG134" s="355">
        <v>0.78849999999999998</v>
      </c>
      <c r="CH134" s="355">
        <v>0.746</v>
      </c>
      <c r="CI134" s="565">
        <v>0.76519999999999999</v>
      </c>
      <c r="CJ134" s="717" t="s">
        <v>294</v>
      </c>
      <c r="CK134" s="620">
        <v>329</v>
      </c>
      <c r="CL134" s="620">
        <v>325</v>
      </c>
      <c r="CM134" s="620">
        <v>0.76090000000000002</v>
      </c>
      <c r="CN134" s="620">
        <v>0.74060000000000004</v>
      </c>
      <c r="CO134" s="620">
        <v>0.74470000000000003</v>
      </c>
      <c r="CP134" s="620">
        <v>0.78349999999999997</v>
      </c>
      <c r="CQ134" s="620">
        <v>0.76329999999999998</v>
      </c>
      <c r="CR134" s="711">
        <v>0.75790000000000002</v>
      </c>
      <c r="CS134" s="567" t="s">
        <v>294</v>
      </c>
      <c r="CT134" s="602">
        <v>347</v>
      </c>
      <c r="CU134" s="602">
        <v>342</v>
      </c>
      <c r="CV134" s="587">
        <v>0.77029999999999998</v>
      </c>
      <c r="CW134" s="587">
        <v>0.74960000000000004</v>
      </c>
      <c r="CX134" s="587">
        <v>0.74739999999999995</v>
      </c>
      <c r="CY134" s="587">
        <v>0.78300000000000003</v>
      </c>
      <c r="CZ134" s="587">
        <v>0.76400000000000001</v>
      </c>
      <c r="DA134" s="587">
        <v>0.76270000000000004</v>
      </c>
      <c r="DB134" s="884" t="s">
        <v>294</v>
      </c>
      <c r="DC134" s="884">
        <v>368</v>
      </c>
      <c r="DD134" s="884">
        <v>363</v>
      </c>
      <c r="DE134" s="884">
        <v>0.77549999999999997</v>
      </c>
      <c r="DF134" s="133">
        <v>0.74729999999999996</v>
      </c>
      <c r="DG134" s="133">
        <v>0.73360000000000003</v>
      </c>
      <c r="DH134" s="133">
        <v>0.78110000000000002</v>
      </c>
      <c r="DI134" s="133">
        <v>0.77310000000000001</v>
      </c>
      <c r="DJ134" s="133">
        <v>0.76039999999999996</v>
      </c>
    </row>
    <row r="135" spans="1:114" x14ac:dyDescent="0.25">
      <c r="A135" s="36" t="s">
        <v>116</v>
      </c>
      <c r="B135" s="668">
        <v>325754003878</v>
      </c>
      <c r="C135" s="134" t="s">
        <v>452</v>
      </c>
      <c r="D135" s="134" t="s">
        <v>307</v>
      </c>
      <c r="E135" s="134" t="s">
        <v>671</v>
      </c>
      <c r="F135" s="134" t="s">
        <v>123</v>
      </c>
      <c r="G135" s="134"/>
      <c r="H135" s="134"/>
      <c r="I135" s="134"/>
      <c r="J135" s="134"/>
      <c r="K135" s="134"/>
      <c r="L135" s="134"/>
      <c r="M135" s="134"/>
      <c r="N135" s="134"/>
      <c r="O135" s="134"/>
      <c r="P135" s="563"/>
      <c r="Q135" s="563"/>
      <c r="R135" s="563"/>
      <c r="S135" s="563"/>
      <c r="T135" s="563"/>
      <c r="U135" s="563"/>
      <c r="V135" s="563"/>
      <c r="W135" s="563"/>
      <c r="X135" s="563"/>
      <c r="Y135" s="145" t="s">
        <v>294</v>
      </c>
      <c r="Z135" s="134" t="s">
        <v>429</v>
      </c>
      <c r="AA135" s="134" t="s">
        <v>429</v>
      </c>
      <c r="AB135" s="137">
        <v>0.74919999999999998</v>
      </c>
      <c r="AC135" s="137">
        <v>0.7772</v>
      </c>
      <c r="AD135" s="137">
        <v>0.74929999999999997</v>
      </c>
      <c r="AE135" s="137">
        <v>0.76480000000000004</v>
      </c>
      <c r="AF135" s="137">
        <v>0.85799999999999998</v>
      </c>
      <c r="AG135" s="137">
        <v>0.76770000000000005</v>
      </c>
      <c r="AH135" s="160" t="s">
        <v>293</v>
      </c>
      <c r="AI135" s="134" t="s">
        <v>420</v>
      </c>
      <c r="AJ135" s="134" t="s">
        <v>420</v>
      </c>
      <c r="AK135" s="137">
        <v>0.75609999999999999</v>
      </c>
      <c r="AL135" s="137">
        <v>0.78790000000000004</v>
      </c>
      <c r="AM135" s="137">
        <v>0.76800000000000002</v>
      </c>
      <c r="AN135" s="137">
        <v>0.78259999999999996</v>
      </c>
      <c r="AO135" s="137">
        <v>0.85160000000000002</v>
      </c>
      <c r="AP135" s="137">
        <v>0.77969999999999995</v>
      </c>
      <c r="AQ135" s="148" t="s">
        <v>293</v>
      </c>
      <c r="AR135" s="134" t="s">
        <v>313</v>
      </c>
      <c r="AS135" s="134" t="s">
        <v>314</v>
      </c>
      <c r="AT135" s="137">
        <v>0.76559999999999995</v>
      </c>
      <c r="AU135" s="137">
        <v>0.77580000000000005</v>
      </c>
      <c r="AV135" s="137">
        <v>0.76500000000000001</v>
      </c>
      <c r="AW135" s="137">
        <v>0.78859999999999997</v>
      </c>
      <c r="AX135" s="137">
        <v>0.84240000000000004</v>
      </c>
      <c r="AY135" s="137">
        <v>0.77900000000000003</v>
      </c>
      <c r="AZ135" s="147" t="s">
        <v>293</v>
      </c>
      <c r="BA135" s="134" t="s">
        <v>468</v>
      </c>
      <c r="BB135" s="134" t="s">
        <v>313</v>
      </c>
      <c r="BC135" s="137">
        <v>0.78139999999999998</v>
      </c>
      <c r="BD135" s="137">
        <v>0.76659999999999995</v>
      </c>
      <c r="BE135" s="137">
        <v>0.75070000000000003</v>
      </c>
      <c r="BF135" s="137">
        <v>0.79269999999999996</v>
      </c>
      <c r="BG135" s="137">
        <v>0.8286</v>
      </c>
      <c r="BH135" s="137">
        <v>0.77710000000000001</v>
      </c>
      <c r="BI135" s="149" t="s">
        <v>294</v>
      </c>
      <c r="BJ135" s="152">
        <v>99</v>
      </c>
      <c r="BK135" s="152">
        <v>98</v>
      </c>
      <c r="BL135" s="137">
        <v>0.78449999999999998</v>
      </c>
      <c r="BM135" s="137">
        <v>0.74709999999999999</v>
      </c>
      <c r="BN135" s="137">
        <v>0.73470000000000002</v>
      </c>
      <c r="BO135" s="137">
        <v>0.77790000000000004</v>
      </c>
      <c r="BP135" s="137">
        <v>0.78069999999999995</v>
      </c>
      <c r="BQ135" s="137">
        <v>0.76259999999999994</v>
      </c>
      <c r="BR135" s="281" t="s">
        <v>294</v>
      </c>
      <c r="BS135" s="270">
        <v>106</v>
      </c>
      <c r="BT135" s="270">
        <v>106</v>
      </c>
      <c r="BU135" s="270">
        <v>0.77480000000000004</v>
      </c>
      <c r="BV135" s="270">
        <v>0.73599999999999999</v>
      </c>
      <c r="BW135" s="270">
        <v>0.71850000000000003</v>
      </c>
      <c r="BX135" s="270">
        <v>0.7722</v>
      </c>
      <c r="BY135" s="270">
        <v>0.78420000000000001</v>
      </c>
      <c r="BZ135" s="270">
        <v>0.753</v>
      </c>
      <c r="CA135" s="364" t="s">
        <v>294</v>
      </c>
      <c r="CB135" s="355" t="s">
        <v>329</v>
      </c>
      <c r="CC135" s="355" t="s">
        <v>329</v>
      </c>
      <c r="CD135" s="355">
        <v>0.76690000000000003</v>
      </c>
      <c r="CE135" s="355">
        <v>0.7369</v>
      </c>
      <c r="CF135" s="355">
        <v>0.73340000000000005</v>
      </c>
      <c r="CG135" s="355">
        <v>0.77639999999999998</v>
      </c>
      <c r="CH135" s="355">
        <v>0.79359999999999997</v>
      </c>
      <c r="CI135" s="565">
        <v>0.75649999999999995</v>
      </c>
      <c r="CJ135" s="717" t="s">
        <v>294</v>
      </c>
      <c r="CK135" s="620">
        <v>156</v>
      </c>
      <c r="CL135" s="620">
        <v>155</v>
      </c>
      <c r="CM135" s="620">
        <v>0.76819999999999999</v>
      </c>
      <c r="CN135" s="620">
        <v>0.75380000000000003</v>
      </c>
      <c r="CO135" s="620">
        <v>0.74329999999999996</v>
      </c>
      <c r="CP135" s="620">
        <v>0.78820000000000001</v>
      </c>
      <c r="CQ135" s="620">
        <v>0.82410000000000005</v>
      </c>
      <c r="CR135" s="711">
        <v>0.76800000000000002</v>
      </c>
      <c r="CS135" s="567" t="s">
        <v>293</v>
      </c>
      <c r="CT135" s="602">
        <v>200</v>
      </c>
      <c r="CU135" s="602">
        <v>198</v>
      </c>
      <c r="CV135" s="587">
        <v>0.78</v>
      </c>
      <c r="CW135" s="587">
        <v>0.76649999999999996</v>
      </c>
      <c r="CX135" s="587">
        <v>0.75390000000000001</v>
      </c>
      <c r="CY135" s="587">
        <v>0.79169999999999996</v>
      </c>
      <c r="CZ135" s="587">
        <v>0.8347</v>
      </c>
      <c r="DA135" s="587">
        <v>0.77780000000000005</v>
      </c>
      <c r="DB135" s="884" t="s">
        <v>293</v>
      </c>
      <c r="DC135" s="884">
        <v>224</v>
      </c>
      <c r="DD135" s="884">
        <v>222</v>
      </c>
      <c r="DE135" s="884">
        <v>0.78420000000000001</v>
      </c>
      <c r="DF135" s="133">
        <v>0.77349999999999997</v>
      </c>
      <c r="DG135" s="133">
        <v>0.75519999999999998</v>
      </c>
      <c r="DH135" s="133">
        <v>0.79530000000000001</v>
      </c>
      <c r="DI135" s="133">
        <v>0.84370000000000001</v>
      </c>
      <c r="DJ135" s="133">
        <v>0.78220000000000001</v>
      </c>
    </row>
    <row r="136" spans="1:114" x14ac:dyDescent="0.25">
      <c r="A136" s="36" t="s">
        <v>98</v>
      </c>
      <c r="B136" s="668">
        <v>325754004262</v>
      </c>
      <c r="C136" s="134" t="s">
        <v>452</v>
      </c>
      <c r="D136" s="134" t="s">
        <v>307</v>
      </c>
      <c r="E136" s="134" t="s">
        <v>671</v>
      </c>
      <c r="F136" s="134" t="s">
        <v>123</v>
      </c>
      <c r="G136" s="168" t="s">
        <v>294</v>
      </c>
      <c r="H136" s="166">
        <v>76</v>
      </c>
      <c r="I136" s="166">
        <v>76</v>
      </c>
      <c r="J136" s="166">
        <v>0.72330000000000005</v>
      </c>
      <c r="K136" s="166">
        <v>0.74009999999999998</v>
      </c>
      <c r="L136" s="166">
        <v>0.75419999999999998</v>
      </c>
      <c r="M136" s="166">
        <v>0.77</v>
      </c>
      <c r="N136" s="166">
        <v>0.77059999999999995</v>
      </c>
      <c r="O136" s="166">
        <v>0.74870000000000003</v>
      </c>
      <c r="P136" s="168" t="s">
        <v>294</v>
      </c>
      <c r="Q136" s="166" t="s">
        <v>433</v>
      </c>
      <c r="R136" s="166" t="s">
        <v>532</v>
      </c>
      <c r="S136" s="166">
        <v>0.71760000000000002</v>
      </c>
      <c r="T136" s="166">
        <v>0.73909999999999998</v>
      </c>
      <c r="U136" s="166">
        <v>0.75080000000000002</v>
      </c>
      <c r="V136" s="166">
        <v>0.75170000000000003</v>
      </c>
      <c r="W136" s="166">
        <v>0.76859999999999995</v>
      </c>
      <c r="X136" s="166">
        <v>0.74199999999999999</v>
      </c>
      <c r="Y136" s="145" t="s">
        <v>294</v>
      </c>
      <c r="Z136" s="134" t="s">
        <v>433</v>
      </c>
      <c r="AA136" s="134" t="s">
        <v>532</v>
      </c>
      <c r="AB136" s="137">
        <v>0.71519999999999995</v>
      </c>
      <c r="AC136" s="137">
        <v>0.73870000000000002</v>
      </c>
      <c r="AD136" s="137">
        <v>0.74319999999999997</v>
      </c>
      <c r="AE136" s="137">
        <v>0.74299999999999999</v>
      </c>
      <c r="AF136" s="137">
        <v>0.76770000000000005</v>
      </c>
      <c r="AG136" s="137">
        <v>0.73750000000000004</v>
      </c>
      <c r="AH136" s="161" t="s">
        <v>294</v>
      </c>
      <c r="AI136" s="134" t="s">
        <v>467</v>
      </c>
      <c r="AJ136" s="134" t="s">
        <v>433</v>
      </c>
      <c r="AK136" s="137">
        <v>0.72040000000000004</v>
      </c>
      <c r="AL136" s="137">
        <v>0.73960000000000004</v>
      </c>
      <c r="AM136" s="137">
        <v>0.74560000000000004</v>
      </c>
      <c r="AN136" s="137">
        <v>0.75190000000000001</v>
      </c>
      <c r="AO136" s="137">
        <v>0.76839999999999997</v>
      </c>
      <c r="AP136" s="137">
        <v>0.74160000000000004</v>
      </c>
      <c r="AQ136" s="150" t="s">
        <v>294</v>
      </c>
      <c r="AR136" s="134" t="s">
        <v>328</v>
      </c>
      <c r="AS136" s="134" t="s">
        <v>328</v>
      </c>
      <c r="AT136" s="137">
        <v>0.72719999999999996</v>
      </c>
      <c r="AU136" s="137">
        <v>0.74780000000000002</v>
      </c>
      <c r="AV136" s="137">
        <v>0.74719999999999998</v>
      </c>
      <c r="AW136" s="137">
        <v>0.77149999999999996</v>
      </c>
      <c r="AX136" s="137">
        <v>0.77890000000000004</v>
      </c>
      <c r="AY136" s="137">
        <v>0.75080000000000002</v>
      </c>
      <c r="AZ136" s="145" t="s">
        <v>294</v>
      </c>
      <c r="BA136" s="134" t="s">
        <v>563</v>
      </c>
      <c r="BB136" s="134" t="s">
        <v>460</v>
      </c>
      <c r="BC136" s="137">
        <v>0.73960000000000004</v>
      </c>
      <c r="BD136" s="137">
        <v>0.74219999999999997</v>
      </c>
      <c r="BE136" s="137">
        <v>0.74990000000000001</v>
      </c>
      <c r="BF136" s="137">
        <v>0.78120000000000001</v>
      </c>
      <c r="BG136" s="137">
        <v>0.80049999999999999</v>
      </c>
      <c r="BH136" s="137">
        <v>0.75690000000000002</v>
      </c>
      <c r="BI136" s="149" t="s">
        <v>294</v>
      </c>
      <c r="BJ136" s="152">
        <v>59</v>
      </c>
      <c r="BK136" s="152">
        <v>58</v>
      </c>
      <c r="BL136" s="137">
        <v>0.75570000000000004</v>
      </c>
      <c r="BM136" s="137">
        <v>0.75170000000000003</v>
      </c>
      <c r="BN136" s="137">
        <v>0.75780000000000003</v>
      </c>
      <c r="BO136" s="137">
        <v>0.77310000000000001</v>
      </c>
      <c r="BP136" s="137">
        <v>0.81740000000000002</v>
      </c>
      <c r="BQ136" s="137">
        <v>0.76400000000000001</v>
      </c>
      <c r="BR136" s="281" t="s">
        <v>294</v>
      </c>
      <c r="BS136" s="270">
        <v>55</v>
      </c>
      <c r="BT136" s="270">
        <v>55</v>
      </c>
      <c r="BU136" s="270">
        <v>0.76019999999999999</v>
      </c>
      <c r="BV136" s="270">
        <v>0.73939999999999995</v>
      </c>
      <c r="BW136" s="270">
        <v>0.74629999999999996</v>
      </c>
      <c r="BX136" s="270">
        <v>0.7591</v>
      </c>
      <c r="BY136" s="270">
        <v>0.81459999999999999</v>
      </c>
      <c r="BZ136" s="270">
        <v>0.75609999999999999</v>
      </c>
      <c r="CA136" s="358" t="s">
        <v>293</v>
      </c>
      <c r="CB136" s="355" t="s">
        <v>460</v>
      </c>
      <c r="CC136" s="355" t="s">
        <v>460</v>
      </c>
      <c r="CD136" s="355">
        <v>0.77759999999999996</v>
      </c>
      <c r="CE136" s="355">
        <v>0.75539999999999996</v>
      </c>
      <c r="CF136" s="355">
        <v>0.76559999999999995</v>
      </c>
      <c r="CG136" s="355">
        <v>0.78359999999999996</v>
      </c>
      <c r="CH136" s="355">
        <v>0.80789999999999995</v>
      </c>
      <c r="CI136" s="565">
        <v>0.77339999999999998</v>
      </c>
      <c r="CJ136" s="717" t="s">
        <v>294</v>
      </c>
      <c r="CK136" s="620">
        <v>87</v>
      </c>
      <c r="CL136" s="620">
        <v>87</v>
      </c>
      <c r="CM136" s="620">
        <v>0.76870000000000005</v>
      </c>
      <c r="CN136" s="620">
        <v>0.745</v>
      </c>
      <c r="CO136" s="620">
        <v>0.74280000000000002</v>
      </c>
      <c r="CP136" s="620">
        <v>0.7893</v>
      </c>
      <c r="CQ136" s="620">
        <v>0.80420000000000003</v>
      </c>
      <c r="CR136" s="711">
        <v>0.76480000000000004</v>
      </c>
      <c r="CS136" s="567" t="s">
        <v>293</v>
      </c>
      <c r="CT136" s="602">
        <v>95</v>
      </c>
      <c r="CU136" s="602">
        <v>95</v>
      </c>
      <c r="CV136" s="587">
        <v>0.77410000000000001</v>
      </c>
      <c r="CW136" s="587">
        <v>0.75339999999999996</v>
      </c>
      <c r="CX136" s="587">
        <v>0.74639999999999995</v>
      </c>
      <c r="CY136" s="587">
        <v>0.79849999999999999</v>
      </c>
      <c r="CZ136" s="587">
        <v>0.80640000000000001</v>
      </c>
      <c r="DA136" s="587">
        <v>0.77110000000000001</v>
      </c>
      <c r="DB136" s="884" t="s">
        <v>294</v>
      </c>
      <c r="DC136" s="884">
        <v>85</v>
      </c>
      <c r="DD136" s="884">
        <v>85</v>
      </c>
      <c r="DE136" s="884">
        <v>0.76380000000000003</v>
      </c>
      <c r="DF136" s="133">
        <v>0.75460000000000005</v>
      </c>
      <c r="DG136" s="133">
        <v>0.73909999999999998</v>
      </c>
      <c r="DH136" s="133">
        <v>0.7893</v>
      </c>
      <c r="DI136" s="133">
        <v>0.80430000000000001</v>
      </c>
      <c r="DJ136" s="133">
        <v>0.76500000000000001</v>
      </c>
    </row>
    <row r="137" spans="1:114" x14ac:dyDescent="0.25">
      <c r="A137" s="36" t="s">
        <v>175</v>
      </c>
      <c r="B137" s="668">
        <v>325754005048</v>
      </c>
      <c r="C137" s="134" t="s">
        <v>452</v>
      </c>
      <c r="D137" s="134" t="s">
        <v>307</v>
      </c>
      <c r="E137" s="134" t="s">
        <v>671</v>
      </c>
      <c r="F137" s="134" t="s">
        <v>123</v>
      </c>
      <c r="G137" s="169" t="s">
        <v>443</v>
      </c>
      <c r="H137" s="166">
        <v>37</v>
      </c>
      <c r="I137" s="166">
        <v>34</v>
      </c>
      <c r="J137" s="166">
        <v>0.5907</v>
      </c>
      <c r="K137" s="166">
        <v>0.59370000000000001</v>
      </c>
      <c r="L137" s="166">
        <v>0.62860000000000005</v>
      </c>
      <c r="M137" s="166">
        <v>0.61719999999999997</v>
      </c>
      <c r="N137" s="166">
        <v>0.61809999999999998</v>
      </c>
      <c r="O137" s="166">
        <v>0.60840000000000005</v>
      </c>
      <c r="P137" s="175" t="s">
        <v>427</v>
      </c>
      <c r="Q137" s="174" t="s">
        <v>368</v>
      </c>
      <c r="R137" s="174" t="s">
        <v>438</v>
      </c>
      <c r="S137" s="174">
        <v>0.6079</v>
      </c>
      <c r="T137" s="174">
        <v>0.61980000000000002</v>
      </c>
      <c r="U137" s="174">
        <v>0.64890000000000003</v>
      </c>
      <c r="V137" s="174">
        <v>0.64829999999999999</v>
      </c>
      <c r="W137" s="174">
        <v>0.62170000000000003</v>
      </c>
      <c r="X137" s="174">
        <v>0.63049999999999995</v>
      </c>
      <c r="Y137" s="134"/>
      <c r="Z137" s="134"/>
      <c r="AA137" s="134"/>
      <c r="AB137" s="137"/>
      <c r="AC137" s="137"/>
      <c r="AD137" s="137"/>
      <c r="AE137" s="137"/>
      <c r="AF137" s="137"/>
      <c r="AG137" s="137"/>
      <c r="AH137" s="162"/>
      <c r="AI137" s="134"/>
      <c r="AJ137" s="134"/>
      <c r="AK137" s="137"/>
      <c r="AL137" s="137"/>
      <c r="AM137" s="137"/>
      <c r="AN137" s="137"/>
      <c r="AO137" s="137"/>
      <c r="AP137" s="137"/>
      <c r="AQ137" s="134"/>
      <c r="AR137" s="134"/>
      <c r="AS137" s="134"/>
      <c r="AT137" s="137"/>
      <c r="AU137" s="137"/>
      <c r="AV137" s="137"/>
      <c r="AW137" s="137"/>
      <c r="AX137" s="137"/>
      <c r="AY137" s="137"/>
      <c r="AZ137" s="134"/>
      <c r="BA137" s="134"/>
      <c r="BB137" s="134"/>
      <c r="BC137" s="137"/>
      <c r="BD137" s="137"/>
      <c r="BE137" s="137"/>
      <c r="BF137" s="137"/>
      <c r="BG137" s="137"/>
      <c r="BH137" s="137"/>
      <c r="BI137" s="151" t="s">
        <v>443</v>
      </c>
      <c r="BJ137" s="152">
        <v>18</v>
      </c>
      <c r="BK137" s="152">
        <v>18</v>
      </c>
      <c r="BL137" s="137">
        <v>0.60750000000000004</v>
      </c>
      <c r="BM137" s="137">
        <v>0.5696</v>
      </c>
      <c r="BN137" s="137">
        <v>0.54020000000000001</v>
      </c>
      <c r="BO137" s="137">
        <v>0.62419999999999998</v>
      </c>
      <c r="BP137" s="137">
        <v>0.61150000000000004</v>
      </c>
      <c r="BQ137" s="137">
        <v>0.58740000000000003</v>
      </c>
      <c r="BR137" s="278" t="s">
        <v>443</v>
      </c>
      <c r="BS137" s="270">
        <v>22</v>
      </c>
      <c r="BT137" s="270">
        <v>21</v>
      </c>
      <c r="BU137" s="270">
        <v>0.58220000000000005</v>
      </c>
      <c r="BV137" s="270">
        <v>0.57840000000000003</v>
      </c>
      <c r="BW137" s="270">
        <v>0.5504</v>
      </c>
      <c r="BX137" s="270">
        <v>0.64049999999999996</v>
      </c>
      <c r="BY137" s="270">
        <v>0.62890000000000001</v>
      </c>
      <c r="BZ137" s="270">
        <v>0.59099999999999997</v>
      </c>
      <c r="CA137" s="354" t="s">
        <v>443</v>
      </c>
      <c r="CB137" s="355" t="s">
        <v>442</v>
      </c>
      <c r="CC137" s="355" t="s">
        <v>679</v>
      </c>
      <c r="CD137" s="355">
        <v>0.61219999999999997</v>
      </c>
      <c r="CE137" s="355">
        <v>0.60599999999999998</v>
      </c>
      <c r="CF137" s="355">
        <v>0.58499999999999996</v>
      </c>
      <c r="CG137" s="355">
        <v>0.65790000000000004</v>
      </c>
      <c r="CH137" s="355">
        <v>0.63880000000000003</v>
      </c>
      <c r="CI137" s="565">
        <v>0.61709999999999998</v>
      </c>
      <c r="CJ137" s="718" t="s">
        <v>427</v>
      </c>
      <c r="CK137" s="620">
        <v>33</v>
      </c>
      <c r="CL137" s="620">
        <v>32</v>
      </c>
      <c r="CM137" s="620">
        <v>0.64639999999999997</v>
      </c>
      <c r="CN137" s="620">
        <v>0.61350000000000005</v>
      </c>
      <c r="CO137" s="620">
        <v>0.60799999999999998</v>
      </c>
      <c r="CP137" s="620">
        <v>0.66679999999999995</v>
      </c>
      <c r="CQ137" s="620">
        <v>0.63880000000000003</v>
      </c>
      <c r="CR137" s="711">
        <v>0.6341</v>
      </c>
      <c r="CS137" s="567" t="s">
        <v>427</v>
      </c>
      <c r="CT137" s="602">
        <v>38</v>
      </c>
      <c r="CU137" s="602">
        <v>37</v>
      </c>
      <c r="CV137" s="587">
        <v>0.67989999999999995</v>
      </c>
      <c r="CW137" s="587">
        <v>0.61899999999999999</v>
      </c>
      <c r="CX137" s="587">
        <v>0.62939999999999996</v>
      </c>
      <c r="CY137" s="587">
        <v>0.68410000000000004</v>
      </c>
      <c r="CZ137" s="587">
        <v>0.6633</v>
      </c>
      <c r="DA137" s="587">
        <v>0.65390000000000004</v>
      </c>
      <c r="DB137" s="884" t="s">
        <v>295</v>
      </c>
      <c r="DC137" s="884">
        <v>45</v>
      </c>
      <c r="DD137" s="884">
        <v>44</v>
      </c>
      <c r="DE137" s="884">
        <v>0.68779999999999997</v>
      </c>
      <c r="DF137" s="133">
        <v>0.63900000000000001</v>
      </c>
      <c r="DG137" s="133">
        <v>0.64159999999999995</v>
      </c>
      <c r="DH137" s="133">
        <v>0.71189999999999998</v>
      </c>
      <c r="DI137" s="133">
        <v>0.68769999999999998</v>
      </c>
      <c r="DJ137" s="133">
        <v>0.67149999999999999</v>
      </c>
    </row>
    <row r="138" spans="1:114" x14ac:dyDescent="0.25">
      <c r="A138" s="36" t="s">
        <v>44</v>
      </c>
      <c r="B138" s="668">
        <v>325754001841</v>
      </c>
      <c r="C138" s="134" t="s">
        <v>452</v>
      </c>
      <c r="D138" s="134" t="s">
        <v>307</v>
      </c>
      <c r="E138" s="134" t="s">
        <v>671</v>
      </c>
      <c r="F138" s="134" t="s">
        <v>123</v>
      </c>
      <c r="G138" s="165" t="s">
        <v>295</v>
      </c>
      <c r="H138" s="166">
        <v>136</v>
      </c>
      <c r="I138" s="166">
        <v>134</v>
      </c>
      <c r="J138" s="166">
        <v>0.70189999999999997</v>
      </c>
      <c r="K138" s="166">
        <v>0.70279999999999998</v>
      </c>
      <c r="L138" s="166">
        <v>0.72060000000000002</v>
      </c>
      <c r="M138" s="166">
        <v>0.72030000000000005</v>
      </c>
      <c r="N138" s="166">
        <v>0.7</v>
      </c>
      <c r="O138" s="166">
        <v>0.71050000000000002</v>
      </c>
      <c r="P138" s="173" t="s">
        <v>295</v>
      </c>
      <c r="Q138" s="174" t="s">
        <v>725</v>
      </c>
      <c r="R138" s="174" t="s">
        <v>594</v>
      </c>
      <c r="S138" s="174">
        <v>0.70230000000000004</v>
      </c>
      <c r="T138" s="174">
        <v>0.69399999999999995</v>
      </c>
      <c r="U138" s="174">
        <v>0.71060000000000001</v>
      </c>
      <c r="V138" s="174">
        <v>0.71060000000000001</v>
      </c>
      <c r="W138" s="174">
        <v>0.69740000000000002</v>
      </c>
      <c r="X138" s="174">
        <v>0.70389999999999997</v>
      </c>
      <c r="Y138" s="138" t="s">
        <v>295</v>
      </c>
      <c r="Z138" s="134" t="s">
        <v>545</v>
      </c>
      <c r="AA138" s="134" t="s">
        <v>321</v>
      </c>
      <c r="AB138" s="137">
        <v>0.71689999999999998</v>
      </c>
      <c r="AC138" s="137">
        <v>0.71609999999999996</v>
      </c>
      <c r="AD138" s="137">
        <v>0.71789999999999998</v>
      </c>
      <c r="AE138" s="137">
        <v>0.72270000000000001</v>
      </c>
      <c r="AF138" s="137">
        <v>0.71779999999999999</v>
      </c>
      <c r="AG138" s="137">
        <v>0.71840000000000004</v>
      </c>
      <c r="AH138" s="161" t="s">
        <v>294</v>
      </c>
      <c r="AI138" s="134" t="s">
        <v>479</v>
      </c>
      <c r="AJ138" s="134" t="s">
        <v>479</v>
      </c>
      <c r="AK138" s="137">
        <v>0.72989999999999999</v>
      </c>
      <c r="AL138" s="137">
        <v>0.72219999999999995</v>
      </c>
      <c r="AM138" s="137">
        <v>0.72250000000000003</v>
      </c>
      <c r="AN138" s="137">
        <v>0.73609999999999998</v>
      </c>
      <c r="AO138" s="137">
        <v>0.72629999999999995</v>
      </c>
      <c r="AP138" s="137">
        <v>0.72760000000000002</v>
      </c>
      <c r="AQ138" s="150" t="s">
        <v>294</v>
      </c>
      <c r="AR138" s="134" t="s">
        <v>342</v>
      </c>
      <c r="AS138" s="134" t="s">
        <v>343</v>
      </c>
      <c r="AT138" s="137">
        <v>0.73740000000000006</v>
      </c>
      <c r="AU138" s="137">
        <v>0.73099999999999998</v>
      </c>
      <c r="AV138" s="137">
        <v>0.72760000000000002</v>
      </c>
      <c r="AW138" s="137">
        <v>0.74939999999999996</v>
      </c>
      <c r="AX138" s="137">
        <v>0.73860000000000003</v>
      </c>
      <c r="AY138" s="137">
        <v>0.73650000000000004</v>
      </c>
      <c r="AZ138" s="145" t="s">
        <v>294</v>
      </c>
      <c r="BA138" s="134" t="s">
        <v>371</v>
      </c>
      <c r="BB138" s="134" t="s">
        <v>635</v>
      </c>
      <c r="BC138" s="137">
        <v>0.73860000000000003</v>
      </c>
      <c r="BD138" s="137">
        <v>0.71609999999999996</v>
      </c>
      <c r="BE138" s="137">
        <v>0.70860000000000001</v>
      </c>
      <c r="BF138" s="137">
        <v>0.75329999999999997</v>
      </c>
      <c r="BG138" s="137">
        <v>0.74070000000000003</v>
      </c>
      <c r="BH138" s="137">
        <v>0.73</v>
      </c>
      <c r="BI138" s="149" t="s">
        <v>294</v>
      </c>
      <c r="BJ138" s="152">
        <v>247</v>
      </c>
      <c r="BK138" s="152">
        <v>246</v>
      </c>
      <c r="BL138" s="137">
        <v>0.73729999999999996</v>
      </c>
      <c r="BM138" s="137">
        <v>0.71</v>
      </c>
      <c r="BN138" s="137">
        <v>0.70420000000000005</v>
      </c>
      <c r="BO138" s="137">
        <v>0.74880000000000002</v>
      </c>
      <c r="BP138" s="137">
        <v>0.73560000000000003</v>
      </c>
      <c r="BQ138" s="137">
        <v>0.72589999999999999</v>
      </c>
      <c r="BR138" s="281" t="s">
        <v>294</v>
      </c>
      <c r="BS138" s="270">
        <v>283</v>
      </c>
      <c r="BT138" s="270">
        <v>282</v>
      </c>
      <c r="BU138" s="270">
        <v>0.73719999999999997</v>
      </c>
      <c r="BV138" s="270">
        <v>0.70669999999999999</v>
      </c>
      <c r="BW138" s="270">
        <v>0.70320000000000005</v>
      </c>
      <c r="BX138" s="270">
        <v>0.74629999999999996</v>
      </c>
      <c r="BY138" s="270">
        <v>0.73729999999999996</v>
      </c>
      <c r="BZ138" s="270">
        <v>0.72440000000000004</v>
      </c>
      <c r="CA138" s="364" t="s">
        <v>294</v>
      </c>
      <c r="CB138" s="355" t="s">
        <v>690</v>
      </c>
      <c r="CC138" s="355" t="s">
        <v>470</v>
      </c>
      <c r="CD138" s="355">
        <v>0.74170000000000003</v>
      </c>
      <c r="CE138" s="355">
        <v>0.70669999999999999</v>
      </c>
      <c r="CF138" s="355">
        <v>0.71850000000000003</v>
      </c>
      <c r="CG138" s="355">
        <v>0.74990000000000001</v>
      </c>
      <c r="CH138" s="355">
        <v>0.74460000000000004</v>
      </c>
      <c r="CI138" s="565">
        <v>0.73040000000000005</v>
      </c>
      <c r="CJ138" s="717" t="s">
        <v>294</v>
      </c>
      <c r="CK138" s="620">
        <v>317</v>
      </c>
      <c r="CL138" s="620">
        <v>316</v>
      </c>
      <c r="CM138" s="620">
        <v>0.74570000000000003</v>
      </c>
      <c r="CN138" s="620">
        <v>0.71030000000000004</v>
      </c>
      <c r="CO138" s="620">
        <v>0.71950000000000003</v>
      </c>
      <c r="CP138" s="620">
        <v>0.75700000000000001</v>
      </c>
      <c r="CQ138" s="620">
        <v>0.76019999999999999</v>
      </c>
      <c r="CR138" s="711">
        <v>0.73519999999999996</v>
      </c>
      <c r="CS138" s="567" t="s">
        <v>294</v>
      </c>
      <c r="CT138" s="602">
        <v>326</v>
      </c>
      <c r="CU138" s="602">
        <v>322</v>
      </c>
      <c r="CV138" s="587">
        <v>0.75780000000000003</v>
      </c>
      <c r="CW138" s="587">
        <v>0.71650000000000003</v>
      </c>
      <c r="CX138" s="587">
        <v>0.72799999999999998</v>
      </c>
      <c r="CY138" s="587">
        <v>0.76900000000000002</v>
      </c>
      <c r="CZ138" s="587">
        <v>0.76549999999999996</v>
      </c>
      <c r="DA138" s="587">
        <v>0.74460000000000004</v>
      </c>
      <c r="DB138" s="884" t="s">
        <v>294</v>
      </c>
      <c r="DC138" s="884">
        <v>316</v>
      </c>
      <c r="DD138" s="884">
        <v>311</v>
      </c>
      <c r="DE138" s="884">
        <v>0.75929999999999997</v>
      </c>
      <c r="DF138" s="133">
        <v>0.71960000000000002</v>
      </c>
      <c r="DG138" s="133">
        <v>0.72489999999999999</v>
      </c>
      <c r="DH138" s="133">
        <v>0.77980000000000005</v>
      </c>
      <c r="DI138" s="133">
        <v>0.76090000000000002</v>
      </c>
      <c r="DJ138" s="133">
        <v>0.747</v>
      </c>
    </row>
    <row r="139" spans="1:114" x14ac:dyDescent="0.25">
      <c r="A139" s="36" t="s">
        <v>113</v>
      </c>
      <c r="B139" s="668">
        <v>325754003771</v>
      </c>
      <c r="C139" s="134" t="s">
        <v>452</v>
      </c>
      <c r="D139" s="134" t="s">
        <v>307</v>
      </c>
      <c r="E139" s="134" t="s">
        <v>671</v>
      </c>
      <c r="F139" s="134" t="s">
        <v>123</v>
      </c>
      <c r="G139" s="563"/>
      <c r="H139" s="731"/>
      <c r="I139" s="134"/>
      <c r="J139" s="134"/>
      <c r="K139" s="134"/>
      <c r="L139" s="134"/>
      <c r="M139" s="134"/>
      <c r="N139" s="134"/>
      <c r="O139" s="134"/>
      <c r="P139" s="173" t="s">
        <v>295</v>
      </c>
      <c r="Q139" s="174" t="s">
        <v>426</v>
      </c>
      <c r="R139" s="174" t="s">
        <v>547</v>
      </c>
      <c r="S139" s="174">
        <v>0.7228</v>
      </c>
      <c r="T139" s="174">
        <v>0.71050000000000002</v>
      </c>
      <c r="U139" s="174">
        <v>0.72650000000000003</v>
      </c>
      <c r="V139" s="174">
        <v>0.70479999999999998</v>
      </c>
      <c r="W139" s="174">
        <v>0.68810000000000004</v>
      </c>
      <c r="X139" s="174">
        <v>0.71399999999999997</v>
      </c>
      <c r="Y139" s="145" t="s">
        <v>294</v>
      </c>
      <c r="Z139" s="134" t="s">
        <v>526</v>
      </c>
      <c r="AA139" s="134" t="s">
        <v>534</v>
      </c>
      <c r="AB139" s="137">
        <v>0.73340000000000005</v>
      </c>
      <c r="AC139" s="137">
        <v>0.73509999999999998</v>
      </c>
      <c r="AD139" s="137">
        <v>0.73380000000000001</v>
      </c>
      <c r="AE139" s="137">
        <v>0.72250000000000003</v>
      </c>
      <c r="AF139" s="137">
        <v>0.72589999999999999</v>
      </c>
      <c r="AG139" s="137">
        <v>0.73080000000000001</v>
      </c>
      <c r="AH139" s="158" t="s">
        <v>294</v>
      </c>
      <c r="AI139" s="134" t="s">
        <v>438</v>
      </c>
      <c r="AJ139" s="134" t="s">
        <v>449</v>
      </c>
      <c r="AK139" s="137">
        <v>0.73870000000000002</v>
      </c>
      <c r="AL139" s="137">
        <v>0.73760000000000003</v>
      </c>
      <c r="AM139" s="137">
        <v>0.73950000000000005</v>
      </c>
      <c r="AN139" s="137">
        <v>0.73670000000000002</v>
      </c>
      <c r="AO139" s="137">
        <v>0.74170000000000003</v>
      </c>
      <c r="AP139" s="137">
        <v>0.73839999999999995</v>
      </c>
      <c r="AQ139" s="150" t="s">
        <v>294</v>
      </c>
      <c r="AR139" s="134" t="s">
        <v>322</v>
      </c>
      <c r="AS139" s="134" t="s">
        <v>333</v>
      </c>
      <c r="AT139" s="137">
        <v>0.74739999999999995</v>
      </c>
      <c r="AU139" s="137">
        <v>0.73580000000000001</v>
      </c>
      <c r="AV139" s="137">
        <v>0.72430000000000005</v>
      </c>
      <c r="AW139" s="137">
        <v>0.75109999999999999</v>
      </c>
      <c r="AX139" s="137">
        <v>0.77349999999999997</v>
      </c>
      <c r="AY139" s="137">
        <v>0.74219999999999997</v>
      </c>
      <c r="AZ139" s="145" t="s">
        <v>294</v>
      </c>
      <c r="BA139" s="134" t="s">
        <v>369</v>
      </c>
      <c r="BB139" s="134" t="s">
        <v>437</v>
      </c>
      <c r="BC139" s="137">
        <v>0.75580000000000003</v>
      </c>
      <c r="BD139" s="137">
        <v>0.72370000000000001</v>
      </c>
      <c r="BE139" s="137">
        <v>0.71040000000000003</v>
      </c>
      <c r="BF139" s="137">
        <v>0.75590000000000002</v>
      </c>
      <c r="BG139" s="137">
        <v>0.7702</v>
      </c>
      <c r="BH139" s="137">
        <v>0.73909999999999998</v>
      </c>
      <c r="BI139" s="149" t="s">
        <v>294</v>
      </c>
      <c r="BJ139" s="152">
        <v>51</v>
      </c>
      <c r="BK139" s="152">
        <v>49</v>
      </c>
      <c r="BL139" s="137">
        <v>0.74560000000000004</v>
      </c>
      <c r="BM139" s="137">
        <v>0.70760000000000001</v>
      </c>
      <c r="BN139" s="137">
        <v>0.69320000000000004</v>
      </c>
      <c r="BO139" s="137">
        <v>0.74329999999999996</v>
      </c>
      <c r="BP139" s="137">
        <v>0.73860000000000003</v>
      </c>
      <c r="BQ139" s="137">
        <v>0.72370000000000001</v>
      </c>
      <c r="BR139" s="281" t="s">
        <v>294</v>
      </c>
      <c r="BS139" s="270">
        <v>50</v>
      </c>
      <c r="BT139" s="270">
        <v>50</v>
      </c>
      <c r="BU139" s="270">
        <v>0.75739999999999996</v>
      </c>
      <c r="BV139" s="270">
        <v>0.71409999999999996</v>
      </c>
      <c r="BW139" s="270">
        <v>0.7147</v>
      </c>
      <c r="BX139" s="270">
        <v>0.74909999999999999</v>
      </c>
      <c r="BY139" s="270">
        <v>0.74070000000000003</v>
      </c>
      <c r="BZ139" s="270">
        <v>0.73429999999999995</v>
      </c>
      <c r="CA139" s="364" t="s">
        <v>294</v>
      </c>
      <c r="CB139" s="355" t="s">
        <v>352</v>
      </c>
      <c r="CC139" s="355" t="s">
        <v>352</v>
      </c>
      <c r="CD139" s="355">
        <v>0.74809999999999999</v>
      </c>
      <c r="CE139" s="355">
        <v>0.7077</v>
      </c>
      <c r="CF139" s="355">
        <v>0.71550000000000002</v>
      </c>
      <c r="CG139" s="355">
        <v>0.751</v>
      </c>
      <c r="CH139" s="355">
        <v>0.73780000000000001</v>
      </c>
      <c r="CI139" s="565">
        <v>0.73109999999999997</v>
      </c>
      <c r="CJ139" s="717" t="s">
        <v>294</v>
      </c>
      <c r="CK139" s="620">
        <v>58</v>
      </c>
      <c r="CL139" s="620">
        <v>58</v>
      </c>
      <c r="CM139" s="620">
        <v>0.75239999999999996</v>
      </c>
      <c r="CN139" s="620">
        <v>0.72319999999999995</v>
      </c>
      <c r="CO139" s="620">
        <v>0.70789999999999997</v>
      </c>
      <c r="CP139" s="620">
        <v>0.76439999999999997</v>
      </c>
      <c r="CQ139" s="620">
        <v>0.76370000000000005</v>
      </c>
      <c r="CR139" s="711">
        <v>0.73899999999999999</v>
      </c>
      <c r="CS139" s="567" t="s">
        <v>294</v>
      </c>
      <c r="CT139" s="602">
        <v>66</v>
      </c>
      <c r="CU139" s="602">
        <v>66</v>
      </c>
      <c r="CV139" s="587">
        <v>0.77310000000000001</v>
      </c>
      <c r="CW139" s="587">
        <v>0.7329</v>
      </c>
      <c r="CX139" s="587">
        <v>0.72740000000000005</v>
      </c>
      <c r="CY139" s="587">
        <v>0.78990000000000005</v>
      </c>
      <c r="CZ139" s="587">
        <v>0.78129999999999999</v>
      </c>
      <c r="DA139" s="587">
        <v>0.75780000000000003</v>
      </c>
      <c r="DB139" s="884" t="s">
        <v>293</v>
      </c>
      <c r="DC139" s="884">
        <v>67</v>
      </c>
      <c r="DD139" s="884">
        <v>67</v>
      </c>
      <c r="DE139" s="884">
        <v>0.79059999999999997</v>
      </c>
      <c r="DF139" s="133">
        <v>0.75519999999999998</v>
      </c>
      <c r="DG139" s="133">
        <v>0.75990000000000002</v>
      </c>
      <c r="DH139" s="133">
        <v>0.81610000000000005</v>
      </c>
      <c r="DI139" s="133">
        <v>0.80189999999999995</v>
      </c>
      <c r="DJ139" s="133">
        <v>0.78210000000000002</v>
      </c>
    </row>
    <row r="140" spans="1:114" x14ac:dyDescent="0.25">
      <c r="A140" s="36" t="s">
        <v>59</v>
      </c>
      <c r="B140" s="668">
        <v>325754001123</v>
      </c>
      <c r="C140" s="134" t="s">
        <v>452</v>
      </c>
      <c r="D140" s="134" t="s">
        <v>307</v>
      </c>
      <c r="E140" s="134" t="s">
        <v>671</v>
      </c>
      <c r="F140" s="134" t="s">
        <v>123</v>
      </c>
      <c r="G140" s="177" t="s">
        <v>294</v>
      </c>
      <c r="H140" s="732">
        <v>58</v>
      </c>
      <c r="I140" s="674">
        <v>58</v>
      </c>
      <c r="J140" s="674">
        <v>0.71789999999999998</v>
      </c>
      <c r="K140" s="674">
        <v>0.72650000000000003</v>
      </c>
      <c r="L140" s="674">
        <v>0.74209999999999998</v>
      </c>
      <c r="M140" s="674">
        <v>0.73919999999999997</v>
      </c>
      <c r="N140" s="674">
        <v>0.73440000000000005</v>
      </c>
      <c r="O140" s="674">
        <v>0.73170000000000002</v>
      </c>
      <c r="P140" s="673" t="s">
        <v>294</v>
      </c>
      <c r="Q140" s="674" t="s">
        <v>312</v>
      </c>
      <c r="R140" s="674" t="s">
        <v>312</v>
      </c>
      <c r="S140" s="674">
        <v>0.72430000000000005</v>
      </c>
      <c r="T140" s="674">
        <v>0.73070000000000002</v>
      </c>
      <c r="U140" s="674">
        <v>0.73519999999999996</v>
      </c>
      <c r="V140" s="674">
        <v>0.73580000000000001</v>
      </c>
      <c r="W140" s="674">
        <v>0.73529999999999995</v>
      </c>
      <c r="X140" s="674">
        <v>0.73180000000000001</v>
      </c>
      <c r="Y140" s="679" t="s">
        <v>294</v>
      </c>
      <c r="Z140" s="681" t="s">
        <v>519</v>
      </c>
      <c r="AA140" s="681" t="s">
        <v>519</v>
      </c>
      <c r="AB140" s="682">
        <v>0.73729999999999996</v>
      </c>
      <c r="AC140" s="682">
        <v>0.74539999999999995</v>
      </c>
      <c r="AD140" s="682">
        <v>0.7359</v>
      </c>
      <c r="AE140" s="682">
        <v>0.73860000000000003</v>
      </c>
      <c r="AF140" s="682">
        <v>0.74160000000000004</v>
      </c>
      <c r="AG140" s="682">
        <v>0.73950000000000005</v>
      </c>
      <c r="AH140" s="684" t="s">
        <v>294</v>
      </c>
      <c r="AI140" s="681" t="s">
        <v>464</v>
      </c>
      <c r="AJ140" s="681" t="s">
        <v>464</v>
      </c>
      <c r="AK140" s="682">
        <v>0.75009999999999999</v>
      </c>
      <c r="AL140" s="682">
        <v>0.75419999999999998</v>
      </c>
      <c r="AM140" s="682">
        <v>0.72740000000000005</v>
      </c>
      <c r="AN140" s="682">
        <v>0.74929999999999997</v>
      </c>
      <c r="AO140" s="682">
        <v>0.73509999999999998</v>
      </c>
      <c r="AP140" s="682">
        <v>0.74439999999999995</v>
      </c>
      <c r="AQ140" s="689" t="s">
        <v>294</v>
      </c>
      <c r="AR140" s="681" t="s">
        <v>311</v>
      </c>
      <c r="AS140" s="681" t="s">
        <v>311</v>
      </c>
      <c r="AT140" s="682">
        <v>0.76180000000000003</v>
      </c>
      <c r="AU140" s="682">
        <v>0.75580000000000003</v>
      </c>
      <c r="AV140" s="682">
        <v>0.75249999999999995</v>
      </c>
      <c r="AW140" s="682">
        <v>0.75660000000000005</v>
      </c>
      <c r="AX140" s="682">
        <v>0.7379</v>
      </c>
      <c r="AY140" s="682">
        <v>0.75519999999999998</v>
      </c>
      <c r="AZ140" s="679" t="s">
        <v>294</v>
      </c>
      <c r="BA140" s="681" t="s">
        <v>519</v>
      </c>
      <c r="BB140" s="681" t="s">
        <v>519</v>
      </c>
      <c r="BC140" s="682">
        <v>0.76759999999999995</v>
      </c>
      <c r="BD140" s="682">
        <v>0.73560000000000003</v>
      </c>
      <c r="BE140" s="682">
        <v>0.74270000000000003</v>
      </c>
      <c r="BF140" s="682">
        <v>0.7631</v>
      </c>
      <c r="BG140" s="682">
        <v>0.73019999999999996</v>
      </c>
      <c r="BH140" s="682">
        <v>0.75049999999999994</v>
      </c>
      <c r="BI140" s="693" t="s">
        <v>294</v>
      </c>
      <c r="BJ140" s="695">
        <v>58</v>
      </c>
      <c r="BK140" s="695">
        <v>57</v>
      </c>
      <c r="BL140" s="682">
        <v>0.76500000000000001</v>
      </c>
      <c r="BM140" s="682">
        <v>0.72689999999999999</v>
      </c>
      <c r="BN140" s="682">
        <v>0.73960000000000004</v>
      </c>
      <c r="BO140" s="682">
        <v>0.76229999999999998</v>
      </c>
      <c r="BP140" s="682">
        <v>0.71630000000000005</v>
      </c>
      <c r="BQ140" s="682">
        <v>0.746</v>
      </c>
      <c r="BR140" s="693" t="s">
        <v>294</v>
      </c>
      <c r="BS140" s="674">
        <v>67</v>
      </c>
      <c r="BT140" s="674">
        <v>66</v>
      </c>
      <c r="BU140" s="674">
        <v>0.74950000000000006</v>
      </c>
      <c r="BV140" s="674">
        <v>0.71419999999999995</v>
      </c>
      <c r="BW140" s="674">
        <v>0.71450000000000002</v>
      </c>
      <c r="BX140" s="674">
        <v>0.76139999999999997</v>
      </c>
      <c r="BY140" s="674">
        <v>0.71930000000000005</v>
      </c>
      <c r="BZ140" s="674">
        <v>0.73370000000000002</v>
      </c>
      <c r="CA140" s="701" t="s">
        <v>294</v>
      </c>
      <c r="CB140" s="566" t="s">
        <v>313</v>
      </c>
      <c r="CC140" s="566" t="s">
        <v>314</v>
      </c>
      <c r="CD140" s="566">
        <v>0.74890000000000001</v>
      </c>
      <c r="CE140" s="566">
        <v>0.72019999999999995</v>
      </c>
      <c r="CF140" s="566">
        <v>0.72619999999999996</v>
      </c>
      <c r="CG140" s="566">
        <v>0.77959999999999996</v>
      </c>
      <c r="CH140" s="566">
        <v>0.74270000000000003</v>
      </c>
      <c r="CI140" s="566">
        <v>0.74360000000000004</v>
      </c>
      <c r="CJ140" s="717" t="s">
        <v>294</v>
      </c>
      <c r="CK140" s="620">
        <v>71</v>
      </c>
      <c r="CL140" s="620">
        <v>70</v>
      </c>
      <c r="CM140" s="620">
        <v>0.74680000000000002</v>
      </c>
      <c r="CN140" s="620">
        <v>0.71519999999999995</v>
      </c>
      <c r="CO140" s="620">
        <v>0.72640000000000005</v>
      </c>
      <c r="CP140" s="620">
        <v>0.77490000000000003</v>
      </c>
      <c r="CQ140" s="620">
        <v>0.76180000000000003</v>
      </c>
      <c r="CR140" s="711">
        <v>0.74239999999999995</v>
      </c>
      <c r="CS140" s="721" t="s">
        <v>294</v>
      </c>
      <c r="CT140" s="722">
        <v>73</v>
      </c>
      <c r="CU140" s="722">
        <v>72</v>
      </c>
      <c r="CV140" s="723">
        <v>0.74860000000000004</v>
      </c>
      <c r="CW140" s="723">
        <v>0.72160000000000002</v>
      </c>
      <c r="CX140" s="723">
        <v>0.73719999999999997</v>
      </c>
      <c r="CY140" s="723">
        <v>0.77839999999999998</v>
      </c>
      <c r="CZ140" s="723">
        <v>0.76929999999999998</v>
      </c>
      <c r="DA140" s="723">
        <v>0.74819999999999998</v>
      </c>
      <c r="DB140" s="884" t="s">
        <v>294</v>
      </c>
      <c r="DC140" s="884">
        <v>69</v>
      </c>
      <c r="DD140" s="884">
        <v>68</v>
      </c>
      <c r="DE140" s="884">
        <v>0.74270000000000003</v>
      </c>
      <c r="DF140" s="133">
        <v>0.72189999999999999</v>
      </c>
      <c r="DG140" s="133">
        <v>0.72399999999999998</v>
      </c>
      <c r="DH140" s="133">
        <v>0.76559999999999995</v>
      </c>
      <c r="DI140" s="133">
        <v>0.75229999999999997</v>
      </c>
      <c r="DJ140" s="133">
        <v>0.73960000000000004</v>
      </c>
    </row>
    <row r="141" spans="1:114" x14ac:dyDescent="0.25">
      <c r="A141" s="36" t="s">
        <v>45</v>
      </c>
      <c r="B141" s="882">
        <v>325754003886</v>
      </c>
      <c r="C141" s="724" t="s">
        <v>452</v>
      </c>
      <c r="D141" s="724" t="s">
        <v>307</v>
      </c>
      <c r="E141" s="133" t="s">
        <v>671</v>
      </c>
      <c r="F141" s="724" t="s">
        <v>123</v>
      </c>
      <c r="G141" s="175" t="s">
        <v>427</v>
      </c>
      <c r="H141">
        <v>64</v>
      </c>
      <c r="I141">
        <v>61</v>
      </c>
      <c r="J141">
        <v>0.6341</v>
      </c>
      <c r="K141">
        <v>0.65010000000000001</v>
      </c>
      <c r="L141">
        <v>0.66139999999999999</v>
      </c>
      <c r="M141">
        <v>0.65869999999999995</v>
      </c>
      <c r="N141">
        <v>0.65859999999999996</v>
      </c>
      <c r="O141">
        <v>0.65169999999999995</v>
      </c>
      <c r="P141" s="670" t="s">
        <v>427</v>
      </c>
      <c r="Q141" t="s">
        <v>432</v>
      </c>
      <c r="R141" t="s">
        <v>522</v>
      </c>
      <c r="S141">
        <v>0.63560000000000005</v>
      </c>
      <c r="T141">
        <v>0.66510000000000002</v>
      </c>
      <c r="U141">
        <v>0.67200000000000004</v>
      </c>
      <c r="V141">
        <v>0.65859999999999996</v>
      </c>
      <c r="W141">
        <v>0.65480000000000005</v>
      </c>
      <c r="X141">
        <v>0.65759999999999996</v>
      </c>
      <c r="Y141" s="677" t="s">
        <v>295</v>
      </c>
      <c r="Z141" s="133" t="s">
        <v>453</v>
      </c>
      <c r="AA141" s="133" t="s">
        <v>543</v>
      </c>
      <c r="AB141" s="163">
        <v>0.65210000000000001</v>
      </c>
      <c r="AC141" s="163">
        <v>0.6885</v>
      </c>
      <c r="AD141" s="163">
        <v>0.68730000000000002</v>
      </c>
      <c r="AE141" s="163">
        <v>0.67959999999999998</v>
      </c>
      <c r="AF141" s="163">
        <v>0.67379999999999995</v>
      </c>
      <c r="AG141" s="163">
        <v>0.67659999999999998</v>
      </c>
      <c r="AH141" s="683" t="s">
        <v>295</v>
      </c>
      <c r="AI141" s="133" t="s">
        <v>386</v>
      </c>
      <c r="AJ141" s="133" t="s">
        <v>386</v>
      </c>
      <c r="AK141" s="163">
        <v>0.67090000000000005</v>
      </c>
      <c r="AL141" s="163">
        <v>0.71709999999999996</v>
      </c>
      <c r="AM141" s="163">
        <v>0.71450000000000002</v>
      </c>
      <c r="AN141" s="163">
        <v>0.70640000000000003</v>
      </c>
      <c r="AO141" s="163">
        <v>0.66249999999999998</v>
      </c>
      <c r="AP141" s="163">
        <v>0.69920000000000004</v>
      </c>
      <c r="AQ141" s="688" t="s">
        <v>295</v>
      </c>
      <c r="AR141" s="133" t="s">
        <v>383</v>
      </c>
      <c r="AS141" s="133" t="s">
        <v>383</v>
      </c>
      <c r="AT141" s="163">
        <v>0.67849999999999999</v>
      </c>
      <c r="AU141" s="163">
        <v>0.70989999999999998</v>
      </c>
      <c r="AV141" s="163">
        <v>0.69850000000000001</v>
      </c>
      <c r="AW141" s="163">
        <v>0.71840000000000004</v>
      </c>
      <c r="AX141" s="163">
        <v>0.6865</v>
      </c>
      <c r="AY141" s="163">
        <v>0.70020000000000004</v>
      </c>
      <c r="AZ141" s="677" t="s">
        <v>295</v>
      </c>
      <c r="BA141" s="133" t="s">
        <v>466</v>
      </c>
      <c r="BB141" s="133" t="s">
        <v>466</v>
      </c>
      <c r="BC141" s="163">
        <v>0.68740000000000001</v>
      </c>
      <c r="BD141" s="163">
        <v>0.69689999999999996</v>
      </c>
      <c r="BE141" s="163">
        <v>0.68569999999999998</v>
      </c>
      <c r="BF141" s="163">
        <v>0.72209999999999996</v>
      </c>
      <c r="BG141" s="163">
        <v>0.67449999999999999</v>
      </c>
      <c r="BH141" s="163">
        <v>0.69620000000000004</v>
      </c>
      <c r="BI141" s="691" t="s">
        <v>295</v>
      </c>
      <c r="BJ141" s="694">
        <v>78</v>
      </c>
      <c r="BK141" s="694">
        <v>78</v>
      </c>
      <c r="BL141" s="163">
        <v>0.69040000000000001</v>
      </c>
      <c r="BM141" s="163">
        <v>0.67079999999999995</v>
      </c>
      <c r="BN141" s="163">
        <v>0.65300000000000002</v>
      </c>
      <c r="BO141" s="163">
        <v>0.71020000000000005</v>
      </c>
      <c r="BP141" s="163">
        <v>0.65210000000000001</v>
      </c>
      <c r="BQ141" s="163">
        <v>0.67889999999999995</v>
      </c>
      <c r="BR141" s="691" t="s">
        <v>295</v>
      </c>
      <c r="BS141">
        <v>78</v>
      </c>
      <c r="BT141">
        <v>78</v>
      </c>
      <c r="BU141">
        <v>0.70009999999999994</v>
      </c>
      <c r="BV141">
        <v>0.65869999999999995</v>
      </c>
      <c r="BW141">
        <v>0.65590000000000004</v>
      </c>
      <c r="BX141">
        <v>0.7157</v>
      </c>
      <c r="BY141">
        <v>0.63529999999999998</v>
      </c>
      <c r="BZ141">
        <v>0.67900000000000005</v>
      </c>
      <c r="CA141" s="699" t="s">
        <v>295</v>
      </c>
      <c r="CB141" s="672" t="s">
        <v>388</v>
      </c>
      <c r="CC141" s="672" t="s">
        <v>388</v>
      </c>
      <c r="CD141" s="672">
        <v>0.71550000000000002</v>
      </c>
      <c r="CE141" s="672">
        <v>0.67379999999999995</v>
      </c>
      <c r="CF141" s="672">
        <v>0.68020000000000003</v>
      </c>
      <c r="CG141" s="672">
        <v>0.7379</v>
      </c>
      <c r="CH141" s="672">
        <v>0.6573</v>
      </c>
      <c r="CI141" s="672">
        <v>0.69840000000000002</v>
      </c>
      <c r="CJ141" s="703" t="s">
        <v>294</v>
      </c>
      <c r="CK141" s="725">
        <v>116</v>
      </c>
      <c r="CL141" s="725">
        <v>116</v>
      </c>
      <c r="CM141" s="725">
        <v>0.73480000000000001</v>
      </c>
      <c r="CN141" s="725">
        <v>0.69989999999999997</v>
      </c>
      <c r="CO141" s="725">
        <v>0.70530000000000004</v>
      </c>
      <c r="CP141" s="725">
        <v>0.76329999999999998</v>
      </c>
      <c r="CQ141" s="725">
        <v>0.70430000000000004</v>
      </c>
      <c r="CR141" s="726">
        <v>0.72409999999999997</v>
      </c>
      <c r="CS141" s="727" t="s">
        <v>294</v>
      </c>
      <c r="CT141" s="727">
        <v>126</v>
      </c>
      <c r="CU141" s="727">
        <v>126</v>
      </c>
      <c r="CV141" s="728">
        <v>0.73119999999999996</v>
      </c>
      <c r="CW141" s="728">
        <v>0.70840000000000003</v>
      </c>
      <c r="CX141" s="728">
        <v>0.69499999999999995</v>
      </c>
      <c r="CY141" s="728">
        <v>0.77249999999999996</v>
      </c>
      <c r="CZ141" s="728">
        <v>0.71709999999999996</v>
      </c>
      <c r="DA141" s="728">
        <v>0.72599999999999998</v>
      </c>
      <c r="DB141" s="884" t="s">
        <v>294</v>
      </c>
      <c r="DC141" s="884">
        <v>150</v>
      </c>
      <c r="DD141" s="884">
        <v>150</v>
      </c>
      <c r="DE141" s="884">
        <v>0.73599999999999999</v>
      </c>
      <c r="DF141" s="133">
        <v>0.72289999999999999</v>
      </c>
      <c r="DG141" s="133">
        <v>0.69940000000000002</v>
      </c>
      <c r="DH141" s="133">
        <v>0.76370000000000005</v>
      </c>
      <c r="DI141" s="133">
        <v>0.73399999999999999</v>
      </c>
      <c r="DJ141" s="133">
        <v>0.73080000000000001</v>
      </c>
    </row>
    <row r="142" spans="1:114" ht="15" x14ac:dyDescent="0.25">
      <c r="A142" s="36" t="s">
        <v>950</v>
      </c>
      <c r="B142" s="883">
        <v>325754800115</v>
      </c>
      <c r="C142" s="563" t="s">
        <v>452</v>
      </c>
      <c r="D142" s="563" t="s">
        <v>307</v>
      </c>
      <c r="E142" s="563" t="s">
        <v>671</v>
      </c>
      <c r="F142" s="563" t="s">
        <v>123</v>
      </c>
      <c r="G142" s="729"/>
      <c r="H142" s="733"/>
      <c r="I142" s="729"/>
      <c r="J142" s="729"/>
      <c r="K142" s="729"/>
      <c r="L142" s="729"/>
      <c r="M142" s="729"/>
      <c r="N142" s="729"/>
      <c r="O142" s="729"/>
      <c r="P142" s="729"/>
      <c r="Q142" s="729"/>
      <c r="R142" s="729"/>
      <c r="S142" s="729"/>
      <c r="T142" s="729"/>
      <c r="U142" s="729"/>
      <c r="V142" s="729"/>
      <c r="W142" s="729"/>
      <c r="X142" s="729"/>
      <c r="Y142" s="729"/>
      <c r="Z142" s="729"/>
      <c r="AA142" s="729"/>
      <c r="AB142" s="729"/>
      <c r="AC142" s="729"/>
      <c r="AD142" s="729"/>
      <c r="AE142" s="729"/>
      <c r="AF142" s="729"/>
      <c r="AG142" s="729"/>
      <c r="AH142" s="729"/>
      <c r="AI142" s="729"/>
      <c r="AJ142" s="729"/>
      <c r="AK142" s="729"/>
      <c r="AL142" s="729"/>
      <c r="AM142" s="729"/>
      <c r="AN142" s="729"/>
      <c r="AO142" s="729"/>
      <c r="AP142" s="729"/>
      <c r="AQ142" s="729"/>
      <c r="AR142" s="729"/>
      <c r="AS142" s="729"/>
      <c r="AT142" s="729"/>
      <c r="AU142" s="729"/>
      <c r="AV142" s="729"/>
      <c r="AW142" s="729"/>
      <c r="AX142" s="729"/>
      <c r="AY142" s="729"/>
      <c r="AZ142" s="729"/>
      <c r="BA142" s="729"/>
      <c r="BB142" s="729"/>
      <c r="BC142" s="729"/>
      <c r="BD142" s="729"/>
      <c r="BE142" s="729"/>
      <c r="BF142" s="729"/>
      <c r="BG142" s="729"/>
      <c r="BH142" s="729"/>
      <c r="BI142" s="729"/>
      <c r="BJ142" s="729"/>
      <c r="BK142" s="729"/>
      <c r="BL142" s="729"/>
      <c r="BM142" s="729"/>
      <c r="BN142" s="729"/>
      <c r="BO142" s="729"/>
      <c r="BP142" s="729"/>
      <c r="BQ142" s="729"/>
      <c r="BR142" s="729"/>
      <c r="BS142" s="729"/>
      <c r="BT142" s="729"/>
      <c r="BU142" s="729"/>
      <c r="BV142" s="729"/>
      <c r="BW142" s="729"/>
      <c r="BX142" s="729"/>
      <c r="BY142" s="729"/>
      <c r="BZ142" s="729"/>
      <c r="CA142" s="729"/>
      <c r="CB142" s="729"/>
      <c r="CC142" s="729"/>
      <c r="CD142" s="729"/>
      <c r="CE142" s="729"/>
      <c r="CF142" s="729"/>
      <c r="CG142" s="729"/>
      <c r="CH142" s="729"/>
      <c r="CI142" s="729"/>
      <c r="CJ142" s="729"/>
      <c r="CK142" s="729"/>
      <c r="CL142" s="729"/>
      <c r="CM142" s="729"/>
      <c r="CN142" s="729"/>
      <c r="CO142" s="729"/>
      <c r="CP142" s="729"/>
      <c r="CQ142" s="729"/>
      <c r="CR142" s="729"/>
      <c r="CS142" s="564" t="s">
        <v>294</v>
      </c>
      <c r="CT142" s="564">
        <v>21</v>
      </c>
      <c r="CU142" s="564">
        <v>21</v>
      </c>
      <c r="CV142" s="585">
        <v>0.71319999999999995</v>
      </c>
      <c r="CW142" s="585">
        <v>0.70099999999999996</v>
      </c>
      <c r="CX142" s="585">
        <v>0.73499999999999999</v>
      </c>
      <c r="CY142" s="585">
        <v>0.76919999999999999</v>
      </c>
      <c r="CZ142" s="585">
        <v>0.74709999999999999</v>
      </c>
      <c r="DA142" s="585">
        <v>0.73099999999999998</v>
      </c>
      <c r="DB142" s="884" t="s">
        <v>295</v>
      </c>
      <c r="DC142" s="884">
        <v>53</v>
      </c>
      <c r="DD142" s="884">
        <v>53</v>
      </c>
      <c r="DE142" s="884">
        <v>0.69530000000000003</v>
      </c>
      <c r="DF142" s="133">
        <v>0.69</v>
      </c>
      <c r="DG142" s="133">
        <v>0.67649999999999999</v>
      </c>
      <c r="DH142" s="133">
        <v>0.74429999999999996</v>
      </c>
      <c r="DI142" s="133">
        <v>0.7087</v>
      </c>
      <c r="DJ142" s="133">
        <v>0.70209999999999995</v>
      </c>
    </row>
    <row r="143" spans="1:114" x14ac:dyDescent="0.25">
      <c r="A143" s="894" t="s">
        <v>941</v>
      </c>
    </row>
  </sheetData>
  <sheetProtection algorithmName="SHA-512" hashValue="6kzPxLr1afRAzqUHxAK2sJqR1bw2Umf4V5yfEWccdfm3QOwWu16qkXYZgcascLlawMyJfCRwix2v934mO5W93Q==" saltValue="9OlOURpnzGD+rIiSqjRTjA==" spinCount="100000" sheet="1" objects="1" scenarios="1"/>
  <autoFilter ref="A5:DJ142" xr:uid="{219A3353-B3B2-47F1-B7C4-F013F4BF2AEF}"/>
  <sortState ref="A6:BQ140">
    <sortCondition ref="A6:A140"/>
  </sortState>
  <mergeCells count="12">
    <mergeCell ref="DB4:DJ4"/>
    <mergeCell ref="CS4:DA4"/>
    <mergeCell ref="CJ4:CR4"/>
    <mergeCell ref="BR4:BZ4"/>
    <mergeCell ref="CA4:CI4"/>
    <mergeCell ref="G4:O4"/>
    <mergeCell ref="P4:X4"/>
    <mergeCell ref="BI4:BQ4"/>
    <mergeCell ref="AZ4:BH4"/>
    <mergeCell ref="AQ4:AY4"/>
    <mergeCell ref="AH4:AP4"/>
    <mergeCell ref="Y4:AG4"/>
  </mergeCells>
  <conditionalFormatting sqref="A7">
    <cfRule type="duplicateValues" dxfId="85" priority="8"/>
    <cfRule type="duplicateValues" dxfId="84" priority="9"/>
  </conditionalFormatting>
  <conditionalFormatting sqref="A75">
    <cfRule type="duplicateValues" dxfId="83" priority="6"/>
    <cfRule type="duplicateValues" dxfId="82" priority="7"/>
  </conditionalFormatting>
  <conditionalFormatting sqref="B141">
    <cfRule type="duplicateValues" dxfId="81" priority="26" stopIfTrue="1"/>
  </conditionalFormatting>
  <conditionalFormatting sqref="B142">
    <cfRule type="duplicateValues" dxfId="80" priority="25" stopIfTrue="1"/>
  </conditionalFormatting>
  <conditionalFormatting sqref="CS7">
    <cfRule type="containsText" dxfId="79" priority="10" operator="containsText" text="C">
      <formula>NOT(ISERROR(SEARCH("C",CS7)))</formula>
    </cfRule>
    <cfRule type="containsText" dxfId="78" priority="11" operator="containsText" text="B">
      <formula>NOT(ISERROR(SEARCH("B",CS7)))</formula>
    </cfRule>
    <cfRule type="containsText" dxfId="77" priority="12" operator="containsText" text="A+">
      <formula>NOT(ISERROR(SEARCH("A+",CS7)))</formula>
    </cfRule>
    <cfRule type="containsText" dxfId="76" priority="13" operator="containsText" text="A">
      <formula>NOT(ISERROR(SEARCH("A",CS7)))</formula>
    </cfRule>
    <cfRule type="containsText" dxfId="75" priority="14" operator="containsText" text="D">
      <formula>NOT(ISERROR(SEARCH("D",CS7)))</formula>
    </cfRule>
  </conditionalFormatting>
  <conditionalFormatting sqref="CS118:CS128 CS133:CS142">
    <cfRule type="containsText" dxfId="74" priority="15" operator="containsText" text="C">
      <formula>NOT(ISERROR(SEARCH("C",CS118)))</formula>
    </cfRule>
    <cfRule type="containsText" dxfId="73" priority="16" operator="containsText" text="B">
      <formula>NOT(ISERROR(SEARCH("B",CS118)))</formula>
    </cfRule>
    <cfRule type="containsText" dxfId="72" priority="17" operator="containsText" text="A+">
      <formula>NOT(ISERROR(SEARCH("A+",CS118)))</formula>
    </cfRule>
    <cfRule type="containsText" dxfId="71" priority="18" operator="containsText" text="A">
      <formula>NOT(ISERROR(SEARCH("A",CS118)))</formula>
    </cfRule>
    <cfRule type="containsText" dxfId="70" priority="19" operator="containsText" text="D">
      <formula>NOT(ISERROR(SEARCH("D",CS118)))</formula>
    </cfRule>
  </conditionalFormatting>
  <conditionalFormatting sqref="CS112:DA117 CS9:DA110">
    <cfRule type="containsText" dxfId="69" priority="29" operator="containsText" text="C">
      <formula>NOT(ISERROR(SEARCH("C",CS9)))</formula>
    </cfRule>
    <cfRule type="containsText" dxfId="68" priority="30" operator="containsText" text="B">
      <formula>NOT(ISERROR(SEARCH("B",CS9)))</formula>
    </cfRule>
    <cfRule type="containsText" dxfId="67" priority="31" operator="containsText" text="A+">
      <formula>NOT(ISERROR(SEARCH("A+",CS9)))</formula>
    </cfRule>
    <cfRule type="containsText" dxfId="66" priority="32" operator="containsText" text="A">
      <formula>NOT(ISERROR(SEARCH("A",CS9)))</formula>
    </cfRule>
    <cfRule type="containsText" dxfId="65" priority="33" operator="containsText" text="D">
      <formula>NOT(ISERROR(SEARCH("D",CS9)))</formula>
    </cfRule>
  </conditionalFormatting>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104D1E-84A8-4E06-BEB3-569ACF00C4A3}">
  <sheetPr codeName="Hoja4">
    <tabColor theme="6"/>
  </sheetPr>
  <dimension ref="A1:Q43"/>
  <sheetViews>
    <sheetView topLeftCell="A10" zoomScale="80" zoomScaleNormal="80" workbookViewId="0">
      <selection activeCell="E10" sqref="E10:L10"/>
    </sheetView>
  </sheetViews>
  <sheetFormatPr baseColWidth="10" defaultColWidth="12.5703125" defaultRowHeight="15.75" x14ac:dyDescent="0.25"/>
  <cols>
    <col min="1" max="1" width="3.7109375" style="449" customWidth="1"/>
    <col min="2" max="2" width="12.5703125" style="449"/>
    <col min="3" max="3" width="29.7109375" style="449" customWidth="1"/>
    <col min="4" max="4" width="20.7109375" style="449" customWidth="1"/>
    <col min="5" max="5" width="26.42578125" style="449" customWidth="1"/>
    <col min="6" max="6" width="14" style="449" customWidth="1"/>
    <col min="7" max="7" width="23.42578125" style="449" customWidth="1"/>
    <col min="8" max="8" width="16.85546875" style="449" customWidth="1"/>
    <col min="9" max="9" width="8.140625" style="449" customWidth="1"/>
    <col min="10" max="10" width="3.7109375" style="449" customWidth="1"/>
    <col min="11" max="11" width="12.85546875" style="449" customWidth="1"/>
    <col min="12" max="12" width="36" style="449" bestFit="1" customWidth="1"/>
    <col min="13" max="13" width="16.28515625" style="449" customWidth="1"/>
    <col min="14" max="16384" width="12.5703125" style="449"/>
  </cols>
  <sheetData>
    <row r="1" spans="1:17" x14ac:dyDescent="0.25">
      <c r="A1" s="98"/>
      <c r="B1" s="98"/>
      <c r="C1" s="98"/>
      <c r="D1" s="98"/>
      <c r="E1" s="98"/>
      <c r="F1" s="98"/>
      <c r="G1" s="98"/>
      <c r="H1" s="98"/>
      <c r="I1" s="98"/>
      <c r="J1" s="98"/>
      <c r="K1" s="98"/>
      <c r="L1" s="98"/>
      <c r="M1" s="98"/>
      <c r="N1" s="98"/>
      <c r="O1" s="98"/>
      <c r="P1" s="98"/>
      <c r="Q1" s="98"/>
    </row>
    <row r="2" spans="1:17" x14ac:dyDescent="0.25">
      <c r="A2" s="98"/>
      <c r="B2" s="98"/>
      <c r="C2" s="98"/>
      <c r="D2" s="98"/>
      <c r="E2" s="98"/>
      <c r="F2" s="98"/>
      <c r="G2" s="98"/>
      <c r="H2" s="98"/>
      <c r="I2" s="98"/>
      <c r="J2" s="98"/>
      <c r="K2" s="98"/>
      <c r="L2" s="98"/>
      <c r="M2" s="98"/>
      <c r="N2" s="98"/>
      <c r="O2" s="98"/>
      <c r="P2" s="98"/>
      <c r="Q2" s="98"/>
    </row>
    <row r="3" spans="1:17" x14ac:dyDescent="0.25">
      <c r="A3" s="98"/>
      <c r="B3" s="98"/>
      <c r="C3" s="98"/>
      <c r="D3" s="98"/>
      <c r="E3" s="98"/>
      <c r="F3" s="98"/>
      <c r="G3" s="98"/>
      <c r="H3" s="98"/>
      <c r="I3" s="98"/>
      <c r="J3" s="98"/>
      <c r="K3" s="98"/>
      <c r="L3" s="98"/>
      <c r="M3" s="98"/>
      <c r="N3" s="98"/>
      <c r="O3" s="98"/>
      <c r="P3" s="98"/>
      <c r="Q3" s="98"/>
    </row>
    <row r="4" spans="1:17" x14ac:dyDescent="0.25">
      <c r="A4" s="98"/>
      <c r="B4" s="98"/>
      <c r="C4" s="98"/>
      <c r="D4" s="98"/>
      <c r="E4" s="98"/>
      <c r="F4" s="98"/>
      <c r="G4" s="98"/>
      <c r="H4" s="98"/>
      <c r="I4" s="98"/>
      <c r="J4" s="98"/>
      <c r="K4" s="98"/>
      <c r="L4" s="98"/>
      <c r="M4" s="98"/>
      <c r="N4" s="98"/>
      <c r="O4" s="98"/>
      <c r="P4" s="98"/>
      <c r="Q4" s="98"/>
    </row>
    <row r="5" spans="1:17" x14ac:dyDescent="0.25">
      <c r="A5" s="98"/>
      <c r="B5" s="98"/>
      <c r="C5" s="98"/>
      <c r="D5" s="98"/>
      <c r="E5" s="98"/>
      <c r="F5" s="98"/>
      <c r="G5" s="98"/>
      <c r="H5" s="98"/>
      <c r="I5" s="98"/>
      <c r="J5" s="98"/>
      <c r="K5" s="98"/>
      <c r="L5" s="98"/>
      <c r="M5" s="98"/>
      <c r="N5" s="98"/>
      <c r="O5" s="98"/>
      <c r="P5" s="98"/>
      <c r="Q5" s="98"/>
    </row>
    <row r="6" spans="1:17" x14ac:dyDescent="0.25">
      <c r="A6" s="98"/>
      <c r="B6" s="98"/>
      <c r="C6" s="98"/>
      <c r="D6" s="98"/>
      <c r="E6" s="98"/>
      <c r="F6" s="98"/>
      <c r="G6" s="98"/>
      <c r="H6" s="98"/>
      <c r="I6" s="98"/>
      <c r="J6" s="98"/>
      <c r="K6" s="98"/>
      <c r="L6" s="98"/>
      <c r="M6" s="98"/>
      <c r="N6" s="98"/>
      <c r="O6" s="98"/>
      <c r="P6" s="98"/>
      <c r="Q6" s="98"/>
    </row>
    <row r="7" spans="1:17" ht="45" customHeight="1" x14ac:dyDescent="0.25">
      <c r="A7" s="98"/>
      <c r="B7" s="1083" t="s">
        <v>850</v>
      </c>
      <c r="C7" s="1031"/>
      <c r="D7" s="1031"/>
      <c r="E7" s="1031"/>
      <c r="F7" s="1031"/>
      <c r="G7" s="1031"/>
      <c r="H7" s="1031"/>
      <c r="I7" s="1031"/>
      <c r="J7" s="1031"/>
      <c r="K7" s="1031"/>
      <c r="L7" s="1031"/>
      <c r="M7" s="1031"/>
      <c r="N7" s="1031"/>
      <c r="O7" s="1031"/>
      <c r="P7" s="1031"/>
      <c r="Q7" s="98"/>
    </row>
    <row r="8" spans="1:17" ht="33" customHeight="1" x14ac:dyDescent="0.25">
      <c r="A8" s="98"/>
      <c r="B8" s="98"/>
      <c r="C8" s="98"/>
      <c r="D8" s="98"/>
      <c r="E8" s="98"/>
      <c r="F8" s="98"/>
      <c r="G8" s="98"/>
      <c r="H8" s="98"/>
      <c r="I8" s="98"/>
      <c r="J8" s="98"/>
      <c r="K8" s="98"/>
      <c r="L8" s="98"/>
      <c r="M8" s="98"/>
      <c r="N8" s="98"/>
      <c r="O8" s="98"/>
      <c r="P8" s="98"/>
      <c r="Q8" s="98"/>
    </row>
    <row r="9" spans="1:17" ht="39" customHeight="1" x14ac:dyDescent="0.25">
      <c r="A9" s="98"/>
      <c r="B9" s="1084" t="s">
        <v>743</v>
      </c>
      <c r="C9" s="1084"/>
      <c r="D9" s="1084"/>
      <c r="E9" s="1086" t="s">
        <v>45</v>
      </c>
      <c r="F9" s="1086"/>
      <c r="G9" s="1086"/>
      <c r="H9" s="1086"/>
      <c r="I9" s="1086"/>
      <c r="J9" s="1086"/>
      <c r="K9" s="1086"/>
      <c r="L9" s="1086"/>
      <c r="M9" s="233"/>
      <c r="N9" s="1087" t="s">
        <v>851</v>
      </c>
      <c r="O9" s="1087"/>
      <c r="P9" s="1087"/>
      <c r="Q9" s="98"/>
    </row>
    <row r="10" spans="1:17" ht="39" customHeight="1" x14ac:dyDescent="0.25">
      <c r="A10" s="98"/>
      <c r="B10" s="238" t="s">
        <v>753</v>
      </c>
      <c r="C10" s="238"/>
      <c r="D10" s="238"/>
      <c r="E10" s="1086" t="s">
        <v>72</v>
      </c>
      <c r="F10" s="1086"/>
      <c r="G10" s="1086"/>
      <c r="H10" s="1086"/>
      <c r="I10" s="1086"/>
      <c r="J10" s="1086"/>
      <c r="K10" s="1086"/>
      <c r="L10" s="1086"/>
      <c r="M10" s="238"/>
      <c r="N10" s="1087"/>
      <c r="O10" s="1087"/>
      <c r="P10" s="1087"/>
      <c r="Q10" s="98"/>
    </row>
    <row r="11" spans="1:17" ht="39" customHeight="1" x14ac:dyDescent="0.25">
      <c r="A11" s="98"/>
      <c r="B11" s="238" t="s">
        <v>754</v>
      </c>
      <c r="C11" s="238"/>
      <c r="D11" s="238"/>
      <c r="E11" s="1086" t="s">
        <v>14</v>
      </c>
      <c r="F11" s="1086"/>
      <c r="G11" s="1086"/>
      <c r="H11" s="1086"/>
      <c r="I11" s="1086"/>
      <c r="J11" s="1086"/>
      <c r="K11" s="1086"/>
      <c r="L11" s="1086"/>
      <c r="M11" s="238"/>
      <c r="N11" s="1087"/>
      <c r="O11" s="1087"/>
      <c r="P11" s="1087"/>
      <c r="Q11" s="98"/>
    </row>
    <row r="12" spans="1:17" ht="18.75" x14ac:dyDescent="0.3">
      <c r="A12" s="98"/>
      <c r="B12" s="101"/>
      <c r="C12" s="101"/>
      <c r="D12" s="101"/>
      <c r="E12" s="101"/>
      <c r="F12" s="102"/>
      <c r="G12" s="102"/>
      <c r="H12" s="102"/>
      <c r="I12" s="98"/>
      <c r="J12" s="98"/>
      <c r="K12" s="98"/>
      <c r="L12" s="98"/>
      <c r="M12" s="98"/>
      <c r="N12" s="98"/>
      <c r="O12" s="98"/>
      <c r="P12" s="98"/>
      <c r="Q12" s="98"/>
    </row>
    <row r="13" spans="1:17" ht="25.5" customHeight="1" x14ac:dyDescent="0.25">
      <c r="A13" s="98"/>
      <c r="B13" s="1085" t="s">
        <v>289</v>
      </c>
      <c r="C13" s="1085"/>
      <c r="D13" s="1085"/>
      <c r="E13" s="1085"/>
      <c r="F13" s="98"/>
      <c r="G13" s="98"/>
      <c r="H13" s="117"/>
      <c r="I13" s="117"/>
      <c r="J13" s="117"/>
      <c r="K13" s="98"/>
      <c r="L13" s="98"/>
      <c r="M13" s="98"/>
      <c r="N13" s="98"/>
      <c r="O13" s="98"/>
      <c r="P13" s="98"/>
      <c r="Q13" s="98"/>
    </row>
    <row r="14" spans="1:17" ht="47.25" x14ac:dyDescent="0.25">
      <c r="A14" s="98"/>
      <c r="B14" s="450" t="s">
        <v>290</v>
      </c>
      <c r="C14" s="451" t="str">
        <f>E9</f>
        <v>LICEO SATELITE</v>
      </c>
      <c r="D14" s="452" t="str">
        <f>E10</f>
        <v>COLEGIO BOLIVAR DE SOACHA</v>
      </c>
      <c r="E14" s="453" t="str">
        <f>E11</f>
        <v>PRIVADOS DE SOACHA</v>
      </c>
      <c r="F14" s="98"/>
      <c r="G14" s="98"/>
      <c r="H14" s="117"/>
      <c r="I14" s="117"/>
      <c r="J14" s="117"/>
      <c r="K14" s="98"/>
      <c r="L14" s="98"/>
      <c r="M14" s="98"/>
      <c r="N14" s="98"/>
      <c r="O14" s="98"/>
      <c r="P14" s="98"/>
      <c r="Q14" s="98"/>
    </row>
    <row r="15" spans="1:17" ht="20.25" x14ac:dyDescent="0.25">
      <c r="A15" s="98"/>
      <c r="B15" s="104">
        <v>2016</v>
      </c>
      <c r="C15" s="454">
        <f>VLOOKUP($E$9,PGLOBAL!$A$10:$Q$174,8,0)</f>
        <v>256</v>
      </c>
      <c r="D15" s="454">
        <f>VLOOKUP($E$10,PGLOBAL!$A$10:$Q$174,8,0)</f>
        <v>299</v>
      </c>
      <c r="E15" s="454">
        <f>VLOOKUP($E$11,PGLOBAL!$A$10:$Q$174,8,0)</f>
        <v>272</v>
      </c>
      <c r="F15" s="98"/>
      <c r="G15" s="98"/>
      <c r="H15" s="117"/>
      <c r="I15" s="117"/>
      <c r="J15" s="117"/>
      <c r="K15" s="98"/>
      <c r="L15" s="98"/>
      <c r="M15" s="98"/>
      <c r="N15" s="98"/>
      <c r="O15" s="98"/>
      <c r="P15" s="98"/>
      <c r="Q15" s="98"/>
    </row>
    <row r="16" spans="1:17" ht="20.25" x14ac:dyDescent="0.25">
      <c r="A16" s="98"/>
      <c r="B16" s="104">
        <v>2017</v>
      </c>
      <c r="C16" s="454">
        <f>VLOOKUP($E$9,PGLOBAL!$A$10:$Q$174,10,0)</f>
        <v>262</v>
      </c>
      <c r="D16" s="454">
        <f>VLOOKUP($E$10,PGLOBAL!$A$10:$Q$174,10,0)</f>
        <v>293</v>
      </c>
      <c r="E16" s="454">
        <f>VLOOKUP($E$11,PGLOBAL!$A$10:$Q$174,10,0)</f>
        <v>270</v>
      </c>
      <c r="F16" s="98"/>
      <c r="G16" s="98"/>
      <c r="H16" s="117"/>
      <c r="I16" s="117"/>
      <c r="J16" s="117"/>
      <c r="K16" s="98"/>
      <c r="L16" s="98"/>
      <c r="M16" s="98"/>
      <c r="N16" s="98"/>
      <c r="O16" s="98"/>
      <c r="P16" s="98"/>
      <c r="Q16" s="98"/>
    </row>
    <row r="17" spans="1:17" ht="20.25" x14ac:dyDescent="0.25">
      <c r="A17" s="98"/>
      <c r="B17" s="104">
        <v>2018</v>
      </c>
      <c r="C17" s="454">
        <f>VLOOKUP($E$9,PGLOBAL!$A$10:$Q$174,12,0)</f>
        <v>256</v>
      </c>
      <c r="D17" s="454">
        <f>VLOOKUP($E$10,PGLOBAL!$A$10:$Q$174,12,0)</f>
        <v>292</v>
      </c>
      <c r="E17" s="454">
        <f>VLOOKUP($E$11,PGLOBAL!$A$10:$Q$174,12,0)</f>
        <v>269</v>
      </c>
      <c r="F17" s="98"/>
      <c r="G17" s="98"/>
      <c r="H17" s="117"/>
      <c r="I17" s="117"/>
      <c r="J17" s="117"/>
      <c r="K17" s="98"/>
      <c r="L17" s="98"/>
      <c r="M17" s="98"/>
      <c r="N17" s="98"/>
      <c r="O17" s="98"/>
      <c r="P17" s="98"/>
      <c r="Q17" s="98"/>
    </row>
    <row r="18" spans="1:17" ht="20.25" x14ac:dyDescent="0.3">
      <c r="A18" s="101"/>
      <c r="B18" s="104">
        <v>2019</v>
      </c>
      <c r="C18" s="454">
        <f>VLOOKUP($E$9,PGLOBAL!$A$10:$Q$174,14,0)</f>
        <v>253</v>
      </c>
      <c r="D18" s="454">
        <f>VLOOKUP($E$10,PGLOBAL!$A$10:$Q$174,14,0)</f>
        <v>292</v>
      </c>
      <c r="E18" s="454">
        <f>VLOOKUP($E$11,PGLOBAL!$A$10:$Q$174,14,0)</f>
        <v>266</v>
      </c>
      <c r="F18" s="102"/>
      <c r="G18" s="102"/>
      <c r="H18" s="117"/>
      <c r="I18" s="117"/>
      <c r="J18" s="117"/>
      <c r="K18" s="98"/>
      <c r="L18" s="98"/>
      <c r="M18" s="98"/>
      <c r="N18" s="98"/>
      <c r="O18" s="98"/>
      <c r="P18" s="98"/>
      <c r="Q18" s="98"/>
    </row>
    <row r="19" spans="1:17" ht="20.25" x14ac:dyDescent="0.25">
      <c r="A19" s="98"/>
      <c r="B19" s="104">
        <v>2020</v>
      </c>
      <c r="C19" s="454">
        <f>VLOOKUP($E$9,PGLOBAL!$A$10:$Q$174,16,0)</f>
        <v>244</v>
      </c>
      <c r="D19" s="454">
        <f>VLOOKUP($E$10,PGLOBAL!$A$10:$Q$174,16,0)</f>
        <v>298</v>
      </c>
      <c r="E19" s="454">
        <f>VLOOKUP($E$11,PGLOBAL!$A$10:$Q$174,16,0)</f>
        <v>265</v>
      </c>
      <c r="F19" s="98"/>
      <c r="G19" s="98"/>
      <c r="H19" s="117"/>
      <c r="I19" s="117"/>
      <c r="J19" s="117"/>
      <c r="K19" s="98"/>
      <c r="L19" s="98"/>
      <c r="M19" s="98"/>
      <c r="N19" s="98"/>
      <c r="O19" s="98"/>
      <c r="P19" s="98"/>
      <c r="Q19" s="98"/>
    </row>
    <row r="20" spans="1:17" ht="20.25" x14ac:dyDescent="0.25">
      <c r="A20" s="98"/>
      <c r="B20" s="104">
        <v>2021</v>
      </c>
      <c r="C20" s="454">
        <f>VLOOKUP($E$9,PGLOBAL!$A$10:$U$174,18,0)</f>
        <v>253</v>
      </c>
      <c r="D20" s="454">
        <f>VLOOKUP($E$10,PGLOBAL!$A$10:$U$174,18,0)</f>
        <v>288</v>
      </c>
      <c r="E20" s="454">
        <f>VLOOKUP($E$11,PGLOBAL!$A$10:$U$174,18,0)</f>
        <v>266</v>
      </c>
      <c r="F20" s="98"/>
      <c r="G20" s="98"/>
      <c r="H20" s="117"/>
      <c r="I20" s="117"/>
      <c r="J20" s="117"/>
      <c r="K20" s="98"/>
      <c r="L20" s="98"/>
      <c r="M20" s="98"/>
      <c r="N20" s="98"/>
      <c r="O20" s="98"/>
      <c r="P20" s="98"/>
      <c r="Q20" s="98"/>
    </row>
    <row r="21" spans="1:17" ht="18" customHeight="1" x14ac:dyDescent="0.25">
      <c r="A21" s="98"/>
      <c r="B21" s="104">
        <v>2022</v>
      </c>
      <c r="C21" s="454">
        <f>VLOOKUP($E$9,PGLOBAL!$A$10:$Y$174,22,0)</f>
        <v>272</v>
      </c>
      <c r="D21" s="454">
        <f>VLOOKUP($E$10,PGLOBAL!$A$10:$Y$174,22,0)</f>
        <v>296</v>
      </c>
      <c r="E21" s="454">
        <f>VLOOKUP($E$11,PGLOBAL!$A$10:$Y$174,22,0)</f>
        <v>272</v>
      </c>
      <c r="F21" s="98"/>
      <c r="G21" s="98"/>
      <c r="H21" s="117"/>
      <c r="I21" s="117"/>
      <c r="J21" s="117"/>
      <c r="K21" s="98"/>
      <c r="L21" s="98"/>
      <c r="M21" s="98"/>
      <c r="N21" s="98"/>
      <c r="O21" s="98"/>
      <c r="P21" s="98"/>
      <c r="Q21" s="98"/>
    </row>
    <row r="22" spans="1:17" ht="20.25" x14ac:dyDescent="0.25">
      <c r="A22" s="98"/>
      <c r="B22" s="104">
        <v>2023</v>
      </c>
      <c r="C22" s="454">
        <f>VLOOKUP($E$9,PGLOBAL!$A$10:$AC$174,26,0)</f>
        <v>276</v>
      </c>
      <c r="D22" s="454">
        <f>VLOOKUP($E$10,PGLOBAL!$A$10:$AC$174,26,0)</f>
        <v>295</v>
      </c>
      <c r="E22" s="454">
        <f>VLOOKUP($E$11,PGLOBAL!$A$10:$AC$174,26,0)</f>
        <v>273</v>
      </c>
      <c r="F22" s="98"/>
      <c r="G22" s="98"/>
      <c r="H22" s="98"/>
      <c r="I22" s="98"/>
      <c r="J22" s="98"/>
      <c r="K22" s="98"/>
      <c r="L22" s="98"/>
      <c r="M22" s="98"/>
      <c r="N22" s="98"/>
      <c r="O22" s="98"/>
      <c r="P22" s="98"/>
      <c r="Q22" s="98"/>
    </row>
    <row r="23" spans="1:17" ht="20.25" x14ac:dyDescent="0.25">
      <c r="A23" s="98"/>
      <c r="B23" s="104">
        <v>2024</v>
      </c>
      <c r="C23" s="454">
        <f>VLOOKUP($E$9,PGLOBAL!$A$10:$AG$174,30,0)</f>
        <v>260</v>
      </c>
      <c r="D23" s="454">
        <f>VLOOKUP($E$10,PGLOBAL!$A$10:$AG$174,30,0)</f>
        <v>301</v>
      </c>
      <c r="E23" s="454">
        <f>VLOOKUP($E$11,PGLOBAL!$A$10:$AG$174,30,0)</f>
        <v>276</v>
      </c>
      <c r="F23" s="98"/>
      <c r="G23" s="98"/>
      <c r="H23" s="98"/>
      <c r="I23" s="98"/>
      <c r="J23" s="98"/>
      <c r="K23" s="98"/>
      <c r="L23" s="98"/>
      <c r="M23" s="98"/>
      <c r="N23" s="98"/>
      <c r="O23" s="98"/>
      <c r="P23" s="98"/>
      <c r="Q23" s="98"/>
    </row>
    <row r="24" spans="1:17" ht="20.25" x14ac:dyDescent="0.25">
      <c r="A24" s="98"/>
      <c r="B24" s="104">
        <v>2025</v>
      </c>
      <c r="C24" s="454">
        <f>VLOOKUP($E$9,PGLOBAL!$A$10:$AK$174,34,0)</f>
        <v>276</v>
      </c>
      <c r="D24" s="454">
        <f>VLOOKUP($E$10,PGLOBAL!$A$10:$AK$174,34,0)</f>
        <v>295</v>
      </c>
      <c r="E24" s="454">
        <f>VLOOKUP($E$11,PGLOBAL!$A$10:$AK$174,34,0)</f>
        <v>277</v>
      </c>
      <c r="F24" s="98"/>
      <c r="G24" s="98"/>
      <c r="H24" s="1040"/>
      <c r="I24" s="1040"/>
      <c r="J24" s="1040"/>
      <c r="K24" s="98"/>
      <c r="L24" s="98"/>
      <c r="M24" s="98"/>
      <c r="N24" s="98"/>
      <c r="O24" s="98"/>
      <c r="P24" s="98"/>
      <c r="Q24" s="98"/>
    </row>
    <row r="25" spans="1:17" ht="15.75" customHeight="1" x14ac:dyDescent="0.25">
      <c r="A25" s="98"/>
      <c r="B25" s="98"/>
      <c r="C25" s="889"/>
      <c r="D25" s="98"/>
      <c r="E25" s="98"/>
      <c r="F25" s="98"/>
      <c r="G25" s="98"/>
      <c r="H25" s="1040"/>
      <c r="I25" s="1040"/>
      <c r="J25" s="1040"/>
      <c r="K25" s="1080" t="s">
        <v>730</v>
      </c>
      <c r="L25" s="1081"/>
      <c r="M25" s="1082"/>
      <c r="N25" s="98"/>
      <c r="O25" s="98"/>
      <c r="P25" s="98"/>
      <c r="Q25" s="98"/>
    </row>
    <row r="26" spans="1:17" ht="20.25" customHeight="1" x14ac:dyDescent="0.25">
      <c r="A26" s="98"/>
      <c r="B26" s="98"/>
      <c r="C26" s="98"/>
      <c r="D26" s="98"/>
      <c r="E26" s="98"/>
      <c r="F26" s="98"/>
      <c r="G26" s="98"/>
      <c r="H26" s="1040"/>
      <c r="I26" s="1040"/>
      <c r="J26" s="1040"/>
      <c r="K26" s="441" t="s">
        <v>290</v>
      </c>
      <c r="L26" s="441" t="s">
        <v>729</v>
      </c>
      <c r="M26" s="441" t="s">
        <v>291</v>
      </c>
      <c r="N26" s="98"/>
      <c r="O26" s="98"/>
      <c r="P26" s="98"/>
      <c r="Q26" s="98"/>
    </row>
    <row r="27" spans="1:17" ht="21.75" customHeight="1" x14ac:dyDescent="0.25">
      <c r="A27" s="98"/>
      <c r="B27" s="376"/>
      <c r="C27" s="376"/>
      <c r="D27" s="98"/>
      <c r="E27" s="98"/>
      <c r="F27" s="98"/>
      <c r="G27" s="98"/>
      <c r="H27" s="1040"/>
      <c r="I27" s="1040"/>
      <c r="J27" s="1040"/>
      <c r="K27" s="455">
        <v>2016</v>
      </c>
      <c r="L27" s="456">
        <f>VLOOKUP(E9,Clasificación!A6:AG142,33,0)</f>
        <v>0.67659999999999998</v>
      </c>
      <c r="M27" s="581" t="str">
        <f>VLOOKUP($E$9,Clasificación!$A$6:$DA$142,25,0)</f>
        <v>B</v>
      </c>
      <c r="N27" s="98"/>
      <c r="O27" s="98"/>
      <c r="P27" s="98"/>
      <c r="Q27" s="98"/>
    </row>
    <row r="28" spans="1:17" ht="19.5" customHeight="1" x14ac:dyDescent="0.25">
      <c r="A28" s="98"/>
      <c r="B28" s="1041"/>
      <c r="C28" s="1041"/>
      <c r="D28" s="376"/>
      <c r="E28" s="98"/>
      <c r="F28" s="98"/>
      <c r="G28" s="98"/>
      <c r="H28" s="1040"/>
      <c r="I28" s="1040"/>
      <c r="J28" s="1040"/>
      <c r="K28" s="455">
        <v>2017</v>
      </c>
      <c r="L28" s="456">
        <f>VLOOKUP($E$9,Clasificación!$A$6:$BQ$142,42,0)</f>
        <v>0.69920000000000004</v>
      </c>
      <c r="M28" s="581" t="str">
        <f>VLOOKUP($E$9,Clasificación!$A$6:$BQ$142,34,0)</f>
        <v>B</v>
      </c>
      <c r="N28" s="98"/>
      <c r="O28" s="98"/>
      <c r="P28" s="98"/>
      <c r="Q28" s="98"/>
    </row>
    <row r="29" spans="1:17" ht="20.25" x14ac:dyDescent="0.25">
      <c r="A29" s="98"/>
      <c r="B29" s="376"/>
      <c r="C29" s="376"/>
      <c r="D29" s="376"/>
      <c r="E29" s="98"/>
      <c r="F29" s="98"/>
      <c r="G29" s="98"/>
      <c r="H29" s="1040"/>
      <c r="I29" s="1040"/>
      <c r="J29" s="1040"/>
      <c r="K29" s="455">
        <v>2018</v>
      </c>
      <c r="L29" s="456">
        <f>VLOOKUP($E$9,Clasificación!$A$6:$BQ$142,51,0)</f>
        <v>0.70020000000000004</v>
      </c>
      <c r="M29" s="581" t="str">
        <f>VLOOKUP($E$9,Clasificación!$A$6:$BQ$142,43,0)</f>
        <v>B</v>
      </c>
      <c r="N29" s="98"/>
      <c r="O29" s="98"/>
      <c r="P29" s="98"/>
      <c r="Q29" s="98"/>
    </row>
    <row r="30" spans="1:17" ht="20.25" x14ac:dyDescent="0.25">
      <c r="A30" s="98"/>
      <c r="B30" s="188"/>
      <c r="C30" s="187"/>
      <c r="D30" s="187"/>
      <c r="E30" s="98"/>
      <c r="F30" s="98"/>
      <c r="G30" s="98"/>
      <c r="H30" s="1040"/>
      <c r="I30" s="1040"/>
      <c r="J30" s="1040"/>
      <c r="K30" s="455">
        <v>2019</v>
      </c>
      <c r="L30" s="456">
        <f>VLOOKUP($E$9,Clasificación!$A$6:$BQ$142,60,0)</f>
        <v>0.69620000000000004</v>
      </c>
      <c r="M30" s="581" t="str">
        <f>VLOOKUP($E$9,Clasificación!$A$6:$BQ$142,52,0)</f>
        <v>B</v>
      </c>
      <c r="N30" s="98"/>
      <c r="O30" s="98"/>
      <c r="P30" s="98"/>
      <c r="Q30" s="98"/>
    </row>
    <row r="31" spans="1:17" ht="20.25" x14ac:dyDescent="0.25">
      <c r="A31" s="98"/>
      <c r="B31" s="188"/>
      <c r="C31" s="188"/>
      <c r="D31" s="187"/>
      <c r="E31" s="98"/>
      <c r="F31" s="98"/>
      <c r="G31" s="98"/>
      <c r="H31" s="98"/>
      <c r="I31" s="98"/>
      <c r="J31" s="98"/>
      <c r="K31" s="455">
        <v>2020</v>
      </c>
      <c r="L31" s="456">
        <f>VLOOKUP($E$9,Clasificación!$A$6:$BZ$142,69,0)</f>
        <v>0.67889999999999995</v>
      </c>
      <c r="M31" s="581" t="str">
        <f>VLOOKUP($E$9,Clasificación!$A$6:$BQ$142,61,0)</f>
        <v>B</v>
      </c>
      <c r="N31" s="98"/>
      <c r="O31" s="98"/>
      <c r="P31" s="98"/>
      <c r="Q31" s="98"/>
    </row>
    <row r="32" spans="1:17" ht="20.25" x14ac:dyDescent="0.25">
      <c r="A32" s="98"/>
      <c r="B32" s="188"/>
      <c r="C32" s="187"/>
      <c r="D32" s="187"/>
      <c r="E32" s="98"/>
      <c r="F32" s="98"/>
      <c r="G32" s="98"/>
      <c r="H32" s="98"/>
      <c r="I32" s="98"/>
      <c r="J32" s="98"/>
      <c r="K32" s="455">
        <v>2021</v>
      </c>
      <c r="L32" s="456">
        <f>VLOOKUP($E$9,Clasificación!$A$6:$BZ$142,78,0)</f>
        <v>0.67900000000000005</v>
      </c>
      <c r="M32" s="581" t="str">
        <f>VLOOKUP($E$9,Clasificación!$A$6:$BZ$142,70,0)</f>
        <v>B</v>
      </c>
      <c r="N32" s="98"/>
      <c r="O32" s="98"/>
      <c r="P32" s="98"/>
      <c r="Q32" s="98"/>
    </row>
    <row r="33" spans="1:17" ht="20.25" x14ac:dyDescent="0.25">
      <c r="A33" s="98"/>
      <c r="B33" s="188"/>
      <c r="C33" s="188"/>
      <c r="D33" s="187"/>
      <c r="E33" s="98"/>
      <c r="F33" s="98"/>
      <c r="G33" s="98"/>
      <c r="H33" s="98"/>
      <c r="I33" s="98"/>
      <c r="J33" s="98"/>
      <c r="K33" s="455">
        <v>2022</v>
      </c>
      <c r="L33" s="456">
        <f>VLOOKUP($E$9,Clasificación!$A$6:$CI$142,87,0)</f>
        <v>0.69840000000000002</v>
      </c>
      <c r="M33" s="581" t="str">
        <f>VLOOKUP($E$9,Clasificación!$A$6:$CI$142,79,0)</f>
        <v>B</v>
      </c>
      <c r="N33" s="98"/>
      <c r="O33" s="98"/>
      <c r="P33" s="98"/>
      <c r="Q33" s="98"/>
    </row>
    <row r="34" spans="1:17" ht="20.25" x14ac:dyDescent="0.25">
      <c r="A34" s="98"/>
      <c r="B34" s="188"/>
      <c r="C34" s="187"/>
      <c r="D34" s="187"/>
      <c r="E34" s="98"/>
      <c r="F34" s="98"/>
      <c r="G34" s="98"/>
      <c r="H34" s="98"/>
      <c r="I34" s="98"/>
      <c r="J34" s="98"/>
      <c r="K34" s="455">
        <v>2023</v>
      </c>
      <c r="L34" s="456">
        <f>VLOOKUP($E$9,Clasificación!$A$6:$CR$142,96,0)</f>
        <v>0.72409999999999997</v>
      </c>
      <c r="M34" s="581" t="str">
        <f>VLOOKUP($E$9,Clasificación!$A$6:$CR$142,88,0)</f>
        <v>A</v>
      </c>
      <c r="N34" s="98"/>
      <c r="O34" s="98"/>
      <c r="P34" s="98"/>
      <c r="Q34" s="98"/>
    </row>
    <row r="35" spans="1:17" ht="20.25" x14ac:dyDescent="0.25">
      <c r="A35" s="98"/>
      <c r="B35" s="188"/>
      <c r="C35" s="187"/>
      <c r="D35" s="187"/>
      <c r="E35" s="98"/>
      <c r="F35" s="98"/>
      <c r="G35" s="98"/>
      <c r="H35" s="98"/>
      <c r="I35" s="98"/>
      <c r="J35" s="98"/>
      <c r="K35" s="455">
        <v>2024</v>
      </c>
      <c r="L35" s="456">
        <f>VLOOKUP($E$9,Clasificación!$A$6:$DA$142,105,0)</f>
        <v>0.72599999999999998</v>
      </c>
      <c r="M35" s="456" t="str">
        <f>VLOOKUP($E$9,Clasificación!$A$6:$DA$142,97,0)</f>
        <v>A</v>
      </c>
      <c r="N35" s="98"/>
      <c r="O35" s="98"/>
      <c r="P35" s="98"/>
      <c r="Q35" s="98"/>
    </row>
    <row r="36" spans="1:17" ht="20.25" x14ac:dyDescent="0.25">
      <c r="A36" s="98"/>
      <c r="B36" s="188"/>
      <c r="C36" s="187"/>
      <c r="D36" s="187"/>
      <c r="E36" s="98"/>
      <c r="F36" s="98"/>
      <c r="G36" s="98"/>
      <c r="H36" s="98"/>
      <c r="I36" s="98"/>
      <c r="J36" s="98"/>
      <c r="K36" s="891">
        <v>2025</v>
      </c>
      <c r="L36" s="456">
        <f>VLOOKUP($E$9,Clasificación!$A$6:$DJ$143,114,0)</f>
        <v>0.73080000000000001</v>
      </c>
      <c r="M36" s="456" t="str">
        <f>VLOOKUP($E$9,Clasificación!$A$6:$DJ$143,106,0)</f>
        <v>A</v>
      </c>
      <c r="N36" s="98"/>
      <c r="O36" s="98"/>
      <c r="P36" s="98"/>
      <c r="Q36" s="98"/>
    </row>
    <row r="37" spans="1:17" ht="20.25" x14ac:dyDescent="0.25">
      <c r="A37" s="98"/>
      <c r="B37" s="188"/>
      <c r="C37" s="187"/>
      <c r="D37" s="187"/>
      <c r="E37" s="98"/>
      <c r="F37" s="98"/>
      <c r="G37" s="98"/>
      <c r="H37" s="98"/>
      <c r="I37" s="98"/>
      <c r="J37" s="98"/>
      <c r="K37" s="98"/>
      <c r="L37" s="98"/>
      <c r="M37" s="98"/>
      <c r="N37" s="98"/>
      <c r="O37" s="98"/>
      <c r="P37" s="98"/>
      <c r="Q37" s="98"/>
    </row>
    <row r="38" spans="1:17" x14ac:dyDescent="0.25">
      <c r="A38" s="98"/>
      <c r="B38" s="98"/>
      <c r="C38" s="98"/>
      <c r="D38" s="98"/>
      <c r="E38" s="98"/>
      <c r="F38" s="98"/>
      <c r="G38" s="98"/>
      <c r="H38" s="98"/>
      <c r="I38" s="98"/>
      <c r="J38" s="98"/>
      <c r="K38" s="98"/>
      <c r="L38" s="98"/>
      <c r="M38" s="98"/>
      <c r="N38" s="98"/>
      <c r="O38" s="98"/>
      <c r="P38" s="98"/>
      <c r="Q38" s="98"/>
    </row>
    <row r="39" spans="1:17" x14ac:dyDescent="0.25">
      <c r="A39" s="98"/>
      <c r="B39" s="98"/>
      <c r="C39" s="98"/>
      <c r="D39" s="98"/>
      <c r="E39" s="98"/>
      <c r="F39" s="98"/>
      <c r="G39" s="98"/>
      <c r="H39" s="98"/>
      <c r="I39" s="98"/>
      <c r="J39" s="98"/>
      <c r="K39" s="98"/>
      <c r="L39" s="98"/>
      <c r="M39" s="98"/>
      <c r="N39" s="98"/>
      <c r="O39" s="98"/>
      <c r="P39" s="98"/>
      <c r="Q39" s="98"/>
    </row>
    <row r="40" spans="1:17" x14ac:dyDescent="0.25">
      <c r="A40" s="98"/>
      <c r="B40" s="98"/>
      <c r="C40" s="98"/>
      <c r="D40" s="98"/>
      <c r="E40" s="98"/>
      <c r="F40" s="98"/>
      <c r="G40" s="98"/>
      <c r="H40" s="98"/>
      <c r="I40" s="98"/>
      <c r="J40" s="98"/>
      <c r="K40" s="98"/>
      <c r="L40" s="98"/>
      <c r="M40" s="98"/>
      <c r="N40" s="98"/>
      <c r="O40" s="98"/>
      <c r="P40" s="98"/>
      <c r="Q40" s="98"/>
    </row>
    <row r="41" spans="1:17" x14ac:dyDescent="0.25">
      <c r="A41" s="98"/>
      <c r="B41" s="98"/>
      <c r="C41" s="98"/>
      <c r="D41" s="98"/>
      <c r="E41" s="98"/>
      <c r="F41" s="98"/>
      <c r="G41" s="98"/>
      <c r="H41" s="98"/>
      <c r="I41" s="98"/>
      <c r="J41" s="98"/>
      <c r="K41" s="98"/>
      <c r="L41" s="98"/>
      <c r="M41" s="98"/>
      <c r="N41" s="98"/>
      <c r="O41" s="98"/>
      <c r="P41" s="98"/>
      <c r="Q41" s="98"/>
    </row>
    <row r="42" spans="1:17" x14ac:dyDescent="0.25">
      <c r="A42" s="98"/>
      <c r="B42" s="98"/>
      <c r="C42" s="98"/>
      <c r="D42" s="98"/>
      <c r="E42" s="98"/>
      <c r="F42" s="98"/>
      <c r="G42" s="98"/>
      <c r="H42" s="98"/>
      <c r="I42" s="98"/>
      <c r="J42" s="98"/>
      <c r="K42" s="98"/>
      <c r="L42" s="98"/>
      <c r="M42" s="98"/>
      <c r="N42" s="98"/>
      <c r="O42" s="98"/>
      <c r="P42" s="98"/>
      <c r="Q42" s="98"/>
    </row>
    <row r="43" spans="1:17" ht="20.25" customHeight="1" x14ac:dyDescent="0.25">
      <c r="A43" s="98"/>
      <c r="B43" s="1029" t="s">
        <v>809</v>
      </c>
      <c r="C43" s="1029"/>
      <c r="D43" s="1029"/>
      <c r="E43" s="1029"/>
      <c r="F43" s="1029"/>
      <c r="G43" s="1029"/>
      <c r="H43" s="1029"/>
      <c r="I43" s="1029"/>
      <c r="J43" s="1029"/>
      <c r="K43" s="1029"/>
      <c r="L43" s="1029"/>
      <c r="M43" s="1029"/>
      <c r="N43" s="1029"/>
      <c r="O43" s="1029"/>
      <c r="P43" s="1029"/>
      <c r="Q43" s="1029"/>
    </row>
  </sheetData>
  <mergeCells count="11">
    <mergeCell ref="K25:M25"/>
    <mergeCell ref="B43:Q43"/>
    <mergeCell ref="B7:P7"/>
    <mergeCell ref="B9:D9"/>
    <mergeCell ref="H24:J30"/>
    <mergeCell ref="B28:C28"/>
    <mergeCell ref="B13:E13"/>
    <mergeCell ref="E10:L10"/>
    <mergeCell ref="E11:L11"/>
    <mergeCell ref="E9:L9"/>
    <mergeCell ref="N9:P11"/>
  </mergeCells>
  <pageMargins left="0.39370078740157483" right="0.39370078740157483" top="0.39370078740157483" bottom="0.39370078740157483" header="0.31496062992125984" footer="0.31496062992125984"/>
  <pageSetup scale="75"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5E3D4237-D11D-4A60-89E7-DF1701F6E9D9}">
          <x14:formula1>
            <xm:f>PGLOBAL!$A$10:$A$174</xm:f>
          </x14:formula1>
          <xm:sqref>E9:L11</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85C95E-9DF8-401F-A57B-FF3AAB5D5675}">
  <sheetPr codeName="Hoja5">
    <tabColor rgb="FFFF0000"/>
  </sheetPr>
  <dimension ref="A2:Z357"/>
  <sheetViews>
    <sheetView zoomScale="70" zoomScaleNormal="70" workbookViewId="0"/>
  </sheetViews>
  <sheetFormatPr baseColWidth="10" defaultColWidth="12.5703125" defaultRowHeight="15.75" x14ac:dyDescent="0.25"/>
  <cols>
    <col min="1" max="1" width="6.140625" style="125" customWidth="1"/>
    <col min="2" max="2" width="13" style="125" customWidth="1"/>
    <col min="3" max="3" width="32.42578125" style="100" customWidth="1"/>
    <col min="4" max="4" width="15.140625" style="100" customWidth="1"/>
    <col min="5" max="5" width="14.42578125" style="100" customWidth="1"/>
    <col min="6" max="7" width="23.42578125" style="100" customWidth="1"/>
    <col min="8" max="8" width="5.140625" style="100" customWidth="1"/>
    <col min="9" max="9" width="17.7109375" style="100" customWidth="1"/>
    <col min="10" max="10" width="48.5703125" style="100" customWidth="1"/>
    <col min="11" max="14" width="15.140625" style="100" customWidth="1"/>
    <col min="15" max="16" width="22.28515625" style="100" customWidth="1"/>
    <col min="17" max="17" width="4.85546875" style="100" customWidth="1"/>
    <col min="18" max="18" width="16.5703125" style="100" customWidth="1"/>
    <col min="19" max="19" width="15.5703125" style="100" customWidth="1"/>
    <col min="20" max="20" width="12.5703125" style="100"/>
    <col min="21" max="21" width="54" style="100" customWidth="1"/>
    <col min="22" max="22" width="12.5703125" style="100"/>
    <col min="23" max="23" width="14.140625" style="100" customWidth="1"/>
    <col min="24" max="24" width="15.85546875" style="100" customWidth="1"/>
    <col min="25" max="16384" width="12.5703125" style="100"/>
  </cols>
  <sheetData>
    <row r="2" spans="1:26" x14ac:dyDescent="0.25">
      <c r="A2" s="118"/>
      <c r="B2" s="118"/>
      <c r="C2" s="98"/>
      <c r="D2" s="98"/>
      <c r="E2" s="98"/>
      <c r="F2" s="98"/>
      <c r="G2" s="98"/>
      <c r="H2" s="98"/>
      <c r="I2" s="98"/>
      <c r="J2" s="98"/>
      <c r="K2" s="98"/>
      <c r="L2" s="98"/>
      <c r="M2" s="98"/>
      <c r="N2" s="98"/>
      <c r="O2" s="98"/>
      <c r="P2" s="98"/>
      <c r="Q2" s="98"/>
      <c r="R2" s="98"/>
      <c r="S2" s="98"/>
      <c r="T2" s="98"/>
      <c r="U2" s="98"/>
      <c r="V2" s="98"/>
      <c r="W2" s="98"/>
      <c r="X2" s="98"/>
      <c r="Y2" s="98"/>
      <c r="Z2" s="98"/>
    </row>
    <row r="3" spans="1:26" x14ac:dyDescent="0.25">
      <c r="A3" s="118"/>
      <c r="B3" s="118"/>
      <c r="C3" s="98"/>
      <c r="D3" s="98"/>
      <c r="E3" s="98"/>
      <c r="F3" s="98"/>
      <c r="G3" s="98"/>
      <c r="H3" s="98"/>
      <c r="I3" s="98"/>
      <c r="J3" s="98"/>
      <c r="K3" s="98"/>
      <c r="L3" s="98"/>
      <c r="M3" s="98"/>
      <c r="N3" s="98"/>
      <c r="O3" s="98"/>
      <c r="P3" s="98"/>
      <c r="Q3" s="98"/>
      <c r="R3" s="98"/>
      <c r="S3" s="98"/>
      <c r="T3" s="98"/>
      <c r="U3" s="98"/>
      <c r="V3" s="98"/>
      <c r="W3" s="98"/>
      <c r="X3" s="98"/>
      <c r="Y3" s="98"/>
      <c r="Z3" s="98"/>
    </row>
    <row r="4" spans="1:26" ht="20.25" x14ac:dyDescent="0.3">
      <c r="A4" s="98"/>
      <c r="B4" s="98"/>
      <c r="C4" s="233"/>
      <c r="D4" s="233"/>
      <c r="E4" s="233"/>
      <c r="F4" s="233"/>
      <c r="G4" s="119"/>
      <c r="H4" s="119"/>
      <c r="I4" s="119"/>
      <c r="J4" s="119"/>
      <c r="K4" s="119"/>
      <c r="L4" s="119"/>
      <c r="M4" s="119"/>
      <c r="N4" s="119"/>
      <c r="O4" s="119"/>
      <c r="P4" s="119"/>
      <c r="Q4" s="98"/>
      <c r="R4" s="98"/>
      <c r="S4" s="98"/>
      <c r="T4" s="98"/>
      <c r="U4" s="98"/>
      <c r="V4" s="98"/>
      <c r="W4" s="98"/>
      <c r="X4" s="98"/>
      <c r="Y4" s="98"/>
      <c r="Z4" s="98"/>
    </row>
    <row r="5" spans="1:26" ht="35.25" customHeight="1" x14ac:dyDescent="0.3">
      <c r="A5" s="98"/>
      <c r="B5" s="98"/>
      <c r="C5" s="98"/>
      <c r="D5" s="98"/>
      <c r="E5" s="98"/>
      <c r="F5" s="98"/>
      <c r="G5" s="229"/>
      <c r="H5" s="119"/>
      <c r="I5" s="119"/>
      <c r="J5" s="119"/>
      <c r="K5" s="119"/>
      <c r="L5" s="119"/>
      <c r="M5" s="119"/>
      <c r="N5" s="119"/>
      <c r="O5" s="119"/>
      <c r="P5" s="119"/>
      <c r="Q5" s="98"/>
      <c r="R5" s="98"/>
      <c r="S5" s="98"/>
      <c r="T5" s="98"/>
      <c r="U5" s="98"/>
      <c r="V5" s="98"/>
      <c r="W5" s="98"/>
      <c r="X5" s="98"/>
      <c r="Y5" s="98"/>
      <c r="Z5" s="98"/>
    </row>
    <row r="6" spans="1:26" ht="35.25" customHeight="1" x14ac:dyDescent="0.25">
      <c r="A6" s="98"/>
      <c r="B6" s="1031" t="s">
        <v>732</v>
      </c>
      <c r="C6" s="1031"/>
      <c r="D6" s="1031"/>
      <c r="E6" s="1031"/>
      <c r="F6" s="1031"/>
      <c r="G6" s="1031"/>
      <c r="H6" s="1031"/>
      <c r="I6" s="1031"/>
      <c r="J6" s="1031"/>
      <c r="K6" s="1031"/>
      <c r="L6" s="1031"/>
      <c r="M6" s="1031"/>
      <c r="N6" s="1031"/>
      <c r="O6" s="1031"/>
      <c r="P6" s="1031"/>
      <c r="Q6" s="1031"/>
      <c r="R6" s="1031"/>
      <c r="S6" s="1031"/>
      <c r="T6" s="1031"/>
      <c r="U6" s="1031"/>
      <c r="V6" s="1031"/>
      <c r="W6" s="98"/>
      <c r="X6" s="98"/>
      <c r="Y6" s="98"/>
      <c r="Z6" s="98"/>
    </row>
    <row r="7" spans="1:26" ht="20.25" x14ac:dyDescent="0.3">
      <c r="A7" s="230"/>
      <c r="B7" s="230"/>
      <c r="C7" s="231"/>
      <c r="D7" s="231"/>
      <c r="E7" s="231"/>
      <c r="F7" s="231"/>
      <c r="G7" s="231"/>
      <c r="H7" s="98"/>
      <c r="I7" s="98"/>
      <c r="J7" s="98"/>
      <c r="K7" s="98"/>
      <c r="L7" s="98"/>
      <c r="M7" s="98"/>
      <c r="N7" s="98"/>
      <c r="O7" s="98"/>
      <c r="P7" s="98"/>
      <c r="Q7" s="98"/>
      <c r="R7" s="98"/>
      <c r="S7" s="98"/>
      <c r="T7" s="98"/>
      <c r="U7" s="98"/>
      <c r="V7" s="98"/>
      <c r="W7" s="98"/>
      <c r="X7" s="98"/>
      <c r="Y7" s="98"/>
      <c r="Z7" s="98"/>
    </row>
    <row r="8" spans="1:26" ht="44.25" customHeight="1" x14ac:dyDescent="0.25">
      <c r="A8" s="118"/>
      <c r="B8" s="1084" t="s">
        <v>743</v>
      </c>
      <c r="C8" s="1084"/>
      <c r="D8" s="1084"/>
      <c r="E8" s="1086" t="s">
        <v>10</v>
      </c>
      <c r="F8" s="1086"/>
      <c r="G8" s="1086"/>
      <c r="H8" s="1086"/>
      <c r="I8" s="1086"/>
      <c r="J8" s="1086"/>
      <c r="K8" s="233"/>
      <c r="L8" s="233"/>
      <c r="M8" s="233"/>
      <c r="N8" s="233"/>
      <c r="O8" s="233"/>
      <c r="P8" s="98"/>
      <c r="Q8" s="98"/>
      <c r="R8" s="98"/>
      <c r="S8" s="98"/>
      <c r="T8" s="98"/>
      <c r="U8" s="98"/>
      <c r="V8" s="98"/>
      <c r="W8" s="98"/>
      <c r="X8" s="98"/>
      <c r="Y8" s="98"/>
      <c r="Z8" s="98"/>
    </row>
    <row r="9" spans="1:26" ht="44.25" customHeight="1" x14ac:dyDescent="0.25">
      <c r="A9" s="118"/>
      <c r="B9" s="238" t="s">
        <v>753</v>
      </c>
      <c r="C9" s="238"/>
      <c r="D9" s="238"/>
      <c r="E9" s="1086" t="s">
        <v>0</v>
      </c>
      <c r="F9" s="1086"/>
      <c r="G9" s="1086"/>
      <c r="H9" s="1086"/>
      <c r="I9" s="1086"/>
      <c r="J9" s="1086"/>
      <c r="K9" s="238"/>
      <c r="L9" s="238"/>
      <c r="M9" s="238"/>
      <c r="N9" s="238"/>
      <c r="O9" s="238"/>
      <c r="P9" s="98"/>
      <c r="Q9" s="98"/>
      <c r="R9" s="98"/>
      <c r="S9" s="98"/>
      <c r="T9" s="98"/>
      <c r="U9" s="98"/>
      <c r="V9" s="98"/>
      <c r="W9" s="98"/>
      <c r="X9" s="98"/>
      <c r="Y9" s="98"/>
      <c r="Z9" s="98"/>
    </row>
    <row r="10" spans="1:26" ht="44.25" customHeight="1" x14ac:dyDescent="0.25">
      <c r="A10" s="118"/>
      <c r="B10" s="238" t="s">
        <v>754</v>
      </c>
      <c r="C10" s="238"/>
      <c r="D10" s="238"/>
      <c r="E10" s="1086" t="s">
        <v>950</v>
      </c>
      <c r="F10" s="1086"/>
      <c r="G10" s="1086"/>
      <c r="H10" s="1086"/>
      <c r="I10" s="1086"/>
      <c r="J10" s="1086"/>
      <c r="K10" s="238"/>
      <c r="L10" s="238"/>
      <c r="M10" s="238"/>
      <c r="N10" s="238"/>
      <c r="O10" s="238"/>
      <c r="P10" s="98"/>
      <c r="Q10" s="98"/>
      <c r="R10" s="98"/>
      <c r="S10" s="98"/>
      <c r="T10" s="98"/>
      <c r="U10" s="98"/>
      <c r="V10" s="98"/>
      <c r="W10" s="98"/>
      <c r="X10" s="98"/>
      <c r="Y10" s="98"/>
      <c r="Z10" s="98"/>
    </row>
    <row r="11" spans="1:26" ht="41.25" customHeight="1" x14ac:dyDescent="0.4">
      <c r="A11" s="119"/>
      <c r="B11" s="119"/>
      <c r="C11" s="189"/>
      <c r="D11" s="120"/>
      <c r="E11" s="120"/>
      <c r="F11" s="120"/>
      <c r="G11" s="120"/>
      <c r="H11" s="120"/>
      <c r="I11" s="98"/>
      <c r="J11" s="98"/>
      <c r="K11" s="98"/>
      <c r="L11" s="98"/>
      <c r="M11" s="98"/>
      <c r="N11" s="98"/>
      <c r="O11" s="98"/>
      <c r="P11" s="98"/>
      <c r="Q11" s="98"/>
      <c r="R11" s="1098" t="s">
        <v>890</v>
      </c>
      <c r="S11" s="1098"/>
      <c r="T11" s="1098"/>
      <c r="U11" s="1098"/>
      <c r="V11" s="1098"/>
      <c r="W11" s="1098"/>
      <c r="X11" s="1098"/>
      <c r="Y11" s="1098"/>
      <c r="Z11" s="98"/>
    </row>
    <row r="12" spans="1:26" ht="33" customHeight="1" x14ac:dyDescent="0.3">
      <c r="A12" s="119"/>
      <c r="B12" s="1111" t="s">
        <v>609</v>
      </c>
      <c r="C12" s="1111"/>
      <c r="D12" s="1111"/>
      <c r="E12" s="1111"/>
      <c r="F12" s="1111"/>
      <c r="G12" s="120"/>
      <c r="H12" s="120"/>
      <c r="I12" s="1110" t="s">
        <v>731</v>
      </c>
      <c r="J12" s="1110"/>
      <c r="K12" s="1110"/>
      <c r="L12" s="1110"/>
      <c r="M12" s="1110"/>
      <c r="N12" s="1110"/>
      <c r="O12" s="98"/>
      <c r="P12" s="102"/>
      <c r="Q12" s="98"/>
      <c r="R12" s="387" t="s">
        <v>883</v>
      </c>
      <c r="S12" s="387" t="s">
        <v>884</v>
      </c>
      <c r="T12" s="1104" t="s">
        <v>885</v>
      </c>
      <c r="U12" s="1104"/>
      <c r="V12" s="1104"/>
      <c r="W12" s="1104"/>
      <c r="X12" s="1104"/>
      <c r="Y12" s="1104"/>
      <c r="Z12" s="98"/>
    </row>
    <row r="13" spans="1:26" ht="43.5" customHeight="1" x14ac:dyDescent="0.3">
      <c r="A13" s="118"/>
      <c r="B13" s="218" t="s">
        <v>290</v>
      </c>
      <c r="C13" s="219" t="str">
        <f>$E$8</f>
        <v>COLOMBIA</v>
      </c>
      <c r="D13" s="1112" t="str">
        <f>$E$9</f>
        <v>SOACHA</v>
      </c>
      <c r="E13" s="1112"/>
      <c r="F13" s="220" t="str">
        <f>$E$10</f>
        <v>LICEO TALENTOS</v>
      </c>
      <c r="G13" s="118"/>
      <c r="H13" s="118"/>
      <c r="I13" s="390" t="s">
        <v>290</v>
      </c>
      <c r="J13" s="390" t="s">
        <v>292</v>
      </c>
      <c r="K13" s="304" t="s">
        <v>604</v>
      </c>
      <c r="L13" s="209" t="s">
        <v>605</v>
      </c>
      <c r="M13" s="210" t="s">
        <v>606</v>
      </c>
      <c r="N13" s="211" t="s">
        <v>607</v>
      </c>
      <c r="O13" s="102" t="s">
        <v>608</v>
      </c>
      <c r="P13" s="121"/>
      <c r="Q13" s="98"/>
      <c r="R13" s="388">
        <v>1</v>
      </c>
      <c r="S13" s="389" t="s">
        <v>604</v>
      </c>
      <c r="T13" s="1105" t="s">
        <v>886</v>
      </c>
      <c r="U13" s="1106"/>
      <c r="V13" s="1106"/>
      <c r="W13" s="1106"/>
      <c r="X13" s="1106"/>
      <c r="Y13" s="1106"/>
      <c r="Z13" s="98"/>
    </row>
    <row r="14" spans="1:26" ht="26.25" customHeight="1" x14ac:dyDescent="0.25">
      <c r="A14" s="98"/>
      <c r="B14" s="206">
        <v>2016</v>
      </c>
      <c r="C14" s="190">
        <f>VLOOKUP($E$8,LC!$A$10:$AV$173,4,0)</f>
        <v>54</v>
      </c>
      <c r="D14" s="1088">
        <f>VLOOKUP($E$9,LC!$A$10:$AV$173,4,0)</f>
        <v>54</v>
      </c>
      <c r="E14" s="1088"/>
      <c r="F14" s="190">
        <f>VLOOKUP($E$10,LC!$A$10:$AV$173,4,0)</f>
        <v>0</v>
      </c>
      <c r="G14" s="118"/>
      <c r="H14" s="118"/>
      <c r="I14" s="391"/>
      <c r="J14" s="391"/>
      <c r="K14" s="386">
        <v>1</v>
      </c>
      <c r="L14" s="213">
        <v>2</v>
      </c>
      <c r="M14" s="214">
        <v>3</v>
      </c>
      <c r="N14" s="215">
        <v>4</v>
      </c>
      <c r="O14" s="121" t="s">
        <v>737</v>
      </c>
      <c r="P14" s="108"/>
      <c r="Q14" s="98"/>
      <c r="R14" s="1109">
        <v>2</v>
      </c>
      <c r="S14" s="1109" t="s">
        <v>605</v>
      </c>
      <c r="T14" s="1107" t="s">
        <v>887</v>
      </c>
      <c r="U14" s="1108"/>
      <c r="V14" s="1108"/>
      <c r="W14" s="1108"/>
      <c r="X14" s="1108"/>
      <c r="Y14" s="1108"/>
      <c r="Z14" s="98"/>
    </row>
    <row r="15" spans="1:26" ht="21.75" customHeight="1" x14ac:dyDescent="0.25">
      <c r="A15" s="98"/>
      <c r="B15" s="206">
        <v>2017</v>
      </c>
      <c r="C15" s="190">
        <f>VLOOKUP($E$8,LC!$A$10:$AV$173,13,0)</f>
        <v>54</v>
      </c>
      <c r="D15" s="1088">
        <f>VLOOKUP($E$9,LC!$A$10:$AV$173,13,0)</f>
        <v>55</v>
      </c>
      <c r="E15" s="1088"/>
      <c r="F15" s="190">
        <f>VLOOKUP($E$10,LC!$A$10:$AV$173,13,0)</f>
        <v>0</v>
      </c>
      <c r="G15" s="118"/>
      <c r="H15" s="118"/>
      <c r="I15" s="1099">
        <v>2016</v>
      </c>
      <c r="J15" s="392" t="str">
        <f>$E$8</f>
        <v>COLOMBIA</v>
      </c>
      <c r="K15" s="193">
        <f>VLOOKUP($E$8,LC!$A$10:$AV$173,6,0)</f>
        <v>0.02</v>
      </c>
      <c r="L15" s="222">
        <f>VLOOKUP($E$8,LC!$A$10:$AV$173,7,0)</f>
        <v>0.37</v>
      </c>
      <c r="M15" s="307">
        <f>VLOOKUP($E$8,LC!$A$10:$AV$173,8,0)</f>
        <v>0.5</v>
      </c>
      <c r="N15" s="308">
        <f>VLOOKUP($E$8,LC!$A$10:$AV$173,9,0)</f>
        <v>0.1</v>
      </c>
      <c r="O15" s="108">
        <f t="shared" ref="O15:O32" si="0">K15+L15</f>
        <v>0.39</v>
      </c>
      <c r="P15" s="108"/>
      <c r="Q15" s="98"/>
      <c r="R15" s="1109"/>
      <c r="S15" s="1109"/>
      <c r="T15" s="1108"/>
      <c r="U15" s="1108"/>
      <c r="V15" s="1108"/>
      <c r="W15" s="1108"/>
      <c r="X15" s="1108"/>
      <c r="Y15" s="1108"/>
      <c r="Z15" s="98"/>
    </row>
    <row r="16" spans="1:26" ht="21.75" customHeight="1" x14ac:dyDescent="0.25">
      <c r="A16" s="98"/>
      <c r="B16" s="206">
        <v>2018</v>
      </c>
      <c r="C16" s="190">
        <f>VLOOKUP($E$8,LC!$A$10:$AV$173,22,0)</f>
        <v>54</v>
      </c>
      <c r="D16" s="1088">
        <f>VLOOKUP($E$9,LC!$A$10:$AV$173,22,0)</f>
        <v>54</v>
      </c>
      <c r="E16" s="1088"/>
      <c r="F16" s="190">
        <f>VLOOKUP($E$10,LC!$A$10:$AV$173,22,0)</f>
        <v>0</v>
      </c>
      <c r="G16" s="118"/>
      <c r="H16" s="118"/>
      <c r="I16" s="1100"/>
      <c r="J16" s="392" t="str">
        <f>$E$9</f>
        <v>SOACHA</v>
      </c>
      <c r="K16" s="193">
        <f>VLOOKUP($E$9,LC!$A$10:$AV$173,6,0)</f>
        <v>0.01</v>
      </c>
      <c r="L16" s="222">
        <f>VLOOKUP($E$9,LC!$A$10:$AV$173,7,0)</f>
        <v>0.34</v>
      </c>
      <c r="M16" s="307">
        <f>VLOOKUP($E$9,LC!$A$10:$AV$173,8,0)</f>
        <v>0.57999999999999996</v>
      </c>
      <c r="N16" s="308">
        <f>VLOOKUP($E$9,LC!$A$10:$AV$173,9,0)</f>
        <v>7.0000000000000007E-2</v>
      </c>
      <c r="O16" s="108">
        <f t="shared" si="0"/>
        <v>0.35000000000000003</v>
      </c>
      <c r="P16" s="108"/>
      <c r="Q16" s="98"/>
      <c r="R16" s="1109"/>
      <c r="S16" s="1109"/>
      <c r="T16" s="1108"/>
      <c r="U16" s="1108"/>
      <c r="V16" s="1108"/>
      <c r="W16" s="1108"/>
      <c r="X16" s="1108"/>
      <c r="Y16" s="1108"/>
      <c r="Z16" s="98"/>
    </row>
    <row r="17" spans="1:26" ht="20.100000000000001" customHeight="1" x14ac:dyDescent="0.25">
      <c r="A17" s="98"/>
      <c r="B17" s="206">
        <v>2019</v>
      </c>
      <c r="C17" s="190">
        <f>VLOOKUP($E$8,LC!$A$10:$AV$173,31,0)</f>
        <v>53</v>
      </c>
      <c r="D17" s="1088">
        <f>VLOOKUP($E$9,LC!$A$10:$AV$173,31,0)</f>
        <v>54</v>
      </c>
      <c r="E17" s="1088"/>
      <c r="F17" s="190">
        <f>VLOOKUP($E$10,LC!$A$10:$AV$173,31,0)</f>
        <v>0</v>
      </c>
      <c r="G17" s="118"/>
      <c r="H17" s="118"/>
      <c r="I17" s="1101"/>
      <c r="J17" s="392" t="str">
        <f>$E$10</f>
        <v>LICEO TALENTOS</v>
      </c>
      <c r="K17" s="193">
        <f>VLOOKUP($E$10,LC!$A$10:$AV$173,6,0)</f>
        <v>0</v>
      </c>
      <c r="L17" s="222">
        <f>VLOOKUP($E$10,LC!$A$10:$AV$173,7,0)</f>
        <v>0</v>
      </c>
      <c r="M17" s="307">
        <f>VLOOKUP($E$10,LC!$A$10:$AV$173,8,0)</f>
        <v>0</v>
      </c>
      <c r="N17" s="308">
        <f>VLOOKUP($E$10,LC!$A$10:$AV$173,9,0)</f>
        <v>0</v>
      </c>
      <c r="O17" s="108">
        <f t="shared" si="0"/>
        <v>0</v>
      </c>
      <c r="P17" s="108"/>
      <c r="Q17" s="98"/>
      <c r="R17" s="1109"/>
      <c r="S17" s="1109"/>
      <c r="T17" s="1108"/>
      <c r="U17" s="1108"/>
      <c r="V17" s="1108"/>
      <c r="W17" s="1108"/>
      <c r="X17" s="1108"/>
      <c r="Y17" s="1108"/>
      <c r="Z17" s="98"/>
    </row>
    <row r="18" spans="1:26" ht="20.100000000000001" customHeight="1" x14ac:dyDescent="0.25">
      <c r="A18" s="98"/>
      <c r="B18" s="206">
        <v>2020</v>
      </c>
      <c r="C18" s="190">
        <f>VLOOKUP($E$8,LC!$A$10:$AV$173,40,0)</f>
        <v>53</v>
      </c>
      <c r="D18" s="1088">
        <f>VLOOKUP($E$9,LC!$A$10:$AV$173,40,0)</f>
        <v>54</v>
      </c>
      <c r="E18" s="1088"/>
      <c r="F18" s="190">
        <f>VLOOKUP($E$10,LC!$A$10:$AV$173,40,0)</f>
        <v>0</v>
      </c>
      <c r="G18" s="118"/>
      <c r="H18" s="118"/>
      <c r="I18" s="1099">
        <v>2017</v>
      </c>
      <c r="J18" s="392" t="str">
        <f>$E$8</f>
        <v>COLOMBIA</v>
      </c>
      <c r="K18" s="193">
        <f>VLOOKUP($E$8,LC!$A$10:$AV$173,15,0)</f>
        <v>0.02</v>
      </c>
      <c r="L18" s="222">
        <f>VLOOKUP($E$8,LC!$A$10:$AV$173,16,0)</f>
        <v>0.33</v>
      </c>
      <c r="M18" s="307">
        <f>VLOOKUP($E$8,LC!$A$10:$AV$173,17,0)</f>
        <v>0.52</v>
      </c>
      <c r="N18" s="308">
        <f>VLOOKUP($E$8,LC!$A$10:$AV$173,18,0)</f>
        <v>0.13</v>
      </c>
      <c r="O18" s="108">
        <f t="shared" si="0"/>
        <v>0.35000000000000003</v>
      </c>
      <c r="P18" s="108"/>
      <c r="Q18" s="98"/>
      <c r="R18" s="1109"/>
      <c r="S18" s="1109"/>
      <c r="T18" s="1108"/>
      <c r="U18" s="1108"/>
      <c r="V18" s="1108"/>
      <c r="W18" s="1108"/>
      <c r="X18" s="1108"/>
      <c r="Y18" s="1108"/>
      <c r="Z18" s="98"/>
    </row>
    <row r="19" spans="1:26" ht="20.100000000000001" customHeight="1" x14ac:dyDescent="0.25">
      <c r="A19" s="98"/>
      <c r="B19" s="206">
        <v>2021</v>
      </c>
      <c r="C19" s="190">
        <f>VLOOKUP($E$8,LC!$A$10:$BG$173,49,0)</f>
        <v>53</v>
      </c>
      <c r="D19" s="1088">
        <f>VLOOKUP($E$9,LC!$A$10:$BG$173,49,0)</f>
        <v>55</v>
      </c>
      <c r="E19" s="1088"/>
      <c r="F19" s="190">
        <f>VLOOKUP($E$10,LC!$A$10:$BG$173,49,0)</f>
        <v>0</v>
      </c>
      <c r="G19" s="118"/>
      <c r="H19" s="118"/>
      <c r="I19" s="1100"/>
      <c r="J19" s="392" t="str">
        <f>$E$9</f>
        <v>SOACHA</v>
      </c>
      <c r="K19" s="193">
        <f>VLOOKUP($E$9,LC!$A$10:$AV$173,15,0)</f>
        <v>0.01</v>
      </c>
      <c r="L19" s="222">
        <f>VLOOKUP($E$9,LC!$A$10:$AV$173,16,0)</f>
        <v>0.28999999999999998</v>
      </c>
      <c r="M19" s="307">
        <f>VLOOKUP($E$9,LC!$A$10:$AV$173,17,0)</f>
        <v>0.6</v>
      </c>
      <c r="N19" s="308">
        <f>VLOOKUP($E$9,LC!$A$10:$AV$173,18,0)</f>
        <v>0.09</v>
      </c>
      <c r="O19" s="108">
        <f t="shared" si="0"/>
        <v>0.3</v>
      </c>
      <c r="P19" s="108"/>
      <c r="Q19" s="98"/>
      <c r="R19" s="1109"/>
      <c r="S19" s="1109"/>
      <c r="T19" s="1108"/>
      <c r="U19" s="1108"/>
      <c r="V19" s="1108"/>
      <c r="W19" s="1108"/>
      <c r="X19" s="1108"/>
      <c r="Y19" s="1108"/>
      <c r="Z19" s="98"/>
    </row>
    <row r="20" spans="1:26" ht="20.100000000000001" customHeight="1" x14ac:dyDescent="0.25">
      <c r="A20" s="98"/>
      <c r="B20" s="206">
        <v>2022</v>
      </c>
      <c r="C20" s="190">
        <f>VLOOKUP($E$8,LC!$A$10:$BR$173,60,0)</f>
        <v>54</v>
      </c>
      <c r="D20" s="1088">
        <f>VLOOKUP($E$9,LC!$A$10:$BR$173,60,0)</f>
        <v>55</v>
      </c>
      <c r="E20" s="1088"/>
      <c r="F20" s="190">
        <f>VLOOKUP($E$10,LC!$A$10:$BR$173,60,0)</f>
        <v>0</v>
      </c>
      <c r="G20" s="118"/>
      <c r="H20" s="118"/>
      <c r="I20" s="1101"/>
      <c r="J20" s="392" t="str">
        <f>$E$10</f>
        <v>LICEO TALENTOS</v>
      </c>
      <c r="K20" s="193">
        <f>VLOOKUP($E$10,LC!$A$10:$AV$173,15,0)</f>
        <v>0</v>
      </c>
      <c r="L20" s="222">
        <f>VLOOKUP($E$10,LC!$A$10:$AV$173,16,0)</f>
        <v>0</v>
      </c>
      <c r="M20" s="307">
        <f>VLOOKUP($E$10,LC!$A$10:$AV$173,17,0)</f>
        <v>0</v>
      </c>
      <c r="N20" s="308">
        <f>VLOOKUP($E$10,LC!$A$10:$AV$173,18,0)</f>
        <v>0</v>
      </c>
      <c r="O20" s="108">
        <f t="shared" si="0"/>
        <v>0</v>
      </c>
      <c r="P20" s="108"/>
      <c r="Q20" s="98"/>
      <c r="R20" s="1109"/>
      <c r="S20" s="1109"/>
      <c r="T20" s="1108"/>
      <c r="U20" s="1108"/>
      <c r="V20" s="1108"/>
      <c r="W20" s="1108"/>
      <c r="X20" s="1108"/>
      <c r="Y20" s="1108"/>
      <c r="Z20" s="98"/>
    </row>
    <row r="21" spans="1:26" ht="20.100000000000001" customHeight="1" x14ac:dyDescent="0.25">
      <c r="A21" s="98"/>
      <c r="B21" s="206">
        <v>2023</v>
      </c>
      <c r="C21" s="190">
        <f>VLOOKUP($E$8,LC!$A$10:$CC$173,71,0)</f>
        <v>54</v>
      </c>
      <c r="D21" s="1088">
        <f>VLOOKUP($E$9,LC!$A$10:$CC$173,71,0)</f>
        <v>55</v>
      </c>
      <c r="E21" s="1088"/>
      <c r="F21" s="190">
        <f>VLOOKUP($E$10,LC!$A$10:$CC$173,71,0)</f>
        <v>0</v>
      </c>
      <c r="G21" s="118"/>
      <c r="H21" s="118"/>
      <c r="I21" s="1099">
        <v>2018</v>
      </c>
      <c r="J21" s="392" t="str">
        <f>$E$8</f>
        <v>COLOMBIA</v>
      </c>
      <c r="K21" s="193">
        <f>VLOOKUP($E$8,LC!$A$10:$AV$173,24,0)</f>
        <v>0.03</v>
      </c>
      <c r="L21" s="222">
        <f>VLOOKUP($E$8,LC!$A$10:$AV$173,25,0)</f>
        <v>0.35</v>
      </c>
      <c r="M21" s="307">
        <f>VLOOKUP($E$8,LC!$A$10:$AV$173,26,0)</f>
        <v>0.49</v>
      </c>
      <c r="N21" s="308">
        <f>VLOOKUP($E$8,LC!$A$10:$AV$173,27,0)</f>
        <v>0.13</v>
      </c>
      <c r="O21" s="108">
        <f t="shared" si="0"/>
        <v>0.38</v>
      </c>
      <c r="P21" s="108"/>
      <c r="Q21" s="98"/>
      <c r="R21" s="1109"/>
      <c r="S21" s="1109"/>
      <c r="T21" s="1108"/>
      <c r="U21" s="1108"/>
      <c r="V21" s="1108"/>
      <c r="W21" s="1108"/>
      <c r="X21" s="1108"/>
      <c r="Y21" s="1108"/>
      <c r="Z21" s="98"/>
    </row>
    <row r="22" spans="1:26" ht="20.100000000000001" customHeight="1" x14ac:dyDescent="0.25">
      <c r="A22" s="98"/>
      <c r="B22" s="206">
        <v>2024</v>
      </c>
      <c r="C22" s="190">
        <f>VLOOKUP($E$8,LC!$A$10:$CN$173,82,0)</f>
        <v>54</v>
      </c>
      <c r="D22" s="1088">
        <f>VLOOKUP($E$9,LC!$A$10:$CN$173,82,0)</f>
        <v>56</v>
      </c>
      <c r="E22" s="1088"/>
      <c r="F22" s="190">
        <f>VLOOKUP($E$10,LC!$A$10:$CN$173,82,0)</f>
        <v>58</v>
      </c>
      <c r="G22" s="118"/>
      <c r="H22" s="118"/>
      <c r="I22" s="1100"/>
      <c r="J22" s="392" t="str">
        <f>$E$9</f>
        <v>SOACHA</v>
      </c>
      <c r="K22" s="193"/>
      <c r="L22" s="222"/>
      <c r="M22" s="307"/>
      <c r="N22" s="308"/>
      <c r="O22" s="108"/>
      <c r="P22" s="108"/>
      <c r="Q22" s="98"/>
      <c r="R22" s="1109"/>
      <c r="S22" s="1109"/>
      <c r="T22" s="1108"/>
      <c r="U22" s="1108"/>
      <c r="V22" s="1108"/>
      <c r="W22" s="1108"/>
      <c r="X22" s="1108"/>
      <c r="Y22" s="1108"/>
      <c r="Z22" s="98"/>
    </row>
    <row r="23" spans="1:26" ht="20.100000000000001" customHeight="1" x14ac:dyDescent="0.25">
      <c r="A23" s="98"/>
      <c r="B23" s="206">
        <v>2025</v>
      </c>
      <c r="C23" s="890">
        <f>VLOOKUP($E$8,LC!$A$10:$CY$173,93,0)</f>
        <v>55</v>
      </c>
      <c r="D23" s="1088">
        <f>VLOOKUP($E$9,LC!$A$10:$CY$173,93,0)</f>
        <v>56</v>
      </c>
      <c r="E23" s="1088"/>
      <c r="F23" s="890">
        <f>VLOOKUP($E$10,LC!$A$10:$CY$173,93,0)</f>
        <v>54</v>
      </c>
      <c r="G23" s="118"/>
      <c r="H23" s="118"/>
      <c r="I23" s="1101"/>
      <c r="J23" s="392" t="str">
        <f>$E$10</f>
        <v>LICEO TALENTOS</v>
      </c>
      <c r="K23" s="193">
        <f>VLOOKUP($E$10,LC!$A$10:$AV$173,24,0)</f>
        <v>0</v>
      </c>
      <c r="L23" s="222">
        <f>VLOOKUP($E$10,LC!$A$10:$AV$173,25,0)</f>
        <v>0</v>
      </c>
      <c r="M23" s="307">
        <f>VLOOKUP($E$10,LC!$A$10:$AV$173,26,0)</f>
        <v>0</v>
      </c>
      <c r="N23" s="308">
        <f>VLOOKUP($E$10,LC!$A$10:$AV$173,27,0)</f>
        <v>0</v>
      </c>
      <c r="O23" s="108">
        <f t="shared" si="0"/>
        <v>0</v>
      </c>
      <c r="P23" s="108"/>
      <c r="Q23" s="98"/>
      <c r="R23" s="1103">
        <v>3</v>
      </c>
      <c r="S23" s="1103" t="s">
        <v>606</v>
      </c>
      <c r="T23" s="1102" t="s">
        <v>888</v>
      </c>
      <c r="U23" s="1102"/>
      <c r="V23" s="1102"/>
      <c r="W23" s="1102"/>
      <c r="X23" s="1102"/>
      <c r="Y23" s="1102"/>
      <c r="Z23" s="98"/>
    </row>
    <row r="24" spans="1:26" ht="20.100000000000001" customHeight="1" x14ac:dyDescent="0.25">
      <c r="A24" s="199"/>
      <c r="B24" s="200"/>
      <c r="C24" s="200"/>
      <c r="D24" s="200"/>
      <c r="E24" s="118"/>
      <c r="F24" s="118"/>
      <c r="G24" s="118"/>
      <c r="H24" s="118"/>
      <c r="I24" s="1099">
        <v>2019</v>
      </c>
      <c r="J24" s="392" t="str">
        <f>$E$8</f>
        <v>COLOMBIA</v>
      </c>
      <c r="K24" s="193">
        <f>VLOOKUP($E$8,LC!$A$10:$AV$173,33,0)</f>
        <v>0.04</v>
      </c>
      <c r="L24" s="222">
        <f>VLOOKUP($E$8,LC!$A$10:$AV$173,34,0)</f>
        <v>0.34</v>
      </c>
      <c r="M24" s="307">
        <f>VLOOKUP($E$8,LC!$A$10:$AV$173,35,0)</f>
        <v>0.49</v>
      </c>
      <c r="N24" s="308">
        <f>VLOOKUP($E$8,LC!$A$10:$AV$173,36,0)</f>
        <v>0.12</v>
      </c>
      <c r="O24" s="108">
        <f t="shared" si="0"/>
        <v>0.38</v>
      </c>
      <c r="P24" s="108"/>
      <c r="Q24" s="98"/>
      <c r="R24" s="1103"/>
      <c r="S24" s="1103"/>
      <c r="T24" s="1102"/>
      <c r="U24" s="1102"/>
      <c r="V24" s="1102"/>
      <c r="W24" s="1102"/>
      <c r="X24" s="1102"/>
      <c r="Y24" s="1102"/>
      <c r="Z24" s="98"/>
    </row>
    <row r="25" spans="1:26" ht="20.100000000000001" customHeight="1" x14ac:dyDescent="0.25">
      <c r="A25" s="199"/>
      <c r="B25" s="200"/>
      <c r="C25" s="200"/>
      <c r="D25" s="200"/>
      <c r="E25" s="118"/>
      <c r="F25" s="118"/>
      <c r="G25" s="118"/>
      <c r="H25" s="118"/>
      <c r="I25" s="1100"/>
      <c r="J25" s="392" t="str">
        <f>$E$9</f>
        <v>SOACHA</v>
      </c>
      <c r="K25" s="193">
        <f>VLOOKUP($E$9,LC!$A$10:$AV$173,33,0)</f>
        <v>0.02</v>
      </c>
      <c r="L25" s="222">
        <f>VLOOKUP($E$9,LC!$A$10:$AV$173,34,0)</f>
        <v>0.3</v>
      </c>
      <c r="M25" s="307">
        <f>VLOOKUP($E$9,LC!$A$10:$AV$173,35,0)</f>
        <v>0.56999999999999995</v>
      </c>
      <c r="N25" s="308">
        <f>VLOOKUP($E$9,LC!$A$10:$AV$173,36,0)</f>
        <v>0.11</v>
      </c>
      <c r="O25" s="108">
        <f t="shared" si="0"/>
        <v>0.32</v>
      </c>
      <c r="P25" s="108"/>
      <c r="Q25" s="98"/>
      <c r="R25" s="1103"/>
      <c r="S25" s="1103"/>
      <c r="T25" s="1102"/>
      <c r="U25" s="1102"/>
      <c r="V25" s="1102"/>
      <c r="W25" s="1102"/>
      <c r="X25" s="1102"/>
      <c r="Y25" s="1102"/>
      <c r="Z25" s="98"/>
    </row>
    <row r="26" spans="1:26" ht="20.100000000000001" customHeight="1" x14ac:dyDescent="0.25">
      <c r="A26" s="98"/>
      <c r="B26" s="98"/>
      <c r="C26" s="98"/>
      <c r="D26" s="98"/>
      <c r="E26" s="118"/>
      <c r="F26" s="118"/>
      <c r="G26" s="118"/>
      <c r="H26" s="118"/>
      <c r="I26" s="1101"/>
      <c r="J26" s="392" t="str">
        <f>$E$10</f>
        <v>LICEO TALENTOS</v>
      </c>
      <c r="K26" s="193">
        <f>VLOOKUP($E$10,LC!$A$10:$AV$173,33,0)</f>
        <v>0</v>
      </c>
      <c r="L26" s="222">
        <f>VLOOKUP($E$10,LC!$A$10:$AV$173,34,0)</f>
        <v>0</v>
      </c>
      <c r="M26" s="307">
        <f>VLOOKUP($E$10,LC!$A$10:$AV$173,35,0)</f>
        <v>0</v>
      </c>
      <c r="N26" s="308">
        <f>VLOOKUP($E$10,LC!$A$10:$AV$173,36,0)</f>
        <v>0</v>
      </c>
      <c r="O26" s="108">
        <f t="shared" si="0"/>
        <v>0</v>
      </c>
      <c r="P26" s="108"/>
      <c r="Q26" s="98"/>
      <c r="R26" s="1103"/>
      <c r="S26" s="1103"/>
      <c r="T26" s="1102"/>
      <c r="U26" s="1102"/>
      <c r="V26" s="1102"/>
      <c r="W26" s="1102"/>
      <c r="X26" s="1102"/>
      <c r="Y26" s="1102"/>
      <c r="Z26" s="98"/>
    </row>
    <row r="27" spans="1:26" ht="20.100000000000001" customHeight="1" x14ac:dyDescent="0.25">
      <c r="A27" s="199"/>
      <c r="B27" s="200"/>
      <c r="C27" s="200"/>
      <c r="D27" s="200"/>
      <c r="E27" s="118"/>
      <c r="F27" s="118"/>
      <c r="G27" s="118"/>
      <c r="H27" s="118"/>
      <c r="I27" s="1099">
        <v>2020</v>
      </c>
      <c r="J27" s="392" t="str">
        <f>$E$8</f>
        <v>COLOMBIA</v>
      </c>
      <c r="K27" s="193">
        <f>VLOOKUP($E$8,LC!$A$10:$AV$173,42,0)</f>
        <v>0.04</v>
      </c>
      <c r="L27" s="222">
        <f>VLOOKUP($E$8,LC!$A$10:$AV$173,43,0)</f>
        <v>0.36</v>
      </c>
      <c r="M27" s="307">
        <f>VLOOKUP($E$8,LC!$A$10:$AV$173,44,0)</f>
        <v>0.49</v>
      </c>
      <c r="N27" s="308">
        <f>VLOOKUP($E$8,LC!$A$10:$AV$173,45,0)</f>
        <v>0.1</v>
      </c>
      <c r="O27" s="108">
        <f t="shared" si="0"/>
        <v>0.39999999999999997</v>
      </c>
      <c r="P27" s="108"/>
      <c r="Q27" s="98"/>
      <c r="R27" s="1103"/>
      <c r="S27" s="1103"/>
      <c r="T27" s="1102"/>
      <c r="U27" s="1102"/>
      <c r="V27" s="1102"/>
      <c r="W27" s="1102"/>
      <c r="X27" s="1102"/>
      <c r="Y27" s="1102"/>
      <c r="Z27" s="98"/>
    </row>
    <row r="28" spans="1:26" ht="20.100000000000001" customHeight="1" x14ac:dyDescent="0.25">
      <c r="A28" s="199"/>
      <c r="B28" s="200"/>
      <c r="C28" s="200"/>
      <c r="D28" s="200"/>
      <c r="E28" s="118"/>
      <c r="F28" s="118"/>
      <c r="G28" s="118"/>
      <c r="H28" s="118"/>
      <c r="I28" s="1100"/>
      <c r="J28" s="392" t="str">
        <f>$E$9</f>
        <v>SOACHA</v>
      </c>
      <c r="K28" s="193">
        <f>VLOOKUP($E$9,LC!$A$10:$AV$173,42,0)</f>
        <v>0.02</v>
      </c>
      <c r="L28" s="222">
        <f>VLOOKUP($E$9,LC!$A$10:$AV$173,43,0)</f>
        <v>0.31</v>
      </c>
      <c r="M28" s="307">
        <f>VLOOKUP($E$9,LC!$A$10:$AV$173,44,0)</f>
        <v>0.59</v>
      </c>
      <c r="N28" s="308">
        <f>VLOOKUP($E$9,LC!$A$10:$AV$173,45,0)</f>
        <v>0.09</v>
      </c>
      <c r="O28" s="108">
        <f t="shared" si="0"/>
        <v>0.33</v>
      </c>
      <c r="P28" s="108"/>
      <c r="Q28" s="98"/>
      <c r="R28" s="1103"/>
      <c r="S28" s="1103"/>
      <c r="T28" s="1102"/>
      <c r="U28" s="1102"/>
      <c r="V28" s="1102"/>
      <c r="W28" s="1102"/>
      <c r="X28" s="1102"/>
      <c r="Y28" s="1102"/>
      <c r="Z28" s="98"/>
    </row>
    <row r="29" spans="1:26" ht="20.100000000000001" customHeight="1" x14ac:dyDescent="0.25">
      <c r="A29" s="199"/>
      <c r="B29" s="200"/>
      <c r="C29" s="200"/>
      <c r="D29" s="200"/>
      <c r="E29" s="118"/>
      <c r="F29" s="118"/>
      <c r="G29" s="118"/>
      <c r="H29" s="118"/>
      <c r="I29" s="1101"/>
      <c r="J29" s="392" t="str">
        <f>$E$10</f>
        <v>LICEO TALENTOS</v>
      </c>
      <c r="K29" s="193">
        <f>VLOOKUP($E$10,LC!$A$10:$AV$173,42,0)</f>
        <v>0</v>
      </c>
      <c r="L29" s="222">
        <f>VLOOKUP($E$10,LC!$A$10:$AV$173,43,0)</f>
        <v>0</v>
      </c>
      <c r="M29" s="307">
        <f>VLOOKUP($E$10,LC!$A$10:$AV$173,44,0)</f>
        <v>0</v>
      </c>
      <c r="N29" s="308">
        <f>VLOOKUP($E$10,LC!$A$10:$AV$173,45,0)</f>
        <v>0</v>
      </c>
      <c r="O29" s="108">
        <f t="shared" si="0"/>
        <v>0</v>
      </c>
      <c r="P29" s="108"/>
      <c r="Q29" s="98"/>
      <c r="R29" s="1103"/>
      <c r="S29" s="1103"/>
      <c r="T29" s="1102"/>
      <c r="U29" s="1102"/>
      <c r="V29" s="1102"/>
      <c r="W29" s="1102"/>
      <c r="X29" s="1102"/>
      <c r="Y29" s="1102"/>
      <c r="Z29" s="98"/>
    </row>
    <row r="30" spans="1:26" ht="20.100000000000001" customHeight="1" x14ac:dyDescent="0.25">
      <c r="A30" s="199"/>
      <c r="B30" s="200"/>
      <c r="C30" s="200"/>
      <c r="D30" s="200"/>
      <c r="E30" s="118"/>
      <c r="F30" s="118"/>
      <c r="G30" s="118"/>
      <c r="H30" s="118"/>
      <c r="I30" s="1099">
        <v>2021</v>
      </c>
      <c r="J30" s="392" t="str">
        <f>$E$8</f>
        <v>COLOMBIA</v>
      </c>
      <c r="K30" s="193">
        <f>VLOOKUP($E$8,LC!$A$10:$BG$173,53,0)</f>
        <v>0.04</v>
      </c>
      <c r="L30" s="222">
        <f>VLOOKUP($E$8,LC!$A$10:$BG$173,54,0)</f>
        <v>0.37</v>
      </c>
      <c r="M30" s="307">
        <f>VLOOKUP($E$8,LC!$A$10:$BG$173,55,0)</f>
        <v>0.45</v>
      </c>
      <c r="N30" s="308">
        <f>VLOOKUP($E$8,LC!$A$10:$BG$173,56,0)</f>
        <v>0.13</v>
      </c>
      <c r="O30" s="108">
        <f t="shared" si="0"/>
        <v>0.41</v>
      </c>
      <c r="P30" s="108"/>
      <c r="Q30" s="98"/>
      <c r="R30" s="1103"/>
      <c r="S30" s="1103"/>
      <c r="T30" s="1102"/>
      <c r="U30" s="1102"/>
      <c r="V30" s="1102"/>
      <c r="W30" s="1102"/>
      <c r="X30" s="1102"/>
      <c r="Y30" s="1102"/>
      <c r="Z30" s="98"/>
    </row>
    <row r="31" spans="1:26" ht="20.100000000000001" customHeight="1" x14ac:dyDescent="0.25">
      <c r="A31" s="98"/>
      <c r="B31" s="98"/>
      <c r="C31" s="98"/>
      <c r="D31" s="98"/>
      <c r="E31" s="118"/>
      <c r="F31" s="118"/>
      <c r="G31" s="118"/>
      <c r="H31" s="118"/>
      <c r="I31" s="1100"/>
      <c r="J31" s="392" t="str">
        <f>$E$9</f>
        <v>SOACHA</v>
      </c>
      <c r="K31" s="193">
        <f>VLOOKUP($E$9,LC!$A$10:$BG$173,53,0)</f>
        <v>0.02</v>
      </c>
      <c r="L31" s="222">
        <f>VLOOKUP($E$9,LC!$A$10:$BG$173,54,0)</f>
        <v>0.32</v>
      </c>
      <c r="M31" s="307">
        <f>VLOOKUP($E$9,LC!$A$10:$BG$173,55,0)</f>
        <v>0.54</v>
      </c>
      <c r="N31" s="308">
        <f>VLOOKUP($E$9,LC!$A$10:$BG$173,56,0)</f>
        <v>0.12</v>
      </c>
      <c r="O31" s="108">
        <f t="shared" si="0"/>
        <v>0.34</v>
      </c>
      <c r="P31" s="108"/>
      <c r="Q31" s="98"/>
      <c r="R31" s="1103"/>
      <c r="S31" s="1103"/>
      <c r="T31" s="1102"/>
      <c r="U31" s="1102"/>
      <c r="V31" s="1102"/>
      <c r="W31" s="1102"/>
      <c r="X31" s="1102"/>
      <c r="Y31" s="1102"/>
      <c r="Z31" s="98"/>
    </row>
    <row r="32" spans="1:26" ht="20.100000000000001" customHeight="1" x14ac:dyDescent="0.25">
      <c r="A32" s="98"/>
      <c r="B32" s="98"/>
      <c r="C32" s="98"/>
      <c r="D32" s="98"/>
      <c r="E32" s="118"/>
      <c r="F32" s="118"/>
      <c r="G32" s="118"/>
      <c r="H32" s="118"/>
      <c r="I32" s="1101"/>
      <c r="J32" s="392" t="str">
        <f>$E$10</f>
        <v>LICEO TALENTOS</v>
      </c>
      <c r="K32" s="193">
        <f>VLOOKUP($E$10,LC!$A$10:$BG$173,53,0)</f>
        <v>0</v>
      </c>
      <c r="L32" s="222">
        <f>VLOOKUP($E$10,LC!$A$10:$BG$173,54,0)</f>
        <v>0</v>
      </c>
      <c r="M32" s="307">
        <f>VLOOKUP($E$10,LC!$A$10:$BG$173,55,0)</f>
        <v>0</v>
      </c>
      <c r="N32" s="308">
        <f>VLOOKUP($E$10,LC!$A$10:$BG$173,56,0)</f>
        <v>0</v>
      </c>
      <c r="O32" s="108">
        <f t="shared" si="0"/>
        <v>0</v>
      </c>
      <c r="P32" s="108"/>
      <c r="Q32" s="98"/>
      <c r="R32" s="1103"/>
      <c r="S32" s="1103"/>
      <c r="T32" s="1102"/>
      <c r="U32" s="1102"/>
      <c r="V32" s="1102"/>
      <c r="W32" s="1102"/>
      <c r="X32" s="1102"/>
      <c r="Y32" s="1102"/>
      <c r="Z32" s="98"/>
    </row>
    <row r="33" spans="1:26" ht="19.899999999999999" customHeight="1" x14ac:dyDescent="0.3">
      <c r="A33" s="119"/>
      <c r="B33" s="122"/>
      <c r="C33" s="101"/>
      <c r="D33" s="102"/>
      <c r="E33" s="102"/>
      <c r="F33" s="102"/>
      <c r="G33" s="102"/>
      <c r="H33" s="102"/>
      <c r="I33" s="1099">
        <v>2022</v>
      </c>
      <c r="J33" s="392" t="str">
        <f>$E$8</f>
        <v>COLOMBIA</v>
      </c>
      <c r="K33" s="193">
        <f>VLOOKUP($E$8,LC!$A$10:$BR$173,64,0)</f>
        <v>0.05</v>
      </c>
      <c r="L33" s="222">
        <f>VLOOKUP($E$8,LC!$A$10:$BR$173,65,0)</f>
        <v>0.34</v>
      </c>
      <c r="M33" s="307">
        <f>VLOOKUP($E$8,LC!$A$10:$BR$173,66,0)</f>
        <v>0.47</v>
      </c>
      <c r="N33" s="308">
        <f>VLOOKUP($E$8,LC!$A$10:$BR$173,67,0)</f>
        <v>0.14000000000000001</v>
      </c>
      <c r="O33" s="108">
        <f t="shared" ref="O33:O38" si="1">K33+L33</f>
        <v>0.39</v>
      </c>
      <c r="P33" s="98"/>
      <c r="Q33" s="98"/>
      <c r="R33" s="1103"/>
      <c r="S33" s="1103"/>
      <c r="T33" s="1102"/>
      <c r="U33" s="1102"/>
      <c r="V33" s="1102"/>
      <c r="W33" s="1102"/>
      <c r="X33" s="1102"/>
      <c r="Y33" s="1102"/>
      <c r="Z33" s="98"/>
    </row>
    <row r="34" spans="1:26" ht="19.899999999999999" customHeight="1" x14ac:dyDescent="0.3">
      <c r="A34" s="119"/>
      <c r="B34" s="122"/>
      <c r="C34" s="101"/>
      <c r="D34" s="102"/>
      <c r="E34" s="102"/>
      <c r="F34" s="102"/>
      <c r="G34" s="102"/>
      <c r="H34" s="102"/>
      <c r="I34" s="1100"/>
      <c r="J34" s="392" t="str">
        <f>$E$9</f>
        <v>SOACHA</v>
      </c>
      <c r="K34" s="193">
        <f>VLOOKUP($E$9,LC!$A$10:$BR$173,64,0)</f>
        <v>0.02</v>
      </c>
      <c r="L34" s="222">
        <f>VLOOKUP($E$9,LC!$A$10:$BR$173,65,0)</f>
        <v>0.27</v>
      </c>
      <c r="M34" s="307">
        <f>VLOOKUP($E$9,LC!$A$10:$BR$173,66,0)</f>
        <v>0.57999999999999996</v>
      </c>
      <c r="N34" s="308">
        <f>VLOOKUP($E$9,LC!$A$10:$BR$173,67,0)</f>
        <v>0.13</v>
      </c>
      <c r="O34" s="108">
        <f t="shared" si="1"/>
        <v>0.29000000000000004</v>
      </c>
      <c r="P34" s="98"/>
      <c r="Q34" s="98"/>
      <c r="R34" s="1103"/>
      <c r="S34" s="1103"/>
      <c r="T34" s="1102"/>
      <c r="U34" s="1102"/>
      <c r="V34" s="1102"/>
      <c r="W34" s="1102"/>
      <c r="X34" s="1102"/>
      <c r="Y34" s="1102"/>
      <c r="Z34" s="98"/>
    </row>
    <row r="35" spans="1:26" ht="19.899999999999999" customHeight="1" x14ac:dyDescent="0.3">
      <c r="A35" s="119"/>
      <c r="B35" s="122"/>
      <c r="C35" s="101"/>
      <c r="D35" s="102"/>
      <c r="E35" s="102"/>
      <c r="F35" s="102"/>
      <c r="G35" s="102"/>
      <c r="H35" s="102"/>
      <c r="I35" s="1101"/>
      <c r="J35" s="392" t="str">
        <f>$E$10</f>
        <v>LICEO TALENTOS</v>
      </c>
      <c r="K35" s="193">
        <f>VLOOKUP($E$10,LC!$A$10:$BR$173,64,0)</f>
        <v>0</v>
      </c>
      <c r="L35" s="222">
        <f>VLOOKUP($E$10,LC!$A$10:$BR$173,65,0)</f>
        <v>0</v>
      </c>
      <c r="M35" s="307">
        <f>VLOOKUP($E$10,LC!$A$10:$BR$173,66,0)</f>
        <v>0</v>
      </c>
      <c r="N35" s="308">
        <f>VLOOKUP($E$10,LC!$A$10:$BR$173,67,0)</f>
        <v>0</v>
      </c>
      <c r="O35" s="108">
        <f t="shared" si="1"/>
        <v>0</v>
      </c>
      <c r="P35" s="98"/>
      <c r="Q35" s="98"/>
      <c r="R35" s="1109">
        <v>4</v>
      </c>
      <c r="S35" s="1109" t="s">
        <v>607</v>
      </c>
      <c r="T35" s="1120" t="s">
        <v>889</v>
      </c>
      <c r="U35" s="1120"/>
      <c r="V35" s="1120"/>
      <c r="W35" s="1120"/>
      <c r="X35" s="1120"/>
      <c r="Y35" s="1120"/>
      <c r="Z35" s="98"/>
    </row>
    <row r="36" spans="1:26" ht="19.899999999999999" customHeight="1" x14ac:dyDescent="0.3">
      <c r="A36" s="119"/>
      <c r="B36" s="122"/>
      <c r="C36" s="101"/>
      <c r="D36" s="102"/>
      <c r="E36" s="102"/>
      <c r="F36" s="102"/>
      <c r="G36" s="102"/>
      <c r="H36" s="102"/>
      <c r="I36" s="1099">
        <v>2023</v>
      </c>
      <c r="J36" s="392" t="str">
        <f>$E$8</f>
        <v>COLOMBIA</v>
      </c>
      <c r="K36" s="193">
        <f>VLOOKUP($E$8,LC!$A$10:$CC$173,75,0)</f>
        <v>0.04</v>
      </c>
      <c r="L36" s="222">
        <f>VLOOKUP($E$8,LC!$A$10:$CC$173,76,0)</f>
        <v>0.35</v>
      </c>
      <c r="M36" s="307">
        <f>VLOOKUP($E$8,LC!$A$10:$CC$173,77,0)</f>
        <v>0.48</v>
      </c>
      <c r="N36" s="308">
        <f>VLOOKUP($E$8,LC!$A$10:$CC$173,78,0)</f>
        <v>0.13</v>
      </c>
      <c r="O36" s="108">
        <f t="shared" si="1"/>
        <v>0.38999999999999996</v>
      </c>
      <c r="P36" s="98"/>
      <c r="Q36" s="98"/>
      <c r="R36" s="1109"/>
      <c r="S36" s="1109"/>
      <c r="T36" s="1120"/>
      <c r="U36" s="1120"/>
      <c r="V36" s="1120"/>
      <c r="W36" s="1120"/>
      <c r="X36" s="1120"/>
      <c r="Y36" s="1120"/>
      <c r="Z36" s="98"/>
    </row>
    <row r="37" spans="1:26" ht="19.899999999999999" customHeight="1" x14ac:dyDescent="0.3">
      <c r="A37" s="119"/>
      <c r="B37" s="122"/>
      <c r="C37" s="101"/>
      <c r="D37" s="102"/>
      <c r="E37" s="102"/>
      <c r="F37" s="102"/>
      <c r="G37" s="102"/>
      <c r="H37" s="102"/>
      <c r="I37" s="1100"/>
      <c r="J37" s="392" t="str">
        <f>$E$9</f>
        <v>SOACHA</v>
      </c>
      <c r="K37" s="193">
        <f>VLOOKUP($E$9,LC!$A$10:$CC$173,75,0)</f>
        <v>0.02</v>
      </c>
      <c r="L37" s="222">
        <f>VLOOKUP($E$9,LC!$A$10:$CC$173,76,0)</f>
        <v>0.28999999999999998</v>
      </c>
      <c r="M37" s="307">
        <f>VLOOKUP($E$9,LC!$A$10:$CC$173,77,0)</f>
        <v>0.56999999999999995</v>
      </c>
      <c r="N37" s="308">
        <f>VLOOKUP($E$9,LC!$A$10:$CC$173,78,0)</f>
        <v>0.12</v>
      </c>
      <c r="O37" s="108">
        <f t="shared" si="1"/>
        <v>0.31</v>
      </c>
      <c r="P37" s="98"/>
      <c r="Q37" s="98"/>
      <c r="R37" s="1109"/>
      <c r="S37" s="1109"/>
      <c r="T37" s="1120"/>
      <c r="U37" s="1120"/>
      <c r="V37" s="1120"/>
      <c r="W37" s="1120"/>
      <c r="X37" s="1120"/>
      <c r="Y37" s="1120"/>
      <c r="Z37" s="98"/>
    </row>
    <row r="38" spans="1:26" ht="19.899999999999999" customHeight="1" x14ac:dyDescent="0.3">
      <c r="A38" s="119"/>
      <c r="B38" s="122"/>
      <c r="C38" s="101"/>
      <c r="D38" s="102"/>
      <c r="E38" s="102"/>
      <c r="F38" s="102"/>
      <c r="G38" s="102"/>
      <c r="H38" s="102"/>
      <c r="I38" s="1101"/>
      <c r="J38" s="392" t="str">
        <f>$E$10</f>
        <v>LICEO TALENTOS</v>
      </c>
      <c r="K38" s="193">
        <f>VLOOKUP($E$10,LC!$A$10:$CC$173,75,0)</f>
        <v>0</v>
      </c>
      <c r="L38" s="222">
        <f>VLOOKUP($E$10,LC!$A$10:$CC$173,76,0)</f>
        <v>0</v>
      </c>
      <c r="M38" s="307">
        <f>VLOOKUP($E$10,LC!$A$10:$CC$173,77,0)</f>
        <v>0</v>
      </c>
      <c r="N38" s="308">
        <f>VLOOKUP($E$10,LC!$A$10:$CC$173,78,0)</f>
        <v>0</v>
      </c>
      <c r="O38" s="108">
        <f t="shared" si="1"/>
        <v>0</v>
      </c>
      <c r="P38" s="98"/>
      <c r="Q38" s="98"/>
      <c r="R38" s="1109"/>
      <c r="S38" s="1109"/>
      <c r="T38" s="1120"/>
      <c r="U38" s="1120"/>
      <c r="V38" s="1120"/>
      <c r="W38" s="1120"/>
      <c r="X38" s="1120"/>
      <c r="Y38" s="1120"/>
      <c r="Z38" s="98"/>
    </row>
    <row r="39" spans="1:26" ht="19.899999999999999" customHeight="1" x14ac:dyDescent="0.3">
      <c r="A39" s="119"/>
      <c r="B39" s="122"/>
      <c r="C39" s="101"/>
      <c r="D39" s="102"/>
      <c r="E39" s="102"/>
      <c r="F39" s="102"/>
      <c r="G39" s="102"/>
      <c r="H39" s="102"/>
      <c r="I39" s="1099">
        <v>2024</v>
      </c>
      <c r="J39" s="392" t="str">
        <f>$E$8</f>
        <v>COLOMBIA</v>
      </c>
      <c r="K39" s="193">
        <f>VLOOKUP($E$8,LC!$A$10:$CN$173,86,0)</f>
        <v>0.04</v>
      </c>
      <c r="L39" s="222">
        <f>VLOOKUP($E$8,LC!$A$10:$CN$173,87,0)</f>
        <v>0.31</v>
      </c>
      <c r="M39" s="307">
        <f>VLOOKUP($E$8,LC!$A$10:$CN$173,88,0)</f>
        <v>0.5</v>
      </c>
      <c r="N39" s="308">
        <f>VLOOKUP($E$8,LC!$A$10:$CN$173,89,0)</f>
        <v>0.15</v>
      </c>
      <c r="O39" s="108">
        <f t="shared" ref="O39:O44" si="2">K39+L39</f>
        <v>0.35</v>
      </c>
      <c r="P39" s="98"/>
      <c r="Q39" s="98"/>
      <c r="R39" s="1109"/>
      <c r="S39" s="1109"/>
      <c r="T39" s="1120"/>
      <c r="U39" s="1120"/>
      <c r="V39" s="1120"/>
      <c r="W39" s="1120"/>
      <c r="X39" s="1120"/>
      <c r="Y39" s="1120"/>
      <c r="Z39" s="98"/>
    </row>
    <row r="40" spans="1:26" ht="19.899999999999999" customHeight="1" x14ac:dyDescent="0.3">
      <c r="A40" s="119"/>
      <c r="B40" s="122"/>
      <c r="C40" s="101"/>
      <c r="D40" s="102"/>
      <c r="E40" s="102"/>
      <c r="F40" s="102"/>
      <c r="G40" s="102"/>
      <c r="H40" s="102"/>
      <c r="I40" s="1100"/>
      <c r="J40" s="392" t="str">
        <f>$E$9</f>
        <v>SOACHA</v>
      </c>
      <c r="K40" s="193">
        <f>VLOOKUP($E$9,LC!$A$10:$CN$173,86,0)</f>
        <v>0.02</v>
      </c>
      <c r="L40" s="222">
        <f>VLOOKUP($E$9,LC!$A$10:$CN$173,87,0)</f>
        <v>0.25</v>
      </c>
      <c r="M40" s="307">
        <f>VLOOKUP($E$9,LC!$A$10:$CN$173,88,0)</f>
        <v>0.59</v>
      </c>
      <c r="N40" s="308">
        <f>VLOOKUP($E$9,LC!$A$10:$CN$173,89,0)</f>
        <v>0.14000000000000001</v>
      </c>
      <c r="O40" s="108">
        <f t="shared" si="2"/>
        <v>0.27</v>
      </c>
      <c r="P40" s="98"/>
      <c r="Q40" s="98"/>
      <c r="R40" s="1109"/>
      <c r="S40" s="1109"/>
      <c r="T40" s="1120"/>
      <c r="U40" s="1120"/>
      <c r="V40" s="1120"/>
      <c r="W40" s="1120"/>
      <c r="X40" s="1120"/>
      <c r="Y40" s="1120"/>
      <c r="Z40" s="98"/>
    </row>
    <row r="41" spans="1:26" ht="19.899999999999999" customHeight="1" x14ac:dyDescent="0.3">
      <c r="A41" s="119"/>
      <c r="B41" s="122"/>
      <c r="C41" s="101"/>
      <c r="D41" s="102"/>
      <c r="E41" s="102"/>
      <c r="F41" s="102"/>
      <c r="G41" s="102"/>
      <c r="H41" s="102"/>
      <c r="I41" s="1101"/>
      <c r="J41" s="392" t="str">
        <f>$E$10</f>
        <v>LICEO TALENTOS</v>
      </c>
      <c r="K41" s="193">
        <f>VLOOKUP($E$10,LC!$A$10:$CN$173,86,0)</f>
        <v>0</v>
      </c>
      <c r="L41" s="222">
        <f>VLOOKUP($E$10,LC!$A$10:$CN$173,87,0)</f>
        <v>0.19</v>
      </c>
      <c r="M41" s="307">
        <f>VLOOKUP($E$10,LC!$A$10:$CN$173,88,0)</f>
        <v>0.67</v>
      </c>
      <c r="N41" s="308">
        <f>VLOOKUP($E$10,LC!$A$10:$CN$173,89,0)</f>
        <v>0.14000000000000001</v>
      </c>
      <c r="O41" s="108">
        <f t="shared" si="2"/>
        <v>0.19</v>
      </c>
      <c r="P41" s="98"/>
      <c r="Q41" s="98"/>
      <c r="R41" s="1109"/>
      <c r="S41" s="1109"/>
      <c r="T41" s="1120"/>
      <c r="U41" s="1120"/>
      <c r="V41" s="1120"/>
      <c r="W41" s="1120"/>
      <c r="X41" s="1120"/>
      <c r="Y41" s="1120"/>
      <c r="Z41" s="98"/>
    </row>
    <row r="42" spans="1:26" ht="19.899999999999999" customHeight="1" x14ac:dyDescent="0.3">
      <c r="A42" s="119"/>
      <c r="B42" s="122"/>
      <c r="C42" s="101"/>
      <c r="D42" s="102"/>
      <c r="E42" s="102"/>
      <c r="F42" s="102"/>
      <c r="G42" s="102"/>
      <c r="H42" s="102"/>
      <c r="I42" s="1099">
        <v>2025</v>
      </c>
      <c r="J42" s="392" t="str">
        <f>$E$8</f>
        <v>COLOMBIA</v>
      </c>
      <c r="K42" s="193">
        <f>VLOOKUP($E$8,LC!$A$10:$CY$173,97,0)</f>
        <v>0.03</v>
      </c>
      <c r="L42" s="222">
        <f>VLOOKUP($E$8,LC!$A$10:$CY$173,98,0)</f>
        <v>0.32</v>
      </c>
      <c r="M42" s="307">
        <f>VLOOKUP($E$8,LC!$A$10:$CY$173,99,0)</f>
        <v>0.48</v>
      </c>
      <c r="N42" s="308">
        <f>VLOOKUP($E$8,LC!$A$10:$CY$173,100,0)</f>
        <v>0.16</v>
      </c>
      <c r="O42" s="108">
        <f t="shared" si="2"/>
        <v>0.35</v>
      </c>
      <c r="P42" s="98"/>
      <c r="Q42" s="98"/>
      <c r="R42" s="1109"/>
      <c r="S42" s="1109"/>
      <c r="T42" s="1120"/>
      <c r="U42" s="1120"/>
      <c r="V42" s="1120"/>
      <c r="W42" s="1120"/>
      <c r="X42" s="1120"/>
      <c r="Y42" s="1120"/>
      <c r="Z42" s="98"/>
    </row>
    <row r="43" spans="1:26" ht="19.899999999999999" customHeight="1" x14ac:dyDescent="0.3">
      <c r="A43" s="119"/>
      <c r="B43" s="122"/>
      <c r="C43" s="101"/>
      <c r="D43" s="102"/>
      <c r="E43" s="102"/>
      <c r="F43" s="102"/>
      <c r="G43" s="102"/>
      <c r="H43" s="102"/>
      <c r="I43" s="1100"/>
      <c r="J43" s="392" t="str">
        <f>$E$9</f>
        <v>SOACHA</v>
      </c>
      <c r="K43" s="193">
        <f>VLOOKUP($E$9,LC!$A$10:$CY$173,97,0)</f>
        <v>0.01</v>
      </c>
      <c r="L43" s="222">
        <f>VLOOKUP($E$9,LC!$A$10:$CY$173,98,0)</f>
        <v>0.26</v>
      </c>
      <c r="M43" s="307">
        <f>VLOOKUP($E$9,LC!$A$10:$CY$173,99,0)</f>
        <v>0.56999999999999995</v>
      </c>
      <c r="N43" s="308">
        <f>VLOOKUP($E$9,LC!$A$10:$CY$173,100,0)</f>
        <v>0.16</v>
      </c>
      <c r="O43" s="108">
        <f t="shared" si="2"/>
        <v>0.27</v>
      </c>
      <c r="P43" s="98"/>
      <c r="Q43" s="98"/>
      <c r="R43" s="1109"/>
      <c r="S43" s="1109"/>
      <c r="T43" s="1120"/>
      <c r="U43" s="1120"/>
      <c r="V43" s="1120"/>
      <c r="W43" s="1120"/>
      <c r="X43" s="1120"/>
      <c r="Y43" s="1120"/>
      <c r="Z43" s="98"/>
    </row>
    <row r="44" spans="1:26" ht="19.899999999999999" customHeight="1" x14ac:dyDescent="0.3">
      <c r="A44" s="119"/>
      <c r="B44" s="122"/>
      <c r="C44" s="101"/>
      <c r="D44" s="102"/>
      <c r="E44" s="102"/>
      <c r="F44" s="102"/>
      <c r="G44" s="102"/>
      <c r="H44" s="102"/>
      <c r="I44" s="1101"/>
      <c r="J44" s="392" t="str">
        <f>$E$10</f>
        <v>LICEO TALENTOS</v>
      </c>
      <c r="K44" s="193">
        <f>VLOOKUP($E$10,LC!$A$10:$CY$173,97,0)</f>
        <v>0.06</v>
      </c>
      <c r="L44" s="222">
        <f>VLOOKUP($E$10,LC!$A$10:$CY$173,98,0)</f>
        <v>0.31</v>
      </c>
      <c r="M44" s="307">
        <f>VLOOKUP($E$10,LC!$A$10:$CY$173,99,0)</f>
        <v>0.47</v>
      </c>
      <c r="N44" s="308">
        <f>VLOOKUP($E$10,LC!$A$10:$CY$173,100,0)</f>
        <v>0.16</v>
      </c>
      <c r="O44" s="108">
        <f t="shared" si="2"/>
        <v>0.37</v>
      </c>
      <c r="P44" s="98"/>
      <c r="Q44" s="98"/>
      <c r="R44" s="1109"/>
      <c r="S44" s="1109"/>
      <c r="T44" s="1120"/>
      <c r="U44" s="1120"/>
      <c r="V44" s="1120"/>
      <c r="W44" s="1120"/>
      <c r="X44" s="1120"/>
      <c r="Y44" s="1120"/>
      <c r="Z44" s="98"/>
    </row>
    <row r="45" spans="1:26" ht="18.75" x14ac:dyDescent="0.3">
      <c r="A45" s="119"/>
      <c r="B45" s="122"/>
      <c r="C45" s="101"/>
      <c r="D45" s="102"/>
      <c r="E45" s="102"/>
      <c r="F45" s="102"/>
      <c r="G45" s="102"/>
      <c r="H45" s="102"/>
      <c r="I45" s="102"/>
      <c r="J45" s="102"/>
      <c r="K45" s="108"/>
      <c r="L45" s="98"/>
      <c r="M45" s="98"/>
      <c r="N45" s="98"/>
      <c r="O45" s="98"/>
      <c r="P45" s="98"/>
      <c r="Q45" s="98"/>
      <c r="R45" s="1109"/>
      <c r="S45" s="1109"/>
      <c r="T45" s="1120"/>
      <c r="U45" s="1120"/>
      <c r="V45" s="1120"/>
      <c r="W45" s="1120"/>
      <c r="X45" s="1120"/>
      <c r="Y45" s="1120"/>
      <c r="Z45" s="98"/>
    </row>
    <row r="46" spans="1:26" ht="18.75" x14ac:dyDescent="0.3">
      <c r="A46" s="119"/>
      <c r="B46" s="122"/>
      <c r="C46" s="101"/>
      <c r="D46" s="102"/>
      <c r="E46" s="102"/>
      <c r="F46" s="102"/>
      <c r="G46" s="102"/>
      <c r="H46" s="102"/>
      <c r="I46" s="102"/>
      <c r="J46" s="102"/>
      <c r="K46" s="108"/>
      <c r="L46" s="98"/>
      <c r="M46" s="98"/>
      <c r="N46" s="98"/>
      <c r="O46" s="98"/>
      <c r="P46" s="98"/>
      <c r="Q46" s="98"/>
      <c r="R46" s="1109"/>
      <c r="S46" s="1109"/>
      <c r="T46" s="1120"/>
      <c r="U46" s="1120"/>
      <c r="V46" s="1120"/>
      <c r="W46" s="1120"/>
      <c r="X46" s="1120"/>
      <c r="Y46" s="1120"/>
      <c r="Z46" s="98"/>
    </row>
    <row r="47" spans="1:26" ht="18.75" x14ac:dyDescent="0.3">
      <c r="A47" s="119"/>
      <c r="B47" s="122"/>
      <c r="C47" s="101"/>
      <c r="D47" s="102"/>
      <c r="E47" s="102"/>
      <c r="F47" s="102"/>
      <c r="G47" s="102"/>
      <c r="H47" s="102"/>
      <c r="I47" s="102"/>
      <c r="J47" s="102"/>
      <c r="K47" s="108"/>
      <c r="L47" s="98"/>
      <c r="M47" s="98"/>
      <c r="N47" s="98"/>
      <c r="O47" s="98"/>
      <c r="P47" s="98"/>
      <c r="Q47" s="98"/>
      <c r="R47" s="1109"/>
      <c r="S47" s="1109"/>
      <c r="T47" s="1120"/>
      <c r="U47" s="1120"/>
      <c r="V47" s="1120"/>
      <c r="W47" s="1120"/>
      <c r="X47" s="1120"/>
      <c r="Y47" s="1120"/>
      <c r="Z47" s="98"/>
    </row>
    <row r="48" spans="1:26" ht="18.75" x14ac:dyDescent="0.3">
      <c r="A48" s="119"/>
      <c r="B48" s="122"/>
      <c r="C48" s="101"/>
      <c r="D48" s="102"/>
      <c r="E48" s="102"/>
      <c r="F48" s="102"/>
      <c r="G48" s="102"/>
      <c r="H48" s="102"/>
      <c r="I48" s="102"/>
      <c r="J48" s="102"/>
      <c r="K48" s="108"/>
      <c r="L48" s="98"/>
      <c r="M48" s="98"/>
      <c r="N48" s="98"/>
      <c r="O48" s="98"/>
      <c r="P48" s="98"/>
      <c r="Q48" s="98"/>
      <c r="R48" s="1109"/>
      <c r="S48" s="1109"/>
      <c r="T48" s="1120"/>
      <c r="U48" s="1120"/>
      <c r="V48" s="1120"/>
      <c r="W48" s="1120"/>
      <c r="X48" s="1120"/>
      <c r="Y48" s="1120"/>
      <c r="Z48" s="98"/>
    </row>
    <row r="49" spans="1:26" ht="18.75" x14ac:dyDescent="0.3">
      <c r="A49" s="119"/>
      <c r="B49" s="122"/>
      <c r="C49" s="101"/>
      <c r="D49" s="102"/>
      <c r="E49" s="102"/>
      <c r="F49" s="102"/>
      <c r="G49" s="102"/>
      <c r="H49" s="102"/>
      <c r="I49" s="102"/>
      <c r="J49" s="102"/>
      <c r="K49" s="108"/>
      <c r="L49" s="98"/>
      <c r="M49" s="98"/>
      <c r="N49" s="98"/>
      <c r="O49" s="98"/>
      <c r="P49" s="98"/>
      <c r="Q49" s="98"/>
      <c r="R49" s="1109"/>
      <c r="S49" s="1109"/>
      <c r="T49" s="1120"/>
      <c r="U49" s="1120"/>
      <c r="V49" s="1120"/>
      <c r="W49" s="1120"/>
      <c r="X49" s="1120"/>
      <c r="Y49" s="1120"/>
      <c r="Z49" s="98"/>
    </row>
    <row r="50" spans="1:26" ht="18.75" x14ac:dyDescent="0.3">
      <c r="A50" s="119"/>
      <c r="B50" s="122"/>
      <c r="C50" s="101"/>
      <c r="D50" s="102"/>
      <c r="E50" s="102"/>
      <c r="F50" s="102"/>
      <c r="G50" s="102"/>
      <c r="H50" s="102"/>
      <c r="I50" s="102"/>
      <c r="J50" s="102"/>
      <c r="K50" s="108"/>
      <c r="L50" s="98"/>
      <c r="M50" s="98"/>
      <c r="N50" s="98"/>
      <c r="O50" s="98"/>
      <c r="P50" s="98"/>
      <c r="Q50" s="98"/>
      <c r="R50" s="1109"/>
      <c r="S50" s="1109"/>
      <c r="T50" s="1120"/>
      <c r="U50" s="1120"/>
      <c r="V50" s="1120"/>
      <c r="W50" s="1120"/>
      <c r="X50" s="1120"/>
      <c r="Y50" s="1120"/>
      <c r="Z50" s="98"/>
    </row>
    <row r="51" spans="1:26" ht="18.75" x14ac:dyDescent="0.3">
      <c r="A51" s="119"/>
      <c r="B51" s="122"/>
      <c r="C51" s="101"/>
      <c r="D51" s="102"/>
      <c r="E51" s="102"/>
      <c r="F51" s="102"/>
      <c r="G51" s="102"/>
      <c r="H51" s="102"/>
      <c r="I51" s="102"/>
      <c r="J51" s="102"/>
      <c r="K51" s="108"/>
      <c r="L51" s="98"/>
      <c r="M51" s="98"/>
      <c r="N51" s="98"/>
      <c r="O51" s="98"/>
      <c r="P51" s="98"/>
      <c r="Q51" s="98"/>
      <c r="R51" s="98"/>
      <c r="S51" s="98"/>
      <c r="T51" s="98"/>
      <c r="U51" s="98"/>
      <c r="V51" s="98"/>
      <c r="W51" s="98"/>
      <c r="X51" s="98"/>
      <c r="Y51" s="98"/>
      <c r="Z51" s="98"/>
    </row>
    <row r="52" spans="1:26" ht="18.75" x14ac:dyDescent="0.3">
      <c r="A52" s="119"/>
      <c r="B52" s="122"/>
      <c r="C52" s="101"/>
      <c r="D52" s="102"/>
      <c r="E52" s="102"/>
      <c r="F52" s="102"/>
      <c r="G52" s="102"/>
      <c r="H52" s="102"/>
      <c r="I52" s="102"/>
      <c r="J52" s="102"/>
      <c r="K52" s="108"/>
      <c r="L52" s="98"/>
      <c r="M52" s="98"/>
      <c r="N52" s="98"/>
      <c r="O52" s="98"/>
      <c r="P52" s="98"/>
      <c r="Q52" s="98"/>
      <c r="R52" s="98"/>
      <c r="S52" s="98"/>
      <c r="T52" s="98"/>
      <c r="U52" s="98"/>
      <c r="V52" s="98"/>
      <c r="W52" s="98"/>
      <c r="X52" s="98"/>
      <c r="Y52" s="98"/>
      <c r="Z52" s="98"/>
    </row>
    <row r="53" spans="1:26" ht="18.75" x14ac:dyDescent="0.3">
      <c r="A53" s="119"/>
      <c r="B53" s="122"/>
      <c r="C53" s="101"/>
      <c r="D53" s="102"/>
      <c r="E53" s="102"/>
      <c r="F53" s="102"/>
      <c r="G53" s="102"/>
      <c r="H53" s="102"/>
      <c r="I53" s="102"/>
      <c r="J53" s="102"/>
      <c r="K53" s="108"/>
      <c r="L53" s="98"/>
      <c r="M53" s="98"/>
      <c r="N53" s="98"/>
      <c r="O53" s="98"/>
      <c r="P53" s="98"/>
      <c r="Q53" s="98"/>
      <c r="R53" s="98"/>
      <c r="S53" s="98"/>
      <c r="T53" s="98"/>
      <c r="U53" s="98"/>
      <c r="V53" s="98"/>
      <c r="W53" s="98"/>
      <c r="X53" s="98"/>
      <c r="Y53" s="98"/>
      <c r="Z53" s="98"/>
    </row>
    <row r="54" spans="1:26" ht="18.75" x14ac:dyDescent="0.3">
      <c r="A54" s="119"/>
      <c r="B54" s="122"/>
      <c r="C54" s="101"/>
      <c r="D54" s="102"/>
      <c r="E54" s="102"/>
      <c r="F54" s="102"/>
      <c r="G54" s="102"/>
      <c r="H54" s="102"/>
      <c r="I54" s="102"/>
      <c r="J54" s="102"/>
      <c r="K54" s="108"/>
      <c r="L54" s="98"/>
      <c r="M54" s="98"/>
      <c r="N54" s="98"/>
      <c r="O54" s="98"/>
      <c r="P54" s="98"/>
      <c r="Q54" s="98"/>
      <c r="R54" s="98"/>
      <c r="S54" s="98"/>
      <c r="T54" s="98"/>
      <c r="U54" s="98"/>
      <c r="V54" s="98"/>
      <c r="W54" s="98"/>
      <c r="X54" s="98"/>
      <c r="Y54" s="98"/>
      <c r="Z54" s="98"/>
    </row>
    <row r="55" spans="1:26" ht="18.75" x14ac:dyDescent="0.3">
      <c r="A55" s="119"/>
      <c r="B55" s="122"/>
      <c r="C55" s="101"/>
      <c r="D55" s="102"/>
      <c r="E55" s="102"/>
      <c r="F55" s="102"/>
      <c r="G55" s="102"/>
      <c r="H55" s="102"/>
      <c r="I55" s="102"/>
      <c r="J55" s="102"/>
      <c r="K55" s="108"/>
      <c r="L55" s="98"/>
      <c r="M55" s="98"/>
      <c r="N55" s="98"/>
      <c r="O55" s="98"/>
      <c r="P55" s="98"/>
      <c r="Q55" s="98"/>
      <c r="R55" s="98"/>
      <c r="S55" s="98"/>
      <c r="T55" s="98"/>
      <c r="U55" s="98"/>
      <c r="V55" s="98"/>
      <c r="W55" s="98"/>
      <c r="X55" s="98"/>
      <c r="Y55" s="98"/>
      <c r="Z55" s="98"/>
    </row>
    <row r="56" spans="1:26" ht="18.75" x14ac:dyDescent="0.3">
      <c r="A56" s="119"/>
      <c r="B56" s="122"/>
      <c r="C56" s="101"/>
      <c r="D56" s="102"/>
      <c r="E56" s="102"/>
      <c r="F56" s="102"/>
      <c r="G56" s="102"/>
      <c r="H56" s="102"/>
      <c r="I56" s="102"/>
      <c r="J56" s="102"/>
      <c r="K56" s="108"/>
      <c r="L56" s="98"/>
      <c r="M56" s="98"/>
      <c r="N56" s="98"/>
      <c r="O56" s="98"/>
      <c r="P56" s="98"/>
      <c r="Q56" s="98"/>
      <c r="R56" s="98"/>
      <c r="S56" s="98"/>
      <c r="T56" s="98"/>
      <c r="U56" s="98"/>
      <c r="V56" s="98"/>
      <c r="W56" s="98"/>
      <c r="X56" s="98"/>
      <c r="Y56" s="98"/>
      <c r="Z56" s="98"/>
    </row>
    <row r="57" spans="1:26" ht="18.75" x14ac:dyDescent="0.3">
      <c r="A57" s="119"/>
      <c r="B57" s="122"/>
      <c r="C57" s="101"/>
      <c r="D57" s="102"/>
      <c r="E57" s="102"/>
      <c r="F57" s="102"/>
      <c r="G57" s="102"/>
      <c r="H57" s="102"/>
      <c r="I57" s="102"/>
      <c r="J57" s="102"/>
      <c r="K57" s="108"/>
      <c r="L57" s="98"/>
      <c r="M57" s="98"/>
      <c r="N57" s="98"/>
      <c r="O57" s="98"/>
      <c r="P57" s="98"/>
      <c r="Q57" s="98"/>
      <c r="R57" s="98"/>
      <c r="S57" s="98"/>
      <c r="T57" s="98"/>
      <c r="U57" s="98"/>
      <c r="V57" s="98"/>
      <c r="W57" s="98"/>
      <c r="X57" s="98"/>
      <c r="Y57" s="98"/>
      <c r="Z57" s="98"/>
    </row>
    <row r="58" spans="1:26" ht="18.75" x14ac:dyDescent="0.3">
      <c r="A58" s="119"/>
      <c r="B58" s="122"/>
      <c r="C58" s="101"/>
      <c r="D58" s="102"/>
      <c r="E58" s="102"/>
      <c r="F58" s="102"/>
      <c r="G58" s="102"/>
      <c r="H58" s="102"/>
      <c r="I58" s="102"/>
      <c r="J58" s="102"/>
      <c r="K58" s="108"/>
      <c r="L58" s="98"/>
      <c r="M58" s="98"/>
      <c r="N58" s="98"/>
      <c r="O58" s="98"/>
      <c r="P58" s="98"/>
      <c r="Q58" s="98"/>
      <c r="R58" s="98"/>
      <c r="S58" s="98"/>
      <c r="T58" s="98"/>
      <c r="U58" s="98"/>
      <c r="V58" s="98"/>
      <c r="W58" s="98"/>
      <c r="X58" s="98"/>
      <c r="Y58" s="98"/>
      <c r="Z58" s="98"/>
    </row>
    <row r="59" spans="1:26" ht="18.75" x14ac:dyDescent="0.3">
      <c r="A59" s="119"/>
      <c r="B59" s="122"/>
      <c r="C59" s="101"/>
      <c r="D59" s="102"/>
      <c r="E59" s="102"/>
      <c r="F59" s="102"/>
      <c r="G59" s="102"/>
      <c r="H59" s="102"/>
      <c r="I59" s="102"/>
      <c r="J59" s="102"/>
      <c r="K59" s="108"/>
      <c r="L59" s="98"/>
      <c r="M59" s="98"/>
      <c r="N59" s="98"/>
      <c r="O59" s="98"/>
      <c r="P59" s="98"/>
      <c r="Q59" s="98"/>
      <c r="R59" s="98"/>
      <c r="S59" s="98"/>
      <c r="T59" s="98"/>
      <c r="U59" s="98"/>
      <c r="V59" s="98"/>
      <c r="W59" s="98"/>
      <c r="X59" s="98"/>
      <c r="Y59" s="98"/>
      <c r="Z59" s="98"/>
    </row>
    <row r="60" spans="1:26" ht="18.75" x14ac:dyDescent="0.3">
      <c r="A60" s="119"/>
      <c r="B60" s="122"/>
      <c r="C60" s="101"/>
      <c r="D60" s="102"/>
      <c r="E60" s="102"/>
      <c r="F60" s="102"/>
      <c r="G60" s="102"/>
      <c r="H60" s="102"/>
      <c r="I60" s="102"/>
      <c r="J60" s="102"/>
      <c r="K60" s="108"/>
      <c r="L60" s="98"/>
      <c r="M60" s="98"/>
      <c r="N60" s="98"/>
      <c r="O60" s="98"/>
      <c r="P60" s="98"/>
      <c r="Q60" s="98"/>
      <c r="R60" s="98"/>
      <c r="S60" s="98"/>
      <c r="T60" s="98"/>
      <c r="U60" s="98"/>
      <c r="V60" s="98"/>
      <c r="W60" s="98"/>
      <c r="X60" s="98"/>
      <c r="Y60" s="98"/>
      <c r="Z60" s="98"/>
    </row>
    <row r="61" spans="1:26" ht="18.75" x14ac:dyDescent="0.3">
      <c r="A61" s="119"/>
      <c r="B61" s="122"/>
      <c r="C61" s="101"/>
      <c r="D61" s="102"/>
      <c r="E61" s="102"/>
      <c r="F61" s="102"/>
      <c r="G61" s="102"/>
      <c r="H61" s="102"/>
      <c r="I61" s="102"/>
      <c r="J61" s="102"/>
      <c r="K61" s="108"/>
      <c r="L61" s="98"/>
      <c r="M61" s="98"/>
      <c r="N61" s="98"/>
      <c r="O61" s="98"/>
      <c r="P61" s="98"/>
      <c r="Q61" s="98"/>
      <c r="R61" s="98"/>
      <c r="S61" s="98"/>
      <c r="T61" s="98"/>
      <c r="U61" s="98"/>
      <c r="V61" s="98"/>
      <c r="W61" s="98"/>
      <c r="X61" s="98"/>
      <c r="Y61" s="98"/>
      <c r="Z61" s="98"/>
    </row>
    <row r="62" spans="1:26" ht="18.75" x14ac:dyDescent="0.3">
      <c r="A62" s="119"/>
      <c r="B62" s="122"/>
      <c r="C62" s="101"/>
      <c r="D62" s="102"/>
      <c r="E62" s="102"/>
      <c r="F62" s="102"/>
      <c r="G62" s="102"/>
      <c r="H62" s="102"/>
      <c r="I62" s="102"/>
      <c r="J62" s="102"/>
      <c r="K62" s="108"/>
      <c r="L62" s="98"/>
      <c r="M62" s="98"/>
      <c r="N62" s="98"/>
      <c r="O62" s="98"/>
      <c r="P62" s="98"/>
      <c r="Q62" s="98"/>
      <c r="R62" s="98"/>
      <c r="S62" s="98"/>
      <c r="T62" s="98"/>
      <c r="U62" s="98"/>
      <c r="V62" s="98"/>
      <c r="W62" s="98"/>
      <c r="X62" s="98"/>
      <c r="Y62" s="98"/>
      <c r="Z62" s="98"/>
    </row>
    <row r="63" spans="1:26" ht="18.75" x14ac:dyDescent="0.3">
      <c r="A63" s="119"/>
      <c r="B63" s="122"/>
      <c r="C63" s="101"/>
      <c r="D63" s="102"/>
      <c r="E63" s="102"/>
      <c r="F63" s="102"/>
      <c r="G63" s="102"/>
      <c r="H63" s="102"/>
      <c r="I63" s="102"/>
      <c r="J63" s="102"/>
      <c r="K63" s="108"/>
      <c r="L63" s="98"/>
      <c r="M63" s="98"/>
      <c r="N63" s="98"/>
      <c r="O63" s="98"/>
      <c r="P63" s="98"/>
      <c r="Q63" s="98"/>
      <c r="R63" s="98"/>
      <c r="S63" s="98"/>
      <c r="T63" s="98"/>
      <c r="U63" s="98"/>
      <c r="V63" s="98"/>
      <c r="W63" s="98"/>
      <c r="X63" s="98"/>
      <c r="Y63" s="98"/>
      <c r="Z63" s="98"/>
    </row>
    <row r="64" spans="1:26" ht="18.75" x14ac:dyDescent="0.3">
      <c r="A64" s="119"/>
      <c r="B64" s="122"/>
      <c r="C64" s="101"/>
      <c r="D64" s="102"/>
      <c r="E64" s="102"/>
      <c r="F64" s="102"/>
      <c r="G64" s="102"/>
      <c r="H64" s="102"/>
      <c r="I64" s="102"/>
      <c r="J64" s="102"/>
      <c r="K64" s="108"/>
      <c r="L64" s="98"/>
      <c r="M64" s="98"/>
      <c r="N64" s="98"/>
      <c r="O64" s="98"/>
      <c r="P64" s="98"/>
      <c r="Q64" s="98"/>
      <c r="R64" s="98"/>
      <c r="S64" s="98"/>
      <c r="T64" s="98"/>
      <c r="U64" s="98"/>
      <c r="V64" s="98"/>
      <c r="W64" s="98"/>
      <c r="X64" s="98"/>
      <c r="Y64" s="98"/>
      <c r="Z64" s="98"/>
    </row>
    <row r="65" spans="1:26" ht="18.75" x14ac:dyDescent="0.3">
      <c r="A65" s="119"/>
      <c r="B65" s="122"/>
      <c r="C65" s="101"/>
      <c r="D65" s="102"/>
      <c r="E65" s="102"/>
      <c r="F65" s="102"/>
      <c r="G65" s="102"/>
      <c r="H65" s="102"/>
      <c r="I65" s="102"/>
      <c r="J65" s="102"/>
      <c r="K65" s="108"/>
      <c r="L65" s="98"/>
      <c r="M65" s="98"/>
      <c r="N65" s="98"/>
      <c r="O65" s="98"/>
      <c r="P65" s="98"/>
      <c r="Q65" s="98"/>
      <c r="R65" s="98"/>
      <c r="S65" s="98"/>
      <c r="T65" s="98"/>
      <c r="U65" s="98"/>
      <c r="V65" s="98"/>
      <c r="W65" s="98"/>
      <c r="X65" s="98"/>
      <c r="Y65" s="98"/>
      <c r="Z65" s="98"/>
    </row>
    <row r="66" spans="1:26" ht="18.75" x14ac:dyDescent="0.3">
      <c r="A66" s="119"/>
      <c r="B66" s="122"/>
      <c r="C66" s="101"/>
      <c r="D66" s="102"/>
      <c r="E66" s="102"/>
      <c r="F66" s="102"/>
      <c r="G66" s="102"/>
      <c r="H66" s="102"/>
      <c r="I66" s="102"/>
      <c r="J66" s="102"/>
      <c r="K66" s="108"/>
      <c r="L66" s="98"/>
      <c r="M66" s="98"/>
      <c r="N66" s="98"/>
      <c r="O66" s="98"/>
      <c r="P66" s="98"/>
      <c r="Q66" s="98"/>
      <c r="R66" s="98"/>
      <c r="S66" s="98"/>
      <c r="T66" s="98"/>
      <c r="U66" s="98"/>
      <c r="V66" s="98"/>
      <c r="W66" s="98"/>
      <c r="X66" s="98"/>
      <c r="Y66" s="98"/>
      <c r="Z66" s="98"/>
    </row>
    <row r="67" spans="1:26" ht="18.75" x14ac:dyDescent="0.3">
      <c r="A67" s="119"/>
      <c r="B67" s="122"/>
      <c r="C67" s="101"/>
      <c r="D67" s="102"/>
      <c r="E67" s="102"/>
      <c r="F67" s="102"/>
      <c r="G67" s="102"/>
      <c r="H67" s="102"/>
      <c r="I67" s="102"/>
      <c r="J67" s="102"/>
      <c r="K67" s="108"/>
      <c r="L67" s="98"/>
      <c r="M67" s="98"/>
      <c r="N67" s="98"/>
      <c r="O67" s="98"/>
      <c r="P67" s="98"/>
      <c r="Q67" s="98"/>
      <c r="R67" s="98"/>
      <c r="S67" s="98"/>
      <c r="T67" s="98"/>
      <c r="U67" s="98"/>
      <c r="V67" s="98"/>
      <c r="W67" s="98"/>
      <c r="X67" s="98"/>
      <c r="Y67" s="98"/>
      <c r="Z67" s="98"/>
    </row>
    <row r="68" spans="1:26" ht="18.75" x14ac:dyDescent="0.3">
      <c r="A68" s="119"/>
      <c r="B68" s="122"/>
      <c r="C68" s="101"/>
      <c r="D68" s="102"/>
      <c r="E68" s="102"/>
      <c r="F68" s="102"/>
      <c r="G68" s="102"/>
      <c r="H68" s="102"/>
      <c r="I68" s="102"/>
      <c r="J68" s="102"/>
      <c r="K68" s="108"/>
      <c r="L68" s="98"/>
      <c r="M68" s="98"/>
      <c r="N68" s="98"/>
      <c r="O68" s="98"/>
      <c r="P68" s="98"/>
      <c r="Q68" s="98"/>
      <c r="R68" s="98"/>
      <c r="S68" s="98"/>
      <c r="T68" s="98"/>
      <c r="U68" s="98"/>
      <c r="V68" s="98"/>
      <c r="W68" s="98"/>
      <c r="X68" s="98"/>
      <c r="Y68" s="98"/>
      <c r="Z68" s="98"/>
    </row>
    <row r="69" spans="1:26" ht="18.75" x14ac:dyDescent="0.3">
      <c r="A69" s="119"/>
      <c r="B69" s="122"/>
      <c r="C69" s="101"/>
      <c r="D69" s="102"/>
      <c r="E69" s="102"/>
      <c r="F69" s="102"/>
      <c r="G69" s="102"/>
      <c r="H69" s="102"/>
      <c r="I69" s="102"/>
      <c r="J69" s="102"/>
      <c r="K69" s="108"/>
      <c r="L69" s="98"/>
      <c r="M69" s="98"/>
      <c r="N69" s="98"/>
      <c r="O69" s="98"/>
      <c r="P69" s="98"/>
      <c r="Q69" s="98"/>
      <c r="R69" s="98"/>
      <c r="S69" s="98"/>
      <c r="T69" s="98"/>
      <c r="U69" s="98"/>
      <c r="V69" s="98"/>
      <c r="W69" s="98"/>
      <c r="X69" s="98"/>
      <c r="Y69" s="98"/>
      <c r="Z69" s="98"/>
    </row>
    <row r="70" spans="1:26" ht="18.75" x14ac:dyDescent="0.3">
      <c r="A70" s="119"/>
      <c r="B70" s="122"/>
      <c r="C70" s="101"/>
      <c r="D70" s="102"/>
      <c r="E70" s="102"/>
      <c r="F70" s="102"/>
      <c r="G70" s="102"/>
      <c r="H70" s="102"/>
      <c r="I70" s="102"/>
      <c r="J70" s="102"/>
      <c r="K70" s="108"/>
      <c r="L70" s="98"/>
      <c r="M70" s="98"/>
      <c r="N70" s="98"/>
      <c r="O70" s="98"/>
      <c r="P70" s="98"/>
      <c r="Q70" s="98"/>
      <c r="R70" s="98"/>
      <c r="S70" s="98"/>
      <c r="T70" s="98"/>
      <c r="U70" s="98"/>
      <c r="V70" s="98"/>
      <c r="W70" s="98"/>
      <c r="X70" s="98"/>
      <c r="Y70" s="98"/>
      <c r="Z70" s="98"/>
    </row>
    <row r="71" spans="1:26" ht="18.75" x14ac:dyDescent="0.3">
      <c r="A71" s="119"/>
      <c r="B71" s="122"/>
      <c r="C71" s="101"/>
      <c r="D71" s="102"/>
      <c r="E71" s="102"/>
      <c r="F71" s="102"/>
      <c r="G71" s="102"/>
      <c r="H71" s="102"/>
      <c r="I71" s="102"/>
      <c r="J71" s="102"/>
      <c r="K71" s="108"/>
      <c r="L71" s="98"/>
      <c r="M71" s="98"/>
      <c r="N71" s="98"/>
      <c r="O71" s="98"/>
      <c r="P71" s="98"/>
      <c r="Q71" s="98"/>
      <c r="R71" s="98"/>
      <c r="S71" s="98"/>
      <c r="T71" s="98"/>
      <c r="U71" s="98"/>
      <c r="V71" s="98"/>
      <c r="W71" s="98"/>
      <c r="X71" s="98"/>
      <c r="Y71" s="98"/>
      <c r="Z71" s="98"/>
    </row>
    <row r="72" spans="1:26" x14ac:dyDescent="0.25">
      <c r="A72" s="118"/>
      <c r="B72" s="118"/>
      <c r="C72" s="98"/>
      <c r="D72" s="98"/>
      <c r="E72" s="98"/>
      <c r="F72" s="98"/>
      <c r="G72" s="98"/>
      <c r="H72" s="98"/>
      <c r="I72" s="98"/>
      <c r="J72" s="98"/>
      <c r="K72" s="98"/>
      <c r="L72" s="98"/>
      <c r="M72" s="98"/>
      <c r="N72" s="98"/>
      <c r="O72" s="98"/>
      <c r="P72" s="98"/>
      <c r="Q72" s="98"/>
      <c r="R72" s="98"/>
      <c r="S72" s="98"/>
      <c r="T72" s="98"/>
      <c r="U72" s="98"/>
      <c r="V72" s="98"/>
      <c r="W72" s="98"/>
      <c r="X72" s="98"/>
      <c r="Y72" s="98"/>
      <c r="Z72" s="98"/>
    </row>
    <row r="73" spans="1:26" ht="29.25" customHeight="1" x14ac:dyDescent="0.3">
      <c r="A73" s="118"/>
      <c r="B73" s="118"/>
      <c r="C73" s="205"/>
      <c r="D73" s="98"/>
      <c r="E73" s="98"/>
      <c r="F73" s="98"/>
      <c r="G73" s="98"/>
      <c r="H73" s="98"/>
      <c r="I73" s="98"/>
      <c r="J73" s="98"/>
      <c r="K73" s="98"/>
      <c r="L73" s="98"/>
      <c r="M73" s="98"/>
      <c r="N73" s="98"/>
      <c r="O73" s="98"/>
      <c r="P73" s="98"/>
      <c r="Q73" s="98"/>
      <c r="R73" s="1098" t="s">
        <v>895</v>
      </c>
      <c r="S73" s="1098"/>
      <c r="T73" s="1098"/>
      <c r="U73" s="1098"/>
      <c r="V73" s="1098"/>
      <c r="W73" s="1098"/>
      <c r="X73" s="1098"/>
      <c r="Y73" s="1098"/>
      <c r="Z73" s="98"/>
    </row>
    <row r="74" spans="1:26" ht="39.6" customHeight="1" x14ac:dyDescent="0.3">
      <c r="A74" s="118"/>
      <c r="B74" s="1123" t="s">
        <v>612</v>
      </c>
      <c r="C74" s="1124"/>
      <c r="D74" s="1124"/>
      <c r="E74" s="1124"/>
      <c r="F74" s="1125"/>
      <c r="G74" s="98"/>
      <c r="H74" s="98"/>
      <c r="I74" s="98"/>
      <c r="J74" s="98"/>
      <c r="K74" s="98"/>
      <c r="L74" s="98"/>
      <c r="M74" s="98"/>
      <c r="N74" s="98"/>
      <c r="O74" s="98"/>
      <c r="P74" s="102"/>
      <c r="Q74" s="98"/>
      <c r="R74" s="387" t="s">
        <v>883</v>
      </c>
      <c r="S74" s="387" t="s">
        <v>884</v>
      </c>
      <c r="T74" s="1104" t="s">
        <v>885</v>
      </c>
      <c r="U74" s="1104"/>
      <c r="V74" s="1104"/>
      <c r="W74" s="1104"/>
      <c r="X74" s="1104"/>
      <c r="Y74" s="1104"/>
      <c r="Z74" s="98"/>
    </row>
    <row r="75" spans="1:26" ht="29.25" customHeight="1" x14ac:dyDescent="0.25">
      <c r="A75" s="118"/>
      <c r="B75" s="218" t="s">
        <v>290</v>
      </c>
      <c r="C75" s="219" t="str">
        <f>E8</f>
        <v>COLOMBIA</v>
      </c>
      <c r="D75" s="1121" t="str">
        <f>$E$9</f>
        <v>SOACHA</v>
      </c>
      <c r="E75" s="1122"/>
      <c r="F75" s="220" t="str">
        <f>$E$10</f>
        <v>LICEO TALENTOS</v>
      </c>
      <c r="G75" s="98"/>
      <c r="H75" s="98"/>
      <c r="I75" s="1093" t="s">
        <v>733</v>
      </c>
      <c r="J75" s="1093"/>
      <c r="K75" s="1093"/>
      <c r="L75" s="1093"/>
      <c r="M75" s="1093"/>
      <c r="N75" s="1093"/>
      <c r="O75" s="98"/>
      <c r="P75" s="121"/>
      <c r="Q75" s="98"/>
      <c r="R75" s="1103">
        <v>1</v>
      </c>
      <c r="S75" s="1126" t="s">
        <v>604</v>
      </c>
      <c r="T75" s="1105" t="s">
        <v>891</v>
      </c>
      <c r="U75" s="1105"/>
      <c r="V75" s="1105"/>
      <c r="W75" s="1105"/>
      <c r="X75" s="1105"/>
      <c r="Y75" s="1105"/>
      <c r="Z75" s="98"/>
    </row>
    <row r="76" spans="1:26" ht="43.5" customHeight="1" x14ac:dyDescent="0.3">
      <c r="A76" s="118"/>
      <c r="B76" s="206">
        <v>2016</v>
      </c>
      <c r="C76" s="190">
        <f>VLOOKUP($E$8,MATE!$A$10:$AV$173,4,0)</f>
        <v>52</v>
      </c>
      <c r="D76" s="1096">
        <f>VLOOKUP($E$9,MATE!$A$10:$AV$173,4,0)</f>
        <v>52</v>
      </c>
      <c r="E76" s="1097"/>
      <c r="F76" s="190">
        <f>VLOOKUP($E$10,MATE!$A$10:$AV$173,4,0)</f>
        <v>0</v>
      </c>
      <c r="G76" s="98"/>
      <c r="H76" s="98"/>
      <c r="I76" s="1094" t="s">
        <v>290</v>
      </c>
      <c r="J76" s="1094" t="s">
        <v>292</v>
      </c>
      <c r="K76" s="208" t="s">
        <v>604</v>
      </c>
      <c r="L76" s="209" t="s">
        <v>605</v>
      </c>
      <c r="M76" s="210" t="s">
        <v>610</v>
      </c>
      <c r="N76" s="211" t="s">
        <v>611</v>
      </c>
      <c r="O76" s="102" t="s">
        <v>608</v>
      </c>
      <c r="P76" s="108"/>
      <c r="Q76" s="98"/>
      <c r="R76" s="1103"/>
      <c r="S76" s="1126"/>
      <c r="T76" s="1105"/>
      <c r="U76" s="1105"/>
      <c r="V76" s="1105"/>
      <c r="W76" s="1105"/>
      <c r="X76" s="1105"/>
      <c r="Y76" s="1105"/>
      <c r="Z76" s="98"/>
    </row>
    <row r="77" spans="1:26" ht="21.6" customHeight="1" x14ac:dyDescent="0.25">
      <c r="A77" s="118"/>
      <c r="B77" s="206">
        <v>2017</v>
      </c>
      <c r="C77" s="190">
        <f>VLOOKUP($E$8,MATE!$A$10:$AV$173,13,0)</f>
        <v>52</v>
      </c>
      <c r="D77" s="1096">
        <f>VLOOKUP($E$9,MATE!$A$10:$AV$173,13,0)</f>
        <v>52</v>
      </c>
      <c r="E77" s="1097"/>
      <c r="F77" s="190">
        <f>VLOOKUP($E$10,MATE!$A$10:$AV$173,13,0)</f>
        <v>0</v>
      </c>
      <c r="G77" s="98"/>
      <c r="H77" s="98"/>
      <c r="I77" s="1095"/>
      <c r="J77" s="1095"/>
      <c r="K77" s="212">
        <v>1</v>
      </c>
      <c r="L77" s="213">
        <v>2</v>
      </c>
      <c r="M77" s="214">
        <v>3</v>
      </c>
      <c r="N77" s="215">
        <v>4</v>
      </c>
      <c r="O77" s="121" t="s">
        <v>737</v>
      </c>
      <c r="P77" s="108"/>
      <c r="Q77" s="98"/>
      <c r="R77" s="1103"/>
      <c r="S77" s="1126"/>
      <c r="T77" s="1105"/>
      <c r="U77" s="1105"/>
      <c r="V77" s="1105"/>
      <c r="W77" s="1105"/>
      <c r="X77" s="1105"/>
      <c r="Y77" s="1105"/>
      <c r="Z77" s="98"/>
    </row>
    <row r="78" spans="1:26" ht="21.6" customHeight="1" x14ac:dyDescent="0.25">
      <c r="A78" s="118"/>
      <c r="B78" s="206">
        <v>2018</v>
      </c>
      <c r="C78" s="190">
        <f>VLOOKUP($E$8,MATE!$A$10:$AV$173,22,0)</f>
        <v>52</v>
      </c>
      <c r="D78" s="1096">
        <f>VLOOKUP($E$9,MATE!$A$10:$AV$173,22,0)</f>
        <v>52</v>
      </c>
      <c r="E78" s="1097"/>
      <c r="F78" s="190">
        <f>VLOOKUP($E$10,MATE!$A$10:$AV$173,22,0)</f>
        <v>0</v>
      </c>
      <c r="G78" s="98"/>
      <c r="H78" s="98"/>
      <c r="I78" s="1090">
        <v>2016</v>
      </c>
      <c r="J78" s="306" t="str">
        <f>$E$8</f>
        <v>COLOMBIA</v>
      </c>
      <c r="K78" s="193">
        <f>VLOOKUP($E$8,MATE!$A$10:$AV$173,6,0)</f>
        <v>0.08</v>
      </c>
      <c r="L78" s="222">
        <f>VLOOKUP($E$8,MATE!$A$10:$AV$173,7,0)</f>
        <v>0.37</v>
      </c>
      <c r="M78" s="307">
        <f>VLOOKUP($E$8,MATE!$A$10:$AV$173,8,0)</f>
        <v>0.5</v>
      </c>
      <c r="N78" s="308">
        <f>VLOOKUP($E$8,MATE!$A$10:$AV$173,9,0)</f>
        <v>0.05</v>
      </c>
      <c r="O78" s="108">
        <f t="shared" ref="O78:O95" si="3">K78+L78</f>
        <v>0.45</v>
      </c>
      <c r="P78" s="108"/>
      <c r="Q78" s="98"/>
      <c r="R78" s="1127">
        <v>2</v>
      </c>
      <c r="S78" s="1127" t="s">
        <v>605</v>
      </c>
      <c r="T78" s="1130" t="s">
        <v>892</v>
      </c>
      <c r="U78" s="1131"/>
      <c r="V78" s="1131"/>
      <c r="W78" s="1131"/>
      <c r="X78" s="1131"/>
      <c r="Y78" s="1132"/>
      <c r="Z78" s="98"/>
    </row>
    <row r="79" spans="1:26" ht="20.25" x14ac:dyDescent="0.25">
      <c r="A79" s="118"/>
      <c r="B79" s="206">
        <v>2019</v>
      </c>
      <c r="C79" s="190">
        <f>VLOOKUP($E$8,MATE!$A$10:$AV$173,31,0)</f>
        <v>52</v>
      </c>
      <c r="D79" s="1096">
        <f>VLOOKUP($E$9,MATE!$A$10:$AV$173,31,0)</f>
        <v>53</v>
      </c>
      <c r="E79" s="1097"/>
      <c r="F79" s="190">
        <f>VLOOKUP($E$10,MATE!$A$10:$AV$173,31,0)</f>
        <v>0</v>
      </c>
      <c r="G79" s="98"/>
      <c r="H79" s="98"/>
      <c r="I79" s="1091"/>
      <c r="J79" s="306" t="str">
        <f>$E$9</f>
        <v>SOACHA</v>
      </c>
      <c r="K79" s="193">
        <f>VLOOKUP($E$9,MATE!$A$10:$AV$173,6,0)</f>
        <v>0.04</v>
      </c>
      <c r="L79" s="222">
        <f>VLOOKUP($E$9,MATE!$A$10:$AV$173,7,0)</f>
        <v>0.39</v>
      </c>
      <c r="M79" s="307">
        <f>VLOOKUP($E$9,MATE!$A$10:$AV$173,8,0)</f>
        <v>0.55000000000000004</v>
      </c>
      <c r="N79" s="308">
        <f>VLOOKUP($E$9,MATE!$A$10:$AV$173,9,0)</f>
        <v>0.02</v>
      </c>
      <c r="O79" s="108">
        <f t="shared" si="3"/>
        <v>0.43</v>
      </c>
      <c r="P79" s="108"/>
      <c r="Q79" s="98"/>
      <c r="R79" s="1128"/>
      <c r="S79" s="1128"/>
      <c r="T79" s="1133"/>
      <c r="U79" s="1134"/>
      <c r="V79" s="1134"/>
      <c r="W79" s="1134"/>
      <c r="X79" s="1134"/>
      <c r="Y79" s="1135"/>
      <c r="Z79" s="98"/>
    </row>
    <row r="80" spans="1:26" ht="20.25" x14ac:dyDescent="0.25">
      <c r="A80" s="118"/>
      <c r="B80" s="206">
        <v>2020</v>
      </c>
      <c r="C80" s="190">
        <f>VLOOKUP($E$8,MATE!$A$10:$AV$173,40,0)</f>
        <v>52</v>
      </c>
      <c r="D80" s="1096">
        <f>VLOOKUP($E$9,MATE!$A$10:$AV$173,40,0)</f>
        <v>53</v>
      </c>
      <c r="E80" s="1097"/>
      <c r="F80" s="190">
        <f>VLOOKUP($E$10,MATE!$A$10:$AV$173,40,0)</f>
        <v>0</v>
      </c>
      <c r="G80" s="98"/>
      <c r="H80" s="98"/>
      <c r="I80" s="1092"/>
      <c r="J80" s="306" t="str">
        <f>$E$10</f>
        <v>LICEO TALENTOS</v>
      </c>
      <c r="K80" s="193">
        <f>VLOOKUP($E$10,MATE!$A$10:$AV$173,6,0)</f>
        <v>0</v>
      </c>
      <c r="L80" s="222">
        <f>VLOOKUP($E$10,MATE!$A$10:$AV$173,7,0)</f>
        <v>0</v>
      </c>
      <c r="M80" s="307">
        <f>VLOOKUP($E$10,MATE!$A$10:$AV$173,8,0)</f>
        <v>0</v>
      </c>
      <c r="N80" s="308">
        <f>VLOOKUP($E$10,MATE!$A$10:$AV$173,9,0)</f>
        <v>0</v>
      </c>
      <c r="O80" s="108">
        <f t="shared" si="3"/>
        <v>0</v>
      </c>
      <c r="P80" s="108"/>
      <c r="Q80" s="98"/>
      <c r="R80" s="1128"/>
      <c r="S80" s="1128"/>
      <c r="T80" s="1133"/>
      <c r="U80" s="1134"/>
      <c r="V80" s="1134"/>
      <c r="W80" s="1134"/>
      <c r="X80" s="1134"/>
      <c r="Y80" s="1135"/>
      <c r="Z80" s="98"/>
    </row>
    <row r="81" spans="1:26" ht="20.25" x14ac:dyDescent="0.25">
      <c r="A81" s="118"/>
      <c r="B81" s="206">
        <v>2021</v>
      </c>
      <c r="C81" s="190">
        <f>VLOOKUP($E$8,MATE!$A$10:$BG$173,49,0)</f>
        <v>51</v>
      </c>
      <c r="D81" s="1096">
        <f>VLOOKUP($E$9,MATE!$A$10:$BG$173,49,0)</f>
        <v>52</v>
      </c>
      <c r="E81" s="1097"/>
      <c r="F81" s="190">
        <f>VLOOKUP($E$10,MATE!$A$10:$BG$173,49,0)</f>
        <v>0</v>
      </c>
      <c r="G81" s="98"/>
      <c r="H81" s="98"/>
      <c r="I81" s="1090">
        <v>2017</v>
      </c>
      <c r="J81" s="306" t="str">
        <f>$E$8</f>
        <v>COLOMBIA</v>
      </c>
      <c r="K81" s="193">
        <f>VLOOKUP($E$8,MATE!$A$10:$AV$173,15,0)</f>
        <v>0.09</v>
      </c>
      <c r="L81" s="222">
        <f>VLOOKUP($E$8,MATE!$A$10:$AV$173,16,0)</f>
        <v>0.38</v>
      </c>
      <c r="M81" s="307">
        <f>VLOOKUP($E$8,MATE!$A$10:$AV$173,17,0)</f>
        <v>0.48</v>
      </c>
      <c r="N81" s="308">
        <f>VLOOKUP($E$8,MATE!$A$10:$AV$173,18,0)</f>
        <v>0.05</v>
      </c>
      <c r="O81" s="108">
        <f t="shared" si="3"/>
        <v>0.47</v>
      </c>
      <c r="P81" s="108"/>
      <c r="Q81" s="98"/>
      <c r="R81" s="1128"/>
      <c r="S81" s="1128"/>
      <c r="T81" s="1133"/>
      <c r="U81" s="1134"/>
      <c r="V81" s="1134"/>
      <c r="W81" s="1134"/>
      <c r="X81" s="1134"/>
      <c r="Y81" s="1135"/>
      <c r="Z81" s="98"/>
    </row>
    <row r="82" spans="1:26" ht="20.25" x14ac:dyDescent="0.25">
      <c r="A82" s="118"/>
      <c r="B82" s="206">
        <v>2022</v>
      </c>
      <c r="C82" s="190">
        <f>VLOOKUP($E$8,MATE!$A$10:$BX$173,60,0)</f>
        <v>52</v>
      </c>
      <c r="D82" s="1096">
        <f>VLOOKUP($E$9,MATE!$A$10:$BX$173,60,0)</f>
        <v>53</v>
      </c>
      <c r="E82" s="1097"/>
      <c r="F82" s="190">
        <f>VLOOKUP($E$10,MATE!$A$10:$BX$173,60,0)</f>
        <v>0</v>
      </c>
      <c r="G82" s="98"/>
      <c r="H82" s="98"/>
      <c r="I82" s="1091"/>
      <c r="J82" s="306" t="str">
        <f>$E$9</f>
        <v>SOACHA</v>
      </c>
      <c r="K82" s="193">
        <f>VLOOKUP($E$9,MATE!$A$10:$AV$173,15,0)</f>
        <v>0.05</v>
      </c>
      <c r="L82" s="222">
        <f>VLOOKUP($E$9,MATE!$A$10:$AV$173,16,0)</f>
        <v>0.38</v>
      </c>
      <c r="M82" s="307">
        <f>VLOOKUP($E$9,MATE!$A$10:$AV$173,17,0)</f>
        <v>0.54</v>
      </c>
      <c r="N82" s="308">
        <f>VLOOKUP($E$9,MATE!$A$10:$AV$173,18,0)</f>
        <v>0.03</v>
      </c>
      <c r="O82" s="108">
        <f t="shared" si="3"/>
        <v>0.43</v>
      </c>
      <c r="P82" s="108"/>
      <c r="Q82" s="98"/>
      <c r="R82" s="1128"/>
      <c r="S82" s="1128"/>
      <c r="T82" s="1133"/>
      <c r="U82" s="1134"/>
      <c r="V82" s="1134"/>
      <c r="W82" s="1134"/>
      <c r="X82" s="1134"/>
      <c r="Y82" s="1135"/>
      <c r="Z82" s="98"/>
    </row>
    <row r="83" spans="1:26" ht="20.25" x14ac:dyDescent="0.25">
      <c r="A83" s="118"/>
      <c r="B83" s="206">
        <v>2023</v>
      </c>
      <c r="C83" s="190">
        <f>VLOOKUP($E$8,MATE!$A$10:$CI$173,77,0)</f>
        <v>52</v>
      </c>
      <c r="D83" s="1096">
        <f>VLOOKUP($E$9,MATE!$A$10:$CI$173,77,0)</f>
        <v>53</v>
      </c>
      <c r="E83" s="1097"/>
      <c r="F83" s="190">
        <f>VLOOKUP($E$10,MATE!$A$10:$CI$173,77,0)</f>
        <v>0</v>
      </c>
      <c r="G83" s="98"/>
      <c r="H83" s="98"/>
      <c r="I83" s="1092"/>
      <c r="J83" s="306" t="str">
        <f>$E$10</f>
        <v>LICEO TALENTOS</v>
      </c>
      <c r="K83" s="193">
        <f>VLOOKUP($E$10,MATE!$A$10:$AV$173,15,0)</f>
        <v>0</v>
      </c>
      <c r="L83" s="222">
        <f>VLOOKUP($E$10,MATE!$A$10:$AV$173,16,0)</f>
        <v>0</v>
      </c>
      <c r="M83" s="307">
        <f>VLOOKUP($E$10,MATE!$A$10:$AV$173,17,0)</f>
        <v>0</v>
      </c>
      <c r="N83" s="308">
        <f>VLOOKUP($E$10,MATE!$A$10:$AV$173,18,0)</f>
        <v>0</v>
      </c>
      <c r="O83" s="108">
        <f t="shared" si="3"/>
        <v>0</v>
      </c>
      <c r="P83" s="108"/>
      <c r="Q83" s="98"/>
      <c r="R83" s="1128"/>
      <c r="S83" s="1128"/>
      <c r="T83" s="1133"/>
      <c r="U83" s="1134"/>
      <c r="V83" s="1134"/>
      <c r="W83" s="1134"/>
      <c r="X83" s="1134"/>
      <c r="Y83" s="1135"/>
      <c r="Z83" s="98"/>
    </row>
    <row r="84" spans="1:26" ht="20.25" x14ac:dyDescent="0.25">
      <c r="A84" s="118"/>
      <c r="B84" s="206">
        <v>2024</v>
      </c>
      <c r="C84" s="190">
        <f>VLOOKUP($E$8,MATE!$A$10:$CT$173,88,0)</f>
        <v>53</v>
      </c>
      <c r="D84" s="1088">
        <f>VLOOKUP($E$9,MATE!$A$10:$CT$173,88,0)</f>
        <v>54</v>
      </c>
      <c r="E84" s="1088"/>
      <c r="F84" s="190">
        <f>VLOOKUP($E$10,MATE!$A$10:$CT$173,88,0)</f>
        <v>53</v>
      </c>
      <c r="G84" s="98"/>
      <c r="H84" s="98"/>
      <c r="I84" s="1090">
        <v>2018</v>
      </c>
      <c r="J84" s="306" t="str">
        <f>$E$8</f>
        <v>COLOMBIA</v>
      </c>
      <c r="K84" s="193">
        <f>VLOOKUP($E$8,MATE!$A$10:$AV$173,24,0)</f>
        <v>0.08</v>
      </c>
      <c r="L84" s="222">
        <f>VLOOKUP($E$8,MATE!$A$10:$AV$173,25,0)</f>
        <v>0.38</v>
      </c>
      <c r="M84" s="307">
        <f>VLOOKUP($E$8,MATE!$A$10:$AV$173,26,0)</f>
        <v>0.49</v>
      </c>
      <c r="N84" s="308">
        <f>VLOOKUP($E$8,MATE!$A$10:$AV$173,27,0)</f>
        <v>0.05</v>
      </c>
      <c r="O84" s="108">
        <f t="shared" si="3"/>
        <v>0.46</v>
      </c>
      <c r="P84" s="108"/>
      <c r="Q84" s="98"/>
      <c r="R84" s="1128"/>
      <c r="S84" s="1128"/>
      <c r="T84" s="1133"/>
      <c r="U84" s="1134"/>
      <c r="V84" s="1134"/>
      <c r="W84" s="1134"/>
      <c r="X84" s="1134"/>
      <c r="Y84" s="1135"/>
      <c r="Z84" s="98"/>
    </row>
    <row r="85" spans="1:26" ht="21.6" customHeight="1" x14ac:dyDescent="0.25">
      <c r="A85" s="118"/>
      <c r="B85" s="206">
        <v>2025</v>
      </c>
      <c r="C85" s="932">
        <f>VLOOKUP($E$8,MATE!$A$10:$DE$173,99,0)</f>
        <v>53</v>
      </c>
      <c r="D85" s="1088">
        <f>VLOOKUP($E$9,MATE!$A$10:$DE$173,99,0)</f>
        <v>54</v>
      </c>
      <c r="E85" s="1088"/>
      <c r="F85" s="932">
        <f>VLOOKUP($E$10,MATE!$A$10:$DE$173,99,0)</f>
        <v>51</v>
      </c>
      <c r="G85" s="98"/>
      <c r="H85" s="98"/>
      <c r="I85" s="1091"/>
      <c r="J85" s="306" t="str">
        <f>$E$9</f>
        <v>SOACHA</v>
      </c>
      <c r="K85" s="193">
        <f>VLOOKUP($E$9,MATE!$A$10:$AV$173,24,0)</f>
        <v>0.04</v>
      </c>
      <c r="L85" s="222">
        <f>VLOOKUP($E$9,MATE!$A$10:$AV$173,25,0)</f>
        <v>0.38</v>
      </c>
      <c r="M85" s="307">
        <f>VLOOKUP($E$9,MATE!$A$10:$AV$173,26,0)</f>
        <v>0.55000000000000004</v>
      </c>
      <c r="N85" s="308">
        <f>VLOOKUP($E$9,MATE!$A$10:$AV$173,27,0)</f>
        <v>0.02</v>
      </c>
      <c r="O85" s="108">
        <f t="shared" si="3"/>
        <v>0.42</v>
      </c>
      <c r="P85" s="108"/>
      <c r="Q85" s="98"/>
      <c r="R85" s="1128"/>
      <c r="S85" s="1128"/>
      <c r="T85" s="1133"/>
      <c r="U85" s="1134"/>
      <c r="V85" s="1134"/>
      <c r="W85" s="1134"/>
      <c r="X85" s="1134"/>
      <c r="Y85" s="1135"/>
      <c r="Z85" s="98"/>
    </row>
    <row r="86" spans="1:26" ht="21.6" customHeight="1" x14ac:dyDescent="0.25">
      <c r="A86" s="118"/>
      <c r="B86" s="98"/>
      <c r="C86" s="98"/>
      <c r="D86" s="200"/>
      <c r="E86" s="200"/>
      <c r="F86" s="98"/>
      <c r="G86" s="98"/>
      <c r="H86" s="98"/>
      <c r="I86" s="1092"/>
      <c r="J86" s="306" t="str">
        <f>$E$10</f>
        <v>LICEO TALENTOS</v>
      </c>
      <c r="K86" s="193">
        <f>VLOOKUP($E$10,MATE!$A$10:$AV$173,24,0)</f>
        <v>0</v>
      </c>
      <c r="L86" s="222">
        <f>VLOOKUP($E$10,MATE!$A$10:$AV$173,25,0)</f>
        <v>0</v>
      </c>
      <c r="M86" s="307">
        <f>VLOOKUP($E$10,MATE!$A$10:$AV$173,26,0)</f>
        <v>0</v>
      </c>
      <c r="N86" s="308">
        <f>VLOOKUP($E$10,MATE!$A$10:$AV$173,27,0)</f>
        <v>0</v>
      </c>
      <c r="O86" s="108">
        <f t="shared" si="3"/>
        <v>0</v>
      </c>
      <c r="P86" s="108"/>
      <c r="Q86" s="98"/>
      <c r="R86" s="1128"/>
      <c r="S86" s="1128"/>
      <c r="T86" s="1133"/>
      <c r="U86" s="1134"/>
      <c r="V86" s="1134"/>
      <c r="W86" s="1134"/>
      <c r="X86" s="1134"/>
      <c r="Y86" s="1135"/>
      <c r="Z86" s="98"/>
    </row>
    <row r="87" spans="1:26" ht="21.6" customHeight="1" x14ac:dyDescent="0.3">
      <c r="A87" s="199"/>
      <c r="B87" s="207"/>
      <c r="C87" s="205"/>
      <c r="D87" s="98"/>
      <c r="E87" s="98"/>
      <c r="F87" s="98"/>
      <c r="G87" s="98"/>
      <c r="H87" s="98"/>
      <c r="I87" s="1090">
        <v>2019</v>
      </c>
      <c r="J87" s="306" t="str">
        <f>$E$8</f>
        <v>COLOMBIA</v>
      </c>
      <c r="K87" s="193">
        <f>VLOOKUP($E$8,MATE!$A$10:$AV$173,33,0)</f>
        <v>0.08</v>
      </c>
      <c r="L87" s="222">
        <f>VLOOKUP($E$8,MATE!$A$10:$AV$173,34,0)</f>
        <v>0.36</v>
      </c>
      <c r="M87" s="307">
        <f>VLOOKUP($E$8,MATE!$A$10:$AV$173,35,0)</f>
        <v>0.51</v>
      </c>
      <c r="N87" s="308">
        <f>VLOOKUP($E$8,MATE!$A$10:$AV$173,36,0)</f>
        <v>0.06</v>
      </c>
      <c r="O87" s="108">
        <f t="shared" si="3"/>
        <v>0.44</v>
      </c>
      <c r="P87" s="108"/>
      <c r="Q87" s="98"/>
      <c r="R87" s="1128"/>
      <c r="S87" s="1128"/>
      <c r="T87" s="1133"/>
      <c r="U87" s="1134"/>
      <c r="V87" s="1134"/>
      <c r="W87" s="1134"/>
      <c r="X87" s="1134"/>
      <c r="Y87" s="1135"/>
      <c r="Z87" s="98"/>
    </row>
    <row r="88" spans="1:26" ht="20.25" x14ac:dyDescent="0.3">
      <c r="A88" s="199"/>
      <c r="B88" s="207"/>
      <c r="C88" s="205"/>
      <c r="D88" s="98"/>
      <c r="E88" s="98"/>
      <c r="F88" s="98"/>
      <c r="G88" s="98"/>
      <c r="H88" s="98"/>
      <c r="I88" s="1091"/>
      <c r="J88" s="306" t="str">
        <f>$E$9</f>
        <v>SOACHA</v>
      </c>
      <c r="K88" s="193">
        <f>VLOOKUP($E$9,MATE!$A$10:$AV$173,33,0)</f>
        <v>0.04</v>
      </c>
      <c r="L88" s="222">
        <f>VLOOKUP($E$9,MATE!$A$10:$AV$173,34,0)</f>
        <v>0.36</v>
      </c>
      <c r="M88" s="307">
        <f>VLOOKUP($E$9,MATE!$A$10:$AV$173,35,0)</f>
        <v>0.56999999999999995</v>
      </c>
      <c r="N88" s="308">
        <f>VLOOKUP($E$9,MATE!$A$10:$AV$173,36,0)</f>
        <v>0.03</v>
      </c>
      <c r="O88" s="108">
        <f t="shared" si="3"/>
        <v>0.39999999999999997</v>
      </c>
      <c r="P88" s="108"/>
      <c r="Q88" s="98"/>
      <c r="R88" s="1129"/>
      <c r="S88" s="1129"/>
      <c r="T88" s="1136"/>
      <c r="U88" s="1137"/>
      <c r="V88" s="1137"/>
      <c r="W88" s="1137"/>
      <c r="X88" s="1137"/>
      <c r="Y88" s="1138"/>
      <c r="Z88" s="98"/>
    </row>
    <row r="89" spans="1:26" ht="21" customHeight="1" x14ac:dyDescent="0.3">
      <c r="A89" s="199"/>
      <c r="B89" s="207"/>
      <c r="C89" s="205"/>
      <c r="D89" s="98"/>
      <c r="E89" s="98"/>
      <c r="F89" s="98"/>
      <c r="G89" s="98"/>
      <c r="H89" s="98"/>
      <c r="I89" s="1092"/>
      <c r="J89" s="306" t="str">
        <f>$E$10</f>
        <v>LICEO TALENTOS</v>
      </c>
      <c r="K89" s="193">
        <f>VLOOKUP($E$10,MATE!$A$10:$AV$173,33,0)</f>
        <v>0</v>
      </c>
      <c r="L89" s="222">
        <f>VLOOKUP($E$10,MATE!$A$10:$AV$173,34,0)</f>
        <v>0</v>
      </c>
      <c r="M89" s="307">
        <f>VLOOKUP($E$10,MATE!$A$10:$AV$173,35,0)</f>
        <v>0</v>
      </c>
      <c r="N89" s="308">
        <f>VLOOKUP($E$10,MATE!$A$10:$AV$173,36,0)</f>
        <v>0</v>
      </c>
      <c r="O89" s="108">
        <f t="shared" si="3"/>
        <v>0</v>
      </c>
      <c r="P89" s="108"/>
      <c r="Q89" s="98"/>
      <c r="R89" s="1109">
        <v>3</v>
      </c>
      <c r="S89" s="1109" t="s">
        <v>610</v>
      </c>
      <c r="T89" s="1120" t="s">
        <v>893</v>
      </c>
      <c r="U89" s="1120"/>
      <c r="V89" s="1120"/>
      <c r="W89" s="1120"/>
      <c r="X89" s="1120"/>
      <c r="Y89" s="1120"/>
      <c r="Z89" s="98"/>
    </row>
    <row r="90" spans="1:26" ht="20.25" x14ac:dyDescent="0.3">
      <c r="A90" s="199"/>
      <c r="B90" s="207"/>
      <c r="C90" s="205"/>
      <c r="D90" s="98"/>
      <c r="E90" s="98"/>
      <c r="F90" s="98"/>
      <c r="G90" s="98"/>
      <c r="H90" s="98"/>
      <c r="I90" s="1090">
        <v>2020</v>
      </c>
      <c r="J90" s="306" t="str">
        <f>$E$8</f>
        <v>COLOMBIA</v>
      </c>
      <c r="K90" s="193">
        <f>VLOOKUP($E$8,MATE!$A$10:$AV$173,42,0)</f>
        <v>7.0000000000000007E-2</v>
      </c>
      <c r="L90" s="222">
        <f>VLOOKUP($E$8,MATE!$A$10:$AV$173,43,0)</f>
        <v>0.37</v>
      </c>
      <c r="M90" s="307">
        <f>VLOOKUP($E$8,MATE!$A$10:$AV$173,44,0)</f>
        <v>0.5</v>
      </c>
      <c r="N90" s="308">
        <f>VLOOKUP($E$8,MATE!$A$10:$AV$173,45,0)</f>
        <v>0.05</v>
      </c>
      <c r="O90" s="108">
        <f t="shared" si="3"/>
        <v>0.44</v>
      </c>
      <c r="P90" s="108"/>
      <c r="Q90" s="98"/>
      <c r="R90" s="1109"/>
      <c r="S90" s="1109"/>
      <c r="T90" s="1120"/>
      <c r="U90" s="1120"/>
      <c r="V90" s="1120"/>
      <c r="W90" s="1120"/>
      <c r="X90" s="1120"/>
      <c r="Y90" s="1120"/>
      <c r="Z90" s="98"/>
    </row>
    <row r="91" spans="1:26" ht="20.25" x14ac:dyDescent="0.3">
      <c r="A91" s="199"/>
      <c r="B91" s="207"/>
      <c r="C91" s="205"/>
      <c r="D91" s="98"/>
      <c r="E91" s="98"/>
      <c r="F91" s="98"/>
      <c r="G91" s="98"/>
      <c r="H91" s="98"/>
      <c r="I91" s="1091"/>
      <c r="J91" s="306" t="str">
        <f>$E$9</f>
        <v>SOACHA</v>
      </c>
      <c r="K91" s="193">
        <f>VLOOKUP($E$9,MATE!$A$10:$AV$173,42,0)</f>
        <v>0.04</v>
      </c>
      <c r="L91" s="222">
        <f>VLOOKUP($E$9,MATE!$A$10:$AV$173,43,0)</f>
        <v>0.34</v>
      </c>
      <c r="M91" s="307">
        <f>VLOOKUP($E$9,MATE!$A$10:$AV$173,44,0)</f>
        <v>0.59</v>
      </c>
      <c r="N91" s="308">
        <f>VLOOKUP($E$9,MATE!$A$10:$AV$173,45,0)</f>
        <v>0.03</v>
      </c>
      <c r="O91" s="108">
        <f t="shared" si="3"/>
        <v>0.38</v>
      </c>
      <c r="P91" s="108"/>
      <c r="Q91" s="98"/>
      <c r="R91" s="1109"/>
      <c r="S91" s="1109"/>
      <c r="T91" s="1120"/>
      <c r="U91" s="1120"/>
      <c r="V91" s="1120"/>
      <c r="W91" s="1120"/>
      <c r="X91" s="1120"/>
      <c r="Y91" s="1120"/>
      <c r="Z91" s="98"/>
    </row>
    <row r="92" spans="1:26" ht="21.6" customHeight="1" x14ac:dyDescent="0.3">
      <c r="A92" s="199"/>
      <c r="B92" s="207"/>
      <c r="C92" s="205"/>
      <c r="D92" s="98"/>
      <c r="E92" s="98"/>
      <c r="F92" s="98"/>
      <c r="G92" s="98"/>
      <c r="H92" s="98"/>
      <c r="I92" s="1092"/>
      <c r="J92" s="306" t="str">
        <f>$E$10</f>
        <v>LICEO TALENTOS</v>
      </c>
      <c r="K92" s="193">
        <f>VLOOKUP($E$10,MATE!$A$10:$AV$173,42,0)</f>
        <v>0</v>
      </c>
      <c r="L92" s="222">
        <f>VLOOKUP($E$10,MATE!$A$10:$AV$173,43,0)</f>
        <v>0</v>
      </c>
      <c r="M92" s="307">
        <f>VLOOKUP($E$10,MATE!$A$10:$AV$173,44,0)</f>
        <v>0</v>
      </c>
      <c r="N92" s="308">
        <f>VLOOKUP($E$10,MATE!$A$10:$AV$173,45,0)</f>
        <v>0</v>
      </c>
      <c r="O92" s="108">
        <f t="shared" si="3"/>
        <v>0</v>
      </c>
      <c r="P92" s="108"/>
      <c r="Q92" s="98"/>
      <c r="R92" s="1109"/>
      <c r="S92" s="1109"/>
      <c r="T92" s="1120"/>
      <c r="U92" s="1120"/>
      <c r="V92" s="1120"/>
      <c r="W92" s="1120"/>
      <c r="X92" s="1120"/>
      <c r="Y92" s="1120"/>
      <c r="Z92" s="98"/>
    </row>
    <row r="93" spans="1:26" ht="20.25" x14ac:dyDescent="0.3">
      <c r="A93" s="199"/>
      <c r="B93" s="207"/>
      <c r="C93" s="205"/>
      <c r="D93" s="98"/>
      <c r="E93" s="98"/>
      <c r="F93" s="98"/>
      <c r="G93" s="98"/>
      <c r="H93" s="98"/>
      <c r="I93" s="1090">
        <v>2021</v>
      </c>
      <c r="J93" s="306" t="str">
        <f>$E$8</f>
        <v>COLOMBIA</v>
      </c>
      <c r="K93" s="193">
        <f>VLOOKUP($E$8,MATE!$A$10:$BG$173,53,0)</f>
        <v>0.1</v>
      </c>
      <c r="L93" s="222">
        <f>VLOOKUP($E$8,MATE!$A$10:$BG$173,54,0)</f>
        <v>0.4</v>
      </c>
      <c r="M93" s="307">
        <f>VLOOKUP($E$8,MATE!$A$10:$BG$173,55,0)</f>
        <v>0.46</v>
      </c>
      <c r="N93" s="308">
        <f>VLOOKUP($E$8,MATE!$A$10:$BG$173,56,0)</f>
        <v>0.04</v>
      </c>
      <c r="O93" s="108">
        <f t="shared" si="3"/>
        <v>0.5</v>
      </c>
      <c r="P93" s="108"/>
      <c r="Q93" s="98"/>
      <c r="R93" s="1109"/>
      <c r="S93" s="1109"/>
      <c r="T93" s="1120"/>
      <c r="U93" s="1120"/>
      <c r="V93" s="1120"/>
      <c r="W93" s="1120"/>
      <c r="X93" s="1120"/>
      <c r="Y93" s="1120"/>
      <c r="Z93" s="98"/>
    </row>
    <row r="94" spans="1:26" ht="20.25" x14ac:dyDescent="0.3">
      <c r="A94" s="199"/>
      <c r="B94" s="207"/>
      <c r="C94" s="205"/>
      <c r="D94" s="98"/>
      <c r="E94" s="98"/>
      <c r="F94" s="98"/>
      <c r="G94" s="98"/>
      <c r="H94" s="98"/>
      <c r="I94" s="1091"/>
      <c r="J94" s="306" t="str">
        <f>$E$9</f>
        <v>SOACHA</v>
      </c>
      <c r="K94" s="193">
        <f>VLOOKUP($E$9,MATE!$A$10:$BG$173,53,0)</f>
        <v>0.05</v>
      </c>
      <c r="L94" s="222">
        <f>VLOOKUP($E$9,MATE!$A$10:$BG$173,54,0)</f>
        <v>0.39</v>
      </c>
      <c r="M94" s="307">
        <f>VLOOKUP($E$9,MATE!$A$10:$BG$173,55,0)</f>
        <v>0.54</v>
      </c>
      <c r="N94" s="308">
        <f>VLOOKUP($E$9,MATE!$A$10:$BG$173,56,0)</f>
        <v>0.03</v>
      </c>
      <c r="O94" s="108">
        <f t="shared" si="3"/>
        <v>0.44</v>
      </c>
      <c r="P94" s="108"/>
      <c r="Q94" s="98"/>
      <c r="R94" s="1109"/>
      <c r="S94" s="1109"/>
      <c r="T94" s="1120"/>
      <c r="U94" s="1120"/>
      <c r="V94" s="1120"/>
      <c r="W94" s="1120"/>
      <c r="X94" s="1120"/>
      <c r="Y94" s="1120"/>
      <c r="Z94" s="98"/>
    </row>
    <row r="95" spans="1:26" ht="20.25" x14ac:dyDescent="0.3">
      <c r="A95" s="199"/>
      <c r="B95" s="207"/>
      <c r="C95" s="205"/>
      <c r="D95" s="98"/>
      <c r="E95" s="98"/>
      <c r="F95" s="98"/>
      <c r="G95" s="98"/>
      <c r="H95" s="98"/>
      <c r="I95" s="1092"/>
      <c r="J95" s="306" t="str">
        <f>$E$10</f>
        <v>LICEO TALENTOS</v>
      </c>
      <c r="K95" s="193">
        <f>VLOOKUP($E$10,MATE!$A$10:$BG$173,53,0)</f>
        <v>0</v>
      </c>
      <c r="L95" s="222">
        <f>VLOOKUP($E$10,MATE!$A$10:$BG$173,54,0)</f>
        <v>0</v>
      </c>
      <c r="M95" s="307">
        <f>VLOOKUP($E$10,MATE!$A$10:$BG$173,55,0)</f>
        <v>0</v>
      </c>
      <c r="N95" s="308">
        <f>VLOOKUP($E$10,MATE!$A$10:$BG$173,56,0)</f>
        <v>0</v>
      </c>
      <c r="O95" s="108">
        <f t="shared" si="3"/>
        <v>0</v>
      </c>
      <c r="P95" s="108"/>
      <c r="Q95" s="98"/>
      <c r="R95" s="1109"/>
      <c r="S95" s="1109"/>
      <c r="T95" s="1120"/>
      <c r="U95" s="1120"/>
      <c r="V95" s="1120"/>
      <c r="W95" s="1120"/>
      <c r="X95" s="1120"/>
      <c r="Y95" s="1120"/>
      <c r="Z95" s="98"/>
    </row>
    <row r="96" spans="1:26" ht="20.25" x14ac:dyDescent="0.3">
      <c r="A96" s="199"/>
      <c r="B96" s="207"/>
      <c r="C96" s="205"/>
      <c r="D96" s="98"/>
      <c r="E96" s="98"/>
      <c r="F96" s="98"/>
      <c r="G96" s="98"/>
      <c r="H96" s="98"/>
      <c r="I96" s="1090">
        <v>2022</v>
      </c>
      <c r="J96" s="306" t="str">
        <f>$E$8</f>
        <v>COLOMBIA</v>
      </c>
      <c r="K96" s="193">
        <f>VLOOKUP($E$8,MATE!$A$10:$BX$173,67,0)</f>
        <v>0.1</v>
      </c>
      <c r="L96" s="222">
        <f>VLOOKUP($E$8,MATE!$A$10:$BX$173,68,0)</f>
        <v>0.35</v>
      </c>
      <c r="M96" s="307">
        <f>VLOOKUP($E$8,MATE!$A$10:$BX$173,69,0)</f>
        <v>0.49</v>
      </c>
      <c r="N96" s="308">
        <f>VLOOKUP($E$8,MATE!$A$10:$BX$173,70,0)</f>
        <v>0.05</v>
      </c>
      <c r="O96" s="108">
        <f t="shared" ref="O96:O104" si="4">K96+L96</f>
        <v>0.44999999999999996</v>
      </c>
      <c r="P96" s="108"/>
      <c r="Q96" s="98"/>
      <c r="R96" s="1109"/>
      <c r="S96" s="1109"/>
      <c r="T96" s="1120"/>
      <c r="U96" s="1120"/>
      <c r="V96" s="1120"/>
      <c r="W96" s="1120"/>
      <c r="X96" s="1120"/>
      <c r="Y96" s="1120"/>
      <c r="Z96" s="98"/>
    </row>
    <row r="97" spans="1:26" ht="21.6" customHeight="1" x14ac:dyDescent="0.3">
      <c r="A97" s="199"/>
      <c r="B97" s="207"/>
      <c r="C97" s="205"/>
      <c r="D97" s="98"/>
      <c r="E97" s="98"/>
      <c r="F97" s="98"/>
      <c r="G97" s="98"/>
      <c r="H97" s="98"/>
      <c r="I97" s="1091"/>
      <c r="J97" s="306" t="str">
        <f>$E$9</f>
        <v>SOACHA</v>
      </c>
      <c r="K97" s="193">
        <f>VLOOKUP($E$9,MATE!$A$10:$BX$173,67,0)</f>
        <v>0.05</v>
      </c>
      <c r="L97" s="222">
        <f>VLOOKUP($E$9,MATE!$A$10:$BX$173,68,0)</f>
        <v>0.33</v>
      </c>
      <c r="M97" s="307">
        <f>VLOOKUP($E$9,MATE!$A$10:$BX$173,69,0)</f>
        <v>0.57999999999999996</v>
      </c>
      <c r="N97" s="308">
        <f>VLOOKUP($E$9,MATE!$A$10:$BX$173,70,0)</f>
        <v>0.03</v>
      </c>
      <c r="O97" s="108">
        <f t="shared" si="4"/>
        <v>0.38</v>
      </c>
      <c r="P97" s="108"/>
      <c r="Q97" s="98"/>
      <c r="R97" s="1109"/>
      <c r="S97" s="1109"/>
      <c r="T97" s="1120"/>
      <c r="U97" s="1120"/>
      <c r="V97" s="1120"/>
      <c r="W97" s="1120"/>
      <c r="X97" s="1120"/>
      <c r="Y97" s="1120"/>
      <c r="Z97" s="98"/>
    </row>
    <row r="98" spans="1:26" ht="21.6" customHeight="1" x14ac:dyDescent="0.3">
      <c r="A98" s="199"/>
      <c r="B98" s="207"/>
      <c r="C98" s="205"/>
      <c r="D98" s="98"/>
      <c r="E98" s="98"/>
      <c r="F98" s="98"/>
      <c r="G98" s="98"/>
      <c r="H98" s="98"/>
      <c r="I98" s="1092"/>
      <c r="J98" s="306" t="str">
        <f>$E$10</f>
        <v>LICEO TALENTOS</v>
      </c>
      <c r="K98" s="193">
        <f>VLOOKUP($E$10,MATE!$A$10:$BX$173,67,0)</f>
        <v>0</v>
      </c>
      <c r="L98" s="222">
        <f>VLOOKUP($E$10,MATE!$A$10:$BX$173,68,0)</f>
        <v>0</v>
      </c>
      <c r="M98" s="307">
        <f>VLOOKUP($E$10,MATE!$A$10:$BX$173,69,0)</f>
        <v>0</v>
      </c>
      <c r="N98" s="308">
        <f>VLOOKUP($E$10,MATE!$A$10:$BX$173,70,0)</f>
        <v>0</v>
      </c>
      <c r="O98" s="108">
        <f t="shared" si="4"/>
        <v>0</v>
      </c>
      <c r="P98" s="98"/>
      <c r="Q98" s="98"/>
      <c r="R98" s="1109"/>
      <c r="S98" s="1109"/>
      <c r="T98" s="1120"/>
      <c r="U98" s="1120"/>
      <c r="V98" s="1120"/>
      <c r="W98" s="1120"/>
      <c r="X98" s="1120"/>
      <c r="Y98" s="1120"/>
      <c r="Z98" s="98"/>
    </row>
    <row r="99" spans="1:26" ht="21.6" customHeight="1" x14ac:dyDescent="0.3">
      <c r="A99" s="199"/>
      <c r="B99" s="207"/>
      <c r="C99" s="205"/>
      <c r="D99" s="98"/>
      <c r="E99" s="98"/>
      <c r="F99" s="98"/>
      <c r="G99" s="98"/>
      <c r="H99" s="98"/>
      <c r="I99" s="1090">
        <v>2023</v>
      </c>
      <c r="J99" s="306" t="str">
        <f>$E$8</f>
        <v>COLOMBIA</v>
      </c>
      <c r="K99" s="193">
        <f>VLOOKUP($E$8,MATE!$A$10:$CI$173,81,0)</f>
        <v>0.09</v>
      </c>
      <c r="L99" s="222">
        <f>VLOOKUP($E$8,MATE!$A$10:$CI$173,82,0)</f>
        <v>0.35</v>
      </c>
      <c r="M99" s="307">
        <f>VLOOKUP($E$8,MATE!$A$10:$CI$173,83,0)</f>
        <v>0.49</v>
      </c>
      <c r="N99" s="308">
        <f>VLOOKUP($E$8,MATE!$A$10:$CI$173,84,0)</f>
        <v>7.0000000000000007E-2</v>
      </c>
      <c r="O99" s="108">
        <f t="shared" si="4"/>
        <v>0.43999999999999995</v>
      </c>
      <c r="P99" s="98"/>
      <c r="Q99" s="98"/>
      <c r="R99" s="1109"/>
      <c r="S99" s="1109"/>
      <c r="T99" s="1120"/>
      <c r="U99" s="1120"/>
      <c r="V99" s="1120"/>
      <c r="W99" s="1120"/>
      <c r="X99" s="1120"/>
      <c r="Y99" s="1120"/>
      <c r="Z99" s="98"/>
    </row>
    <row r="100" spans="1:26" ht="20.25" x14ac:dyDescent="0.3">
      <c r="A100" s="199"/>
      <c r="B100" s="207"/>
      <c r="C100" s="205"/>
      <c r="D100" s="98"/>
      <c r="E100" s="98"/>
      <c r="F100" s="98"/>
      <c r="G100" s="98"/>
      <c r="H100" s="98"/>
      <c r="I100" s="1091"/>
      <c r="J100" s="306" t="str">
        <f>$E$9</f>
        <v>SOACHA</v>
      </c>
      <c r="K100" s="193">
        <f>VLOOKUP($E$9,MATE!$A$10:$CI$173,81,0)</f>
        <v>0.05</v>
      </c>
      <c r="L100" s="222">
        <f>VLOOKUP($E$9,MATE!$A$10:$CI$173,82,0)</f>
        <v>0.34</v>
      </c>
      <c r="M100" s="307">
        <f>VLOOKUP($E$9,MATE!$A$10:$CI$173,83,0)</f>
        <v>0.56000000000000005</v>
      </c>
      <c r="N100" s="308">
        <f>VLOOKUP($E$9,MATE!$A$10:$CI$173,84,0)</f>
        <v>0.04</v>
      </c>
      <c r="O100" s="108">
        <f t="shared" si="4"/>
        <v>0.39</v>
      </c>
      <c r="P100" s="98"/>
      <c r="Q100" s="98"/>
      <c r="R100" s="1109"/>
      <c r="S100" s="1109"/>
      <c r="T100" s="1120"/>
      <c r="U100" s="1120"/>
      <c r="V100" s="1120"/>
      <c r="W100" s="1120"/>
      <c r="X100" s="1120"/>
      <c r="Y100" s="1120"/>
      <c r="Z100" s="98"/>
    </row>
    <row r="101" spans="1:26" ht="20.25" x14ac:dyDescent="0.3">
      <c r="A101" s="199"/>
      <c r="B101" s="207"/>
      <c r="C101" s="205"/>
      <c r="D101" s="98"/>
      <c r="E101" s="98"/>
      <c r="F101" s="98"/>
      <c r="G101" s="98"/>
      <c r="H101" s="98"/>
      <c r="I101" s="1092"/>
      <c r="J101" s="306" t="str">
        <f>$E$10</f>
        <v>LICEO TALENTOS</v>
      </c>
      <c r="K101" s="193">
        <f>VLOOKUP($E$10,MATE!$A$10:$CI$173,81,0)</f>
        <v>0</v>
      </c>
      <c r="L101" s="222">
        <f>VLOOKUP($E$10,MATE!$A$10:$CI$173,82,0)</f>
        <v>0</v>
      </c>
      <c r="M101" s="307">
        <f>VLOOKUP($E$10,MATE!$A$10:$CI$173,83,0)</f>
        <v>0</v>
      </c>
      <c r="N101" s="308">
        <f>VLOOKUP($E$10,MATE!$A$10:$CI$173,84,0)</f>
        <v>0</v>
      </c>
      <c r="O101" s="108">
        <f t="shared" si="4"/>
        <v>0</v>
      </c>
      <c r="P101" s="98"/>
      <c r="Q101" s="98"/>
      <c r="R101" s="1109"/>
      <c r="S101" s="1109"/>
      <c r="T101" s="1120"/>
      <c r="U101" s="1120"/>
      <c r="V101" s="1120"/>
      <c r="W101" s="1120"/>
      <c r="X101" s="1120"/>
      <c r="Y101" s="1120"/>
      <c r="Z101" s="98"/>
    </row>
    <row r="102" spans="1:26" ht="20.25" x14ac:dyDescent="0.3">
      <c r="A102" s="199"/>
      <c r="B102" s="207"/>
      <c r="C102" s="205"/>
      <c r="D102" s="98"/>
      <c r="E102" s="98"/>
      <c r="F102" s="98"/>
      <c r="G102" s="98"/>
      <c r="H102" s="98"/>
      <c r="I102" s="1090">
        <v>2024</v>
      </c>
      <c r="J102" s="306" t="str">
        <f>$E$8</f>
        <v>COLOMBIA</v>
      </c>
      <c r="K102" s="193">
        <f>VLOOKUP($E$8,MATE!$A$10:$CT$173,92,0)</f>
        <v>0.09</v>
      </c>
      <c r="L102" s="222">
        <f>VLOOKUP($E$8,MATE!$A$10:$CT$173,93,0)</f>
        <v>0.33</v>
      </c>
      <c r="M102" s="307">
        <f>VLOOKUP($E$8,MATE!$A$10:$CT$173,94,0)</f>
        <v>0.5</v>
      </c>
      <c r="N102" s="308">
        <f>VLOOKUP($E$8,MATE!$A$10:$CT$173,95,0)</f>
        <v>0.08</v>
      </c>
      <c r="O102" s="108">
        <f t="shared" si="4"/>
        <v>0.42000000000000004</v>
      </c>
      <c r="P102" s="98"/>
      <c r="Q102" s="98"/>
      <c r="R102" s="1109"/>
      <c r="S102" s="1109"/>
      <c r="T102" s="1120"/>
      <c r="U102" s="1120"/>
      <c r="V102" s="1120"/>
      <c r="W102" s="1120"/>
      <c r="X102" s="1120"/>
      <c r="Y102" s="1120"/>
      <c r="Z102" s="98"/>
    </row>
    <row r="103" spans="1:26" ht="20.25" x14ac:dyDescent="0.3">
      <c r="A103" s="199"/>
      <c r="B103" s="207"/>
      <c r="C103" s="205"/>
      <c r="D103" s="98"/>
      <c r="E103" s="98"/>
      <c r="F103" s="98"/>
      <c r="G103" s="98"/>
      <c r="H103" s="98"/>
      <c r="I103" s="1091"/>
      <c r="J103" s="306" t="str">
        <f>$E$9</f>
        <v>SOACHA</v>
      </c>
      <c r="K103" s="193">
        <f>VLOOKUP($E$9,MATE!$A$10:$CT$173,92,0)</f>
        <v>0.05</v>
      </c>
      <c r="L103" s="222">
        <f>VLOOKUP($E$9,MATE!$A$10:$CT$173,93,0)</f>
        <v>0.31</v>
      </c>
      <c r="M103" s="307">
        <f>VLOOKUP($E$9,MATE!$A$10:$CT$173,94,0)</f>
        <v>0.57999999999999996</v>
      </c>
      <c r="N103" s="308">
        <f>VLOOKUP($E$9,MATE!$A$10:$CT$173,95,0)</f>
        <v>0.06</v>
      </c>
      <c r="O103" s="108">
        <f t="shared" si="4"/>
        <v>0.36</v>
      </c>
      <c r="P103" s="98"/>
      <c r="Q103" s="98"/>
      <c r="R103" s="1109"/>
      <c r="S103" s="1109"/>
      <c r="T103" s="1120"/>
      <c r="U103" s="1120"/>
      <c r="V103" s="1120"/>
      <c r="W103" s="1120"/>
      <c r="X103" s="1120"/>
      <c r="Y103" s="1120"/>
      <c r="Z103" s="98"/>
    </row>
    <row r="104" spans="1:26" ht="20.25" x14ac:dyDescent="0.3">
      <c r="A104" s="199"/>
      <c r="B104" s="207"/>
      <c r="C104" s="205"/>
      <c r="D104" s="98"/>
      <c r="E104" s="98"/>
      <c r="F104" s="98"/>
      <c r="G104" s="98"/>
      <c r="H104" s="98"/>
      <c r="I104" s="1092"/>
      <c r="J104" s="306" t="str">
        <f>$E$10</f>
        <v>LICEO TALENTOS</v>
      </c>
      <c r="K104" s="193">
        <f>VLOOKUP($E$10,MATE!$A$10:$CT$173,92,0)</f>
        <v>0</v>
      </c>
      <c r="L104" s="222">
        <f>VLOOKUP($E$10,MATE!$A$10:$CT$173,93,0)</f>
        <v>0.43</v>
      </c>
      <c r="M104" s="307">
        <f>VLOOKUP($E$10,MATE!$A$10:$CT$173,94,0)</f>
        <v>0.56999999999999995</v>
      </c>
      <c r="N104" s="308">
        <f>VLOOKUP($E$10,MATE!$A$10:$CT$173,95,0)</f>
        <v>0</v>
      </c>
      <c r="O104" s="108">
        <f t="shared" si="4"/>
        <v>0.43</v>
      </c>
      <c r="P104" s="98"/>
      <c r="Q104" s="98"/>
      <c r="R104" s="1109"/>
      <c r="S104" s="1109"/>
      <c r="T104" s="1120"/>
      <c r="U104" s="1120"/>
      <c r="V104" s="1120"/>
      <c r="W104" s="1120"/>
      <c r="X104" s="1120"/>
      <c r="Y104" s="1120"/>
      <c r="Z104" s="98"/>
    </row>
    <row r="105" spans="1:26" ht="20.25" customHeight="1" x14ac:dyDescent="0.3">
      <c r="A105" s="199"/>
      <c r="B105" s="207"/>
      <c r="C105" s="205"/>
      <c r="D105" s="98"/>
      <c r="E105" s="98"/>
      <c r="F105" s="98"/>
      <c r="G105" s="98"/>
      <c r="H105" s="98"/>
      <c r="I105" s="1090">
        <v>2025</v>
      </c>
      <c r="J105" s="306" t="str">
        <f>$E$8</f>
        <v>COLOMBIA</v>
      </c>
      <c r="K105" s="193">
        <f>VLOOKUP($E8,MATE!$A$10:$DE$173,103,0)</f>
        <v>0.1</v>
      </c>
      <c r="L105" s="222">
        <f>VLOOKUP($E8,MATE!$A$10:$DE$173,104,0)</f>
        <v>0.32</v>
      </c>
      <c r="M105" s="307">
        <f>VLOOKUP($E8,MATE!$A$10:$DE$173,105,0)</f>
        <v>0.5</v>
      </c>
      <c r="N105" s="308">
        <f>VLOOKUP($E8,MATE!$A$10:$DE$173,106,0)</f>
        <v>0.09</v>
      </c>
      <c r="O105" s="108">
        <f t="shared" ref="O105:O107" si="5">K105+L105</f>
        <v>0.42000000000000004</v>
      </c>
      <c r="P105" s="98"/>
      <c r="Q105" s="98"/>
      <c r="R105" s="1148">
        <v>4</v>
      </c>
      <c r="S105" s="1148" t="s">
        <v>611</v>
      </c>
      <c r="T105" s="1139" t="s">
        <v>894</v>
      </c>
      <c r="U105" s="1140"/>
      <c r="V105" s="1140"/>
      <c r="W105" s="1140"/>
      <c r="X105" s="1140"/>
      <c r="Y105" s="1141"/>
      <c r="Z105" s="98"/>
    </row>
    <row r="106" spans="1:26" ht="20.25" x14ac:dyDescent="0.3">
      <c r="A106" s="199"/>
      <c r="B106" s="207"/>
      <c r="C106" s="205"/>
      <c r="D106" s="98"/>
      <c r="E106" s="98"/>
      <c r="F106" s="98"/>
      <c r="G106" s="98"/>
      <c r="H106" s="98"/>
      <c r="I106" s="1091"/>
      <c r="J106" s="306" t="str">
        <f>$E$9</f>
        <v>SOACHA</v>
      </c>
      <c r="K106" s="193">
        <f>VLOOKUP($E9,MATE!$A$10:$DE$173,103,0)</f>
        <v>0.05</v>
      </c>
      <c r="L106" s="222">
        <f>VLOOKUP($E9,MATE!$A$10:$DE$173,104,0)</f>
        <v>0.31</v>
      </c>
      <c r="M106" s="307">
        <f>VLOOKUP($E9,MATE!$A$10:$DE$173,105,0)</f>
        <v>0.57999999999999996</v>
      </c>
      <c r="N106" s="308">
        <f>VLOOKUP($E9,MATE!$A$10:$DE$173,106,0)</f>
        <v>0.06</v>
      </c>
      <c r="O106" s="108">
        <f t="shared" si="5"/>
        <v>0.36</v>
      </c>
      <c r="P106" s="98"/>
      <c r="Q106" s="98"/>
      <c r="R106" s="1149"/>
      <c r="S106" s="1149"/>
      <c r="T106" s="1142"/>
      <c r="U106" s="1143"/>
      <c r="V106" s="1143"/>
      <c r="W106" s="1143"/>
      <c r="X106" s="1143"/>
      <c r="Y106" s="1144"/>
      <c r="Z106" s="98"/>
    </row>
    <row r="107" spans="1:26" ht="20.25" x14ac:dyDescent="0.3">
      <c r="A107" s="199"/>
      <c r="B107" s="207"/>
      <c r="C107" s="205"/>
      <c r="D107" s="98"/>
      <c r="E107" s="98"/>
      <c r="F107" s="98"/>
      <c r="G107" s="98"/>
      <c r="H107" s="98"/>
      <c r="I107" s="1092"/>
      <c r="J107" s="306" t="str">
        <f>$E$10</f>
        <v>LICEO TALENTOS</v>
      </c>
      <c r="K107" s="193">
        <f>VLOOKUP($E10,MATE!$A$10:$DE$173,103,0)</f>
        <v>0.09</v>
      </c>
      <c r="L107" s="222">
        <f>VLOOKUP($E10,MATE!$A$10:$DE$173,104,0)</f>
        <v>0.44</v>
      </c>
      <c r="M107" s="307">
        <f>VLOOKUP($E10,MATE!$A$10:$DE$173,105,0)</f>
        <v>0.44</v>
      </c>
      <c r="N107" s="308">
        <f>VLOOKUP($E10,MATE!$A$10:$DE$173,106,0)</f>
        <v>0.03</v>
      </c>
      <c r="O107" s="108">
        <f t="shared" si="5"/>
        <v>0.53</v>
      </c>
      <c r="P107" s="98"/>
      <c r="Q107" s="98"/>
      <c r="R107" s="1149"/>
      <c r="S107" s="1149"/>
      <c r="T107" s="1142"/>
      <c r="U107" s="1143"/>
      <c r="V107" s="1143"/>
      <c r="W107" s="1143"/>
      <c r="X107" s="1143"/>
      <c r="Y107" s="1144"/>
      <c r="Z107" s="98"/>
    </row>
    <row r="108" spans="1:26" ht="20.25" x14ac:dyDescent="0.3">
      <c r="A108" s="199"/>
      <c r="B108" s="207"/>
      <c r="C108" s="205"/>
      <c r="D108" s="98"/>
      <c r="E108" s="98"/>
      <c r="F108" s="98"/>
      <c r="G108" s="98"/>
      <c r="H108" s="98"/>
      <c r="I108"/>
      <c r="J108"/>
      <c r="K108"/>
      <c r="L108"/>
      <c r="M108"/>
      <c r="N108"/>
      <c r="O108" s="108"/>
      <c r="P108" s="98"/>
      <c r="Q108" s="98"/>
      <c r="R108" s="1149"/>
      <c r="S108" s="1149"/>
      <c r="T108" s="1142"/>
      <c r="U108" s="1143"/>
      <c r="V108" s="1143"/>
      <c r="W108" s="1143"/>
      <c r="X108" s="1143"/>
      <c r="Y108" s="1144"/>
      <c r="Z108" s="98"/>
    </row>
    <row r="109" spans="1:26" ht="20.25" x14ac:dyDescent="0.3">
      <c r="A109" s="199"/>
      <c r="B109" s="207"/>
      <c r="C109" s="205"/>
      <c r="D109" s="98"/>
      <c r="E109" s="98"/>
      <c r="F109" s="98"/>
      <c r="G109" s="98"/>
      <c r="H109" s="98"/>
      <c r="I109"/>
      <c r="J109"/>
      <c r="K109"/>
      <c r="L109"/>
      <c r="M109"/>
      <c r="N109"/>
      <c r="O109" s="108"/>
      <c r="P109" s="98"/>
      <c r="Q109" s="98"/>
      <c r="R109" s="1149"/>
      <c r="S109" s="1149"/>
      <c r="T109" s="1142"/>
      <c r="U109" s="1143"/>
      <c r="V109" s="1143"/>
      <c r="W109" s="1143"/>
      <c r="X109" s="1143"/>
      <c r="Y109" s="1144"/>
      <c r="Z109" s="98"/>
    </row>
    <row r="110" spans="1:26" ht="20.25" x14ac:dyDescent="0.3">
      <c r="A110" s="199"/>
      <c r="B110" s="207"/>
      <c r="C110" s="205"/>
      <c r="D110" s="98"/>
      <c r="E110" s="98"/>
      <c r="F110" s="98"/>
      <c r="G110" s="98"/>
      <c r="H110" s="98"/>
      <c r="I110"/>
      <c r="J110"/>
      <c r="K110"/>
      <c r="L110"/>
      <c r="M110"/>
      <c r="N110"/>
      <c r="O110" s="108"/>
      <c r="P110" s="98"/>
      <c r="Q110" s="98"/>
      <c r="R110" s="1149"/>
      <c r="S110" s="1149"/>
      <c r="T110" s="1142"/>
      <c r="U110" s="1143"/>
      <c r="V110" s="1143"/>
      <c r="W110" s="1143"/>
      <c r="X110" s="1143"/>
      <c r="Y110" s="1144"/>
      <c r="Z110" s="98"/>
    </row>
    <row r="111" spans="1:26" ht="20.25" x14ac:dyDescent="0.3">
      <c r="A111" s="199"/>
      <c r="B111" s="207"/>
      <c r="C111" s="205"/>
      <c r="D111" s="98"/>
      <c r="E111" s="98"/>
      <c r="F111" s="98"/>
      <c r="G111" s="98"/>
      <c r="H111" s="98"/>
      <c r="I111"/>
      <c r="J111"/>
      <c r="K111"/>
      <c r="L111"/>
      <c r="M111"/>
      <c r="N111"/>
      <c r="O111" s="108"/>
      <c r="P111" s="98"/>
      <c r="Q111" s="98"/>
      <c r="R111" s="1149"/>
      <c r="S111" s="1149"/>
      <c r="T111" s="1142"/>
      <c r="U111" s="1143"/>
      <c r="V111" s="1143"/>
      <c r="W111" s="1143"/>
      <c r="X111" s="1143"/>
      <c r="Y111" s="1144"/>
      <c r="Z111" s="98"/>
    </row>
    <row r="112" spans="1:26" ht="20.25" x14ac:dyDescent="0.3">
      <c r="A112" s="199"/>
      <c r="B112" s="207"/>
      <c r="C112" s="205"/>
      <c r="D112" s="98"/>
      <c r="E112" s="98"/>
      <c r="F112" s="98"/>
      <c r="G112" s="98"/>
      <c r="H112" s="98"/>
      <c r="I112"/>
      <c r="J112"/>
      <c r="K112"/>
      <c r="L112"/>
      <c r="M112"/>
      <c r="N112"/>
      <c r="O112" s="108"/>
      <c r="P112" s="98"/>
      <c r="Q112" s="98"/>
      <c r="R112" s="1149"/>
      <c r="S112" s="1149"/>
      <c r="T112" s="1142"/>
      <c r="U112" s="1143"/>
      <c r="V112" s="1143"/>
      <c r="W112" s="1143"/>
      <c r="X112" s="1143"/>
      <c r="Y112" s="1144"/>
      <c r="Z112" s="98"/>
    </row>
    <row r="113" spans="1:26" ht="20.25" x14ac:dyDescent="0.3">
      <c r="A113" s="199"/>
      <c r="B113" s="207"/>
      <c r="C113" s="205"/>
      <c r="D113" s="98"/>
      <c r="E113" s="98"/>
      <c r="F113" s="98"/>
      <c r="G113" s="98"/>
      <c r="H113" s="98"/>
      <c r="I113"/>
      <c r="J113"/>
      <c r="K113"/>
      <c r="L113"/>
      <c r="M113"/>
      <c r="N113"/>
      <c r="O113" s="108"/>
      <c r="P113" s="98"/>
      <c r="Q113" s="98"/>
      <c r="R113" s="1149"/>
      <c r="S113" s="1149"/>
      <c r="T113" s="1142"/>
      <c r="U113" s="1143"/>
      <c r="V113" s="1143"/>
      <c r="W113" s="1143"/>
      <c r="X113" s="1143"/>
      <c r="Y113" s="1144"/>
      <c r="Z113" s="98"/>
    </row>
    <row r="114" spans="1:26" ht="20.25" x14ac:dyDescent="0.3">
      <c r="A114" s="199"/>
      <c r="B114" s="207"/>
      <c r="C114" s="205"/>
      <c r="D114" s="98"/>
      <c r="E114" s="98"/>
      <c r="F114" s="98"/>
      <c r="G114" s="98"/>
      <c r="H114" s="98"/>
      <c r="I114"/>
      <c r="J114"/>
      <c r="K114"/>
      <c r="L114"/>
      <c r="M114"/>
      <c r="N114"/>
      <c r="O114" s="108"/>
      <c r="P114" s="98"/>
      <c r="Q114" s="98"/>
      <c r="R114" s="1149"/>
      <c r="S114" s="1149"/>
      <c r="T114" s="1142"/>
      <c r="U114" s="1143"/>
      <c r="V114" s="1143"/>
      <c r="W114" s="1143"/>
      <c r="X114" s="1143"/>
      <c r="Y114" s="1144"/>
      <c r="Z114" s="98"/>
    </row>
    <row r="115" spans="1:26" ht="20.25" x14ac:dyDescent="0.3">
      <c r="A115" s="199"/>
      <c r="B115" s="207"/>
      <c r="C115" s="205"/>
      <c r="D115" s="98"/>
      <c r="E115" s="98"/>
      <c r="F115" s="98"/>
      <c r="G115" s="98"/>
      <c r="H115" s="98"/>
      <c r="I115"/>
      <c r="J115"/>
      <c r="K115"/>
      <c r="L115"/>
      <c r="M115"/>
      <c r="N115"/>
      <c r="O115" s="108"/>
      <c r="P115" s="98"/>
      <c r="Q115" s="98"/>
      <c r="R115" s="1149"/>
      <c r="S115" s="1149"/>
      <c r="T115" s="1142"/>
      <c r="U115" s="1143"/>
      <c r="V115" s="1143"/>
      <c r="W115" s="1143"/>
      <c r="X115" s="1143"/>
      <c r="Y115" s="1144"/>
      <c r="Z115" s="98"/>
    </row>
    <row r="116" spans="1:26" ht="20.25" x14ac:dyDescent="0.3">
      <c r="A116" s="199"/>
      <c r="B116" s="207"/>
      <c r="C116" s="205"/>
      <c r="D116" s="98"/>
      <c r="E116" s="98"/>
      <c r="F116" s="98"/>
      <c r="G116" s="98"/>
      <c r="H116" s="98"/>
      <c r="I116"/>
      <c r="J116"/>
      <c r="K116"/>
      <c r="L116"/>
      <c r="M116"/>
      <c r="N116"/>
      <c r="O116" s="108"/>
      <c r="P116" s="98"/>
      <c r="Q116" s="98"/>
      <c r="R116" s="1149"/>
      <c r="S116" s="1149"/>
      <c r="T116" s="1142"/>
      <c r="U116" s="1143"/>
      <c r="V116" s="1143"/>
      <c r="W116" s="1143"/>
      <c r="X116" s="1143"/>
      <c r="Y116" s="1144"/>
      <c r="Z116" s="98"/>
    </row>
    <row r="117" spans="1:26" ht="20.25" x14ac:dyDescent="0.3">
      <c r="A117" s="199"/>
      <c r="B117" s="207"/>
      <c r="C117" s="205"/>
      <c r="D117" s="98"/>
      <c r="E117" s="98"/>
      <c r="F117" s="98"/>
      <c r="G117" s="98"/>
      <c r="H117" s="98"/>
      <c r="I117"/>
      <c r="J117"/>
      <c r="K117"/>
      <c r="L117"/>
      <c r="M117"/>
      <c r="N117"/>
      <c r="O117" s="108"/>
      <c r="P117" s="98"/>
      <c r="Q117" s="98"/>
      <c r="R117" s="1149"/>
      <c r="S117" s="1149"/>
      <c r="T117" s="1142"/>
      <c r="U117" s="1143"/>
      <c r="V117" s="1143"/>
      <c r="W117" s="1143"/>
      <c r="X117" s="1143"/>
      <c r="Y117" s="1144"/>
      <c r="Z117" s="98"/>
    </row>
    <row r="118" spans="1:26" ht="20.25" x14ac:dyDescent="0.3">
      <c r="A118" s="199"/>
      <c r="B118" s="207"/>
      <c r="C118" s="205"/>
      <c r="D118" s="98"/>
      <c r="E118" s="98"/>
      <c r="F118" s="98"/>
      <c r="G118" s="98"/>
      <c r="H118" s="98"/>
      <c r="I118"/>
      <c r="J118"/>
      <c r="K118"/>
      <c r="L118"/>
      <c r="M118"/>
      <c r="N118"/>
      <c r="O118" s="108"/>
      <c r="P118" s="98"/>
      <c r="Q118" s="98"/>
      <c r="R118" s="1149"/>
      <c r="S118" s="1149"/>
      <c r="T118" s="1142"/>
      <c r="U118" s="1143"/>
      <c r="V118" s="1143"/>
      <c r="W118" s="1143"/>
      <c r="X118" s="1143"/>
      <c r="Y118" s="1144"/>
      <c r="Z118" s="98"/>
    </row>
    <row r="119" spans="1:26" ht="20.25" x14ac:dyDescent="0.3">
      <c r="A119" s="199"/>
      <c r="B119" s="207"/>
      <c r="C119" s="205"/>
      <c r="D119" s="98"/>
      <c r="E119" s="98"/>
      <c r="F119" s="98"/>
      <c r="G119" s="98"/>
      <c r="H119" s="98"/>
      <c r="I119"/>
      <c r="J119"/>
      <c r="K119"/>
      <c r="L119"/>
      <c r="M119"/>
      <c r="N119"/>
      <c r="O119" s="108"/>
      <c r="P119" s="98"/>
      <c r="Q119" s="98"/>
      <c r="R119" s="1149"/>
      <c r="S119" s="1149"/>
      <c r="T119" s="1142"/>
      <c r="U119" s="1143"/>
      <c r="V119" s="1143"/>
      <c r="W119" s="1143"/>
      <c r="X119" s="1143"/>
      <c r="Y119" s="1144"/>
      <c r="Z119" s="98"/>
    </row>
    <row r="120" spans="1:26" ht="20.25" x14ac:dyDescent="0.3">
      <c r="A120" s="199"/>
      <c r="B120" s="207"/>
      <c r="C120" s="205"/>
      <c r="D120" s="98"/>
      <c r="E120" s="98"/>
      <c r="F120" s="98"/>
      <c r="G120" s="98"/>
      <c r="H120" s="98"/>
      <c r="I120"/>
      <c r="J120"/>
      <c r="K120"/>
      <c r="L120"/>
      <c r="M120"/>
      <c r="N120"/>
      <c r="O120" s="108"/>
      <c r="P120" s="98"/>
      <c r="Q120" s="98"/>
      <c r="R120" s="1150"/>
      <c r="S120" s="1150"/>
      <c r="T120" s="1145"/>
      <c r="U120" s="1146"/>
      <c r="V120" s="1146"/>
      <c r="W120" s="1146"/>
      <c r="X120" s="1146"/>
      <c r="Y120" s="1147"/>
      <c r="Z120" s="98"/>
    </row>
    <row r="121" spans="1:26" ht="20.45" customHeight="1" x14ac:dyDescent="0.3">
      <c r="A121" s="199"/>
      <c r="B121" s="207"/>
      <c r="C121" s="205"/>
      <c r="D121" s="98"/>
      <c r="E121" s="98"/>
      <c r="F121" s="98"/>
      <c r="G121" s="98"/>
      <c r="H121" s="98"/>
      <c r="I121" s="98"/>
      <c r="J121" s="98"/>
      <c r="K121" s="108"/>
      <c r="L121" s="98"/>
      <c r="M121" s="98"/>
      <c r="N121" s="98"/>
      <c r="O121" s="98"/>
      <c r="P121" s="98"/>
      <c r="Q121" s="98"/>
      <c r="R121"/>
      <c r="S121"/>
      <c r="T121"/>
      <c r="U121"/>
      <c r="V121"/>
      <c r="W121"/>
      <c r="X121"/>
      <c r="Y121"/>
      <c r="Z121" s="98"/>
    </row>
    <row r="122" spans="1:26" ht="20.25" x14ac:dyDescent="0.3">
      <c r="A122" s="199"/>
      <c r="B122" s="207"/>
      <c r="C122" s="205"/>
      <c r="D122" s="98"/>
      <c r="E122" s="98"/>
      <c r="F122" s="98"/>
      <c r="G122" s="98"/>
      <c r="H122" s="98"/>
      <c r="I122" s="98"/>
      <c r="J122" s="98"/>
      <c r="K122" s="108"/>
      <c r="L122" s="98"/>
      <c r="M122" s="98"/>
      <c r="N122" s="98"/>
      <c r="O122" s="98"/>
      <c r="P122" s="98"/>
      <c r="Q122" s="98"/>
      <c r="R122"/>
      <c r="S122"/>
      <c r="T122"/>
      <c r="U122"/>
      <c r="V122"/>
      <c r="W122"/>
      <c r="X122"/>
      <c r="Y122"/>
      <c r="Z122" s="98"/>
    </row>
    <row r="123" spans="1:26" ht="21" customHeight="1" x14ac:dyDescent="0.3">
      <c r="A123" s="199"/>
      <c r="B123" s="207"/>
      <c r="C123" s="205"/>
      <c r="D123" s="98"/>
      <c r="E123" s="98"/>
      <c r="F123" s="98"/>
      <c r="G123" s="98"/>
      <c r="H123" s="98"/>
      <c r="I123" s="98"/>
      <c r="J123" s="98"/>
      <c r="K123" s="108"/>
      <c r="L123" s="98"/>
      <c r="M123" s="98"/>
      <c r="N123" s="98"/>
      <c r="O123" s="98"/>
      <c r="P123" s="98"/>
      <c r="Q123" s="98"/>
      <c r="R123"/>
      <c r="S123"/>
      <c r="T123"/>
      <c r="U123"/>
      <c r="V123"/>
      <c r="W123"/>
      <c r="X123"/>
      <c r="Y123"/>
      <c r="Z123" s="98"/>
    </row>
    <row r="124" spans="1:26" ht="20.25" x14ac:dyDescent="0.3">
      <c r="A124" s="199"/>
      <c r="B124" s="207"/>
      <c r="C124" s="205"/>
      <c r="D124" s="98"/>
      <c r="E124" s="98"/>
      <c r="F124" s="98"/>
      <c r="G124" s="98"/>
      <c r="H124" s="98"/>
      <c r="I124" s="98"/>
      <c r="J124" s="98"/>
      <c r="K124" s="108"/>
      <c r="L124" s="98"/>
      <c r="M124" s="98"/>
      <c r="N124" s="98"/>
      <c r="O124" s="98"/>
      <c r="P124" s="98"/>
      <c r="Q124" s="98"/>
      <c r="R124"/>
      <c r="S124"/>
      <c r="T124"/>
      <c r="U124"/>
      <c r="V124"/>
      <c r="W124"/>
      <c r="X124"/>
      <c r="Y124"/>
      <c r="Z124" s="98"/>
    </row>
    <row r="125" spans="1:26" ht="20.25" x14ac:dyDescent="0.3">
      <c r="A125" s="199"/>
      <c r="B125" s="207"/>
      <c r="C125" s="205"/>
      <c r="D125" s="98"/>
      <c r="E125" s="98"/>
      <c r="F125" s="98"/>
      <c r="G125" s="98"/>
      <c r="H125" s="98"/>
      <c r="I125" s="98"/>
      <c r="J125" s="98"/>
      <c r="K125" s="108"/>
      <c r="L125" s="98"/>
      <c r="M125" s="98"/>
      <c r="N125" s="98"/>
      <c r="O125" s="98"/>
      <c r="P125" s="98"/>
      <c r="Q125" s="98"/>
      <c r="R125"/>
      <c r="S125"/>
      <c r="T125"/>
      <c r="U125"/>
      <c r="V125"/>
      <c r="W125"/>
      <c r="X125"/>
      <c r="Y125"/>
      <c r="Z125" s="98"/>
    </row>
    <row r="126" spans="1:26" ht="20.25" x14ac:dyDescent="0.3">
      <c r="A126" s="199"/>
      <c r="B126" s="207"/>
      <c r="C126" s="205"/>
      <c r="D126" s="98"/>
      <c r="E126" s="98"/>
      <c r="F126" s="98"/>
      <c r="G126" s="98"/>
      <c r="H126" s="98"/>
      <c r="I126" s="98"/>
      <c r="J126" s="98"/>
      <c r="K126" s="108"/>
      <c r="L126" s="98"/>
      <c r="M126" s="98"/>
      <c r="N126" s="98"/>
      <c r="O126" s="98"/>
      <c r="P126" s="98"/>
      <c r="Q126" s="98"/>
      <c r="R126"/>
      <c r="S126"/>
      <c r="T126"/>
      <c r="U126"/>
      <c r="V126"/>
      <c r="W126"/>
      <c r="X126"/>
      <c r="Y126"/>
      <c r="Z126" s="98"/>
    </row>
    <row r="127" spans="1:26" ht="20.25" x14ac:dyDescent="0.3">
      <c r="A127" s="199"/>
      <c r="B127" s="207"/>
      <c r="C127" s="205"/>
      <c r="D127" s="98"/>
      <c r="E127" s="98"/>
      <c r="F127" s="98"/>
      <c r="G127" s="98"/>
      <c r="H127" s="98"/>
      <c r="I127" s="98"/>
      <c r="J127" s="98"/>
      <c r="K127" s="108"/>
      <c r="L127" s="98"/>
      <c r="M127" s="98"/>
      <c r="N127" s="98"/>
      <c r="O127" s="98"/>
      <c r="P127" s="98"/>
      <c r="Q127" s="98"/>
      <c r="R127"/>
      <c r="S127"/>
      <c r="T127"/>
      <c r="U127"/>
      <c r="V127"/>
      <c r="W127"/>
      <c r="X127"/>
      <c r="Y127"/>
      <c r="Z127" s="98"/>
    </row>
    <row r="128" spans="1:26" ht="20.25" x14ac:dyDescent="0.3">
      <c r="A128" s="199"/>
      <c r="B128" s="207"/>
      <c r="C128" s="205"/>
      <c r="D128" s="98"/>
      <c r="E128" s="98"/>
      <c r="F128" s="98"/>
      <c r="G128" s="98"/>
      <c r="H128" s="98"/>
      <c r="I128" s="98"/>
      <c r="J128" s="98"/>
      <c r="K128" s="108"/>
      <c r="L128" s="98"/>
      <c r="M128" s="98"/>
      <c r="N128" s="98"/>
      <c r="O128" s="98"/>
      <c r="P128" s="98"/>
      <c r="Q128" s="98"/>
      <c r="R128"/>
      <c r="S128"/>
      <c r="T128"/>
      <c r="U128"/>
      <c r="V128"/>
      <c r="W128"/>
      <c r="X128"/>
      <c r="Y128"/>
      <c r="Z128" s="98"/>
    </row>
    <row r="129" spans="1:26" ht="20.25" x14ac:dyDescent="0.3">
      <c r="A129" s="199"/>
      <c r="B129" s="207"/>
      <c r="C129" s="205"/>
      <c r="D129" s="98"/>
      <c r="E129" s="98"/>
      <c r="F129" s="98"/>
      <c r="G129" s="98"/>
      <c r="H129" s="98"/>
      <c r="I129" s="98"/>
      <c r="J129" s="98"/>
      <c r="K129" s="108"/>
      <c r="L129" s="98"/>
      <c r="M129" s="98"/>
      <c r="N129" s="98"/>
      <c r="O129" s="98"/>
      <c r="P129" s="98"/>
      <c r="Q129" s="98"/>
      <c r="R129"/>
      <c r="S129"/>
      <c r="T129"/>
      <c r="U129"/>
      <c r="V129"/>
      <c r="W129"/>
      <c r="X129"/>
      <c r="Y129"/>
      <c r="Z129" s="98"/>
    </row>
    <row r="130" spans="1:26" ht="20.25" x14ac:dyDescent="0.3">
      <c r="A130" s="199"/>
      <c r="B130" s="207"/>
      <c r="C130" s="205"/>
      <c r="D130" s="98"/>
      <c r="E130" s="98"/>
      <c r="F130" s="98"/>
      <c r="G130" s="98"/>
      <c r="H130" s="98"/>
      <c r="I130" s="98"/>
      <c r="J130" s="98"/>
      <c r="K130" s="108"/>
      <c r="L130" s="98"/>
      <c r="M130" s="98"/>
      <c r="N130" s="98"/>
      <c r="O130" s="98"/>
      <c r="P130" s="98"/>
      <c r="Q130" s="98"/>
      <c r="R130"/>
      <c r="S130"/>
      <c r="T130"/>
      <c r="U130"/>
      <c r="V130"/>
      <c r="W130"/>
      <c r="X130"/>
      <c r="Y130"/>
      <c r="Z130" s="98"/>
    </row>
    <row r="131" spans="1:26" ht="20.25" x14ac:dyDescent="0.3">
      <c r="A131" s="199"/>
      <c r="B131" s="207"/>
      <c r="C131" s="205"/>
      <c r="D131" s="98"/>
      <c r="E131" s="98"/>
      <c r="F131" s="98"/>
      <c r="G131" s="98"/>
      <c r="H131" s="98"/>
      <c r="I131" s="98"/>
      <c r="J131" s="98"/>
      <c r="K131" s="108"/>
      <c r="L131" s="98"/>
      <c r="M131" s="98"/>
      <c r="N131" s="98"/>
      <c r="O131" s="98"/>
      <c r="P131" s="98"/>
      <c r="Q131" s="98"/>
      <c r="R131"/>
      <c r="S131"/>
      <c r="T131"/>
      <c r="U131"/>
      <c r="V131"/>
      <c r="W131"/>
      <c r="X131"/>
      <c r="Y131"/>
      <c r="Z131" s="98"/>
    </row>
    <row r="132" spans="1:26" ht="20.25" x14ac:dyDescent="0.3">
      <c r="A132" s="199"/>
      <c r="B132" s="207"/>
      <c r="C132" s="205"/>
      <c r="D132" s="98"/>
      <c r="E132" s="98"/>
      <c r="F132" s="98"/>
      <c r="G132" s="98"/>
      <c r="H132" s="98"/>
      <c r="I132" s="98"/>
      <c r="J132" s="98"/>
      <c r="K132" s="108"/>
      <c r="L132" s="98"/>
      <c r="M132" s="98"/>
      <c r="N132" s="98"/>
      <c r="O132" s="98"/>
      <c r="P132" s="98"/>
      <c r="Q132" s="98"/>
      <c r="R132"/>
      <c r="S132"/>
      <c r="T132"/>
      <c r="U132"/>
      <c r="V132"/>
      <c r="W132"/>
      <c r="X132"/>
      <c r="Y132"/>
      <c r="Z132" s="98"/>
    </row>
    <row r="133" spans="1:26" ht="20.45" customHeight="1" x14ac:dyDescent="0.3">
      <c r="A133" s="199"/>
      <c r="B133" s="207"/>
      <c r="C133" s="205"/>
      <c r="D133" s="98"/>
      <c r="E133" s="98"/>
      <c r="F133" s="98"/>
      <c r="G133" s="98"/>
      <c r="H133" s="98"/>
      <c r="I133" s="98"/>
      <c r="J133" s="98"/>
      <c r="K133" s="108"/>
      <c r="L133" s="98"/>
      <c r="M133" s="98"/>
      <c r="N133" s="98"/>
      <c r="O133" s="98"/>
      <c r="P133" s="98"/>
      <c r="Q133" s="98"/>
      <c r="R133"/>
      <c r="S133"/>
      <c r="T133"/>
      <c r="U133"/>
      <c r="V133"/>
      <c r="W133"/>
      <c r="X133"/>
      <c r="Y133"/>
      <c r="Z133" s="98"/>
    </row>
    <row r="134" spans="1:26" ht="20.25" x14ac:dyDescent="0.3">
      <c r="A134" s="199"/>
      <c r="B134" s="207"/>
      <c r="C134" s="205"/>
      <c r="D134" s="98"/>
      <c r="E134" s="98"/>
      <c r="F134" s="98"/>
      <c r="G134" s="98"/>
      <c r="H134" s="98"/>
      <c r="I134" s="98"/>
      <c r="J134" s="98"/>
      <c r="K134" s="108"/>
      <c r="L134" s="98"/>
      <c r="M134" s="98"/>
      <c r="N134" s="98"/>
      <c r="O134" s="98"/>
      <c r="P134" s="98"/>
      <c r="Q134" s="98"/>
      <c r="R134"/>
      <c r="S134"/>
      <c r="T134"/>
      <c r="U134"/>
      <c r="V134"/>
      <c r="W134"/>
      <c r="X134"/>
      <c r="Y134"/>
      <c r="Z134" s="98"/>
    </row>
    <row r="135" spans="1:26" ht="21" customHeight="1" x14ac:dyDescent="0.3">
      <c r="A135" s="199"/>
      <c r="B135" s="207"/>
      <c r="C135" s="205"/>
      <c r="D135" s="98"/>
      <c r="E135" s="98"/>
      <c r="F135" s="98"/>
      <c r="G135" s="98"/>
      <c r="H135" s="98"/>
      <c r="I135" s="98"/>
      <c r="J135" s="98"/>
      <c r="K135" s="108"/>
      <c r="L135" s="98"/>
      <c r="M135" s="98"/>
      <c r="N135" s="98"/>
      <c r="O135" s="98"/>
      <c r="P135" s="98"/>
      <c r="Q135" s="98"/>
      <c r="R135"/>
      <c r="S135"/>
      <c r="T135"/>
      <c r="U135"/>
      <c r="V135"/>
      <c r="W135"/>
      <c r="X135"/>
      <c r="Y135"/>
      <c r="Z135" s="98"/>
    </row>
    <row r="136" spans="1:26" ht="20.25" x14ac:dyDescent="0.3">
      <c r="A136" s="199"/>
      <c r="B136" s="207"/>
      <c r="C136" s="205"/>
      <c r="D136" s="98"/>
      <c r="E136" s="98"/>
      <c r="F136" s="98"/>
      <c r="G136" s="98"/>
      <c r="H136" s="98"/>
      <c r="I136" s="98"/>
      <c r="J136" s="98"/>
      <c r="K136" s="108"/>
      <c r="L136" s="98"/>
      <c r="M136" s="98"/>
      <c r="N136" s="98"/>
      <c r="O136" s="98"/>
      <c r="P136" s="98"/>
      <c r="Q136" s="98"/>
      <c r="R136"/>
      <c r="S136"/>
      <c r="T136"/>
      <c r="U136"/>
      <c r="V136"/>
      <c r="W136"/>
      <c r="X136"/>
      <c r="Y136"/>
      <c r="Z136" s="98"/>
    </row>
    <row r="137" spans="1:26" ht="20.25" x14ac:dyDescent="0.3">
      <c r="A137" s="199"/>
      <c r="B137" s="207"/>
      <c r="C137" s="205"/>
      <c r="D137" s="98"/>
      <c r="E137" s="98"/>
      <c r="F137" s="98"/>
      <c r="G137" s="98"/>
      <c r="H137" s="98"/>
      <c r="I137" s="98"/>
      <c r="J137" s="98"/>
      <c r="K137" s="108"/>
      <c r="L137" s="98"/>
      <c r="M137" s="98"/>
      <c r="N137" s="98"/>
      <c r="O137" s="98"/>
      <c r="P137" s="98"/>
      <c r="Q137" s="98"/>
      <c r="R137" s="98"/>
      <c r="S137" s="98"/>
      <c r="T137" s="98"/>
      <c r="U137" s="98"/>
      <c r="V137" s="98"/>
      <c r="W137" s="98"/>
      <c r="X137" s="98"/>
      <c r="Y137" s="98"/>
      <c r="Z137" s="98"/>
    </row>
    <row r="138" spans="1:26" ht="20.25" x14ac:dyDescent="0.3">
      <c r="A138" s="199"/>
      <c r="B138" s="207"/>
      <c r="C138" s="205"/>
      <c r="D138" s="98"/>
      <c r="E138" s="98"/>
      <c r="F138" s="98"/>
      <c r="G138" s="98"/>
      <c r="H138" s="98"/>
      <c r="I138" s="98"/>
      <c r="J138" s="98"/>
      <c r="K138" s="108"/>
      <c r="L138" s="98"/>
      <c r="M138" s="98"/>
      <c r="N138" s="98"/>
      <c r="O138" s="98"/>
      <c r="P138" s="98"/>
      <c r="Q138" s="98"/>
      <c r="R138" s="98"/>
      <c r="S138" s="98"/>
      <c r="T138" s="98"/>
      <c r="U138" s="98"/>
      <c r="V138" s="98"/>
      <c r="W138" s="98"/>
      <c r="X138" s="98"/>
      <c r="Y138" s="98"/>
      <c r="Z138" s="98"/>
    </row>
    <row r="139" spans="1:26" ht="20.25" x14ac:dyDescent="0.3">
      <c r="A139" s="199"/>
      <c r="B139" s="207"/>
      <c r="C139" s="205"/>
      <c r="D139" s="98"/>
      <c r="E139" s="98"/>
      <c r="F139" s="98"/>
      <c r="G139" s="98"/>
      <c r="H139" s="98"/>
      <c r="I139" s="98"/>
      <c r="J139" s="98"/>
      <c r="K139" s="108"/>
      <c r="L139" s="98"/>
      <c r="M139" s="98"/>
      <c r="N139" s="98"/>
      <c r="O139" s="98"/>
      <c r="P139" s="98"/>
      <c r="Q139" s="98"/>
      <c r="R139" s="98"/>
      <c r="S139" s="98"/>
      <c r="T139" s="98"/>
      <c r="U139" s="98"/>
      <c r="V139" s="98"/>
      <c r="W139" s="98"/>
      <c r="X139" s="98"/>
      <c r="Y139" s="98"/>
      <c r="Z139" s="98"/>
    </row>
    <row r="140" spans="1:26" ht="20.25" x14ac:dyDescent="0.3">
      <c r="A140" s="199"/>
      <c r="B140" s="207"/>
      <c r="C140" s="205"/>
      <c r="D140" s="98"/>
      <c r="E140" s="98"/>
      <c r="F140" s="98"/>
      <c r="G140" s="98"/>
      <c r="H140" s="98"/>
      <c r="I140" s="98"/>
      <c r="J140" s="98"/>
      <c r="K140" s="108"/>
      <c r="L140" s="98"/>
      <c r="M140" s="98"/>
      <c r="N140" s="98"/>
      <c r="O140" s="98"/>
      <c r="P140" s="98"/>
      <c r="Q140" s="98"/>
      <c r="R140" s="98"/>
      <c r="S140" s="98"/>
      <c r="T140" s="98"/>
      <c r="U140" s="98"/>
      <c r="V140" s="98"/>
      <c r="W140" s="98"/>
      <c r="X140" s="98"/>
      <c r="Y140" s="98"/>
      <c r="Z140" s="98"/>
    </row>
    <row r="141" spans="1:26" ht="20.25" x14ac:dyDescent="0.3">
      <c r="A141" s="199"/>
      <c r="B141" s="207"/>
      <c r="C141" s="205"/>
      <c r="D141" s="98"/>
      <c r="E141" s="98"/>
      <c r="F141" s="98"/>
      <c r="G141" s="98"/>
      <c r="H141" s="98"/>
      <c r="I141" s="98"/>
      <c r="J141" s="98"/>
      <c r="K141" s="108"/>
      <c r="L141" s="98"/>
      <c r="M141" s="98"/>
      <c r="N141" s="98"/>
      <c r="O141" s="98"/>
      <c r="P141" s="98"/>
      <c r="Q141" s="98"/>
      <c r="R141" s="98"/>
      <c r="S141" s="98"/>
      <c r="T141" s="98"/>
      <c r="U141" s="98"/>
      <c r="V141" s="98"/>
      <c r="W141" s="98"/>
      <c r="X141" s="98"/>
      <c r="Y141" s="98"/>
      <c r="Z141" s="98"/>
    </row>
    <row r="142" spans="1:26" ht="20.25" x14ac:dyDescent="0.3">
      <c r="A142" s="199"/>
      <c r="B142" s="207"/>
      <c r="C142" s="205"/>
      <c r="D142" s="98"/>
      <c r="E142" s="98"/>
      <c r="F142" s="98"/>
      <c r="G142" s="98"/>
      <c r="H142" s="98"/>
      <c r="I142" s="98"/>
      <c r="J142" s="98"/>
      <c r="K142" s="108"/>
      <c r="L142" s="98"/>
      <c r="M142" s="98"/>
      <c r="N142" s="98"/>
      <c r="O142" s="98"/>
      <c r="P142" s="98"/>
      <c r="Q142" s="98"/>
      <c r="R142" s="98"/>
      <c r="S142" s="98"/>
      <c r="T142" s="98"/>
      <c r="U142" s="98"/>
      <c r="V142" s="98"/>
      <c r="W142" s="98"/>
      <c r="X142" s="98"/>
      <c r="Y142" s="98"/>
      <c r="Z142" s="98"/>
    </row>
    <row r="143" spans="1:26" ht="20.25" x14ac:dyDescent="0.3">
      <c r="A143" s="199"/>
      <c r="B143" s="207"/>
      <c r="C143" s="205"/>
      <c r="D143" s="98"/>
      <c r="E143" s="98"/>
      <c r="F143" s="98"/>
      <c r="G143" s="98"/>
      <c r="H143" s="98"/>
      <c r="I143" s="98"/>
      <c r="J143" s="98"/>
      <c r="K143" s="108"/>
      <c r="L143" s="98"/>
      <c r="M143" s="98"/>
      <c r="N143" s="98"/>
      <c r="O143" s="98"/>
      <c r="P143" s="98"/>
      <c r="Q143" s="98"/>
      <c r="R143" s="98"/>
      <c r="S143" s="98"/>
      <c r="T143" s="98"/>
      <c r="U143" s="98"/>
      <c r="V143" s="98"/>
      <c r="W143" s="98"/>
      <c r="X143" s="98"/>
      <c r="Y143" s="98"/>
      <c r="Z143" s="98"/>
    </row>
    <row r="144" spans="1:26" ht="20.25" x14ac:dyDescent="0.3">
      <c r="A144" s="199"/>
      <c r="B144" s="207"/>
      <c r="C144" s="205"/>
      <c r="D144" s="98"/>
      <c r="E144" s="98"/>
      <c r="F144" s="98"/>
      <c r="G144" s="98"/>
      <c r="H144" s="98"/>
      <c r="I144" s="98"/>
      <c r="J144" s="98"/>
      <c r="K144" s="108"/>
      <c r="L144" s="98"/>
      <c r="M144" s="98"/>
      <c r="N144" s="98"/>
      <c r="O144" s="98"/>
      <c r="P144" s="98"/>
      <c r="Q144" s="98"/>
      <c r="R144" s="98"/>
      <c r="S144" s="98"/>
      <c r="T144" s="98"/>
      <c r="U144" s="98"/>
      <c r="V144" s="98"/>
      <c r="W144" s="98"/>
      <c r="X144" s="98"/>
      <c r="Y144" s="98"/>
      <c r="Z144" s="98"/>
    </row>
    <row r="145" spans="1:26" ht="20.25" x14ac:dyDescent="0.3">
      <c r="A145" s="199"/>
      <c r="B145" s="207"/>
      <c r="C145" s="205"/>
      <c r="D145" s="98"/>
      <c r="E145" s="98"/>
      <c r="F145" s="98"/>
      <c r="G145" s="98"/>
      <c r="H145" s="98"/>
      <c r="I145" s="98"/>
      <c r="J145" s="98"/>
      <c r="K145" s="108"/>
      <c r="L145" s="98"/>
      <c r="M145" s="98"/>
      <c r="N145" s="98"/>
      <c r="O145" s="98"/>
      <c r="P145" s="98"/>
      <c r="Q145" s="98"/>
      <c r="R145" s="98"/>
      <c r="S145" s="98"/>
      <c r="T145" s="98"/>
      <c r="U145" s="98"/>
      <c r="V145" s="98"/>
      <c r="W145" s="98"/>
      <c r="X145" s="98"/>
      <c r="Y145" s="98"/>
      <c r="Z145" s="98"/>
    </row>
    <row r="146" spans="1:26" ht="20.25" x14ac:dyDescent="0.3">
      <c r="A146" s="199"/>
      <c r="B146" s="207"/>
      <c r="C146" s="205"/>
      <c r="D146" s="98"/>
      <c r="E146" s="98"/>
      <c r="F146" s="98"/>
      <c r="G146" s="98"/>
      <c r="H146" s="98"/>
      <c r="I146" s="98"/>
      <c r="J146" s="98"/>
      <c r="K146" s="108"/>
      <c r="L146" s="98"/>
      <c r="M146" s="98"/>
      <c r="N146" s="98"/>
      <c r="O146" s="98"/>
      <c r="P146" s="98"/>
      <c r="Q146" s="98"/>
      <c r="R146" s="98"/>
      <c r="S146" s="98"/>
      <c r="T146" s="98"/>
      <c r="U146" s="98"/>
      <c r="V146" s="98"/>
      <c r="W146" s="98"/>
      <c r="X146" s="98"/>
      <c r="Y146" s="98"/>
      <c r="Z146" s="98"/>
    </row>
    <row r="147" spans="1:26" ht="20.25" x14ac:dyDescent="0.3">
      <c r="A147" s="199"/>
      <c r="B147" s="207"/>
      <c r="C147" s="205"/>
      <c r="D147" s="98"/>
      <c r="E147" s="98"/>
      <c r="F147" s="98"/>
      <c r="G147" s="98"/>
      <c r="H147" s="98"/>
      <c r="I147" s="98"/>
      <c r="J147" s="98"/>
      <c r="K147" s="108"/>
      <c r="L147" s="98"/>
      <c r="M147" s="98"/>
      <c r="N147" s="98"/>
      <c r="O147" s="98"/>
      <c r="P147" s="98"/>
      <c r="Q147" s="98"/>
      <c r="R147" s="98"/>
      <c r="S147" s="98"/>
      <c r="T147" s="98"/>
      <c r="U147" s="98"/>
      <c r="V147" s="98"/>
      <c r="W147" s="98"/>
      <c r="X147" s="98"/>
      <c r="Y147" s="98"/>
      <c r="Z147" s="98"/>
    </row>
    <row r="148" spans="1:26" ht="20.25" x14ac:dyDescent="0.3">
      <c r="A148" s="199"/>
      <c r="B148" s="207"/>
      <c r="C148" s="205"/>
      <c r="D148" s="98"/>
      <c r="E148" s="98"/>
      <c r="F148" s="98"/>
      <c r="G148" s="98"/>
      <c r="H148" s="98"/>
      <c r="I148" s="98"/>
      <c r="J148" s="98"/>
      <c r="K148" s="108"/>
      <c r="L148" s="98"/>
      <c r="M148" s="98"/>
      <c r="N148" s="98"/>
      <c r="O148" s="98"/>
      <c r="P148" s="98"/>
      <c r="Q148" s="98"/>
      <c r="R148" s="98"/>
      <c r="S148" s="98"/>
      <c r="T148" s="98"/>
      <c r="U148" s="98"/>
      <c r="V148" s="98"/>
      <c r="W148" s="98"/>
      <c r="X148" s="98"/>
      <c r="Y148" s="98"/>
      <c r="Z148" s="98"/>
    </row>
    <row r="149" spans="1:26" ht="20.25" x14ac:dyDescent="0.3">
      <c r="A149" s="199"/>
      <c r="B149" s="207"/>
      <c r="C149" s="205"/>
      <c r="D149" s="98"/>
      <c r="E149" s="98"/>
      <c r="F149" s="98"/>
      <c r="G149" s="98"/>
      <c r="H149" s="98"/>
      <c r="I149" s="98"/>
      <c r="J149" s="98"/>
      <c r="K149" s="108"/>
      <c r="L149" s="98"/>
      <c r="M149" s="98"/>
      <c r="N149" s="98"/>
      <c r="O149" s="98"/>
      <c r="P149" s="98"/>
      <c r="Q149" s="98"/>
      <c r="R149" s="98"/>
      <c r="S149" s="98"/>
      <c r="T149" s="98"/>
      <c r="U149" s="98"/>
      <c r="V149" s="98"/>
      <c r="W149" s="98"/>
      <c r="X149" s="98"/>
      <c r="Y149" s="98"/>
      <c r="Z149" s="98"/>
    </row>
    <row r="150" spans="1:26" ht="20.25" x14ac:dyDescent="0.3">
      <c r="A150" s="199"/>
      <c r="B150" s="207"/>
      <c r="C150" s="205"/>
      <c r="D150" s="98"/>
      <c r="E150" s="98"/>
      <c r="F150" s="98"/>
      <c r="G150" s="98"/>
      <c r="H150" s="98"/>
      <c r="I150" s="98"/>
      <c r="J150" s="98"/>
      <c r="K150" s="108"/>
      <c r="L150" s="98"/>
      <c r="M150" s="98"/>
      <c r="N150" s="98"/>
      <c r="O150" s="98"/>
      <c r="P150" s="98"/>
      <c r="Q150" s="98"/>
      <c r="R150" s="98"/>
      <c r="S150" s="98"/>
      <c r="T150" s="98"/>
      <c r="U150" s="98"/>
      <c r="V150" s="98"/>
      <c r="W150" s="98"/>
      <c r="X150" s="98"/>
      <c r="Y150" s="98"/>
      <c r="Z150" s="98"/>
    </row>
    <row r="151" spans="1:26" ht="20.25" x14ac:dyDescent="0.3">
      <c r="A151" s="199"/>
      <c r="B151" s="207"/>
      <c r="C151" s="205"/>
      <c r="D151" s="98"/>
      <c r="E151" s="98"/>
      <c r="F151" s="98"/>
      <c r="G151" s="98"/>
      <c r="H151" s="98"/>
      <c r="I151" s="98"/>
      <c r="J151" s="98"/>
      <c r="K151" s="108"/>
      <c r="L151" s="98"/>
      <c r="M151" s="98"/>
      <c r="N151" s="98"/>
      <c r="O151" s="98"/>
      <c r="P151" s="98"/>
      <c r="Q151" s="98"/>
      <c r="R151" s="98"/>
      <c r="S151" s="98"/>
      <c r="T151" s="98"/>
      <c r="U151" s="98"/>
      <c r="V151" s="98"/>
      <c r="W151" s="98"/>
      <c r="X151" s="98"/>
      <c r="Y151" s="98"/>
      <c r="Z151" s="98"/>
    </row>
    <row r="152" spans="1:26" ht="20.25" x14ac:dyDescent="0.3">
      <c r="A152" s="199"/>
      <c r="B152" s="207"/>
      <c r="C152" s="205"/>
      <c r="D152" s="98"/>
      <c r="E152" s="98"/>
      <c r="F152" s="98"/>
      <c r="G152" s="98"/>
      <c r="H152" s="98"/>
      <c r="I152" s="98"/>
      <c r="J152" s="98"/>
      <c r="K152" s="108"/>
      <c r="L152" s="98"/>
      <c r="M152" s="98"/>
      <c r="N152" s="98"/>
      <c r="O152" s="98"/>
      <c r="P152" s="98"/>
      <c r="Q152" s="98"/>
      <c r="R152" s="98"/>
      <c r="S152" s="98"/>
      <c r="T152" s="98"/>
      <c r="U152" s="98"/>
      <c r="V152" s="98"/>
      <c r="W152" s="98"/>
      <c r="X152" s="98"/>
      <c r="Y152" s="98"/>
      <c r="Z152" s="98"/>
    </row>
    <row r="153" spans="1:26" ht="20.25" x14ac:dyDescent="0.3">
      <c r="A153" s="199"/>
      <c r="B153" s="207"/>
      <c r="C153" s="205"/>
      <c r="D153" s="98"/>
      <c r="E153" s="98"/>
      <c r="F153" s="98"/>
      <c r="G153" s="98"/>
      <c r="H153" s="98"/>
      <c r="I153" s="98"/>
      <c r="J153" s="98"/>
      <c r="K153" s="108"/>
      <c r="L153" s="98"/>
      <c r="M153" s="98"/>
      <c r="N153" s="98"/>
      <c r="O153" s="98"/>
      <c r="P153" s="98"/>
      <c r="Q153" s="98"/>
      <c r="R153" s="98"/>
      <c r="S153" s="98"/>
      <c r="T153" s="98"/>
      <c r="U153" s="98"/>
      <c r="V153" s="98"/>
      <c r="W153" s="98"/>
      <c r="X153" s="98"/>
      <c r="Y153" s="98"/>
      <c r="Z153" s="98"/>
    </row>
    <row r="154" spans="1:26" ht="26.25" customHeight="1" x14ac:dyDescent="0.25">
      <c r="A154" s="123"/>
      <c r="B154" s="1123" t="s">
        <v>613</v>
      </c>
      <c r="C154" s="1124"/>
      <c r="D154" s="1124"/>
      <c r="E154" s="1124"/>
      <c r="F154" s="1125"/>
      <c r="G154" s="98"/>
      <c r="H154" s="98"/>
      <c r="I154" s="98"/>
      <c r="J154" s="98"/>
      <c r="K154" s="108"/>
      <c r="L154" s="98"/>
      <c r="M154" s="98"/>
      <c r="N154" s="98"/>
      <c r="O154" s="98"/>
      <c r="P154" s="98"/>
      <c r="Q154" s="98"/>
      <c r="R154" s="1098" t="s">
        <v>896</v>
      </c>
      <c r="S154" s="1098"/>
      <c r="T154" s="1098"/>
      <c r="U154" s="1098"/>
      <c r="V154" s="1098"/>
      <c r="W154" s="1098"/>
      <c r="X154" s="1098"/>
      <c r="Y154" s="1098"/>
      <c r="Z154" s="98"/>
    </row>
    <row r="155" spans="1:26" ht="31.5" customHeight="1" x14ac:dyDescent="0.25">
      <c r="A155" s="118"/>
      <c r="B155" s="218" t="s">
        <v>290</v>
      </c>
      <c r="C155" s="219" t="str">
        <f>$E$8</f>
        <v>COLOMBIA</v>
      </c>
      <c r="D155" s="1121" t="str">
        <f>$E$9</f>
        <v>SOACHA</v>
      </c>
      <c r="E155" s="1122"/>
      <c r="F155" s="220" t="str">
        <f>$E$10</f>
        <v>LICEO TALENTOS</v>
      </c>
      <c r="G155" s="98"/>
      <c r="H155" s="98"/>
      <c r="I155" s="1093" t="s">
        <v>734</v>
      </c>
      <c r="J155" s="1093"/>
      <c r="K155" s="1093"/>
      <c r="L155" s="1093"/>
      <c r="M155" s="1093"/>
      <c r="N155" s="1093"/>
      <c r="O155" s="98"/>
      <c r="P155" s="98"/>
      <c r="Q155" s="98"/>
      <c r="R155" s="387" t="s">
        <v>883</v>
      </c>
      <c r="S155" s="387" t="s">
        <v>884</v>
      </c>
      <c r="T155" s="1104" t="s">
        <v>885</v>
      </c>
      <c r="U155" s="1104"/>
      <c r="V155" s="1104"/>
      <c r="W155" s="1104"/>
      <c r="X155" s="1104"/>
      <c r="Y155" s="1104"/>
      <c r="Z155" s="98"/>
    </row>
    <row r="156" spans="1:26" ht="20.25" customHeight="1" x14ac:dyDescent="0.3">
      <c r="A156" s="118"/>
      <c r="B156" s="206">
        <v>2016</v>
      </c>
      <c r="C156" s="190">
        <f>VLOOKUP($E$8,SyC!$A$10:$BK$173,4,0)</f>
        <v>52</v>
      </c>
      <c r="D156" s="1096">
        <f>VLOOKUP($E$9,SyC!$A$10:$BK$173,4,0)</f>
        <v>52</v>
      </c>
      <c r="E156" s="1097"/>
      <c r="F156" s="190">
        <f>VLOOKUP($E$10,SyC!$A$10:$BK$173,4,0)</f>
        <v>0</v>
      </c>
      <c r="G156" s="98"/>
      <c r="H156" s="98"/>
      <c r="I156" s="1113" t="s">
        <v>290</v>
      </c>
      <c r="J156" s="1113" t="s">
        <v>292</v>
      </c>
      <c r="K156" s="208" t="s">
        <v>614</v>
      </c>
      <c r="L156" s="209" t="s">
        <v>615</v>
      </c>
      <c r="M156" s="210" t="s">
        <v>616</v>
      </c>
      <c r="N156" s="211" t="s">
        <v>611</v>
      </c>
      <c r="O156" s="102" t="s">
        <v>617</v>
      </c>
      <c r="P156" s="102"/>
      <c r="Q156" s="98"/>
      <c r="R156" s="1103">
        <v>1</v>
      </c>
      <c r="S156" s="1126" t="s">
        <v>614</v>
      </c>
      <c r="T156" s="1105" t="s">
        <v>897</v>
      </c>
      <c r="U156" s="1105"/>
      <c r="V156" s="1105"/>
      <c r="W156" s="1105"/>
      <c r="X156" s="1105"/>
      <c r="Y156" s="1105"/>
      <c r="Z156" s="98"/>
    </row>
    <row r="157" spans="1:26" ht="20.25" customHeight="1" x14ac:dyDescent="0.25">
      <c r="A157" s="118"/>
      <c r="B157" s="206">
        <v>2017</v>
      </c>
      <c r="C157" s="190">
        <f>VLOOKUP($E$8,SyC!$A$10:$BK$173,16,0)</f>
        <v>51</v>
      </c>
      <c r="D157" s="1096">
        <f>VLOOKUP($E$9,SyC!$A$10:$BK$173,16,0)</f>
        <v>52</v>
      </c>
      <c r="E157" s="1097"/>
      <c r="F157" s="190">
        <f>VLOOKUP($E$10,SyC!$A$10:$BK$173,16,0)</f>
        <v>0</v>
      </c>
      <c r="G157" s="98"/>
      <c r="H157" s="98"/>
      <c r="I157" s="1113"/>
      <c r="J157" s="1113"/>
      <c r="K157" s="212">
        <v>1</v>
      </c>
      <c r="L157" s="213">
        <v>2</v>
      </c>
      <c r="M157" s="214">
        <v>3</v>
      </c>
      <c r="N157" s="215">
        <v>4</v>
      </c>
      <c r="O157" s="121" t="s">
        <v>737</v>
      </c>
      <c r="P157" s="121"/>
      <c r="Q157" s="98"/>
      <c r="R157" s="1103"/>
      <c r="S157" s="1126"/>
      <c r="T157" s="1105"/>
      <c r="U157" s="1105"/>
      <c r="V157" s="1105"/>
      <c r="W157" s="1105"/>
      <c r="X157" s="1105"/>
      <c r="Y157" s="1105"/>
      <c r="Z157" s="98"/>
    </row>
    <row r="158" spans="1:26" ht="20.25" x14ac:dyDescent="0.25">
      <c r="A158" s="118"/>
      <c r="B158" s="206">
        <v>2018</v>
      </c>
      <c r="C158" s="190">
        <f>VLOOKUP($E$8,SyC!$A$10:$BK$173,28,0)</f>
        <v>49</v>
      </c>
      <c r="D158" s="1096">
        <f>VLOOKUP($E$9,SyC!$A$10:$BK$173,28,0)</f>
        <v>50</v>
      </c>
      <c r="E158" s="1097"/>
      <c r="F158" s="190">
        <f>VLOOKUP($E$10,SyC!$A$10:$BK$173,28,0)</f>
        <v>0</v>
      </c>
      <c r="G158" s="98"/>
      <c r="H158" s="98"/>
      <c r="I158" s="1090">
        <v>2016</v>
      </c>
      <c r="J158" s="306" t="str">
        <f>$E$8</f>
        <v>COLOMBIA</v>
      </c>
      <c r="K158" s="193">
        <f>VLOOKUP($E$8,SyC!$A$10:$BK$173,6,0)</f>
        <v>0.17</v>
      </c>
      <c r="L158" s="194">
        <f>VLOOKUP($E$8,SyC!$A$10:$BK$173,7,0)</f>
        <v>0.47</v>
      </c>
      <c r="M158" s="195">
        <f>VLOOKUP($E$8,SyC!$A$10:$BK$173,8,0)</f>
        <v>0.32</v>
      </c>
      <c r="N158" s="196">
        <f>VLOOKUP($E$8,SyC!$A$10:$BK$173,9,0)</f>
        <v>0.03</v>
      </c>
      <c r="O158" s="108">
        <f t="shared" ref="O158:O175" si="6">K158+L158</f>
        <v>0.64</v>
      </c>
      <c r="P158" s="108"/>
      <c r="Q158" s="98"/>
      <c r="R158" s="1103"/>
      <c r="S158" s="1126"/>
      <c r="T158" s="1105"/>
      <c r="U158" s="1105"/>
      <c r="V158" s="1105"/>
      <c r="W158" s="1105"/>
      <c r="X158" s="1105"/>
      <c r="Y158" s="1105"/>
      <c r="Z158" s="98"/>
    </row>
    <row r="159" spans="1:26" ht="20.25" x14ac:dyDescent="0.25">
      <c r="A159" s="118"/>
      <c r="B159" s="206">
        <v>2019</v>
      </c>
      <c r="C159" s="190">
        <f>VLOOKUP($E$8,SyC!$A$10:$BK$173,40,0)</f>
        <v>48</v>
      </c>
      <c r="D159" s="1096">
        <f>VLOOKUP($E$9,SyC!$A$10:$BK$173,40,0)</f>
        <v>48</v>
      </c>
      <c r="E159" s="1097"/>
      <c r="F159" s="190">
        <f>VLOOKUP($E$10,SyC!$A$10:$BK$173,40,0)</f>
        <v>0</v>
      </c>
      <c r="G159" s="98"/>
      <c r="H159" s="98"/>
      <c r="I159" s="1091"/>
      <c r="J159" s="306" t="str">
        <f>$E$9</f>
        <v>SOACHA</v>
      </c>
      <c r="K159" s="193">
        <f>VLOOKUP($E$9,SyC!$A$10:$BK$173,6,0)</f>
        <v>0.13</v>
      </c>
      <c r="L159" s="194">
        <f>VLOOKUP($E$9,SyC!$A$10:$BK$173,7,0)</f>
        <v>0.52</v>
      </c>
      <c r="M159" s="195">
        <f>VLOOKUP($E$9,SyC!$A$10:$BK$173,8,0)</f>
        <v>0.33</v>
      </c>
      <c r="N159" s="196">
        <f>VLOOKUP($E$9,SyC!$A$10:$BK$173,9,0)</f>
        <v>0.01</v>
      </c>
      <c r="O159" s="108">
        <f t="shared" si="6"/>
        <v>0.65</v>
      </c>
      <c r="P159" s="108"/>
      <c r="Q159" s="98"/>
      <c r="R159" s="1127">
        <v>2</v>
      </c>
      <c r="S159" s="1127" t="s">
        <v>615</v>
      </c>
      <c r="T159" s="1130" t="s">
        <v>898</v>
      </c>
      <c r="U159" s="1131"/>
      <c r="V159" s="1131"/>
      <c r="W159" s="1131"/>
      <c r="X159" s="1131"/>
      <c r="Y159" s="1132"/>
      <c r="Z159" s="98"/>
    </row>
    <row r="160" spans="1:26" ht="20.25" x14ac:dyDescent="0.25">
      <c r="A160" s="118"/>
      <c r="B160" s="206">
        <v>2020</v>
      </c>
      <c r="C160" s="190">
        <f>VLOOKUP($E$8,SyC!$A$10:$BK$173,52,0)</f>
        <v>49</v>
      </c>
      <c r="D160" s="1096">
        <f>VLOOKUP($E$9,SyC!$A$10:$BK$173,52,0)</f>
        <v>50</v>
      </c>
      <c r="E160" s="1097"/>
      <c r="F160" s="190">
        <f>VLOOKUP($E$10,SyC!$A$10:$BK$173,52,0)</f>
        <v>0</v>
      </c>
      <c r="G160" s="98"/>
      <c r="H160" s="98"/>
      <c r="I160" s="1092"/>
      <c r="J160" s="306" t="str">
        <f>$E$10</f>
        <v>LICEO TALENTOS</v>
      </c>
      <c r="K160" s="193">
        <f>VLOOKUP($E$10,SyC!$A$10:$BK$173,6,0)</f>
        <v>0</v>
      </c>
      <c r="L160" s="194">
        <f>VLOOKUP($E$10,SyC!$A$10:$BK$173,7,0)</f>
        <v>0</v>
      </c>
      <c r="M160" s="195">
        <f>VLOOKUP($E$10,SyC!$A$10:$BK$173,8,0)</f>
        <v>0</v>
      </c>
      <c r="N160" s="196">
        <f>VLOOKUP($E$10,SyC!$A$10:$BK$173,9,0)</f>
        <v>0</v>
      </c>
      <c r="O160" s="108">
        <f t="shared" si="6"/>
        <v>0</v>
      </c>
      <c r="P160" s="108"/>
      <c r="Q160" s="98"/>
      <c r="R160" s="1128"/>
      <c r="S160" s="1128"/>
      <c r="T160" s="1133"/>
      <c r="U160" s="1134"/>
      <c r="V160" s="1134"/>
      <c r="W160" s="1134"/>
      <c r="X160" s="1134"/>
      <c r="Y160" s="1135"/>
      <c r="Z160" s="98"/>
    </row>
    <row r="161" spans="1:26" ht="20.25" x14ac:dyDescent="0.25">
      <c r="A161" s="118"/>
      <c r="B161" s="206">
        <v>2021</v>
      </c>
      <c r="C161" s="190">
        <f>VLOOKUP($E$8,SyC!$A$10:$BY$173,64,0)</f>
        <v>48</v>
      </c>
      <c r="D161" s="1096">
        <f>VLOOKUP($E$9,SyC!$A$10:$BY$173,64,0)</f>
        <v>49</v>
      </c>
      <c r="E161" s="1097"/>
      <c r="F161" s="190">
        <f>VLOOKUP($E$10,SyC!$A$10:$BY$173,64,0)</f>
        <v>0</v>
      </c>
      <c r="G161" s="98"/>
      <c r="H161" s="98"/>
      <c r="I161" s="1090">
        <v>2017</v>
      </c>
      <c r="J161" s="306" t="str">
        <f>$E$8</f>
        <v>COLOMBIA</v>
      </c>
      <c r="K161" s="193">
        <f>VLOOKUP($E$8,SyC!$A$10:$BK$173,18,0)</f>
        <v>0.17</v>
      </c>
      <c r="L161" s="194">
        <f>VLOOKUP($E$8,SyC!$A$10:$BK$173,19,0)</f>
        <v>0.47</v>
      </c>
      <c r="M161" s="195">
        <f>VLOOKUP($E$8,SyC!$A$10:$BK$173,20,0)</f>
        <v>0.32</v>
      </c>
      <c r="N161" s="196">
        <f>VLOOKUP($E$8,SyC!$A$10:$BK$173,21,0)</f>
        <v>0.04</v>
      </c>
      <c r="O161" s="108">
        <f t="shared" si="6"/>
        <v>0.64</v>
      </c>
      <c r="P161" s="108"/>
      <c r="Q161" s="98"/>
      <c r="R161" s="1128"/>
      <c r="S161" s="1128"/>
      <c r="T161" s="1133"/>
      <c r="U161" s="1134"/>
      <c r="V161" s="1134"/>
      <c r="W161" s="1134"/>
      <c r="X161" s="1134"/>
      <c r="Y161" s="1135"/>
      <c r="Z161" s="98"/>
    </row>
    <row r="162" spans="1:26" ht="20.25" x14ac:dyDescent="0.25">
      <c r="A162" s="118"/>
      <c r="B162" s="206">
        <v>2022</v>
      </c>
      <c r="C162" s="190">
        <f>VLOOKUP($E$8,SyC!$A$10:$CM$173,78,0)</f>
        <v>48</v>
      </c>
      <c r="D162" s="1096">
        <f>VLOOKUP($E$9,SyC!$A$10:$CM$173,78,0)</f>
        <v>50</v>
      </c>
      <c r="E162" s="1097"/>
      <c r="F162" s="190">
        <f>VLOOKUP($E$10,SyC!$A$10:$CM$173,78,0)</f>
        <v>0</v>
      </c>
      <c r="G162" s="98"/>
      <c r="H162" s="98"/>
      <c r="I162" s="1091"/>
      <c r="J162" s="306" t="str">
        <f>$E$9</f>
        <v>SOACHA</v>
      </c>
      <c r="K162" s="193">
        <f>VLOOKUP($E$9,SyC!$A$10:$BK$173,18,0)</f>
        <v>0.13</v>
      </c>
      <c r="L162" s="194">
        <f>VLOOKUP($E$9,SyC!$A$10:$BK$173,19,0)</f>
        <v>0.51</v>
      </c>
      <c r="M162" s="195">
        <f>VLOOKUP($E$9,SyC!$A$10:$BK$173,20,0)</f>
        <v>0.33</v>
      </c>
      <c r="N162" s="196">
        <f>VLOOKUP($E$9,SyC!$A$10:$BK$173,21,0)</f>
        <v>0.02</v>
      </c>
      <c r="O162" s="108">
        <f t="shared" si="6"/>
        <v>0.64</v>
      </c>
      <c r="P162" s="108"/>
      <c r="Q162" s="98"/>
      <c r="R162" s="1128"/>
      <c r="S162" s="1128"/>
      <c r="T162" s="1133"/>
      <c r="U162" s="1134"/>
      <c r="V162" s="1134"/>
      <c r="W162" s="1134"/>
      <c r="X162" s="1134"/>
      <c r="Y162" s="1135"/>
      <c r="Z162" s="98"/>
    </row>
    <row r="163" spans="1:26" ht="20.25" x14ac:dyDescent="0.25">
      <c r="A163" s="118"/>
      <c r="B163" s="206">
        <v>2023</v>
      </c>
      <c r="C163" s="190">
        <f>VLOOKUP($E$8,SyC!$A$10:DA$173,92,0)</f>
        <v>49</v>
      </c>
      <c r="D163" s="1096">
        <f>VLOOKUP($E$9,SyC!$A$10:$DA$173,92,0)</f>
        <v>50</v>
      </c>
      <c r="E163" s="1097"/>
      <c r="F163" s="190">
        <f>VLOOKUP($E$10,SyC!$A$10:$DA$173,92,0)</f>
        <v>0</v>
      </c>
      <c r="G163" s="98"/>
      <c r="H163" s="98"/>
      <c r="I163" s="1091"/>
      <c r="J163" s="306" t="str">
        <f>$E$10</f>
        <v>LICEO TALENTOS</v>
      </c>
      <c r="K163" s="193">
        <f>VLOOKUP($E$10,SyC!$A$10:$BK$173,18,0)</f>
        <v>0</v>
      </c>
      <c r="L163" s="194">
        <f>VLOOKUP($E$10,SyC!$A$10:$BK$173,19,0)</f>
        <v>0</v>
      </c>
      <c r="M163" s="195">
        <f>VLOOKUP($E$10,SyC!$A$10:$BK$173,20,0)</f>
        <v>0</v>
      </c>
      <c r="N163" s="196">
        <f>VLOOKUP($E$10,SyC!$A$10:$BK$173,21,0)</f>
        <v>0</v>
      </c>
      <c r="O163" s="108">
        <f t="shared" si="6"/>
        <v>0</v>
      </c>
      <c r="P163" s="108"/>
      <c r="Q163" s="98"/>
      <c r="R163" s="1128"/>
      <c r="S163" s="1128"/>
      <c r="T163" s="1133"/>
      <c r="U163" s="1134"/>
      <c r="V163" s="1134"/>
      <c r="W163" s="1134"/>
      <c r="X163" s="1134"/>
      <c r="Y163" s="1135"/>
      <c r="Z163" s="98"/>
    </row>
    <row r="164" spans="1:26" ht="20.25" x14ac:dyDescent="0.25">
      <c r="A164" s="118"/>
      <c r="B164" s="206">
        <v>2024</v>
      </c>
      <c r="C164" s="190">
        <f>VLOOKUP($E$8,SyC!$A$10:$DO$173,106,0)</f>
        <v>49</v>
      </c>
      <c r="D164" s="1088">
        <f>VLOOKUP($E$9,SyC!$A$10:$DO$173,106,0)</f>
        <v>50</v>
      </c>
      <c r="E164" s="1088"/>
      <c r="F164" s="190">
        <f>VLOOKUP($E$10,SyC!$A$10:$DO$173,106,0)</f>
        <v>55</v>
      </c>
      <c r="G164" s="98"/>
      <c r="H164" s="98"/>
      <c r="I164" s="1090">
        <v>2018</v>
      </c>
      <c r="J164" s="306" t="str">
        <f>$E$8</f>
        <v>COLOMBIA</v>
      </c>
      <c r="K164" s="193">
        <f>VLOOKUP($E$8,SyC!$A$10:$BK$173,30,0)</f>
        <v>0.25</v>
      </c>
      <c r="L164" s="194">
        <f>VLOOKUP($E$8,SyC!$A$10:$BK$173,31,0)</f>
        <v>0.43</v>
      </c>
      <c r="M164" s="195">
        <f>VLOOKUP($E$8,SyC!$A$10:$BK$173,32,0)</f>
        <v>0.28000000000000003</v>
      </c>
      <c r="N164" s="196">
        <f>VLOOKUP($E$8,SyC!$A$10:$BK$173,33,0)</f>
        <v>0.04</v>
      </c>
      <c r="O164" s="108">
        <f t="shared" si="6"/>
        <v>0.67999999999999994</v>
      </c>
      <c r="P164" s="108"/>
      <c r="Q164" s="98"/>
      <c r="R164" s="1128"/>
      <c r="S164" s="1128"/>
      <c r="T164" s="1133"/>
      <c r="U164" s="1134"/>
      <c r="V164" s="1134"/>
      <c r="W164" s="1134"/>
      <c r="X164" s="1134"/>
      <c r="Y164" s="1135"/>
      <c r="Z164" s="98"/>
    </row>
    <row r="165" spans="1:26" ht="20.25" x14ac:dyDescent="0.25">
      <c r="A165" s="118"/>
      <c r="B165" s="206">
        <v>2025</v>
      </c>
      <c r="C165" s="961">
        <f>VLOOKUP($E$8,SyC!$A$10:$EC$173,120,0)</f>
        <v>49</v>
      </c>
      <c r="D165" s="1088">
        <f>VLOOKUP($E$9,SyC!$A$10:$EC$173,120,0)</f>
        <v>50</v>
      </c>
      <c r="E165" s="1088"/>
      <c r="F165" s="961">
        <f>VLOOKUP($E$10,SyC!$A$10:$EC$173,120,0)</f>
        <v>48</v>
      </c>
      <c r="G165" s="98"/>
      <c r="H165" s="98"/>
      <c r="I165" s="1091"/>
      <c r="J165" s="306" t="str">
        <f>$E$9</f>
        <v>SOACHA</v>
      </c>
      <c r="K165" s="193">
        <f>VLOOKUP($E$9,SyC!$A$10:$BK$173,30,0)</f>
        <v>0.21</v>
      </c>
      <c r="L165" s="194">
        <f>VLOOKUP($E$9,SyC!$A$10:$BK$173,31,0)</f>
        <v>0.49</v>
      </c>
      <c r="M165" s="195">
        <f>VLOOKUP($E$9,SyC!$A$10:$BK$173,32,0)</f>
        <v>0.28999999999999998</v>
      </c>
      <c r="N165" s="196">
        <f>VLOOKUP($E$9,SyC!$A$10:$BK$173,33,0)</f>
        <v>0.02</v>
      </c>
      <c r="O165" s="108">
        <f t="shared" si="6"/>
        <v>0.7</v>
      </c>
      <c r="P165" s="108"/>
      <c r="Q165" s="98"/>
      <c r="R165" s="1128"/>
      <c r="S165" s="1128"/>
      <c r="T165" s="1133"/>
      <c r="U165" s="1134"/>
      <c r="V165" s="1134"/>
      <c r="W165" s="1134"/>
      <c r="X165" s="1134"/>
      <c r="Y165" s="1135"/>
      <c r="Z165" s="98"/>
    </row>
    <row r="166" spans="1:26" ht="20.25" x14ac:dyDescent="0.25">
      <c r="A166" s="123"/>
      <c r="B166" s="216"/>
      <c r="C166" s="98"/>
      <c r="D166" s="98"/>
      <c r="E166" s="98"/>
      <c r="F166" s="98"/>
      <c r="G166" s="98"/>
      <c r="H166" s="98"/>
      <c r="I166" s="1091"/>
      <c r="J166" s="306" t="str">
        <f>$E$10</f>
        <v>LICEO TALENTOS</v>
      </c>
      <c r="K166" s="193">
        <f>VLOOKUP($E$10,SyC!$A$10:$BK$173,30,0)</f>
        <v>0</v>
      </c>
      <c r="L166" s="194">
        <f>VLOOKUP($E$10,SyC!$A$10:$BK$173,31,0)</f>
        <v>0</v>
      </c>
      <c r="M166" s="195">
        <f>VLOOKUP($E$10,SyC!$A$10:$BK$173,32,0)</f>
        <v>0</v>
      </c>
      <c r="N166" s="196">
        <f>VLOOKUP($E$10,SyC!$A$10:$BK$173,33,0)</f>
        <v>0</v>
      </c>
      <c r="O166" s="108">
        <f t="shared" si="6"/>
        <v>0</v>
      </c>
      <c r="P166" s="108"/>
      <c r="Q166" s="98"/>
      <c r="R166" s="1128"/>
      <c r="S166" s="1128"/>
      <c r="T166" s="1133"/>
      <c r="U166" s="1134"/>
      <c r="V166" s="1134"/>
      <c r="W166" s="1134"/>
      <c r="X166" s="1134"/>
      <c r="Y166" s="1135"/>
      <c r="Z166" s="98"/>
    </row>
    <row r="167" spans="1:26" ht="20.25" x14ac:dyDescent="0.25">
      <c r="A167" s="123"/>
      <c r="B167" s="217"/>
      <c r="C167" s="98"/>
      <c r="D167" s="98"/>
      <c r="E167" s="98"/>
      <c r="F167" s="98"/>
      <c r="G167" s="98"/>
      <c r="H167" s="98"/>
      <c r="I167" s="1090">
        <v>2019</v>
      </c>
      <c r="J167" s="306" t="str">
        <f>$E$8</f>
        <v>COLOMBIA</v>
      </c>
      <c r="K167" s="193">
        <f>VLOOKUP($E$8,SyC!$A$10:$BK$173,42,0)</f>
        <v>0.32</v>
      </c>
      <c r="L167" s="194">
        <f>VLOOKUP($E$8,SyC!$A$10:$BK$173,43,0)</f>
        <v>0.41</v>
      </c>
      <c r="M167" s="195">
        <f>VLOOKUP($E$8,SyC!$A$10:$BK$173,44,0)</f>
        <v>0.24</v>
      </c>
      <c r="N167" s="196">
        <f>VLOOKUP($E$8,SyC!$A$10:$BK$173,45,0)</f>
        <v>0.03</v>
      </c>
      <c r="O167" s="108">
        <f t="shared" si="6"/>
        <v>0.73</v>
      </c>
      <c r="P167" s="108"/>
      <c r="Q167" s="98"/>
      <c r="R167" s="1128"/>
      <c r="S167" s="1128"/>
      <c r="T167" s="1133"/>
      <c r="U167" s="1134"/>
      <c r="V167" s="1134"/>
      <c r="W167" s="1134"/>
      <c r="X167" s="1134"/>
      <c r="Y167" s="1135"/>
      <c r="Z167" s="98"/>
    </row>
    <row r="168" spans="1:26" ht="20.25" x14ac:dyDescent="0.25">
      <c r="A168" s="123"/>
      <c r="B168" s="217"/>
      <c r="C168" s="98"/>
      <c r="D168" s="98"/>
      <c r="E168" s="98"/>
      <c r="F168" s="98"/>
      <c r="G168" s="98"/>
      <c r="H168" s="98"/>
      <c r="I168" s="1091"/>
      <c r="J168" s="306" t="str">
        <f>$E$9</f>
        <v>SOACHA</v>
      </c>
      <c r="K168" s="193">
        <f>VLOOKUP($E$9,SyC!$A$10:$BK$173,42,0)</f>
        <v>0.26</v>
      </c>
      <c r="L168" s="194">
        <f>VLOOKUP($E$9,SyC!$A$10:$BK$173,43,0)</f>
        <v>0.47</v>
      </c>
      <c r="M168" s="195">
        <f>VLOOKUP($E$9,SyC!$A$10:$BK$173,44,0)</f>
        <v>0.25</v>
      </c>
      <c r="N168" s="196">
        <f>VLOOKUP($E$9,SyC!$A$10:$BK$173,45,0)</f>
        <v>0.01</v>
      </c>
      <c r="O168" s="108">
        <f t="shared" si="6"/>
        <v>0.73</v>
      </c>
      <c r="P168" s="108"/>
      <c r="Q168" s="98"/>
      <c r="R168" s="1128"/>
      <c r="S168" s="1128"/>
      <c r="T168" s="1133"/>
      <c r="U168" s="1134"/>
      <c r="V168" s="1134"/>
      <c r="W168" s="1134"/>
      <c r="X168" s="1134"/>
      <c r="Y168" s="1135"/>
      <c r="Z168" s="98"/>
    </row>
    <row r="169" spans="1:26" ht="20.25" x14ac:dyDescent="0.25">
      <c r="A169" s="123"/>
      <c r="B169" s="217"/>
      <c r="C169" s="98"/>
      <c r="D169" s="98"/>
      <c r="E169" s="98"/>
      <c r="F169" s="98"/>
      <c r="G169" s="98"/>
      <c r="H169" s="98"/>
      <c r="I169" s="1091"/>
      <c r="J169" s="306" t="str">
        <f>$E$10</f>
        <v>LICEO TALENTOS</v>
      </c>
      <c r="K169" s="193">
        <f>VLOOKUP($E$10,SyC!$A$10:$BK$173,42,0)</f>
        <v>0</v>
      </c>
      <c r="L169" s="194">
        <f>VLOOKUP($E$10,SyC!$A$10:$BK$173,43,0)</f>
        <v>0</v>
      </c>
      <c r="M169" s="195">
        <f>VLOOKUP($E$10,SyC!$A$10:$BK$173,44,0)</f>
        <v>0</v>
      </c>
      <c r="N169" s="196">
        <f>VLOOKUP($E$10,SyC!$A$10:$BK$173,45,0)</f>
        <v>0</v>
      </c>
      <c r="O169" s="108">
        <f t="shared" si="6"/>
        <v>0</v>
      </c>
      <c r="P169" s="108"/>
      <c r="Q169" s="98"/>
      <c r="R169" s="1129"/>
      <c r="S169" s="1129"/>
      <c r="T169" s="1136"/>
      <c r="U169" s="1137"/>
      <c r="V169" s="1137"/>
      <c r="W169" s="1137"/>
      <c r="X169" s="1137"/>
      <c r="Y169" s="1138"/>
      <c r="Z169" s="98"/>
    </row>
    <row r="170" spans="1:26" ht="21" customHeight="1" x14ac:dyDescent="0.25">
      <c r="A170" s="123"/>
      <c r="B170" s="217"/>
      <c r="C170" s="98"/>
      <c r="D170" s="98"/>
      <c r="E170" s="98"/>
      <c r="F170" s="98"/>
      <c r="G170" s="98"/>
      <c r="H170" s="98"/>
      <c r="I170" s="1090">
        <v>2020</v>
      </c>
      <c r="J170" s="306" t="str">
        <f>$E$8</f>
        <v>COLOMBIA</v>
      </c>
      <c r="K170" s="193">
        <f>VLOOKUP($E$8,SyC!$A$10:$BK$173,54,0)</f>
        <v>0.27</v>
      </c>
      <c r="L170" s="194">
        <f>VLOOKUP($E$8,SyC!$A$10:$BK$173,55,0)</f>
        <v>0.42</v>
      </c>
      <c r="M170" s="195">
        <f>VLOOKUP($E$8,SyC!$A$10:$BK$173,56,0)</f>
        <v>0.27</v>
      </c>
      <c r="N170" s="196">
        <f>VLOOKUP($E$8,SyC!$A$10:$BK$173,57,0)</f>
        <v>0.04</v>
      </c>
      <c r="O170" s="108">
        <f t="shared" si="6"/>
        <v>0.69</v>
      </c>
      <c r="P170" s="108"/>
      <c r="Q170" s="98"/>
      <c r="R170" s="1103">
        <v>3</v>
      </c>
      <c r="S170" s="1103" t="s">
        <v>616</v>
      </c>
      <c r="T170" s="1102" t="s">
        <v>899</v>
      </c>
      <c r="U170" s="1102"/>
      <c r="V170" s="1102"/>
      <c r="W170" s="1102"/>
      <c r="X170" s="1102"/>
      <c r="Y170" s="1102"/>
      <c r="Z170" s="98"/>
    </row>
    <row r="171" spans="1:26" ht="20.25" x14ac:dyDescent="0.25">
      <c r="A171" s="123"/>
      <c r="B171" s="217"/>
      <c r="C171" s="98"/>
      <c r="D171" s="98"/>
      <c r="E171" s="98"/>
      <c r="F171" s="98"/>
      <c r="G171" s="98"/>
      <c r="H171" s="98"/>
      <c r="I171" s="1091"/>
      <c r="J171" s="306" t="str">
        <f>$E$9</f>
        <v>SOACHA</v>
      </c>
      <c r="K171" s="193">
        <f>VLOOKUP($E$9,SyC!$A$10:$BK$173,54,0)</f>
        <v>0.19</v>
      </c>
      <c r="L171" s="194">
        <f>VLOOKUP($E$9,SyC!$A$10:$BK$173,55,0)</f>
        <v>0.47</v>
      </c>
      <c r="M171" s="195">
        <f>VLOOKUP($E$9,SyC!$A$10:$BK$173,56,0)</f>
        <v>0.31</v>
      </c>
      <c r="N171" s="196">
        <f>VLOOKUP($E$9,SyC!$A$10:$BK$173,57,0)</f>
        <v>0.02</v>
      </c>
      <c r="O171" s="108">
        <f t="shared" si="6"/>
        <v>0.65999999999999992</v>
      </c>
      <c r="P171" s="108"/>
      <c r="Q171" s="98"/>
      <c r="R171" s="1103"/>
      <c r="S171" s="1103"/>
      <c r="T171" s="1102"/>
      <c r="U171" s="1102"/>
      <c r="V171" s="1102"/>
      <c r="W171" s="1102"/>
      <c r="X171" s="1102"/>
      <c r="Y171" s="1102"/>
      <c r="Z171" s="98"/>
    </row>
    <row r="172" spans="1:26" ht="20.25" x14ac:dyDescent="0.25">
      <c r="A172" s="123"/>
      <c r="B172" s="217"/>
      <c r="C172" s="98"/>
      <c r="D172" s="98"/>
      <c r="E172" s="98"/>
      <c r="F172" s="98"/>
      <c r="G172" s="98"/>
      <c r="H172" s="98"/>
      <c r="I172" s="1091"/>
      <c r="J172" s="306" t="str">
        <f>$E$10</f>
        <v>LICEO TALENTOS</v>
      </c>
      <c r="K172" s="193">
        <f>VLOOKUP($E$10,SyC!$A$10:$BK$173,54,0)</f>
        <v>0</v>
      </c>
      <c r="L172" s="194">
        <f>VLOOKUP($E$10,SyC!$A$10:$BK$173,55,0)</f>
        <v>0</v>
      </c>
      <c r="M172" s="195">
        <f>VLOOKUP($E$10,SyC!$A$10:$BK$173,56,0)</f>
        <v>0</v>
      </c>
      <c r="N172" s="196">
        <f>VLOOKUP($E$10,SyC!$A$10:$BK$173,57,0)</f>
        <v>0</v>
      </c>
      <c r="O172" s="108">
        <f t="shared" si="6"/>
        <v>0</v>
      </c>
      <c r="P172" s="108"/>
      <c r="Q172" s="98"/>
      <c r="R172" s="1103"/>
      <c r="S172" s="1103"/>
      <c r="T172" s="1102"/>
      <c r="U172" s="1102"/>
      <c r="V172" s="1102"/>
      <c r="W172" s="1102"/>
      <c r="X172" s="1102"/>
      <c r="Y172" s="1102"/>
      <c r="Z172" s="98"/>
    </row>
    <row r="173" spans="1:26" ht="20.25" x14ac:dyDescent="0.25">
      <c r="A173" s="123"/>
      <c r="B173" s="217"/>
      <c r="C173" s="98"/>
      <c r="D173" s="98"/>
      <c r="E173" s="98"/>
      <c r="F173" s="98"/>
      <c r="G173" s="98"/>
      <c r="H173" s="98"/>
      <c r="I173" s="1089">
        <v>2021</v>
      </c>
      <c r="J173" s="306" t="str">
        <f>$E$8</f>
        <v>COLOMBIA</v>
      </c>
      <c r="K173" s="193">
        <f>VLOOKUP($E$8,SyC!$A$10:$BY$173,68,0)</f>
        <v>0.31</v>
      </c>
      <c r="L173" s="194">
        <f>VLOOKUP($E$8,SyC!$A$10:$BY$173,69,0)</f>
        <v>0.42</v>
      </c>
      <c r="M173" s="195">
        <f>VLOOKUP($E$8,SyC!$A$10:$BY$173,70,0)</f>
        <v>0.24</v>
      </c>
      <c r="N173" s="196">
        <f>VLOOKUP($E$8,SyC!$A$10:$BY$173,71,0)</f>
        <v>0.03</v>
      </c>
      <c r="O173" s="108">
        <f t="shared" si="6"/>
        <v>0.73</v>
      </c>
      <c r="P173" s="108"/>
      <c r="Q173" s="98"/>
      <c r="R173" s="1103"/>
      <c r="S173" s="1103"/>
      <c r="T173" s="1102"/>
      <c r="U173" s="1102"/>
      <c r="V173" s="1102"/>
      <c r="W173" s="1102"/>
      <c r="X173" s="1102"/>
      <c r="Y173" s="1102"/>
      <c r="Z173" s="98"/>
    </row>
    <row r="174" spans="1:26" ht="20.25" x14ac:dyDescent="0.25">
      <c r="A174" s="123"/>
      <c r="B174" s="217"/>
      <c r="C174" s="98"/>
      <c r="D174" s="98"/>
      <c r="E174" s="98"/>
      <c r="F174" s="98"/>
      <c r="G174" s="98"/>
      <c r="H174" s="98"/>
      <c r="I174" s="1089"/>
      <c r="J174" s="306" t="str">
        <f>$E$9</f>
        <v>SOACHA</v>
      </c>
      <c r="K174" s="193">
        <f>VLOOKUP($E$9,SyC!$A$10:$BY$173,68,0)</f>
        <v>0.23</v>
      </c>
      <c r="L174" s="194">
        <f>VLOOKUP($E$9,SyC!$A$10:$BY$173,69,0)</f>
        <v>0.48</v>
      </c>
      <c r="M174" s="195">
        <f>VLOOKUP($E$9,SyC!$A$10:$BY$173,70,0)</f>
        <v>0.27</v>
      </c>
      <c r="N174" s="196">
        <f>VLOOKUP($E$9,SyC!$A$10:$BY$173,71,0)</f>
        <v>0.02</v>
      </c>
      <c r="O174" s="108">
        <f t="shared" si="6"/>
        <v>0.71</v>
      </c>
      <c r="P174" s="108"/>
      <c r="Q174" s="98"/>
      <c r="R174" s="1103"/>
      <c r="S174" s="1103"/>
      <c r="T174" s="1102"/>
      <c r="U174" s="1102"/>
      <c r="V174" s="1102"/>
      <c r="W174" s="1102"/>
      <c r="X174" s="1102"/>
      <c r="Y174" s="1102"/>
      <c r="Z174" s="98"/>
    </row>
    <row r="175" spans="1:26" ht="20.25" x14ac:dyDescent="0.25">
      <c r="A175" s="123"/>
      <c r="B175" s="217"/>
      <c r="C175" s="98"/>
      <c r="D175" s="98"/>
      <c r="E175" s="98"/>
      <c r="F175" s="98"/>
      <c r="G175" s="98"/>
      <c r="H175" s="98"/>
      <c r="I175" s="1089"/>
      <c r="J175" s="306" t="str">
        <f>$E$10</f>
        <v>LICEO TALENTOS</v>
      </c>
      <c r="K175" s="193">
        <f>VLOOKUP($E$10,SyC!$A$10:$BY$173,68,0)</f>
        <v>0</v>
      </c>
      <c r="L175" s="194">
        <f>VLOOKUP($E$10,SyC!$A$10:$BY$173,69,0)</f>
        <v>0</v>
      </c>
      <c r="M175" s="195">
        <f>VLOOKUP($E$10,SyC!$A$10:$BY$173,70,0)</f>
        <v>0</v>
      </c>
      <c r="N175" s="196">
        <f>VLOOKUP($E$10,SyC!$A$10:$BY$173,71,0)</f>
        <v>0</v>
      </c>
      <c r="O175" s="108">
        <f t="shared" si="6"/>
        <v>0</v>
      </c>
      <c r="P175" s="108"/>
      <c r="Q175" s="98"/>
      <c r="R175" s="1103"/>
      <c r="S175" s="1103"/>
      <c r="T175" s="1102"/>
      <c r="U175" s="1102"/>
      <c r="V175" s="1102"/>
      <c r="W175" s="1102"/>
      <c r="X175" s="1102"/>
      <c r="Y175" s="1102"/>
      <c r="Z175" s="98"/>
    </row>
    <row r="176" spans="1:26" ht="20.25" x14ac:dyDescent="0.25">
      <c r="A176" s="123"/>
      <c r="B176" s="217"/>
      <c r="C176" s="98"/>
      <c r="D176" s="98"/>
      <c r="E176" s="98"/>
      <c r="F176" s="98"/>
      <c r="G176" s="98"/>
      <c r="H176" s="98"/>
      <c r="I176" s="1089">
        <v>2022</v>
      </c>
      <c r="J176" s="306" t="str">
        <f>$E$8</f>
        <v>COLOMBIA</v>
      </c>
      <c r="K176" s="193">
        <f>VLOOKUP($E$8,SyC!$A$10:$CM$173,82,0)</f>
        <v>0.28999999999999998</v>
      </c>
      <c r="L176" s="194">
        <f>VLOOKUP($E$8,SyC!$A$10:$CM$173,83,0)</f>
        <v>0.41</v>
      </c>
      <c r="M176" s="195">
        <f>VLOOKUP($E$8,SyC!$A$10:$CM$173,84,0)</f>
        <v>0.27</v>
      </c>
      <c r="N176" s="196">
        <f>VLOOKUP($E$8,SyC!$A$10:$CM$173,85,0)</f>
        <v>0.03</v>
      </c>
      <c r="O176" s="108">
        <f t="shared" ref="O176:O187" si="7">K176+L176</f>
        <v>0.7</v>
      </c>
      <c r="P176" s="108"/>
      <c r="Q176" s="98"/>
      <c r="R176" s="1103"/>
      <c r="S176" s="1103"/>
      <c r="T176" s="1102"/>
      <c r="U176" s="1102"/>
      <c r="V176" s="1102"/>
      <c r="W176" s="1102"/>
      <c r="X176" s="1102"/>
      <c r="Y176" s="1102"/>
      <c r="Z176" s="98"/>
    </row>
    <row r="177" spans="1:26" ht="20.25" x14ac:dyDescent="0.25">
      <c r="A177" s="123"/>
      <c r="B177" s="217"/>
      <c r="C177" s="98"/>
      <c r="D177" s="98"/>
      <c r="E177" s="98"/>
      <c r="F177" s="98"/>
      <c r="G177" s="98"/>
      <c r="H177" s="98"/>
      <c r="I177" s="1089"/>
      <c r="J177" s="306" t="str">
        <f>$E$9</f>
        <v>SOACHA</v>
      </c>
      <c r="K177" s="193">
        <f>VLOOKUP($E$9,SyC!$A$10:$CM$173,82,0)</f>
        <v>0.21</v>
      </c>
      <c r="L177" s="194">
        <f>VLOOKUP($E$9,SyC!$A$10:$CM$173,83,0)</f>
        <v>0.46</v>
      </c>
      <c r="M177" s="195">
        <f>VLOOKUP($E$9,SyC!$A$10:$CM$173,84,0)</f>
        <v>0.31</v>
      </c>
      <c r="N177" s="196">
        <f>VLOOKUP($E$9,SyC!$A$10:$CM$173,85,0)</f>
        <v>0.02</v>
      </c>
      <c r="O177" s="108">
        <f t="shared" si="7"/>
        <v>0.67</v>
      </c>
      <c r="P177" s="108"/>
      <c r="Q177" s="98"/>
      <c r="R177" s="1103"/>
      <c r="S177" s="1103"/>
      <c r="T177" s="1102"/>
      <c r="U177" s="1102"/>
      <c r="V177" s="1102"/>
      <c r="W177" s="1102"/>
      <c r="X177" s="1102"/>
      <c r="Y177" s="1102"/>
      <c r="Z177" s="98"/>
    </row>
    <row r="178" spans="1:26" ht="20.25" x14ac:dyDescent="0.25">
      <c r="A178" s="123"/>
      <c r="B178" s="217"/>
      <c r="C178" s="98"/>
      <c r="D178" s="98"/>
      <c r="E178" s="98"/>
      <c r="F178" s="98"/>
      <c r="G178" s="98"/>
      <c r="H178" s="98"/>
      <c r="I178" s="1089"/>
      <c r="J178" s="306" t="str">
        <f>$E$10</f>
        <v>LICEO TALENTOS</v>
      </c>
      <c r="K178" s="193">
        <f>VLOOKUP($E$10,SyC!$A$10:$CM$173,82,0)</f>
        <v>0</v>
      </c>
      <c r="L178" s="194">
        <f>VLOOKUP($E$10,SyC!$A$10:$CM$173,83,0)</f>
        <v>0</v>
      </c>
      <c r="M178" s="195">
        <f>VLOOKUP($E$10,SyC!$A$10:$CM$173,84,0)</f>
        <v>0</v>
      </c>
      <c r="N178" s="196">
        <f>VLOOKUP($E$10,SyC!$A$10:$CM$173,85,0)</f>
        <v>0</v>
      </c>
      <c r="O178" s="108">
        <f t="shared" si="7"/>
        <v>0</v>
      </c>
      <c r="P178" s="108"/>
      <c r="Q178" s="98"/>
      <c r="R178" s="1103"/>
      <c r="S178" s="1103"/>
      <c r="T178" s="1102"/>
      <c r="U178" s="1102"/>
      <c r="V178" s="1102"/>
      <c r="W178" s="1102"/>
      <c r="X178" s="1102"/>
      <c r="Y178" s="1102"/>
      <c r="Z178" s="98"/>
    </row>
    <row r="179" spans="1:26" ht="20.25" x14ac:dyDescent="0.25">
      <c r="A179" s="123"/>
      <c r="B179" s="217"/>
      <c r="C179" s="98"/>
      <c r="D179" s="98"/>
      <c r="E179" s="98"/>
      <c r="F179" s="98"/>
      <c r="G179" s="98"/>
      <c r="H179" s="98"/>
      <c r="I179" s="1089">
        <v>2023</v>
      </c>
      <c r="J179" s="306" t="str">
        <f>$E$8</f>
        <v>COLOMBIA</v>
      </c>
      <c r="K179" s="193">
        <f>VLOOKUP($E$8,SyC!$A$10:$DA$173,96,0)</f>
        <v>0.27</v>
      </c>
      <c r="L179" s="194">
        <f>VLOOKUP($E$8,SyC!$A$10:$DA$173,97,0)</f>
        <v>0.42</v>
      </c>
      <c r="M179" s="195">
        <f>VLOOKUP($E$8,SyC!$A$10:$DA$173,98,0)</f>
        <v>0.27</v>
      </c>
      <c r="N179" s="196">
        <f>VLOOKUP($E$8,SyC!$A$10:$DA$173,99,0)</f>
        <v>0.04</v>
      </c>
      <c r="O179" s="108">
        <f t="shared" si="7"/>
        <v>0.69</v>
      </c>
      <c r="P179" s="108"/>
      <c r="Q179" s="98"/>
      <c r="R179" s="1103"/>
      <c r="S179" s="1103"/>
      <c r="T179" s="1102"/>
      <c r="U179" s="1102"/>
      <c r="V179" s="1102"/>
      <c r="W179" s="1102"/>
      <c r="X179" s="1102"/>
      <c r="Y179" s="1102"/>
      <c r="Z179" s="98"/>
    </row>
    <row r="180" spans="1:26" ht="20.25" x14ac:dyDescent="0.25">
      <c r="A180" s="123"/>
      <c r="B180" s="217"/>
      <c r="C180" s="98"/>
      <c r="D180" s="98"/>
      <c r="E180" s="98"/>
      <c r="F180" s="98"/>
      <c r="G180" s="98"/>
      <c r="H180" s="98"/>
      <c r="I180" s="1089"/>
      <c r="J180" s="306" t="str">
        <f>$E$9</f>
        <v>SOACHA</v>
      </c>
      <c r="K180" s="193">
        <f>VLOOKUP($E$9,SyC!$A$10:$DA$173,96,0)</f>
        <v>0.2</v>
      </c>
      <c r="L180" s="194">
        <f>VLOOKUP($E$9,SyC!$A$10:$DA$173,97,0)</f>
        <v>0.48</v>
      </c>
      <c r="M180" s="195">
        <f>VLOOKUP($E$9,SyC!$A$10:$DA$173,98,0)</f>
        <v>0.31</v>
      </c>
      <c r="N180" s="196">
        <f>VLOOKUP($E$9,SyC!$A$10:$DA$173,99,0)</f>
        <v>0.02</v>
      </c>
      <c r="O180" s="108">
        <f t="shared" si="7"/>
        <v>0.67999999999999994</v>
      </c>
      <c r="P180" s="108"/>
      <c r="Q180" s="98"/>
      <c r="R180" s="1103"/>
      <c r="S180" s="1103"/>
      <c r="T180" s="1102"/>
      <c r="U180" s="1102"/>
      <c r="V180" s="1102"/>
      <c r="W180" s="1102"/>
      <c r="X180" s="1102"/>
      <c r="Y180" s="1102"/>
      <c r="Z180" s="98"/>
    </row>
    <row r="181" spans="1:26" ht="20.25" x14ac:dyDescent="0.25">
      <c r="A181" s="123"/>
      <c r="B181" s="217"/>
      <c r="C181" s="98"/>
      <c r="D181" s="98"/>
      <c r="E181" s="98"/>
      <c r="F181" s="98"/>
      <c r="G181" s="98"/>
      <c r="H181" s="98"/>
      <c r="I181" s="1089"/>
      <c r="J181" s="306" t="str">
        <f>$E$10</f>
        <v>LICEO TALENTOS</v>
      </c>
      <c r="K181" s="193">
        <f>VLOOKUP($E$10,SyC!$A$10:$DA$173,96,0)</f>
        <v>0</v>
      </c>
      <c r="L181" s="194">
        <f>VLOOKUP($E$10,SyC!$A$10:$DA$173,97,0)</f>
        <v>0</v>
      </c>
      <c r="M181" s="195">
        <f>VLOOKUP($E$10,SyC!$A$10:$DA$173,98,0)</f>
        <v>0</v>
      </c>
      <c r="N181" s="196">
        <f>VLOOKUP($E$10,SyC!$A$10:$DA$173,99,0)</f>
        <v>0</v>
      </c>
      <c r="O181" s="108">
        <f t="shared" si="7"/>
        <v>0</v>
      </c>
      <c r="P181" s="108"/>
      <c r="Q181" s="98"/>
      <c r="R181" s="1103"/>
      <c r="S181" s="1103"/>
      <c r="T181" s="1102"/>
      <c r="U181" s="1102"/>
      <c r="V181" s="1102"/>
      <c r="W181" s="1102"/>
      <c r="X181" s="1102"/>
      <c r="Y181" s="1102"/>
      <c r="Z181" s="98"/>
    </row>
    <row r="182" spans="1:26" ht="20.25" x14ac:dyDescent="0.25">
      <c r="A182" s="123"/>
      <c r="B182" s="217"/>
      <c r="C182" s="98"/>
      <c r="D182" s="98"/>
      <c r="E182" s="98"/>
      <c r="F182" s="98"/>
      <c r="G182" s="98"/>
      <c r="H182" s="98"/>
      <c r="I182" s="1089">
        <v>2024</v>
      </c>
      <c r="J182" s="306" t="str">
        <f>$E$8</f>
        <v>COLOMBIA</v>
      </c>
      <c r="K182" s="193">
        <f>VLOOKUP($E$8,SyC!$A$10:$DN$173,110,0)</f>
        <v>0.27</v>
      </c>
      <c r="L182" s="194">
        <f>VLOOKUP($E$8,SyC!$A$10:$DN$173,111,0)</f>
        <v>0.41</v>
      </c>
      <c r="M182" s="195">
        <f>VLOOKUP($E$8,SyC!$A$10:$DN$173,112,0)</f>
        <v>0.28000000000000003</v>
      </c>
      <c r="N182" s="196">
        <f>VLOOKUP($E$8,SyC!$A$10:$DN$173,113,0)</f>
        <v>0.04</v>
      </c>
      <c r="O182" s="108">
        <f t="shared" si="7"/>
        <v>0.67999999999999994</v>
      </c>
      <c r="P182" s="108"/>
      <c r="Q182" s="98"/>
      <c r="R182" s="1103"/>
      <c r="S182" s="1103"/>
      <c r="T182" s="1102"/>
      <c r="U182" s="1102"/>
      <c r="V182" s="1102"/>
      <c r="W182" s="1102"/>
      <c r="X182" s="1102"/>
      <c r="Y182" s="1102"/>
      <c r="Z182" s="98"/>
    </row>
    <row r="183" spans="1:26" ht="20.25" x14ac:dyDescent="0.25">
      <c r="A183" s="123"/>
      <c r="B183" s="217"/>
      <c r="C183" s="98"/>
      <c r="D183" s="98"/>
      <c r="E183" s="98"/>
      <c r="F183" s="98"/>
      <c r="G183" s="98"/>
      <c r="H183" s="98"/>
      <c r="I183" s="1089"/>
      <c r="J183" s="306" t="str">
        <f>$E$9</f>
        <v>SOACHA</v>
      </c>
      <c r="K183" s="193">
        <f>VLOOKUP($E$9,SyC!$A$10:$DN$173,110,0)</f>
        <v>0.2</v>
      </c>
      <c r="L183" s="194">
        <f>VLOOKUP($E$9,SyC!$A$10:$DN$173,111,0)</f>
        <v>0.46</v>
      </c>
      <c r="M183" s="195">
        <f>VLOOKUP($E$9,SyC!$A$10:$DN$173,112,0)</f>
        <v>0.31</v>
      </c>
      <c r="N183" s="196">
        <f>VLOOKUP($E$9,SyC!$A$10:$DN$173,113,0)</f>
        <v>0.03</v>
      </c>
      <c r="O183" s="108">
        <f t="shared" si="7"/>
        <v>0.66</v>
      </c>
      <c r="P183" s="108"/>
      <c r="Q183" s="98"/>
      <c r="R183" s="1103"/>
      <c r="S183" s="1103"/>
      <c r="T183" s="1102"/>
      <c r="U183" s="1102"/>
      <c r="V183" s="1102"/>
      <c r="W183" s="1102"/>
      <c r="X183" s="1102"/>
      <c r="Y183" s="1102"/>
      <c r="Z183" s="98"/>
    </row>
    <row r="184" spans="1:26" ht="20.25" x14ac:dyDescent="0.25">
      <c r="A184" s="123"/>
      <c r="B184" s="217"/>
      <c r="C184" s="98"/>
      <c r="D184" s="98"/>
      <c r="E184" s="98"/>
      <c r="F184" s="98"/>
      <c r="G184" s="98"/>
      <c r="H184" s="98"/>
      <c r="I184" s="1089"/>
      <c r="J184" s="306" t="str">
        <f>$E$10</f>
        <v>LICEO TALENTOS</v>
      </c>
      <c r="K184" s="193">
        <f>VLOOKUP($E$10,SyC!$A$10:$DN$173,110,0)</f>
        <v>0.14000000000000001</v>
      </c>
      <c r="L184" s="194">
        <f>VLOOKUP($E$10,SyC!$A$10:$DN$173,111,0)</f>
        <v>0.33</v>
      </c>
      <c r="M184" s="195">
        <f>VLOOKUP($E$10,SyC!$A$10:$DN$173,112,0)</f>
        <v>0.52</v>
      </c>
      <c r="N184" s="196">
        <f>VLOOKUP($E$10,SyC!$A$10:$DN$173,113,0)</f>
        <v>0</v>
      </c>
      <c r="O184" s="108">
        <f t="shared" si="7"/>
        <v>0.47000000000000003</v>
      </c>
      <c r="P184" s="108"/>
      <c r="Q184" s="98"/>
      <c r="R184" s="1103"/>
      <c r="S184" s="1103"/>
      <c r="T184" s="1102"/>
      <c r="U184" s="1102"/>
      <c r="V184" s="1102"/>
      <c r="W184" s="1102"/>
      <c r="X184" s="1102"/>
      <c r="Y184" s="1102"/>
      <c r="Z184" s="98"/>
    </row>
    <row r="185" spans="1:26" ht="20.25" x14ac:dyDescent="0.25">
      <c r="A185" s="123"/>
      <c r="B185" s="217"/>
      <c r="C185" s="98"/>
      <c r="D185" s="98"/>
      <c r="E185" s="98"/>
      <c r="F185" s="98"/>
      <c r="G185" s="98"/>
      <c r="H185" s="98"/>
      <c r="I185" s="1089">
        <v>2025</v>
      </c>
      <c r="J185" s="306" t="str">
        <f>$E$8</f>
        <v>COLOMBIA</v>
      </c>
      <c r="K185" s="193">
        <f>VLOOKUP($E$8,SyC!$A$10:$EC$173,124,0)</f>
        <v>0.3</v>
      </c>
      <c r="L185" s="194">
        <f>VLOOKUP($E$8,SyC!$A$10:$EC$173,125,0)</f>
        <v>0.39</v>
      </c>
      <c r="M185" s="195">
        <f>VLOOKUP($E$8,SyC!$A$10:$EC$173,126,0)</f>
        <v>0.27</v>
      </c>
      <c r="N185" s="196">
        <f>VLOOKUP($E$8,SyC!$A$10:$EC$173,127,0)</f>
        <v>0.04</v>
      </c>
      <c r="O185" s="108">
        <f t="shared" si="7"/>
        <v>0.69</v>
      </c>
      <c r="P185" s="108"/>
      <c r="Q185" s="98"/>
      <c r="R185" s="1103"/>
      <c r="S185" s="1103"/>
      <c r="T185" s="1102"/>
      <c r="U185" s="1102"/>
      <c r="V185" s="1102"/>
      <c r="W185" s="1102"/>
      <c r="X185" s="1102"/>
      <c r="Y185" s="1102"/>
      <c r="Z185" s="98"/>
    </row>
    <row r="186" spans="1:26" ht="20.25" x14ac:dyDescent="0.25">
      <c r="A186" s="123"/>
      <c r="B186" s="217"/>
      <c r="C186" s="98"/>
      <c r="D186" s="98"/>
      <c r="E186" s="98"/>
      <c r="F186" s="98"/>
      <c r="G186" s="98"/>
      <c r="H186" s="98"/>
      <c r="I186" s="1089"/>
      <c r="J186" s="306" t="str">
        <f>$E$9</f>
        <v>SOACHA</v>
      </c>
      <c r="K186" s="193">
        <f>VLOOKUP($E$9,SyC!$A$10:$EC$173,124,0)</f>
        <v>0.21</v>
      </c>
      <c r="L186" s="194">
        <f>VLOOKUP($E$9,SyC!$A$10:$EC$173,125,0)</f>
        <v>0.45</v>
      </c>
      <c r="M186" s="195">
        <f>VLOOKUP($E$9,SyC!$A$10:$EC$173,126,0)</f>
        <v>0.31</v>
      </c>
      <c r="N186" s="196">
        <f>VLOOKUP($E$9,SyC!$A$10:$EC$173,127,0)</f>
        <v>0.03</v>
      </c>
      <c r="O186" s="108">
        <f t="shared" si="7"/>
        <v>0.66</v>
      </c>
      <c r="P186" s="108"/>
      <c r="Q186" s="98"/>
      <c r="R186" s="1103"/>
      <c r="S186" s="1103"/>
      <c r="T186" s="1102"/>
      <c r="U186" s="1102"/>
      <c r="V186" s="1102"/>
      <c r="W186" s="1102"/>
      <c r="X186" s="1102"/>
      <c r="Y186" s="1102"/>
      <c r="Z186" s="98"/>
    </row>
    <row r="187" spans="1:26" ht="20.45" customHeight="1" x14ac:dyDescent="0.25">
      <c r="A187" s="123"/>
      <c r="B187" s="217"/>
      <c r="C187" s="98"/>
      <c r="D187" s="98"/>
      <c r="E187" s="98"/>
      <c r="F187" s="98"/>
      <c r="G187" s="98"/>
      <c r="H187" s="98"/>
      <c r="I187" s="1089"/>
      <c r="J187" s="306" t="str">
        <f>$E$10</f>
        <v>LICEO TALENTOS</v>
      </c>
      <c r="K187" s="193">
        <f>VLOOKUP($E$10,SyC!$A$10:$EC$173,124,0)</f>
        <v>0.44</v>
      </c>
      <c r="L187" s="194">
        <f>VLOOKUP($E$10,SyC!$A$10:$EC$173,125,0)</f>
        <v>0.25</v>
      </c>
      <c r="M187" s="195">
        <f>VLOOKUP($E$10,SyC!$A$10:$EC$173,126,0)</f>
        <v>0.28000000000000003</v>
      </c>
      <c r="N187" s="196">
        <f>VLOOKUP($E$10,SyC!$A$10:$EC$173,127,0)</f>
        <v>0.03</v>
      </c>
      <c r="O187" s="108">
        <f t="shared" si="7"/>
        <v>0.69</v>
      </c>
      <c r="P187" s="108"/>
      <c r="Q187" s="98"/>
      <c r="R187" s="1109">
        <v>4</v>
      </c>
      <c r="S187" s="1109" t="s">
        <v>611</v>
      </c>
      <c r="T187" s="1120" t="s">
        <v>900</v>
      </c>
      <c r="U187" s="1120"/>
      <c r="V187" s="1120"/>
      <c r="W187" s="1120"/>
      <c r="X187" s="1120"/>
      <c r="Y187" s="1120"/>
      <c r="Z187" s="98"/>
    </row>
    <row r="188" spans="1:26" ht="20.25" x14ac:dyDescent="0.25">
      <c r="A188" s="123"/>
      <c r="B188" s="217"/>
      <c r="C188" s="98"/>
      <c r="D188" s="98"/>
      <c r="E188" s="98"/>
      <c r="F188" s="98"/>
      <c r="G188" s="98"/>
      <c r="H188" s="98"/>
      <c r="I188" s="98"/>
      <c r="J188" s="98"/>
      <c r="K188" s="108"/>
      <c r="L188" s="98"/>
      <c r="M188" s="98"/>
      <c r="N188" s="98"/>
      <c r="O188" s="108"/>
      <c r="P188" s="108"/>
      <c r="Q188" s="98"/>
      <c r="R188" s="1109"/>
      <c r="S188" s="1109"/>
      <c r="T188" s="1120"/>
      <c r="U188" s="1120"/>
      <c r="V188" s="1120"/>
      <c r="W188" s="1120"/>
      <c r="X188" s="1120"/>
      <c r="Y188" s="1120"/>
      <c r="Z188" s="98"/>
    </row>
    <row r="189" spans="1:26" ht="20.25" x14ac:dyDescent="0.25">
      <c r="A189" s="123"/>
      <c r="B189" s="217"/>
      <c r="C189" s="98"/>
      <c r="D189" s="98"/>
      <c r="E189" s="98"/>
      <c r="F189" s="98"/>
      <c r="G189" s="98"/>
      <c r="H189" s="98"/>
      <c r="I189" s="98"/>
      <c r="J189" s="98"/>
      <c r="K189" s="108"/>
      <c r="L189" s="98"/>
      <c r="M189" s="98"/>
      <c r="N189" s="98"/>
      <c r="O189" s="108"/>
      <c r="P189" s="108"/>
      <c r="Q189" s="98"/>
      <c r="R189" s="1109"/>
      <c r="S189" s="1109"/>
      <c r="T189" s="1120"/>
      <c r="U189" s="1120"/>
      <c r="V189" s="1120"/>
      <c r="W189" s="1120"/>
      <c r="X189" s="1120"/>
      <c r="Y189" s="1120"/>
      <c r="Z189" s="98"/>
    </row>
    <row r="190" spans="1:26" ht="20.25" x14ac:dyDescent="0.25">
      <c r="A190" s="123"/>
      <c r="B190" s="217"/>
      <c r="C190" s="98"/>
      <c r="D190" s="98"/>
      <c r="E190" s="98"/>
      <c r="F190" s="98"/>
      <c r="G190" s="98"/>
      <c r="H190" s="98"/>
      <c r="I190" s="98"/>
      <c r="J190" s="98"/>
      <c r="K190" s="108"/>
      <c r="L190" s="98"/>
      <c r="M190" s="98"/>
      <c r="N190" s="98"/>
      <c r="O190" s="108"/>
      <c r="P190" s="108"/>
      <c r="Q190" s="98"/>
      <c r="R190" s="1109"/>
      <c r="S190" s="1109"/>
      <c r="T190" s="1120"/>
      <c r="U190" s="1120"/>
      <c r="V190" s="1120"/>
      <c r="W190" s="1120"/>
      <c r="X190" s="1120"/>
      <c r="Y190" s="1120"/>
      <c r="Z190" s="98"/>
    </row>
    <row r="191" spans="1:26" ht="20.25" x14ac:dyDescent="0.25">
      <c r="A191" s="123"/>
      <c r="B191" s="217"/>
      <c r="C191" s="98"/>
      <c r="D191" s="98"/>
      <c r="E191" s="98"/>
      <c r="F191" s="98"/>
      <c r="G191" s="98"/>
      <c r="H191" s="98"/>
      <c r="I191" s="98"/>
      <c r="J191" s="98"/>
      <c r="K191" s="108"/>
      <c r="L191" s="98"/>
      <c r="M191" s="98"/>
      <c r="N191" s="98"/>
      <c r="O191" s="108"/>
      <c r="P191" s="108"/>
      <c r="Q191" s="98"/>
      <c r="R191" s="1109"/>
      <c r="S191" s="1109"/>
      <c r="T191" s="1120"/>
      <c r="U191" s="1120"/>
      <c r="V191" s="1120"/>
      <c r="W191" s="1120"/>
      <c r="X191" s="1120"/>
      <c r="Y191" s="1120"/>
      <c r="Z191" s="98"/>
    </row>
    <row r="192" spans="1:26" ht="20.25" x14ac:dyDescent="0.25">
      <c r="A192" s="123"/>
      <c r="B192" s="217"/>
      <c r="C192" s="98"/>
      <c r="D192" s="98"/>
      <c r="E192" s="98"/>
      <c r="F192" s="98"/>
      <c r="G192" s="98"/>
      <c r="H192" s="98"/>
      <c r="I192" s="98"/>
      <c r="J192" s="98"/>
      <c r="K192" s="108"/>
      <c r="L192" s="98"/>
      <c r="M192" s="98"/>
      <c r="N192" s="98"/>
      <c r="O192" s="108"/>
      <c r="P192" s="108"/>
      <c r="Q192" s="98"/>
      <c r="R192" s="1109"/>
      <c r="S192" s="1109"/>
      <c r="T192" s="1120"/>
      <c r="U192" s="1120"/>
      <c r="V192" s="1120"/>
      <c r="W192" s="1120"/>
      <c r="X192" s="1120"/>
      <c r="Y192" s="1120"/>
      <c r="Z192" s="98"/>
    </row>
    <row r="193" spans="1:26" ht="20.25" x14ac:dyDescent="0.25">
      <c r="A193" s="123"/>
      <c r="B193" s="217"/>
      <c r="C193" s="98"/>
      <c r="D193" s="98"/>
      <c r="E193" s="98"/>
      <c r="F193" s="98"/>
      <c r="G193" s="98"/>
      <c r="H193" s="98"/>
      <c r="I193" s="98"/>
      <c r="J193" s="98"/>
      <c r="K193" s="108"/>
      <c r="L193" s="98"/>
      <c r="M193" s="98"/>
      <c r="N193" s="98"/>
      <c r="O193" s="108"/>
      <c r="P193" s="108"/>
      <c r="Q193" s="98"/>
      <c r="R193" s="1109"/>
      <c r="S193" s="1109"/>
      <c r="T193" s="1120"/>
      <c r="U193" s="1120"/>
      <c r="V193" s="1120"/>
      <c r="W193" s="1120"/>
      <c r="X193" s="1120"/>
      <c r="Y193" s="1120"/>
      <c r="Z193" s="98"/>
    </row>
    <row r="194" spans="1:26" ht="20.25" x14ac:dyDescent="0.25">
      <c r="A194" s="123"/>
      <c r="B194" s="217"/>
      <c r="C194" s="98"/>
      <c r="D194" s="98"/>
      <c r="E194" s="98"/>
      <c r="F194" s="98"/>
      <c r="G194" s="98"/>
      <c r="H194" s="98"/>
      <c r="I194" s="98"/>
      <c r="J194" s="98"/>
      <c r="K194" s="108"/>
      <c r="L194" s="98"/>
      <c r="M194" s="98"/>
      <c r="N194" s="98"/>
      <c r="O194" s="108"/>
      <c r="P194" s="108"/>
      <c r="Q194" s="98"/>
      <c r="R194" s="1109"/>
      <c r="S194" s="1109"/>
      <c r="T194" s="1120"/>
      <c r="U194" s="1120"/>
      <c r="V194" s="1120"/>
      <c r="W194" s="1120"/>
      <c r="X194" s="1120"/>
      <c r="Y194" s="1120"/>
      <c r="Z194" s="98"/>
    </row>
    <row r="195" spans="1:26" ht="20.25" x14ac:dyDescent="0.25">
      <c r="A195" s="123"/>
      <c r="B195" s="217"/>
      <c r="C195" s="98"/>
      <c r="D195" s="98"/>
      <c r="E195" s="98"/>
      <c r="F195" s="98"/>
      <c r="G195" s="98"/>
      <c r="H195" s="98"/>
      <c r="I195" s="98"/>
      <c r="J195" s="98"/>
      <c r="K195" s="108"/>
      <c r="L195" s="98"/>
      <c r="M195" s="98"/>
      <c r="N195" s="98"/>
      <c r="O195" s="108"/>
      <c r="P195" s="108"/>
      <c r="Q195" s="98"/>
      <c r="R195" s="1109"/>
      <c r="S195" s="1109"/>
      <c r="T195" s="1120"/>
      <c r="U195" s="1120"/>
      <c r="V195" s="1120"/>
      <c r="W195" s="1120"/>
      <c r="X195" s="1120"/>
      <c r="Y195" s="1120"/>
      <c r="Z195" s="98"/>
    </row>
    <row r="196" spans="1:26" ht="20.25" x14ac:dyDescent="0.25">
      <c r="A196" s="123"/>
      <c r="B196" s="217"/>
      <c r="C196" s="98"/>
      <c r="D196" s="98"/>
      <c r="E196" s="98"/>
      <c r="F196" s="98"/>
      <c r="G196" s="98"/>
      <c r="H196" s="98"/>
      <c r="I196" s="98"/>
      <c r="J196" s="98"/>
      <c r="K196" s="108"/>
      <c r="L196" s="98"/>
      <c r="M196" s="98"/>
      <c r="N196" s="98"/>
      <c r="O196" s="108"/>
      <c r="P196" s="108"/>
      <c r="Q196" s="98"/>
      <c r="R196" s="1109"/>
      <c r="S196" s="1109"/>
      <c r="T196" s="1120"/>
      <c r="U196" s="1120"/>
      <c r="V196" s="1120"/>
      <c r="W196" s="1120"/>
      <c r="X196" s="1120"/>
      <c r="Y196" s="1120"/>
      <c r="Z196" s="98"/>
    </row>
    <row r="197" spans="1:26" ht="20.25" x14ac:dyDescent="0.25">
      <c r="A197" s="123"/>
      <c r="B197" s="217"/>
      <c r="C197" s="98"/>
      <c r="D197" s="98"/>
      <c r="E197" s="98"/>
      <c r="F197" s="98"/>
      <c r="G197" s="98"/>
      <c r="H197" s="98"/>
      <c r="I197" s="98"/>
      <c r="J197" s="98"/>
      <c r="K197" s="108"/>
      <c r="L197" s="98"/>
      <c r="M197" s="98"/>
      <c r="N197" s="98"/>
      <c r="O197" s="108"/>
      <c r="P197" s="108"/>
      <c r="Q197" s="98"/>
      <c r="R197" s="1109"/>
      <c r="S197" s="1109"/>
      <c r="T197" s="1120"/>
      <c r="U197" s="1120"/>
      <c r="V197" s="1120"/>
      <c r="W197" s="1120"/>
      <c r="X197" s="1120"/>
      <c r="Y197" s="1120"/>
      <c r="Z197" s="98"/>
    </row>
    <row r="198" spans="1:26" ht="20.25" x14ac:dyDescent="0.25">
      <c r="A198" s="123"/>
      <c r="B198" s="217"/>
      <c r="C198" s="98"/>
      <c r="D198" s="98"/>
      <c r="E198" s="98"/>
      <c r="F198" s="98"/>
      <c r="G198" s="98"/>
      <c r="H198" s="98"/>
      <c r="I198" s="98"/>
      <c r="J198" s="98"/>
      <c r="K198" s="108"/>
      <c r="L198" s="98"/>
      <c r="M198" s="98"/>
      <c r="N198" s="98"/>
      <c r="O198" s="108"/>
      <c r="P198" s="108"/>
      <c r="Q198" s="98"/>
      <c r="R198" s="1109"/>
      <c r="S198" s="1109"/>
      <c r="T198" s="1120"/>
      <c r="U198" s="1120"/>
      <c r="V198" s="1120"/>
      <c r="W198" s="1120"/>
      <c r="X198" s="1120"/>
      <c r="Y198" s="1120"/>
      <c r="Z198" s="98"/>
    </row>
    <row r="199" spans="1:26" ht="20.25" x14ac:dyDescent="0.25">
      <c r="A199" s="123"/>
      <c r="B199" s="217"/>
      <c r="C199" s="98"/>
      <c r="D199" s="98"/>
      <c r="E199" s="98"/>
      <c r="F199" s="98"/>
      <c r="G199" s="98"/>
      <c r="H199" s="98"/>
      <c r="I199" s="98"/>
      <c r="J199" s="98"/>
      <c r="K199" s="108"/>
      <c r="L199" s="98"/>
      <c r="M199" s="98"/>
      <c r="N199" s="98"/>
      <c r="O199" s="108"/>
      <c r="P199" s="108"/>
      <c r="Q199" s="98"/>
      <c r="R199" s="1109"/>
      <c r="S199" s="1109"/>
      <c r="T199" s="1120"/>
      <c r="U199" s="1120"/>
      <c r="V199" s="1120"/>
      <c r="W199" s="1120"/>
      <c r="X199" s="1120"/>
      <c r="Y199" s="1120"/>
      <c r="Z199" s="98"/>
    </row>
    <row r="200" spans="1:26" ht="20.25" x14ac:dyDescent="0.25">
      <c r="A200" s="123"/>
      <c r="B200" s="217"/>
      <c r="C200" s="98"/>
      <c r="D200" s="98"/>
      <c r="E200" s="98"/>
      <c r="F200" s="98"/>
      <c r="G200" s="98"/>
      <c r="H200" s="98"/>
      <c r="I200" s="98"/>
      <c r="J200" s="98"/>
      <c r="K200" s="108"/>
      <c r="L200" s="98"/>
      <c r="M200" s="98"/>
      <c r="N200" s="98"/>
      <c r="O200" s="108"/>
      <c r="P200" s="108"/>
      <c r="Q200" s="98"/>
      <c r="R200" s="1109"/>
      <c r="S200" s="1109"/>
      <c r="T200" s="1120"/>
      <c r="U200" s="1120"/>
      <c r="V200" s="1120"/>
      <c r="W200" s="1120"/>
      <c r="X200" s="1120"/>
      <c r="Y200" s="1120"/>
      <c r="Z200" s="98"/>
    </row>
    <row r="201" spans="1:26" ht="20.25" x14ac:dyDescent="0.25">
      <c r="A201" s="123"/>
      <c r="B201" s="217"/>
      <c r="C201" s="98"/>
      <c r="D201" s="98"/>
      <c r="E201" s="98"/>
      <c r="F201" s="98"/>
      <c r="G201" s="98"/>
      <c r="H201" s="98"/>
      <c r="I201" s="98"/>
      <c r="J201" s="98"/>
      <c r="K201" s="108"/>
      <c r="L201" s="98"/>
      <c r="M201" s="98"/>
      <c r="N201" s="98"/>
      <c r="O201" s="108"/>
      <c r="P201" s="108"/>
      <c r="Q201" s="98"/>
      <c r="R201" s="1109"/>
      <c r="S201" s="1109"/>
      <c r="T201" s="1120"/>
      <c r="U201" s="1120"/>
      <c r="V201" s="1120"/>
      <c r="W201" s="1120"/>
      <c r="X201" s="1120"/>
      <c r="Y201" s="1120"/>
      <c r="Z201" s="98"/>
    </row>
    <row r="202" spans="1:26" ht="20.25" x14ac:dyDescent="0.25">
      <c r="A202" s="123"/>
      <c r="B202" s="217"/>
      <c r="C202" s="98"/>
      <c r="D202" s="98"/>
      <c r="E202" s="98"/>
      <c r="F202" s="98"/>
      <c r="G202" s="98"/>
      <c r="H202" s="98"/>
      <c r="I202" s="98"/>
      <c r="J202" s="98"/>
      <c r="K202" s="108"/>
      <c r="L202" s="98"/>
      <c r="M202" s="98"/>
      <c r="N202" s="98"/>
      <c r="O202" s="108"/>
      <c r="P202" s="108"/>
      <c r="Q202" s="98"/>
      <c r="R202" s="1109"/>
      <c r="S202" s="1109"/>
      <c r="T202" s="1120"/>
      <c r="U202" s="1120"/>
      <c r="V202" s="1120"/>
      <c r="W202" s="1120"/>
      <c r="X202" s="1120"/>
      <c r="Y202" s="1120"/>
      <c r="Z202" s="98"/>
    </row>
    <row r="203" spans="1:26" ht="20.25" x14ac:dyDescent="0.25">
      <c r="A203" s="123"/>
      <c r="B203" s="217"/>
      <c r="C203" s="98"/>
      <c r="D203" s="98"/>
      <c r="E203" s="98"/>
      <c r="F203" s="98"/>
      <c r="G203" s="98"/>
      <c r="H203" s="98"/>
      <c r="I203" s="98"/>
      <c r="J203" s="98"/>
      <c r="K203" s="108"/>
      <c r="L203" s="98"/>
      <c r="M203" s="98"/>
      <c r="N203" s="98"/>
      <c r="O203" s="108"/>
      <c r="P203" s="108"/>
      <c r="Q203" s="98"/>
      <c r="R203" s="1109"/>
      <c r="S203" s="1109"/>
      <c r="T203" s="1120"/>
      <c r="U203" s="1120"/>
      <c r="V203" s="1120"/>
      <c r="W203" s="1120"/>
      <c r="X203" s="1120"/>
      <c r="Y203" s="1120"/>
      <c r="Z203" s="98"/>
    </row>
    <row r="204" spans="1:26" ht="20.25" x14ac:dyDescent="0.25">
      <c r="A204" s="123"/>
      <c r="B204" s="217"/>
      <c r="C204" s="98"/>
      <c r="D204" s="98"/>
      <c r="E204" s="98"/>
      <c r="F204" s="98"/>
      <c r="G204" s="98"/>
      <c r="H204" s="98"/>
      <c r="I204" s="98"/>
      <c r="J204" s="98"/>
      <c r="K204" s="108"/>
      <c r="L204" s="98"/>
      <c r="M204" s="98"/>
      <c r="N204" s="98"/>
      <c r="O204" s="108"/>
      <c r="P204" s="108"/>
      <c r="Q204" s="98"/>
      <c r="R204" s="1109"/>
      <c r="S204" s="1109"/>
      <c r="T204" s="1120"/>
      <c r="U204" s="1120"/>
      <c r="V204" s="1120"/>
      <c r="W204" s="1120"/>
      <c r="X204" s="1120"/>
      <c r="Y204" s="1120"/>
      <c r="Z204" s="98"/>
    </row>
    <row r="205" spans="1:26" ht="20.25" x14ac:dyDescent="0.25">
      <c r="A205" s="123"/>
      <c r="B205" s="217"/>
      <c r="C205" s="98"/>
      <c r="D205" s="98"/>
      <c r="E205" s="98"/>
      <c r="F205" s="98"/>
      <c r="G205" s="98"/>
      <c r="H205" s="98"/>
      <c r="I205" s="98"/>
      <c r="J205" s="98"/>
      <c r="K205" s="108"/>
      <c r="L205" s="98"/>
      <c r="M205" s="98"/>
      <c r="N205" s="98"/>
      <c r="O205" s="108"/>
      <c r="P205" s="108"/>
      <c r="Q205" s="98"/>
      <c r="R205" s="1109"/>
      <c r="S205" s="1109"/>
      <c r="T205" s="1120"/>
      <c r="U205" s="1120"/>
      <c r="V205" s="1120"/>
      <c r="W205" s="1120"/>
      <c r="X205" s="1120"/>
      <c r="Y205" s="1120"/>
      <c r="Z205" s="98"/>
    </row>
    <row r="206" spans="1:26" ht="20.25" x14ac:dyDescent="0.25">
      <c r="A206" s="123"/>
      <c r="B206" s="217"/>
      <c r="C206" s="98"/>
      <c r="D206" s="98"/>
      <c r="E206" s="98"/>
      <c r="F206" s="98"/>
      <c r="G206" s="98"/>
      <c r="H206" s="98"/>
      <c r="I206" s="98"/>
      <c r="J206" s="98"/>
      <c r="K206" s="108"/>
      <c r="L206" s="98"/>
      <c r="M206" s="98"/>
      <c r="N206" s="98"/>
      <c r="O206" s="108"/>
      <c r="P206" s="108"/>
      <c r="Q206" s="98"/>
      <c r="R206" s="1109"/>
      <c r="S206" s="1109"/>
      <c r="T206" s="1120"/>
      <c r="U206" s="1120"/>
      <c r="V206" s="1120"/>
      <c r="W206" s="1120"/>
      <c r="X206" s="1120"/>
      <c r="Y206" s="1120"/>
      <c r="Z206" s="98"/>
    </row>
    <row r="207" spans="1:26" ht="20.25" x14ac:dyDescent="0.25">
      <c r="A207" s="123"/>
      <c r="B207" s="217"/>
      <c r="C207" s="98"/>
      <c r="D207" s="98"/>
      <c r="E207" s="98"/>
      <c r="F207" s="98"/>
      <c r="G207" s="98"/>
      <c r="H207" s="98"/>
      <c r="I207" s="98"/>
      <c r="J207" s="98"/>
      <c r="K207" s="108"/>
      <c r="L207" s="98"/>
      <c r="M207" s="98"/>
      <c r="N207" s="98"/>
      <c r="O207" s="108"/>
      <c r="P207" s="108"/>
      <c r="Q207" s="98"/>
      <c r="R207" s="98"/>
      <c r="S207" s="98"/>
      <c r="T207" s="98"/>
      <c r="U207" s="98"/>
      <c r="V207" s="98"/>
      <c r="W207" s="98"/>
      <c r="X207" s="98"/>
      <c r="Y207" s="98"/>
      <c r="Z207" s="98"/>
    </row>
    <row r="208" spans="1:26" ht="20.25" x14ac:dyDescent="0.25">
      <c r="A208" s="123"/>
      <c r="B208" s="217"/>
      <c r="C208" s="98"/>
      <c r="D208" s="98"/>
      <c r="E208" s="98"/>
      <c r="F208" s="98"/>
      <c r="G208" s="98"/>
      <c r="H208" s="98"/>
      <c r="I208" s="98"/>
      <c r="J208" s="98"/>
      <c r="K208" s="108"/>
      <c r="L208" s="98"/>
      <c r="M208" s="98"/>
      <c r="N208" s="98"/>
      <c r="O208" s="108"/>
      <c r="P208" s="108"/>
      <c r="Q208" s="98"/>
      <c r="R208" s="98"/>
      <c r="S208" s="98"/>
      <c r="T208" s="98"/>
      <c r="U208" s="98"/>
      <c r="V208" s="98"/>
      <c r="W208" s="98"/>
      <c r="X208" s="98"/>
      <c r="Y208" s="98"/>
      <c r="Z208" s="98"/>
    </row>
    <row r="209" spans="1:26" ht="20.25" x14ac:dyDescent="0.25">
      <c r="A209" s="123"/>
      <c r="B209" s="217"/>
      <c r="C209" s="98"/>
      <c r="D209" s="98"/>
      <c r="E209" s="98"/>
      <c r="F209" s="98"/>
      <c r="G209" s="98"/>
      <c r="H209" s="98"/>
      <c r="I209" s="98"/>
      <c r="J209" s="98"/>
      <c r="K209" s="108"/>
      <c r="L209" s="98"/>
      <c r="M209" s="98"/>
      <c r="N209" s="98"/>
      <c r="O209" s="108"/>
      <c r="P209" s="108"/>
      <c r="Q209" s="98"/>
      <c r="R209" s="98"/>
      <c r="S209" s="98"/>
      <c r="T209" s="98"/>
      <c r="U209" s="98"/>
      <c r="V209" s="98"/>
      <c r="W209" s="98"/>
      <c r="X209" s="98"/>
      <c r="Y209" s="98"/>
      <c r="Z209" s="98"/>
    </row>
    <row r="210" spans="1:26" x14ac:dyDescent="0.25">
      <c r="A210" s="118"/>
      <c r="B210" s="118"/>
      <c r="C210" s="98"/>
      <c r="D210" s="98"/>
      <c r="E210" s="98"/>
      <c r="F210" s="98"/>
      <c r="G210" s="98"/>
      <c r="H210" s="98"/>
      <c r="I210" s="98"/>
      <c r="J210" s="98"/>
      <c r="K210" s="98"/>
      <c r="L210" s="98"/>
      <c r="M210" s="98"/>
      <c r="N210" s="98"/>
      <c r="O210" s="98"/>
      <c r="P210" s="98"/>
      <c r="Q210" s="98"/>
      <c r="R210" s="98"/>
      <c r="S210" s="98"/>
      <c r="T210" s="98"/>
      <c r="U210" s="98"/>
      <c r="V210" s="98"/>
      <c r="W210" s="98"/>
      <c r="X210" s="98"/>
      <c r="Y210" s="98"/>
      <c r="Z210" s="98"/>
    </row>
    <row r="211" spans="1:26" x14ac:dyDescent="0.25">
      <c r="A211" s="118"/>
      <c r="B211" s="118"/>
      <c r="C211" s="98"/>
      <c r="D211" s="98"/>
      <c r="E211" s="98"/>
      <c r="F211" s="98"/>
      <c r="G211" s="98"/>
      <c r="H211" s="98"/>
      <c r="I211" s="98"/>
      <c r="J211" s="98"/>
      <c r="K211" s="98"/>
      <c r="L211" s="98"/>
      <c r="M211" s="98"/>
      <c r="N211" s="98"/>
      <c r="O211" s="98"/>
      <c r="P211" s="98"/>
      <c r="Q211" s="98"/>
      <c r="R211" s="98"/>
      <c r="S211" s="98"/>
      <c r="T211" s="98"/>
      <c r="U211" s="98"/>
      <c r="V211" s="98"/>
      <c r="W211" s="98"/>
      <c r="X211" s="98"/>
      <c r="Y211" s="98"/>
      <c r="Z211" s="98"/>
    </row>
    <row r="212" spans="1:26" x14ac:dyDescent="0.25">
      <c r="A212" s="118"/>
      <c r="B212" s="118"/>
      <c r="C212" s="98"/>
      <c r="D212" s="98"/>
      <c r="E212" s="98"/>
      <c r="F212" s="98"/>
      <c r="G212" s="98"/>
      <c r="H212" s="98"/>
      <c r="I212" s="98"/>
      <c r="J212" s="98"/>
      <c r="K212" s="98"/>
      <c r="L212" s="98"/>
      <c r="M212" s="98"/>
      <c r="N212" s="98"/>
      <c r="O212" s="98"/>
      <c r="P212" s="98"/>
      <c r="Q212" s="98"/>
      <c r="R212" s="98"/>
      <c r="S212" s="98"/>
      <c r="T212" s="98"/>
      <c r="U212" s="98"/>
      <c r="V212" s="98"/>
      <c r="W212" s="98"/>
      <c r="X212" s="98"/>
      <c r="Y212" s="98"/>
      <c r="Z212" s="98"/>
    </row>
    <row r="213" spans="1:26" x14ac:dyDescent="0.25">
      <c r="A213" s="118"/>
      <c r="B213" s="118"/>
      <c r="C213" s="98"/>
      <c r="D213" s="98"/>
      <c r="E213" s="98"/>
      <c r="F213" s="98"/>
      <c r="G213" s="98"/>
      <c r="H213" s="98"/>
      <c r="I213" s="98"/>
      <c r="J213" s="98"/>
      <c r="K213" s="98"/>
      <c r="L213" s="98"/>
      <c r="M213" s="98"/>
      <c r="N213" s="98"/>
      <c r="O213" s="98"/>
      <c r="P213" s="98"/>
      <c r="Q213" s="98"/>
      <c r="R213" s="98"/>
      <c r="S213" s="98"/>
      <c r="T213" s="98"/>
      <c r="U213" s="98"/>
      <c r="V213" s="98"/>
      <c r="W213" s="98"/>
      <c r="X213" s="98"/>
      <c r="Y213" s="98"/>
      <c r="Z213" s="98"/>
    </row>
    <row r="214" spans="1:26" x14ac:dyDescent="0.25">
      <c r="A214" s="118"/>
      <c r="B214" s="118"/>
      <c r="C214" s="98"/>
      <c r="D214" s="98"/>
      <c r="E214" s="98"/>
      <c r="F214" s="98"/>
      <c r="G214" s="98"/>
      <c r="H214" s="98"/>
      <c r="I214" s="98"/>
      <c r="J214" s="98"/>
      <c r="K214" s="98"/>
      <c r="L214" s="98"/>
      <c r="M214" s="98"/>
      <c r="N214" s="98"/>
      <c r="O214" s="98"/>
      <c r="P214" s="98"/>
      <c r="Q214" s="98"/>
      <c r="R214" s="98"/>
      <c r="S214" s="98"/>
      <c r="T214" s="98"/>
      <c r="U214" s="98"/>
      <c r="V214" s="98"/>
      <c r="W214" s="98"/>
      <c r="X214" s="98"/>
      <c r="Y214" s="98"/>
      <c r="Z214" s="98"/>
    </row>
    <row r="215" spans="1:26" x14ac:dyDescent="0.25">
      <c r="A215" s="118"/>
      <c r="B215" s="118"/>
      <c r="C215" s="98"/>
      <c r="D215" s="98"/>
      <c r="E215" s="98"/>
      <c r="F215" s="98"/>
      <c r="G215" s="98"/>
      <c r="H215" s="98"/>
      <c r="I215" s="98"/>
      <c r="J215" s="98"/>
      <c r="K215" s="98"/>
      <c r="L215" s="98"/>
      <c r="M215" s="98"/>
      <c r="N215" s="98"/>
      <c r="O215" s="98"/>
      <c r="P215" s="98"/>
      <c r="Q215" s="98"/>
      <c r="R215" s="98"/>
      <c r="S215" s="98"/>
      <c r="T215" s="98"/>
      <c r="U215" s="98"/>
      <c r="V215" s="98"/>
      <c r="W215" s="98"/>
      <c r="X215" s="98"/>
      <c r="Y215" s="98"/>
      <c r="Z215" s="98"/>
    </row>
    <row r="216" spans="1:26" x14ac:dyDescent="0.25">
      <c r="A216" s="118"/>
      <c r="B216" s="118"/>
      <c r="C216" s="98"/>
      <c r="D216" s="98"/>
      <c r="E216" s="98"/>
      <c r="F216" s="98"/>
      <c r="G216" s="98"/>
      <c r="H216" s="98"/>
      <c r="I216" s="98"/>
      <c r="J216" s="98"/>
      <c r="K216" s="98"/>
      <c r="L216" s="98"/>
      <c r="M216" s="98"/>
      <c r="N216" s="98"/>
      <c r="O216" s="98"/>
      <c r="P216" s="98"/>
      <c r="Q216" s="98"/>
      <c r="R216" s="98"/>
      <c r="S216" s="98"/>
      <c r="T216" s="98"/>
      <c r="U216" s="98"/>
      <c r="V216" s="98"/>
      <c r="W216" s="98"/>
      <c r="X216" s="98"/>
      <c r="Y216" s="98"/>
      <c r="Z216" s="98"/>
    </row>
    <row r="217" spans="1:26" x14ac:dyDescent="0.25">
      <c r="A217" s="118"/>
      <c r="B217" s="118"/>
      <c r="C217" s="98"/>
      <c r="D217" s="98"/>
      <c r="E217" s="98"/>
      <c r="F217" s="98"/>
      <c r="G217" s="98"/>
      <c r="H217" s="98"/>
      <c r="I217" s="98"/>
      <c r="J217" s="98"/>
      <c r="K217" s="98"/>
      <c r="L217" s="98"/>
      <c r="M217" s="98"/>
      <c r="N217" s="98"/>
      <c r="O217" s="98"/>
      <c r="P217" s="98"/>
      <c r="Q217" s="98"/>
      <c r="R217" s="98"/>
      <c r="S217" s="98"/>
      <c r="T217" s="98"/>
      <c r="U217" s="98"/>
      <c r="V217" s="98"/>
      <c r="W217" s="98"/>
      <c r="X217" s="98"/>
      <c r="Y217" s="98"/>
      <c r="Z217" s="98"/>
    </row>
    <row r="218" spans="1:26" x14ac:dyDescent="0.25">
      <c r="A218" s="118"/>
      <c r="B218" s="118"/>
      <c r="C218" s="98"/>
      <c r="D218" s="98"/>
      <c r="E218" s="98"/>
      <c r="F218" s="98"/>
      <c r="G218" s="98"/>
      <c r="H218" s="98"/>
      <c r="I218" s="98"/>
      <c r="J218" s="98"/>
      <c r="K218" s="98"/>
      <c r="L218" s="98"/>
      <c r="M218" s="98"/>
      <c r="N218" s="98"/>
      <c r="O218" s="98"/>
      <c r="P218" s="98"/>
      <c r="Q218" s="98"/>
      <c r="R218" s="98"/>
      <c r="S218" s="98"/>
      <c r="T218" s="98"/>
      <c r="U218" s="98"/>
      <c r="V218" s="98"/>
      <c r="W218" s="98"/>
      <c r="X218" s="98"/>
      <c r="Y218" s="98"/>
      <c r="Z218" s="98"/>
    </row>
    <row r="219" spans="1:26" ht="37.9" customHeight="1" x14ac:dyDescent="0.25">
      <c r="A219" s="98"/>
      <c r="B219" s="221"/>
      <c r="C219" s="221"/>
      <c r="D219" s="98"/>
      <c r="E219" s="98"/>
      <c r="F219" s="98"/>
      <c r="G219" s="98"/>
      <c r="H219" s="98"/>
      <c r="I219" s="98"/>
      <c r="J219" s="98"/>
      <c r="K219" s="98"/>
      <c r="L219" s="98"/>
      <c r="M219" s="98"/>
      <c r="N219" s="98"/>
      <c r="O219" s="98"/>
      <c r="P219" s="98"/>
      <c r="Q219" s="98"/>
      <c r="R219" s="98"/>
      <c r="S219" s="98"/>
      <c r="T219" s="98"/>
      <c r="U219" s="98"/>
      <c r="V219" s="98"/>
      <c r="W219" s="98"/>
      <c r="X219" s="98"/>
      <c r="Y219" s="98"/>
      <c r="Z219" s="98"/>
    </row>
    <row r="220" spans="1:26" ht="36" customHeight="1" x14ac:dyDescent="0.3">
      <c r="A220" s="98"/>
      <c r="B220" s="1111" t="s">
        <v>618</v>
      </c>
      <c r="C220" s="1111"/>
      <c r="D220" s="1111"/>
      <c r="E220" s="1111"/>
      <c r="F220" s="1111"/>
      <c r="G220" s="98"/>
      <c r="H220" s="98"/>
      <c r="I220" s="1093" t="s">
        <v>735</v>
      </c>
      <c r="J220" s="1093"/>
      <c r="K220" s="1093"/>
      <c r="L220" s="1093"/>
      <c r="M220" s="1093"/>
      <c r="N220" s="1093"/>
      <c r="O220" s="98"/>
      <c r="P220" s="102"/>
      <c r="Q220" s="98"/>
      <c r="R220" s="1098" t="s">
        <v>901</v>
      </c>
      <c r="S220" s="1098"/>
      <c r="T220" s="1098"/>
      <c r="U220" s="1098"/>
      <c r="V220" s="1098"/>
      <c r="W220" s="1098"/>
      <c r="X220" s="1098"/>
      <c r="Y220" s="1098"/>
      <c r="Z220" s="98"/>
    </row>
    <row r="221" spans="1:26" ht="43.5" customHeight="1" x14ac:dyDescent="0.3">
      <c r="A221" s="98"/>
      <c r="B221" s="218" t="s">
        <v>290</v>
      </c>
      <c r="C221" s="219" t="str">
        <f>$E$8</f>
        <v>COLOMBIA</v>
      </c>
      <c r="D221" s="1112" t="str">
        <f>$E$9</f>
        <v>SOACHA</v>
      </c>
      <c r="E221" s="1112"/>
      <c r="F221" s="220" t="str">
        <f>$E$10</f>
        <v>LICEO TALENTOS</v>
      </c>
      <c r="G221" s="98"/>
      <c r="H221" s="98"/>
      <c r="I221" s="297" t="s">
        <v>290</v>
      </c>
      <c r="J221" s="297" t="s">
        <v>292</v>
      </c>
      <c r="K221" s="208" t="s">
        <v>614</v>
      </c>
      <c r="L221" s="209" t="s">
        <v>615</v>
      </c>
      <c r="M221" s="210" t="s">
        <v>616</v>
      </c>
      <c r="N221" s="211" t="s">
        <v>611</v>
      </c>
      <c r="O221" s="102" t="s">
        <v>617</v>
      </c>
      <c r="P221" s="121"/>
      <c r="Q221" s="98"/>
      <c r="R221" s="387" t="s">
        <v>883</v>
      </c>
      <c r="S221" s="387" t="s">
        <v>884</v>
      </c>
      <c r="T221" s="1183" t="s">
        <v>885</v>
      </c>
      <c r="U221" s="1184"/>
      <c r="V221" s="1184"/>
      <c r="W221" s="1184"/>
      <c r="X221" s="1184"/>
      <c r="Y221" s="1185"/>
      <c r="Z221" s="98"/>
    </row>
    <row r="222" spans="1:26" ht="20.25" x14ac:dyDescent="0.25">
      <c r="A222" s="98"/>
      <c r="B222" s="206">
        <v>2016</v>
      </c>
      <c r="C222" s="190">
        <f>VLOOKUP($E$8,CN!$A$10:$FA$173,4,0)</f>
        <v>54</v>
      </c>
      <c r="D222" s="1088">
        <f>VLOOKUP($E$9,CN!$A$10:$FA$173,4,0)</f>
        <v>54</v>
      </c>
      <c r="E222" s="1088"/>
      <c r="F222" s="190">
        <f>VLOOKUP($E$10,CN!$A$10:$FA$173,4,0)</f>
        <v>0</v>
      </c>
      <c r="G222" s="98"/>
      <c r="H222" s="98"/>
      <c r="I222" s="305"/>
      <c r="J222" s="305"/>
      <c r="K222" s="212">
        <v>1</v>
      </c>
      <c r="L222" s="213">
        <v>2</v>
      </c>
      <c r="M222" s="214">
        <v>3</v>
      </c>
      <c r="N222" s="215">
        <v>4</v>
      </c>
      <c r="O222" s="121" t="s">
        <v>737</v>
      </c>
      <c r="P222" s="108"/>
      <c r="Q222" s="98"/>
      <c r="R222" s="1163">
        <v>1</v>
      </c>
      <c r="S222" s="1160" t="s">
        <v>614</v>
      </c>
      <c r="T222" s="1151" t="s">
        <v>902</v>
      </c>
      <c r="U222" s="1152"/>
      <c r="V222" s="1152"/>
      <c r="W222" s="1152"/>
      <c r="X222" s="1152"/>
      <c r="Y222" s="1153"/>
      <c r="Z222" s="98"/>
    </row>
    <row r="223" spans="1:26" ht="21" customHeight="1" x14ac:dyDescent="0.25">
      <c r="A223" s="98"/>
      <c r="B223" s="206">
        <v>2017</v>
      </c>
      <c r="C223" s="190">
        <f>VLOOKUP($E$8,CN!$A$10:$FA$173,34,0)</f>
        <v>52</v>
      </c>
      <c r="D223" s="1088">
        <f>VLOOKUP($E$9,CN!$A$10:$FA$173,34,0)</f>
        <v>53</v>
      </c>
      <c r="E223" s="1088"/>
      <c r="F223" s="190">
        <f>VLOOKUP($E$10,CN!$A$10:$FA$173,34,0)</f>
        <v>0</v>
      </c>
      <c r="G223" s="98"/>
      <c r="H223" s="98"/>
      <c r="I223" s="1090">
        <v>2016</v>
      </c>
      <c r="J223" s="306" t="str">
        <f>$E$8</f>
        <v>COLOMBIA</v>
      </c>
      <c r="K223" s="193">
        <f>VLOOKUP($E$8,CN!$A$10:$FA$173,6,0)</f>
        <v>0.09</v>
      </c>
      <c r="L223" s="222">
        <f>VLOOKUP($E$8,CN!$A$10:$FA$173,7,0)</f>
        <v>0.5</v>
      </c>
      <c r="M223" s="195">
        <f>VLOOKUP($E$8,CN!$A$10:$FA$173,8,0)</f>
        <v>0.38</v>
      </c>
      <c r="N223" s="196">
        <f>VLOOKUP($E$8,CN!$A$10:$FA$173,9,0)</f>
        <v>0.03</v>
      </c>
      <c r="O223" s="108">
        <f t="shared" ref="O223:O240" si="8">K223+L223</f>
        <v>0.59</v>
      </c>
      <c r="P223" s="108"/>
      <c r="Q223" s="98"/>
      <c r="R223" s="1164"/>
      <c r="S223" s="1161"/>
      <c r="T223" s="1154"/>
      <c r="U223" s="1155"/>
      <c r="V223" s="1155"/>
      <c r="W223" s="1155"/>
      <c r="X223" s="1155"/>
      <c r="Y223" s="1156"/>
      <c r="Z223" s="98"/>
    </row>
    <row r="224" spans="1:26" ht="20.25" x14ac:dyDescent="0.25">
      <c r="A224" s="98"/>
      <c r="B224" s="206">
        <v>2018</v>
      </c>
      <c r="C224" s="190">
        <f>VLOOKUP($E$8,CN!$A$10:$FA$173,65,0)</f>
        <v>51</v>
      </c>
      <c r="D224" s="1088">
        <f>VLOOKUP($E$9,CN!$A$10:$FA$173,65,0)</f>
        <v>51</v>
      </c>
      <c r="E224" s="1088"/>
      <c r="F224" s="190">
        <f>VLOOKUP($E$10,CN!$A$10:$FA$173,65,0)</f>
        <v>0</v>
      </c>
      <c r="G224" s="98"/>
      <c r="H224" s="98"/>
      <c r="I224" s="1091"/>
      <c r="J224" s="306" t="str">
        <f>$E$9</f>
        <v>SOACHA</v>
      </c>
      <c r="K224" s="193">
        <f>VLOOKUP($E$9,CN!$A$10:$FA$173,6,0)</f>
        <v>0.05</v>
      </c>
      <c r="L224" s="222">
        <f>VLOOKUP($E$9,CN!$A$10:$FA$173,7,0)</f>
        <v>0.54</v>
      </c>
      <c r="M224" s="195">
        <f>VLOOKUP($E$9,CN!$A$10:$FA$173,8,0)</f>
        <v>0.4</v>
      </c>
      <c r="N224" s="196">
        <f>VLOOKUP($E$9,CN!$A$10:$FA$173,9,0)</f>
        <v>0.01</v>
      </c>
      <c r="O224" s="108">
        <f t="shared" si="8"/>
        <v>0.59000000000000008</v>
      </c>
      <c r="P224" s="108"/>
      <c r="Q224" s="98"/>
      <c r="R224" s="1165"/>
      <c r="S224" s="1162"/>
      <c r="T224" s="1157"/>
      <c r="U224" s="1158"/>
      <c r="V224" s="1158"/>
      <c r="W224" s="1158"/>
      <c r="X224" s="1158"/>
      <c r="Y224" s="1159"/>
      <c r="Z224" s="98"/>
    </row>
    <row r="225" spans="1:26" ht="20.25" x14ac:dyDescent="0.25">
      <c r="A225" s="98"/>
      <c r="B225" s="206">
        <v>2019</v>
      </c>
      <c r="C225" s="190">
        <f>VLOOKUP($E$8,CN!$A$10:$FA$173,97,0)</f>
        <v>50</v>
      </c>
      <c r="D225" s="1088">
        <f>VLOOKUP($E$9,CN!$A$10:$FA$173,97,0)</f>
        <v>50</v>
      </c>
      <c r="E225" s="1088"/>
      <c r="F225" s="190">
        <f>VLOOKUP($E$10,CN!$A$10:$FA$173,97,0)</f>
        <v>0</v>
      </c>
      <c r="G225" s="98"/>
      <c r="H225" s="98"/>
      <c r="I225" s="1092"/>
      <c r="J225" s="306" t="str">
        <f>$E$10</f>
        <v>LICEO TALENTOS</v>
      </c>
      <c r="K225" s="193">
        <f>VLOOKUP($E$10,CN!$A$10:$FA$173,6,0)</f>
        <v>0</v>
      </c>
      <c r="L225" s="222">
        <f>VLOOKUP($E$10,CN!$A$10:$FA$173,7,0)</f>
        <v>0</v>
      </c>
      <c r="M225" s="195">
        <f>VLOOKUP($E$10,CN!$A$10:$FA$173,8,0)</f>
        <v>0</v>
      </c>
      <c r="N225" s="196">
        <f>VLOOKUP($E$10,CN!$A$10:$FA$173,9,0)</f>
        <v>0</v>
      </c>
      <c r="O225" s="108">
        <f t="shared" si="8"/>
        <v>0</v>
      </c>
      <c r="P225" s="108"/>
      <c r="Q225" s="98"/>
      <c r="R225" s="1127">
        <v>2</v>
      </c>
      <c r="S225" s="1127" t="s">
        <v>615</v>
      </c>
      <c r="T225" s="1130" t="s">
        <v>903</v>
      </c>
      <c r="U225" s="1131"/>
      <c r="V225" s="1131"/>
      <c r="W225" s="1131"/>
      <c r="X225" s="1131"/>
      <c r="Y225" s="1132"/>
      <c r="Z225" s="98"/>
    </row>
    <row r="226" spans="1:26" ht="20.25" x14ac:dyDescent="0.25">
      <c r="A226" s="98"/>
      <c r="B226" s="206">
        <v>2020</v>
      </c>
      <c r="C226" s="190">
        <f>VLOOKUP($E$8,CN!$A$10:$FA$173,128,0)</f>
        <v>49</v>
      </c>
      <c r="D226" s="1088">
        <f>VLOOKUP($E$9,CN!$A$10:$FA$173,128,0)</f>
        <v>50</v>
      </c>
      <c r="E226" s="1088"/>
      <c r="F226" s="190">
        <f>VLOOKUP($E$10,CN!$A$10:$FA$173,128,0)</f>
        <v>0</v>
      </c>
      <c r="G226" s="98"/>
      <c r="H226" s="98"/>
      <c r="I226" s="1090">
        <v>2017</v>
      </c>
      <c r="J226" s="306" t="str">
        <f>$E$8</f>
        <v>COLOMBIA</v>
      </c>
      <c r="K226" s="193">
        <f>VLOOKUP($E$8,CN!$A$10:$FA$173,36,0)</f>
        <v>0.12</v>
      </c>
      <c r="L226" s="194">
        <f>VLOOKUP($E$8,CN!$A$10:$FA$173,37,0)</f>
        <v>0.49</v>
      </c>
      <c r="M226" s="195">
        <f>VLOOKUP($E$8,CN!$A$10:$FA$173,38,0)</f>
        <v>0.36</v>
      </c>
      <c r="N226" s="196">
        <f>VLOOKUP($E$8,CN!$A$10:$FA$173,39,0)</f>
        <v>0.03</v>
      </c>
      <c r="O226" s="108">
        <f t="shared" si="8"/>
        <v>0.61</v>
      </c>
      <c r="P226" s="108"/>
      <c r="Q226" s="98"/>
      <c r="R226" s="1128"/>
      <c r="S226" s="1128"/>
      <c r="T226" s="1133"/>
      <c r="U226" s="1134"/>
      <c r="V226" s="1134"/>
      <c r="W226" s="1134"/>
      <c r="X226" s="1134"/>
      <c r="Y226" s="1135"/>
      <c r="Z226" s="98"/>
    </row>
    <row r="227" spans="1:26" ht="20.25" x14ac:dyDescent="0.25">
      <c r="A227" s="98"/>
      <c r="B227" s="206">
        <v>2021</v>
      </c>
      <c r="C227" s="190">
        <f>VLOOKUP($E$8,CN!$A$10:$GI$173,158,0)</f>
        <v>49</v>
      </c>
      <c r="D227" s="1088">
        <f>VLOOKUP($E$9,CN!$A$10:$GI$173,158,0)</f>
        <v>50</v>
      </c>
      <c r="E227" s="1088"/>
      <c r="F227" s="190">
        <f>VLOOKUP($E$10,CN!$A$10:$GI$173,158,0)</f>
        <v>0</v>
      </c>
      <c r="G227" s="98"/>
      <c r="H227" s="98"/>
      <c r="I227" s="1091"/>
      <c r="J227" s="306" t="str">
        <f>$E$9</f>
        <v>SOACHA</v>
      </c>
      <c r="K227" s="193">
        <f>VLOOKUP($E$9,CN!$A$10:$FA$173,36,0)</f>
        <v>0.08</v>
      </c>
      <c r="L227" s="194">
        <f>VLOOKUP($E$9,CN!$A$10:$FA$173,37,0)</f>
        <v>0.53</v>
      </c>
      <c r="M227" s="195">
        <f>VLOOKUP($E$9,CN!$A$10:$FA$173,38,0)</f>
        <v>0.38</v>
      </c>
      <c r="N227" s="196">
        <f>VLOOKUP($E$9,CN!$A$10:$FA$173,39,0)</f>
        <v>0.01</v>
      </c>
      <c r="O227" s="108">
        <f t="shared" si="8"/>
        <v>0.61</v>
      </c>
      <c r="P227" s="108"/>
      <c r="Q227" s="98"/>
      <c r="R227" s="1128"/>
      <c r="S227" s="1128"/>
      <c r="T227" s="1133"/>
      <c r="U227" s="1134"/>
      <c r="V227" s="1134"/>
      <c r="W227" s="1134"/>
      <c r="X227" s="1134"/>
      <c r="Y227" s="1135"/>
      <c r="Z227" s="98"/>
    </row>
    <row r="228" spans="1:26" ht="20.25" x14ac:dyDescent="0.25">
      <c r="A228" s="98"/>
      <c r="B228" s="206">
        <v>2022</v>
      </c>
      <c r="C228" s="190">
        <f>VLOOKUP($E$8,CN!$A$10:$HQ$173,192,0)</f>
        <v>50</v>
      </c>
      <c r="D228" s="1088">
        <f>VLOOKUP($E$9,CN!$A$10:$HQ$173,192,0)</f>
        <v>51</v>
      </c>
      <c r="E228" s="1088"/>
      <c r="F228" s="190">
        <f>VLOOKUP($E$10,CN!$A$10:$HQ$173,192,0)</f>
        <v>0</v>
      </c>
      <c r="G228" s="98"/>
      <c r="H228" s="98"/>
      <c r="I228" s="1092"/>
      <c r="J228" s="306" t="str">
        <f>$E$10</f>
        <v>LICEO TALENTOS</v>
      </c>
      <c r="K228" s="193">
        <f>VLOOKUP($E$10,CN!$A$10:$FA$173,36,0)</f>
        <v>0</v>
      </c>
      <c r="L228" s="194">
        <f>VLOOKUP($E$10,CN!$A$10:$FA$173,37,0)</f>
        <v>0</v>
      </c>
      <c r="M228" s="195">
        <f>VLOOKUP($E$10,CN!$A$10:$FA$173,38,0)</f>
        <v>0</v>
      </c>
      <c r="N228" s="196">
        <f>VLOOKUP($E$10,CN!$A$10:$FA$173,39,0)</f>
        <v>0</v>
      </c>
      <c r="O228" s="108">
        <f t="shared" si="8"/>
        <v>0</v>
      </c>
      <c r="P228" s="108"/>
      <c r="Q228" s="98"/>
      <c r="R228" s="1128"/>
      <c r="S228" s="1128"/>
      <c r="T228" s="1133"/>
      <c r="U228" s="1134"/>
      <c r="V228" s="1134"/>
      <c r="W228" s="1134"/>
      <c r="X228" s="1134"/>
      <c r="Y228" s="1135"/>
      <c r="Z228" s="98"/>
    </row>
    <row r="229" spans="1:26" ht="20.25" x14ac:dyDescent="0.25">
      <c r="A229" s="98"/>
      <c r="B229" s="206">
        <v>2023</v>
      </c>
      <c r="C229" s="190">
        <f>VLOOKUP($E$8,CN!$A$10:$IY$173,226,0)</f>
        <v>50</v>
      </c>
      <c r="D229" s="1088">
        <f>VLOOKUP($E$9,CN!$A$10:$IY$173,226,0)</f>
        <v>51</v>
      </c>
      <c r="E229" s="1088"/>
      <c r="F229" s="190">
        <f>VLOOKUP($E$10,CN!$A$10:$IY$173,226,0)</f>
        <v>0</v>
      </c>
      <c r="G229" s="98"/>
      <c r="H229" s="98"/>
      <c r="I229" s="1090">
        <v>2018</v>
      </c>
      <c r="J229" s="306" t="str">
        <f>$E$8</f>
        <v>COLOMBIA</v>
      </c>
      <c r="K229" s="193">
        <f>VLOOKUP($E$8,CN!$A$10:$FA$173,67,0)</f>
        <v>0.17</v>
      </c>
      <c r="L229" s="194">
        <f>VLOOKUP($E$8,CN!$A$10:$FA$173,68,0)</f>
        <v>0.5</v>
      </c>
      <c r="M229" s="195">
        <f>VLOOKUP($E$8,CN!$A$10:$FA$173,69,0)</f>
        <v>0.31</v>
      </c>
      <c r="N229" s="196">
        <f>VLOOKUP($E$8,CN!$A$10:$FA$173,70,0)</f>
        <v>0.03</v>
      </c>
      <c r="O229" s="108">
        <f t="shared" si="8"/>
        <v>0.67</v>
      </c>
      <c r="P229" s="108"/>
      <c r="Q229" s="98"/>
      <c r="R229" s="1128"/>
      <c r="S229" s="1128"/>
      <c r="T229" s="1133"/>
      <c r="U229" s="1134"/>
      <c r="V229" s="1134"/>
      <c r="W229" s="1134"/>
      <c r="X229" s="1134"/>
      <c r="Y229" s="1135"/>
      <c r="Z229" s="98"/>
    </row>
    <row r="230" spans="1:26" ht="20.25" x14ac:dyDescent="0.25">
      <c r="A230" s="123"/>
      <c r="B230" s="206">
        <v>2024</v>
      </c>
      <c r="C230" s="190">
        <f>VLOOKUP($E$8,CN!$A$10:$KG$173,260,0)</f>
        <v>51</v>
      </c>
      <c r="D230" s="1088">
        <f>VLOOKUP($E$9,CN!$A$10:$KG$173,260,0)</f>
        <v>52</v>
      </c>
      <c r="E230" s="1088"/>
      <c r="F230" s="190">
        <f>VLOOKUP($E$10,CN!$A$10:$KG$173,260,0)</f>
        <v>52</v>
      </c>
      <c r="G230" s="98"/>
      <c r="H230" s="98"/>
      <c r="I230" s="1091"/>
      <c r="J230" s="306" t="str">
        <f>$E$9</f>
        <v>SOACHA</v>
      </c>
      <c r="K230" s="193">
        <f>VLOOKUP($E$9,CN!$A$10:$FA$173,67,0)</f>
        <v>0.11</v>
      </c>
      <c r="L230" s="194">
        <f>VLOOKUP($E$9,CN!$A$10:$FA$173,68,0)</f>
        <v>0.56999999999999995</v>
      </c>
      <c r="M230" s="195">
        <f>VLOOKUP($E$9,CN!$A$10:$FA$173,69,0)</f>
        <v>0.31</v>
      </c>
      <c r="N230" s="196">
        <f>VLOOKUP($E$9,CN!$A$10:$FA$173,70,0)</f>
        <v>0.01</v>
      </c>
      <c r="O230" s="108">
        <f t="shared" si="8"/>
        <v>0.67999999999999994</v>
      </c>
      <c r="P230" s="108"/>
      <c r="Q230" s="98"/>
      <c r="R230" s="1128"/>
      <c r="S230" s="1128"/>
      <c r="T230" s="1133"/>
      <c r="U230" s="1134"/>
      <c r="V230" s="1134"/>
      <c r="W230" s="1134"/>
      <c r="X230" s="1134"/>
      <c r="Y230" s="1135"/>
      <c r="Z230" s="98"/>
    </row>
    <row r="231" spans="1:26" ht="20.25" x14ac:dyDescent="0.25">
      <c r="A231" s="123"/>
      <c r="B231" s="206">
        <v>2025</v>
      </c>
      <c r="C231" s="961">
        <f>VLOOKUP($E$8,CN!$A$10:$LO$173,294,0)</f>
        <v>51</v>
      </c>
      <c r="D231" s="1088">
        <f>VLOOKUP($E$9,CN!$A$10:$LO$173,294,0)</f>
        <v>53</v>
      </c>
      <c r="E231" s="1088"/>
      <c r="F231" s="961">
        <f>VLOOKUP($E$10,CN!$A$10:$LO$173,294,0)</f>
        <v>51</v>
      </c>
      <c r="G231" s="98"/>
      <c r="H231" s="98"/>
      <c r="I231" s="1092"/>
      <c r="J231" s="306" t="str">
        <f>$E$10</f>
        <v>LICEO TALENTOS</v>
      </c>
      <c r="K231" s="193">
        <f>VLOOKUP($E$10,CN!$A$10:$FA$173,67,0)</f>
        <v>0</v>
      </c>
      <c r="L231" s="194">
        <f>VLOOKUP($E$10,CN!$A$10:$FA$173,68,0)</f>
        <v>0</v>
      </c>
      <c r="M231" s="195">
        <f>VLOOKUP($E$10,CN!$A$10:$FA$173,69,0)</f>
        <v>0</v>
      </c>
      <c r="N231" s="196">
        <f>VLOOKUP($E$10,CN!$A$10:$FA$173,70,0)</f>
        <v>0</v>
      </c>
      <c r="O231" s="108">
        <f t="shared" si="8"/>
        <v>0</v>
      </c>
      <c r="P231" s="108"/>
      <c r="Q231" s="98"/>
      <c r="R231" s="1128"/>
      <c r="S231" s="1128"/>
      <c r="T231" s="1133"/>
      <c r="U231" s="1134"/>
      <c r="V231" s="1134"/>
      <c r="W231" s="1134"/>
      <c r="X231" s="1134"/>
      <c r="Y231" s="1135"/>
      <c r="Z231" s="98"/>
    </row>
    <row r="232" spans="1:26" ht="21" customHeight="1" x14ac:dyDescent="0.25">
      <c r="A232" s="123"/>
      <c r="B232" s="217"/>
      <c r="C232" s="98"/>
      <c r="D232" s="98"/>
      <c r="E232" s="98"/>
      <c r="F232" s="98"/>
      <c r="G232" s="98"/>
      <c r="H232" s="98"/>
      <c r="I232" s="1090">
        <v>2019</v>
      </c>
      <c r="J232" s="306" t="str">
        <f>$E$8</f>
        <v>COLOMBIA</v>
      </c>
      <c r="K232" s="193">
        <f>VLOOKUP($E$8,CN!$A$10:$FA$173,99,0)</f>
        <v>0.21</v>
      </c>
      <c r="L232" s="194">
        <f>VLOOKUP($E$8,CN!$A$10:$FA$173,100,0)</f>
        <v>0.5</v>
      </c>
      <c r="M232" s="195">
        <f>VLOOKUP($E$8,CN!$A$10:$FA$173,101,0)</f>
        <v>0.27</v>
      </c>
      <c r="N232" s="196">
        <f>VLOOKUP($E$8,CN!$A$10:$FA$173,102,0)</f>
        <v>0.03</v>
      </c>
      <c r="O232" s="108">
        <f t="shared" si="8"/>
        <v>0.71</v>
      </c>
      <c r="P232" s="108"/>
      <c r="Q232" s="98"/>
      <c r="R232" s="1128"/>
      <c r="S232" s="1128"/>
      <c r="T232" s="1133"/>
      <c r="U232" s="1134"/>
      <c r="V232" s="1134"/>
      <c r="W232" s="1134"/>
      <c r="X232" s="1134"/>
      <c r="Y232" s="1135"/>
      <c r="Z232" s="98"/>
    </row>
    <row r="233" spans="1:26" ht="21" customHeight="1" x14ac:dyDescent="0.25">
      <c r="A233" s="123"/>
      <c r="B233" s="217"/>
      <c r="C233" s="98"/>
      <c r="D233" s="98"/>
      <c r="E233" s="98"/>
      <c r="F233" s="98"/>
      <c r="G233" s="98"/>
      <c r="H233" s="98"/>
      <c r="I233" s="1091"/>
      <c r="J233" s="306" t="str">
        <f>$E$9</f>
        <v>SOACHA</v>
      </c>
      <c r="K233" s="193">
        <f>VLOOKUP($E$9,CN!$A$10:$FA$173,99,0)</f>
        <v>0.14000000000000001</v>
      </c>
      <c r="L233" s="194">
        <f>VLOOKUP($E$9,CN!$A$10:$FA$173,100,0)</f>
        <v>0.6</v>
      </c>
      <c r="M233" s="195">
        <f>VLOOKUP($E$9,CN!$A$10:$FA$173,101,0)</f>
        <v>0.25</v>
      </c>
      <c r="N233" s="196">
        <f>VLOOKUP($E$9,CN!$A$10:$FA$173,102,0)</f>
        <v>0.01</v>
      </c>
      <c r="O233" s="108">
        <f t="shared" si="8"/>
        <v>0.74</v>
      </c>
      <c r="P233" s="108"/>
      <c r="Q233" s="98"/>
      <c r="R233" s="1129"/>
      <c r="S233" s="1129"/>
      <c r="T233" s="1136"/>
      <c r="U233" s="1137"/>
      <c r="V233" s="1137"/>
      <c r="W233" s="1137"/>
      <c r="X233" s="1137"/>
      <c r="Y233" s="1138"/>
      <c r="Z233" s="98"/>
    </row>
    <row r="234" spans="1:26" ht="20.25" x14ac:dyDescent="0.25">
      <c r="A234" s="123"/>
      <c r="B234" s="217"/>
      <c r="C234" s="98"/>
      <c r="D234" s="98"/>
      <c r="E234" s="98"/>
      <c r="F234" s="98"/>
      <c r="G234" s="98"/>
      <c r="H234" s="98"/>
      <c r="I234" s="1092"/>
      <c r="J234" s="306" t="str">
        <f>$E$10</f>
        <v>LICEO TALENTOS</v>
      </c>
      <c r="K234" s="193">
        <f>VLOOKUP($E$10,CN!$A$10:$FA$173,99,0)</f>
        <v>0</v>
      </c>
      <c r="L234" s="194">
        <f>VLOOKUP($E$10,CN!$A$10:$FA$173,100,0)</f>
        <v>0</v>
      </c>
      <c r="M234" s="195">
        <f>VLOOKUP($E$10,CN!$A$10:$FA$173,101,0)</f>
        <v>0</v>
      </c>
      <c r="N234" s="196">
        <f>VLOOKUP($E$10,CN!$A$10:$FA$173,102,0)</f>
        <v>0</v>
      </c>
      <c r="O234" s="108">
        <f t="shared" si="8"/>
        <v>0</v>
      </c>
      <c r="P234" s="108"/>
      <c r="Q234" s="98"/>
      <c r="R234" s="1163">
        <v>3</v>
      </c>
      <c r="S234" s="1163" t="s">
        <v>616</v>
      </c>
      <c r="T234" s="1166" t="s">
        <v>904</v>
      </c>
      <c r="U234" s="1167"/>
      <c r="V234" s="1167"/>
      <c r="W234" s="1167"/>
      <c r="X234" s="1167"/>
      <c r="Y234" s="1168"/>
      <c r="Z234" s="98"/>
    </row>
    <row r="235" spans="1:26" ht="20.25" x14ac:dyDescent="0.25">
      <c r="A235" s="123"/>
      <c r="B235" s="217"/>
      <c r="C235" s="98"/>
      <c r="D235" s="98"/>
      <c r="E235" s="98"/>
      <c r="F235" s="98"/>
      <c r="G235" s="98"/>
      <c r="H235" s="98"/>
      <c r="I235" s="1090">
        <v>2020</v>
      </c>
      <c r="J235" s="306" t="str">
        <f>$E$8</f>
        <v>COLOMBIA</v>
      </c>
      <c r="K235" s="193">
        <f>VLOOKUP($E$8,CN!$A$10:$FA$173,130,0)</f>
        <v>0.23</v>
      </c>
      <c r="L235" s="194">
        <f>VLOOKUP($E$8,CN!$A$10:$FA$173,131,0)</f>
        <v>0.5</v>
      </c>
      <c r="M235" s="195">
        <f>VLOOKUP($E$8,CN!$A$10:$FA$173,132,0)</f>
        <v>0.25</v>
      </c>
      <c r="N235" s="196">
        <f>VLOOKUP($E$8,CN!$A$10:$FA$173,133,0)</f>
        <v>0.02</v>
      </c>
      <c r="O235" s="108">
        <f t="shared" si="8"/>
        <v>0.73</v>
      </c>
      <c r="P235" s="108"/>
      <c r="Q235" s="98"/>
      <c r="R235" s="1164"/>
      <c r="S235" s="1164"/>
      <c r="T235" s="1169"/>
      <c r="U235" s="1170"/>
      <c r="V235" s="1170"/>
      <c r="W235" s="1170"/>
      <c r="X235" s="1170"/>
      <c r="Y235" s="1171"/>
      <c r="Z235" s="98"/>
    </row>
    <row r="236" spans="1:26" ht="20.25" x14ac:dyDescent="0.25">
      <c r="A236" s="123"/>
      <c r="B236" s="217"/>
      <c r="C236" s="98"/>
      <c r="D236" s="98"/>
      <c r="E236" s="98"/>
      <c r="F236" s="98"/>
      <c r="G236" s="98"/>
      <c r="H236" s="98"/>
      <c r="I236" s="1091"/>
      <c r="J236" s="306" t="str">
        <f>$E$9</f>
        <v>SOACHA</v>
      </c>
      <c r="K236" s="193">
        <f>VLOOKUP($E$9,CN!$A$10:$FA$173,130,0)</f>
        <v>0.16</v>
      </c>
      <c r="L236" s="194">
        <f>VLOOKUP($E$9,CN!$A$10:$FA$173,131,0)</f>
        <v>0.56000000000000005</v>
      </c>
      <c r="M236" s="195">
        <f>VLOOKUP($E$9,CN!$A$10:$FA$173,132,0)</f>
        <v>0.27</v>
      </c>
      <c r="N236" s="196">
        <f>VLOOKUP($E$9,CN!$A$10:$FA$173,133,0)</f>
        <v>0.01</v>
      </c>
      <c r="O236" s="108">
        <f t="shared" si="8"/>
        <v>0.72000000000000008</v>
      </c>
      <c r="P236" s="108"/>
      <c r="Q236" s="98"/>
      <c r="R236" s="1164"/>
      <c r="S236" s="1164"/>
      <c r="T236" s="1169"/>
      <c r="U236" s="1170"/>
      <c r="V236" s="1170"/>
      <c r="W236" s="1170"/>
      <c r="X236" s="1170"/>
      <c r="Y236" s="1171"/>
      <c r="Z236" s="98"/>
    </row>
    <row r="237" spans="1:26" ht="20.25" x14ac:dyDescent="0.25">
      <c r="A237" s="123"/>
      <c r="B237" s="217"/>
      <c r="C237" s="98"/>
      <c r="D237" s="98"/>
      <c r="E237" s="98"/>
      <c r="F237" s="98"/>
      <c r="G237" s="98"/>
      <c r="H237" s="98"/>
      <c r="I237" s="1092"/>
      <c r="J237" s="306" t="str">
        <f>$E$10</f>
        <v>LICEO TALENTOS</v>
      </c>
      <c r="K237" s="193">
        <f>VLOOKUP($E$10,CN!$A$10:$FA$173,130,0)</f>
        <v>0</v>
      </c>
      <c r="L237" s="194">
        <f>VLOOKUP($E$10,CN!$A$10:$FA$173,131,0)</f>
        <v>0</v>
      </c>
      <c r="M237" s="195">
        <f>VLOOKUP($E$10,CN!$A$10:$FA$173,132,0)</f>
        <v>0</v>
      </c>
      <c r="N237" s="196">
        <f>VLOOKUP($E$10,CN!$A$10:$FA$173,133,0)</f>
        <v>0</v>
      </c>
      <c r="O237" s="108">
        <f t="shared" si="8"/>
        <v>0</v>
      </c>
      <c r="P237" s="108"/>
      <c r="Q237" s="98"/>
      <c r="R237" s="1164"/>
      <c r="S237" s="1164"/>
      <c r="T237" s="1169"/>
      <c r="U237" s="1170"/>
      <c r="V237" s="1170"/>
      <c r="W237" s="1170"/>
      <c r="X237" s="1170"/>
      <c r="Y237" s="1171"/>
      <c r="Z237" s="98"/>
    </row>
    <row r="238" spans="1:26" ht="20.25" x14ac:dyDescent="0.25">
      <c r="A238" s="123"/>
      <c r="B238" s="217"/>
      <c r="C238" s="98"/>
      <c r="D238" s="98"/>
      <c r="E238" s="98"/>
      <c r="F238" s="98"/>
      <c r="G238" s="98"/>
      <c r="H238" s="98"/>
      <c r="I238" s="1090">
        <v>2021</v>
      </c>
      <c r="J238" s="306" t="str">
        <f>$E$8</f>
        <v>COLOMBIA</v>
      </c>
      <c r="K238" s="193">
        <f>VLOOKUP($E$8,CN!$A$10:$GI$173,162,0)</f>
        <v>0.22</v>
      </c>
      <c r="L238" s="194">
        <f>VLOOKUP($E$8,CN!$A$10:$GI$173,163,0)</f>
        <v>0.53</v>
      </c>
      <c r="M238" s="195">
        <f>VLOOKUP($E$8,CN!$A$10:$GI$173,164,0)</f>
        <v>0.23</v>
      </c>
      <c r="N238" s="196">
        <f>VLOOKUP($E$8,CN!$A$10:$GI$173,165,0)</f>
        <v>0.02</v>
      </c>
      <c r="O238" s="108">
        <f t="shared" si="8"/>
        <v>0.75</v>
      </c>
      <c r="P238" s="108"/>
      <c r="Q238" s="98"/>
      <c r="R238" s="1164"/>
      <c r="S238" s="1164"/>
      <c r="T238" s="1169"/>
      <c r="U238" s="1170"/>
      <c r="V238" s="1170"/>
      <c r="W238" s="1170"/>
      <c r="X238" s="1170"/>
      <c r="Y238" s="1171"/>
      <c r="Z238" s="98"/>
    </row>
    <row r="239" spans="1:26" ht="20.25" x14ac:dyDescent="0.25">
      <c r="A239" s="123"/>
      <c r="B239" s="217"/>
      <c r="C239" s="98"/>
      <c r="D239" s="98"/>
      <c r="E239" s="98"/>
      <c r="F239" s="98"/>
      <c r="G239" s="98"/>
      <c r="H239" s="98"/>
      <c r="I239" s="1091"/>
      <c r="J239" s="306" t="str">
        <f>$E$9</f>
        <v>SOACHA</v>
      </c>
      <c r="K239" s="193">
        <f>VLOOKUP($E$9,CN!$A$10:$GI$173,162,0)</f>
        <v>0.14000000000000001</v>
      </c>
      <c r="L239" s="194">
        <f>VLOOKUP($E$9,CN!$A$10:$GI$173,163,0)</f>
        <v>0.6</v>
      </c>
      <c r="M239" s="195">
        <f>VLOOKUP($E$9,CN!$A$10:$GI$173,164,0)</f>
        <v>0.25</v>
      </c>
      <c r="N239" s="196">
        <f>VLOOKUP($E$9,CN!$A$10:$GI$173,165,0)</f>
        <v>0.01</v>
      </c>
      <c r="O239" s="108">
        <f t="shared" si="8"/>
        <v>0.74</v>
      </c>
      <c r="P239" s="108"/>
      <c r="Q239" s="98"/>
      <c r="R239" s="1164"/>
      <c r="S239" s="1164"/>
      <c r="T239" s="1169"/>
      <c r="U239" s="1170"/>
      <c r="V239" s="1170"/>
      <c r="W239" s="1170"/>
      <c r="X239" s="1170"/>
      <c r="Y239" s="1171"/>
      <c r="Z239" s="98"/>
    </row>
    <row r="240" spans="1:26" ht="20.25" x14ac:dyDescent="0.25">
      <c r="A240" s="123"/>
      <c r="B240" s="217"/>
      <c r="C240" s="98"/>
      <c r="D240" s="98"/>
      <c r="E240" s="98"/>
      <c r="F240" s="98"/>
      <c r="G240" s="98"/>
      <c r="H240" s="98"/>
      <c r="I240" s="1092"/>
      <c r="J240" s="306" t="str">
        <f>$E$10</f>
        <v>LICEO TALENTOS</v>
      </c>
      <c r="K240" s="193">
        <f>VLOOKUP($E$10,CN!$A$10:$GI$173,162,0)</f>
        <v>0</v>
      </c>
      <c r="L240" s="194">
        <f>VLOOKUP($E$10,CN!$A$10:$GI$173,163,0)</f>
        <v>0</v>
      </c>
      <c r="M240" s="195">
        <f>VLOOKUP($E$10,CN!$A$10:$GI$173,164,0)</f>
        <v>0</v>
      </c>
      <c r="N240" s="196">
        <f>VLOOKUP($E$10,CN!$A$10:$GI$173,165,0)</f>
        <v>0</v>
      </c>
      <c r="O240" s="108">
        <f t="shared" si="8"/>
        <v>0</v>
      </c>
      <c r="P240" s="108"/>
      <c r="Q240" s="98"/>
      <c r="R240" s="1164"/>
      <c r="S240" s="1164"/>
      <c r="T240" s="1169"/>
      <c r="U240" s="1170"/>
      <c r="V240" s="1170"/>
      <c r="W240" s="1170"/>
      <c r="X240" s="1170"/>
      <c r="Y240" s="1171"/>
      <c r="Z240" s="98"/>
    </row>
    <row r="241" spans="1:26" ht="21" customHeight="1" x14ac:dyDescent="0.25">
      <c r="A241" s="123"/>
      <c r="B241" s="217"/>
      <c r="C241" s="98"/>
      <c r="D241" s="98"/>
      <c r="E241" s="98"/>
      <c r="F241" s="98"/>
      <c r="G241" s="98"/>
      <c r="H241" s="98"/>
      <c r="I241" s="1090">
        <v>2022</v>
      </c>
      <c r="J241" s="306" t="str">
        <f>$E$8</f>
        <v>COLOMBIA</v>
      </c>
      <c r="K241" s="193">
        <f>VLOOKUP($E$8,CN!$A$10:$HQ$173,196,0)</f>
        <v>0.21</v>
      </c>
      <c r="L241" s="194">
        <f>VLOOKUP($E$8,CN!$A$10:$HQ$173,197,0)</f>
        <v>0.5</v>
      </c>
      <c r="M241" s="195">
        <f>VLOOKUP($E$8,CN!$A$10:$HQ$173,198,0)</f>
        <v>0.27</v>
      </c>
      <c r="N241" s="196">
        <f>VLOOKUP($E$8,CN!$A$10:$HQ$173,199,0)</f>
        <v>0.03</v>
      </c>
      <c r="O241" s="108">
        <f t="shared" ref="O241:O249" si="9">K241+L241</f>
        <v>0.71</v>
      </c>
      <c r="P241" s="108"/>
      <c r="Q241" s="98"/>
      <c r="R241" s="1164"/>
      <c r="S241" s="1164"/>
      <c r="T241" s="1169"/>
      <c r="U241" s="1170"/>
      <c r="V241" s="1170"/>
      <c r="W241" s="1170"/>
      <c r="X241" s="1170"/>
      <c r="Y241" s="1171"/>
      <c r="Z241" s="98"/>
    </row>
    <row r="242" spans="1:26" ht="21" customHeight="1" x14ac:dyDescent="0.25">
      <c r="A242" s="123"/>
      <c r="B242" s="217"/>
      <c r="C242" s="98"/>
      <c r="D242" s="98"/>
      <c r="E242" s="98"/>
      <c r="F242" s="98"/>
      <c r="G242" s="98"/>
      <c r="H242" s="98"/>
      <c r="I242" s="1091"/>
      <c r="J242" s="306" t="str">
        <f>$E$9</f>
        <v>SOACHA</v>
      </c>
      <c r="K242" s="193">
        <f>VLOOKUP($E$9,CN!$A$10:$HQ$173,196,0)</f>
        <v>0.14000000000000001</v>
      </c>
      <c r="L242" s="194">
        <f>VLOOKUP($E$9,CN!$A$10:$HQ$173,197,0)</f>
        <v>0.55000000000000004</v>
      </c>
      <c r="M242" s="195">
        <f>VLOOKUP($E$9,CN!$A$10:$HQ$173,198,0)</f>
        <v>0.28999999999999998</v>
      </c>
      <c r="N242" s="196">
        <f>VLOOKUP($E$9,CN!$A$10:$HQ$173,199,0)</f>
        <v>0.01</v>
      </c>
      <c r="O242" s="108">
        <f t="shared" si="9"/>
        <v>0.69000000000000006</v>
      </c>
      <c r="P242" s="108"/>
      <c r="Q242" s="98"/>
      <c r="R242" s="1165"/>
      <c r="S242" s="1165"/>
      <c r="T242" s="1172"/>
      <c r="U242" s="1173"/>
      <c r="V242" s="1173"/>
      <c r="W242" s="1173"/>
      <c r="X242" s="1173"/>
      <c r="Y242" s="1174"/>
      <c r="Z242" s="98"/>
    </row>
    <row r="243" spans="1:26" ht="20.25" x14ac:dyDescent="0.25">
      <c r="A243" s="123"/>
      <c r="B243" s="217"/>
      <c r="C243" s="98"/>
      <c r="D243" s="98"/>
      <c r="E243" s="98"/>
      <c r="F243" s="98"/>
      <c r="G243" s="98"/>
      <c r="H243" s="98"/>
      <c r="I243" s="1092"/>
      <c r="J243" s="306" t="str">
        <f>$E$10</f>
        <v>LICEO TALENTOS</v>
      </c>
      <c r="K243" s="193">
        <f>VLOOKUP($E$10,CN!$A$10:$HQ$173,196,0)</f>
        <v>0</v>
      </c>
      <c r="L243" s="194">
        <f>VLOOKUP($E$10,CN!$A$10:$HQ$173,197,0)</f>
        <v>0</v>
      </c>
      <c r="M243" s="195">
        <f>VLOOKUP($E$10,CN!$A$10:$HQ$173,198,0)</f>
        <v>0</v>
      </c>
      <c r="N243" s="196">
        <f>VLOOKUP($E$10,CN!$A$10:$HQ$173,199,0)</f>
        <v>0</v>
      </c>
      <c r="O243" s="108">
        <f t="shared" si="9"/>
        <v>0</v>
      </c>
      <c r="P243" s="108"/>
      <c r="Q243" s="98"/>
      <c r="R243" s="1127">
        <v>4</v>
      </c>
      <c r="S243" s="1127" t="s">
        <v>611</v>
      </c>
      <c r="T243" s="1175" t="s">
        <v>905</v>
      </c>
      <c r="U243" s="1176"/>
      <c r="V243" s="1176"/>
      <c r="W243" s="1176"/>
      <c r="X243" s="1176"/>
      <c r="Y243" s="1177"/>
      <c r="Z243" s="98"/>
    </row>
    <row r="244" spans="1:26" ht="21" customHeight="1" x14ac:dyDescent="0.25">
      <c r="A244" s="123"/>
      <c r="B244" s="217"/>
      <c r="C244" s="98"/>
      <c r="D244" s="98"/>
      <c r="E244" s="98"/>
      <c r="F244" s="98"/>
      <c r="G244" s="98"/>
      <c r="H244" s="98"/>
      <c r="I244" s="1090">
        <v>2023</v>
      </c>
      <c r="J244" s="306" t="str">
        <f>$E$8</f>
        <v>COLOMBIA</v>
      </c>
      <c r="K244" s="193">
        <f>VLOOKUP($E$8,CN!$A$10:$IY$173,230,0)</f>
        <v>0.19</v>
      </c>
      <c r="L244" s="194">
        <f>VLOOKUP($E$8,CN!$A$10:$IY$173,231,0)</f>
        <v>0.49</v>
      </c>
      <c r="M244" s="195">
        <f>VLOOKUP($E$8,CN!$A$10:$IY$173,232,0)</f>
        <v>0.28999999999999998</v>
      </c>
      <c r="N244" s="196">
        <f>VLOOKUP($E$8,CN!$A$10:$IY$173,233,0)</f>
        <v>0.03</v>
      </c>
      <c r="O244" s="108">
        <f t="shared" si="9"/>
        <v>0.67999999999999994</v>
      </c>
      <c r="P244" s="108"/>
      <c r="Q244" s="98"/>
      <c r="R244" s="1128"/>
      <c r="S244" s="1128"/>
      <c r="T244" s="1178"/>
      <c r="U244" s="1179"/>
      <c r="V244" s="1179"/>
      <c r="W244" s="1179"/>
      <c r="X244" s="1179"/>
      <c r="Y244" s="1144"/>
      <c r="Z244" s="98"/>
    </row>
    <row r="245" spans="1:26" ht="20.25" x14ac:dyDescent="0.25">
      <c r="A245" s="123"/>
      <c r="B245" s="217"/>
      <c r="C245" s="98"/>
      <c r="D245" s="98"/>
      <c r="E245" s="98"/>
      <c r="F245" s="98"/>
      <c r="G245" s="98"/>
      <c r="H245" s="98"/>
      <c r="I245" s="1091"/>
      <c r="J245" s="306" t="str">
        <f>$E$9</f>
        <v>SOACHA</v>
      </c>
      <c r="K245" s="193">
        <f>VLOOKUP($E$9,CN!$A$10:$IY$173,230,0)</f>
        <v>0.13</v>
      </c>
      <c r="L245" s="194">
        <f>VLOOKUP($E$9,CN!$A$10:$IY$173,231,0)</f>
        <v>0.54</v>
      </c>
      <c r="M245" s="195">
        <f>VLOOKUP($E$9,CN!$A$10:$IY$173,232,0)</f>
        <v>0.32</v>
      </c>
      <c r="N245" s="196">
        <f>VLOOKUP($E$9,CN!$A$10:$IY$173,233,0)</f>
        <v>0.02</v>
      </c>
      <c r="O245" s="108">
        <f t="shared" si="9"/>
        <v>0.67</v>
      </c>
      <c r="P245" s="108"/>
      <c r="Q245" s="98"/>
      <c r="R245" s="1128"/>
      <c r="S245" s="1128"/>
      <c r="T245" s="1178"/>
      <c r="U245" s="1179"/>
      <c r="V245" s="1179"/>
      <c r="W245" s="1179"/>
      <c r="X245" s="1179"/>
      <c r="Y245" s="1144"/>
      <c r="Z245" s="98"/>
    </row>
    <row r="246" spans="1:26" ht="20.25" x14ac:dyDescent="0.25">
      <c r="A246" s="123"/>
      <c r="B246" s="217"/>
      <c r="C246" s="98"/>
      <c r="D246" s="98"/>
      <c r="E246" s="98"/>
      <c r="F246" s="98"/>
      <c r="G246" s="98"/>
      <c r="H246" s="98"/>
      <c r="I246" s="1092"/>
      <c r="J246" s="306" t="str">
        <f>$E$10</f>
        <v>LICEO TALENTOS</v>
      </c>
      <c r="K246" s="193">
        <f>VLOOKUP($E$10,CN!$A$10:$IY$173,230,0)</f>
        <v>0</v>
      </c>
      <c r="L246" s="194">
        <f>VLOOKUP($E$10,CN!$A$10:$IY$173,231,0)</f>
        <v>0</v>
      </c>
      <c r="M246" s="195">
        <f>VLOOKUP($E$10,CN!$A$10:$IY$173,232,0)</f>
        <v>0</v>
      </c>
      <c r="N246" s="196">
        <f>VLOOKUP($E$10,CN!$A$10:$IY$173,233,0)</f>
        <v>0</v>
      </c>
      <c r="O246" s="108">
        <f t="shared" si="9"/>
        <v>0</v>
      </c>
      <c r="P246" s="108"/>
      <c r="Q246" s="98"/>
      <c r="R246" s="1128"/>
      <c r="S246" s="1128"/>
      <c r="T246" s="1178"/>
      <c r="U246" s="1179"/>
      <c r="V246" s="1179"/>
      <c r="W246" s="1179"/>
      <c r="X246" s="1179"/>
      <c r="Y246" s="1144"/>
      <c r="Z246" s="98"/>
    </row>
    <row r="247" spans="1:26" ht="20.25" x14ac:dyDescent="0.25">
      <c r="A247" s="123"/>
      <c r="B247" s="217"/>
      <c r="C247" s="98"/>
      <c r="D247" s="98"/>
      <c r="E247" s="98"/>
      <c r="F247" s="98"/>
      <c r="G247" s="98"/>
      <c r="H247" s="98"/>
      <c r="I247" s="1090">
        <v>2024</v>
      </c>
      <c r="J247" s="306" t="str">
        <f>$E$8</f>
        <v>COLOMBIA</v>
      </c>
      <c r="K247" s="193">
        <f>VLOOKUP($E$8,CN!$A$10:$KG$173,264,0)</f>
        <v>0.18</v>
      </c>
      <c r="L247" s="194">
        <f>VLOOKUP($E$8,CN!$A$10:$KG$173,265,0)</f>
        <v>0.47</v>
      </c>
      <c r="M247" s="195">
        <f>VLOOKUP($E$8,CN!$A$10:$KG$173,266,0)</f>
        <v>0.31</v>
      </c>
      <c r="N247" s="196">
        <f>VLOOKUP($E$8,CN!$A$10:$KG$173,267,0)</f>
        <v>0.04</v>
      </c>
      <c r="O247" s="108">
        <f t="shared" si="9"/>
        <v>0.64999999999999991</v>
      </c>
      <c r="P247" s="108"/>
      <c r="Q247" s="98"/>
      <c r="R247" s="1128"/>
      <c r="S247" s="1128"/>
      <c r="T247" s="1178"/>
      <c r="U247" s="1179"/>
      <c r="V247" s="1179"/>
      <c r="W247" s="1179"/>
      <c r="X247" s="1179"/>
      <c r="Y247" s="1144"/>
      <c r="Z247" s="98"/>
    </row>
    <row r="248" spans="1:26" ht="20.25" x14ac:dyDescent="0.25">
      <c r="A248" s="123"/>
      <c r="B248" s="217"/>
      <c r="C248" s="98"/>
      <c r="D248" s="98"/>
      <c r="E248" s="98"/>
      <c r="F248" s="98"/>
      <c r="G248" s="98"/>
      <c r="H248" s="98"/>
      <c r="I248" s="1091"/>
      <c r="J248" s="306" t="str">
        <f>$E$9</f>
        <v>SOACHA</v>
      </c>
      <c r="K248" s="193">
        <f>VLOOKUP($E$9,CN!$A$10:$KG$173,264,0)</f>
        <v>0.12</v>
      </c>
      <c r="L248" s="194">
        <f>VLOOKUP($E$9,CN!$A$10:$KG$173,265,0)</f>
        <v>0.52</v>
      </c>
      <c r="M248" s="195">
        <f>VLOOKUP($E$9,CN!$A$10:$KG$173,266,0)</f>
        <v>0.34</v>
      </c>
      <c r="N248" s="196">
        <f>VLOOKUP($E$9,CN!$A$10:$KG$173,267,0)</f>
        <v>0.02</v>
      </c>
      <c r="O248" s="108">
        <f t="shared" si="9"/>
        <v>0.64</v>
      </c>
      <c r="P248" s="108"/>
      <c r="Q248" s="98"/>
      <c r="R248" s="1128"/>
      <c r="S248" s="1128"/>
      <c r="T248" s="1178"/>
      <c r="U248" s="1179"/>
      <c r="V248" s="1179"/>
      <c r="W248" s="1179"/>
      <c r="X248" s="1179"/>
      <c r="Y248" s="1144"/>
      <c r="Z248" s="98"/>
    </row>
    <row r="249" spans="1:26" ht="20.25" x14ac:dyDescent="0.25">
      <c r="A249" s="123"/>
      <c r="B249" s="217"/>
      <c r="C249" s="98"/>
      <c r="D249" s="98"/>
      <c r="E249" s="98"/>
      <c r="F249" s="98"/>
      <c r="G249" s="98"/>
      <c r="H249" s="98"/>
      <c r="I249" s="1092"/>
      <c r="J249" s="306" t="str">
        <f>$E$10</f>
        <v>LICEO TALENTOS</v>
      </c>
      <c r="K249" s="193">
        <f>VLOOKUP($E$10,CN!$A$10:$KG$173,264,0)</f>
        <v>0.05</v>
      </c>
      <c r="L249" s="194">
        <f>VLOOKUP($E$10,CN!$A$10:$KG$173,265,0)</f>
        <v>0.62</v>
      </c>
      <c r="M249" s="195">
        <f>VLOOKUP($E$10,CN!$A$10:$KG$173,266,0)</f>
        <v>0.33</v>
      </c>
      <c r="N249" s="196">
        <f>VLOOKUP($E$10,CN!$A$10:$KG$173,267,0)</f>
        <v>0</v>
      </c>
      <c r="O249" s="108">
        <f t="shared" si="9"/>
        <v>0.67</v>
      </c>
      <c r="P249" s="108"/>
      <c r="Q249" s="98"/>
      <c r="R249" s="1128"/>
      <c r="S249" s="1128"/>
      <c r="T249" s="1178"/>
      <c r="U249" s="1179"/>
      <c r="V249" s="1179"/>
      <c r="W249" s="1179"/>
      <c r="X249" s="1179"/>
      <c r="Y249" s="1144"/>
      <c r="Z249" s="98"/>
    </row>
    <row r="250" spans="1:26" ht="20.25" x14ac:dyDescent="0.25">
      <c r="A250" s="123"/>
      <c r="B250" s="217"/>
      <c r="C250" s="98"/>
      <c r="D250" s="98"/>
      <c r="E250" s="98"/>
      <c r="F250" s="98"/>
      <c r="G250" s="98"/>
      <c r="H250" s="98"/>
      <c r="I250" s="1090">
        <v>2025</v>
      </c>
      <c r="J250" s="306" t="str">
        <f>$E$8</f>
        <v>COLOMBIA</v>
      </c>
      <c r="K250" s="193">
        <f>VLOOKUP($E8,CN!$A$10:$LO$173,298,0)</f>
        <v>0.18</v>
      </c>
      <c r="L250" s="194">
        <f>VLOOKUP($E8,CN!$A$10:$LO$173,299,0)</f>
        <v>0.46</v>
      </c>
      <c r="M250" s="195">
        <f>VLOOKUP($E8,CN!$A$10:$LO$173,300,0)</f>
        <v>0.31</v>
      </c>
      <c r="N250" s="196">
        <f>VLOOKUP($E8,CN!$A$10:$LO$173,301,0)</f>
        <v>0.04</v>
      </c>
      <c r="O250" s="108">
        <f t="shared" ref="O250:O252" si="10">K250+L250</f>
        <v>0.64</v>
      </c>
      <c r="P250" s="108"/>
      <c r="Q250" s="98"/>
      <c r="R250" s="1128"/>
      <c r="S250" s="1128"/>
      <c r="T250" s="1178"/>
      <c r="U250" s="1179"/>
      <c r="V250" s="1179"/>
      <c r="W250" s="1179"/>
      <c r="X250" s="1179"/>
      <c r="Y250" s="1144"/>
      <c r="Z250" s="98"/>
    </row>
    <row r="251" spans="1:26" ht="20.25" x14ac:dyDescent="0.25">
      <c r="A251" s="123"/>
      <c r="B251" s="217"/>
      <c r="C251" s="98"/>
      <c r="D251" s="98"/>
      <c r="E251" s="98"/>
      <c r="F251" s="98"/>
      <c r="G251" s="98"/>
      <c r="H251" s="98"/>
      <c r="I251" s="1091"/>
      <c r="J251" s="306" t="str">
        <f>$E$9</f>
        <v>SOACHA</v>
      </c>
      <c r="K251" s="193">
        <f>VLOOKUP($E9,CN!$A$10:$LO$173,298,0)</f>
        <v>0.11</v>
      </c>
      <c r="L251" s="194">
        <f>VLOOKUP($E9,CN!$A$10:$LO$173,299,0)</f>
        <v>0.5</v>
      </c>
      <c r="M251" s="195">
        <f>VLOOKUP($E9,CN!$A$10:$LO$173,300,0)</f>
        <v>0.36</v>
      </c>
      <c r="N251" s="196">
        <f>VLOOKUP($E9,CN!$A$10:$LO$173,301,0)</f>
        <v>0.03</v>
      </c>
      <c r="O251" s="108">
        <f t="shared" si="10"/>
        <v>0.61</v>
      </c>
      <c r="P251" s="108"/>
      <c r="Q251" s="98"/>
      <c r="R251" s="1149"/>
      <c r="S251" s="1149"/>
      <c r="T251" s="1142"/>
      <c r="U251" s="1179"/>
      <c r="V251" s="1179"/>
      <c r="W251" s="1179"/>
      <c r="X251" s="1179"/>
      <c r="Y251" s="1144"/>
      <c r="Z251" s="98"/>
    </row>
    <row r="252" spans="1:26" ht="20.25" x14ac:dyDescent="0.25">
      <c r="A252" s="123"/>
      <c r="B252" s="217"/>
      <c r="C252" s="98"/>
      <c r="D252" s="98"/>
      <c r="E252" s="98"/>
      <c r="F252" s="98"/>
      <c r="G252" s="98"/>
      <c r="H252" s="98"/>
      <c r="I252" s="1092"/>
      <c r="J252" s="306" t="str">
        <f>$E$10</f>
        <v>LICEO TALENTOS</v>
      </c>
      <c r="K252" s="193">
        <f>VLOOKUP($E10,CN!$A$10:$LO$173,298,0)</f>
        <v>0.16</v>
      </c>
      <c r="L252" s="194">
        <f>VLOOKUP($E10,CN!$A$10:$LO$173,299,0)</f>
        <v>0.56000000000000005</v>
      </c>
      <c r="M252" s="195">
        <f>VLOOKUP($E10,CN!$A$10:$LO$173,300,0)</f>
        <v>0.25</v>
      </c>
      <c r="N252" s="196">
        <f>VLOOKUP($E10,CN!$A$10:$LO$173,301,0)</f>
        <v>0.03</v>
      </c>
      <c r="O252" s="108">
        <f t="shared" si="10"/>
        <v>0.72000000000000008</v>
      </c>
      <c r="P252" s="108"/>
      <c r="Q252" s="98"/>
      <c r="R252" s="1128"/>
      <c r="S252" s="1128"/>
      <c r="T252" s="1178"/>
      <c r="U252" s="1179"/>
      <c r="V252" s="1179"/>
      <c r="W252" s="1179"/>
      <c r="X252" s="1179"/>
      <c r="Y252" s="1144"/>
      <c r="Z252" s="98"/>
    </row>
    <row r="253" spans="1:26" ht="20.25" x14ac:dyDescent="0.25">
      <c r="A253" s="123"/>
      <c r="B253" s="217"/>
      <c r="C253" s="98"/>
      <c r="D253" s="98"/>
      <c r="E253" s="98"/>
      <c r="F253" s="98"/>
      <c r="G253" s="98"/>
      <c r="H253" s="98"/>
      <c r="I253" s="188"/>
      <c r="J253" s="188"/>
      <c r="K253" s="191"/>
      <c r="L253" s="192"/>
      <c r="M253" s="192"/>
      <c r="N253" s="192"/>
      <c r="O253" s="108"/>
      <c r="P253" s="108"/>
      <c r="Q253" s="98"/>
      <c r="R253" s="1128"/>
      <c r="S253" s="1128"/>
      <c r="T253" s="1178"/>
      <c r="U253" s="1179"/>
      <c r="V253" s="1179"/>
      <c r="W253" s="1179"/>
      <c r="X253" s="1179"/>
      <c r="Y253" s="1144"/>
      <c r="Z253" s="98"/>
    </row>
    <row r="254" spans="1:26" ht="20.25" x14ac:dyDescent="0.25">
      <c r="A254" s="123"/>
      <c r="B254" s="217"/>
      <c r="C254" s="98"/>
      <c r="D254" s="98"/>
      <c r="E254" s="98"/>
      <c r="F254" s="98"/>
      <c r="G254" s="98"/>
      <c r="H254" s="98"/>
      <c r="I254" s="188"/>
      <c r="J254" s="188"/>
      <c r="K254" s="191"/>
      <c r="L254" s="192"/>
      <c r="M254" s="192"/>
      <c r="N254" s="192"/>
      <c r="O254" s="108"/>
      <c r="P254" s="108"/>
      <c r="Q254" s="98"/>
      <c r="R254" s="1128"/>
      <c r="S254" s="1128"/>
      <c r="T254" s="1178"/>
      <c r="U254" s="1179"/>
      <c r="V254" s="1179"/>
      <c r="W254" s="1179"/>
      <c r="X254" s="1179"/>
      <c r="Y254" s="1144"/>
      <c r="Z254" s="98"/>
    </row>
    <row r="255" spans="1:26" ht="21.75" customHeight="1" x14ac:dyDescent="0.3">
      <c r="A255" s="123"/>
      <c r="B255" s="217"/>
      <c r="C255" s="98"/>
      <c r="D255" s="98"/>
      <c r="E255" s="98"/>
      <c r="F255" s="98"/>
      <c r="G255" s="98"/>
      <c r="H255" s="98"/>
      <c r="I255" s="102"/>
      <c r="J255" s="102"/>
      <c r="K255" s="102"/>
      <c r="L255" s="102"/>
      <c r="M255" s="102"/>
      <c r="N255" s="102"/>
      <c r="O255" s="108"/>
      <c r="P255" s="108"/>
      <c r="Q255" s="98"/>
      <c r="R255" s="1129"/>
      <c r="S255" s="1129"/>
      <c r="T255" s="1180"/>
      <c r="U255" s="1181"/>
      <c r="V255" s="1181"/>
      <c r="W255" s="1181"/>
      <c r="X255" s="1181"/>
      <c r="Y255" s="1182"/>
      <c r="Z255" s="98"/>
    </row>
    <row r="256" spans="1:26" ht="21.75" customHeight="1" x14ac:dyDescent="0.3">
      <c r="A256" s="123"/>
      <c r="B256" s="217"/>
      <c r="C256" s="98"/>
      <c r="D256" s="98"/>
      <c r="E256" s="98"/>
      <c r="F256" s="98"/>
      <c r="G256" s="98"/>
      <c r="H256" s="98"/>
      <c r="I256" s="102"/>
      <c r="J256" s="102"/>
      <c r="K256" s="102"/>
      <c r="L256" s="102"/>
      <c r="M256" s="102"/>
      <c r="N256" s="102"/>
      <c r="O256" s="108"/>
      <c r="P256" s="108"/>
      <c r="Q256" s="98"/>
      <c r="R256" s="108"/>
      <c r="S256" s="108"/>
      <c r="T256" s="108"/>
      <c r="U256" s="108"/>
      <c r="V256" s="108"/>
      <c r="W256" s="108"/>
      <c r="X256" s="108"/>
      <c r="Y256" s="108"/>
      <c r="Z256" s="108"/>
    </row>
    <row r="257" spans="1:26" ht="21.75" customHeight="1" x14ac:dyDescent="0.3">
      <c r="A257" s="123"/>
      <c r="B257" s="217"/>
      <c r="C257" s="98"/>
      <c r="D257" s="98"/>
      <c r="E257" s="98"/>
      <c r="F257" s="98"/>
      <c r="G257" s="98"/>
      <c r="H257" s="98"/>
      <c r="I257" s="102"/>
      <c r="J257" s="102"/>
      <c r="K257" s="102"/>
      <c r="L257" s="102"/>
      <c r="M257" s="102"/>
      <c r="N257" s="102"/>
      <c r="O257" s="108"/>
      <c r="P257" s="108"/>
      <c r="Q257" s="98"/>
      <c r="R257" s="108"/>
      <c r="S257" s="108"/>
      <c r="T257" s="108"/>
      <c r="U257" s="108"/>
      <c r="V257" s="108"/>
      <c r="W257" s="108"/>
      <c r="X257" s="108"/>
      <c r="Y257" s="108"/>
      <c r="Z257" s="108"/>
    </row>
    <row r="258" spans="1:26" ht="21.75" customHeight="1" x14ac:dyDescent="0.3">
      <c r="A258" s="123"/>
      <c r="B258" s="217"/>
      <c r="C258" s="98"/>
      <c r="D258" s="98"/>
      <c r="E258" s="98"/>
      <c r="F258" s="98"/>
      <c r="G258" s="98"/>
      <c r="H258" s="98"/>
      <c r="I258" s="102"/>
      <c r="J258" s="102"/>
      <c r="K258" s="102"/>
      <c r="L258" s="102"/>
      <c r="M258" s="102"/>
      <c r="N258" s="102"/>
      <c r="O258" s="108"/>
      <c r="P258" s="108"/>
      <c r="Q258" s="98"/>
      <c r="R258" s="108"/>
      <c r="S258" s="108"/>
      <c r="T258" s="108"/>
      <c r="U258" s="108"/>
      <c r="V258" s="108"/>
      <c r="W258" s="108"/>
      <c r="X258" s="108"/>
      <c r="Y258" s="108"/>
      <c r="Z258" s="108"/>
    </row>
    <row r="259" spans="1:26" ht="21.75" customHeight="1" x14ac:dyDescent="0.3">
      <c r="A259" s="123"/>
      <c r="B259" s="217"/>
      <c r="C259" s="98"/>
      <c r="D259" s="98"/>
      <c r="E259" s="98"/>
      <c r="F259" s="98"/>
      <c r="G259" s="98"/>
      <c r="H259" s="98"/>
      <c r="I259" s="102"/>
      <c r="J259" s="102"/>
      <c r="K259" s="102"/>
      <c r="L259" s="102"/>
      <c r="M259" s="102"/>
      <c r="N259" s="102"/>
      <c r="O259" s="108"/>
      <c r="P259" s="108"/>
      <c r="Q259" s="98"/>
      <c r="R259" s="108"/>
      <c r="S259" s="108"/>
      <c r="T259" s="108"/>
      <c r="U259" s="108"/>
      <c r="V259" s="108"/>
      <c r="W259" s="108"/>
      <c r="X259" s="108"/>
      <c r="Y259" s="108"/>
      <c r="Z259" s="108"/>
    </row>
    <row r="260" spans="1:26" ht="21.75" customHeight="1" x14ac:dyDescent="0.3">
      <c r="A260" s="123"/>
      <c r="B260" s="217"/>
      <c r="C260" s="98"/>
      <c r="D260" s="98"/>
      <c r="E260" s="98"/>
      <c r="F260" s="98"/>
      <c r="G260" s="98"/>
      <c r="H260" s="98"/>
      <c r="I260" s="102"/>
      <c r="J260" s="102"/>
      <c r="K260" s="102"/>
      <c r="L260" s="102"/>
      <c r="M260" s="102"/>
      <c r="N260" s="102"/>
      <c r="O260" s="108"/>
      <c r="P260" s="108"/>
      <c r="Q260" s="98"/>
      <c r="R260" s="108"/>
      <c r="S260" s="108"/>
      <c r="T260" s="108"/>
      <c r="U260" s="108"/>
      <c r="V260" s="108"/>
      <c r="W260" s="108"/>
      <c r="X260" s="108"/>
      <c r="Y260" s="108"/>
      <c r="Z260" s="108"/>
    </row>
    <row r="261" spans="1:26" ht="21.75" customHeight="1" x14ac:dyDescent="0.3">
      <c r="A261" s="123"/>
      <c r="B261" s="217"/>
      <c r="C261" s="98"/>
      <c r="D261" s="98"/>
      <c r="E261" s="98"/>
      <c r="F261" s="98"/>
      <c r="G261" s="98"/>
      <c r="H261" s="98"/>
      <c r="I261" s="102"/>
      <c r="J261" s="102"/>
      <c r="K261" s="102"/>
      <c r="L261" s="102"/>
      <c r="M261" s="102"/>
      <c r="N261" s="102"/>
      <c r="O261" s="108"/>
      <c r="P261" s="108"/>
      <c r="Q261" s="98"/>
      <c r="R261" s="108"/>
      <c r="S261" s="108"/>
      <c r="T261" s="108"/>
      <c r="U261" s="108"/>
      <c r="V261" s="108"/>
      <c r="W261" s="108"/>
      <c r="X261" s="108"/>
      <c r="Y261" s="108"/>
      <c r="Z261" s="108"/>
    </row>
    <row r="262" spans="1:26" ht="21.75" customHeight="1" x14ac:dyDescent="0.3">
      <c r="A262" s="123"/>
      <c r="B262" s="217"/>
      <c r="C262" s="98"/>
      <c r="D262" s="98"/>
      <c r="E262" s="98"/>
      <c r="F262" s="98"/>
      <c r="G262" s="98"/>
      <c r="H262" s="98"/>
      <c r="I262" s="102"/>
      <c r="J262" s="102"/>
      <c r="K262" s="102"/>
      <c r="L262" s="102"/>
      <c r="M262" s="102"/>
      <c r="N262" s="102"/>
      <c r="O262" s="108"/>
      <c r="P262" s="108"/>
      <c r="Q262" s="98"/>
      <c r="R262" s="108"/>
      <c r="S262" s="108"/>
      <c r="T262" s="108"/>
      <c r="U262" s="108"/>
      <c r="V262" s="108"/>
      <c r="W262" s="108"/>
      <c r="X262" s="108"/>
      <c r="Y262" s="108"/>
      <c r="Z262" s="108"/>
    </row>
    <row r="263" spans="1:26" ht="21.75" customHeight="1" x14ac:dyDescent="0.3">
      <c r="A263" s="123"/>
      <c r="B263" s="217"/>
      <c r="C263" s="98"/>
      <c r="D263" s="98"/>
      <c r="E263" s="98"/>
      <c r="F263" s="98"/>
      <c r="G263" s="98"/>
      <c r="H263" s="98"/>
      <c r="I263" s="102"/>
      <c r="J263" s="102"/>
      <c r="K263" s="102"/>
      <c r="L263" s="102"/>
      <c r="M263" s="102"/>
      <c r="N263" s="102"/>
      <c r="O263" s="108"/>
      <c r="P263" s="108"/>
      <c r="Q263" s="98"/>
      <c r="R263" s="108"/>
      <c r="S263" s="108"/>
      <c r="T263" s="108"/>
      <c r="U263" s="108"/>
      <c r="V263" s="108"/>
      <c r="W263" s="108"/>
      <c r="X263" s="108"/>
      <c r="Y263" s="108"/>
      <c r="Z263" s="108"/>
    </row>
    <row r="264" spans="1:26" ht="21.75" customHeight="1" x14ac:dyDescent="0.3">
      <c r="A264" s="123"/>
      <c r="B264" s="217"/>
      <c r="C264" s="98"/>
      <c r="D264" s="98"/>
      <c r="E264" s="98"/>
      <c r="F264" s="98"/>
      <c r="G264" s="98"/>
      <c r="H264" s="98"/>
      <c r="I264" s="102"/>
      <c r="J264" s="102"/>
      <c r="K264" s="102"/>
      <c r="L264" s="102"/>
      <c r="M264" s="102"/>
      <c r="N264" s="102"/>
      <c r="O264" s="108"/>
      <c r="P264" s="108"/>
      <c r="Q264" s="98"/>
      <c r="R264" s="108"/>
      <c r="S264" s="108"/>
      <c r="T264" s="108"/>
      <c r="U264" s="108"/>
      <c r="V264" s="108"/>
      <c r="W264" s="108"/>
      <c r="X264" s="108"/>
      <c r="Y264" s="108"/>
      <c r="Z264" s="108"/>
    </row>
    <row r="265" spans="1:26" ht="21.75" customHeight="1" x14ac:dyDescent="0.3">
      <c r="A265" s="123"/>
      <c r="B265" s="217"/>
      <c r="C265" s="98"/>
      <c r="D265" s="98"/>
      <c r="E265" s="98"/>
      <c r="F265" s="98"/>
      <c r="G265" s="98"/>
      <c r="H265" s="98"/>
      <c r="I265" s="102"/>
      <c r="J265" s="102"/>
      <c r="K265" s="102"/>
      <c r="L265" s="102"/>
      <c r="M265" s="102"/>
      <c r="N265" s="102"/>
      <c r="O265" s="108"/>
      <c r="P265" s="108"/>
      <c r="Q265" s="98"/>
      <c r="R265" s="108"/>
      <c r="S265" s="108"/>
      <c r="T265" s="108"/>
      <c r="U265" s="108"/>
      <c r="V265" s="108"/>
      <c r="W265" s="108"/>
      <c r="X265" s="108"/>
      <c r="Y265" s="108"/>
      <c r="Z265" s="108"/>
    </row>
    <row r="266" spans="1:26" ht="21.75" customHeight="1" x14ac:dyDescent="0.3">
      <c r="A266" s="123"/>
      <c r="B266" s="217"/>
      <c r="C266" s="98"/>
      <c r="D266" s="98"/>
      <c r="E266" s="98"/>
      <c r="F266" s="98"/>
      <c r="G266" s="98"/>
      <c r="H266" s="98"/>
      <c r="I266" s="102"/>
      <c r="J266" s="102"/>
      <c r="K266" s="102"/>
      <c r="L266" s="102"/>
      <c r="M266" s="102"/>
      <c r="N266" s="102"/>
      <c r="O266" s="108"/>
      <c r="P266" s="108"/>
      <c r="Q266" s="98"/>
      <c r="R266" s="108"/>
      <c r="S266" s="108"/>
      <c r="T266" s="108"/>
      <c r="U266" s="108"/>
      <c r="V266" s="108"/>
      <c r="W266" s="108"/>
      <c r="X266" s="108"/>
      <c r="Y266" s="108"/>
      <c r="Z266" s="108"/>
    </row>
    <row r="267" spans="1:26" ht="21.75" customHeight="1" x14ac:dyDescent="0.3">
      <c r="A267" s="123"/>
      <c r="B267" s="217"/>
      <c r="C267" s="98"/>
      <c r="D267" s="98"/>
      <c r="E267" s="98"/>
      <c r="F267" s="98"/>
      <c r="G267" s="98"/>
      <c r="H267" s="98"/>
      <c r="I267" s="102"/>
      <c r="J267" s="102"/>
      <c r="K267" s="102"/>
      <c r="L267" s="102"/>
      <c r="M267" s="102"/>
      <c r="N267" s="102"/>
      <c r="O267" s="108"/>
      <c r="P267" s="108"/>
      <c r="Q267" s="98"/>
      <c r="R267" s="108"/>
      <c r="S267" s="108"/>
      <c r="T267" s="108"/>
      <c r="U267" s="108"/>
      <c r="V267" s="108"/>
      <c r="W267" s="108"/>
      <c r="X267" s="108"/>
      <c r="Y267" s="108"/>
      <c r="Z267" s="108"/>
    </row>
    <row r="268" spans="1:26" ht="21.75" customHeight="1" x14ac:dyDescent="0.3">
      <c r="A268" s="123"/>
      <c r="B268" s="217"/>
      <c r="C268" s="98"/>
      <c r="D268" s="98"/>
      <c r="E268" s="98"/>
      <c r="F268" s="98"/>
      <c r="G268" s="98"/>
      <c r="H268" s="98"/>
      <c r="I268" s="102"/>
      <c r="J268" s="102"/>
      <c r="K268" s="102"/>
      <c r="L268" s="102"/>
      <c r="M268" s="102"/>
      <c r="N268" s="102"/>
      <c r="O268" s="108"/>
      <c r="P268" s="108"/>
      <c r="Q268" s="98"/>
      <c r="R268" s="108"/>
      <c r="S268" s="108"/>
      <c r="T268" s="108"/>
      <c r="U268" s="108"/>
      <c r="V268" s="108"/>
      <c r="W268" s="108"/>
      <c r="X268" s="108"/>
      <c r="Y268" s="108"/>
      <c r="Z268" s="108"/>
    </row>
    <row r="269" spans="1:26" ht="21.75" customHeight="1" x14ac:dyDescent="0.3">
      <c r="A269" s="123"/>
      <c r="B269" s="217"/>
      <c r="C269" s="98"/>
      <c r="D269" s="98"/>
      <c r="E269" s="98"/>
      <c r="F269" s="98"/>
      <c r="G269" s="98"/>
      <c r="H269" s="98"/>
      <c r="I269" s="102"/>
      <c r="J269" s="102"/>
      <c r="K269" s="102"/>
      <c r="L269" s="102"/>
      <c r="M269" s="102"/>
      <c r="N269" s="102"/>
      <c r="O269" s="108"/>
      <c r="P269" s="108"/>
      <c r="Q269" s="98"/>
      <c r="R269" s="108"/>
      <c r="S269" s="108"/>
      <c r="T269" s="108"/>
      <c r="U269" s="108"/>
      <c r="V269" s="108"/>
      <c r="W269" s="108"/>
      <c r="X269" s="108"/>
      <c r="Y269" s="108"/>
      <c r="Z269" s="108"/>
    </row>
    <row r="270" spans="1:26" ht="21.75" customHeight="1" x14ac:dyDescent="0.3">
      <c r="A270" s="123"/>
      <c r="B270" s="217"/>
      <c r="C270" s="98"/>
      <c r="D270" s="98"/>
      <c r="E270" s="98"/>
      <c r="F270" s="98"/>
      <c r="G270" s="98"/>
      <c r="H270" s="98"/>
      <c r="I270" s="102"/>
      <c r="J270" s="102"/>
      <c r="K270" s="102"/>
      <c r="L270" s="102"/>
      <c r="M270" s="102"/>
      <c r="N270" s="102"/>
      <c r="O270" s="108"/>
      <c r="P270" s="108"/>
      <c r="Q270" s="98"/>
      <c r="R270" s="108"/>
      <c r="S270" s="108"/>
      <c r="T270" s="108"/>
      <c r="U270" s="108"/>
      <c r="V270" s="108"/>
      <c r="W270" s="108"/>
      <c r="X270" s="108"/>
      <c r="Y270" s="108"/>
      <c r="Z270" s="108"/>
    </row>
    <row r="271" spans="1:26" ht="21.75" customHeight="1" x14ac:dyDescent="0.3">
      <c r="A271" s="123"/>
      <c r="B271" s="217"/>
      <c r="C271" s="98"/>
      <c r="D271" s="98"/>
      <c r="E271" s="98"/>
      <c r="F271" s="98"/>
      <c r="G271" s="98"/>
      <c r="H271" s="98"/>
      <c r="I271" s="102"/>
      <c r="J271" s="102"/>
      <c r="K271" s="102"/>
      <c r="L271" s="102"/>
      <c r="M271" s="102"/>
      <c r="N271" s="102"/>
      <c r="O271" s="108"/>
      <c r="P271" s="108"/>
      <c r="Q271" s="98"/>
      <c r="R271" s="108"/>
      <c r="S271" s="108"/>
      <c r="T271" s="108"/>
      <c r="U271" s="108"/>
      <c r="V271" s="108"/>
      <c r="W271" s="108"/>
      <c r="X271" s="108"/>
      <c r="Y271" s="108"/>
      <c r="Z271" s="108"/>
    </row>
    <row r="272" spans="1:26" ht="21.75" customHeight="1" x14ac:dyDescent="0.3">
      <c r="A272" s="123"/>
      <c r="B272" s="217"/>
      <c r="C272" s="98"/>
      <c r="D272" s="98"/>
      <c r="E272" s="98"/>
      <c r="F272" s="98"/>
      <c r="G272" s="98"/>
      <c r="H272" s="98"/>
      <c r="I272" s="102"/>
      <c r="J272" s="102"/>
      <c r="K272" s="102"/>
      <c r="L272" s="102"/>
      <c r="M272" s="102"/>
      <c r="N272" s="102"/>
      <c r="O272" s="108"/>
      <c r="P272" s="108"/>
      <c r="Q272" s="98"/>
      <c r="R272" s="108"/>
      <c r="S272" s="108"/>
      <c r="T272" s="108"/>
      <c r="U272" s="108"/>
      <c r="V272" s="108"/>
      <c r="W272" s="108"/>
      <c r="X272" s="108"/>
      <c r="Y272" s="108"/>
      <c r="Z272" s="108"/>
    </row>
    <row r="273" spans="1:26" ht="21.75" customHeight="1" x14ac:dyDescent="0.3">
      <c r="A273" s="123"/>
      <c r="B273" s="217"/>
      <c r="C273" s="98"/>
      <c r="D273" s="98"/>
      <c r="E273" s="98"/>
      <c r="F273" s="98"/>
      <c r="G273" s="98"/>
      <c r="H273" s="98"/>
      <c r="I273" s="102"/>
      <c r="J273" s="102"/>
      <c r="K273" s="102"/>
      <c r="L273" s="102"/>
      <c r="M273" s="102"/>
      <c r="N273" s="102"/>
      <c r="O273" s="108"/>
      <c r="P273" s="108"/>
      <c r="Q273" s="98"/>
      <c r="R273" s="108"/>
      <c r="S273" s="108"/>
      <c r="T273" s="108"/>
      <c r="U273" s="108"/>
      <c r="V273" s="108"/>
      <c r="W273" s="108"/>
      <c r="X273" s="108"/>
      <c r="Y273" s="108"/>
      <c r="Z273" s="108"/>
    </row>
    <row r="274" spans="1:26" ht="21.75" customHeight="1" x14ac:dyDescent="0.3">
      <c r="A274" s="123"/>
      <c r="B274" s="217"/>
      <c r="C274" s="98"/>
      <c r="D274" s="98"/>
      <c r="E274" s="98"/>
      <c r="F274" s="98"/>
      <c r="G274" s="98"/>
      <c r="H274" s="98"/>
      <c r="I274" s="102"/>
      <c r="J274" s="102"/>
      <c r="K274" s="102"/>
      <c r="L274" s="102"/>
      <c r="M274" s="102"/>
      <c r="N274" s="102"/>
      <c r="O274" s="108"/>
      <c r="P274" s="108"/>
      <c r="Q274" s="98"/>
      <c r="R274" s="98"/>
      <c r="S274" s="98"/>
      <c r="T274" s="98"/>
      <c r="U274" s="98"/>
      <c r="V274" s="98"/>
      <c r="W274" s="98"/>
      <c r="X274" s="98"/>
      <c r="Y274" s="98"/>
      <c r="Z274" s="98"/>
    </row>
    <row r="275" spans="1:26" ht="21.75" customHeight="1" x14ac:dyDescent="0.3">
      <c r="A275" s="123"/>
      <c r="B275" s="217"/>
      <c r="C275" s="98"/>
      <c r="D275" s="98"/>
      <c r="E275" s="98"/>
      <c r="F275" s="98"/>
      <c r="G275" s="98"/>
      <c r="H275" s="98"/>
      <c r="I275" s="102"/>
      <c r="J275" s="102"/>
      <c r="K275" s="102"/>
      <c r="L275" s="102"/>
      <c r="M275" s="102"/>
      <c r="N275" s="102"/>
      <c r="O275" s="108"/>
      <c r="P275" s="108"/>
      <c r="Q275" s="98"/>
      <c r="R275" s="98"/>
      <c r="S275" s="98"/>
      <c r="T275" s="98"/>
      <c r="U275" s="98"/>
      <c r="V275" s="98"/>
      <c r="W275" s="98"/>
      <c r="X275" s="98"/>
      <c r="Y275" s="98"/>
      <c r="Z275" s="98"/>
    </row>
    <row r="276" spans="1:26" ht="21.75" customHeight="1" x14ac:dyDescent="0.3">
      <c r="A276" s="123"/>
      <c r="B276" s="217"/>
      <c r="C276" s="98"/>
      <c r="D276" s="98"/>
      <c r="E276" s="98"/>
      <c r="F276" s="98"/>
      <c r="G276" s="98"/>
      <c r="H276" s="98"/>
      <c r="I276" s="102"/>
      <c r="J276" s="102"/>
      <c r="K276" s="102"/>
      <c r="L276" s="102"/>
      <c r="M276" s="102"/>
      <c r="N276" s="102"/>
      <c r="O276" s="108"/>
      <c r="P276" s="108"/>
      <c r="Q276" s="98"/>
      <c r="R276" s="98"/>
      <c r="S276" s="98"/>
      <c r="T276" s="98"/>
      <c r="U276" s="98"/>
      <c r="V276" s="98"/>
      <c r="W276" s="98"/>
      <c r="X276" s="98"/>
      <c r="Y276" s="98"/>
      <c r="Z276" s="98"/>
    </row>
    <row r="277" spans="1:26" ht="21.75" customHeight="1" x14ac:dyDescent="0.3">
      <c r="A277" s="123"/>
      <c r="B277" s="217"/>
      <c r="C277" s="98"/>
      <c r="D277" s="98"/>
      <c r="E277" s="98"/>
      <c r="F277" s="98"/>
      <c r="G277" s="98"/>
      <c r="H277" s="98"/>
      <c r="I277" s="102"/>
      <c r="J277" s="102"/>
      <c r="K277" s="102"/>
      <c r="L277" s="102"/>
      <c r="M277" s="102"/>
      <c r="N277" s="102"/>
      <c r="O277" s="108"/>
      <c r="P277" s="108"/>
      <c r="Q277" s="98"/>
      <c r="R277" s="98"/>
      <c r="S277" s="98"/>
      <c r="T277" s="98"/>
      <c r="U277" s="98"/>
      <c r="V277" s="98"/>
      <c r="W277" s="98"/>
      <c r="X277" s="98"/>
      <c r="Y277" s="98"/>
      <c r="Z277" s="98"/>
    </row>
    <row r="278" spans="1:26" ht="21.75" customHeight="1" x14ac:dyDescent="0.3">
      <c r="A278" s="123"/>
      <c r="B278" s="217"/>
      <c r="C278" s="98"/>
      <c r="D278" s="98"/>
      <c r="E278" s="98"/>
      <c r="F278" s="98"/>
      <c r="G278" s="98"/>
      <c r="H278" s="98"/>
      <c r="I278" s="102"/>
      <c r="J278" s="102"/>
      <c r="K278" s="102"/>
      <c r="L278" s="102"/>
      <c r="M278" s="102"/>
      <c r="N278" s="102"/>
      <c r="O278" s="108"/>
      <c r="P278" s="108"/>
      <c r="Q278" s="98"/>
      <c r="R278" s="98"/>
      <c r="S278" s="98"/>
      <c r="T278" s="98"/>
      <c r="U278" s="98"/>
      <c r="V278" s="98"/>
      <c r="W278" s="98"/>
      <c r="X278" s="98"/>
      <c r="Y278" s="98"/>
      <c r="Z278" s="98"/>
    </row>
    <row r="279" spans="1:26" ht="21.75" customHeight="1" x14ac:dyDescent="0.3">
      <c r="A279" s="123"/>
      <c r="B279" s="217"/>
      <c r="C279" s="98"/>
      <c r="D279" s="98"/>
      <c r="E279" s="98"/>
      <c r="F279" s="98"/>
      <c r="G279" s="98"/>
      <c r="H279" s="98"/>
      <c r="I279" s="102"/>
      <c r="J279" s="102"/>
      <c r="K279" s="102"/>
      <c r="L279" s="102"/>
      <c r="M279" s="102"/>
      <c r="N279" s="102"/>
      <c r="O279" s="108"/>
      <c r="P279" s="108"/>
      <c r="Q279" s="98"/>
      <c r="R279" s="98"/>
      <c r="S279" s="98"/>
      <c r="T279" s="98"/>
      <c r="U279" s="98"/>
      <c r="V279" s="98"/>
      <c r="W279" s="98"/>
      <c r="X279" s="98"/>
      <c r="Y279" s="98"/>
      <c r="Z279" s="98"/>
    </row>
    <row r="280" spans="1:26" x14ac:dyDescent="0.25">
      <c r="A280" s="118"/>
      <c r="B280" s="118"/>
      <c r="C280" s="98"/>
      <c r="D280" s="98"/>
      <c r="E280" s="98"/>
      <c r="F280" s="98"/>
      <c r="G280" s="98"/>
      <c r="H280" s="98"/>
      <c r="I280" s="98"/>
      <c r="J280" s="98"/>
      <c r="K280" s="108"/>
      <c r="L280" s="98"/>
      <c r="M280" s="98"/>
      <c r="N280" s="98"/>
      <c r="O280" s="98"/>
      <c r="P280" s="98"/>
      <c r="Q280" s="98"/>
      <c r="R280" s="98"/>
      <c r="S280" s="98"/>
      <c r="T280" s="98"/>
      <c r="U280" s="98"/>
      <c r="V280" s="98"/>
      <c r="W280" s="98"/>
      <c r="X280" s="98"/>
      <c r="Y280" s="98"/>
      <c r="Z280" s="98"/>
    </row>
    <row r="281" spans="1:26" x14ac:dyDescent="0.25">
      <c r="A281" s="118"/>
      <c r="B281" s="118"/>
      <c r="C281" s="98"/>
      <c r="D281" s="98"/>
      <c r="E281" s="98"/>
      <c r="F281" s="98"/>
      <c r="G281" s="98"/>
      <c r="H281" s="98"/>
      <c r="I281" s="98"/>
      <c r="J281" s="98"/>
      <c r="K281" s="98"/>
      <c r="L281" s="98"/>
      <c r="M281" s="98"/>
      <c r="N281" s="98"/>
      <c r="O281" s="98"/>
      <c r="P281" s="98"/>
      <c r="Q281" s="98"/>
      <c r="R281" s="98"/>
      <c r="S281" s="98"/>
      <c r="T281" s="98"/>
      <c r="U281" s="98"/>
      <c r="V281" s="98"/>
      <c r="W281" s="98"/>
      <c r="X281" s="98"/>
      <c r="Y281" s="98"/>
      <c r="Z281" s="98"/>
    </row>
    <row r="282" spans="1:26" ht="33" customHeight="1" x14ac:dyDescent="0.25">
      <c r="A282" s="118"/>
      <c r="B282" s="1115" t="s">
        <v>619</v>
      </c>
      <c r="C282" s="1115"/>
      <c r="D282" s="1115"/>
      <c r="E282" s="1115"/>
      <c r="F282" s="1115"/>
      <c r="G282" s="98"/>
      <c r="H282" s="98"/>
      <c r="I282" s="1116" t="s">
        <v>736</v>
      </c>
      <c r="J282" s="1117"/>
      <c r="K282" s="1117"/>
      <c r="L282" s="1117"/>
      <c r="M282" s="1117"/>
      <c r="N282" s="1117"/>
      <c r="O282" s="1118"/>
      <c r="P282" s="98"/>
      <c r="Q282" s="98"/>
      <c r="R282" s="98"/>
      <c r="S282" s="98"/>
      <c r="T282" s="98"/>
      <c r="U282" s="98"/>
      <c r="V282" s="98"/>
      <c r="W282" s="98"/>
      <c r="X282" s="98"/>
      <c r="Y282" s="98"/>
      <c r="Z282" s="98"/>
    </row>
    <row r="283" spans="1:26" ht="45" customHeight="1" x14ac:dyDescent="0.3">
      <c r="A283" s="118"/>
      <c r="B283" s="218" t="s">
        <v>290</v>
      </c>
      <c r="C283" s="219" t="str">
        <f>$E$8</f>
        <v>COLOMBIA</v>
      </c>
      <c r="D283" s="1112" t="str">
        <f>$E$9</f>
        <v>SOACHA</v>
      </c>
      <c r="E283" s="1112"/>
      <c r="F283" s="220" t="str">
        <f>$E$10</f>
        <v>LICEO TALENTOS</v>
      </c>
      <c r="G283" s="98"/>
      <c r="H283" s="1119"/>
      <c r="I283" s="1113" t="s">
        <v>290</v>
      </c>
      <c r="J283" s="1094" t="s">
        <v>292</v>
      </c>
      <c r="K283" s="224" t="s">
        <v>620</v>
      </c>
      <c r="L283" s="225" t="s">
        <v>621</v>
      </c>
      <c r="M283" s="209" t="s">
        <v>622</v>
      </c>
      <c r="N283" s="210" t="s">
        <v>623</v>
      </c>
      <c r="O283" s="211" t="s">
        <v>624</v>
      </c>
      <c r="P283" s="102" t="s">
        <v>625</v>
      </c>
      <c r="Q283" s="98"/>
      <c r="R283" s="98"/>
      <c r="S283" s="98"/>
      <c r="T283" s="98"/>
      <c r="U283" s="98"/>
      <c r="V283" s="98"/>
      <c r="W283" s="98"/>
      <c r="X283" s="98"/>
      <c r="Y283" s="98"/>
      <c r="Z283" s="98"/>
    </row>
    <row r="284" spans="1:26" ht="26.25" customHeight="1" x14ac:dyDescent="0.25">
      <c r="A284" s="118"/>
      <c r="B284" s="206">
        <v>2016</v>
      </c>
      <c r="C284" s="190">
        <f>VLOOKUP($E$8,INGLES!$A$10:$AL$173,4,0)</f>
        <v>53</v>
      </c>
      <c r="D284" s="1088">
        <f>VLOOKUP($E$9,INGLES!$A$10:$AL$173,4,0)</f>
        <v>54</v>
      </c>
      <c r="E284" s="1088"/>
      <c r="F284" s="190">
        <f>VLOOKUP($E$10,INGLES!$A$10:$AL$173,4,0)</f>
        <v>0</v>
      </c>
      <c r="G284" s="98"/>
      <c r="H284" s="1119"/>
      <c r="I284" s="1113"/>
      <c r="J284" s="1095"/>
      <c r="K284" s="226" t="s">
        <v>200</v>
      </c>
      <c r="L284" s="212" t="s">
        <v>201</v>
      </c>
      <c r="M284" s="213" t="s">
        <v>202</v>
      </c>
      <c r="N284" s="214" t="s">
        <v>203</v>
      </c>
      <c r="O284" s="215" t="s">
        <v>204</v>
      </c>
      <c r="P284" s="121" t="s">
        <v>626</v>
      </c>
      <c r="Q284" s="98"/>
      <c r="R284" s="98"/>
      <c r="S284" s="98"/>
      <c r="T284" s="98"/>
      <c r="U284" s="98"/>
      <c r="V284" s="98"/>
      <c r="W284" s="98"/>
      <c r="X284" s="98"/>
      <c r="Y284" s="98"/>
      <c r="Z284" s="98"/>
    </row>
    <row r="285" spans="1:26" ht="20.25" x14ac:dyDescent="0.25">
      <c r="A285" s="118"/>
      <c r="B285" s="206">
        <v>2017</v>
      </c>
      <c r="C285" s="190">
        <f>VLOOKUP($E$8,INGLES!$A$10:$AL$173,11,0)</f>
        <v>51</v>
      </c>
      <c r="D285" s="1088">
        <f>VLOOKUP($E$9,INGLES!$A$10:$AL$173,11,0)</f>
        <v>51</v>
      </c>
      <c r="E285" s="1088"/>
      <c r="F285" s="190">
        <f>VLOOKUP($E$10,INGLES!$A$10:$AL$173,11,0)</f>
        <v>0</v>
      </c>
      <c r="G285" s="98"/>
      <c r="H285" s="1114"/>
      <c r="I285" s="1089">
        <v>2016</v>
      </c>
      <c r="J285" s="306" t="str">
        <f>$E$8</f>
        <v>COLOMBIA</v>
      </c>
      <c r="K285" s="227">
        <f>VLOOKUP($E$8,INGLES!$A$10:$AL$173,6,0)</f>
        <v>0.36</v>
      </c>
      <c r="L285" s="228">
        <f>VLOOKUP($E$8,INGLES!$A$10:$AL$173,7,0)</f>
        <v>0.33</v>
      </c>
      <c r="M285" s="194">
        <f>VLOOKUP($E$8,INGLES!$A$10:$AL$173,8,0)</f>
        <v>0.19</v>
      </c>
      <c r="N285" s="195">
        <f>VLOOKUP($E$8,INGLES!$A$10:$AL$173,9,0)</f>
        <v>0.1</v>
      </c>
      <c r="O285" s="196">
        <f>VLOOKUP($E$8,INGLES!$A$10:$AL$173,10,0)</f>
        <v>0.02</v>
      </c>
      <c r="P285" s="108">
        <f t="shared" ref="P285:P302" si="11">K285+L285</f>
        <v>0.69</v>
      </c>
      <c r="Q285" s="98"/>
      <c r="R285" s="98"/>
      <c r="S285" s="98"/>
      <c r="T285" s="98"/>
      <c r="U285" s="98"/>
      <c r="V285" s="98"/>
      <c r="W285" s="98"/>
      <c r="X285" s="98"/>
      <c r="Y285" s="98"/>
      <c r="Z285" s="98"/>
    </row>
    <row r="286" spans="1:26" ht="20.25" x14ac:dyDescent="0.25">
      <c r="A286" s="118"/>
      <c r="B286" s="206">
        <v>2018</v>
      </c>
      <c r="C286" s="190">
        <f>VLOOKUP($E$8,INGLES!$A$10:$AL$173,18,0)</f>
        <v>52</v>
      </c>
      <c r="D286" s="1088">
        <f>VLOOKUP($E$9,INGLES!$A$10:$AL$173,18,0)</f>
        <v>52</v>
      </c>
      <c r="E286" s="1088"/>
      <c r="F286" s="190">
        <f>VLOOKUP($E$10,INGLES!$A$10:$AL$173,18,0)</f>
        <v>0</v>
      </c>
      <c r="G286" s="98"/>
      <c r="H286" s="1114"/>
      <c r="I286" s="1089"/>
      <c r="J286" s="306" t="str">
        <f>$E$9</f>
        <v>SOACHA</v>
      </c>
      <c r="K286" s="227">
        <f>VLOOKUP($E$9,INGLES!$A$10:$AL$173,6,0)</f>
        <v>0.28999999999999998</v>
      </c>
      <c r="L286" s="228">
        <f>VLOOKUP($E$9,INGLES!$A$10:$AL$173,7,0)</f>
        <v>0.4</v>
      </c>
      <c r="M286" s="194">
        <f>VLOOKUP($E$9,INGLES!$A$10:$AL$173,8,0)</f>
        <v>0.24</v>
      </c>
      <c r="N286" s="195">
        <f>VLOOKUP($E$9,INGLES!$A$10:$AL$173,9,0)</f>
        <v>0.08</v>
      </c>
      <c r="O286" s="196">
        <f>VLOOKUP($E$9,INGLES!$A$10:$AL$173,10,0)</f>
        <v>0</v>
      </c>
      <c r="P286" s="108">
        <f t="shared" si="11"/>
        <v>0.69</v>
      </c>
      <c r="Q286" s="98"/>
      <c r="R286" s="98"/>
      <c r="S286" s="98"/>
      <c r="T286" s="98"/>
      <c r="U286" s="98"/>
      <c r="V286" s="98"/>
      <c r="W286" s="98"/>
      <c r="X286" s="98"/>
      <c r="Y286" s="98"/>
      <c r="Z286" s="98"/>
    </row>
    <row r="287" spans="1:26" ht="20.25" x14ac:dyDescent="0.25">
      <c r="A287" s="118"/>
      <c r="B287" s="206">
        <v>2019</v>
      </c>
      <c r="C287" s="190">
        <f>VLOOKUP($E$8,INGLES!$A$10:$AL$173,25,0)</f>
        <v>50</v>
      </c>
      <c r="D287" s="1088">
        <f>VLOOKUP($E$9,INGLES!$A$10:$AL$173,25,0)</f>
        <v>51</v>
      </c>
      <c r="E287" s="1088"/>
      <c r="F287" s="190">
        <f>VLOOKUP($E$10,INGLES!$A$10:$AL$173,25,0)</f>
        <v>0</v>
      </c>
      <c r="G287" s="98"/>
      <c r="H287" s="1114"/>
      <c r="I287" s="1089"/>
      <c r="J287" s="306" t="str">
        <f>$E$10</f>
        <v>LICEO TALENTOS</v>
      </c>
      <c r="K287" s="227">
        <f>VLOOKUP($E$10,INGLES!$A$10:$AL$173,6,0)</f>
        <v>0</v>
      </c>
      <c r="L287" s="228">
        <f>VLOOKUP($E$10,INGLES!$A$10:$AL$173,7,0)</f>
        <v>0</v>
      </c>
      <c r="M287" s="194">
        <f>VLOOKUP($E$10,INGLES!$A$10:$AL$173,8,0)</f>
        <v>0</v>
      </c>
      <c r="N287" s="195">
        <f>VLOOKUP($E$10,INGLES!$A$10:$AL$173,9,0)</f>
        <v>0</v>
      </c>
      <c r="O287" s="196">
        <f>VLOOKUP($E$10,INGLES!$A$10:$AL$173,10,0)</f>
        <v>0</v>
      </c>
      <c r="P287" s="108">
        <f t="shared" si="11"/>
        <v>0</v>
      </c>
      <c r="Q287" s="98"/>
      <c r="R287" s="98"/>
      <c r="S287" s="98"/>
      <c r="T287" s="98"/>
      <c r="U287" s="98"/>
      <c r="V287" s="98"/>
      <c r="W287" s="98"/>
      <c r="X287" s="98"/>
      <c r="Y287" s="98"/>
      <c r="Z287" s="98"/>
    </row>
    <row r="288" spans="1:26" ht="20.25" x14ac:dyDescent="0.25">
      <c r="A288" s="118"/>
      <c r="B288" s="206">
        <v>2020</v>
      </c>
      <c r="C288" s="190">
        <f>VLOOKUP($E$8,INGLES!$A$10:$AL$173,32,0)</f>
        <v>48</v>
      </c>
      <c r="D288" s="1088">
        <f>VLOOKUP($E$9,INGLES!$A$10:$AL$173,32,0)</f>
        <v>48</v>
      </c>
      <c r="E288" s="1088"/>
      <c r="F288" s="190">
        <f>VLOOKUP($E$10,INGLES!$A$10:$AL$173,32,0)</f>
        <v>0</v>
      </c>
      <c r="G288" s="98"/>
      <c r="H288" s="1114"/>
      <c r="I288" s="1090">
        <v>2017</v>
      </c>
      <c r="J288" s="306" t="str">
        <f>$E$8</f>
        <v>COLOMBIA</v>
      </c>
      <c r="K288" s="227">
        <f>VLOOKUP($E$8,INGLES!$A$10:$AL$173,13,0)</f>
        <v>0.44</v>
      </c>
      <c r="L288" s="193">
        <f>VLOOKUP($E$8,INGLES!$A$10:$AL$173,14,0)</f>
        <v>0.3</v>
      </c>
      <c r="M288" s="194">
        <f>VLOOKUP($E$8,INGLES!$A$10:$AL$173,15,0)</f>
        <v>0.16</v>
      </c>
      <c r="N288" s="195">
        <f>VLOOKUP($E$8,INGLES!$A$10:$AL$173,16,0)</f>
        <v>0.08</v>
      </c>
      <c r="O288" s="196">
        <f>VLOOKUP($E$8,INGLES!$A$10:$AL$173,17,0)</f>
        <v>0.02</v>
      </c>
      <c r="P288" s="108">
        <f t="shared" si="11"/>
        <v>0.74</v>
      </c>
      <c r="Q288" s="98"/>
      <c r="R288" s="98"/>
      <c r="S288" s="98"/>
      <c r="T288" s="98"/>
      <c r="U288" s="98"/>
      <c r="V288" s="98"/>
      <c r="W288" s="98"/>
      <c r="X288" s="98"/>
      <c r="Y288" s="98"/>
      <c r="Z288" s="98"/>
    </row>
    <row r="289" spans="1:26" ht="20.25" x14ac:dyDescent="0.25">
      <c r="A289" s="118"/>
      <c r="B289" s="206">
        <v>2021</v>
      </c>
      <c r="C289" s="190">
        <f>VLOOKUP($E$8,INGLES!$A$10:$AU$173,39,0)</f>
        <v>50</v>
      </c>
      <c r="D289" s="1088">
        <f>VLOOKUP($E$9,INGLES!$A$10:$AU$173,39,0)</f>
        <v>52</v>
      </c>
      <c r="E289" s="1088"/>
      <c r="F289" s="190">
        <f>VLOOKUP($E$10,INGLES!$A$10:$AU$173,39,0)</f>
        <v>0</v>
      </c>
      <c r="G289" s="98"/>
      <c r="H289" s="1114"/>
      <c r="I289" s="1091"/>
      <c r="J289" s="306" t="str">
        <f>$E$9</f>
        <v>SOACHA</v>
      </c>
      <c r="K289" s="227">
        <f>VLOOKUP($E$9,INGLES!$A$10:$AL$173,13,0)</f>
        <v>0.38</v>
      </c>
      <c r="L289" s="193">
        <f>VLOOKUP($E$9,INGLES!$A$10:$AL$173,14,0)</f>
        <v>0.36</v>
      </c>
      <c r="M289" s="194">
        <f>VLOOKUP($E$9,INGLES!$A$10:$AL$173,15,0)</f>
        <v>0.2</v>
      </c>
      <c r="N289" s="195">
        <f>VLOOKUP($E$9,INGLES!$A$10:$AL$173,16,0)</f>
        <v>0.05</v>
      </c>
      <c r="O289" s="196">
        <f>VLOOKUP($E$9,INGLES!$A$10:$AL$173,17,0)</f>
        <v>0</v>
      </c>
      <c r="P289" s="108">
        <f t="shared" si="11"/>
        <v>0.74</v>
      </c>
      <c r="Q289" s="98"/>
      <c r="R289" s="98"/>
      <c r="S289" s="98"/>
      <c r="T289" s="98"/>
      <c r="U289" s="98"/>
      <c r="V289" s="98"/>
      <c r="W289" s="98"/>
      <c r="X289" s="98"/>
      <c r="Y289" s="98"/>
      <c r="Z289" s="98"/>
    </row>
    <row r="290" spans="1:26" ht="20.25" x14ac:dyDescent="0.25">
      <c r="A290" s="118"/>
      <c r="B290" s="206">
        <v>2022</v>
      </c>
      <c r="C290" s="190">
        <f>VLOOKUP($E$8,INGLES!$A$10:$BD$173,48,0)</f>
        <v>51</v>
      </c>
      <c r="D290" s="1088">
        <f>VLOOKUP($E$9,INGLES!$A$10:$BD$173,48,0)</f>
        <v>53</v>
      </c>
      <c r="E290" s="1088"/>
      <c r="F290" s="190">
        <f>VLOOKUP($E$10,INGLES!$A$10:$BD$173,48,0)</f>
        <v>0</v>
      </c>
      <c r="G290" s="98"/>
      <c r="H290" s="1114"/>
      <c r="I290" s="1092"/>
      <c r="J290" s="306" t="str">
        <f>$E$10</f>
        <v>LICEO TALENTOS</v>
      </c>
      <c r="K290" s="227">
        <f>VLOOKUP($E$10,INGLES!$A$10:$AL$173,13,0)</f>
        <v>0</v>
      </c>
      <c r="L290" s="193">
        <f>VLOOKUP($E$10,INGLES!$A$10:$AL$173,14,0)</f>
        <v>0</v>
      </c>
      <c r="M290" s="194">
        <f>VLOOKUP($E$10,INGLES!$A$10:$AL$173,15,0)</f>
        <v>0</v>
      </c>
      <c r="N290" s="195">
        <f>VLOOKUP($E$10,INGLES!$A$10:$AL$173,16,0)</f>
        <v>0</v>
      </c>
      <c r="O290" s="196">
        <f>VLOOKUP($E$10,INGLES!$A$10:$AL$173,17,0)</f>
        <v>0</v>
      </c>
      <c r="P290" s="108">
        <f t="shared" si="11"/>
        <v>0</v>
      </c>
      <c r="Q290" s="98"/>
      <c r="R290" s="98"/>
      <c r="S290" s="98"/>
      <c r="T290" s="98"/>
      <c r="U290" s="98"/>
      <c r="V290" s="98"/>
      <c r="W290" s="98"/>
      <c r="X290" s="98"/>
      <c r="Y290" s="98"/>
      <c r="Z290" s="98"/>
    </row>
    <row r="291" spans="1:26" ht="20.25" x14ac:dyDescent="0.25">
      <c r="A291" s="118"/>
      <c r="B291" s="206">
        <v>2023</v>
      </c>
      <c r="C291" s="190">
        <f>VLOOKUP($E$8,INGLES!$A$10:$BM$173,57,0)</f>
        <v>52</v>
      </c>
      <c r="D291" s="1088">
        <f>VLOOKUP($E$9,INGLES!$A$10:$BM$173,57,0)</f>
        <v>53</v>
      </c>
      <c r="E291" s="1088"/>
      <c r="F291" s="190">
        <f>VLOOKUP($E$10,INGLES!$A$10:$BM$173,57,0)</f>
        <v>0</v>
      </c>
      <c r="G291" s="98"/>
      <c r="H291" s="1114"/>
      <c r="I291" s="1090">
        <v>2018</v>
      </c>
      <c r="J291" s="306" t="str">
        <f>$E$8</f>
        <v>COLOMBIA</v>
      </c>
      <c r="K291" s="227">
        <f>VLOOKUP($E$8,INGLES!$A$10:$AL$173,20,0)</f>
        <v>0.37</v>
      </c>
      <c r="L291" s="193">
        <f>VLOOKUP($E$8,INGLES!$A$10:$AL$173,21,0)</f>
        <v>0.34</v>
      </c>
      <c r="M291" s="194">
        <f>VLOOKUP($E$8,INGLES!$A$10:$AL$173,22,0)</f>
        <v>0.19</v>
      </c>
      <c r="N291" s="195">
        <f>VLOOKUP($E$8,INGLES!$A$10:$AL$173,23,0)</f>
        <v>0.08</v>
      </c>
      <c r="O291" s="196">
        <f>VLOOKUP($E$8,INGLES!$A$10:$AL$173,24,0)</f>
        <v>0.02</v>
      </c>
      <c r="P291" s="108">
        <f t="shared" si="11"/>
        <v>0.71</v>
      </c>
      <c r="Q291" s="98"/>
      <c r="R291" s="98"/>
      <c r="S291" s="98"/>
      <c r="T291" s="98"/>
      <c r="U291" s="98"/>
      <c r="V291" s="98"/>
      <c r="W291" s="98"/>
      <c r="X291" s="98"/>
      <c r="Y291" s="98"/>
      <c r="Z291" s="98"/>
    </row>
    <row r="292" spans="1:26" ht="20.25" x14ac:dyDescent="0.25">
      <c r="A292" s="118"/>
      <c r="B292" s="206">
        <v>2024</v>
      </c>
      <c r="C292" s="190">
        <f>VLOOKUP($E$8,INGLES!$A$10:$BV$173,66,0)</f>
        <v>52</v>
      </c>
      <c r="D292" s="1088">
        <f>VLOOKUP($E$9,INGLES!$A$10:$BV$173,66,0)</f>
        <v>54</v>
      </c>
      <c r="E292" s="1088"/>
      <c r="F292" s="190">
        <f>VLOOKUP($E$10,INGLES!$A$10:$BV$173,66,0)</f>
        <v>56</v>
      </c>
      <c r="G292" s="98"/>
      <c r="H292" s="1114"/>
      <c r="I292" s="1091"/>
      <c r="J292" s="306" t="str">
        <f>$E$9</f>
        <v>SOACHA</v>
      </c>
      <c r="K292" s="227">
        <f>VLOOKUP($E$9,INGLES!$A$10:$AL$173,20,0)</f>
        <v>0.31</v>
      </c>
      <c r="L292" s="193">
        <f>VLOOKUP($E$9,INGLES!$A$10:$AL$173,21,0)</f>
        <v>0.42</v>
      </c>
      <c r="M292" s="194">
        <f>VLOOKUP($E$9,INGLES!$A$10:$AL$173,22,0)</f>
        <v>0.21</v>
      </c>
      <c r="N292" s="195">
        <f>VLOOKUP($E$9,INGLES!$A$10:$AL$173,23,0)</f>
        <v>0.06</v>
      </c>
      <c r="O292" s="196">
        <f>VLOOKUP($E$9,INGLES!$A$10:$AL$173,24,0)</f>
        <v>0.01</v>
      </c>
      <c r="P292" s="108">
        <f t="shared" si="11"/>
        <v>0.73</v>
      </c>
      <c r="Q292" s="98"/>
      <c r="R292" s="98"/>
      <c r="S292" s="98"/>
      <c r="T292" s="98"/>
      <c r="U292" s="98"/>
      <c r="V292" s="98"/>
      <c r="W292" s="98"/>
      <c r="X292" s="98"/>
      <c r="Y292" s="98"/>
      <c r="Z292" s="98"/>
    </row>
    <row r="293" spans="1:26" ht="20.25" x14ac:dyDescent="0.25">
      <c r="A293" s="118"/>
      <c r="B293" s="206">
        <v>2025</v>
      </c>
      <c r="C293" s="961">
        <f>VLOOKUP($E$8,INGLES!$A$10:$CE$173,75,0)</f>
        <v>53</v>
      </c>
      <c r="D293" s="1088">
        <f>VLOOKUP($E$9,INGLES!$A$10:$CE$173,75,0)</f>
        <v>55</v>
      </c>
      <c r="E293" s="1088"/>
      <c r="F293" s="961">
        <f>VLOOKUP($E$10,INGLES!$A$10:$CE$173,75,0)</f>
        <v>51</v>
      </c>
      <c r="G293" s="98"/>
      <c r="H293" s="1114"/>
      <c r="I293" s="1092"/>
      <c r="J293" s="306" t="str">
        <f>$E$10</f>
        <v>LICEO TALENTOS</v>
      </c>
      <c r="K293" s="227">
        <f>VLOOKUP($E$10,INGLES!$A$10:$AL$173,20,0)</f>
        <v>0</v>
      </c>
      <c r="L293" s="193">
        <f>VLOOKUP($E$10,INGLES!$A$10:$AL$173,21,0)</f>
        <v>0</v>
      </c>
      <c r="M293" s="194">
        <f>VLOOKUP($E$10,INGLES!$A$10:$AL$173,22,0)</f>
        <v>0</v>
      </c>
      <c r="N293" s="195">
        <f>VLOOKUP($E$10,INGLES!$A$10:$AL$173,23,0)</f>
        <v>0</v>
      </c>
      <c r="O293" s="196">
        <f>VLOOKUP($E$10,INGLES!$A$10:$AL$173,24,0)</f>
        <v>0</v>
      </c>
      <c r="P293" s="108">
        <f t="shared" si="11"/>
        <v>0</v>
      </c>
      <c r="Q293" s="98"/>
      <c r="R293" s="98"/>
      <c r="S293" s="98"/>
      <c r="T293" s="98"/>
      <c r="U293" s="98"/>
      <c r="V293" s="98"/>
      <c r="W293" s="98"/>
      <c r="X293" s="98"/>
      <c r="Y293" s="98"/>
      <c r="Z293" s="98"/>
    </row>
    <row r="294" spans="1:26" ht="20.25" x14ac:dyDescent="0.25">
      <c r="A294" s="118"/>
      <c r="B294" s="223"/>
      <c r="C294" s="223"/>
      <c r="D294" s="223"/>
      <c r="E294" s="223"/>
      <c r="F294" s="98"/>
      <c r="G294" s="98"/>
      <c r="H294" s="1114"/>
      <c r="I294" s="1090">
        <v>2019</v>
      </c>
      <c r="J294" s="306" t="str">
        <f>$E$8</f>
        <v>COLOMBIA</v>
      </c>
      <c r="K294" s="227">
        <f>VLOOKUP($E$8,INGLES!$A$10:$AL$173,27,0)</f>
        <v>0.44</v>
      </c>
      <c r="L294" s="193">
        <f>VLOOKUP($E$8,INGLES!$A$10:$AL$173,28,0)</f>
        <v>0.3</v>
      </c>
      <c r="M294" s="194">
        <f>VLOOKUP($E$8,INGLES!$A$10:$AL$173,29,0)</f>
        <v>0.17</v>
      </c>
      <c r="N294" s="195">
        <f>VLOOKUP($E$8,INGLES!$A$10:$AL$173,30,0)</f>
        <v>7.0000000000000007E-2</v>
      </c>
      <c r="O294" s="196">
        <f>VLOOKUP($E$8,INGLES!$A$10:$AL$173,31,0)</f>
        <v>0.02</v>
      </c>
      <c r="P294" s="108">
        <f t="shared" si="11"/>
        <v>0.74</v>
      </c>
      <c r="Q294" s="98"/>
      <c r="R294" s="98"/>
      <c r="S294" s="98"/>
      <c r="T294" s="98"/>
      <c r="U294" s="98"/>
      <c r="V294" s="98"/>
      <c r="W294" s="98"/>
      <c r="X294" s="98"/>
      <c r="Y294" s="98"/>
      <c r="Z294" s="98"/>
    </row>
    <row r="295" spans="1:26" ht="20.25" x14ac:dyDescent="0.25">
      <c r="A295" s="118"/>
      <c r="B295" s="223"/>
      <c r="C295" s="223"/>
      <c r="D295" s="223"/>
      <c r="E295" s="223"/>
      <c r="F295" s="98"/>
      <c r="G295" s="98"/>
      <c r="H295" s="1114"/>
      <c r="I295" s="1091"/>
      <c r="J295" s="306" t="str">
        <f>$E$9</f>
        <v>SOACHA</v>
      </c>
      <c r="K295" s="227">
        <f>VLOOKUP($E$9,INGLES!$A$10:$AL$173,27,0)</f>
        <v>0.35</v>
      </c>
      <c r="L295" s="193">
        <f>VLOOKUP($E$9,INGLES!$A$10:$AL$173,28,0)</f>
        <v>0.39</v>
      </c>
      <c r="M295" s="194">
        <f>VLOOKUP($E$9,INGLES!$A$10:$AL$173,29,0)</f>
        <v>0.2</v>
      </c>
      <c r="N295" s="195">
        <f>VLOOKUP($E$9,INGLES!$A$10:$AL$173,30,0)</f>
        <v>0.06</v>
      </c>
      <c r="O295" s="196">
        <f>VLOOKUP($E$9,INGLES!$A$10:$AL$173,31,0)</f>
        <v>0</v>
      </c>
      <c r="P295" s="108">
        <f t="shared" si="11"/>
        <v>0.74</v>
      </c>
      <c r="Q295" s="98"/>
      <c r="R295" s="98"/>
      <c r="S295" s="98"/>
      <c r="T295" s="98"/>
      <c r="U295" s="98"/>
      <c r="V295" s="98"/>
      <c r="W295" s="98"/>
      <c r="X295" s="98"/>
      <c r="Y295" s="98"/>
      <c r="Z295" s="98"/>
    </row>
    <row r="296" spans="1:26" ht="20.25" x14ac:dyDescent="0.25">
      <c r="A296" s="118"/>
      <c r="B296" s="223"/>
      <c r="C296" s="223"/>
      <c r="D296" s="223"/>
      <c r="E296" s="223"/>
      <c r="F296" s="98"/>
      <c r="G296" s="98"/>
      <c r="H296" s="1114"/>
      <c r="I296" s="1092"/>
      <c r="J296" s="306" t="str">
        <f>$E$10</f>
        <v>LICEO TALENTOS</v>
      </c>
      <c r="K296" s="227">
        <f>VLOOKUP($E$10,INGLES!$A$10:$AL$173,27,0)</f>
        <v>0</v>
      </c>
      <c r="L296" s="193">
        <f>VLOOKUP($E$10,INGLES!$A$10:$AL$173,28,0)</f>
        <v>0</v>
      </c>
      <c r="M296" s="194">
        <f>VLOOKUP($E$10,INGLES!$A$10:$AL$173,29,0)</f>
        <v>0</v>
      </c>
      <c r="N296" s="195">
        <f>VLOOKUP($E$10,INGLES!$A$10:$AL$173,30,0)</f>
        <v>0</v>
      </c>
      <c r="O296" s="196">
        <f>VLOOKUP($E$10,INGLES!$A$10:$AL$173,31,0)</f>
        <v>0</v>
      </c>
      <c r="P296" s="108">
        <f t="shared" si="11"/>
        <v>0</v>
      </c>
      <c r="Q296" s="98"/>
      <c r="R296" s="98"/>
      <c r="S296" s="98"/>
      <c r="T296" s="98"/>
      <c r="U296" s="98"/>
      <c r="V296" s="98"/>
      <c r="W296" s="98"/>
      <c r="X296" s="98"/>
      <c r="Y296" s="98"/>
      <c r="Z296" s="98"/>
    </row>
    <row r="297" spans="1:26" ht="20.25" x14ac:dyDescent="0.25">
      <c r="A297" s="118"/>
      <c r="B297" s="223"/>
      <c r="C297" s="223"/>
      <c r="D297" s="223"/>
      <c r="E297" s="223"/>
      <c r="F297" s="98"/>
      <c r="G297" s="98"/>
      <c r="H297" s="1114"/>
      <c r="I297" s="1090">
        <v>2020</v>
      </c>
      <c r="J297" s="306" t="str">
        <f>$E$8</f>
        <v>COLOMBIA</v>
      </c>
      <c r="K297" s="227">
        <f>VLOOKUP($E$8,INGLES!$A$10:$AL$173,34,0)</f>
        <v>0.56999999999999995</v>
      </c>
      <c r="L297" s="193">
        <f>VLOOKUP($E$8,INGLES!$A$10:$AL$173,35,0)</f>
        <v>0.27</v>
      </c>
      <c r="M297" s="194">
        <f>VLOOKUP($E$8,INGLES!$A$10:$AL$173,36,0)</f>
        <v>0.09</v>
      </c>
      <c r="N297" s="195">
        <f>VLOOKUP($E$8,INGLES!$A$10:$AL$173,37,0)</f>
        <v>0.06</v>
      </c>
      <c r="O297" s="196">
        <f>VLOOKUP($E$8,INGLES!$A$10:$AL$173,38,0)</f>
        <v>0.01</v>
      </c>
      <c r="P297" s="108">
        <f t="shared" si="11"/>
        <v>0.84</v>
      </c>
      <c r="Q297" s="98"/>
      <c r="R297" s="98"/>
      <c r="S297" s="98"/>
      <c r="T297" s="98"/>
      <c r="U297" s="98"/>
      <c r="V297" s="98"/>
      <c r="W297" s="98"/>
      <c r="X297" s="98"/>
      <c r="Y297" s="98"/>
      <c r="Z297" s="98"/>
    </row>
    <row r="298" spans="1:26" ht="20.25" x14ac:dyDescent="0.25">
      <c r="A298" s="118"/>
      <c r="B298" s="223"/>
      <c r="C298" s="223"/>
      <c r="D298" s="223"/>
      <c r="E298" s="223"/>
      <c r="F298" s="98"/>
      <c r="G298" s="98"/>
      <c r="H298" s="1114"/>
      <c r="I298" s="1091"/>
      <c r="J298" s="306" t="str">
        <f>$E$9</f>
        <v>SOACHA</v>
      </c>
      <c r="K298" s="227">
        <f>VLOOKUP($E$9,INGLES!$A$10:$AL$173,34,0)</f>
        <v>0.51</v>
      </c>
      <c r="L298" s="193">
        <f>VLOOKUP($E$9,INGLES!$A$10:$AL$173,35,0)</f>
        <v>0.34</v>
      </c>
      <c r="M298" s="194">
        <f>VLOOKUP($E$9,INGLES!$A$10:$AL$173,36,0)</f>
        <v>0.1</v>
      </c>
      <c r="N298" s="195">
        <f>VLOOKUP($E$9,INGLES!$A$10:$AL$173,37,0)</f>
        <v>0.04</v>
      </c>
      <c r="O298" s="196">
        <f>VLOOKUP($E$9,INGLES!$A$10:$AL$173,38,0)</f>
        <v>0</v>
      </c>
      <c r="P298" s="108">
        <f t="shared" si="11"/>
        <v>0.85000000000000009</v>
      </c>
      <c r="Q298" s="98"/>
      <c r="R298" s="98"/>
      <c r="S298" s="98"/>
      <c r="T298" s="98"/>
      <c r="U298" s="98"/>
      <c r="V298" s="98"/>
      <c r="W298" s="98"/>
      <c r="X298" s="98"/>
      <c r="Y298" s="98"/>
      <c r="Z298" s="98"/>
    </row>
    <row r="299" spans="1:26" ht="20.25" x14ac:dyDescent="0.25">
      <c r="A299" s="118"/>
      <c r="B299" s="223"/>
      <c r="C299" s="223"/>
      <c r="D299" s="223"/>
      <c r="E299" s="223"/>
      <c r="F299" s="98"/>
      <c r="G299" s="98"/>
      <c r="H299" s="1114"/>
      <c r="I299" s="1092"/>
      <c r="J299" s="306" t="str">
        <f>$E$10</f>
        <v>LICEO TALENTOS</v>
      </c>
      <c r="K299" s="227">
        <f>VLOOKUP($E$10,INGLES!$A$10:$AL$173,34,0)</f>
        <v>0</v>
      </c>
      <c r="L299" s="193">
        <f>VLOOKUP($E$10,INGLES!$A$10:$AL$173,35,0)</f>
        <v>0</v>
      </c>
      <c r="M299" s="194">
        <f>VLOOKUP($E$10,INGLES!$A$10:$AL$173,36,0)</f>
        <v>0</v>
      </c>
      <c r="N299" s="195">
        <f>VLOOKUP($E$10,INGLES!$A$10:$AL$173,37,0)</f>
        <v>0</v>
      </c>
      <c r="O299" s="196">
        <f>VLOOKUP($E$10,INGLES!$A$10:$AL$173,38,0)</f>
        <v>0</v>
      </c>
      <c r="P299" s="108">
        <f t="shared" si="11"/>
        <v>0</v>
      </c>
      <c r="Q299" s="98"/>
      <c r="R299" s="98"/>
      <c r="S299" s="98"/>
      <c r="T299" s="98"/>
      <c r="U299" s="98"/>
      <c r="V299" s="98"/>
      <c r="W299" s="98"/>
      <c r="X299" s="98"/>
      <c r="Y299" s="98"/>
      <c r="Z299" s="98"/>
    </row>
    <row r="300" spans="1:26" ht="20.25" x14ac:dyDescent="0.25">
      <c r="A300" s="118"/>
      <c r="B300" s="223"/>
      <c r="C300" s="223"/>
      <c r="D300" s="223"/>
      <c r="E300" s="223"/>
      <c r="F300" s="98"/>
      <c r="G300" s="98"/>
      <c r="H300" s="1114"/>
      <c r="I300" s="1090">
        <v>2021</v>
      </c>
      <c r="J300" s="306" t="str">
        <f>$E$8</f>
        <v>COLOMBIA</v>
      </c>
      <c r="K300" s="227">
        <f>VLOOKUP($E$8,INGLES!$A$10:$AU$173,43,0)</f>
        <v>0.47</v>
      </c>
      <c r="L300" s="193">
        <f>VLOOKUP($E$8,INGLES!$A$10:$AU$173,44,0)</f>
        <v>0.28000000000000003</v>
      </c>
      <c r="M300" s="194">
        <f>VLOOKUP($E$8,INGLES!$A$10:$AUL$173,45,0)</f>
        <v>0.15</v>
      </c>
      <c r="N300" s="195">
        <f>VLOOKUP($E$8,INGLES!$A$10:$AU$173,46,0)</f>
        <v>0.08</v>
      </c>
      <c r="O300" s="196">
        <f>VLOOKUP($E$8,INGLES!$A$10:$AU$173,47,0)</f>
        <v>0.02</v>
      </c>
      <c r="P300" s="108">
        <f t="shared" si="11"/>
        <v>0.75</v>
      </c>
      <c r="Q300" s="98"/>
      <c r="R300" s="98"/>
      <c r="S300" s="98"/>
      <c r="T300" s="98"/>
      <c r="U300" s="98"/>
      <c r="V300" s="98"/>
      <c r="W300" s="98"/>
      <c r="X300" s="98"/>
      <c r="Y300" s="98"/>
      <c r="Z300" s="98"/>
    </row>
    <row r="301" spans="1:26" ht="20.25" x14ac:dyDescent="0.25">
      <c r="A301" s="118"/>
      <c r="B301" s="223"/>
      <c r="C301" s="223"/>
      <c r="D301" s="223"/>
      <c r="E301" s="223"/>
      <c r="F301" s="98"/>
      <c r="G301" s="98"/>
      <c r="H301" s="1114"/>
      <c r="I301" s="1091"/>
      <c r="J301" s="306" t="str">
        <f>$E$9</f>
        <v>SOACHA</v>
      </c>
      <c r="K301" s="227">
        <f>VLOOKUP($E$9,INGLES!$A$10:$AU$173,43,0)</f>
        <v>0.35</v>
      </c>
      <c r="L301" s="193">
        <f>VLOOKUP($E$9,INGLES!$A$10:$AU$173,44,0)</f>
        <v>0.37</v>
      </c>
      <c r="M301" s="194">
        <f>VLOOKUP($E$9,INGLES!$A$10:$AUL$173,45,0)</f>
        <v>0.2</v>
      </c>
      <c r="N301" s="195">
        <f>VLOOKUP($E$9,INGLES!$A$10:$AU$173,46,0)</f>
        <v>7.0000000000000007E-2</v>
      </c>
      <c r="O301" s="196">
        <f>VLOOKUP($E$9,INGLES!$A$10:$AU$173,47,0)</f>
        <v>0.01</v>
      </c>
      <c r="P301" s="108">
        <f t="shared" si="11"/>
        <v>0.72</v>
      </c>
      <c r="Q301" s="98"/>
      <c r="R301" s="98"/>
      <c r="S301" s="98"/>
      <c r="T301" s="98"/>
      <c r="U301" s="98"/>
      <c r="V301" s="98"/>
      <c r="W301" s="98"/>
      <c r="X301" s="98"/>
      <c r="Y301" s="98"/>
      <c r="Z301" s="98"/>
    </row>
    <row r="302" spans="1:26" ht="20.25" x14ac:dyDescent="0.25">
      <c r="A302" s="118"/>
      <c r="B302" s="223"/>
      <c r="C302" s="223"/>
      <c r="D302" s="223"/>
      <c r="E302" s="223"/>
      <c r="F302" s="98"/>
      <c r="G302" s="98"/>
      <c r="H302" s="1114"/>
      <c r="I302" s="1092"/>
      <c r="J302" s="306" t="str">
        <f>$E$10</f>
        <v>LICEO TALENTOS</v>
      </c>
      <c r="K302" s="227">
        <f>VLOOKUP($E$10,INGLES!$A$10:$AU$173,43,0)</f>
        <v>0</v>
      </c>
      <c r="L302" s="193">
        <f>VLOOKUP($E$10,INGLES!$A$10:$AU$173,44,0)</f>
        <v>0</v>
      </c>
      <c r="M302" s="194">
        <f>VLOOKUP($E$10,INGLES!$A$10:$AUL$173,45,0)</f>
        <v>0</v>
      </c>
      <c r="N302" s="195">
        <f>VLOOKUP($E$10,INGLES!$A$10:$AU$173,46,0)</f>
        <v>0</v>
      </c>
      <c r="O302" s="196">
        <f>VLOOKUP($E$10,INGLES!$A$10:$AU$173,47,0)</f>
        <v>0</v>
      </c>
      <c r="P302" s="108">
        <f t="shared" si="11"/>
        <v>0</v>
      </c>
      <c r="Q302" s="98"/>
      <c r="R302" s="98"/>
      <c r="S302" s="98"/>
      <c r="T302" s="98"/>
      <c r="U302" s="98"/>
      <c r="V302" s="98"/>
      <c r="W302" s="98"/>
      <c r="X302" s="98"/>
      <c r="Y302" s="98"/>
      <c r="Z302" s="98"/>
    </row>
    <row r="303" spans="1:26" ht="20.25" x14ac:dyDescent="0.25">
      <c r="A303" s="118"/>
      <c r="B303" s="223"/>
      <c r="C303" s="223"/>
      <c r="D303" s="223"/>
      <c r="E303" s="223"/>
      <c r="F303" s="98"/>
      <c r="G303" s="98"/>
      <c r="H303" s="188"/>
      <c r="I303" s="1090">
        <v>2022</v>
      </c>
      <c r="J303" s="306" t="str">
        <f>$E$8</f>
        <v>COLOMBIA</v>
      </c>
      <c r="K303" s="227">
        <f>VLOOKUP($E$8,INGLES!$A$10:$BD$173,52,0)</f>
        <v>0.44</v>
      </c>
      <c r="L303" s="193">
        <f>VLOOKUP($E$8,INGLES!$A$10:$BD$173,53,0)</f>
        <v>0.28000000000000003</v>
      </c>
      <c r="M303" s="194">
        <f>VLOOKUP($E$8,INGLES!$A$10:$BD$173,54,0)</f>
        <v>0.17</v>
      </c>
      <c r="N303" s="195">
        <f>VLOOKUP($E$8,INGLES!$A$10:$BD$173,55,0)</f>
        <v>0.09</v>
      </c>
      <c r="O303" s="196">
        <f>VLOOKUP($E$8,INGLES!$A$10:$BD$173,56,0)</f>
        <v>0.02</v>
      </c>
      <c r="P303" s="108">
        <f t="shared" ref="P303:P311" si="12">K303+L303</f>
        <v>0.72</v>
      </c>
      <c r="Q303" s="98"/>
      <c r="R303" s="98"/>
      <c r="S303" s="98"/>
      <c r="T303" s="98"/>
      <c r="U303" s="98"/>
      <c r="V303" s="98"/>
      <c r="W303" s="98"/>
      <c r="X303" s="98"/>
      <c r="Y303" s="98"/>
      <c r="Z303" s="98"/>
    </row>
    <row r="304" spans="1:26" ht="20.25" x14ac:dyDescent="0.25">
      <c r="A304" s="118"/>
      <c r="B304" s="123"/>
      <c r="C304" s="217"/>
      <c r="D304" s="98"/>
      <c r="E304" s="98"/>
      <c r="F304" s="98"/>
      <c r="G304" s="98"/>
      <c r="H304" s="98"/>
      <c r="I304" s="1091"/>
      <c r="J304" s="306" t="str">
        <f>$E$9</f>
        <v>SOACHA</v>
      </c>
      <c r="K304" s="227">
        <f>VLOOKUP($E$9,INGLES!$A$10:$BD$173,52,0)</f>
        <v>0.3</v>
      </c>
      <c r="L304" s="193">
        <f>VLOOKUP($E$9,INGLES!$A$10:$BD$173,53,0)</f>
        <v>0.36</v>
      </c>
      <c r="M304" s="194">
        <f>VLOOKUP($E$9,INGLES!$A$10:$BD$173,54,0)</f>
        <v>0.24</v>
      </c>
      <c r="N304" s="195">
        <f>VLOOKUP($E$9,INGLES!$A$10:$BD$173,55,0)</f>
        <v>0.09</v>
      </c>
      <c r="O304" s="196">
        <f>VLOOKUP($E$9,INGLES!$A$10:$BD$173,56,0)</f>
        <v>0.01</v>
      </c>
      <c r="P304" s="108">
        <f t="shared" si="12"/>
        <v>0.65999999999999992</v>
      </c>
      <c r="Q304" s="98"/>
      <c r="R304" s="98"/>
      <c r="S304" s="98"/>
      <c r="T304" s="98"/>
      <c r="U304" s="98"/>
      <c r="V304" s="98"/>
      <c r="W304" s="98"/>
      <c r="X304" s="98"/>
      <c r="Y304" s="98"/>
      <c r="Z304" s="98"/>
    </row>
    <row r="305" spans="1:26" ht="20.25" x14ac:dyDescent="0.25">
      <c r="A305" s="118"/>
      <c r="B305" s="123"/>
      <c r="C305" s="217"/>
      <c r="D305" s="98"/>
      <c r="E305" s="98"/>
      <c r="F305" s="98"/>
      <c r="G305" s="98"/>
      <c r="H305" s="98"/>
      <c r="I305" s="1092"/>
      <c r="J305" s="306" t="str">
        <f>$E$10</f>
        <v>LICEO TALENTOS</v>
      </c>
      <c r="K305" s="227">
        <f>VLOOKUP($E$10,INGLES!$A$10:$BD$173,52,0)</f>
        <v>0</v>
      </c>
      <c r="L305" s="193">
        <f>VLOOKUP($E$10,INGLES!$A$10:$BD$173,53,0)</f>
        <v>0</v>
      </c>
      <c r="M305" s="194">
        <f>VLOOKUP($E$10,INGLES!$A$10:$BD$173,54,0)</f>
        <v>0</v>
      </c>
      <c r="N305" s="195">
        <f>VLOOKUP($E$10,INGLES!$A$10:$BD$173,55,0)</f>
        <v>0</v>
      </c>
      <c r="O305" s="196">
        <f>VLOOKUP($E$10,INGLES!$A$10:$BD$173,56,0)</f>
        <v>0</v>
      </c>
      <c r="P305" s="108">
        <f t="shared" si="12"/>
        <v>0</v>
      </c>
      <c r="Q305" s="98"/>
      <c r="R305" s="98"/>
      <c r="S305" s="98"/>
      <c r="T305" s="98"/>
      <c r="U305" s="98"/>
      <c r="V305" s="98"/>
      <c r="W305" s="98"/>
      <c r="X305" s="98"/>
      <c r="Y305" s="98"/>
      <c r="Z305" s="98"/>
    </row>
    <row r="306" spans="1:26" ht="20.25" x14ac:dyDescent="0.25">
      <c r="A306" s="118"/>
      <c r="B306" s="123"/>
      <c r="C306" s="217"/>
      <c r="D306" s="98"/>
      <c r="E306" s="98"/>
      <c r="F306" s="98"/>
      <c r="G306" s="98"/>
      <c r="H306" s="98"/>
      <c r="I306" s="1090">
        <v>2023</v>
      </c>
      <c r="J306" s="306" t="str">
        <f>$E$8</f>
        <v>COLOMBIA</v>
      </c>
      <c r="K306" s="227">
        <f>VLOOKUP($E$8,INGLES!$A$10:$BM$173,61,0)</f>
        <v>0.42</v>
      </c>
      <c r="L306" s="193">
        <f>VLOOKUP($E$8,INGLES!$A$10:$BM$173,62,0)</f>
        <v>0.31</v>
      </c>
      <c r="M306" s="194">
        <f>VLOOKUP($E$8,INGLES!$A$10:$BM$173,63,0)</f>
        <v>0.16</v>
      </c>
      <c r="N306" s="195">
        <f>VLOOKUP($E$8,INGLES!$A$10:$BM$173,64,0)</f>
        <v>0.09</v>
      </c>
      <c r="O306" s="196">
        <f>VLOOKUP($E$8,INGLES!$A$10:$BM$173,65,0)</f>
        <v>0.03</v>
      </c>
      <c r="P306" s="108">
        <f t="shared" si="12"/>
        <v>0.73</v>
      </c>
      <c r="Q306" s="98"/>
      <c r="R306" s="98"/>
      <c r="S306" s="98"/>
      <c r="T306" s="98"/>
      <c r="U306" s="98"/>
      <c r="V306" s="98"/>
      <c r="W306" s="98"/>
      <c r="X306" s="98"/>
      <c r="Y306" s="98"/>
      <c r="Z306" s="98"/>
    </row>
    <row r="307" spans="1:26" ht="20.25" x14ac:dyDescent="0.25">
      <c r="A307" s="118"/>
      <c r="B307" s="123"/>
      <c r="C307" s="217"/>
      <c r="D307" s="98"/>
      <c r="E307" s="98"/>
      <c r="F307" s="98"/>
      <c r="G307" s="98"/>
      <c r="H307" s="98"/>
      <c r="I307" s="1091"/>
      <c r="J307" s="306" t="str">
        <f>$E$9</f>
        <v>SOACHA</v>
      </c>
      <c r="K307" s="227">
        <f>VLOOKUP($E$9,INGLES!$A$10:$BM$173,61,0)</f>
        <v>0.31</v>
      </c>
      <c r="L307" s="193">
        <f>VLOOKUP($E$9,INGLES!$A$10:$BM$173,62,0)</f>
        <v>0.37</v>
      </c>
      <c r="M307" s="194">
        <f>VLOOKUP($E$9,INGLES!$A$10:$BM$173,63,0)</f>
        <v>0.22</v>
      </c>
      <c r="N307" s="195">
        <f>VLOOKUP($E$9,INGLES!$A$10:$BM$173,64,0)</f>
        <v>0.09</v>
      </c>
      <c r="O307" s="196">
        <f>VLOOKUP($E$9,INGLES!$A$10:$BM$173,65,0)</f>
        <v>0.01</v>
      </c>
      <c r="P307" s="108">
        <f t="shared" si="12"/>
        <v>0.67999999999999994</v>
      </c>
      <c r="Q307" s="98"/>
      <c r="R307" s="98"/>
      <c r="S307" s="98"/>
      <c r="T307" s="98"/>
      <c r="U307" s="98"/>
      <c r="V307" s="98"/>
      <c r="W307" s="98"/>
      <c r="X307" s="98"/>
      <c r="Y307" s="98"/>
      <c r="Z307" s="98"/>
    </row>
    <row r="308" spans="1:26" ht="20.25" x14ac:dyDescent="0.25">
      <c r="A308" s="118"/>
      <c r="B308" s="123"/>
      <c r="C308" s="217"/>
      <c r="D308" s="98"/>
      <c r="E308" s="98"/>
      <c r="F308" s="98"/>
      <c r="G308" s="98"/>
      <c r="H308" s="98"/>
      <c r="I308" s="1092"/>
      <c r="J308" s="306" t="str">
        <f>$E$10</f>
        <v>LICEO TALENTOS</v>
      </c>
      <c r="K308" s="227">
        <f>VLOOKUP($E$10,INGLES!$A$10:$BM$173,61,0)</f>
        <v>0</v>
      </c>
      <c r="L308" s="193">
        <f>VLOOKUP($E$10,INGLES!$A$10:$BM$173,62,0)</f>
        <v>0</v>
      </c>
      <c r="M308" s="194">
        <f>VLOOKUP($E$10,INGLES!$A$10:$BM$173,63,0)</f>
        <v>0</v>
      </c>
      <c r="N308" s="195">
        <f>VLOOKUP($E$10,INGLES!$A$10:$BM$173,64,0)</f>
        <v>0</v>
      </c>
      <c r="O308" s="196">
        <f>VLOOKUP($E$10,INGLES!$A$10:$BM$173,65,0)</f>
        <v>0</v>
      </c>
      <c r="P308" s="108">
        <f t="shared" si="12"/>
        <v>0</v>
      </c>
      <c r="Q308" s="98"/>
      <c r="R308" s="98"/>
      <c r="S308" s="98"/>
      <c r="T308" s="98"/>
      <c r="U308" s="98"/>
      <c r="V308" s="98"/>
      <c r="W308" s="98"/>
      <c r="X308" s="98"/>
      <c r="Y308" s="98"/>
      <c r="Z308" s="98"/>
    </row>
    <row r="309" spans="1:26" ht="20.25" x14ac:dyDescent="0.25">
      <c r="A309" s="118"/>
      <c r="B309" s="123"/>
      <c r="C309" s="217"/>
      <c r="D309" s="98"/>
      <c r="E309" s="98"/>
      <c r="F309" s="98"/>
      <c r="G309" s="98"/>
      <c r="H309" s="98"/>
      <c r="I309" s="1090">
        <v>2024</v>
      </c>
      <c r="J309" s="306" t="str">
        <f>$E$8</f>
        <v>COLOMBIA</v>
      </c>
      <c r="K309" s="227">
        <f>VLOOKUP($E$8,INGLES!$A$10:$BV$173,70,0)</f>
        <v>0.39</v>
      </c>
      <c r="L309" s="193">
        <f>VLOOKUP($E$8,INGLES!$A$10:$BV$173,71,0)</f>
        <v>0.3</v>
      </c>
      <c r="M309" s="194">
        <f>VLOOKUP($E$8,INGLES!$A$10:$BV$173,72,0)</f>
        <v>0.17</v>
      </c>
      <c r="N309" s="195">
        <f>VLOOKUP($E$8,INGLES!$A$10:$BV$173,73,0)</f>
        <v>0.1</v>
      </c>
      <c r="O309" s="196">
        <f>VLOOKUP($E$8,INGLES!$A$10:$BV$173,74,0)</f>
        <v>0.03</v>
      </c>
      <c r="P309" s="108">
        <f t="shared" si="12"/>
        <v>0.69</v>
      </c>
      <c r="Q309" s="98"/>
      <c r="R309" s="98"/>
      <c r="S309" s="98"/>
      <c r="T309" s="98"/>
      <c r="U309" s="98"/>
      <c r="V309" s="98"/>
      <c r="W309" s="98"/>
      <c r="X309" s="98"/>
      <c r="Y309" s="98"/>
      <c r="Z309" s="98"/>
    </row>
    <row r="310" spans="1:26" ht="20.25" x14ac:dyDescent="0.25">
      <c r="A310" s="118"/>
      <c r="B310" s="123"/>
      <c r="C310" s="217"/>
      <c r="D310" s="98"/>
      <c r="E310" s="98"/>
      <c r="F310" s="98"/>
      <c r="G310" s="98"/>
      <c r="H310" s="98"/>
      <c r="I310" s="1091"/>
      <c r="J310" s="306" t="str">
        <f>$E$9</f>
        <v>SOACHA</v>
      </c>
      <c r="K310" s="227">
        <f>VLOOKUP($E$9,INGLES!$A$10:$BV$173,70,0)</f>
        <v>0.28999999999999998</v>
      </c>
      <c r="L310" s="193">
        <f>VLOOKUP($E$9,INGLES!$A$10:$BV$173,71,0)</f>
        <v>0.36</v>
      </c>
      <c r="M310" s="194">
        <f>VLOOKUP($E$9,INGLES!$A$10:$BV$173,72,0)</f>
        <v>0.23</v>
      </c>
      <c r="N310" s="195">
        <f>VLOOKUP($E$9,INGLES!$A$10:$BV$173,73,0)</f>
        <v>0.1</v>
      </c>
      <c r="O310" s="196">
        <f>VLOOKUP($E$9,INGLES!$A$10:$BV$173,74,0)</f>
        <v>0.02</v>
      </c>
      <c r="P310" s="108">
        <f t="shared" si="12"/>
        <v>0.64999999999999991</v>
      </c>
      <c r="Q310" s="98"/>
      <c r="R310" s="98"/>
      <c r="S310" s="98"/>
      <c r="T310" s="98"/>
      <c r="U310" s="98"/>
      <c r="V310" s="98"/>
      <c r="W310" s="98"/>
      <c r="X310" s="98"/>
      <c r="Y310" s="98"/>
      <c r="Z310" s="98"/>
    </row>
    <row r="311" spans="1:26" ht="20.25" x14ac:dyDescent="0.25">
      <c r="A311" s="118"/>
      <c r="B311" s="123"/>
      <c r="C311" s="217"/>
      <c r="D311" s="98"/>
      <c r="E311" s="98"/>
      <c r="F311" s="98"/>
      <c r="G311" s="98"/>
      <c r="H311" s="98"/>
      <c r="I311" s="1092"/>
      <c r="J311" s="306" t="str">
        <f>$E$10</f>
        <v>LICEO TALENTOS</v>
      </c>
      <c r="K311" s="227">
        <f>VLOOKUP($E$10,INGLES!$A$10:$BV$173,70,0)</f>
        <v>0.19</v>
      </c>
      <c r="L311" s="193">
        <f>VLOOKUP($E$10,INGLES!$A$10:$BV$173,71,0)</f>
        <v>0.43</v>
      </c>
      <c r="M311" s="194">
        <f>VLOOKUP($E$10,INGLES!$A$10:$BV$173,72,0)</f>
        <v>0.28999999999999998</v>
      </c>
      <c r="N311" s="195">
        <f>VLOOKUP($E$10,INGLES!$A$10:$BV$173,73,0)</f>
        <v>0.05</v>
      </c>
      <c r="O311" s="196">
        <f>VLOOKUP($E$10,INGLES!$A$10:$BV$173,74,0)</f>
        <v>0.05</v>
      </c>
      <c r="P311" s="108">
        <f t="shared" si="12"/>
        <v>0.62</v>
      </c>
      <c r="Q311" s="98"/>
      <c r="R311" s="98"/>
      <c r="S311" s="98"/>
      <c r="T311" s="98"/>
      <c r="U311" s="98"/>
      <c r="V311" s="98"/>
      <c r="W311" s="98"/>
      <c r="X311" s="98"/>
      <c r="Y311" s="98"/>
      <c r="Z311" s="98"/>
    </row>
    <row r="312" spans="1:26" ht="20.25" x14ac:dyDescent="0.25">
      <c r="A312" s="118"/>
      <c r="B312" s="123"/>
      <c r="C312" s="217"/>
      <c r="D312" s="98"/>
      <c r="E312" s="98"/>
      <c r="F312" s="98"/>
      <c r="G312" s="98"/>
      <c r="H312" s="98"/>
      <c r="I312" s="1090">
        <v>2025</v>
      </c>
      <c r="J312" s="306" t="str">
        <f>$E$8</f>
        <v>COLOMBIA</v>
      </c>
      <c r="K312" s="227">
        <f>VLOOKUP($E$8,INGLES!$A$10:$CE$173,79,0)</f>
        <v>0.37</v>
      </c>
      <c r="L312" s="193">
        <f>VLOOKUP($E$8,INGLES!$A$10:$CE$173,80,0)</f>
        <v>0.28999999999999998</v>
      </c>
      <c r="M312" s="194">
        <f>VLOOKUP($E$8,INGLES!$A$10:$CE$173,81,0)</f>
        <v>0.19</v>
      </c>
      <c r="N312" s="195">
        <f>VLOOKUP($E$8,INGLES!$A$10:$CE$173,82,0)</f>
        <v>0.11</v>
      </c>
      <c r="O312" s="196">
        <f>VLOOKUP($E$8,INGLES!$A$10:$CE$173,83,0)</f>
        <v>0.03</v>
      </c>
      <c r="P312" s="108">
        <f t="shared" ref="P312:P314" si="13">K312+L312</f>
        <v>0.65999999999999992</v>
      </c>
      <c r="Q312" s="98"/>
      <c r="R312" s="98"/>
      <c r="S312" s="98"/>
      <c r="T312" s="98"/>
      <c r="U312" s="98"/>
      <c r="V312" s="98"/>
      <c r="W312" s="98"/>
      <c r="X312" s="98"/>
      <c r="Y312" s="98"/>
      <c r="Z312" s="98"/>
    </row>
    <row r="313" spans="1:26" ht="20.25" x14ac:dyDescent="0.25">
      <c r="A313" s="118"/>
      <c r="B313" s="123"/>
      <c r="C313" s="217"/>
      <c r="D313" s="98"/>
      <c r="E313" s="98"/>
      <c r="F313" s="98"/>
      <c r="G313" s="98"/>
      <c r="H313" s="98"/>
      <c r="I313" s="1091"/>
      <c r="J313" s="306" t="str">
        <f>$E$9</f>
        <v>SOACHA</v>
      </c>
      <c r="K313" s="227">
        <f>VLOOKUP($E$9,INGLES!$A$10:$CE$173,79,0)</f>
        <v>0.27</v>
      </c>
      <c r="L313" s="193">
        <f>VLOOKUP($E$9,INGLES!$A$10:$CE$173,80,0)</f>
        <v>0.34</v>
      </c>
      <c r="M313" s="194">
        <f>VLOOKUP($E$9,INGLES!$A$10:$CE$173,81,0)</f>
        <v>0.26</v>
      </c>
      <c r="N313" s="195">
        <f>VLOOKUP($E$9,INGLES!$A$10:$CE$173,82,0)</f>
        <v>0.11</v>
      </c>
      <c r="O313" s="196">
        <f>VLOOKUP($E$9,INGLES!$A$10:$CE$173,83,0)</f>
        <v>0.02</v>
      </c>
      <c r="P313" s="108">
        <f t="shared" si="13"/>
        <v>0.6100000000000001</v>
      </c>
      <c r="Q313" s="98"/>
      <c r="R313" s="98"/>
      <c r="S313" s="98"/>
      <c r="T313" s="98"/>
      <c r="U313" s="98"/>
      <c r="V313" s="98"/>
      <c r="W313" s="98"/>
      <c r="X313" s="98"/>
      <c r="Y313" s="98"/>
      <c r="Z313" s="98"/>
    </row>
    <row r="314" spans="1:26" ht="20.25" x14ac:dyDescent="0.25">
      <c r="A314" s="124"/>
      <c r="B314" s="118"/>
      <c r="C314" s="98"/>
      <c r="D314" s="98"/>
      <c r="E314" s="98"/>
      <c r="F314" s="98"/>
      <c r="G314" s="98"/>
      <c r="H314" s="98"/>
      <c r="I314" s="1092"/>
      <c r="J314" s="306" t="str">
        <f>$E$10</f>
        <v>LICEO TALENTOS</v>
      </c>
      <c r="K314" s="227">
        <f>VLOOKUP($E$10,INGLES!$A$10:$CE$173,79,0)</f>
        <v>0.47</v>
      </c>
      <c r="L314" s="193">
        <f>VLOOKUP($E$10,INGLES!$A$10:$CE$173,80,0)</f>
        <v>0.25</v>
      </c>
      <c r="M314" s="194">
        <f>VLOOKUP($E$10,INGLES!$A$10:$CE$173,81,0)</f>
        <v>0.22</v>
      </c>
      <c r="N314" s="195">
        <f>VLOOKUP($E$10,INGLES!$A$10:$CE$173,82,0)</f>
        <v>0.06</v>
      </c>
      <c r="O314" s="196">
        <f>VLOOKUP($E$10,INGLES!$A$10:$CE$173,83,0)</f>
        <v>0</v>
      </c>
      <c r="P314" s="108">
        <f t="shared" si="13"/>
        <v>0.72</v>
      </c>
      <c r="Q314" s="98"/>
      <c r="R314" s="98"/>
      <c r="S314" s="98"/>
      <c r="T314" s="98"/>
      <c r="U314" s="98"/>
      <c r="V314" s="98"/>
      <c r="W314" s="98"/>
      <c r="X314" s="98"/>
      <c r="Y314" s="98"/>
      <c r="Z314" s="98"/>
    </row>
    <row r="315" spans="1:26" x14ac:dyDescent="0.25">
      <c r="A315" s="124"/>
      <c r="B315" s="118"/>
      <c r="C315" s="98"/>
      <c r="D315" s="98"/>
      <c r="E315" s="98"/>
      <c r="F315" s="98"/>
      <c r="G315" s="98"/>
      <c r="H315" s="98"/>
      <c r="I315" s="98"/>
      <c r="J315" s="98"/>
      <c r="K315" s="98"/>
      <c r="L315" s="98"/>
      <c r="M315" s="98"/>
      <c r="N315" s="98"/>
      <c r="O315" s="98"/>
      <c r="P315" s="98"/>
      <c r="Q315" s="98"/>
      <c r="R315" s="98"/>
      <c r="S315" s="98"/>
      <c r="T315" s="98"/>
      <c r="U315" s="98"/>
      <c r="V315" s="98"/>
      <c r="W315" s="98"/>
      <c r="X315" s="98"/>
      <c r="Y315" s="98"/>
      <c r="Z315" s="98"/>
    </row>
    <row r="316" spans="1:26" x14ac:dyDescent="0.25">
      <c r="A316" s="124"/>
      <c r="B316" s="118"/>
      <c r="C316" s="98"/>
      <c r="D316" s="98"/>
      <c r="E316" s="98"/>
      <c r="F316" s="98"/>
      <c r="G316" s="98"/>
      <c r="H316" s="98"/>
      <c r="I316" s="98"/>
      <c r="J316" s="98"/>
      <c r="K316" s="98"/>
      <c r="L316" s="98"/>
      <c r="M316" s="98"/>
      <c r="N316" s="98"/>
      <c r="O316" s="98"/>
      <c r="P316" s="98"/>
      <c r="Q316" s="98"/>
      <c r="R316" s="98"/>
      <c r="S316" s="98"/>
      <c r="T316" s="98"/>
      <c r="U316" s="98"/>
      <c r="V316" s="98"/>
      <c r="W316" s="98"/>
      <c r="X316" s="98"/>
      <c r="Y316" s="98"/>
      <c r="Z316" s="98"/>
    </row>
    <row r="317" spans="1:26" x14ac:dyDescent="0.25">
      <c r="A317" s="124"/>
      <c r="B317" s="118"/>
      <c r="C317" s="98"/>
      <c r="D317" s="98"/>
      <c r="E317" s="98"/>
      <c r="F317" s="98"/>
      <c r="G317" s="98"/>
      <c r="H317" s="98"/>
      <c r="I317" s="98"/>
      <c r="J317" s="98"/>
      <c r="K317" s="98"/>
      <c r="L317" s="98"/>
      <c r="M317" s="98"/>
      <c r="N317" s="98"/>
      <c r="O317" s="98"/>
      <c r="P317" s="98"/>
      <c r="Q317" s="98"/>
      <c r="R317" s="98"/>
      <c r="S317" s="98"/>
      <c r="T317" s="98"/>
      <c r="U317" s="98"/>
      <c r="V317" s="98"/>
      <c r="W317" s="98"/>
      <c r="X317" s="98"/>
      <c r="Y317" s="98"/>
      <c r="Z317" s="98"/>
    </row>
    <row r="318" spans="1:26" x14ac:dyDescent="0.25">
      <c r="A318" s="124"/>
      <c r="B318" s="118"/>
      <c r="C318" s="98"/>
      <c r="D318" s="98"/>
      <c r="E318" s="98"/>
      <c r="F318" s="98"/>
      <c r="G318" s="98"/>
      <c r="H318" s="98"/>
      <c r="I318" s="98"/>
      <c r="J318" s="98"/>
      <c r="K318" s="98"/>
      <c r="L318" s="98"/>
      <c r="M318" s="98"/>
      <c r="N318" s="98"/>
      <c r="O318" s="98"/>
      <c r="P318" s="98"/>
      <c r="Q318" s="98"/>
      <c r="R318" s="98"/>
      <c r="S318" s="98"/>
      <c r="T318" s="98"/>
      <c r="U318" s="98"/>
      <c r="V318" s="98"/>
      <c r="W318" s="98"/>
      <c r="X318" s="98"/>
      <c r="Y318" s="98"/>
      <c r="Z318" s="98"/>
    </row>
    <row r="319" spans="1:26" x14ac:dyDescent="0.25">
      <c r="A319" s="124"/>
      <c r="B319" s="118"/>
      <c r="C319" s="98"/>
      <c r="D319" s="98"/>
      <c r="E319" s="98"/>
      <c r="F319" s="98"/>
      <c r="G319" s="98"/>
      <c r="H319" s="98"/>
      <c r="I319" s="98"/>
      <c r="J319" s="98"/>
      <c r="K319" s="98"/>
      <c r="L319" s="98"/>
      <c r="M319" s="98"/>
      <c r="N319" s="98"/>
      <c r="O319" s="98"/>
      <c r="P319" s="98"/>
      <c r="Q319" s="98"/>
      <c r="R319" s="98"/>
      <c r="S319" s="98"/>
      <c r="T319" s="98"/>
      <c r="U319" s="98"/>
      <c r="V319" s="98"/>
      <c r="W319" s="98"/>
      <c r="X319" s="98"/>
      <c r="Y319" s="98"/>
      <c r="Z319" s="98"/>
    </row>
    <row r="320" spans="1:26" x14ac:dyDescent="0.25">
      <c r="A320" s="124"/>
      <c r="B320" s="118"/>
      <c r="C320" s="98"/>
      <c r="D320" s="98"/>
      <c r="E320" s="98"/>
      <c r="F320" s="98"/>
      <c r="G320" s="98"/>
      <c r="H320" s="98"/>
      <c r="I320" s="98"/>
      <c r="J320" s="98"/>
      <c r="K320" s="98"/>
      <c r="L320" s="98"/>
      <c r="M320" s="98"/>
      <c r="N320" s="98"/>
      <c r="O320" s="98"/>
      <c r="P320" s="98"/>
      <c r="Q320" s="98"/>
      <c r="R320" s="98"/>
      <c r="S320" s="98"/>
      <c r="T320" s="98"/>
      <c r="U320" s="98"/>
      <c r="V320" s="98"/>
      <c r="W320" s="98"/>
      <c r="X320" s="98"/>
      <c r="Y320" s="98"/>
      <c r="Z320" s="98"/>
    </row>
    <row r="321" spans="1:26" x14ac:dyDescent="0.25">
      <c r="A321" s="124"/>
      <c r="B321" s="118"/>
      <c r="C321" s="98"/>
      <c r="D321" s="98"/>
      <c r="E321" s="98"/>
      <c r="F321" s="98"/>
      <c r="G321" s="98"/>
      <c r="H321" s="98"/>
      <c r="I321" s="98"/>
      <c r="J321" s="98"/>
      <c r="K321" s="98"/>
      <c r="L321" s="98"/>
      <c r="M321" s="98"/>
      <c r="N321" s="98"/>
      <c r="O321" s="98"/>
      <c r="P321" s="98"/>
      <c r="Q321" s="98"/>
      <c r="R321" s="98"/>
      <c r="S321" s="98"/>
      <c r="T321" s="98"/>
      <c r="U321" s="98"/>
      <c r="V321" s="98"/>
      <c r="W321" s="98"/>
      <c r="X321" s="98"/>
      <c r="Y321" s="98"/>
      <c r="Z321" s="98"/>
    </row>
    <row r="322" spans="1:26" x14ac:dyDescent="0.25">
      <c r="A322" s="124"/>
      <c r="B322" s="118"/>
      <c r="C322" s="98"/>
      <c r="D322" s="98"/>
      <c r="E322" s="98"/>
      <c r="F322" s="98"/>
      <c r="G322" s="98"/>
      <c r="H322" s="98"/>
      <c r="I322" s="98"/>
      <c r="J322" s="98"/>
      <c r="K322" s="98"/>
      <c r="L322" s="98"/>
      <c r="M322" s="98"/>
      <c r="N322" s="98"/>
      <c r="O322" s="98"/>
      <c r="P322" s="98"/>
      <c r="Q322" s="98"/>
      <c r="R322" s="98"/>
      <c r="S322" s="98"/>
      <c r="T322" s="98"/>
      <c r="U322" s="98"/>
      <c r="V322" s="98"/>
      <c r="W322" s="98"/>
      <c r="X322" s="98"/>
      <c r="Y322" s="98"/>
      <c r="Z322" s="98"/>
    </row>
    <row r="323" spans="1:26" x14ac:dyDescent="0.25">
      <c r="A323" s="124"/>
      <c r="B323" s="118"/>
      <c r="C323" s="98"/>
      <c r="D323" s="98"/>
      <c r="E323" s="98"/>
      <c r="F323" s="98"/>
      <c r="G323" s="98"/>
      <c r="H323" s="98"/>
      <c r="I323" s="98"/>
      <c r="J323" s="98"/>
      <c r="K323" s="98"/>
      <c r="L323" s="98"/>
      <c r="M323" s="98"/>
      <c r="N323" s="98"/>
      <c r="O323" s="98"/>
      <c r="P323" s="98"/>
      <c r="Q323" s="98"/>
      <c r="R323" s="98"/>
      <c r="S323" s="98"/>
      <c r="T323" s="98"/>
      <c r="U323" s="98"/>
      <c r="V323" s="98"/>
      <c r="W323" s="98"/>
      <c r="X323" s="98"/>
      <c r="Y323" s="98"/>
      <c r="Z323" s="98"/>
    </row>
    <row r="324" spans="1:26" x14ac:dyDescent="0.25">
      <c r="A324" s="124"/>
      <c r="B324" s="118"/>
      <c r="C324" s="98"/>
      <c r="D324" s="98"/>
      <c r="E324" s="98"/>
      <c r="F324" s="98"/>
      <c r="G324" s="98"/>
      <c r="H324" s="98"/>
      <c r="I324" s="98"/>
      <c r="J324" s="98"/>
      <c r="K324" s="98"/>
      <c r="L324" s="98"/>
      <c r="M324" s="98"/>
      <c r="N324" s="98"/>
      <c r="O324" s="98"/>
      <c r="P324" s="98"/>
      <c r="Q324" s="98"/>
      <c r="R324" s="98"/>
      <c r="S324" s="98"/>
      <c r="T324" s="98"/>
      <c r="U324" s="98"/>
      <c r="V324" s="98"/>
      <c r="W324" s="98"/>
      <c r="X324" s="98"/>
      <c r="Y324" s="98"/>
      <c r="Z324" s="98"/>
    </row>
    <row r="325" spans="1:26" x14ac:dyDescent="0.25">
      <c r="A325" s="124"/>
      <c r="B325" s="118"/>
      <c r="C325" s="98"/>
      <c r="D325" s="98"/>
      <c r="E325" s="98"/>
      <c r="F325" s="98"/>
      <c r="G325" s="98"/>
      <c r="H325" s="98"/>
      <c r="I325" s="98"/>
      <c r="J325" s="98"/>
      <c r="K325" s="98"/>
      <c r="L325" s="98"/>
      <c r="M325" s="98"/>
      <c r="N325" s="98"/>
      <c r="O325" s="98"/>
      <c r="P325" s="98"/>
      <c r="Q325" s="98"/>
      <c r="R325" s="98"/>
      <c r="S325" s="98"/>
      <c r="T325" s="98"/>
      <c r="U325" s="98"/>
      <c r="V325" s="98"/>
      <c r="W325" s="98"/>
      <c r="X325" s="98"/>
      <c r="Y325" s="98"/>
      <c r="Z325" s="98"/>
    </row>
    <row r="326" spans="1:26" x14ac:dyDescent="0.25">
      <c r="A326" s="124"/>
      <c r="B326" s="118"/>
      <c r="C326" s="98"/>
      <c r="D326" s="98"/>
      <c r="E326" s="98"/>
      <c r="F326" s="98"/>
      <c r="G326" s="98"/>
      <c r="H326" s="98"/>
      <c r="I326" s="98"/>
      <c r="J326" s="98"/>
      <c r="K326" s="98"/>
      <c r="L326" s="98"/>
      <c r="M326" s="98"/>
      <c r="N326" s="98"/>
      <c r="O326" s="98"/>
      <c r="P326" s="98"/>
      <c r="Q326" s="98"/>
      <c r="R326" s="98"/>
      <c r="S326" s="98"/>
      <c r="T326" s="98"/>
      <c r="U326" s="98"/>
      <c r="V326" s="98"/>
      <c r="W326" s="98"/>
      <c r="X326" s="98"/>
      <c r="Y326" s="98"/>
      <c r="Z326" s="98"/>
    </row>
    <row r="327" spans="1:26" x14ac:dyDescent="0.25">
      <c r="A327" s="124"/>
      <c r="B327" s="118"/>
      <c r="C327" s="98"/>
      <c r="D327" s="98"/>
      <c r="E327" s="98"/>
      <c r="F327" s="98"/>
      <c r="G327" s="98"/>
      <c r="H327" s="98"/>
      <c r="I327" s="98"/>
      <c r="J327" s="98"/>
      <c r="K327" s="98"/>
      <c r="L327" s="98"/>
      <c r="M327" s="98"/>
      <c r="N327" s="98"/>
      <c r="O327" s="98"/>
      <c r="P327" s="98"/>
      <c r="Q327" s="98"/>
      <c r="R327" s="98"/>
      <c r="S327" s="98"/>
      <c r="T327" s="98"/>
      <c r="U327" s="98"/>
      <c r="V327" s="98"/>
      <c r="W327" s="98"/>
      <c r="X327" s="98"/>
      <c r="Y327" s="98"/>
      <c r="Z327" s="98"/>
    </row>
    <row r="328" spans="1:26" x14ac:dyDescent="0.25">
      <c r="A328" s="124"/>
      <c r="B328" s="118"/>
      <c r="C328" s="98"/>
      <c r="D328" s="98"/>
      <c r="E328" s="98"/>
      <c r="F328" s="98"/>
      <c r="G328" s="98"/>
      <c r="H328" s="98"/>
      <c r="I328" s="98"/>
      <c r="J328" s="98"/>
      <c r="K328" s="98"/>
      <c r="L328" s="98"/>
      <c r="M328" s="98"/>
      <c r="N328" s="98"/>
      <c r="O328" s="98"/>
      <c r="P328" s="98"/>
      <c r="Q328" s="98"/>
      <c r="R328" s="98"/>
      <c r="S328" s="98"/>
      <c r="T328" s="98"/>
      <c r="U328" s="98"/>
      <c r="V328" s="98"/>
      <c r="W328" s="98"/>
      <c r="X328" s="98"/>
      <c r="Y328" s="98"/>
      <c r="Z328" s="98"/>
    </row>
    <row r="329" spans="1:26" x14ac:dyDescent="0.25">
      <c r="A329" s="124"/>
      <c r="B329" s="118"/>
      <c r="C329" s="98"/>
      <c r="D329" s="98"/>
      <c r="E329" s="98"/>
      <c r="F329" s="98"/>
      <c r="G329" s="98"/>
      <c r="H329" s="98"/>
      <c r="I329" s="98"/>
      <c r="J329" s="98"/>
      <c r="K329" s="98"/>
      <c r="L329" s="98"/>
      <c r="M329" s="98"/>
      <c r="N329" s="98"/>
      <c r="O329" s="98"/>
      <c r="P329" s="98"/>
      <c r="Q329" s="98"/>
      <c r="R329" s="98"/>
      <c r="S329" s="98"/>
      <c r="T329" s="98"/>
      <c r="U329" s="98"/>
      <c r="V329" s="98"/>
      <c r="W329" s="98"/>
      <c r="X329" s="98"/>
      <c r="Y329" s="98"/>
      <c r="Z329" s="98"/>
    </row>
    <row r="330" spans="1:26" x14ac:dyDescent="0.25">
      <c r="A330" s="124"/>
      <c r="B330" s="118"/>
      <c r="C330" s="98"/>
      <c r="D330" s="98"/>
      <c r="E330" s="98"/>
      <c r="F330" s="98"/>
      <c r="G330" s="98"/>
      <c r="H330" s="98"/>
      <c r="I330" s="98"/>
      <c r="J330" s="98"/>
      <c r="K330" s="98"/>
      <c r="L330" s="98"/>
      <c r="M330" s="98"/>
      <c r="N330" s="98"/>
      <c r="O330" s="98"/>
      <c r="P330" s="98"/>
      <c r="Q330" s="98"/>
      <c r="R330" s="98"/>
      <c r="S330" s="98"/>
      <c r="T330" s="98"/>
      <c r="U330" s="98"/>
      <c r="V330" s="98"/>
      <c r="W330" s="98"/>
      <c r="X330" s="98"/>
      <c r="Y330" s="98"/>
      <c r="Z330" s="98"/>
    </row>
    <row r="331" spans="1:26" x14ac:dyDescent="0.25">
      <c r="A331" s="124"/>
      <c r="B331" s="118"/>
      <c r="C331" s="98"/>
      <c r="D331" s="98"/>
      <c r="E331" s="98"/>
      <c r="F331" s="98"/>
      <c r="G331" s="98"/>
      <c r="H331" s="98"/>
      <c r="I331" s="98"/>
      <c r="J331" s="98"/>
      <c r="K331" s="98"/>
      <c r="L331" s="98"/>
      <c r="M331" s="98"/>
      <c r="N331" s="98"/>
      <c r="O331" s="98"/>
      <c r="P331" s="98"/>
      <c r="Q331" s="98"/>
      <c r="R331" s="98"/>
      <c r="S331" s="98"/>
      <c r="T331" s="98"/>
      <c r="U331" s="98"/>
      <c r="V331" s="98"/>
      <c r="W331" s="98"/>
      <c r="X331" s="98"/>
      <c r="Y331" s="98"/>
      <c r="Z331" s="98"/>
    </row>
    <row r="332" spans="1:26" x14ac:dyDescent="0.25">
      <c r="A332" s="124"/>
      <c r="B332" s="118"/>
      <c r="C332" s="98"/>
      <c r="D332" s="98"/>
      <c r="E332" s="98"/>
      <c r="F332" s="98"/>
      <c r="G332" s="98"/>
      <c r="H332" s="98"/>
      <c r="I332" s="98"/>
      <c r="J332" s="98"/>
      <c r="K332" s="98"/>
      <c r="L332" s="98"/>
      <c r="M332" s="98"/>
      <c r="N332" s="98"/>
      <c r="O332" s="98"/>
      <c r="P332" s="98"/>
      <c r="Q332" s="98"/>
      <c r="R332" s="98"/>
      <c r="S332" s="98"/>
      <c r="T332" s="98"/>
      <c r="U332" s="98"/>
      <c r="V332" s="98"/>
      <c r="W332" s="98"/>
      <c r="X332" s="98"/>
      <c r="Y332" s="98"/>
      <c r="Z332" s="98"/>
    </row>
    <row r="333" spans="1:26" x14ac:dyDescent="0.25">
      <c r="A333" s="124"/>
      <c r="B333" s="118"/>
      <c r="C333" s="98"/>
      <c r="D333" s="98"/>
      <c r="E333" s="98"/>
      <c r="F333" s="98"/>
      <c r="G333" s="98"/>
      <c r="H333" s="98"/>
      <c r="I333" s="98"/>
      <c r="J333" s="98"/>
      <c r="K333" s="98"/>
      <c r="L333" s="98"/>
      <c r="M333" s="98"/>
      <c r="N333" s="98"/>
      <c r="O333" s="98"/>
      <c r="P333" s="98"/>
      <c r="Q333" s="98"/>
      <c r="R333" s="98"/>
      <c r="S333" s="98"/>
      <c r="T333" s="98"/>
      <c r="U333" s="98"/>
      <c r="V333" s="98"/>
      <c r="W333" s="98"/>
      <c r="X333" s="98"/>
      <c r="Y333" s="98"/>
      <c r="Z333" s="98"/>
    </row>
    <row r="334" spans="1:26" x14ac:dyDescent="0.25">
      <c r="A334" s="124"/>
      <c r="B334" s="118"/>
      <c r="C334" s="98"/>
      <c r="D334" s="98"/>
      <c r="E334" s="98"/>
      <c r="F334" s="98"/>
      <c r="G334" s="98"/>
      <c r="H334" s="98"/>
      <c r="I334" s="98"/>
      <c r="J334" s="98"/>
      <c r="K334" s="98"/>
      <c r="L334" s="98"/>
      <c r="M334" s="98"/>
      <c r="N334" s="98"/>
      <c r="O334" s="98"/>
      <c r="P334" s="98"/>
      <c r="Q334" s="98"/>
      <c r="R334" s="98"/>
      <c r="S334" s="98"/>
      <c r="T334" s="98"/>
      <c r="U334" s="98"/>
      <c r="V334" s="98"/>
      <c r="W334" s="98"/>
      <c r="X334" s="98"/>
      <c r="Y334" s="98"/>
      <c r="Z334" s="98"/>
    </row>
    <row r="335" spans="1:26" x14ac:dyDescent="0.25">
      <c r="A335" s="124"/>
      <c r="B335" s="118"/>
      <c r="C335" s="98"/>
      <c r="D335" s="98"/>
      <c r="E335" s="98"/>
      <c r="F335" s="98"/>
      <c r="G335" s="98"/>
      <c r="H335" s="98"/>
      <c r="I335" s="98"/>
      <c r="J335" s="98"/>
      <c r="K335" s="98"/>
      <c r="L335" s="98"/>
      <c r="M335" s="98"/>
      <c r="N335" s="98"/>
      <c r="O335" s="98"/>
      <c r="P335" s="98"/>
      <c r="Q335" s="98"/>
      <c r="R335" s="98"/>
      <c r="S335" s="98"/>
      <c r="T335" s="98"/>
      <c r="U335" s="98"/>
      <c r="V335" s="98"/>
      <c r="W335" s="98"/>
      <c r="X335" s="98"/>
      <c r="Y335" s="98"/>
      <c r="Z335" s="98"/>
    </row>
    <row r="336" spans="1:26" x14ac:dyDescent="0.25">
      <c r="A336" s="124"/>
      <c r="B336" s="118"/>
      <c r="C336" s="98"/>
      <c r="D336" s="98"/>
      <c r="E336" s="98"/>
      <c r="F336" s="98"/>
      <c r="G336" s="98"/>
      <c r="H336" s="98"/>
      <c r="I336" s="98"/>
      <c r="J336" s="98"/>
      <c r="K336" s="98"/>
      <c r="L336" s="98"/>
      <c r="M336" s="98"/>
      <c r="N336" s="98"/>
      <c r="O336" s="98"/>
      <c r="P336" s="98"/>
      <c r="Q336" s="98"/>
      <c r="R336" s="98"/>
      <c r="S336" s="98"/>
      <c r="T336" s="98"/>
      <c r="U336" s="98"/>
      <c r="V336" s="98"/>
      <c r="W336" s="98"/>
      <c r="X336" s="98"/>
      <c r="Y336" s="98"/>
      <c r="Z336" s="98"/>
    </row>
    <row r="337" spans="1:26" x14ac:dyDescent="0.25">
      <c r="A337" s="124"/>
      <c r="B337" s="118"/>
      <c r="C337" s="98"/>
      <c r="D337" s="98"/>
      <c r="E337" s="98"/>
      <c r="F337" s="98"/>
      <c r="G337" s="98"/>
      <c r="H337" s="98"/>
      <c r="I337" s="98"/>
      <c r="J337" s="98"/>
      <c r="K337" s="98"/>
      <c r="L337" s="98"/>
      <c r="M337" s="98"/>
      <c r="N337" s="98"/>
      <c r="O337" s="98"/>
      <c r="P337" s="98"/>
      <c r="Q337" s="98"/>
      <c r="R337" s="98"/>
      <c r="S337" s="98"/>
      <c r="T337" s="98"/>
      <c r="U337" s="98"/>
      <c r="V337" s="98"/>
      <c r="W337" s="98"/>
      <c r="X337" s="98"/>
      <c r="Y337" s="98"/>
      <c r="Z337" s="98"/>
    </row>
    <row r="338" spans="1:26" x14ac:dyDescent="0.25">
      <c r="A338" s="124"/>
      <c r="B338" s="118"/>
      <c r="C338" s="98"/>
      <c r="D338" s="98"/>
      <c r="E338" s="98"/>
      <c r="F338" s="98"/>
      <c r="G338" s="98"/>
      <c r="H338" s="98"/>
      <c r="I338" s="98"/>
      <c r="J338" s="98"/>
      <c r="K338" s="98"/>
      <c r="L338" s="98"/>
      <c r="M338" s="98"/>
      <c r="N338" s="98"/>
      <c r="O338" s="98"/>
      <c r="P338" s="98"/>
      <c r="Q338" s="98"/>
      <c r="R338" s="98"/>
      <c r="S338" s="98"/>
      <c r="T338" s="98"/>
      <c r="U338" s="98"/>
      <c r="V338" s="98"/>
      <c r="W338" s="98"/>
      <c r="X338" s="98"/>
      <c r="Y338" s="98"/>
      <c r="Z338" s="98"/>
    </row>
    <row r="339" spans="1:26" x14ac:dyDescent="0.25">
      <c r="A339" s="124"/>
      <c r="B339" s="118"/>
      <c r="C339" s="98"/>
      <c r="D339" s="98"/>
      <c r="E339" s="98"/>
      <c r="F339" s="98"/>
      <c r="G339" s="98"/>
      <c r="H339" s="98"/>
      <c r="I339" s="98"/>
      <c r="J339" s="98"/>
      <c r="K339" s="98"/>
      <c r="L339" s="98"/>
      <c r="M339" s="98"/>
      <c r="N339" s="98"/>
      <c r="O339" s="98"/>
      <c r="P339" s="98"/>
      <c r="Q339" s="98"/>
      <c r="R339" s="98"/>
      <c r="S339" s="98"/>
      <c r="T339" s="98"/>
      <c r="U339" s="98"/>
      <c r="V339" s="98"/>
      <c r="W339" s="98"/>
      <c r="X339" s="98"/>
      <c r="Y339" s="98"/>
      <c r="Z339" s="98"/>
    </row>
    <row r="340" spans="1:26" x14ac:dyDescent="0.25">
      <c r="A340" s="124"/>
      <c r="B340" s="118"/>
      <c r="C340" s="98"/>
      <c r="D340" s="98"/>
      <c r="E340" s="98"/>
      <c r="F340" s="98"/>
      <c r="G340" s="98"/>
      <c r="H340" s="98"/>
      <c r="I340" s="98"/>
      <c r="J340" s="98"/>
      <c r="K340" s="98"/>
      <c r="L340" s="98"/>
      <c r="M340" s="98"/>
      <c r="N340" s="98"/>
      <c r="O340" s="98"/>
      <c r="P340" s="98"/>
      <c r="Q340" s="98"/>
      <c r="R340" s="98"/>
      <c r="S340" s="98"/>
      <c r="T340" s="98"/>
      <c r="U340" s="98"/>
      <c r="V340" s="98"/>
      <c r="W340" s="98"/>
      <c r="X340" s="98"/>
      <c r="Y340" s="98"/>
      <c r="Z340" s="98"/>
    </row>
    <row r="341" spans="1:26" x14ac:dyDescent="0.25">
      <c r="A341" s="124"/>
      <c r="B341" s="118"/>
      <c r="C341" s="98"/>
      <c r="D341" s="98"/>
      <c r="E341" s="98"/>
      <c r="F341" s="98"/>
      <c r="G341" s="98"/>
      <c r="H341" s="98"/>
      <c r="I341" s="98"/>
      <c r="J341" s="98"/>
      <c r="K341" s="98"/>
      <c r="L341" s="98"/>
      <c r="M341" s="98"/>
      <c r="N341" s="98"/>
      <c r="O341" s="98"/>
      <c r="P341" s="98"/>
      <c r="Q341" s="98"/>
      <c r="R341" s="98"/>
      <c r="S341" s="98"/>
      <c r="T341" s="98"/>
      <c r="U341" s="98"/>
      <c r="V341" s="98"/>
      <c r="W341" s="98"/>
      <c r="X341" s="98"/>
      <c r="Y341" s="98"/>
      <c r="Z341" s="98"/>
    </row>
    <row r="342" spans="1:26" x14ac:dyDescent="0.25">
      <c r="A342" s="124"/>
      <c r="B342" s="118"/>
      <c r="C342" s="98"/>
      <c r="D342" s="98"/>
      <c r="E342" s="98"/>
      <c r="F342" s="98"/>
      <c r="G342" s="98"/>
      <c r="H342" s="98"/>
      <c r="I342" s="98"/>
      <c r="J342" s="98"/>
      <c r="K342" s="98"/>
      <c r="L342" s="98"/>
      <c r="M342" s="98"/>
      <c r="N342" s="98"/>
      <c r="O342" s="98"/>
      <c r="P342" s="98"/>
      <c r="Q342" s="98"/>
      <c r="R342" s="98"/>
      <c r="S342" s="98"/>
      <c r="T342" s="98"/>
      <c r="U342" s="98"/>
      <c r="V342" s="98"/>
      <c r="W342" s="98"/>
      <c r="X342" s="98"/>
      <c r="Y342" s="98"/>
      <c r="Z342" s="98"/>
    </row>
    <row r="343" spans="1:26" x14ac:dyDescent="0.25">
      <c r="A343" s="124"/>
      <c r="B343" s="118"/>
      <c r="C343" s="98"/>
      <c r="D343" s="98"/>
      <c r="E343" s="98"/>
      <c r="F343" s="98"/>
      <c r="G343" s="98"/>
      <c r="H343" s="98"/>
      <c r="I343" s="98"/>
      <c r="J343" s="98"/>
      <c r="K343" s="98"/>
      <c r="L343" s="98"/>
      <c r="M343" s="98"/>
      <c r="N343" s="98"/>
      <c r="O343" s="98"/>
      <c r="P343" s="98"/>
      <c r="Q343" s="98"/>
      <c r="R343" s="98"/>
      <c r="S343" s="98"/>
      <c r="T343" s="98"/>
      <c r="U343" s="98"/>
      <c r="V343" s="98"/>
      <c r="W343" s="98"/>
      <c r="X343" s="98"/>
      <c r="Y343" s="98"/>
      <c r="Z343" s="98"/>
    </row>
    <row r="344" spans="1:26" x14ac:dyDescent="0.25">
      <c r="A344" s="124"/>
      <c r="B344" s="118"/>
      <c r="C344" s="98"/>
      <c r="D344" s="98"/>
      <c r="E344" s="98"/>
      <c r="F344" s="98"/>
      <c r="G344" s="98"/>
      <c r="H344" s="98"/>
      <c r="I344" s="98"/>
      <c r="J344" s="98"/>
      <c r="K344" s="98"/>
      <c r="L344" s="98"/>
      <c r="M344" s="98"/>
      <c r="N344" s="98"/>
      <c r="O344" s="98"/>
      <c r="P344" s="98"/>
      <c r="Q344" s="98"/>
      <c r="R344" s="98"/>
      <c r="S344" s="98"/>
      <c r="T344" s="98"/>
      <c r="U344" s="98"/>
      <c r="V344" s="98"/>
      <c r="W344" s="98"/>
      <c r="X344" s="98"/>
      <c r="Y344" s="98"/>
      <c r="Z344" s="98"/>
    </row>
    <row r="345" spans="1:26" x14ac:dyDescent="0.25">
      <c r="A345" s="124"/>
      <c r="B345" s="118"/>
      <c r="C345" s="98"/>
      <c r="D345" s="98"/>
      <c r="E345" s="98"/>
      <c r="F345" s="98"/>
      <c r="G345" s="98"/>
      <c r="H345" s="98"/>
      <c r="I345" s="98"/>
      <c r="J345" s="98"/>
      <c r="K345" s="98"/>
      <c r="L345" s="98"/>
      <c r="M345" s="98"/>
      <c r="N345" s="98"/>
      <c r="O345" s="98"/>
      <c r="P345" s="98"/>
      <c r="Q345" s="98"/>
      <c r="R345" s="98"/>
      <c r="S345" s="98"/>
      <c r="T345" s="98"/>
      <c r="U345" s="98"/>
      <c r="V345" s="98"/>
      <c r="W345" s="98"/>
      <c r="X345" s="98"/>
      <c r="Y345" s="98"/>
      <c r="Z345" s="98"/>
    </row>
    <row r="346" spans="1:26" x14ac:dyDescent="0.25">
      <c r="A346" s="124"/>
      <c r="B346" s="118"/>
      <c r="C346" s="98"/>
      <c r="D346" s="98"/>
      <c r="E346" s="98"/>
      <c r="F346" s="98"/>
      <c r="G346" s="98"/>
      <c r="H346" s="98"/>
      <c r="I346" s="98"/>
      <c r="J346" s="98"/>
      <c r="K346" s="98"/>
      <c r="L346" s="98"/>
      <c r="M346" s="98"/>
      <c r="N346" s="98"/>
      <c r="O346" s="98"/>
      <c r="P346" s="98"/>
      <c r="Q346" s="98"/>
      <c r="R346" s="98"/>
      <c r="S346" s="98"/>
      <c r="T346" s="98"/>
      <c r="U346" s="98"/>
      <c r="V346" s="98"/>
      <c r="W346" s="98"/>
      <c r="X346" s="98"/>
      <c r="Y346" s="98"/>
      <c r="Z346" s="98"/>
    </row>
    <row r="347" spans="1:26" x14ac:dyDescent="0.25">
      <c r="A347" s="124"/>
      <c r="B347" s="118"/>
      <c r="C347" s="98"/>
      <c r="D347" s="98"/>
      <c r="E347" s="98"/>
      <c r="F347" s="98"/>
      <c r="G347" s="98"/>
      <c r="H347" s="98"/>
      <c r="I347" s="98"/>
      <c r="J347" s="98"/>
      <c r="K347" s="98"/>
      <c r="L347" s="98"/>
      <c r="M347" s="98"/>
      <c r="N347" s="98"/>
      <c r="O347" s="98"/>
      <c r="P347" s="98"/>
      <c r="Q347" s="98"/>
      <c r="R347" s="98"/>
      <c r="S347" s="98"/>
      <c r="T347" s="98"/>
      <c r="U347" s="98"/>
      <c r="V347" s="98"/>
      <c r="W347" s="98"/>
      <c r="X347" s="98"/>
      <c r="Y347" s="98"/>
      <c r="Z347" s="98"/>
    </row>
    <row r="348" spans="1:26" x14ac:dyDescent="0.25">
      <c r="A348" s="124"/>
      <c r="B348" s="118"/>
      <c r="C348" s="98"/>
      <c r="D348" s="98"/>
      <c r="E348" s="98"/>
      <c r="F348" s="98"/>
      <c r="G348" s="98"/>
      <c r="H348" s="98"/>
      <c r="I348" s="98"/>
      <c r="J348" s="98"/>
      <c r="K348" s="98"/>
      <c r="L348" s="98"/>
      <c r="M348" s="98"/>
      <c r="N348" s="98"/>
      <c r="O348" s="98"/>
      <c r="P348" s="98"/>
      <c r="Q348" s="98"/>
      <c r="R348" s="98"/>
      <c r="S348" s="98"/>
      <c r="T348" s="98"/>
      <c r="U348" s="98"/>
      <c r="V348" s="98"/>
      <c r="W348" s="98"/>
      <c r="X348" s="98"/>
      <c r="Y348" s="98"/>
      <c r="Z348" s="98"/>
    </row>
    <row r="349" spans="1:26" x14ac:dyDescent="0.25">
      <c r="A349" s="118"/>
      <c r="B349" s="118"/>
      <c r="C349" s="98"/>
      <c r="D349" s="98"/>
      <c r="E349" s="98"/>
      <c r="F349" s="98"/>
      <c r="G349" s="98"/>
      <c r="H349" s="98"/>
      <c r="I349" s="98"/>
      <c r="J349" s="98"/>
      <c r="K349" s="98"/>
      <c r="L349" s="98"/>
      <c r="M349" s="98"/>
      <c r="N349" s="98"/>
      <c r="O349" s="98"/>
      <c r="P349" s="98"/>
      <c r="Q349" s="98"/>
      <c r="R349" s="98"/>
      <c r="S349" s="98"/>
      <c r="T349" s="98"/>
      <c r="U349" s="98"/>
      <c r="V349" s="98"/>
      <c r="W349" s="98"/>
      <c r="X349" s="98"/>
      <c r="Y349" s="98"/>
      <c r="Z349" s="98"/>
    </row>
    <row r="350" spans="1:26" x14ac:dyDescent="0.25">
      <c r="A350" s="118"/>
      <c r="B350" s="118"/>
      <c r="C350" s="98"/>
      <c r="D350" s="98"/>
      <c r="E350" s="98"/>
      <c r="F350" s="98"/>
      <c r="G350" s="98"/>
      <c r="H350" s="98"/>
      <c r="I350" s="98"/>
      <c r="J350" s="98"/>
      <c r="K350" s="98"/>
      <c r="L350" s="98"/>
      <c r="M350" s="98"/>
      <c r="N350" s="98"/>
      <c r="O350" s="98"/>
      <c r="P350" s="98"/>
      <c r="Q350" s="98"/>
      <c r="R350" s="98"/>
      <c r="S350" s="98"/>
      <c r="T350" s="98"/>
      <c r="U350" s="98"/>
      <c r="V350" s="98"/>
      <c r="W350" s="98"/>
      <c r="X350" s="98"/>
      <c r="Y350" s="98"/>
      <c r="Z350" s="98"/>
    </row>
    <row r="351" spans="1:26" x14ac:dyDescent="0.25">
      <c r="A351" s="118"/>
      <c r="B351" s="118"/>
      <c r="C351" s="98"/>
      <c r="D351" s="98"/>
      <c r="E351" s="98"/>
      <c r="F351" s="98"/>
      <c r="G351" s="98"/>
      <c r="H351" s="98"/>
      <c r="I351" s="98"/>
      <c r="J351" s="98"/>
      <c r="K351" s="98"/>
      <c r="L351" s="98"/>
      <c r="M351" s="98"/>
      <c r="N351" s="98"/>
      <c r="O351" s="98"/>
      <c r="P351" s="98"/>
      <c r="Q351" s="98"/>
      <c r="R351" s="98"/>
      <c r="S351" s="98"/>
      <c r="T351" s="98"/>
      <c r="U351" s="98"/>
      <c r="V351" s="98"/>
      <c r="W351" s="98"/>
      <c r="X351" s="98"/>
      <c r="Y351" s="98"/>
      <c r="Z351" s="98"/>
    </row>
    <row r="352" spans="1:26" x14ac:dyDescent="0.25">
      <c r="A352" s="118"/>
      <c r="B352" s="118"/>
      <c r="C352" s="98"/>
      <c r="D352" s="98"/>
      <c r="E352" s="98"/>
      <c r="F352" s="98"/>
      <c r="G352" s="98"/>
      <c r="H352" s="98"/>
      <c r="I352" s="98"/>
      <c r="J352" s="98"/>
      <c r="K352" s="98"/>
      <c r="L352" s="98"/>
      <c r="M352" s="98"/>
      <c r="N352" s="98"/>
      <c r="O352" s="98"/>
      <c r="P352" s="98"/>
      <c r="Q352" s="98"/>
      <c r="R352" s="98"/>
      <c r="S352" s="98"/>
      <c r="T352" s="98"/>
      <c r="U352" s="98"/>
      <c r="V352" s="98"/>
      <c r="W352" s="98"/>
      <c r="X352" s="98"/>
      <c r="Y352" s="98"/>
      <c r="Z352" s="98"/>
    </row>
    <row r="353" spans="1:26" x14ac:dyDescent="0.25">
      <c r="A353" s="118"/>
      <c r="B353" s="118"/>
      <c r="C353" s="98"/>
      <c r="D353" s="98"/>
      <c r="E353" s="98"/>
      <c r="F353" s="98"/>
      <c r="G353" s="98"/>
      <c r="H353" s="98"/>
      <c r="I353" s="98"/>
      <c r="J353" s="98"/>
      <c r="K353" s="98"/>
      <c r="L353" s="98"/>
      <c r="M353" s="98"/>
      <c r="N353" s="98"/>
      <c r="O353" s="98"/>
      <c r="P353" s="98"/>
      <c r="Q353" s="98"/>
      <c r="R353" s="98"/>
      <c r="S353" s="98"/>
      <c r="T353" s="98"/>
      <c r="U353" s="98"/>
      <c r="V353" s="98"/>
      <c r="W353" s="98"/>
      <c r="X353" s="98"/>
      <c r="Y353" s="98"/>
      <c r="Z353" s="98"/>
    </row>
    <row r="354" spans="1:26" x14ac:dyDescent="0.25">
      <c r="A354" s="118"/>
      <c r="B354" s="118"/>
      <c r="C354" s="98"/>
      <c r="D354" s="98"/>
      <c r="E354" s="98"/>
      <c r="F354" s="98"/>
      <c r="G354" s="98"/>
      <c r="H354" s="98"/>
      <c r="I354" s="98"/>
      <c r="J354" s="98"/>
      <c r="K354" s="98"/>
      <c r="L354" s="98"/>
      <c r="M354" s="98"/>
      <c r="N354" s="98"/>
      <c r="O354" s="98"/>
      <c r="P354" s="98"/>
      <c r="Q354" s="98"/>
      <c r="R354" s="98"/>
      <c r="S354" s="98"/>
      <c r="T354" s="98"/>
      <c r="U354" s="98"/>
      <c r="V354" s="98"/>
      <c r="W354" s="98"/>
      <c r="X354" s="98"/>
      <c r="Y354" s="98"/>
      <c r="Z354" s="98"/>
    </row>
    <row r="355" spans="1:26" x14ac:dyDescent="0.25">
      <c r="A355" s="118"/>
      <c r="B355" s="118"/>
      <c r="C355" s="98"/>
      <c r="D355" s="98"/>
      <c r="E355" s="98"/>
      <c r="F355" s="98"/>
      <c r="G355" s="98"/>
      <c r="H355" s="98"/>
      <c r="I355" s="98"/>
      <c r="J355" s="98"/>
      <c r="K355" s="98"/>
      <c r="L355" s="98"/>
      <c r="M355" s="98"/>
      <c r="N355" s="98"/>
      <c r="O355" s="98"/>
      <c r="P355" s="98"/>
      <c r="Q355" s="98"/>
      <c r="R355" s="98"/>
      <c r="S355" s="98"/>
      <c r="T355" s="98"/>
      <c r="U355" s="98"/>
      <c r="V355" s="98"/>
      <c r="W355" s="98"/>
      <c r="X355" s="98"/>
      <c r="Y355" s="98"/>
      <c r="Z355" s="98"/>
    </row>
    <row r="356" spans="1:26" x14ac:dyDescent="0.25">
      <c r="A356" s="118"/>
      <c r="B356" s="118"/>
      <c r="C356" s="98"/>
      <c r="D356" s="98"/>
      <c r="E356" s="98"/>
      <c r="F356" s="98"/>
      <c r="G356" s="98"/>
      <c r="H356" s="98"/>
      <c r="I356" s="98"/>
      <c r="J356" s="98"/>
      <c r="K356" s="98"/>
      <c r="L356" s="98"/>
      <c r="M356" s="98"/>
      <c r="N356" s="98"/>
      <c r="O356" s="98"/>
      <c r="P356" s="98"/>
      <c r="Q356" s="98"/>
      <c r="R356" s="98"/>
      <c r="S356" s="98"/>
      <c r="T356" s="98"/>
      <c r="U356" s="98"/>
      <c r="V356" s="98"/>
      <c r="W356" s="98"/>
      <c r="X356" s="98"/>
      <c r="Y356" s="98"/>
      <c r="Z356" s="98"/>
    </row>
    <row r="357" spans="1:26" ht="15.75" customHeight="1" x14ac:dyDescent="0.25">
      <c r="A357" s="118"/>
      <c r="B357" s="1029" t="s">
        <v>809</v>
      </c>
      <c r="C357" s="1029"/>
      <c r="D357" s="1029"/>
      <c r="E357" s="1029"/>
      <c r="F357" s="1029"/>
      <c r="G357" s="1029"/>
      <c r="H357" s="1029"/>
      <c r="I357" s="1029"/>
      <c r="J357" s="1029"/>
      <c r="K357" s="1029"/>
      <c r="L357" s="1029"/>
      <c r="M357" s="1029"/>
      <c r="N357" s="1029"/>
      <c r="O357" s="1029"/>
      <c r="P357" s="1029"/>
      <c r="Q357" s="1029"/>
      <c r="R357" s="98"/>
      <c r="S357" s="98"/>
      <c r="T357" s="98"/>
      <c r="U357" s="98"/>
      <c r="V357" s="98"/>
      <c r="W357" s="98"/>
      <c r="X357" s="98"/>
      <c r="Y357" s="98"/>
      <c r="Z357" s="98"/>
    </row>
  </sheetData>
  <mergeCells count="187">
    <mergeCell ref="T221:Y221"/>
    <mergeCell ref="D156:E156"/>
    <mergeCell ref="D157:E157"/>
    <mergeCell ref="D158:E158"/>
    <mergeCell ref="D159:E159"/>
    <mergeCell ref="D160:E160"/>
    <mergeCell ref="D161:E161"/>
    <mergeCell ref="D162:E162"/>
    <mergeCell ref="D163:E163"/>
    <mergeCell ref="D221:E221"/>
    <mergeCell ref="B220:F220"/>
    <mergeCell ref="R220:Y220"/>
    <mergeCell ref="T187:Y206"/>
    <mergeCell ref="S187:S206"/>
    <mergeCell ref="R187:R206"/>
    <mergeCell ref="T159:Y169"/>
    <mergeCell ref="T170:Y186"/>
    <mergeCell ref="S170:S186"/>
    <mergeCell ref="R170:R186"/>
    <mergeCell ref="I220:N220"/>
    <mergeCell ref="J156:J157"/>
    <mergeCell ref="I158:I160"/>
    <mergeCell ref="I161:I163"/>
    <mergeCell ref="R156:R158"/>
    <mergeCell ref="T222:Y224"/>
    <mergeCell ref="S222:S224"/>
    <mergeCell ref="R222:R224"/>
    <mergeCell ref="R234:R242"/>
    <mergeCell ref="S234:S242"/>
    <mergeCell ref="T234:Y242"/>
    <mergeCell ref="T243:Y255"/>
    <mergeCell ref="S243:S255"/>
    <mergeCell ref="R243:R255"/>
    <mergeCell ref="R225:R233"/>
    <mergeCell ref="S225:S233"/>
    <mergeCell ref="T225:Y233"/>
    <mergeCell ref="S156:S158"/>
    <mergeCell ref="T156:Y158"/>
    <mergeCell ref="R159:R169"/>
    <mergeCell ref="S159:S169"/>
    <mergeCell ref="T75:Y77"/>
    <mergeCell ref="S75:S77"/>
    <mergeCell ref="R75:R77"/>
    <mergeCell ref="T78:Y88"/>
    <mergeCell ref="S78:S88"/>
    <mergeCell ref="R78:R88"/>
    <mergeCell ref="T89:Y104"/>
    <mergeCell ref="R89:R104"/>
    <mergeCell ref="S89:S104"/>
    <mergeCell ref="T105:Y120"/>
    <mergeCell ref="S105:S120"/>
    <mergeCell ref="R105:R120"/>
    <mergeCell ref="R154:Y154"/>
    <mergeCell ref="T155:Y155"/>
    <mergeCell ref="T35:Y50"/>
    <mergeCell ref="S35:S50"/>
    <mergeCell ref="R35:R50"/>
    <mergeCell ref="R73:Y73"/>
    <mergeCell ref="T74:Y74"/>
    <mergeCell ref="D75:E75"/>
    <mergeCell ref="B74:F74"/>
    <mergeCell ref="B154:F154"/>
    <mergeCell ref="D155:E155"/>
    <mergeCell ref="I105:I107"/>
    <mergeCell ref="I42:I44"/>
    <mergeCell ref="D85:E85"/>
    <mergeCell ref="I93:I95"/>
    <mergeCell ref="H285:H287"/>
    <mergeCell ref="D81:E81"/>
    <mergeCell ref="D82:E82"/>
    <mergeCell ref="I27:I29"/>
    <mergeCell ref="D18:E18"/>
    <mergeCell ref="D19:E19"/>
    <mergeCell ref="D20:E20"/>
    <mergeCell ref="D21:E21"/>
    <mergeCell ref="I39:I41"/>
    <mergeCell ref="I36:I38"/>
    <mergeCell ref="D23:E23"/>
    <mergeCell ref="B282:F282"/>
    <mergeCell ref="D283:E283"/>
    <mergeCell ref="D284:E284"/>
    <mergeCell ref="D285:E285"/>
    <mergeCell ref="D286:E286"/>
    <mergeCell ref="D287:E287"/>
    <mergeCell ref="I285:I287"/>
    <mergeCell ref="I282:O282"/>
    <mergeCell ref="J283:J284"/>
    <mergeCell ref="H283:H284"/>
    <mergeCell ref="I283:I284"/>
    <mergeCell ref="I241:I243"/>
    <mergeCell ref="I182:I184"/>
    <mergeCell ref="I247:I249"/>
    <mergeCell ref="I170:I172"/>
    <mergeCell ref="I167:I169"/>
    <mergeCell ref="I173:I175"/>
    <mergeCell ref="I156:I157"/>
    <mergeCell ref="I99:I101"/>
    <mergeCell ref="I179:I181"/>
    <mergeCell ref="B357:Q357"/>
    <mergeCell ref="H294:H296"/>
    <mergeCell ref="I294:I296"/>
    <mergeCell ref="H297:H299"/>
    <mergeCell ref="I297:I299"/>
    <mergeCell ref="H300:H302"/>
    <mergeCell ref="I300:I302"/>
    <mergeCell ref="H288:H293"/>
    <mergeCell ref="I288:I290"/>
    <mergeCell ref="I291:I293"/>
    <mergeCell ref="I306:I308"/>
    <mergeCell ref="D288:E288"/>
    <mergeCell ref="D289:E289"/>
    <mergeCell ref="D290:E290"/>
    <mergeCell ref="D292:E292"/>
    <mergeCell ref="I309:I311"/>
    <mergeCell ref="D291:E291"/>
    <mergeCell ref="I303:I305"/>
    <mergeCell ref="I81:I83"/>
    <mergeCell ref="I96:I98"/>
    <mergeCell ref="D84:E84"/>
    <mergeCell ref="I102:I104"/>
    <mergeCell ref="D164:E164"/>
    <mergeCell ref="D83:E83"/>
    <mergeCell ref="D165:E165"/>
    <mergeCell ref="I244:I246"/>
    <mergeCell ref="D222:E222"/>
    <mergeCell ref="D223:E223"/>
    <mergeCell ref="D224:E224"/>
    <mergeCell ref="D225:E225"/>
    <mergeCell ref="D226:E226"/>
    <mergeCell ref="D227:E227"/>
    <mergeCell ref="D228:E228"/>
    <mergeCell ref="D229:E229"/>
    <mergeCell ref="D230:E230"/>
    <mergeCell ref="I176:I178"/>
    <mergeCell ref="I223:I225"/>
    <mergeCell ref="I226:I228"/>
    <mergeCell ref="I229:I231"/>
    <mergeCell ref="I232:I234"/>
    <mergeCell ref="I235:I237"/>
    <mergeCell ref="I238:I240"/>
    <mergeCell ref="B6:V6"/>
    <mergeCell ref="R11:Y11"/>
    <mergeCell ref="I15:I17"/>
    <mergeCell ref="I18:I20"/>
    <mergeCell ref="I21:I23"/>
    <mergeCell ref="T23:Y34"/>
    <mergeCell ref="S23:S34"/>
    <mergeCell ref="T12:Y12"/>
    <mergeCell ref="T13:Y13"/>
    <mergeCell ref="T14:Y22"/>
    <mergeCell ref="R14:R22"/>
    <mergeCell ref="S14:S22"/>
    <mergeCell ref="R23:R34"/>
    <mergeCell ref="I30:I32"/>
    <mergeCell ref="I33:I35"/>
    <mergeCell ref="D22:E22"/>
    <mergeCell ref="I12:N12"/>
    <mergeCell ref="I24:I26"/>
    <mergeCell ref="B12:F12"/>
    <mergeCell ref="D13:E13"/>
    <mergeCell ref="D14:E14"/>
    <mergeCell ref="D15:E15"/>
    <mergeCell ref="D16:E16"/>
    <mergeCell ref="D17:E17"/>
    <mergeCell ref="I185:I187"/>
    <mergeCell ref="D231:E231"/>
    <mergeCell ref="I250:I252"/>
    <mergeCell ref="D293:E293"/>
    <mergeCell ref="I312:I314"/>
    <mergeCell ref="B8:D8"/>
    <mergeCell ref="E8:J8"/>
    <mergeCell ref="E9:J9"/>
    <mergeCell ref="E10:J10"/>
    <mergeCell ref="I164:I166"/>
    <mergeCell ref="I155:N155"/>
    <mergeCell ref="I75:N75"/>
    <mergeCell ref="I76:I77"/>
    <mergeCell ref="J76:J77"/>
    <mergeCell ref="I78:I80"/>
    <mergeCell ref="D76:E76"/>
    <mergeCell ref="D77:E77"/>
    <mergeCell ref="D78:E78"/>
    <mergeCell ref="D79:E79"/>
    <mergeCell ref="D80:E80"/>
    <mergeCell ref="I84:I86"/>
    <mergeCell ref="I87:I89"/>
    <mergeCell ref="I90:I92"/>
  </mergeCells>
  <conditionalFormatting sqref="B33:B71">
    <cfRule type="dataBar" priority="16">
      <dataBar>
        <cfvo type="min"/>
        <cfvo type="max"/>
        <color rgb="FF63C384"/>
      </dataBar>
      <extLst>
        <ext xmlns:x14="http://schemas.microsoft.com/office/spreadsheetml/2009/9/main" uri="{B025F937-C7B1-47D3-B67F-A62EFF666E3E}">
          <x14:id>{4710D71D-D70D-41D4-B4AF-76750AE3D7B8}</x14:id>
        </ext>
      </extLst>
    </cfRule>
    <cfRule type="colorScale" priority="17">
      <colorScale>
        <cfvo type="min"/>
        <cfvo type="max"/>
        <color rgb="FFFCFCFF"/>
        <color rgb="FFF8696B"/>
      </colorScale>
    </cfRule>
  </conditionalFormatting>
  <conditionalFormatting sqref="O33:O35">
    <cfRule type="dataBar" priority="12">
      <dataBar>
        <cfvo type="min"/>
        <cfvo type="max"/>
        <color rgb="FFFF555A"/>
      </dataBar>
      <extLst>
        <ext xmlns:x14="http://schemas.microsoft.com/office/spreadsheetml/2009/9/main" uri="{B025F937-C7B1-47D3-B67F-A62EFF666E3E}">
          <x14:id>{020B2140-739E-4784-9EAC-318086C6DFB8}</x14:id>
        </ext>
      </extLst>
    </cfRule>
  </conditionalFormatting>
  <conditionalFormatting sqref="O36:O44">
    <cfRule type="dataBar" priority="7">
      <dataBar>
        <cfvo type="min"/>
        <cfvo type="max"/>
        <color rgb="FFFF555A"/>
      </dataBar>
      <extLst>
        <ext xmlns:x14="http://schemas.microsoft.com/office/spreadsheetml/2009/9/main" uri="{B025F937-C7B1-47D3-B67F-A62EFF666E3E}">
          <x14:id>{25EEA246-FFDC-4698-904B-9E6713D0BE97}</x14:id>
        </ext>
      </extLst>
    </cfRule>
  </conditionalFormatting>
  <conditionalFormatting sqref="O96:O98">
    <cfRule type="dataBar" priority="11">
      <dataBar>
        <cfvo type="min"/>
        <cfvo type="max"/>
        <color rgb="FFFF555A"/>
      </dataBar>
      <extLst>
        <ext xmlns:x14="http://schemas.microsoft.com/office/spreadsheetml/2009/9/main" uri="{B025F937-C7B1-47D3-B67F-A62EFF666E3E}">
          <x14:id>{92CACA9D-C524-4BA5-A654-C315E54A4D41}</x14:id>
        </ext>
      </extLst>
    </cfRule>
  </conditionalFormatting>
  <conditionalFormatting sqref="O99:O120">
    <cfRule type="dataBar" priority="6">
      <dataBar>
        <cfvo type="min"/>
        <cfvo type="max"/>
        <color rgb="FFFF555A"/>
      </dataBar>
      <extLst>
        <ext xmlns:x14="http://schemas.microsoft.com/office/spreadsheetml/2009/9/main" uri="{B025F937-C7B1-47D3-B67F-A62EFF666E3E}">
          <x14:id>{7FD7CDB6-0184-4579-972F-507733F94304}</x14:id>
        </ext>
      </extLst>
    </cfRule>
  </conditionalFormatting>
  <conditionalFormatting sqref="O176:O178">
    <cfRule type="dataBar" priority="10">
      <dataBar>
        <cfvo type="min"/>
        <cfvo type="max"/>
        <color rgb="FFFF555A"/>
      </dataBar>
      <extLst>
        <ext xmlns:x14="http://schemas.microsoft.com/office/spreadsheetml/2009/9/main" uri="{B025F937-C7B1-47D3-B67F-A62EFF666E3E}">
          <x14:id>{C1D06F01-22FB-4C7A-B66C-FF56166C5574}</x14:id>
        </ext>
      </extLst>
    </cfRule>
  </conditionalFormatting>
  <conditionalFormatting sqref="O179:O187">
    <cfRule type="dataBar" priority="5">
      <dataBar>
        <cfvo type="min"/>
        <cfvo type="max"/>
        <color rgb="FFFF555A"/>
      </dataBar>
      <extLst>
        <ext xmlns:x14="http://schemas.microsoft.com/office/spreadsheetml/2009/9/main" uri="{B025F937-C7B1-47D3-B67F-A62EFF666E3E}">
          <x14:id>{26D0303E-5915-4C1D-B5FC-6650DA96CA07}</x14:id>
        </ext>
      </extLst>
    </cfRule>
  </conditionalFormatting>
  <conditionalFormatting sqref="O241:O243">
    <cfRule type="dataBar" priority="8">
      <dataBar>
        <cfvo type="min"/>
        <cfvo type="max"/>
        <color rgb="FFFF555A"/>
      </dataBar>
      <extLst>
        <ext xmlns:x14="http://schemas.microsoft.com/office/spreadsheetml/2009/9/main" uri="{B025F937-C7B1-47D3-B67F-A62EFF666E3E}">
          <x14:id>{4A8A15BD-FED7-4074-BE2A-4B392CB82947}</x14:id>
        </ext>
      </extLst>
    </cfRule>
  </conditionalFormatting>
  <conditionalFormatting sqref="O244:O252">
    <cfRule type="dataBar" priority="4">
      <dataBar>
        <cfvo type="min"/>
        <cfvo type="max"/>
        <color rgb="FFFF555A"/>
      </dataBar>
      <extLst>
        <ext xmlns:x14="http://schemas.microsoft.com/office/spreadsheetml/2009/9/main" uri="{B025F937-C7B1-47D3-B67F-A62EFF666E3E}">
          <x14:id>{AF5E2763-0136-41B8-B567-1DF81AFDC0EA}</x14:id>
        </ext>
      </extLst>
    </cfRule>
  </conditionalFormatting>
  <conditionalFormatting sqref="O188:P209 O158:P175 P176:P187">
    <cfRule type="dataBar" priority="22">
      <dataBar>
        <cfvo type="min"/>
        <cfvo type="max"/>
        <color rgb="FFFF555A"/>
      </dataBar>
      <extLst>
        <ext xmlns:x14="http://schemas.microsoft.com/office/spreadsheetml/2009/9/main" uri="{B025F937-C7B1-47D3-B67F-A62EFF666E3E}">
          <x14:id>{313A9737-11AB-461C-8002-AE0EC70DCDD2}</x14:id>
        </ext>
      </extLst>
    </cfRule>
  </conditionalFormatting>
  <conditionalFormatting sqref="O253:P279 O223:O240 P222:P252">
    <cfRule type="dataBar" priority="19">
      <dataBar>
        <cfvo type="min"/>
        <cfvo type="max"/>
        <color rgb="FFFF555A"/>
      </dataBar>
      <extLst>
        <ext xmlns:x14="http://schemas.microsoft.com/office/spreadsheetml/2009/9/main" uri="{B025F937-C7B1-47D3-B67F-A62EFF666E3E}">
          <x14:id>{61824C9F-FAA4-445D-A1BC-3A810CF0E8C1}</x14:id>
        </ext>
      </extLst>
    </cfRule>
  </conditionalFormatting>
  <conditionalFormatting sqref="P14:P32 O15:O32">
    <cfRule type="dataBar" priority="27">
      <dataBar>
        <cfvo type="min"/>
        <cfvo type="max"/>
        <color rgb="FFFF555A"/>
      </dataBar>
      <extLst>
        <ext xmlns:x14="http://schemas.microsoft.com/office/spreadsheetml/2009/9/main" uri="{B025F937-C7B1-47D3-B67F-A62EFF666E3E}">
          <x14:id>{F243A6CC-7E45-4426-859A-F14B1CA7BD9D}</x14:id>
        </ext>
      </extLst>
    </cfRule>
  </conditionalFormatting>
  <conditionalFormatting sqref="P76:P97 O78:O95">
    <cfRule type="dataBar" priority="32">
      <dataBar>
        <cfvo type="min"/>
        <cfvo type="max"/>
        <color rgb="FFFF555A"/>
      </dataBar>
      <extLst>
        <ext xmlns:x14="http://schemas.microsoft.com/office/spreadsheetml/2009/9/main" uri="{B025F937-C7B1-47D3-B67F-A62EFF666E3E}">
          <x14:id>{C0BF279A-7CFA-49D9-874C-F748911A8D1C}</x14:id>
        </ext>
      </extLst>
    </cfRule>
  </conditionalFormatting>
  <conditionalFormatting sqref="P285:P302">
    <cfRule type="dataBar" priority="33">
      <dataBar>
        <cfvo type="min"/>
        <cfvo type="max"/>
        <color rgb="FFFF555A"/>
      </dataBar>
      <extLst>
        <ext xmlns:x14="http://schemas.microsoft.com/office/spreadsheetml/2009/9/main" uri="{B025F937-C7B1-47D3-B67F-A62EFF666E3E}">
          <x14:id>{360EA38B-BE35-41D8-9C28-57384539D4AF}</x14:id>
        </ext>
      </extLst>
    </cfRule>
  </conditionalFormatting>
  <conditionalFormatting sqref="P303:P305">
    <cfRule type="dataBar" priority="9">
      <dataBar>
        <cfvo type="min"/>
        <cfvo type="max"/>
        <color rgb="FFFF555A"/>
      </dataBar>
      <extLst>
        <ext xmlns:x14="http://schemas.microsoft.com/office/spreadsheetml/2009/9/main" uri="{B025F937-C7B1-47D3-B67F-A62EFF666E3E}">
          <x14:id>{D6724C28-3CAD-40FE-B2D2-1353C8BD9D8B}</x14:id>
        </ext>
      </extLst>
    </cfRule>
  </conditionalFormatting>
  <conditionalFormatting sqref="P306:P314">
    <cfRule type="dataBar" priority="2">
      <dataBar>
        <cfvo type="min"/>
        <cfvo type="max"/>
        <color rgb="FFFF555A"/>
      </dataBar>
      <extLst>
        <ext xmlns:x14="http://schemas.microsoft.com/office/spreadsheetml/2009/9/main" uri="{B025F937-C7B1-47D3-B67F-A62EFF666E3E}">
          <x14:id>{646B6FA7-363F-4810-BF0A-9B24E961D38C}</x14:id>
        </ext>
      </extLst>
    </cfRule>
  </conditionalFormatting>
  <conditionalFormatting sqref="R256:Z273">
    <cfRule type="dataBar" priority="1">
      <dataBar>
        <cfvo type="min"/>
        <cfvo type="max"/>
        <color rgb="FFFF555A"/>
      </dataBar>
      <extLst>
        <ext xmlns:x14="http://schemas.microsoft.com/office/spreadsheetml/2009/9/main" uri="{B025F937-C7B1-47D3-B67F-A62EFF666E3E}">
          <x14:id>{F324D215-C8F5-4583-B9C6-4946F6C12B48}</x14:id>
        </ext>
      </extLst>
    </cfRule>
  </conditionalFormatting>
  <pageMargins left="0.39370078740157483" right="0.39370078740157483" top="0.39370078740157483" bottom="0.39370078740157483" header="0.31496062992125984" footer="0.31496062992125984"/>
  <pageSetup scale="60" orientation="portrait" r:id="rId1"/>
  <drawing r:id="rId2"/>
  <extLst>
    <ext xmlns:x14="http://schemas.microsoft.com/office/spreadsheetml/2009/9/main" uri="{78C0D931-6437-407d-A8EE-F0AAD7539E65}">
      <x14:conditionalFormattings>
        <x14:conditionalFormatting xmlns:xm="http://schemas.microsoft.com/office/excel/2006/main">
          <x14:cfRule type="dataBar" id="{4710D71D-D70D-41D4-B4AF-76750AE3D7B8}">
            <x14:dataBar minLength="0" maxLength="100" border="1" negativeBarBorderColorSameAsPositive="0">
              <x14:cfvo type="autoMin"/>
              <x14:cfvo type="autoMax"/>
              <x14:borderColor rgb="FF63C384"/>
              <x14:negativeFillColor rgb="FFFF0000"/>
              <x14:negativeBorderColor rgb="FFFF0000"/>
              <x14:axisColor rgb="FF000000"/>
            </x14:dataBar>
          </x14:cfRule>
          <xm:sqref>B33:B71</xm:sqref>
        </x14:conditionalFormatting>
        <x14:conditionalFormatting xmlns:xm="http://schemas.microsoft.com/office/excel/2006/main">
          <x14:cfRule type="dataBar" id="{020B2140-739E-4784-9EAC-318086C6DFB8}">
            <x14:dataBar minLength="0" maxLength="100" border="1" negativeBarBorderColorSameAsPositive="0">
              <x14:cfvo type="autoMin"/>
              <x14:cfvo type="autoMax"/>
              <x14:borderColor rgb="FFFF555A"/>
              <x14:negativeFillColor rgb="FFFF0000"/>
              <x14:negativeBorderColor rgb="FFFF0000"/>
              <x14:axisColor rgb="FF000000"/>
            </x14:dataBar>
          </x14:cfRule>
          <xm:sqref>O33:O35</xm:sqref>
        </x14:conditionalFormatting>
        <x14:conditionalFormatting xmlns:xm="http://schemas.microsoft.com/office/excel/2006/main">
          <x14:cfRule type="dataBar" id="{25EEA246-FFDC-4698-904B-9E6713D0BE97}">
            <x14:dataBar minLength="0" maxLength="100" border="1" negativeBarBorderColorSameAsPositive="0">
              <x14:cfvo type="autoMin"/>
              <x14:cfvo type="autoMax"/>
              <x14:borderColor rgb="FFFF555A"/>
              <x14:negativeFillColor rgb="FFFF0000"/>
              <x14:negativeBorderColor rgb="FFFF0000"/>
              <x14:axisColor rgb="FF000000"/>
            </x14:dataBar>
          </x14:cfRule>
          <xm:sqref>O36:O44</xm:sqref>
        </x14:conditionalFormatting>
        <x14:conditionalFormatting xmlns:xm="http://schemas.microsoft.com/office/excel/2006/main">
          <x14:cfRule type="dataBar" id="{92CACA9D-C524-4BA5-A654-C315E54A4D41}">
            <x14:dataBar minLength="0" maxLength="100" border="1" negativeBarBorderColorSameAsPositive="0">
              <x14:cfvo type="autoMin"/>
              <x14:cfvo type="autoMax"/>
              <x14:borderColor rgb="FFFF555A"/>
              <x14:negativeFillColor rgb="FFFF0000"/>
              <x14:negativeBorderColor rgb="FFFF0000"/>
              <x14:axisColor rgb="FF000000"/>
            </x14:dataBar>
          </x14:cfRule>
          <xm:sqref>O96:O98</xm:sqref>
        </x14:conditionalFormatting>
        <x14:conditionalFormatting xmlns:xm="http://schemas.microsoft.com/office/excel/2006/main">
          <x14:cfRule type="dataBar" id="{7FD7CDB6-0184-4579-972F-507733F94304}">
            <x14:dataBar minLength="0" maxLength="100" border="1" negativeBarBorderColorSameAsPositive="0">
              <x14:cfvo type="autoMin"/>
              <x14:cfvo type="autoMax"/>
              <x14:borderColor rgb="FFFF555A"/>
              <x14:negativeFillColor rgb="FFFF0000"/>
              <x14:negativeBorderColor rgb="FFFF0000"/>
              <x14:axisColor rgb="FF000000"/>
            </x14:dataBar>
          </x14:cfRule>
          <xm:sqref>O99:O120</xm:sqref>
        </x14:conditionalFormatting>
        <x14:conditionalFormatting xmlns:xm="http://schemas.microsoft.com/office/excel/2006/main">
          <x14:cfRule type="dataBar" id="{C1D06F01-22FB-4C7A-B66C-FF56166C5574}">
            <x14:dataBar minLength="0" maxLength="100" border="1" negativeBarBorderColorSameAsPositive="0">
              <x14:cfvo type="autoMin"/>
              <x14:cfvo type="autoMax"/>
              <x14:borderColor rgb="FFFF555A"/>
              <x14:negativeFillColor rgb="FFFF0000"/>
              <x14:negativeBorderColor rgb="FFFF0000"/>
              <x14:axisColor rgb="FF000000"/>
            </x14:dataBar>
          </x14:cfRule>
          <xm:sqref>O176:O178</xm:sqref>
        </x14:conditionalFormatting>
        <x14:conditionalFormatting xmlns:xm="http://schemas.microsoft.com/office/excel/2006/main">
          <x14:cfRule type="dataBar" id="{26D0303E-5915-4C1D-B5FC-6650DA96CA07}">
            <x14:dataBar minLength="0" maxLength="100" border="1" negativeBarBorderColorSameAsPositive="0">
              <x14:cfvo type="autoMin"/>
              <x14:cfvo type="autoMax"/>
              <x14:borderColor rgb="FFFF555A"/>
              <x14:negativeFillColor rgb="FFFF0000"/>
              <x14:negativeBorderColor rgb="FFFF0000"/>
              <x14:axisColor rgb="FF000000"/>
            </x14:dataBar>
          </x14:cfRule>
          <xm:sqref>O179:O187</xm:sqref>
        </x14:conditionalFormatting>
        <x14:conditionalFormatting xmlns:xm="http://schemas.microsoft.com/office/excel/2006/main">
          <x14:cfRule type="dataBar" id="{4A8A15BD-FED7-4074-BE2A-4B392CB82947}">
            <x14:dataBar minLength="0" maxLength="100" border="1" negativeBarBorderColorSameAsPositive="0">
              <x14:cfvo type="autoMin"/>
              <x14:cfvo type="autoMax"/>
              <x14:borderColor rgb="FFFF555A"/>
              <x14:negativeFillColor rgb="FFFF0000"/>
              <x14:negativeBorderColor rgb="FFFF0000"/>
              <x14:axisColor rgb="FF000000"/>
            </x14:dataBar>
          </x14:cfRule>
          <xm:sqref>O241:O243</xm:sqref>
        </x14:conditionalFormatting>
        <x14:conditionalFormatting xmlns:xm="http://schemas.microsoft.com/office/excel/2006/main">
          <x14:cfRule type="dataBar" id="{AF5E2763-0136-41B8-B567-1DF81AFDC0EA}">
            <x14:dataBar minLength="0" maxLength="100" border="1" negativeBarBorderColorSameAsPositive="0">
              <x14:cfvo type="autoMin"/>
              <x14:cfvo type="autoMax"/>
              <x14:borderColor rgb="FFFF555A"/>
              <x14:negativeFillColor rgb="FFFF0000"/>
              <x14:negativeBorderColor rgb="FFFF0000"/>
              <x14:axisColor rgb="FF000000"/>
            </x14:dataBar>
          </x14:cfRule>
          <xm:sqref>O244:O252</xm:sqref>
        </x14:conditionalFormatting>
        <x14:conditionalFormatting xmlns:xm="http://schemas.microsoft.com/office/excel/2006/main">
          <x14:cfRule type="dataBar" id="{313A9737-11AB-461C-8002-AE0EC70DCDD2}">
            <x14:dataBar minLength="0" maxLength="100" border="1" negativeBarBorderColorSameAsPositive="0">
              <x14:cfvo type="autoMin"/>
              <x14:cfvo type="autoMax"/>
              <x14:borderColor rgb="FFFF555A"/>
              <x14:negativeFillColor rgb="FFFF0000"/>
              <x14:negativeBorderColor rgb="FFFF0000"/>
              <x14:axisColor rgb="FF000000"/>
            </x14:dataBar>
          </x14:cfRule>
          <xm:sqref>O188:P209 O158:P175 P176:P187</xm:sqref>
        </x14:conditionalFormatting>
        <x14:conditionalFormatting xmlns:xm="http://schemas.microsoft.com/office/excel/2006/main">
          <x14:cfRule type="dataBar" id="{61824C9F-FAA4-445D-A1BC-3A810CF0E8C1}">
            <x14:dataBar minLength="0" maxLength="100" border="1" negativeBarBorderColorSameAsPositive="0">
              <x14:cfvo type="autoMin"/>
              <x14:cfvo type="autoMax"/>
              <x14:borderColor rgb="FFFF555A"/>
              <x14:negativeFillColor rgb="FFFF0000"/>
              <x14:negativeBorderColor rgb="FFFF0000"/>
              <x14:axisColor rgb="FF000000"/>
            </x14:dataBar>
          </x14:cfRule>
          <xm:sqref>O253:P279 O223:O240 P222:P252</xm:sqref>
        </x14:conditionalFormatting>
        <x14:conditionalFormatting xmlns:xm="http://schemas.microsoft.com/office/excel/2006/main">
          <x14:cfRule type="dataBar" id="{F243A6CC-7E45-4426-859A-F14B1CA7BD9D}">
            <x14:dataBar minLength="0" maxLength="100" border="1" negativeBarBorderColorSameAsPositive="0">
              <x14:cfvo type="autoMin"/>
              <x14:cfvo type="autoMax"/>
              <x14:borderColor rgb="FFFF555A"/>
              <x14:negativeFillColor rgb="FFFF0000"/>
              <x14:negativeBorderColor rgb="FFFF0000"/>
              <x14:axisColor rgb="FF000000"/>
            </x14:dataBar>
          </x14:cfRule>
          <xm:sqref>P14:P32 O15:O32</xm:sqref>
        </x14:conditionalFormatting>
        <x14:conditionalFormatting xmlns:xm="http://schemas.microsoft.com/office/excel/2006/main">
          <x14:cfRule type="dataBar" id="{C0BF279A-7CFA-49D9-874C-F748911A8D1C}">
            <x14:dataBar minLength="0" maxLength="100" border="1" negativeBarBorderColorSameAsPositive="0">
              <x14:cfvo type="autoMin"/>
              <x14:cfvo type="autoMax"/>
              <x14:borderColor rgb="FFFF555A"/>
              <x14:negativeFillColor rgb="FFFF0000"/>
              <x14:negativeBorderColor rgb="FFFF0000"/>
              <x14:axisColor rgb="FF000000"/>
            </x14:dataBar>
          </x14:cfRule>
          <xm:sqref>P76:P97 O78:O95</xm:sqref>
        </x14:conditionalFormatting>
        <x14:conditionalFormatting xmlns:xm="http://schemas.microsoft.com/office/excel/2006/main">
          <x14:cfRule type="dataBar" id="{360EA38B-BE35-41D8-9C28-57384539D4AF}">
            <x14:dataBar minLength="0" maxLength="100" border="1" negativeBarBorderColorSameAsPositive="0">
              <x14:cfvo type="autoMin"/>
              <x14:cfvo type="autoMax"/>
              <x14:borderColor rgb="FFFF555A"/>
              <x14:negativeFillColor rgb="FFFF0000"/>
              <x14:negativeBorderColor rgb="FFFF0000"/>
              <x14:axisColor rgb="FF000000"/>
            </x14:dataBar>
          </x14:cfRule>
          <xm:sqref>P285:P302</xm:sqref>
        </x14:conditionalFormatting>
        <x14:conditionalFormatting xmlns:xm="http://schemas.microsoft.com/office/excel/2006/main">
          <x14:cfRule type="dataBar" id="{D6724C28-3CAD-40FE-B2D2-1353C8BD9D8B}">
            <x14:dataBar minLength="0" maxLength="100" border="1" negativeBarBorderColorSameAsPositive="0">
              <x14:cfvo type="autoMin"/>
              <x14:cfvo type="autoMax"/>
              <x14:borderColor rgb="FFFF555A"/>
              <x14:negativeFillColor rgb="FFFF0000"/>
              <x14:negativeBorderColor rgb="FFFF0000"/>
              <x14:axisColor rgb="FF000000"/>
            </x14:dataBar>
          </x14:cfRule>
          <xm:sqref>P303:P305</xm:sqref>
        </x14:conditionalFormatting>
        <x14:conditionalFormatting xmlns:xm="http://schemas.microsoft.com/office/excel/2006/main">
          <x14:cfRule type="dataBar" id="{646B6FA7-363F-4810-BF0A-9B24E961D38C}">
            <x14:dataBar minLength="0" maxLength="100" border="1" negativeBarBorderColorSameAsPositive="0">
              <x14:cfvo type="autoMin"/>
              <x14:cfvo type="autoMax"/>
              <x14:borderColor rgb="FFFF555A"/>
              <x14:negativeFillColor rgb="FFFF0000"/>
              <x14:negativeBorderColor rgb="FFFF0000"/>
              <x14:axisColor rgb="FF000000"/>
            </x14:dataBar>
          </x14:cfRule>
          <xm:sqref>P306:P314</xm:sqref>
        </x14:conditionalFormatting>
        <x14:conditionalFormatting xmlns:xm="http://schemas.microsoft.com/office/excel/2006/main">
          <x14:cfRule type="dataBar" id="{F324D215-C8F5-4583-B9C6-4946F6C12B48}">
            <x14:dataBar minLength="0" maxLength="100" border="1" negativeBarBorderColorSameAsPositive="0">
              <x14:cfvo type="autoMin"/>
              <x14:cfvo type="autoMax"/>
              <x14:borderColor rgb="FFFF555A"/>
              <x14:negativeFillColor rgb="FFFF0000"/>
              <x14:negativeBorderColor rgb="FFFF0000"/>
              <x14:axisColor rgb="FF000000"/>
            </x14:dataBar>
          </x14:cfRule>
          <xm:sqref>R256:Z273</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4D30C852-AD8E-47C5-95FC-B1185D5A1E49}">
          <x14:formula1>
            <xm:f>PGLOBAL!$A$10:$A$174</xm:f>
          </x14:formula1>
          <xm:sqref>E8:J10</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6"/>
  <dimension ref="A1:DA392"/>
  <sheetViews>
    <sheetView zoomScale="80" zoomScaleNormal="80" workbookViewId="0">
      <pane xSplit="1" topLeftCell="CE1" activePane="topRight" state="frozen"/>
      <selection activeCell="K23" sqref="K23"/>
      <selection pane="topRight" activeCell="CT10" sqref="CT10:CT12"/>
    </sheetView>
  </sheetViews>
  <sheetFormatPr baseColWidth="10" defaultColWidth="9.140625" defaultRowHeight="12.75" x14ac:dyDescent="0.2"/>
  <cols>
    <col min="1" max="1" width="73" bestFit="1" customWidth="1"/>
    <col min="2" max="2" width="16.7109375" customWidth="1"/>
    <col min="3" max="3" width="11" customWidth="1"/>
    <col min="4" max="4" width="9.5703125" customWidth="1"/>
    <col min="5" max="5" width="15" bestFit="1" customWidth="1"/>
    <col min="6" max="6" width="10.5703125" customWidth="1"/>
    <col min="7" max="7" width="10.42578125" customWidth="1"/>
    <col min="8" max="8" width="12.28515625" customWidth="1"/>
    <col min="9" max="9" width="11.140625" customWidth="1"/>
    <col min="10" max="10" width="13.5703125" customWidth="1"/>
    <col min="11" max="11" width="14.7109375" customWidth="1"/>
    <col min="12" max="12" width="12.85546875" customWidth="1"/>
    <col min="13" max="13" width="10" customWidth="1"/>
    <col min="14" max="14" width="10.85546875" customWidth="1"/>
    <col min="15" max="15" width="11.28515625" customWidth="1"/>
    <col min="16" max="16" width="10.85546875" customWidth="1"/>
    <col min="17" max="17" width="10" customWidth="1"/>
    <col min="18" max="18" width="11.85546875" customWidth="1"/>
    <col min="19" max="19" width="12.28515625" customWidth="1"/>
    <col min="20" max="20" width="15.85546875" customWidth="1"/>
    <col min="21" max="21" width="14.42578125" customWidth="1"/>
    <col min="22" max="22" width="11.140625" customWidth="1"/>
    <col min="23" max="23" width="9.7109375" customWidth="1"/>
    <col min="24" max="25" width="7.28515625" style="67" customWidth="1"/>
    <col min="26" max="26" width="10.42578125" style="67" customWidth="1"/>
    <col min="27" max="27" width="7.28515625" style="67" customWidth="1"/>
    <col min="28" max="28" width="16.5703125" style="67" customWidth="1"/>
    <col min="29" max="29" width="14.42578125" style="67" customWidth="1"/>
    <col min="30" max="30" width="13" style="67" customWidth="1"/>
    <col min="31" max="31" width="7.7109375" customWidth="1"/>
    <col min="32" max="34" width="8" customWidth="1"/>
    <col min="35" max="35" width="7.85546875" customWidth="1"/>
    <col min="36" max="36" width="9.28515625" customWidth="1"/>
    <col min="37" max="37" width="9.140625" customWidth="1"/>
    <col min="38" max="38" width="8.85546875" customWidth="1"/>
    <col min="39" max="39" width="13.42578125" customWidth="1"/>
    <col min="40" max="40" width="11.42578125" customWidth="1"/>
    <col min="41" max="41" width="11" customWidth="1"/>
    <col min="42" max="42" width="11.42578125" customWidth="1"/>
    <col min="43" max="43" width="10.42578125" customWidth="1"/>
    <col min="44" max="44" width="11.5703125" customWidth="1"/>
    <col min="45" max="45" width="11.28515625" customWidth="1"/>
    <col min="46" max="46" width="16.5703125" customWidth="1"/>
    <col min="47" max="47" width="14.7109375" customWidth="1"/>
    <col min="48" max="48" width="15" customWidth="1"/>
    <col min="49" max="49" width="9.5703125" bestFit="1" customWidth="1"/>
    <col min="51" max="51" width="9.28515625" bestFit="1" customWidth="1"/>
    <col min="57" max="57" width="17.85546875" customWidth="1"/>
    <col min="58" max="58" width="16.7109375" customWidth="1"/>
    <col min="59" max="59" width="17.7109375" customWidth="1"/>
    <col min="93" max="103" width="9.140625" style="902"/>
    <col min="104" max="104" width="19.5703125" customWidth="1"/>
    <col min="105" max="105" width="49.140625" customWidth="1"/>
  </cols>
  <sheetData>
    <row r="1" spans="1:103" x14ac:dyDescent="0.2">
      <c r="A1" s="1057"/>
      <c r="B1" s="1057"/>
      <c r="C1" s="1057"/>
      <c r="D1" s="1057"/>
      <c r="E1" s="1057"/>
      <c r="F1" s="1057"/>
      <c r="G1" s="1057"/>
      <c r="H1" s="1057"/>
      <c r="I1" s="1057"/>
      <c r="J1" s="1057"/>
      <c r="K1" s="1057"/>
      <c r="L1" s="1057"/>
      <c r="M1" s="1057"/>
      <c r="N1" s="1057"/>
    </row>
    <row r="3" spans="1:103" x14ac:dyDescent="0.2">
      <c r="A3" s="1057"/>
      <c r="B3" s="1057"/>
      <c r="C3" s="1057"/>
      <c r="D3" s="1057"/>
      <c r="E3" s="1057"/>
      <c r="F3" s="1057"/>
      <c r="G3" s="1057"/>
      <c r="H3" s="1057"/>
      <c r="I3" s="1057"/>
      <c r="J3" s="1057"/>
      <c r="K3" s="1057"/>
      <c r="L3" s="1057"/>
      <c r="M3" s="1057"/>
      <c r="N3" s="1057"/>
    </row>
    <row r="4" spans="1:103" x14ac:dyDescent="0.2">
      <c r="A4" s="1057"/>
      <c r="B4" s="1057"/>
      <c r="C4" s="1057"/>
      <c r="D4" s="1057"/>
      <c r="E4" s="1057"/>
      <c r="F4" s="1057"/>
      <c r="G4" s="1057"/>
      <c r="H4" s="1057"/>
      <c r="I4" s="1057"/>
      <c r="J4" s="1057"/>
      <c r="K4" s="1057"/>
      <c r="L4" s="1057"/>
      <c r="M4" s="1057"/>
      <c r="N4" s="1057"/>
    </row>
    <row r="5" spans="1:103" x14ac:dyDescent="0.2">
      <c r="A5">
        <v>1</v>
      </c>
      <c r="B5">
        <v>2</v>
      </c>
      <c r="C5">
        <v>3</v>
      </c>
      <c r="D5">
        <v>4</v>
      </c>
      <c r="E5">
        <v>5</v>
      </c>
      <c r="F5">
        <v>6</v>
      </c>
      <c r="G5">
        <v>7</v>
      </c>
      <c r="H5">
        <v>8</v>
      </c>
      <c r="I5">
        <v>9</v>
      </c>
      <c r="J5">
        <v>10</v>
      </c>
      <c r="K5">
        <v>11</v>
      </c>
      <c r="L5">
        <v>12</v>
      </c>
      <c r="M5">
        <v>13</v>
      </c>
      <c r="N5">
        <v>14</v>
      </c>
      <c r="O5">
        <v>15</v>
      </c>
      <c r="P5">
        <v>16</v>
      </c>
      <c r="Q5">
        <v>17</v>
      </c>
      <c r="R5">
        <v>18</v>
      </c>
      <c r="S5">
        <v>19</v>
      </c>
      <c r="T5">
        <v>20</v>
      </c>
      <c r="U5">
        <v>21</v>
      </c>
      <c r="V5">
        <v>22</v>
      </c>
      <c r="W5">
        <v>23</v>
      </c>
      <c r="X5">
        <v>24</v>
      </c>
      <c r="Y5">
        <v>25</v>
      </c>
      <c r="Z5">
        <v>26</v>
      </c>
      <c r="AA5">
        <v>27</v>
      </c>
      <c r="AB5">
        <v>28</v>
      </c>
      <c r="AC5">
        <v>29</v>
      </c>
      <c r="AD5">
        <v>30</v>
      </c>
      <c r="AE5">
        <v>31</v>
      </c>
      <c r="AF5">
        <v>32</v>
      </c>
      <c r="AG5">
        <v>33</v>
      </c>
      <c r="AH5">
        <v>34</v>
      </c>
      <c r="AI5">
        <v>35</v>
      </c>
      <c r="AJ5">
        <v>36</v>
      </c>
      <c r="AK5">
        <v>37</v>
      </c>
      <c r="AL5">
        <v>38</v>
      </c>
      <c r="AM5">
        <v>39</v>
      </c>
      <c r="AN5">
        <v>40</v>
      </c>
      <c r="AO5">
        <v>41</v>
      </c>
      <c r="AP5">
        <v>42</v>
      </c>
      <c r="AQ5">
        <v>43</v>
      </c>
      <c r="AR5">
        <v>44</v>
      </c>
      <c r="AS5">
        <v>45</v>
      </c>
      <c r="AT5">
        <v>46</v>
      </c>
      <c r="AU5">
        <v>47</v>
      </c>
      <c r="AV5">
        <v>48</v>
      </c>
      <c r="AW5">
        <v>49</v>
      </c>
      <c r="AX5">
        <v>50</v>
      </c>
      <c r="AY5">
        <v>51</v>
      </c>
      <c r="AZ5">
        <v>52</v>
      </c>
      <c r="BA5">
        <v>53</v>
      </c>
      <c r="BB5">
        <v>54</v>
      </c>
      <c r="BC5">
        <v>55</v>
      </c>
      <c r="BD5">
        <v>56</v>
      </c>
      <c r="BE5">
        <v>57</v>
      </c>
      <c r="BF5">
        <v>58</v>
      </c>
      <c r="BG5">
        <v>59</v>
      </c>
      <c r="BH5">
        <v>60</v>
      </c>
      <c r="BI5">
        <v>61</v>
      </c>
      <c r="BJ5">
        <v>62</v>
      </c>
      <c r="BK5">
        <v>63</v>
      </c>
      <c r="BL5">
        <v>64</v>
      </c>
      <c r="BM5">
        <v>65</v>
      </c>
      <c r="BN5">
        <v>66</v>
      </c>
      <c r="BO5">
        <v>67</v>
      </c>
      <c r="BP5">
        <v>68</v>
      </c>
      <c r="BQ5">
        <v>69</v>
      </c>
      <c r="BR5">
        <v>70</v>
      </c>
      <c r="BS5">
        <v>71</v>
      </c>
      <c r="BT5">
        <v>72</v>
      </c>
      <c r="BU5">
        <v>73</v>
      </c>
      <c r="BV5">
        <v>74</v>
      </c>
      <c r="BW5">
        <v>75</v>
      </c>
      <c r="BX5">
        <v>76</v>
      </c>
      <c r="BY5">
        <v>77</v>
      </c>
      <c r="BZ5">
        <v>78</v>
      </c>
      <c r="CA5">
        <v>79</v>
      </c>
      <c r="CB5">
        <v>80</v>
      </c>
      <c r="CC5">
        <v>81</v>
      </c>
      <c r="CD5">
        <v>82</v>
      </c>
      <c r="CE5">
        <v>83</v>
      </c>
      <c r="CF5">
        <v>84</v>
      </c>
      <c r="CG5">
        <v>85</v>
      </c>
      <c r="CH5">
        <v>86</v>
      </c>
      <c r="CI5">
        <v>87</v>
      </c>
      <c r="CJ5">
        <v>88</v>
      </c>
      <c r="CK5">
        <v>89</v>
      </c>
      <c r="CL5">
        <v>90</v>
      </c>
      <c r="CM5">
        <v>91</v>
      </c>
      <c r="CN5">
        <v>92</v>
      </c>
      <c r="CO5" s="902">
        <v>93</v>
      </c>
      <c r="CP5" s="902">
        <v>94</v>
      </c>
      <c r="CQ5" s="902">
        <v>95</v>
      </c>
      <c r="CR5" s="902">
        <v>96</v>
      </c>
      <c r="CS5" s="902">
        <v>97</v>
      </c>
      <c r="CT5" s="902">
        <v>98</v>
      </c>
      <c r="CU5" s="902">
        <v>99</v>
      </c>
      <c r="CV5" s="902">
        <v>100</v>
      </c>
      <c r="CW5" s="902">
        <v>101</v>
      </c>
      <c r="CX5" s="902">
        <v>102</v>
      </c>
      <c r="CY5" s="902">
        <v>103</v>
      </c>
    </row>
    <row r="7" spans="1:103" x14ac:dyDescent="0.2">
      <c r="A7" s="1054" t="s">
        <v>5</v>
      </c>
      <c r="B7" s="1054" t="s">
        <v>138</v>
      </c>
      <c r="C7" s="1054" t="s">
        <v>139</v>
      </c>
      <c r="D7" s="1046">
        <v>2016</v>
      </c>
      <c r="E7" s="1050"/>
      <c r="F7" s="1050"/>
      <c r="G7" s="1050"/>
      <c r="H7" s="1050"/>
      <c r="I7" s="1050"/>
      <c r="J7" s="1050"/>
      <c r="K7" s="1050"/>
      <c r="L7" s="1047"/>
      <c r="M7" s="1046">
        <v>2017</v>
      </c>
      <c r="N7" s="1050"/>
      <c r="O7" s="1050"/>
      <c r="P7" s="1050"/>
      <c r="Q7" s="1050"/>
      <c r="R7" s="1050"/>
      <c r="S7" s="1050"/>
      <c r="T7" s="1050"/>
      <c r="U7" s="1047"/>
      <c r="V7" s="1053">
        <v>2018</v>
      </c>
      <c r="W7" s="1054"/>
      <c r="X7" s="1054"/>
      <c r="Y7" s="1054"/>
      <c r="Z7" s="1054"/>
      <c r="AA7" s="1054"/>
      <c r="AB7" s="1054"/>
      <c r="AC7" s="1054"/>
      <c r="AD7" s="1054"/>
      <c r="AE7" s="1053">
        <v>2019</v>
      </c>
      <c r="AF7" s="1054"/>
      <c r="AG7" s="1054"/>
      <c r="AH7" s="1054"/>
      <c r="AI7" s="1054"/>
      <c r="AJ7" s="1054"/>
      <c r="AK7" s="1054"/>
      <c r="AL7" s="1054"/>
      <c r="AM7" s="1054"/>
      <c r="AN7" s="1053">
        <v>2020</v>
      </c>
      <c r="AO7" s="1054"/>
      <c r="AP7" s="1054"/>
      <c r="AQ7" s="1054"/>
      <c r="AR7" s="1054"/>
      <c r="AS7" s="1054"/>
      <c r="AT7" s="1054"/>
      <c r="AU7" s="1054"/>
      <c r="AV7" s="1054"/>
      <c r="AW7" s="1053">
        <v>2021</v>
      </c>
      <c r="AX7" s="1054"/>
      <c r="AY7" s="1054"/>
      <c r="AZ7" s="1054"/>
      <c r="BA7" s="1054"/>
      <c r="BB7" s="1054"/>
      <c r="BC7" s="1054"/>
      <c r="BD7" s="1054"/>
      <c r="BE7" s="1054"/>
      <c r="BF7" s="1054"/>
      <c r="BG7" s="1054"/>
      <c r="BH7" s="1053">
        <v>2022</v>
      </c>
      <c r="BI7" s="1054"/>
      <c r="BJ7" s="1054"/>
      <c r="BK7" s="1054"/>
      <c r="BL7" s="1054"/>
      <c r="BM7" s="1054"/>
      <c r="BN7" s="1054"/>
      <c r="BO7" s="1054"/>
      <c r="BP7" s="1054"/>
      <c r="BQ7" s="1054"/>
      <c r="BR7" s="1054"/>
      <c r="BS7" s="1199">
        <v>2023</v>
      </c>
      <c r="BT7" s="1200"/>
      <c r="BU7" s="1200"/>
      <c r="BV7" s="1200"/>
      <c r="BW7" s="1200"/>
      <c r="BX7" s="1200"/>
      <c r="BY7" s="1200"/>
      <c r="BZ7" s="1200"/>
      <c r="CA7" s="1200"/>
      <c r="CB7" s="1200"/>
      <c r="CC7" s="1200"/>
      <c r="CD7" s="1211">
        <v>2024</v>
      </c>
      <c r="CE7" s="1212"/>
      <c r="CF7" s="1212"/>
      <c r="CG7" s="1212"/>
      <c r="CH7" s="1212"/>
      <c r="CI7" s="1212"/>
      <c r="CJ7" s="1212"/>
      <c r="CK7" s="1212"/>
      <c r="CL7" s="1212"/>
      <c r="CM7" s="1212"/>
      <c r="CN7" s="1212"/>
      <c r="CO7" s="1186">
        <v>2025</v>
      </c>
      <c r="CP7" s="1187"/>
      <c r="CQ7" s="1187"/>
      <c r="CR7" s="1187"/>
      <c r="CS7" s="1187"/>
      <c r="CT7" s="1187"/>
      <c r="CU7" s="1187"/>
      <c r="CV7" s="1187"/>
      <c r="CW7" s="1187"/>
      <c r="CX7" s="1187"/>
      <c r="CY7" s="1187"/>
    </row>
    <row r="8" spans="1:103" ht="61.5" customHeight="1" x14ac:dyDescent="0.2">
      <c r="A8" s="1054"/>
      <c r="B8" s="1054"/>
      <c r="C8" s="1054"/>
      <c r="D8" s="1208" t="s">
        <v>120</v>
      </c>
      <c r="E8" s="1207" t="s">
        <v>119</v>
      </c>
      <c r="F8" s="1192" t="s">
        <v>168</v>
      </c>
      <c r="G8" s="1057"/>
      <c r="H8" s="1057"/>
      <c r="I8" s="1057"/>
      <c r="J8" s="1192" t="s">
        <v>169</v>
      </c>
      <c r="K8" s="1057"/>
      <c r="L8" s="1057"/>
      <c r="M8" s="1208" t="s">
        <v>120</v>
      </c>
      <c r="N8" s="1207" t="s">
        <v>119</v>
      </c>
      <c r="O8" s="1209" t="s">
        <v>168</v>
      </c>
      <c r="P8" s="1210"/>
      <c r="Q8" s="1210"/>
      <c r="R8" s="1210"/>
      <c r="S8" s="1209" t="s">
        <v>169</v>
      </c>
      <c r="T8" s="1210"/>
      <c r="U8" s="1210"/>
      <c r="V8" s="1188" t="s">
        <v>120</v>
      </c>
      <c r="W8" s="1190" t="s">
        <v>119</v>
      </c>
      <c r="X8" s="1192" t="s">
        <v>168</v>
      </c>
      <c r="Y8" s="1057"/>
      <c r="Z8" s="1057"/>
      <c r="AA8" s="1057"/>
      <c r="AB8" s="1192" t="s">
        <v>169</v>
      </c>
      <c r="AC8" s="1057"/>
      <c r="AD8" s="1057"/>
      <c r="AE8" s="1194" t="s">
        <v>120</v>
      </c>
      <c r="AF8" s="1196" t="s">
        <v>119</v>
      </c>
      <c r="AG8" s="1192" t="s">
        <v>168</v>
      </c>
      <c r="AH8" s="1057"/>
      <c r="AI8" s="1057"/>
      <c r="AJ8" s="1057"/>
      <c r="AK8" s="1192" t="s">
        <v>169</v>
      </c>
      <c r="AL8" s="1057"/>
      <c r="AM8" s="1057"/>
      <c r="AN8" s="1188" t="s">
        <v>120</v>
      </c>
      <c r="AO8" s="1190" t="s">
        <v>119</v>
      </c>
      <c r="AP8" s="1192" t="s">
        <v>168</v>
      </c>
      <c r="AQ8" s="1057"/>
      <c r="AR8" s="1057"/>
      <c r="AS8" s="1057"/>
      <c r="AT8" s="1192" t="s">
        <v>169</v>
      </c>
      <c r="AU8" s="1057"/>
      <c r="AV8" s="1057"/>
      <c r="AW8" s="1188" t="s">
        <v>120</v>
      </c>
      <c r="AX8" s="1190" t="s">
        <v>763</v>
      </c>
      <c r="AY8" s="1190" t="s">
        <v>119</v>
      </c>
      <c r="AZ8" s="1190" t="s">
        <v>764</v>
      </c>
      <c r="BA8" s="1192" t="s">
        <v>168</v>
      </c>
      <c r="BB8" s="1057"/>
      <c r="BC8" s="1057"/>
      <c r="BD8" s="1057"/>
      <c r="BE8" s="1192" t="s">
        <v>169</v>
      </c>
      <c r="BF8" s="1057"/>
      <c r="BG8" s="1057"/>
      <c r="BH8" s="1188" t="s">
        <v>120</v>
      </c>
      <c r="BI8" s="1190" t="s">
        <v>763</v>
      </c>
      <c r="BJ8" s="1190" t="s">
        <v>119</v>
      </c>
      <c r="BK8" s="1190" t="s">
        <v>764</v>
      </c>
      <c r="BL8" s="1192" t="s">
        <v>168</v>
      </c>
      <c r="BM8" s="1057"/>
      <c r="BN8" s="1057"/>
      <c r="BO8" s="1057"/>
      <c r="BP8" s="1192" t="s">
        <v>169</v>
      </c>
      <c r="BQ8" s="1057"/>
      <c r="BR8" s="1057"/>
      <c r="BS8" s="1188" t="s">
        <v>120</v>
      </c>
      <c r="BT8" s="1190" t="s">
        <v>763</v>
      </c>
      <c r="BU8" s="1190" t="s">
        <v>119</v>
      </c>
      <c r="BV8" s="1190" t="s">
        <v>764</v>
      </c>
      <c r="BW8" s="1192" t="s">
        <v>168</v>
      </c>
      <c r="BX8" s="1057"/>
      <c r="BY8" s="1057"/>
      <c r="BZ8" s="1057"/>
      <c r="CA8" s="1192" t="s">
        <v>169</v>
      </c>
      <c r="CB8" s="1057"/>
      <c r="CC8" s="1057"/>
      <c r="CD8" s="1188" t="s">
        <v>120</v>
      </c>
      <c r="CE8" s="1190" t="s">
        <v>763</v>
      </c>
      <c r="CF8" s="1190" t="s">
        <v>119</v>
      </c>
      <c r="CG8" s="1190" t="s">
        <v>764</v>
      </c>
      <c r="CH8" s="1192" t="s">
        <v>168</v>
      </c>
      <c r="CI8" s="1057"/>
      <c r="CJ8" s="1057"/>
      <c r="CK8" s="1057"/>
      <c r="CL8" s="1192" t="s">
        <v>169</v>
      </c>
      <c r="CM8" s="1057"/>
      <c r="CN8" s="1057"/>
      <c r="CO8" s="1188" t="s">
        <v>120</v>
      </c>
      <c r="CP8" s="1190" t="s">
        <v>763</v>
      </c>
      <c r="CQ8" s="1190" t="s">
        <v>119</v>
      </c>
      <c r="CR8" s="1190" t="s">
        <v>764</v>
      </c>
      <c r="CS8" s="1192" t="s">
        <v>168</v>
      </c>
      <c r="CT8" s="1193"/>
      <c r="CU8" s="1193"/>
      <c r="CV8" s="1193"/>
      <c r="CW8" s="1192" t="s">
        <v>169</v>
      </c>
      <c r="CX8" s="1193"/>
      <c r="CY8" s="1193"/>
    </row>
    <row r="9" spans="1:103" ht="216" customHeight="1" x14ac:dyDescent="0.2">
      <c r="A9" s="1065"/>
      <c r="B9" s="1065"/>
      <c r="C9" s="1065"/>
      <c r="D9" s="1189"/>
      <c r="E9" s="1191"/>
      <c r="F9" s="7" t="s">
        <v>105</v>
      </c>
      <c r="G9" s="7" t="s">
        <v>48</v>
      </c>
      <c r="H9" s="7" t="s">
        <v>88</v>
      </c>
      <c r="I9" s="7" t="s">
        <v>57</v>
      </c>
      <c r="J9" s="7" t="s">
        <v>217</v>
      </c>
      <c r="K9" s="7" t="s">
        <v>218</v>
      </c>
      <c r="L9" s="7" t="s">
        <v>220</v>
      </c>
      <c r="M9" s="1189"/>
      <c r="N9" s="1191"/>
      <c r="O9" s="16" t="s">
        <v>105</v>
      </c>
      <c r="P9" s="16" t="s">
        <v>48</v>
      </c>
      <c r="Q9" s="16" t="s">
        <v>88</v>
      </c>
      <c r="R9" s="16" t="s">
        <v>57</v>
      </c>
      <c r="S9" s="16" t="s">
        <v>217</v>
      </c>
      <c r="T9" s="16" t="s">
        <v>218</v>
      </c>
      <c r="U9" s="16" t="s">
        <v>220</v>
      </c>
      <c r="V9" s="1189"/>
      <c r="W9" s="1191"/>
      <c r="X9" s="7" t="s">
        <v>105</v>
      </c>
      <c r="Y9" s="7" t="s">
        <v>48</v>
      </c>
      <c r="Z9" s="7" t="s">
        <v>88</v>
      </c>
      <c r="AA9" s="7" t="s">
        <v>57</v>
      </c>
      <c r="AB9" s="7" t="s">
        <v>219</v>
      </c>
      <c r="AC9" s="7" t="s">
        <v>213</v>
      </c>
      <c r="AD9" s="7" t="s">
        <v>215</v>
      </c>
      <c r="AE9" s="1195"/>
      <c r="AF9" s="1197"/>
      <c r="AG9" s="7" t="s">
        <v>105</v>
      </c>
      <c r="AH9" s="7" t="s">
        <v>48</v>
      </c>
      <c r="AI9" s="7" t="s">
        <v>88</v>
      </c>
      <c r="AJ9" s="7" t="s">
        <v>57</v>
      </c>
      <c r="AK9" s="7" t="s">
        <v>211</v>
      </c>
      <c r="AL9" s="7" t="s">
        <v>216</v>
      </c>
      <c r="AM9" s="7" t="s">
        <v>215</v>
      </c>
      <c r="AN9" s="1189"/>
      <c r="AO9" s="1191"/>
      <c r="AP9" s="7" t="s">
        <v>105</v>
      </c>
      <c r="AQ9" s="7" t="s">
        <v>48</v>
      </c>
      <c r="AR9" s="7" t="s">
        <v>88</v>
      </c>
      <c r="AS9" s="7" t="s">
        <v>57</v>
      </c>
      <c r="AT9" s="7" t="s">
        <v>211</v>
      </c>
      <c r="AU9" s="7" t="s">
        <v>214</v>
      </c>
      <c r="AV9" s="7" t="s">
        <v>212</v>
      </c>
      <c r="AW9" s="1189"/>
      <c r="AX9" s="1191"/>
      <c r="AY9" s="1191"/>
      <c r="AZ9" s="1191"/>
      <c r="BA9" s="7" t="s">
        <v>105</v>
      </c>
      <c r="BB9" s="7" t="s">
        <v>48</v>
      </c>
      <c r="BC9" s="7" t="s">
        <v>88</v>
      </c>
      <c r="BD9" s="7" t="s">
        <v>57</v>
      </c>
      <c r="BE9" s="7" t="s">
        <v>211</v>
      </c>
      <c r="BF9" s="7" t="s">
        <v>762</v>
      </c>
      <c r="BG9" s="7" t="s">
        <v>215</v>
      </c>
      <c r="BH9" s="1189"/>
      <c r="BI9" s="1191"/>
      <c r="BJ9" s="1191"/>
      <c r="BK9" s="1191"/>
      <c r="BL9" s="7" t="s">
        <v>105</v>
      </c>
      <c r="BM9" s="7" t="s">
        <v>48</v>
      </c>
      <c r="BN9" s="7" t="s">
        <v>88</v>
      </c>
      <c r="BO9" s="7" t="s">
        <v>57</v>
      </c>
      <c r="BP9" s="7" t="s">
        <v>211</v>
      </c>
      <c r="BQ9" s="7" t="s">
        <v>762</v>
      </c>
      <c r="BR9" s="7" t="s">
        <v>215</v>
      </c>
      <c r="BS9" s="1189"/>
      <c r="BT9" s="1191"/>
      <c r="BU9" s="1191"/>
      <c r="BV9" s="1191"/>
      <c r="BW9" s="7" t="s">
        <v>105</v>
      </c>
      <c r="BX9" s="7" t="s">
        <v>48</v>
      </c>
      <c r="BY9" s="7" t="s">
        <v>88</v>
      </c>
      <c r="BZ9" s="7" t="s">
        <v>57</v>
      </c>
      <c r="CA9" s="7" t="s">
        <v>762</v>
      </c>
      <c r="CB9" s="7" t="s">
        <v>211</v>
      </c>
      <c r="CC9" s="7" t="s">
        <v>215</v>
      </c>
      <c r="CD9" s="1189"/>
      <c r="CE9" s="1191"/>
      <c r="CF9" s="1191"/>
      <c r="CG9" s="1191"/>
      <c r="CH9" s="7">
        <v>1</v>
      </c>
      <c r="CI9" s="7">
        <v>2</v>
      </c>
      <c r="CJ9" s="7">
        <v>3</v>
      </c>
      <c r="CK9" s="7">
        <v>4</v>
      </c>
      <c r="CL9" s="7" t="s">
        <v>211</v>
      </c>
      <c r="CM9" s="7" t="s">
        <v>762</v>
      </c>
      <c r="CN9" s="7" t="s">
        <v>215</v>
      </c>
      <c r="CO9" s="1189"/>
      <c r="CP9" s="1191"/>
      <c r="CQ9" s="1191"/>
      <c r="CR9" s="1191"/>
      <c r="CS9" s="899">
        <v>1</v>
      </c>
      <c r="CT9" s="899">
        <v>2</v>
      </c>
      <c r="CU9" s="899">
        <v>3</v>
      </c>
      <c r="CV9" s="899">
        <v>4</v>
      </c>
      <c r="CW9" s="899" t="s">
        <v>211</v>
      </c>
      <c r="CX9" s="899" t="s">
        <v>762</v>
      </c>
      <c r="CY9" s="899" t="s">
        <v>215</v>
      </c>
    </row>
    <row r="10" spans="1:103" ht="24.95" customHeight="1" x14ac:dyDescent="0.2">
      <c r="A10" s="3" t="s">
        <v>10</v>
      </c>
      <c r="B10" s="3"/>
      <c r="C10" s="3"/>
      <c r="D10" s="17">
        <v>54</v>
      </c>
      <c r="E10" s="17">
        <v>9</v>
      </c>
      <c r="F10" s="37">
        <v>0.02</v>
      </c>
      <c r="G10" s="37">
        <v>0.37</v>
      </c>
      <c r="H10" s="37">
        <v>0.5</v>
      </c>
      <c r="I10" s="37">
        <v>0.1</v>
      </c>
      <c r="J10" s="37">
        <v>0.45</v>
      </c>
      <c r="K10" s="37">
        <v>0.5</v>
      </c>
      <c r="L10" s="8" t="s">
        <v>174</v>
      </c>
      <c r="M10" s="18">
        <v>54</v>
      </c>
      <c r="N10" s="18">
        <v>10</v>
      </c>
      <c r="O10" s="58">
        <v>0.02</v>
      </c>
      <c r="P10" s="58">
        <v>0.33</v>
      </c>
      <c r="Q10" s="58">
        <v>0.52</v>
      </c>
      <c r="R10" s="58">
        <v>0.13</v>
      </c>
      <c r="S10" s="58">
        <v>0.43</v>
      </c>
      <c r="T10" s="58">
        <v>0.47</v>
      </c>
      <c r="U10" s="58">
        <v>0.46</v>
      </c>
      <c r="V10" s="18">
        <v>54</v>
      </c>
      <c r="W10" s="18">
        <v>10</v>
      </c>
      <c r="X10" s="64">
        <v>0.03</v>
      </c>
      <c r="Y10" s="64">
        <v>0.35</v>
      </c>
      <c r="Z10" s="64">
        <v>0.49</v>
      </c>
      <c r="AA10" s="64">
        <v>0.13</v>
      </c>
      <c r="AB10" s="64">
        <v>0.44</v>
      </c>
      <c r="AC10" s="64">
        <v>0.47</v>
      </c>
      <c r="AD10" s="64">
        <v>0.51</v>
      </c>
      <c r="AE10" s="18">
        <v>53</v>
      </c>
      <c r="AF10" s="18">
        <v>10</v>
      </c>
      <c r="AG10" s="37">
        <v>0.04</v>
      </c>
      <c r="AH10" s="37">
        <v>0.34</v>
      </c>
      <c r="AI10" s="37">
        <v>0.49</v>
      </c>
      <c r="AJ10" s="37">
        <v>0.12</v>
      </c>
      <c r="AK10" s="37">
        <v>0.43</v>
      </c>
      <c r="AL10" s="37">
        <v>0.37</v>
      </c>
      <c r="AM10" s="37">
        <v>0.43</v>
      </c>
      <c r="AN10" s="8">
        <v>53</v>
      </c>
      <c r="AO10" s="8">
        <v>10</v>
      </c>
      <c r="AP10" s="37">
        <v>0.04</v>
      </c>
      <c r="AQ10" s="37">
        <v>0.36</v>
      </c>
      <c r="AR10" s="37">
        <v>0.49</v>
      </c>
      <c r="AS10" s="37">
        <v>0.1</v>
      </c>
      <c r="AT10" s="37">
        <v>0.48</v>
      </c>
      <c r="AU10" s="37">
        <v>0.39</v>
      </c>
      <c r="AV10" s="37">
        <v>0.43</v>
      </c>
      <c r="AW10" s="245">
        <v>53</v>
      </c>
      <c r="AX10" s="245" t="s">
        <v>758</v>
      </c>
      <c r="AY10" s="245">
        <v>11</v>
      </c>
      <c r="AZ10" s="245" t="s">
        <v>759</v>
      </c>
      <c r="BA10" s="260">
        <v>0.04</v>
      </c>
      <c r="BB10" s="260">
        <v>0.37</v>
      </c>
      <c r="BC10" s="260">
        <v>0.45</v>
      </c>
      <c r="BD10" s="260">
        <v>0.13</v>
      </c>
      <c r="BE10" s="260">
        <v>0.45</v>
      </c>
      <c r="BF10" s="260">
        <v>0.36</v>
      </c>
      <c r="BG10" s="260">
        <v>0.55000000000000004</v>
      </c>
      <c r="BH10" s="313">
        <v>54</v>
      </c>
      <c r="BI10" s="313" t="s">
        <v>758</v>
      </c>
      <c r="BJ10" s="313">
        <v>11</v>
      </c>
      <c r="BK10" s="313" t="s">
        <v>759</v>
      </c>
      <c r="BL10" s="287">
        <v>0.05</v>
      </c>
      <c r="BM10" s="287">
        <v>0.34</v>
      </c>
      <c r="BN10" s="287">
        <v>0.47</v>
      </c>
      <c r="BO10" s="287">
        <v>0.14000000000000001</v>
      </c>
      <c r="BP10" s="287">
        <v>0.47</v>
      </c>
      <c r="BQ10" s="287">
        <v>0.36</v>
      </c>
      <c r="BR10" s="287">
        <v>0.47</v>
      </c>
      <c r="BS10" s="421">
        <v>54</v>
      </c>
      <c r="BT10" s="421" t="s">
        <v>758</v>
      </c>
      <c r="BU10" s="421">
        <v>10</v>
      </c>
      <c r="BV10" s="421" t="s">
        <v>758</v>
      </c>
      <c r="BW10" s="425">
        <v>0.04</v>
      </c>
      <c r="BX10" s="425">
        <v>0.35</v>
      </c>
      <c r="BY10" s="425">
        <v>0.48</v>
      </c>
      <c r="BZ10" s="425">
        <v>0.13</v>
      </c>
      <c r="CA10" s="425">
        <v>0.37</v>
      </c>
      <c r="CB10" s="425">
        <v>0.48</v>
      </c>
      <c r="CC10" s="425">
        <v>0.5</v>
      </c>
      <c r="CD10" s="461">
        <v>54</v>
      </c>
      <c r="CE10" s="461" t="s">
        <v>758</v>
      </c>
      <c r="CF10" s="461" t="s">
        <v>681</v>
      </c>
      <c r="CG10" s="461" t="s">
        <v>758</v>
      </c>
      <c r="CH10" s="473">
        <v>0.04</v>
      </c>
      <c r="CI10" s="473">
        <v>0.31</v>
      </c>
      <c r="CJ10" s="473">
        <v>0.5</v>
      </c>
      <c r="CK10" s="473">
        <v>0.15</v>
      </c>
      <c r="CL10" s="473">
        <v>0.45</v>
      </c>
      <c r="CM10" s="473">
        <v>0.44</v>
      </c>
      <c r="CN10" s="473">
        <v>0.35</v>
      </c>
      <c r="CO10" s="461">
        <v>55</v>
      </c>
      <c r="CP10" s="461" t="s">
        <v>758</v>
      </c>
      <c r="CQ10" s="461">
        <v>10</v>
      </c>
      <c r="CR10" s="461" t="s">
        <v>758</v>
      </c>
      <c r="CS10" s="473">
        <v>0.03</v>
      </c>
      <c r="CT10" s="473">
        <v>0.32</v>
      </c>
      <c r="CU10" s="473">
        <v>0.48</v>
      </c>
      <c r="CV10" s="473">
        <v>0.16</v>
      </c>
      <c r="CW10" s="473">
        <v>0.33</v>
      </c>
      <c r="CX10" s="473">
        <v>0.44</v>
      </c>
      <c r="CY10" s="473">
        <v>0.51</v>
      </c>
    </row>
    <row r="11" spans="1:103" ht="24.95" customHeight="1" x14ac:dyDescent="0.2">
      <c r="A11" s="4" t="s">
        <v>0</v>
      </c>
      <c r="B11" s="4"/>
      <c r="C11" s="4"/>
      <c r="D11" s="19">
        <v>54</v>
      </c>
      <c r="E11" s="19">
        <v>8</v>
      </c>
      <c r="F11" s="38">
        <v>0.01</v>
      </c>
      <c r="G11" s="38">
        <v>0.34</v>
      </c>
      <c r="H11" s="38">
        <v>0.57999999999999996</v>
      </c>
      <c r="I11" s="38">
        <v>7.0000000000000007E-2</v>
      </c>
      <c r="J11" s="38">
        <v>0.43</v>
      </c>
      <c r="K11" s="38">
        <v>0.47</v>
      </c>
      <c r="L11" s="38">
        <v>0.54</v>
      </c>
      <c r="M11" s="20">
        <v>55</v>
      </c>
      <c r="N11" s="20">
        <v>8</v>
      </c>
      <c r="O11" s="59">
        <v>0.01</v>
      </c>
      <c r="P11" s="59">
        <v>0.28999999999999998</v>
      </c>
      <c r="Q11" s="59">
        <v>0.6</v>
      </c>
      <c r="R11" s="59">
        <v>0.09</v>
      </c>
      <c r="S11" s="59">
        <v>0.42</v>
      </c>
      <c r="T11" s="59">
        <v>0.46</v>
      </c>
      <c r="U11" s="59">
        <v>0.46</v>
      </c>
      <c r="V11" s="20">
        <v>54</v>
      </c>
      <c r="W11" s="20">
        <v>9</v>
      </c>
      <c r="X11" s="62">
        <v>0.01</v>
      </c>
      <c r="Y11" s="62">
        <v>0.32</v>
      </c>
      <c r="Z11" s="62">
        <v>0.56000000000000005</v>
      </c>
      <c r="AA11" s="62">
        <v>0.11</v>
      </c>
      <c r="AB11" s="62">
        <v>0.42</v>
      </c>
      <c r="AC11" s="62">
        <v>0.47</v>
      </c>
      <c r="AD11" s="62">
        <v>0.49</v>
      </c>
      <c r="AE11" s="20">
        <v>54</v>
      </c>
      <c r="AF11" s="20">
        <v>9</v>
      </c>
      <c r="AG11" s="38">
        <v>0.02</v>
      </c>
      <c r="AH11" s="38">
        <v>0.3</v>
      </c>
      <c r="AI11" s="38">
        <v>0.56999999999999995</v>
      </c>
      <c r="AJ11" s="38">
        <v>0.11</v>
      </c>
      <c r="AK11" s="38">
        <v>0.41</v>
      </c>
      <c r="AL11" s="38">
        <v>0.36</v>
      </c>
      <c r="AM11" s="38">
        <v>0.41</v>
      </c>
      <c r="AN11" s="9">
        <v>54</v>
      </c>
      <c r="AO11" s="9">
        <v>9</v>
      </c>
      <c r="AP11" s="38">
        <v>0.02</v>
      </c>
      <c r="AQ11" s="38">
        <v>0.31</v>
      </c>
      <c r="AR11" s="38">
        <v>0.59</v>
      </c>
      <c r="AS11" s="38">
        <v>0.09</v>
      </c>
      <c r="AT11" s="38">
        <v>0.46</v>
      </c>
      <c r="AU11" s="38">
        <v>0.36</v>
      </c>
      <c r="AV11" s="38">
        <v>0.42</v>
      </c>
      <c r="AW11" s="243">
        <v>55</v>
      </c>
      <c r="AX11" s="243" t="s">
        <v>11</v>
      </c>
      <c r="AY11" s="243">
        <v>9</v>
      </c>
      <c r="AZ11" s="243" t="s">
        <v>11</v>
      </c>
      <c r="BA11" s="261">
        <v>0.02</v>
      </c>
      <c r="BB11" s="261">
        <v>0.32</v>
      </c>
      <c r="BC11" s="261">
        <v>0.54</v>
      </c>
      <c r="BD11" s="261">
        <v>0.12</v>
      </c>
      <c r="BE11" s="261">
        <v>0.43</v>
      </c>
      <c r="BF11" s="261">
        <v>0.33</v>
      </c>
      <c r="BG11" s="261">
        <v>0.53</v>
      </c>
      <c r="BH11" s="314">
        <v>55</v>
      </c>
      <c r="BI11" s="314" t="s">
        <v>11</v>
      </c>
      <c r="BJ11" s="314">
        <v>9</v>
      </c>
      <c r="BK11" s="314" t="s">
        <v>11</v>
      </c>
      <c r="BL11" s="288">
        <v>0.02</v>
      </c>
      <c r="BM11" s="288">
        <v>0.27</v>
      </c>
      <c r="BN11" s="288">
        <v>0.57999999999999996</v>
      </c>
      <c r="BO11" s="288">
        <v>0.13</v>
      </c>
      <c r="BP11" s="288">
        <v>0.45</v>
      </c>
      <c r="BQ11" s="288">
        <v>0.33</v>
      </c>
      <c r="BR11" s="288">
        <v>0.43</v>
      </c>
      <c r="BS11" s="422">
        <v>55</v>
      </c>
      <c r="BT11" s="422" t="s">
        <v>11</v>
      </c>
      <c r="BU11" s="422">
        <v>9</v>
      </c>
      <c r="BV11" s="422" t="s">
        <v>11</v>
      </c>
      <c r="BW11" s="426">
        <v>0.02</v>
      </c>
      <c r="BX11" s="426">
        <v>0.28999999999999998</v>
      </c>
      <c r="BY11" s="426">
        <v>0.56999999999999995</v>
      </c>
      <c r="BZ11" s="426">
        <v>0.12</v>
      </c>
      <c r="CA11" s="426">
        <v>0.35</v>
      </c>
      <c r="CB11" s="426">
        <v>0.46</v>
      </c>
      <c r="CC11" s="426">
        <v>0.48</v>
      </c>
      <c r="CD11" s="462">
        <v>56</v>
      </c>
      <c r="CE11" s="462" t="s">
        <v>11</v>
      </c>
      <c r="CF11" s="462">
        <v>9</v>
      </c>
      <c r="CG11" s="462" t="s">
        <v>11</v>
      </c>
      <c r="CH11" s="474">
        <v>0.02</v>
      </c>
      <c r="CI11" s="474">
        <v>0.25</v>
      </c>
      <c r="CJ11" s="474">
        <v>0.59</v>
      </c>
      <c r="CK11" s="474">
        <v>0.14000000000000001</v>
      </c>
      <c r="CL11" s="474">
        <v>0.43</v>
      </c>
      <c r="CM11" s="474">
        <v>0.43</v>
      </c>
      <c r="CN11" s="474">
        <v>0.32</v>
      </c>
      <c r="CO11" s="462">
        <v>56</v>
      </c>
      <c r="CP11" s="462" t="s">
        <v>11</v>
      </c>
      <c r="CQ11" s="462">
        <v>9</v>
      </c>
      <c r="CR11" s="462" t="s">
        <v>11</v>
      </c>
      <c r="CS11" s="474">
        <v>0.01</v>
      </c>
      <c r="CT11" s="474">
        <v>0.26</v>
      </c>
      <c r="CU11" s="474">
        <v>0.56999999999999995</v>
      </c>
      <c r="CV11" s="474">
        <v>0.16</v>
      </c>
      <c r="CW11" s="474">
        <v>0.3</v>
      </c>
      <c r="CX11" s="474">
        <v>0.42</v>
      </c>
      <c r="CY11" s="474">
        <v>0.49</v>
      </c>
    </row>
    <row r="12" spans="1:103" ht="24.95" customHeight="1" x14ac:dyDescent="0.2">
      <c r="A12" s="6" t="s">
        <v>12</v>
      </c>
      <c r="B12" s="6"/>
      <c r="C12" s="6"/>
      <c r="D12" s="21">
        <v>53</v>
      </c>
      <c r="E12" s="21">
        <v>8</v>
      </c>
      <c r="F12" s="39">
        <v>0.01</v>
      </c>
      <c r="G12" s="39">
        <v>0.39</v>
      </c>
      <c r="H12" s="39">
        <v>0.54</v>
      </c>
      <c r="I12" s="39">
        <v>0.05</v>
      </c>
      <c r="J12" s="39">
        <f>AVERAGEIFS(J$36:J$173,$B$36:$B$173,"=oficial")</f>
        <v>0.4592</v>
      </c>
      <c r="K12" s="39">
        <f>AVERAGEIFS(K$36:K$173,$B$36:$B$173,"=oficial")</f>
        <v>0.49399999999999983</v>
      </c>
      <c r="L12" s="39">
        <f>AVERAGEIFS(L$36:L$173,$B$36:$B$173,"=oficial")</f>
        <v>0.5623999999999999</v>
      </c>
      <c r="M12" s="22">
        <v>54</v>
      </c>
      <c r="N12" s="22">
        <v>8</v>
      </c>
      <c r="O12" s="60">
        <v>0.01</v>
      </c>
      <c r="P12" s="60">
        <v>0.34</v>
      </c>
      <c r="Q12" s="60">
        <v>0.56999999999999995</v>
      </c>
      <c r="R12" s="60">
        <v>7.0000000000000007E-2</v>
      </c>
      <c r="S12" s="60">
        <f>AVERAGEIFS(S$36:S$173,$B$36:$B$173,"=oficial")</f>
        <v>0.44040000000000007</v>
      </c>
      <c r="T12" s="60">
        <f>AVERAGEIFS(T$36:T$173,$B$36:$B$173,"=oficial")</f>
        <v>0.48360000000000009</v>
      </c>
      <c r="U12" s="60">
        <f>AVERAGEIFS(U$36:U$173,$B$36:$B$173,"=oficial")</f>
        <v>0.48520000000000002</v>
      </c>
      <c r="V12" s="22">
        <v>53</v>
      </c>
      <c r="W12" s="22">
        <v>9</v>
      </c>
      <c r="X12" s="65">
        <v>0.02</v>
      </c>
      <c r="Y12" s="65">
        <v>0.37</v>
      </c>
      <c r="Z12" s="65">
        <v>0.53</v>
      </c>
      <c r="AA12" s="65">
        <v>0.08</v>
      </c>
      <c r="AB12" s="65">
        <f>AVERAGEIFS(AB$36:AB$173,$B$36:$B$173,"=oficial")</f>
        <v>0.45399999999999996</v>
      </c>
      <c r="AC12" s="65">
        <f>AVERAGEIFS(AC$36:AC$173,$B$36:$B$173,"=oficial")</f>
        <v>0.49800000000000005</v>
      </c>
      <c r="AD12" s="65">
        <f>AVERAGEIFS(AD$36:AD$173,$B$36:$B$173,"=oficial")</f>
        <v>0.51840000000000008</v>
      </c>
      <c r="AE12" s="22">
        <v>53</v>
      </c>
      <c r="AF12" s="22">
        <v>9</v>
      </c>
      <c r="AG12" s="39">
        <v>0.02</v>
      </c>
      <c r="AH12" s="39">
        <v>0.35</v>
      </c>
      <c r="AI12" s="39">
        <v>0.55000000000000004</v>
      </c>
      <c r="AJ12" s="39">
        <v>0.08</v>
      </c>
      <c r="AK12" s="39">
        <f>AVERAGEIFS(AK$36:AK$173,$B$36:$B$173,"=oficial")</f>
        <v>0.43920000000000003</v>
      </c>
      <c r="AL12" s="39">
        <f>AVERAGEIFS(AL$36:AL$173,$B$36:$B$173,"=oficial")</f>
        <v>0.38440000000000007</v>
      </c>
      <c r="AM12" s="39">
        <f>AVERAGEIFS(AM$36:AM$173,$B$36:$B$173,"=oficial")</f>
        <v>0.43600000000000011</v>
      </c>
      <c r="AN12" s="11">
        <v>53</v>
      </c>
      <c r="AO12" s="11">
        <v>9</v>
      </c>
      <c r="AP12" s="39">
        <v>0.02</v>
      </c>
      <c r="AQ12" s="39">
        <v>0.35</v>
      </c>
      <c r="AR12" s="39">
        <v>0.56000000000000005</v>
      </c>
      <c r="AS12" s="39">
        <v>7.0000000000000007E-2</v>
      </c>
      <c r="AT12" s="39">
        <f>AVERAGEIFS(AT$36:AT$173,$B$36:$B$173,"=oficial")</f>
        <v>0.48080000000000001</v>
      </c>
      <c r="AU12" s="39">
        <f>AVERAGEIFS(AU$36:AU$173,$B$36:$B$173,"=oficial")</f>
        <v>0.38040000000000013</v>
      </c>
      <c r="AV12" s="39">
        <f>AVERAGEIFS(AV$36:AV$173,$B$36:$B$173,"=oficial")</f>
        <v>0.44559999999999989</v>
      </c>
      <c r="AW12" s="244">
        <v>53</v>
      </c>
      <c r="AX12" s="244" t="s">
        <v>758</v>
      </c>
      <c r="AY12" s="244">
        <v>9</v>
      </c>
      <c r="AZ12" s="244" t="s">
        <v>758</v>
      </c>
      <c r="BA12" s="262">
        <v>0.02</v>
      </c>
      <c r="BB12" s="262">
        <v>0.37</v>
      </c>
      <c r="BC12" s="262">
        <v>0.52</v>
      </c>
      <c r="BD12" s="262">
        <v>0.09</v>
      </c>
      <c r="BE12" s="39">
        <f>AVERAGEIFS(BE$36:BE$173,$B$36:$B$173,"=oficial")</f>
        <v>0.45920000000000011</v>
      </c>
      <c r="BF12" s="39">
        <f>AVERAGEIFS(BF$36:BF$173,$B$36:$B$173,"=oficial")</f>
        <v>0.36680000000000007</v>
      </c>
      <c r="BG12" s="39">
        <f>AVERAGEIFS(BG$36:BG$173,$B$36:$B$173,"=oficial")</f>
        <v>0.55920000000000014</v>
      </c>
      <c r="BH12" s="315">
        <v>53</v>
      </c>
      <c r="BI12" s="315" t="s">
        <v>758</v>
      </c>
      <c r="BJ12" s="315">
        <v>9</v>
      </c>
      <c r="BK12" s="315" t="s">
        <v>758</v>
      </c>
      <c r="BL12" s="291">
        <v>0.02</v>
      </c>
      <c r="BM12" s="291">
        <v>0.34</v>
      </c>
      <c r="BN12" s="291">
        <v>0.56000000000000005</v>
      </c>
      <c r="BO12" s="291">
        <v>0.09</v>
      </c>
      <c r="BP12" s="39">
        <f>AVERAGEIFS(BP$36:BP$173,$B$36:$B$173,"=oficial")</f>
        <v>0.48275862068965525</v>
      </c>
      <c r="BQ12" s="39">
        <f>AVERAGEIFS(BQ$36:BQ$173,$B$36:$B$173,"=oficial")</f>
        <v>0.36206896551724138</v>
      </c>
      <c r="BR12" s="39">
        <f>AVERAGEIFS(BR$36:BR$173,$B$36:$B$173,"=oficial")</f>
        <v>0.46448275862068977</v>
      </c>
      <c r="BS12" s="423">
        <v>53</v>
      </c>
      <c r="BT12" s="423" t="s">
        <v>758</v>
      </c>
      <c r="BU12" s="423">
        <v>9</v>
      </c>
      <c r="BV12" s="423" t="s">
        <v>758</v>
      </c>
      <c r="BW12" s="427">
        <v>0.02</v>
      </c>
      <c r="BX12" s="427">
        <v>0.35</v>
      </c>
      <c r="BY12" s="427">
        <v>0.55000000000000004</v>
      </c>
      <c r="BZ12" s="427">
        <v>0.08</v>
      </c>
      <c r="CA12" s="423" t="s">
        <v>173</v>
      </c>
      <c r="CB12" s="423" t="s">
        <v>173</v>
      </c>
      <c r="CC12" s="423" t="s">
        <v>173</v>
      </c>
      <c r="CD12" s="463">
        <v>54</v>
      </c>
      <c r="CE12" s="463" t="s">
        <v>758</v>
      </c>
      <c r="CF12" s="463">
        <v>9</v>
      </c>
      <c r="CG12" s="463" t="s">
        <v>758</v>
      </c>
      <c r="CH12" s="475">
        <v>0.03</v>
      </c>
      <c r="CI12" s="475">
        <v>0.31</v>
      </c>
      <c r="CJ12" s="475">
        <v>0.56000000000000005</v>
      </c>
      <c r="CK12" s="475">
        <v>0.1</v>
      </c>
      <c r="CL12" s="463" t="s">
        <v>173</v>
      </c>
      <c r="CM12" s="463" t="s">
        <v>173</v>
      </c>
      <c r="CN12" s="463" t="s">
        <v>173</v>
      </c>
      <c r="CO12" s="463">
        <v>54</v>
      </c>
      <c r="CP12" s="463" t="s">
        <v>758</v>
      </c>
      <c r="CQ12" s="463">
        <v>9</v>
      </c>
      <c r="CR12" s="463" t="s">
        <v>758</v>
      </c>
      <c r="CS12" s="475">
        <v>0.02</v>
      </c>
      <c r="CT12" s="475">
        <v>0.32</v>
      </c>
      <c r="CU12" s="475">
        <v>0.55000000000000004</v>
      </c>
      <c r="CV12" s="475">
        <v>0.12</v>
      </c>
      <c r="CW12" s="463" t="s">
        <v>173</v>
      </c>
      <c r="CX12" s="463" t="s">
        <v>173</v>
      </c>
      <c r="CY12" s="463" t="s">
        <v>173</v>
      </c>
    </row>
    <row r="13" spans="1:103" ht="24.95" customHeight="1" x14ac:dyDescent="0.2">
      <c r="A13" s="6" t="s">
        <v>13</v>
      </c>
      <c r="B13" s="6"/>
      <c r="C13" s="6"/>
      <c r="D13" s="21">
        <v>53</v>
      </c>
      <c r="E13" s="21">
        <v>8</v>
      </c>
      <c r="F13" s="39">
        <v>0.02</v>
      </c>
      <c r="G13" s="39">
        <v>0.32</v>
      </c>
      <c r="H13" s="39">
        <v>0.66</v>
      </c>
      <c r="I13" s="39">
        <v>0</v>
      </c>
      <c r="J13" s="39">
        <f>J100</f>
        <v>0</v>
      </c>
      <c r="K13" s="39">
        <f>K100</f>
        <v>0</v>
      </c>
      <c r="L13" s="39">
        <f>L100</f>
        <v>0</v>
      </c>
      <c r="M13" s="22">
        <v>51</v>
      </c>
      <c r="N13" s="22">
        <v>8</v>
      </c>
      <c r="O13" s="60">
        <v>0.02</v>
      </c>
      <c r="P13" s="60">
        <v>0.43</v>
      </c>
      <c r="Q13" s="60">
        <v>0.5</v>
      </c>
      <c r="R13" s="60">
        <v>0.05</v>
      </c>
      <c r="S13" s="60">
        <f>S100</f>
        <v>0.38</v>
      </c>
      <c r="T13" s="60">
        <f>T100</f>
        <v>0.4</v>
      </c>
      <c r="U13" s="60">
        <f>U100</f>
        <v>0.38</v>
      </c>
      <c r="V13" s="22">
        <v>51</v>
      </c>
      <c r="W13" s="22">
        <v>9</v>
      </c>
      <c r="X13" s="65">
        <v>0.09</v>
      </c>
      <c r="Y13" s="65">
        <v>0.41</v>
      </c>
      <c r="Z13" s="65">
        <v>0.44</v>
      </c>
      <c r="AA13" s="65">
        <v>0.06</v>
      </c>
      <c r="AB13" s="65">
        <f>AB100</f>
        <v>0</v>
      </c>
      <c r="AC13" s="65">
        <f>AC100</f>
        <v>0</v>
      </c>
      <c r="AD13" s="65">
        <f>AD100</f>
        <v>0</v>
      </c>
      <c r="AE13" s="22">
        <v>52</v>
      </c>
      <c r="AF13" s="22">
        <v>10</v>
      </c>
      <c r="AG13" s="39">
        <v>0.02</v>
      </c>
      <c r="AH13" s="39">
        <v>0.47</v>
      </c>
      <c r="AI13" s="39">
        <v>0.45</v>
      </c>
      <c r="AJ13" s="39">
        <v>0.06</v>
      </c>
      <c r="AK13" s="39">
        <f>AK100</f>
        <v>0</v>
      </c>
      <c r="AL13" s="39">
        <f>AL100</f>
        <v>0</v>
      </c>
      <c r="AM13" s="39">
        <f>AM100</f>
        <v>0</v>
      </c>
      <c r="AN13" s="11">
        <v>52</v>
      </c>
      <c r="AO13" s="11">
        <v>9</v>
      </c>
      <c r="AP13" s="39">
        <v>0</v>
      </c>
      <c r="AQ13" s="39">
        <v>0.39</v>
      </c>
      <c r="AR13" s="39">
        <v>0.55000000000000004</v>
      </c>
      <c r="AS13" s="39">
        <v>0.05</v>
      </c>
      <c r="AT13" s="39">
        <f>AT100</f>
        <v>0</v>
      </c>
      <c r="AU13" s="39">
        <f>AU100</f>
        <v>0</v>
      </c>
      <c r="AV13" s="39">
        <f>AV100</f>
        <v>0</v>
      </c>
      <c r="AW13" s="244">
        <v>52</v>
      </c>
      <c r="AX13" s="244" t="s">
        <v>758</v>
      </c>
      <c r="AY13" s="244">
        <v>8</v>
      </c>
      <c r="AZ13" s="244" t="s">
        <v>758</v>
      </c>
      <c r="BA13" s="262">
        <v>0.02</v>
      </c>
      <c r="BB13" s="262">
        <v>0.43</v>
      </c>
      <c r="BC13" s="262">
        <v>0.5</v>
      </c>
      <c r="BD13" s="262">
        <v>0.05</v>
      </c>
      <c r="BE13" s="39">
        <f>BE100</f>
        <v>0</v>
      </c>
      <c r="BF13" s="39">
        <f>BF100</f>
        <v>0</v>
      </c>
      <c r="BG13" s="39">
        <f>BG100</f>
        <v>0</v>
      </c>
      <c r="BH13" s="315">
        <v>52</v>
      </c>
      <c r="BI13" s="315" t="s">
        <v>758</v>
      </c>
      <c r="BJ13" s="315">
        <v>10</v>
      </c>
      <c r="BK13" s="315" t="s">
        <v>758</v>
      </c>
      <c r="BL13" s="291">
        <v>0.03</v>
      </c>
      <c r="BM13" s="291">
        <v>0.4</v>
      </c>
      <c r="BN13" s="291">
        <v>0.45</v>
      </c>
      <c r="BO13" s="291">
        <v>0.13</v>
      </c>
      <c r="BP13" s="39">
        <f>BP100</f>
        <v>0</v>
      </c>
      <c r="BQ13" s="39">
        <f>BQ100</f>
        <v>0</v>
      </c>
      <c r="BR13" s="39">
        <f>BR100</f>
        <v>0</v>
      </c>
      <c r="BS13" s="423">
        <v>51</v>
      </c>
      <c r="BT13" s="423" t="s">
        <v>760</v>
      </c>
      <c r="BU13" s="423">
        <v>9</v>
      </c>
      <c r="BV13" s="423" t="s">
        <v>758</v>
      </c>
      <c r="BW13" s="427">
        <v>0</v>
      </c>
      <c r="BX13" s="427">
        <v>0.44</v>
      </c>
      <c r="BY13" s="427">
        <v>0.54</v>
      </c>
      <c r="BZ13" s="427">
        <v>0.02</v>
      </c>
      <c r="CA13" s="423" t="s">
        <v>173</v>
      </c>
      <c r="CB13" s="423" t="s">
        <v>173</v>
      </c>
      <c r="CC13" s="423" t="s">
        <v>173</v>
      </c>
      <c r="CD13" s="463">
        <v>52</v>
      </c>
      <c r="CE13" s="463" t="s">
        <v>760</v>
      </c>
      <c r="CF13" s="463">
        <v>8</v>
      </c>
      <c r="CG13" s="463" t="s">
        <v>758</v>
      </c>
      <c r="CH13" s="475">
        <v>0.02</v>
      </c>
      <c r="CI13" s="475">
        <v>0.34</v>
      </c>
      <c r="CJ13" s="475">
        <v>0.6</v>
      </c>
      <c r="CK13" s="475">
        <v>0.04</v>
      </c>
      <c r="CL13" s="463" t="s">
        <v>173</v>
      </c>
      <c r="CM13" s="463" t="s">
        <v>173</v>
      </c>
      <c r="CN13" s="463" t="s">
        <v>173</v>
      </c>
      <c r="CO13" s="463">
        <v>54</v>
      </c>
      <c r="CP13" s="463" t="s">
        <v>758</v>
      </c>
      <c r="CQ13" s="463">
        <v>9</v>
      </c>
      <c r="CR13" s="463" t="s">
        <v>758</v>
      </c>
      <c r="CS13" s="475">
        <v>0.02</v>
      </c>
      <c r="CT13" s="475">
        <v>0.28999999999999998</v>
      </c>
      <c r="CU13" s="475">
        <v>0.62</v>
      </c>
      <c r="CV13" s="475">
        <v>0.08</v>
      </c>
      <c r="CW13" s="463" t="s">
        <v>173</v>
      </c>
      <c r="CX13" s="463" t="s">
        <v>173</v>
      </c>
      <c r="CY13" s="463" t="s">
        <v>173</v>
      </c>
    </row>
    <row r="14" spans="1:103" ht="24.6" customHeight="1" x14ac:dyDescent="0.2">
      <c r="A14" s="6" t="s">
        <v>14</v>
      </c>
      <c r="B14" s="6"/>
      <c r="C14" s="6"/>
      <c r="D14" s="21">
        <v>55</v>
      </c>
      <c r="E14" s="21">
        <v>8</v>
      </c>
      <c r="F14" s="39">
        <v>0.01</v>
      </c>
      <c r="G14" s="39">
        <v>0.28999999999999998</v>
      </c>
      <c r="H14" s="39">
        <v>0.62</v>
      </c>
      <c r="I14" s="39">
        <v>0.08</v>
      </c>
      <c r="J14" s="39">
        <f>AVERAGEIFS(J$36:J$173,$B$36:$B$173,"=no oficial")</f>
        <v>0.41532467532467543</v>
      </c>
      <c r="K14" s="39">
        <f>AVERAGEIFS(K$36:K$173,$B$36:$B$173,"=no oficial")</f>
        <v>0.46571428571428564</v>
      </c>
      <c r="L14" s="39">
        <f>AVERAGEIFS(L$36:L$173,$B$36:$B$173,"=no oficial")</f>
        <v>0.53220779220779235</v>
      </c>
      <c r="M14" s="22">
        <v>56</v>
      </c>
      <c r="N14" s="22">
        <v>8</v>
      </c>
      <c r="O14" s="60">
        <v>0.01</v>
      </c>
      <c r="P14" s="60">
        <v>0.23</v>
      </c>
      <c r="Q14" s="60">
        <v>0.64</v>
      </c>
      <c r="R14" s="60">
        <v>0.12</v>
      </c>
      <c r="S14" s="39">
        <f>AVERAGEIFS(S$36:S$173,$B$36:$B$173,"=no oficial")</f>
        <v>0.41298701298701301</v>
      </c>
      <c r="T14" s="39">
        <f>AVERAGEIFS(T$36:T$173,$B$36:$B$173,"=no oficial")</f>
        <v>0.45337662337662327</v>
      </c>
      <c r="U14" s="39">
        <f>AVERAGEIFS(U$36:U$173,$B$36:$B$173,"=no oficial")</f>
        <v>0.44974025974025966</v>
      </c>
      <c r="V14" s="22">
        <v>56</v>
      </c>
      <c r="W14" s="22">
        <v>9</v>
      </c>
      <c r="X14" s="65">
        <v>0.01</v>
      </c>
      <c r="Y14" s="65">
        <v>0.26</v>
      </c>
      <c r="Z14" s="65">
        <v>0.59</v>
      </c>
      <c r="AA14" s="65">
        <v>0.14000000000000001</v>
      </c>
      <c r="AB14" s="65">
        <f>AVERAGEIFS(AB$36:AB$173,$B$36:$B$173,"=no oficial")</f>
        <v>0.40987179487179493</v>
      </c>
      <c r="AC14" s="65">
        <f>AVERAGEIFS(AC$36:AC$173,$B$36:$B$173,"=no oficial")</f>
        <v>0.45858974358974364</v>
      </c>
      <c r="AD14" s="65">
        <f>AVERAGEIFS(AD$36:AD$173,$B$36:$B$173,"=no oficial")</f>
        <v>0.48025641025641008</v>
      </c>
      <c r="AE14" s="22">
        <v>56</v>
      </c>
      <c r="AF14" s="22">
        <v>9</v>
      </c>
      <c r="AG14" s="39">
        <v>0.01</v>
      </c>
      <c r="AH14" s="39">
        <v>0.25</v>
      </c>
      <c r="AI14" s="39">
        <v>0.6</v>
      </c>
      <c r="AJ14" s="39">
        <v>0.14000000000000001</v>
      </c>
      <c r="AK14" s="39">
        <f>AVERAGEIFS(AK$36:AK$173,$B$36:$B$173,"=no oficial")</f>
        <v>0.39425000000000016</v>
      </c>
      <c r="AL14" s="39">
        <f>AVERAGEIFS(AL$36:AL$173,$B$36:$B$173,"=no oficial")</f>
        <v>0.34524999999999995</v>
      </c>
      <c r="AM14" s="39">
        <f>AVERAGEIFS(AM$36:AM$173,$B$36:$B$173,"=no oficial")</f>
        <v>0.39174999999999993</v>
      </c>
      <c r="AN14" s="11">
        <v>55</v>
      </c>
      <c r="AO14" s="11">
        <v>9</v>
      </c>
      <c r="AP14" s="39">
        <v>0.01</v>
      </c>
      <c r="AQ14" s="39">
        <v>0.26</v>
      </c>
      <c r="AR14" s="39">
        <v>0.61</v>
      </c>
      <c r="AS14" s="39">
        <v>0.11</v>
      </c>
      <c r="AT14" s="39">
        <f>AVERAGEIFS(AT$36:AT$173,$B$36:$B$173,"=no oficial")</f>
        <v>0.45058823529411768</v>
      </c>
      <c r="AU14" s="39">
        <f>AVERAGEIFS(AU$36:AU$173,$B$36:$B$173,"=no oficial")</f>
        <v>0.35247058823529415</v>
      </c>
      <c r="AV14" s="39">
        <f>AVERAGEIFS(AV$36:AV$173,$B$36:$B$173,"=no oficial")</f>
        <v>0.41882352941176465</v>
      </c>
      <c r="AW14" s="244">
        <v>56</v>
      </c>
      <c r="AX14" s="244" t="s">
        <v>758</v>
      </c>
      <c r="AY14" s="244">
        <v>9</v>
      </c>
      <c r="AZ14" s="244" t="s">
        <v>758</v>
      </c>
      <c r="BA14" s="262">
        <v>0.01</v>
      </c>
      <c r="BB14" s="262">
        <v>0.26</v>
      </c>
      <c r="BC14" s="262">
        <v>0.56999999999999995</v>
      </c>
      <c r="BD14" s="262">
        <v>0.16</v>
      </c>
      <c r="BE14" s="39">
        <f>AVERAGEIFS(BE$36:BE$173,$B$36:$B$173,"=no oficial")</f>
        <v>0.4204761904761905</v>
      </c>
      <c r="BF14" s="39">
        <f>AVERAGEIFS(BF$36:BF$173,$B$36:$B$173,"=no oficial")</f>
        <v>0.32095238095238093</v>
      </c>
      <c r="BG14" s="39">
        <f>AVERAGEIFS(BG$36:BG$173,$B$36:$B$173,"=no oficial")</f>
        <v>0.51488095238095211</v>
      </c>
      <c r="BH14" s="315">
        <v>57</v>
      </c>
      <c r="BI14" s="315" t="s">
        <v>758</v>
      </c>
      <c r="BJ14" s="315">
        <v>9</v>
      </c>
      <c r="BK14" s="315" t="s">
        <v>758</v>
      </c>
      <c r="BL14" s="291">
        <v>0.01</v>
      </c>
      <c r="BM14" s="291">
        <v>0.21</v>
      </c>
      <c r="BN14" s="291">
        <v>0.61</v>
      </c>
      <c r="BO14" s="291">
        <v>0.16</v>
      </c>
      <c r="BP14" s="39">
        <f>AVERAGEIFS(BP$36:BP$173,$B$36:$B$173,"=no oficial")</f>
        <v>0.43459770114942542</v>
      </c>
      <c r="BQ14" s="39">
        <f>AVERAGEIFS(BQ$36:BQ$173,$B$36:$B$173,"=no oficial")</f>
        <v>0.31080459770114938</v>
      </c>
      <c r="BR14" s="39">
        <f>AVERAGEIFS(BR$36:BR$173,$B$36:$B$173,"=no oficial")</f>
        <v>0.4056321839080459</v>
      </c>
      <c r="BS14" s="423">
        <v>57</v>
      </c>
      <c r="BT14" s="423" t="s">
        <v>758</v>
      </c>
      <c r="BU14" s="423">
        <v>9</v>
      </c>
      <c r="BV14" s="423" t="s">
        <v>758</v>
      </c>
      <c r="BW14" s="427">
        <v>0.01</v>
      </c>
      <c r="BX14" s="427">
        <v>0.22</v>
      </c>
      <c r="BY14" s="427">
        <v>0.6</v>
      </c>
      <c r="BZ14" s="427">
        <v>0.17</v>
      </c>
      <c r="CA14" s="423" t="s">
        <v>173</v>
      </c>
      <c r="CB14" s="423" t="s">
        <v>173</v>
      </c>
      <c r="CC14" s="423" t="s">
        <v>173</v>
      </c>
      <c r="CD14" s="463">
        <v>58</v>
      </c>
      <c r="CE14" s="463" t="s">
        <v>758</v>
      </c>
      <c r="CF14" s="463">
        <v>9</v>
      </c>
      <c r="CG14" s="463" t="s">
        <v>758</v>
      </c>
      <c r="CH14" s="475">
        <v>0.01</v>
      </c>
      <c r="CI14" s="475">
        <v>0.18</v>
      </c>
      <c r="CJ14" s="475">
        <v>0.63</v>
      </c>
      <c r="CK14" s="475">
        <v>0.18</v>
      </c>
      <c r="CL14" s="463" t="s">
        <v>173</v>
      </c>
      <c r="CM14" s="463" t="s">
        <v>173</v>
      </c>
      <c r="CN14" s="463" t="s">
        <v>173</v>
      </c>
      <c r="CO14" s="463">
        <v>58</v>
      </c>
      <c r="CP14" s="463" t="s">
        <v>758</v>
      </c>
      <c r="CQ14" s="463">
        <v>9</v>
      </c>
      <c r="CR14" s="463" t="s">
        <v>758</v>
      </c>
      <c r="CS14" s="475">
        <v>0.01</v>
      </c>
      <c r="CT14" s="475">
        <v>0.2</v>
      </c>
      <c r="CU14" s="475">
        <v>0.59</v>
      </c>
      <c r="CV14" s="475">
        <v>0.2</v>
      </c>
      <c r="CW14" s="463" t="s">
        <v>173</v>
      </c>
      <c r="CX14" s="463" t="s">
        <v>173</v>
      </c>
      <c r="CY14" s="463" t="s">
        <v>173</v>
      </c>
    </row>
    <row r="15" spans="1:103" ht="24.95" customHeight="1" x14ac:dyDescent="0.2">
      <c r="A15" s="6" t="s">
        <v>15</v>
      </c>
      <c r="B15" s="6"/>
      <c r="C15" s="6"/>
      <c r="D15" s="21">
        <v>52</v>
      </c>
      <c r="E15" s="21">
        <v>8</v>
      </c>
      <c r="F15" s="39">
        <v>0.02</v>
      </c>
      <c r="G15" s="39">
        <v>0.42</v>
      </c>
      <c r="H15" s="39">
        <v>0.52</v>
      </c>
      <c r="I15" s="39">
        <v>0.04</v>
      </c>
      <c r="J15" s="11" t="s">
        <v>173</v>
      </c>
      <c r="K15" s="11" t="s">
        <v>173</v>
      </c>
      <c r="L15" s="11" t="s">
        <v>173</v>
      </c>
      <c r="M15" s="22">
        <v>53</v>
      </c>
      <c r="N15" s="22">
        <v>8</v>
      </c>
      <c r="O15" s="60">
        <v>0.01</v>
      </c>
      <c r="P15" s="60">
        <v>0.36</v>
      </c>
      <c r="Q15" s="60">
        <v>0.56000000000000005</v>
      </c>
      <c r="R15" s="60">
        <v>7.0000000000000007E-2</v>
      </c>
      <c r="S15" s="22" t="s">
        <v>173</v>
      </c>
      <c r="T15" s="22" t="s">
        <v>173</v>
      </c>
      <c r="U15" s="22" t="s">
        <v>173</v>
      </c>
      <c r="V15" s="22">
        <v>53</v>
      </c>
      <c r="W15" s="22">
        <v>9</v>
      </c>
      <c r="X15" s="65">
        <v>0.02</v>
      </c>
      <c r="Y15" s="65">
        <v>0.38</v>
      </c>
      <c r="Z15" s="65">
        <v>0.52</v>
      </c>
      <c r="AA15" s="65">
        <v>0.08</v>
      </c>
      <c r="AB15" s="21" t="s">
        <v>173</v>
      </c>
      <c r="AC15" s="21" t="s">
        <v>173</v>
      </c>
      <c r="AD15" s="21" t="s">
        <v>173</v>
      </c>
      <c r="AE15" s="22">
        <v>53</v>
      </c>
      <c r="AF15" s="22">
        <v>9</v>
      </c>
      <c r="AG15" s="39">
        <v>0.03</v>
      </c>
      <c r="AH15" s="39">
        <v>0.35</v>
      </c>
      <c r="AI15" s="39">
        <v>0.54</v>
      </c>
      <c r="AJ15" s="39">
        <v>0.08</v>
      </c>
      <c r="AK15" s="11" t="s">
        <v>173</v>
      </c>
      <c r="AL15" s="11" t="s">
        <v>173</v>
      </c>
      <c r="AM15" s="11" t="s">
        <v>173</v>
      </c>
      <c r="AN15" s="11">
        <v>52</v>
      </c>
      <c r="AO15" s="11">
        <v>8</v>
      </c>
      <c r="AP15" s="39">
        <v>0.02</v>
      </c>
      <c r="AQ15" s="39">
        <v>0.38</v>
      </c>
      <c r="AR15" s="39">
        <v>0.54</v>
      </c>
      <c r="AS15" s="39">
        <v>0.06</v>
      </c>
      <c r="AT15" s="11" t="s">
        <v>173</v>
      </c>
      <c r="AU15" s="11" t="s">
        <v>173</v>
      </c>
      <c r="AV15" s="11" t="s">
        <v>173</v>
      </c>
      <c r="AW15" s="244">
        <v>52</v>
      </c>
      <c r="AX15" s="244" t="s">
        <v>758</v>
      </c>
      <c r="AY15" s="244">
        <v>9</v>
      </c>
      <c r="AZ15" s="244" t="s">
        <v>758</v>
      </c>
      <c r="BA15" s="262">
        <v>0.03</v>
      </c>
      <c r="BB15" s="262">
        <v>0.4</v>
      </c>
      <c r="BC15" s="262">
        <v>0.5</v>
      </c>
      <c r="BD15" s="262">
        <v>7.0000000000000007E-2</v>
      </c>
      <c r="BE15" s="11" t="s">
        <v>173</v>
      </c>
      <c r="BF15" s="11" t="s">
        <v>173</v>
      </c>
      <c r="BG15" s="11" t="s">
        <v>173</v>
      </c>
      <c r="BH15" s="315">
        <v>53</v>
      </c>
      <c r="BI15" s="315" t="s">
        <v>758</v>
      </c>
      <c r="BJ15" s="315">
        <v>9</v>
      </c>
      <c r="BK15" s="315" t="s">
        <v>758</v>
      </c>
      <c r="BL15" s="291">
        <v>0.02</v>
      </c>
      <c r="BM15" s="291">
        <v>0.36</v>
      </c>
      <c r="BN15" s="291">
        <v>0.53</v>
      </c>
      <c r="BO15" s="291">
        <v>0.08</v>
      </c>
      <c r="BP15" s="315" t="s">
        <v>173</v>
      </c>
      <c r="BQ15" s="315" t="s">
        <v>173</v>
      </c>
      <c r="BR15" s="315" t="s">
        <v>173</v>
      </c>
      <c r="BS15" s="423">
        <v>52</v>
      </c>
      <c r="BT15" s="423" t="s">
        <v>758</v>
      </c>
      <c r="BU15" s="423">
        <v>9</v>
      </c>
      <c r="BV15" s="423" t="s">
        <v>758</v>
      </c>
      <c r="BW15" s="427">
        <v>0.02</v>
      </c>
      <c r="BX15" s="427">
        <v>0.38</v>
      </c>
      <c r="BY15" s="427">
        <v>0.54</v>
      </c>
      <c r="BZ15" s="427">
        <v>0.06</v>
      </c>
      <c r="CA15" s="423" t="s">
        <v>173</v>
      </c>
      <c r="CB15" s="423" t="s">
        <v>173</v>
      </c>
      <c r="CC15" s="423" t="s">
        <v>173</v>
      </c>
      <c r="CD15" s="463">
        <v>52</v>
      </c>
      <c r="CE15" s="463" t="s">
        <v>760</v>
      </c>
      <c r="CF15" s="463">
        <v>9</v>
      </c>
      <c r="CG15" s="463" t="s">
        <v>758</v>
      </c>
      <c r="CH15" s="475">
        <v>0.03</v>
      </c>
      <c r="CI15" s="475">
        <v>0.38</v>
      </c>
      <c r="CJ15" s="475">
        <v>0.52</v>
      </c>
      <c r="CK15" s="475">
        <v>7.0000000000000007E-2</v>
      </c>
      <c r="CL15" s="463" t="s">
        <v>173</v>
      </c>
      <c r="CM15" s="463" t="s">
        <v>173</v>
      </c>
      <c r="CN15" s="463" t="s">
        <v>173</v>
      </c>
      <c r="CO15" s="463"/>
      <c r="CP15" s="463"/>
      <c r="CQ15" s="463"/>
      <c r="CR15" s="463"/>
      <c r="CS15" s="475"/>
      <c r="CT15" s="475"/>
      <c r="CU15" s="475"/>
      <c r="CV15" s="475"/>
      <c r="CW15" s="463"/>
      <c r="CX15" s="463"/>
      <c r="CY15" s="463"/>
    </row>
    <row r="16" spans="1:103" ht="24.95" customHeight="1" x14ac:dyDescent="0.2">
      <c r="A16" s="6" t="s">
        <v>16</v>
      </c>
      <c r="B16" s="6"/>
      <c r="C16" s="6"/>
      <c r="D16" s="21">
        <v>55</v>
      </c>
      <c r="E16" s="21">
        <v>8</v>
      </c>
      <c r="F16" s="39">
        <v>0.01</v>
      </c>
      <c r="G16" s="39">
        <v>0.31</v>
      </c>
      <c r="H16" s="39">
        <v>0.6</v>
      </c>
      <c r="I16" s="39">
        <v>0.08</v>
      </c>
      <c r="J16" s="11" t="s">
        <v>173</v>
      </c>
      <c r="K16" s="11" t="s">
        <v>173</v>
      </c>
      <c r="L16" s="11" t="s">
        <v>173</v>
      </c>
      <c r="M16" s="22">
        <v>56</v>
      </c>
      <c r="N16" s="22">
        <v>8</v>
      </c>
      <c r="O16" s="60">
        <v>0.01</v>
      </c>
      <c r="P16" s="60">
        <v>0.24</v>
      </c>
      <c r="Q16" s="60">
        <v>0.64</v>
      </c>
      <c r="R16" s="60">
        <v>0.11</v>
      </c>
      <c r="S16" s="22" t="s">
        <v>173</v>
      </c>
      <c r="T16" s="22" t="s">
        <v>173</v>
      </c>
      <c r="U16" s="22" t="s">
        <v>173</v>
      </c>
      <c r="V16" s="22">
        <v>55</v>
      </c>
      <c r="W16" s="22">
        <v>9</v>
      </c>
      <c r="X16" s="65">
        <v>0.01</v>
      </c>
      <c r="Y16" s="65">
        <v>0.28000000000000003</v>
      </c>
      <c r="Z16" s="65">
        <v>0.57999999999999996</v>
      </c>
      <c r="AA16" s="65">
        <v>0.13</v>
      </c>
      <c r="AB16" s="21" t="s">
        <v>173</v>
      </c>
      <c r="AC16" s="21" t="s">
        <v>173</v>
      </c>
      <c r="AD16" s="21" t="s">
        <v>173</v>
      </c>
      <c r="AE16" s="22">
        <v>55</v>
      </c>
      <c r="AF16" s="22">
        <v>9</v>
      </c>
      <c r="AG16" s="39">
        <v>0.01</v>
      </c>
      <c r="AH16" s="39">
        <v>0.27</v>
      </c>
      <c r="AI16" s="39">
        <v>0.59</v>
      </c>
      <c r="AJ16" s="39">
        <v>0.13</v>
      </c>
      <c r="AK16" s="11" t="s">
        <v>173</v>
      </c>
      <c r="AL16" s="11" t="s">
        <v>173</v>
      </c>
      <c r="AM16" s="11" t="s">
        <v>173</v>
      </c>
      <c r="AN16" s="11">
        <v>55</v>
      </c>
      <c r="AO16" s="11">
        <v>9</v>
      </c>
      <c r="AP16" s="39">
        <v>0.01</v>
      </c>
      <c r="AQ16" s="39">
        <v>0.28000000000000003</v>
      </c>
      <c r="AR16" s="39">
        <v>0.6</v>
      </c>
      <c r="AS16" s="39">
        <v>0.11</v>
      </c>
      <c r="AT16" s="11" t="s">
        <v>173</v>
      </c>
      <c r="AU16" s="11" t="s">
        <v>173</v>
      </c>
      <c r="AV16" s="11" t="s">
        <v>173</v>
      </c>
      <c r="AW16" s="244">
        <v>56</v>
      </c>
      <c r="AX16" s="244" t="s">
        <v>758</v>
      </c>
      <c r="AY16" s="244">
        <v>9</v>
      </c>
      <c r="AZ16" s="244" t="s">
        <v>758</v>
      </c>
      <c r="BA16" s="262">
        <v>0.01</v>
      </c>
      <c r="BB16" s="262">
        <v>0.28999999999999998</v>
      </c>
      <c r="BC16" s="262">
        <v>0.56000000000000005</v>
      </c>
      <c r="BD16" s="262">
        <v>0.14000000000000001</v>
      </c>
      <c r="BE16" s="11" t="s">
        <v>173</v>
      </c>
      <c r="BF16" s="11" t="s">
        <v>173</v>
      </c>
      <c r="BG16" s="11" t="s">
        <v>173</v>
      </c>
      <c r="BH16" s="315">
        <v>56</v>
      </c>
      <c r="BI16" s="315" t="s">
        <v>758</v>
      </c>
      <c r="BJ16" s="315">
        <v>9</v>
      </c>
      <c r="BK16" s="315" t="s">
        <v>758</v>
      </c>
      <c r="BL16" s="291">
        <v>0.01</v>
      </c>
      <c r="BM16" s="291">
        <v>0.24</v>
      </c>
      <c r="BN16" s="291">
        <v>0.61</v>
      </c>
      <c r="BO16" s="291">
        <v>0.14000000000000001</v>
      </c>
      <c r="BP16" s="315" t="s">
        <v>173</v>
      </c>
      <c r="BQ16" s="315" t="s">
        <v>173</v>
      </c>
      <c r="BR16" s="315" t="s">
        <v>173</v>
      </c>
      <c r="BS16" s="423">
        <v>56</v>
      </c>
      <c r="BT16" s="423" t="s">
        <v>758</v>
      </c>
      <c r="BU16" s="423">
        <v>9</v>
      </c>
      <c r="BV16" s="423" t="s">
        <v>758</v>
      </c>
      <c r="BW16" s="427">
        <v>0.02</v>
      </c>
      <c r="BX16" s="427">
        <v>0.24</v>
      </c>
      <c r="BY16" s="427">
        <v>0.59</v>
      </c>
      <c r="BZ16" s="427">
        <v>0.15</v>
      </c>
      <c r="CA16" s="423" t="s">
        <v>173</v>
      </c>
      <c r="CB16" s="423" t="s">
        <v>173</v>
      </c>
      <c r="CC16" s="423" t="s">
        <v>173</v>
      </c>
      <c r="CD16" s="463">
        <v>56</v>
      </c>
      <c r="CE16" s="463" t="s">
        <v>758</v>
      </c>
      <c r="CF16" s="463">
        <v>9</v>
      </c>
      <c r="CG16" s="463" t="s">
        <v>758</v>
      </c>
      <c r="CH16" s="475">
        <v>0.02</v>
      </c>
      <c r="CI16" s="475">
        <v>0.24</v>
      </c>
      <c r="CJ16" s="475">
        <v>0.6</v>
      </c>
      <c r="CK16" s="475">
        <v>0.15</v>
      </c>
      <c r="CL16" s="463" t="s">
        <v>173</v>
      </c>
      <c r="CM16" s="463" t="s">
        <v>173</v>
      </c>
      <c r="CN16" s="463" t="s">
        <v>173</v>
      </c>
      <c r="CO16" s="463"/>
      <c r="CP16" s="463"/>
      <c r="CQ16" s="463"/>
      <c r="CR16" s="463"/>
      <c r="CS16" s="475"/>
      <c r="CT16" s="475"/>
      <c r="CU16" s="475"/>
      <c r="CV16" s="475"/>
      <c r="CW16" s="463"/>
      <c r="CX16" s="463"/>
      <c r="CY16" s="463"/>
    </row>
    <row r="17" spans="1:104" ht="24.95" customHeight="1" x14ac:dyDescent="0.2">
      <c r="A17" s="292"/>
      <c r="B17" s="292"/>
      <c r="C17" s="292"/>
      <c r="D17" s="316"/>
      <c r="E17" s="316"/>
      <c r="F17" s="291"/>
      <c r="G17" s="291"/>
      <c r="H17" s="291"/>
      <c r="I17" s="291"/>
      <c r="J17" s="315"/>
      <c r="K17" s="315"/>
      <c r="L17" s="315"/>
      <c r="M17" s="323"/>
      <c r="N17" s="323"/>
      <c r="O17" s="324"/>
      <c r="P17" s="324"/>
      <c r="Q17" s="324"/>
      <c r="R17" s="324"/>
      <c r="S17" s="323"/>
      <c r="T17" s="323"/>
      <c r="U17" s="323"/>
      <c r="V17" s="323"/>
      <c r="W17" s="323"/>
      <c r="X17" s="325"/>
      <c r="Y17" s="325"/>
      <c r="Z17" s="325"/>
      <c r="AA17" s="325"/>
      <c r="AB17" s="316"/>
      <c r="AC17" s="316"/>
      <c r="AD17" s="316"/>
      <c r="AE17" s="323"/>
      <c r="AF17" s="323"/>
      <c r="AG17" s="291"/>
      <c r="AH17" s="291"/>
      <c r="AI17" s="291"/>
      <c r="AJ17" s="291"/>
      <c r="AK17" s="315"/>
      <c r="AL17" s="315"/>
      <c r="AM17" s="315"/>
      <c r="AN17" s="315"/>
      <c r="AO17" s="315"/>
      <c r="AP17" s="291"/>
      <c r="AQ17" s="291"/>
      <c r="AR17" s="291"/>
      <c r="AS17" s="291"/>
      <c r="AT17" s="315"/>
      <c r="AU17" s="315"/>
      <c r="AV17" s="315"/>
      <c r="AW17" s="318"/>
      <c r="AX17" s="318"/>
      <c r="AY17" s="318"/>
      <c r="AZ17" s="318"/>
      <c r="BA17" s="326"/>
      <c r="BB17" s="326"/>
      <c r="BC17" s="326"/>
      <c r="BD17" s="326"/>
      <c r="BE17" s="315"/>
      <c r="BF17" s="315"/>
      <c r="BG17" s="315"/>
      <c r="BH17" s="315">
        <v>67</v>
      </c>
      <c r="BI17" s="315" t="s">
        <v>759</v>
      </c>
      <c r="BJ17" s="315">
        <v>3</v>
      </c>
      <c r="BK17" s="315" t="s">
        <v>760</v>
      </c>
      <c r="BL17" s="291">
        <v>0</v>
      </c>
      <c r="BM17" s="291">
        <v>0</v>
      </c>
      <c r="BN17" s="291">
        <v>0.33</v>
      </c>
      <c r="BO17" s="291">
        <v>0.67</v>
      </c>
      <c r="BP17" s="315" t="s">
        <v>173</v>
      </c>
      <c r="BQ17" s="315" t="s">
        <v>173</v>
      </c>
      <c r="BR17" s="315" t="s">
        <v>173</v>
      </c>
    </row>
    <row r="18" spans="1:104" ht="24.95" customHeight="1" x14ac:dyDescent="0.2">
      <c r="A18" s="197" t="s">
        <v>140</v>
      </c>
      <c r="B18" s="6"/>
      <c r="C18" s="6"/>
      <c r="D18" s="198">
        <v>53.117647058823529</v>
      </c>
      <c r="E18" s="198">
        <v>7.4117647058823533</v>
      </c>
      <c r="F18" s="39">
        <v>9.4117647058823539E-3</v>
      </c>
      <c r="G18" s="39">
        <v>0.39588235294117652</v>
      </c>
      <c r="H18" s="39">
        <v>0.56000000000000005</v>
      </c>
      <c r="I18" s="39">
        <v>3.7647058823529415E-2</v>
      </c>
      <c r="J18" s="240">
        <f>AVERAGEIFS(J$36:J$173,$C$36:$C$173,"=1")</f>
        <v>0.43470588235294116</v>
      </c>
      <c r="K18" s="240">
        <f>AVERAGEIFS(K$36:K$173,$C$36:$C$173,"=1")</f>
        <v>0.48176470588235293</v>
      </c>
      <c r="L18" s="240">
        <f>AVERAGEIFS(L$36:L$173,$C$36:$C$173,"=1")</f>
        <v>0.55941176470588239</v>
      </c>
      <c r="M18" s="198">
        <v>53.75</v>
      </c>
      <c r="N18" s="198">
        <v>7.6875</v>
      </c>
      <c r="O18" s="60">
        <v>1.2500000000000001E-2</v>
      </c>
      <c r="P18" s="60">
        <v>0.32562500000000005</v>
      </c>
      <c r="Q18" s="60">
        <v>0.59625000000000006</v>
      </c>
      <c r="R18" s="60">
        <v>6.6250000000000003E-2</v>
      </c>
      <c r="S18" s="240">
        <f>AVERAGEIFS(S$36:S$173,$C$36:$C$173,"=1")</f>
        <v>0.44624999999999992</v>
      </c>
      <c r="T18" s="240">
        <f>AVERAGEIFS(T$36:T$173,$C$36:$C$173,"=1")</f>
        <v>0.48000000000000004</v>
      </c>
      <c r="U18" s="240">
        <f>AVERAGEIFS(U$36:U$173,$C$36:$C$173,"=1")</f>
        <v>0.46562499999999996</v>
      </c>
      <c r="V18" s="198">
        <v>53.823529411764703</v>
      </c>
      <c r="W18" s="198">
        <v>8.2941176470588243</v>
      </c>
      <c r="X18" s="65">
        <v>1.8823529411764711E-2</v>
      </c>
      <c r="Y18" s="65">
        <v>0.33176470588235302</v>
      </c>
      <c r="Z18" s="65">
        <v>0.54705882352941182</v>
      </c>
      <c r="AA18" s="65">
        <v>0.10588235294117644</v>
      </c>
      <c r="AB18" s="240">
        <f>AVERAGEIFS(AB$36:AB$173,$C$36:$C$173,"=1")</f>
        <v>0.44058823529411767</v>
      </c>
      <c r="AC18" s="240">
        <f>AVERAGEIFS(AC$36:AC$173,$C$36:$C$173,"=1")</f>
        <v>0.47352941176470592</v>
      </c>
      <c r="AD18" s="240">
        <f>AVERAGEIFS(AD$36:AD$173,$C$36:$C$173,"=1")</f>
        <v>0.49941176470588228</v>
      </c>
      <c r="AE18" s="295">
        <v>53.705882352941174</v>
      </c>
      <c r="AF18" s="295">
        <v>8.4117647058823533</v>
      </c>
      <c r="AG18" s="39">
        <v>1.6470588235294119E-2</v>
      </c>
      <c r="AH18" s="39">
        <v>0.35176470588235298</v>
      </c>
      <c r="AI18" s="39">
        <v>0.54176470588235304</v>
      </c>
      <c r="AJ18" s="39">
        <v>0.09</v>
      </c>
      <c r="AK18" s="240">
        <f>AVERAGEIFS(AK$36:AK$173,$C$36:$C$173,"=1")</f>
        <v>0.4205882352941176</v>
      </c>
      <c r="AL18" s="240">
        <f>AVERAGEIFS(AL$36:AL$173,$C$36:$C$173,"=1")</f>
        <v>0.36588235294117644</v>
      </c>
      <c r="AM18" s="240">
        <f>AVERAGEIFS(AM$36:AM$173,$C$36:$C$173,"=1")</f>
        <v>0.42529411764705882</v>
      </c>
      <c r="AN18" s="198">
        <v>53.823529411764703</v>
      </c>
      <c r="AO18" s="198">
        <v>8.0588235294117645</v>
      </c>
      <c r="AP18" s="39">
        <v>2.5882352941176474E-2</v>
      </c>
      <c r="AQ18" s="39">
        <v>0.29352941176470587</v>
      </c>
      <c r="AR18" s="39">
        <v>0.6029411764705882</v>
      </c>
      <c r="AS18" s="39">
        <v>7.7647058823529416E-2</v>
      </c>
      <c r="AT18" s="240">
        <f>AVERAGEIFS(AT$36:AT$173,$C$36:$C$173,"=1")</f>
        <v>0.46411764705882358</v>
      </c>
      <c r="AU18" s="240">
        <f>AVERAGEIFS(AU$36:AU$173,$C$36:$C$173,"=1")</f>
        <v>0.3605882352941176</v>
      </c>
      <c r="AV18" s="240">
        <f>AVERAGEIFS(AV$36:AV$173,$C$36:$C$173,"=1")</f>
        <v>0.43588235294117661</v>
      </c>
      <c r="AW18" s="294">
        <v>54.588235294117645</v>
      </c>
      <c r="AX18" s="294"/>
      <c r="AY18" s="294"/>
      <c r="AZ18" s="240"/>
      <c r="BA18" s="262">
        <v>1.1764705882352941E-2</v>
      </c>
      <c r="BB18" s="262">
        <v>0.31294117647058828</v>
      </c>
      <c r="BC18" s="262">
        <v>0.56647058823529406</v>
      </c>
      <c r="BD18" s="262">
        <v>0.10705882352941178</v>
      </c>
      <c r="BE18" s="240">
        <v>0.43176470588235294</v>
      </c>
      <c r="BF18" s="240">
        <v>0.32117647058823529</v>
      </c>
      <c r="BG18" s="240">
        <v>0.53647058823529414</v>
      </c>
      <c r="BH18" s="129">
        <f>AVERAGEIF($C$36:$C$173,"=1",BH$36:BH$173)</f>
        <v>54.722222222222221</v>
      </c>
      <c r="BI18" s="315" t="s">
        <v>758</v>
      </c>
      <c r="BJ18" s="129">
        <f t="shared" ref="BJ18:CC18" si="0">AVERAGEIF($C$36:$C$173,"=1",BJ$36:BJ$173)</f>
        <v>8.5555555555555554</v>
      </c>
      <c r="BK18" s="315" t="s">
        <v>758</v>
      </c>
      <c r="BL18" s="342">
        <f t="shared" si="0"/>
        <v>2.0555555555555563E-2</v>
      </c>
      <c r="BM18" s="342">
        <f t="shared" si="0"/>
        <v>0.28444444444444439</v>
      </c>
      <c r="BN18" s="342">
        <f t="shared" si="0"/>
        <v>0.60222222222222221</v>
      </c>
      <c r="BO18" s="342">
        <f t="shared" si="0"/>
        <v>9.3333333333333324E-2</v>
      </c>
      <c r="BP18" s="342">
        <f t="shared" si="0"/>
        <v>0.45944444444444443</v>
      </c>
      <c r="BQ18" s="342">
        <f t="shared" si="0"/>
        <v>0.33666666666666673</v>
      </c>
      <c r="BR18" s="342">
        <f t="shared" si="0"/>
        <v>0.44500000000000001</v>
      </c>
      <c r="BS18" s="129">
        <f>AVERAGEIF($C$36:$C$173,"=1",BS$36:BS$173)</f>
        <v>54.529411764705884</v>
      </c>
      <c r="BU18" s="129">
        <f t="shared" si="0"/>
        <v>8.2941176470588243</v>
      </c>
      <c r="BW18" s="342">
        <f t="shared" si="0"/>
        <v>1.8823529411764704E-2</v>
      </c>
      <c r="BX18" s="342">
        <f t="shared" si="0"/>
        <v>0.28882352941176476</v>
      </c>
      <c r="BY18" s="342">
        <f t="shared" si="0"/>
        <v>0.59294117647058819</v>
      </c>
      <c r="BZ18" s="342">
        <f t="shared" si="0"/>
        <v>0.10058823529411766</v>
      </c>
      <c r="CA18" s="342">
        <f t="shared" si="0"/>
        <v>0.35470588235294126</v>
      </c>
      <c r="CB18" s="342">
        <f t="shared" si="0"/>
        <v>0.46470588235294108</v>
      </c>
      <c r="CC18" s="342">
        <f t="shared" si="0"/>
        <v>0.48941176470588227</v>
      </c>
      <c r="CD18" s="129">
        <f>AVERAGEIF($C$36:$C$173,"=1",CD$36:CD$173)</f>
        <v>55.333333333333336</v>
      </c>
      <c r="CF18" s="129">
        <f>AVERAGEIF($C$36:$C$173,"=1",CF$36:CF$173)</f>
        <v>8.4444444444444446</v>
      </c>
      <c r="CH18" s="342">
        <f t="shared" ref="CH18:CO18" si="1">AVERAGEIF($C$36:$C$173,"=1",CH$36:CH$173)</f>
        <v>2.1111111111111112E-2</v>
      </c>
      <c r="CI18" s="342">
        <f t="shared" si="1"/>
        <v>0.23666666666666666</v>
      </c>
      <c r="CJ18" s="342">
        <f t="shared" si="1"/>
        <v>0.63555555555555543</v>
      </c>
      <c r="CK18" s="342">
        <f t="shared" si="1"/>
        <v>0.11</v>
      </c>
      <c r="CL18" s="342">
        <f t="shared" si="1"/>
        <v>0.43222222222222212</v>
      </c>
      <c r="CM18" s="342">
        <f t="shared" si="1"/>
        <v>0.43777777777777782</v>
      </c>
      <c r="CN18" s="342">
        <f t="shared" si="1"/>
        <v>0.32888888888888895</v>
      </c>
      <c r="CO18" s="129">
        <f t="shared" si="1"/>
        <v>55.888888888888886</v>
      </c>
      <c r="CQ18" s="129">
        <f t="shared" ref="CQ18" si="2">AVERAGEIF($C$36:$C$173,"=1",CQ$36:CQ$173)</f>
        <v>8.4444444444444446</v>
      </c>
      <c r="CS18" s="342">
        <f t="shared" ref="CS18:CY18" si="3">AVERAGEIF($C$36:$C$173,"=1",CS$36:CS$173)</f>
        <v>1.5555555555555557E-2</v>
      </c>
      <c r="CT18" s="342">
        <f t="shared" si="3"/>
        <v>0.25944444444444442</v>
      </c>
      <c r="CU18" s="342">
        <f t="shared" si="3"/>
        <v>0.58111111111111124</v>
      </c>
      <c r="CV18" s="342">
        <f t="shared" si="3"/>
        <v>0.14444444444444446</v>
      </c>
      <c r="CW18" s="342">
        <f t="shared" si="3"/>
        <v>0.30277777777777781</v>
      </c>
      <c r="CX18" s="342">
        <f t="shared" si="3"/>
        <v>0.43055555555555558</v>
      </c>
      <c r="CY18" s="342">
        <f t="shared" si="3"/>
        <v>0.49777777777777771</v>
      </c>
      <c r="CZ18" s="342"/>
    </row>
    <row r="19" spans="1:104" ht="24.95" customHeight="1" x14ac:dyDescent="0.2">
      <c r="A19" s="197" t="s">
        <v>141</v>
      </c>
      <c r="B19" s="6"/>
      <c r="C19" s="6"/>
      <c r="D19" s="198">
        <v>54.75</v>
      </c>
      <c r="E19" s="198">
        <v>7.15</v>
      </c>
      <c r="F19" s="39">
        <v>1.6E-2</v>
      </c>
      <c r="G19" s="39">
        <v>0.31900000000000001</v>
      </c>
      <c r="H19" s="39">
        <v>0.58300000000000007</v>
      </c>
      <c r="I19" s="39">
        <v>8.2500000000000004E-2</v>
      </c>
      <c r="J19" s="240">
        <f>AVERAGEIFS(J$36:J$173,$C$36:$C$173,"=2")</f>
        <v>0.41249999999999992</v>
      </c>
      <c r="K19" s="240">
        <f>AVERAGEIFS(K$36:K$173,$C$36:$C$173,"=2")</f>
        <v>0.45600000000000013</v>
      </c>
      <c r="L19" s="240">
        <f>AVERAGEIFS(L$36:L$173,$C$36:$C$173,"=2")</f>
        <v>0.51300000000000001</v>
      </c>
      <c r="M19" s="198">
        <v>55.578947368421055</v>
      </c>
      <c r="N19" s="198">
        <v>7.8947368421052628</v>
      </c>
      <c r="O19" s="60">
        <v>1.578947368421053E-2</v>
      </c>
      <c r="P19" s="60">
        <v>0.26473684210526321</v>
      </c>
      <c r="Q19" s="60">
        <v>0.59315789473684222</v>
      </c>
      <c r="R19" s="60">
        <v>0.12578947368421053</v>
      </c>
      <c r="S19" s="240">
        <f>AVERAGEIFS(S$36:S$173,$C$36:$C$173,"=2")</f>
        <v>0.40842105263157902</v>
      </c>
      <c r="T19" s="240">
        <f>AVERAGEIFS(T$36:T$173,$C$36:$C$173,"=2")</f>
        <v>0.44789473684210523</v>
      </c>
      <c r="U19" s="240">
        <f>AVERAGEIFS(U$36:U$173,$C$36:$C$173,"=2")</f>
        <v>0.44263157894736832</v>
      </c>
      <c r="V19" s="198">
        <v>54.684210526315788</v>
      </c>
      <c r="W19" s="198">
        <v>8.3684210526315788</v>
      </c>
      <c r="X19" s="65">
        <v>1.4210526315789474E-2</v>
      </c>
      <c r="Y19" s="65">
        <v>0.31473684210526309</v>
      </c>
      <c r="Z19" s="65">
        <v>0.5457894736842106</v>
      </c>
      <c r="AA19" s="65">
        <v>0.12421052631578947</v>
      </c>
      <c r="AB19" s="240">
        <f>AVERAGEIFS(AB$36:AB$173,$C$36:$C$173,"=2")</f>
        <v>0.41526315789473683</v>
      </c>
      <c r="AC19" s="240">
        <f>AVERAGEIFS(AC$36:AC$173,$C$36:$C$173,"=2")</f>
        <v>0.46631578947368429</v>
      </c>
      <c r="AD19" s="240">
        <f>AVERAGEIFS(AD$36:AD$173,$C$36:$C$173,"=2")</f>
        <v>0.48052631578947363</v>
      </c>
      <c r="AE19" s="295">
        <v>55.3</v>
      </c>
      <c r="AF19" s="295">
        <v>8.35</v>
      </c>
      <c r="AG19" s="39">
        <v>1.0500000000000001E-2</v>
      </c>
      <c r="AH19" s="39">
        <v>0.25950000000000001</v>
      </c>
      <c r="AI19" s="39">
        <v>0.60349999999999993</v>
      </c>
      <c r="AJ19" s="39">
        <v>0.128</v>
      </c>
      <c r="AK19" s="240">
        <f>AVERAGEIFS(AK$36:AK$173,$C$36:$C$173,"=2")</f>
        <v>0.39000000000000007</v>
      </c>
      <c r="AL19" s="240">
        <f>AVERAGEIFS(AL$36:AL$173,$C$36:$C$173,"=2")</f>
        <v>0.33999999999999997</v>
      </c>
      <c r="AM19" s="240">
        <f>AVERAGEIFS(AM$36:AM$173,$C$36:$C$173,"=2")</f>
        <v>0.39500000000000007</v>
      </c>
      <c r="AN19" s="198">
        <v>54.791666666666664</v>
      </c>
      <c r="AO19" s="198">
        <v>7.041666666666667</v>
      </c>
      <c r="AP19" s="39">
        <v>7.4999999999999997E-3</v>
      </c>
      <c r="AQ19" s="39">
        <v>0.29416666666666663</v>
      </c>
      <c r="AR19" s="39">
        <v>0.58833333333333326</v>
      </c>
      <c r="AS19" s="39">
        <v>0.11</v>
      </c>
      <c r="AT19" s="240">
        <f>AVERAGEIFS(AT$36:AT$173,$C$36:$C$173,"=2")</f>
        <v>0.43458333333333332</v>
      </c>
      <c r="AU19" s="240">
        <f>AVERAGEIFS(AU$36:AU$173,$C$36:$C$173,"=2")</f>
        <v>0.36166666666666664</v>
      </c>
      <c r="AV19" s="240">
        <f>AVERAGEIFS(AV$36:AV$173,$C$36:$C$173,"=2")</f>
        <v>0.41708333333333331</v>
      </c>
      <c r="AW19" s="294">
        <v>54.545454545454547</v>
      </c>
      <c r="AX19" s="294"/>
      <c r="AY19" s="294"/>
      <c r="AZ19" s="240"/>
      <c r="BA19" s="262">
        <v>3.0909090909090917E-2</v>
      </c>
      <c r="BB19" s="262">
        <v>0.33090909090909082</v>
      </c>
      <c r="BC19" s="262">
        <v>0.51045454545454538</v>
      </c>
      <c r="BD19" s="262">
        <v>0.1281818181818182</v>
      </c>
      <c r="BE19" s="240">
        <v>0.43545454545454554</v>
      </c>
      <c r="BF19" s="240">
        <v>0.33636363636363636</v>
      </c>
      <c r="BG19" s="240">
        <v>0.52727272727272745</v>
      </c>
      <c r="BH19" s="129">
        <f>AVERAGEIF($C$36:$C$173,"=2",BH$36:BH$173)</f>
        <v>56.44</v>
      </c>
      <c r="BJ19" s="129">
        <f t="shared" ref="BJ19:CQ19" si="4">AVERAGEIF($C$36:$C$173,"=2",BJ$36:BJ$173)</f>
        <v>7.84</v>
      </c>
      <c r="BL19" s="342">
        <f t="shared" si="4"/>
        <v>2.0400000000000001E-2</v>
      </c>
      <c r="BM19" s="342">
        <f t="shared" si="4"/>
        <v>0.22400000000000003</v>
      </c>
      <c r="BN19" s="342">
        <f t="shared" si="4"/>
        <v>0.58879999999999977</v>
      </c>
      <c r="BO19" s="342">
        <f t="shared" si="4"/>
        <v>0.16799999999999998</v>
      </c>
      <c r="BP19" s="342">
        <f t="shared" si="4"/>
        <v>0.43520000000000003</v>
      </c>
      <c r="BQ19" s="342">
        <f t="shared" si="4"/>
        <v>0.31199999999999994</v>
      </c>
      <c r="BR19" s="342">
        <f t="shared" si="4"/>
        <v>0.39760000000000006</v>
      </c>
      <c r="BS19" s="129">
        <f t="shared" si="4"/>
        <v>55.96153846153846</v>
      </c>
      <c r="BU19" s="129">
        <f t="shared" si="4"/>
        <v>8.3076923076923084</v>
      </c>
      <c r="BW19" s="342">
        <f t="shared" si="4"/>
        <v>2.5384615384615391E-2</v>
      </c>
      <c r="BX19" s="342">
        <f t="shared" si="4"/>
        <v>0.25769230769230766</v>
      </c>
      <c r="BY19" s="342">
        <f t="shared" si="4"/>
        <v>0.55692307692307697</v>
      </c>
      <c r="BZ19" s="342">
        <f t="shared" si="4"/>
        <v>0.16038461538461538</v>
      </c>
      <c r="CA19" s="342">
        <f t="shared" si="4"/>
        <v>0.341923076923077</v>
      </c>
      <c r="CB19" s="342">
        <f t="shared" si="4"/>
        <v>0.44423076923076926</v>
      </c>
      <c r="CC19" s="342">
        <f t="shared" si="4"/>
        <v>0.45000000000000007</v>
      </c>
      <c r="CD19" s="129">
        <f t="shared" si="4"/>
        <v>57.208333333333336</v>
      </c>
      <c r="CF19" s="129">
        <f t="shared" si="4"/>
        <v>8.2083333333333339</v>
      </c>
      <c r="CH19" s="342">
        <f t="shared" si="4"/>
        <v>1.2083333333333335E-2</v>
      </c>
      <c r="CI19" s="342">
        <f t="shared" si="4"/>
        <v>0.21624999999999997</v>
      </c>
      <c r="CJ19" s="342">
        <f t="shared" si="4"/>
        <v>0.57499999999999984</v>
      </c>
      <c r="CK19" s="342">
        <f t="shared" si="4"/>
        <v>0.19708333333333336</v>
      </c>
      <c r="CL19" s="342">
        <f t="shared" si="4"/>
        <v>0.39458333333333334</v>
      </c>
      <c r="CM19" s="342">
        <f t="shared" si="4"/>
        <v>0.40916666666666673</v>
      </c>
      <c r="CN19" s="342">
        <f t="shared" si="4"/>
        <v>0.30291666666666661</v>
      </c>
      <c r="CO19" s="129">
        <f t="shared" si="4"/>
        <v>56.555555555555557</v>
      </c>
      <c r="CQ19" s="129">
        <f t="shared" si="4"/>
        <v>7.5555555555555554</v>
      </c>
      <c r="CS19" s="342">
        <f t="shared" ref="CS19:CY19" si="5">AVERAGEIF($C$36:$C$173,"=2",CS$36:CS$173)</f>
        <v>6.6666666666666662E-3</v>
      </c>
      <c r="CT19" s="342">
        <f t="shared" si="5"/>
        <v>0.24333333333333332</v>
      </c>
      <c r="CU19" s="342">
        <f t="shared" si="5"/>
        <v>0.56814814814814818</v>
      </c>
      <c r="CV19" s="342">
        <f t="shared" si="5"/>
        <v>0.18185185185185185</v>
      </c>
      <c r="CW19" s="342">
        <f t="shared" si="5"/>
        <v>0.30407407407407405</v>
      </c>
      <c r="CX19" s="342">
        <f t="shared" si="5"/>
        <v>0.40814814814814826</v>
      </c>
      <c r="CY19" s="342">
        <f t="shared" si="5"/>
        <v>0.48814814814814816</v>
      </c>
      <c r="CZ19" s="342"/>
    </row>
    <row r="20" spans="1:104" ht="24.95" customHeight="1" x14ac:dyDescent="0.2">
      <c r="A20" s="197" t="s">
        <v>142</v>
      </c>
      <c r="B20" s="6"/>
      <c r="C20" s="6"/>
      <c r="D20" s="198">
        <v>54.555555555555557</v>
      </c>
      <c r="E20" s="198">
        <v>8</v>
      </c>
      <c r="F20" s="39">
        <v>1.9444444444444445E-2</v>
      </c>
      <c r="G20" s="39">
        <v>0.30944444444444447</v>
      </c>
      <c r="H20" s="39">
        <v>0.59777777777777785</v>
      </c>
      <c r="I20" s="39">
        <v>7.7222222222222248E-2</v>
      </c>
      <c r="J20" s="240">
        <f>AVERAGEIFS(J$36:J$173,$C$36:$C$173,"=3")</f>
        <v>0.40444444444444438</v>
      </c>
      <c r="K20" s="240">
        <f>AVERAGEIFS(K$36:K$173,$C$36:$C$173,"=3")</f>
        <v>0.4694444444444445</v>
      </c>
      <c r="L20" s="240">
        <f>AVERAGEIFS(L$36:L$173,$C$36:$C$173,"=3")</f>
        <v>0.51888888888888884</v>
      </c>
      <c r="M20" s="198">
        <v>55.368421052631582</v>
      </c>
      <c r="N20" s="198">
        <v>7.8888888888888893</v>
      </c>
      <c r="O20" s="60">
        <v>1.2105263157894735E-2</v>
      </c>
      <c r="P20" s="60">
        <v>0.25368421052631573</v>
      </c>
      <c r="Q20" s="60">
        <v>0.63473684210526304</v>
      </c>
      <c r="R20" s="60">
        <v>0.10052631578947369</v>
      </c>
      <c r="S20" s="240">
        <f>AVERAGEIFS(S$36:S$173,$C$36:$C$173,"=3")</f>
        <v>0.42000000000000004</v>
      </c>
      <c r="T20" s="240">
        <f>AVERAGEIFS(T$36:T$173,$C$36:$C$173,"=3")</f>
        <v>0.45789473684210524</v>
      </c>
      <c r="U20" s="240">
        <f>AVERAGEIFS(U$36:U$173,$C$36:$C$173,"=3")</f>
        <v>0.44631578947368422</v>
      </c>
      <c r="V20" s="198">
        <v>55.684210526315788</v>
      </c>
      <c r="W20" s="198">
        <v>8.2777777777777786</v>
      </c>
      <c r="X20" s="65">
        <v>1.368421052631579E-2</v>
      </c>
      <c r="Y20" s="65">
        <v>0.2636842105263158</v>
      </c>
      <c r="Z20" s="65">
        <v>0.59052631578947368</v>
      </c>
      <c r="AA20" s="65">
        <v>0.13315789473684214</v>
      </c>
      <c r="AB20" s="240">
        <f>AVERAGEIFS(AB$36:AB$173,$C$36:$C$173,"=3")</f>
        <v>0.40473684210526323</v>
      </c>
      <c r="AC20" s="240">
        <f>AVERAGEIFS(AC$36:AC$173,$C$36:$C$173,"=3")</f>
        <v>0.45631578947368423</v>
      </c>
      <c r="AD20" s="240">
        <f>AVERAGEIFS(AD$36:AD$173,$C$36:$C$173,"=3")</f>
        <v>0.47842105263157886</v>
      </c>
      <c r="AE20" s="295">
        <v>55.210526315789473</v>
      </c>
      <c r="AF20" s="295">
        <v>8.4444444444444446</v>
      </c>
      <c r="AG20" s="39">
        <v>8.4210526315789472E-3</v>
      </c>
      <c r="AH20" s="39">
        <v>0.28526315789473677</v>
      </c>
      <c r="AI20" s="39">
        <v>0.57315789473684209</v>
      </c>
      <c r="AJ20" s="39">
        <v>0.13315789473684211</v>
      </c>
      <c r="AK20" s="240">
        <f>AVERAGEIFS(AK$36:AK$173,$C$36:$C$173,"=3")</f>
        <v>0.40052631578947373</v>
      </c>
      <c r="AL20" s="240">
        <f>AVERAGEIFS(AL$36:AL$173,$C$36:$C$173,"=3")</f>
        <v>0.34894736842105267</v>
      </c>
      <c r="AM20" s="240">
        <f>AVERAGEIFS(AM$36:AM$173,$C$36:$C$173,"=3")</f>
        <v>0.39368421052631569</v>
      </c>
      <c r="AN20" s="198">
        <v>54.9</v>
      </c>
      <c r="AO20" s="198">
        <v>7.8</v>
      </c>
      <c r="AP20" s="39">
        <v>1.7499999999999998E-2</v>
      </c>
      <c r="AQ20" s="39">
        <v>0.26100000000000001</v>
      </c>
      <c r="AR20" s="39">
        <v>0.64649999999999996</v>
      </c>
      <c r="AS20" s="39">
        <v>7.4499999999999997E-2</v>
      </c>
      <c r="AT20" s="240">
        <f>AVERAGEIFS(AT$36:AT$173,$C$36:$C$173,"=3")</f>
        <v>0.44800000000000006</v>
      </c>
      <c r="AU20" s="240">
        <f>AVERAGEIFS(AU$36:AU$173,$C$36:$C$173,"=3")</f>
        <v>0.34550000000000003</v>
      </c>
      <c r="AV20" s="240">
        <f>AVERAGEIFS(AV$36:AV$173,$C$36:$C$173,"=3")</f>
        <v>0.40499999999999997</v>
      </c>
      <c r="AW20" s="294">
        <v>55.6</v>
      </c>
      <c r="AX20" s="294"/>
      <c r="AY20" s="294"/>
      <c r="AZ20" s="240"/>
      <c r="BA20" s="262">
        <v>1.1500000000000002E-2</v>
      </c>
      <c r="BB20" s="262">
        <v>0.28799999999999998</v>
      </c>
      <c r="BC20" s="262">
        <v>0.55899999999999994</v>
      </c>
      <c r="BD20" s="262">
        <v>0.14399999999999999</v>
      </c>
      <c r="BE20" s="240">
        <v>0.41200000000000003</v>
      </c>
      <c r="BF20" s="240">
        <v>0.32050000000000001</v>
      </c>
      <c r="BG20" s="240">
        <v>0.51100000000000012</v>
      </c>
      <c r="BH20" s="129">
        <f>AVERAGEIF($C$36:$C$173,"=3",BH$36:BH$173)</f>
        <v>56.272727272727273</v>
      </c>
      <c r="BJ20" s="129">
        <f t="shared" ref="BJ20:CQ20" si="6">AVERAGEIF($C$36:$C$173,"=3",BJ$36:BJ$173)</f>
        <v>8.4090909090909083</v>
      </c>
      <c r="BL20" s="342">
        <f t="shared" si="6"/>
        <v>1.2727272727272726E-2</v>
      </c>
      <c r="BM20" s="342">
        <f t="shared" si="6"/>
        <v>0.23909090909090913</v>
      </c>
      <c r="BN20" s="342">
        <f t="shared" si="6"/>
        <v>0.60272727272727267</v>
      </c>
      <c r="BO20" s="342">
        <f t="shared" si="6"/>
        <v>0.14681818181818182</v>
      </c>
      <c r="BP20" s="342">
        <f t="shared" si="6"/>
        <v>0.43545454545454548</v>
      </c>
      <c r="BQ20" s="342">
        <f t="shared" si="6"/>
        <v>0.31909090909090909</v>
      </c>
      <c r="BR20" s="342">
        <f t="shared" si="6"/>
        <v>0.40045454545454545</v>
      </c>
      <c r="BS20" s="129">
        <f t="shared" si="6"/>
        <v>55.909090909090907</v>
      </c>
      <c r="BU20" s="129">
        <f t="shared" si="6"/>
        <v>8.1363636363636367</v>
      </c>
      <c r="BW20" s="342">
        <f t="shared" si="6"/>
        <v>1.5454545454545453E-2</v>
      </c>
      <c r="BX20" s="342">
        <f t="shared" si="6"/>
        <v>0.23181818181818184</v>
      </c>
      <c r="BY20" s="342">
        <f t="shared" si="6"/>
        <v>0.62</v>
      </c>
      <c r="BZ20" s="342">
        <f t="shared" si="6"/>
        <v>0.13409090909090909</v>
      </c>
      <c r="CA20" s="342">
        <f t="shared" si="6"/>
        <v>0.34136363636363637</v>
      </c>
      <c r="CB20" s="342">
        <f t="shared" si="6"/>
        <v>0.44136363636363635</v>
      </c>
      <c r="CC20" s="342">
        <f t="shared" si="6"/>
        <v>0.4540909090909091</v>
      </c>
      <c r="CD20" s="129">
        <f t="shared" si="6"/>
        <v>56.5</v>
      </c>
      <c r="CF20" s="129">
        <f t="shared" si="6"/>
        <v>8.5</v>
      </c>
      <c r="CH20" s="342">
        <f t="shared" si="6"/>
        <v>2.0909090909090912E-2</v>
      </c>
      <c r="CI20" s="342">
        <f t="shared" si="6"/>
        <v>0.2195454545454546</v>
      </c>
      <c r="CJ20" s="342">
        <f t="shared" si="6"/>
        <v>0.60090909090909106</v>
      </c>
      <c r="CK20" s="342">
        <f t="shared" si="6"/>
        <v>0.16045454545454543</v>
      </c>
      <c r="CL20" s="342">
        <f t="shared" si="6"/>
        <v>0.4186363636363637</v>
      </c>
      <c r="CM20" s="342">
        <f t="shared" si="6"/>
        <v>0.4095454545454546</v>
      </c>
      <c r="CN20" s="342">
        <f t="shared" si="6"/>
        <v>0.30909090909090908</v>
      </c>
      <c r="CO20" s="129">
        <f t="shared" si="6"/>
        <v>57.136363636363633</v>
      </c>
      <c r="CQ20" s="129">
        <f t="shared" si="6"/>
        <v>8.954545454545455</v>
      </c>
      <c r="CS20" s="342">
        <f t="shared" ref="CS20:CY20" si="7">AVERAGEIF($C$36:$C$173,"=3",CS$36:CS$173)</f>
        <v>1.2272727272727274E-2</v>
      </c>
      <c r="CT20" s="342">
        <f t="shared" si="7"/>
        <v>0.23409090909090915</v>
      </c>
      <c r="CU20" s="342">
        <f t="shared" si="7"/>
        <v>0.57454545454545447</v>
      </c>
      <c r="CV20" s="342">
        <f t="shared" si="7"/>
        <v>0.18136363636363639</v>
      </c>
      <c r="CW20" s="342">
        <f t="shared" si="7"/>
        <v>0.27863636363636374</v>
      </c>
      <c r="CX20" s="342">
        <f t="shared" si="7"/>
        <v>0.41136363636363638</v>
      </c>
      <c r="CY20" s="342">
        <f t="shared" si="7"/>
        <v>0.4686363636363638</v>
      </c>
      <c r="CZ20" s="342"/>
    </row>
    <row r="21" spans="1:104" ht="24.95" customHeight="1" x14ac:dyDescent="0.2">
      <c r="A21" s="197" t="s">
        <v>143</v>
      </c>
      <c r="B21" s="6"/>
      <c r="C21" s="6"/>
      <c r="D21" s="198">
        <v>50.714285714285715</v>
      </c>
      <c r="E21" s="198">
        <v>7.5</v>
      </c>
      <c r="F21" s="39">
        <v>2.6428571428571433E-2</v>
      </c>
      <c r="G21" s="39">
        <v>0.39588235294117652</v>
      </c>
      <c r="H21" s="39">
        <v>0.48285714285714282</v>
      </c>
      <c r="I21" s="39">
        <v>2.357142857142857E-2</v>
      </c>
      <c r="J21" s="240">
        <f>AVERAGEIFS(J$36:J$173,$C$36:$C$173,"=4")</f>
        <v>0.47857142857142859</v>
      </c>
      <c r="K21" s="240">
        <f>AVERAGEIFS(K$36:K$173,$C$36:$C$173,"=4")</f>
        <v>0.52357142857142858</v>
      </c>
      <c r="L21" s="240">
        <f>AVERAGEIFS(L$36:L$173,$C$36:$C$173,"=4")</f>
        <v>0.59214285714285708</v>
      </c>
      <c r="M21" s="198">
        <v>53.6</v>
      </c>
      <c r="N21" s="198">
        <v>7.2666666666666666</v>
      </c>
      <c r="O21" s="60">
        <v>1.2857142857142857E-2</v>
      </c>
      <c r="P21" s="60">
        <v>0.33285714285714285</v>
      </c>
      <c r="Q21" s="60">
        <v>0.57285714285714284</v>
      </c>
      <c r="R21" s="60">
        <v>8.1428571428571433E-2</v>
      </c>
      <c r="S21" s="240">
        <f>AVERAGEIFS(S$36:S$173,$C$36:$C$173,"=4")</f>
        <v>0.43571428571428567</v>
      </c>
      <c r="T21" s="240">
        <f>AVERAGEIFS(T$36:T$173,$C$36:$C$173,"=4")</f>
        <v>0.47500000000000003</v>
      </c>
      <c r="U21" s="240">
        <f>AVERAGEIFS(U$36:U$173,$C$36:$C$173,"=4")</f>
        <v>0.49071428571428577</v>
      </c>
      <c r="V21" s="198">
        <v>52.93333333333333</v>
      </c>
      <c r="W21" s="198">
        <v>7.6</v>
      </c>
      <c r="X21" s="65">
        <v>1.0666666666666666E-2</v>
      </c>
      <c r="Y21" s="65">
        <v>0.36266666666666669</v>
      </c>
      <c r="Z21" s="65">
        <v>0.57799999999999996</v>
      </c>
      <c r="AA21" s="65">
        <v>4.8000000000000015E-2</v>
      </c>
      <c r="AB21" s="240">
        <f>AVERAGEIFS(AB$36:AB$173,$C$36:$C$173,"=4")</f>
        <v>0.44333333333333325</v>
      </c>
      <c r="AC21" s="240">
        <f>AVERAGEIFS(AC$36:AC$173,$C$36:$C$173,"=4")</f>
        <v>0.4966666666666667</v>
      </c>
      <c r="AD21" s="240">
        <f>AVERAGEIFS(AD$36:AD$173,$C$36:$C$173,"=4")</f>
        <v>0.51733333333333342</v>
      </c>
      <c r="AE21" s="295">
        <v>52.5</v>
      </c>
      <c r="AF21" s="295">
        <v>8.5</v>
      </c>
      <c r="AG21" s="39">
        <v>3.3571428571428578E-2</v>
      </c>
      <c r="AH21" s="39">
        <v>0.39357142857142863</v>
      </c>
      <c r="AI21" s="39">
        <v>0.4921428571428571</v>
      </c>
      <c r="AJ21" s="39">
        <v>8.1428571428571433E-2</v>
      </c>
      <c r="AK21" s="240">
        <f>AVERAGEIFS(AK$36:AK$173,$C$36:$C$173,"=4")</f>
        <v>0.43785714285714289</v>
      </c>
      <c r="AL21" s="240">
        <f>AVERAGEIFS(AL$36:AL$173,$C$36:$C$173,"=4")</f>
        <v>0.39857142857142858</v>
      </c>
      <c r="AM21" s="240">
        <f>AVERAGEIFS(AM$36:AM$173,$C$36:$C$173,"=4")</f>
        <v>0.43857142857142856</v>
      </c>
      <c r="AN21" s="198">
        <v>51.153846153846153</v>
      </c>
      <c r="AO21" s="198">
        <v>8.0769230769230766</v>
      </c>
      <c r="AP21" s="39">
        <v>3.1538461538461543E-2</v>
      </c>
      <c r="AQ21" s="39">
        <v>0.42</v>
      </c>
      <c r="AR21" s="39">
        <v>0.49692307692307697</v>
      </c>
      <c r="AS21" s="39">
        <v>5.307692307692307E-2</v>
      </c>
      <c r="AT21" s="240">
        <f>AVERAGEIFS(AT$36:AT$173,$C$36:$C$173,"=4")</f>
        <v>0.50692307692307703</v>
      </c>
      <c r="AU21" s="240">
        <f>AVERAGEIFS(AU$36:AU$173,$C$36:$C$173,"=4")</f>
        <v>0.41923076923076918</v>
      </c>
      <c r="AV21" s="240">
        <f>AVERAGEIFS(AV$36:AV$173,$C$36:$C$173,"=4")</f>
        <v>0.46153846153846145</v>
      </c>
      <c r="AW21" s="294">
        <v>52.357142857142854</v>
      </c>
      <c r="AX21" s="294"/>
      <c r="AY21" s="294"/>
      <c r="AZ21" s="240"/>
      <c r="BA21" s="262">
        <v>1.9999999999999997E-2</v>
      </c>
      <c r="BB21" s="262">
        <v>0.3978571428571428</v>
      </c>
      <c r="BC21" s="262">
        <v>0.5278571428571428</v>
      </c>
      <c r="BD21" s="262">
        <v>5.5714285714285709E-2</v>
      </c>
      <c r="BE21" s="240">
        <v>0.46142857142857147</v>
      </c>
      <c r="BF21" s="240">
        <v>0.38214285714285717</v>
      </c>
      <c r="BG21" s="240">
        <v>0.56857142857142873</v>
      </c>
      <c r="BH21" s="129">
        <f>AVERAGEIF($C$36:$C$173,"=4",BH$36:BH$173)</f>
        <v>53.285714285714285</v>
      </c>
      <c r="BJ21" s="129">
        <f t="shared" ref="BJ21:CQ21" si="8">AVERAGEIF($C$36:$C$173,"=4",BJ$36:BJ$173)</f>
        <v>8.5</v>
      </c>
      <c r="BL21" s="342">
        <f t="shared" si="8"/>
        <v>3.3571428571428572E-2</v>
      </c>
      <c r="BM21" s="342">
        <f t="shared" si="8"/>
        <v>0.34428571428571436</v>
      </c>
      <c r="BN21" s="342">
        <f t="shared" si="8"/>
        <v>0.51857142857142857</v>
      </c>
      <c r="BO21" s="342">
        <f t="shared" si="8"/>
        <v>0.10285714285714287</v>
      </c>
      <c r="BP21" s="342">
        <f t="shared" si="8"/>
        <v>0.47857142857142859</v>
      </c>
      <c r="BQ21" s="342">
        <f t="shared" si="8"/>
        <v>0.35500000000000004</v>
      </c>
      <c r="BR21" s="342">
        <f t="shared" si="8"/>
        <v>0.47500000000000009</v>
      </c>
      <c r="BS21" s="129">
        <f t="shared" si="8"/>
        <v>51.466666666666669</v>
      </c>
      <c r="BU21" s="129">
        <f t="shared" si="8"/>
        <v>8.6</v>
      </c>
      <c r="BW21" s="342">
        <f t="shared" si="8"/>
        <v>3.1333333333333338E-2</v>
      </c>
      <c r="BX21" s="342">
        <f t="shared" si="8"/>
        <v>0.42866666666666664</v>
      </c>
      <c r="BY21" s="342">
        <f t="shared" si="8"/>
        <v>0.47600000000000003</v>
      </c>
      <c r="BZ21" s="342">
        <f t="shared" si="8"/>
        <v>6.3333333333333325E-2</v>
      </c>
      <c r="CA21" s="342">
        <f t="shared" si="8"/>
        <v>0.41399999999999992</v>
      </c>
      <c r="CB21" s="342">
        <f t="shared" si="8"/>
        <v>0.51533333333333331</v>
      </c>
      <c r="CC21" s="342">
        <f t="shared" si="8"/>
        <v>0.54599999999999993</v>
      </c>
      <c r="CD21" s="129">
        <f t="shared" si="8"/>
        <v>53.384615384615387</v>
      </c>
      <c r="CF21" s="129">
        <f t="shared" si="8"/>
        <v>8.384615384615385</v>
      </c>
      <c r="CH21" s="342">
        <f t="shared" si="8"/>
        <v>2.769230769230769E-2</v>
      </c>
      <c r="CI21" s="342">
        <f t="shared" si="8"/>
        <v>0.35</v>
      </c>
      <c r="CJ21" s="342">
        <f t="shared" si="8"/>
        <v>0.533076923076923</v>
      </c>
      <c r="CK21" s="342">
        <f t="shared" si="8"/>
        <v>9.1538461538461541E-2</v>
      </c>
      <c r="CL21" s="342">
        <f t="shared" si="8"/>
        <v>0.45999999999999996</v>
      </c>
      <c r="CM21" s="342">
        <f t="shared" si="8"/>
        <v>0.46230769230769236</v>
      </c>
      <c r="CN21" s="342">
        <f t="shared" si="8"/>
        <v>0.37692307692307697</v>
      </c>
      <c r="CO21" s="129">
        <f t="shared" si="8"/>
        <v>55</v>
      </c>
      <c r="CQ21" s="129">
        <f t="shared" si="8"/>
        <v>8.5333333333333332</v>
      </c>
      <c r="CS21" s="342">
        <f t="shared" ref="CS21:CY21" si="9">AVERAGEIF($C$36:$C$173,"=4",CS$36:CS$173)</f>
        <v>2.9333333333333329E-2</v>
      </c>
      <c r="CT21" s="342">
        <f t="shared" si="9"/>
        <v>0.27999999999999997</v>
      </c>
      <c r="CU21" s="342">
        <f t="shared" si="9"/>
        <v>0.54733333333333323</v>
      </c>
      <c r="CV21" s="342">
        <f t="shared" si="9"/>
        <v>0.14133333333333334</v>
      </c>
      <c r="CW21" s="342">
        <f t="shared" si="9"/>
        <v>0.35400000000000004</v>
      </c>
      <c r="CX21" s="342">
        <f t="shared" si="9"/>
        <v>0.42799999999999999</v>
      </c>
      <c r="CY21" s="342">
        <f t="shared" si="9"/>
        <v>0.50133333333333341</v>
      </c>
      <c r="CZ21" s="342"/>
    </row>
    <row r="22" spans="1:104" ht="24.95" customHeight="1" x14ac:dyDescent="0.2">
      <c r="A22" s="197" t="s">
        <v>144</v>
      </c>
      <c r="B22" s="6"/>
      <c r="C22" s="6"/>
      <c r="D22" s="198">
        <v>55.529411764705884</v>
      </c>
      <c r="E22" s="198">
        <v>7.7058823529411766</v>
      </c>
      <c r="F22" s="39">
        <v>1.1764705882352941E-2</v>
      </c>
      <c r="G22" s="39">
        <v>0.39588235294117652</v>
      </c>
      <c r="H22" s="39">
        <v>0.63764705882352946</v>
      </c>
      <c r="I22" s="39">
        <v>8.4705882352941186E-2</v>
      </c>
      <c r="J22" s="240">
        <f>AVERAGEIFS(J$36:J$173,$C$36:$C$173,"=5")</f>
        <v>0.40941176470588236</v>
      </c>
      <c r="K22" s="240">
        <f>AVERAGEIFS(K$36:K$173,$C$36:$C$173,"=5")</f>
        <v>0.43588235294117644</v>
      </c>
      <c r="L22" s="240">
        <f>AVERAGEIFS(L$36:L$173,$C$36:$C$173,"=5")</f>
        <v>0.53117647058823536</v>
      </c>
      <c r="M22" s="198">
        <v>56.941176470588232</v>
      </c>
      <c r="N22" s="198">
        <v>7.5882352941176467</v>
      </c>
      <c r="O22" s="60">
        <v>1.0555555555555556E-2</v>
      </c>
      <c r="P22" s="60">
        <v>0.2122222222222222</v>
      </c>
      <c r="Q22" s="60">
        <v>0.66055555555555545</v>
      </c>
      <c r="R22" s="60">
        <v>0.11444444444444445</v>
      </c>
      <c r="S22" s="240">
        <f>AVERAGEIFS(S$36:S$173,$C$36:$C$173,"=5")</f>
        <v>0.37388888888888883</v>
      </c>
      <c r="T22" s="240">
        <f>AVERAGEIFS(T$36:T$173,$C$36:$C$173,"=5")</f>
        <v>0.43111111111111111</v>
      </c>
      <c r="U22" s="240">
        <f>AVERAGEIFS(U$36:U$173,$C$36:$C$173,"=5")</f>
        <v>0.435</v>
      </c>
      <c r="V22" s="198">
        <v>55.888888888888886</v>
      </c>
      <c r="W22" s="198">
        <v>7.8888888888888893</v>
      </c>
      <c r="X22" s="65">
        <v>1.2222222222222223E-2</v>
      </c>
      <c r="Y22" s="65">
        <v>0.26833333333333331</v>
      </c>
      <c r="Z22" s="65">
        <v>0.59666666666666668</v>
      </c>
      <c r="AA22" s="65">
        <v>0.125</v>
      </c>
      <c r="AB22" s="240">
        <f>AVERAGEIFS(AB$36:AB$173,$C$36:$C$173,"=5")</f>
        <v>0.39500000000000002</v>
      </c>
      <c r="AC22" s="240">
        <f>AVERAGEIFS(AC$36:AC$173,$C$36:$C$173,"=5")</f>
        <v>0.4538888888888889</v>
      </c>
      <c r="AD22" s="240">
        <f>AVERAGEIFS(AD$36:AD$173,$C$36:$C$173,"=5")</f>
        <v>0.46444444444444444</v>
      </c>
      <c r="AE22" s="295">
        <v>56.368421052631582</v>
      </c>
      <c r="AF22" s="295">
        <v>7.9473684210526319</v>
      </c>
      <c r="AG22" s="39">
        <v>6.842105263157895E-3</v>
      </c>
      <c r="AH22" s="39">
        <v>0.25526315789473697</v>
      </c>
      <c r="AI22" s="39">
        <v>0.5915789473684212</v>
      </c>
      <c r="AJ22" s="39">
        <v>0.14684210526315788</v>
      </c>
      <c r="AK22" s="240">
        <f>AVERAGEIFS(AK$36:AK$173,$C$36:$C$173,"=5")</f>
        <v>0.37526315789473674</v>
      </c>
      <c r="AL22" s="240">
        <f>AVERAGEIFS(AL$36:AL$173,$C$36:$C$173,"=5")</f>
        <v>0.32526315789473681</v>
      </c>
      <c r="AM22" s="240">
        <f>AVERAGEIFS(AM$36:AM$173,$C$36:$C$173,"=5")</f>
        <v>0.37894736842105264</v>
      </c>
      <c r="AN22" s="198">
        <v>56.5</v>
      </c>
      <c r="AO22" s="198">
        <v>7.3888888888888893</v>
      </c>
      <c r="AP22" s="39">
        <v>2.2222222222222222E-3</v>
      </c>
      <c r="AQ22" s="39">
        <v>0.21777777777777779</v>
      </c>
      <c r="AR22" s="39">
        <v>0.66388888888888875</v>
      </c>
      <c r="AS22" s="39">
        <v>0.11611111111111111</v>
      </c>
      <c r="AT22" s="240">
        <f>AVERAGEIFS(AT$36:AT$173,$C$36:$C$173,"=5")</f>
        <v>0.42777777777777781</v>
      </c>
      <c r="AU22" s="240">
        <f>AVERAGEIFS(AU$36:AU$173,$C$36:$C$173,"=5")</f>
        <v>0.30444444444444441</v>
      </c>
      <c r="AV22" s="240">
        <f>AVERAGEIFS(AV$36:AV$173,$C$36:$C$173,"=5")</f>
        <v>0.39166666666666672</v>
      </c>
      <c r="AW22" s="294">
        <v>56.944444444444443</v>
      </c>
      <c r="AX22" s="294"/>
      <c r="AY22" s="294"/>
      <c r="AZ22" s="240"/>
      <c r="BA22" s="262">
        <v>5.5555555555555558E-3</v>
      </c>
      <c r="BB22" s="262">
        <v>0.22166666666666662</v>
      </c>
      <c r="BC22" s="262">
        <v>0.59388888888888891</v>
      </c>
      <c r="BD22" s="262">
        <v>0.1772222222222222</v>
      </c>
      <c r="BE22" s="240">
        <v>0.39111111111111119</v>
      </c>
      <c r="BF22" s="240">
        <v>0.30111111111111105</v>
      </c>
      <c r="BG22" s="240">
        <v>0.48444444444444446</v>
      </c>
      <c r="BH22" s="129">
        <f>AVERAGEIF($C$36:$C$173,"=5",BH$36:BH$173)</f>
        <v>57.882352941176471</v>
      </c>
      <c r="BJ22" s="129">
        <f t="shared" ref="BJ22:CQ22" si="10">AVERAGEIF($C$36:$C$173,"=5",BJ$36:BJ$173)</f>
        <v>7.7058823529411766</v>
      </c>
      <c r="BL22" s="342">
        <f t="shared" si="10"/>
        <v>1.2352941176470589E-2</v>
      </c>
      <c r="BM22" s="342">
        <f t="shared" si="10"/>
        <v>0.17294117647058824</v>
      </c>
      <c r="BN22" s="342">
        <f t="shared" si="10"/>
        <v>0.62588235294117656</v>
      </c>
      <c r="BO22" s="342">
        <f t="shared" si="10"/>
        <v>0.19</v>
      </c>
      <c r="BP22" s="342">
        <f t="shared" si="10"/>
        <v>0.41235294117647059</v>
      </c>
      <c r="BQ22" s="342">
        <f t="shared" si="10"/>
        <v>0.28176470588235292</v>
      </c>
      <c r="BR22" s="342">
        <f t="shared" si="10"/>
        <v>0.37823529411764706</v>
      </c>
      <c r="BS22" s="129">
        <f t="shared" si="10"/>
        <v>57.823529411764703</v>
      </c>
      <c r="BU22" s="129">
        <f t="shared" si="10"/>
        <v>8.1764705882352935</v>
      </c>
      <c r="BW22" s="342">
        <f t="shared" si="10"/>
        <v>6.4705882352941186E-3</v>
      </c>
      <c r="BX22" s="342">
        <f t="shared" si="10"/>
        <v>0.18941176470588236</v>
      </c>
      <c r="BY22" s="342">
        <f t="shared" si="10"/>
        <v>0.62647058823529422</v>
      </c>
      <c r="BZ22" s="342">
        <f t="shared" si="10"/>
        <v>0.17882352941176474</v>
      </c>
      <c r="CA22" s="342">
        <f t="shared" si="10"/>
        <v>0.30941176470588239</v>
      </c>
      <c r="CB22" s="342">
        <f t="shared" si="10"/>
        <v>0.4129411764705882</v>
      </c>
      <c r="CC22" s="342">
        <f t="shared" si="10"/>
        <v>0.4205882352941176</v>
      </c>
      <c r="CD22" s="129">
        <f t="shared" si="10"/>
        <v>57.5</v>
      </c>
      <c r="CF22" s="129">
        <f t="shared" si="10"/>
        <v>7.5555555555555554</v>
      </c>
      <c r="CH22" s="342">
        <f t="shared" si="10"/>
        <v>7.7777777777777767E-3</v>
      </c>
      <c r="CI22" s="342">
        <f t="shared" si="10"/>
        <v>0.1927777777777778</v>
      </c>
      <c r="CJ22" s="342">
        <f t="shared" si="10"/>
        <v>0.62333333333333352</v>
      </c>
      <c r="CK22" s="342">
        <f t="shared" si="10"/>
        <v>0.17611111111111111</v>
      </c>
      <c r="CL22" s="342">
        <f t="shared" si="10"/>
        <v>0.40444444444444444</v>
      </c>
      <c r="CM22" s="342">
        <f t="shared" si="10"/>
        <v>0.4094444444444445</v>
      </c>
      <c r="CN22" s="342">
        <f t="shared" si="10"/>
        <v>0.27777777777777779</v>
      </c>
      <c r="CO22" s="129">
        <f t="shared" si="10"/>
        <v>58.166666666666664</v>
      </c>
      <c r="CQ22" s="129">
        <f t="shared" si="10"/>
        <v>8.4444444444444446</v>
      </c>
      <c r="CS22" s="342">
        <f t="shared" ref="CS22:CY22" si="11">AVERAGEIF($C$36:$C$173,"=5",CS$36:CS$173)</f>
        <v>5.0000000000000001E-3</v>
      </c>
      <c r="CT22" s="342">
        <f t="shared" si="11"/>
        <v>0.19444444444444445</v>
      </c>
      <c r="CU22" s="342">
        <f t="shared" si="11"/>
        <v>0.61944444444444458</v>
      </c>
      <c r="CV22" s="342">
        <f t="shared" si="11"/>
        <v>0.18111111111111114</v>
      </c>
      <c r="CW22" s="342">
        <f t="shared" si="11"/>
        <v>0.27166666666666672</v>
      </c>
      <c r="CX22" s="342">
        <f t="shared" si="11"/>
        <v>0.38777777777777778</v>
      </c>
      <c r="CY22" s="342">
        <f t="shared" si="11"/>
        <v>0.45333333333333342</v>
      </c>
      <c r="CZ22" s="342"/>
    </row>
    <row r="23" spans="1:104" ht="24.95" customHeight="1" x14ac:dyDescent="0.2">
      <c r="A23" s="197" t="s">
        <v>145</v>
      </c>
      <c r="B23" s="6"/>
      <c r="C23" s="6"/>
      <c r="D23" s="198">
        <v>54.2</v>
      </c>
      <c r="E23" s="198">
        <v>6.7333333333333334</v>
      </c>
      <c r="F23" s="39">
        <v>7.3333333333333332E-3</v>
      </c>
      <c r="G23" s="39">
        <v>0.39588235294117652</v>
      </c>
      <c r="H23" s="39">
        <v>0.56000000000000005</v>
      </c>
      <c r="I23" s="39">
        <v>5.7999999999999989E-2</v>
      </c>
      <c r="J23" s="240">
        <f>AVERAGEIFS(J$36:J$173,$C$36:$C$173,"=6")</f>
        <v>0.4273333333333334</v>
      </c>
      <c r="K23" s="240">
        <f>AVERAGEIFS(K$36:K$173,$C$36:$C$173,"=6")</f>
        <v>0.47866666666666668</v>
      </c>
      <c r="L23" s="240">
        <f>AVERAGEIFS(L$36:L$173,$C$36:$C$173,"=6")</f>
        <v>0.53599999999999992</v>
      </c>
      <c r="M23" s="198">
        <v>53.733333333333334</v>
      </c>
      <c r="N23" s="198">
        <v>8.3333333333333339</v>
      </c>
      <c r="O23" s="60">
        <v>2.8000000000000004E-2</v>
      </c>
      <c r="P23" s="60">
        <v>0.3193333333333333</v>
      </c>
      <c r="Q23" s="60">
        <v>0.57533333333333325</v>
      </c>
      <c r="R23" s="60">
        <v>7.8E-2</v>
      </c>
      <c r="S23" s="240">
        <f>AVERAGEIFS(S$36:S$173,$C$36:$C$173,"=6")</f>
        <v>0.44200000000000006</v>
      </c>
      <c r="T23" s="240">
        <f>AVERAGEIFS(T$36:T$173,$C$36:$C$173,"=6")</f>
        <v>0.47800000000000004</v>
      </c>
      <c r="U23" s="240">
        <f>AVERAGEIFS(U$36:U$173,$C$36:$C$173,"=6")</f>
        <v>0.47666666666666668</v>
      </c>
      <c r="V23" s="198">
        <v>54.357142857142854</v>
      </c>
      <c r="W23" s="198">
        <v>8.5714285714285712</v>
      </c>
      <c r="X23" s="65">
        <v>0.01</v>
      </c>
      <c r="Y23" s="65">
        <v>0.3714285714285715</v>
      </c>
      <c r="Z23" s="65">
        <v>0.51642857142857135</v>
      </c>
      <c r="AA23" s="65">
        <v>0.10571428571428572</v>
      </c>
      <c r="AB23" s="240">
        <f>AVERAGEIFS(AB$36:AB$173,$C$36:$C$173,"=6")</f>
        <v>0.42642857142857149</v>
      </c>
      <c r="AC23" s="240">
        <f>AVERAGEIFS(AC$36:AC$173,$C$36:$C$173,"=6")</f>
        <v>0.46642857142857136</v>
      </c>
      <c r="AD23" s="240">
        <f>AVERAGEIFS(AD$36:AD$173,$C$36:$C$173,"=6")</f>
        <v>0.50357142857142856</v>
      </c>
      <c r="AE23" s="295">
        <v>54.6</v>
      </c>
      <c r="AF23" s="295">
        <v>8.6666666666666661</v>
      </c>
      <c r="AG23" s="39">
        <v>1.1333333333333334E-2</v>
      </c>
      <c r="AH23" s="39">
        <v>0.32466666666666666</v>
      </c>
      <c r="AI23" s="39">
        <v>0.55533333333333335</v>
      </c>
      <c r="AJ23" s="39">
        <v>0.10933333333333331</v>
      </c>
      <c r="AK23" s="240">
        <f>AVERAGEIFS(AK$36:AK$173,$C$36:$C$173,"=6")</f>
        <v>0.41399999999999998</v>
      </c>
      <c r="AL23" s="240">
        <f>AVERAGEIFS(AL$36:AL$173,$C$36:$C$173,"=6")</f>
        <v>0.36333333333333334</v>
      </c>
      <c r="AM23" s="240">
        <f>AVERAGEIFS(AM$36:AM$173,$C$36:$C$173,"=6")</f>
        <v>0.38933333333333336</v>
      </c>
      <c r="AN23" s="198">
        <v>52.588235294117645</v>
      </c>
      <c r="AO23" s="198">
        <v>7.4705882352941178</v>
      </c>
      <c r="AP23" s="39">
        <v>3.9411764705882354E-2</v>
      </c>
      <c r="AQ23" s="39">
        <v>0.34176470588235297</v>
      </c>
      <c r="AR23" s="39">
        <v>0.54941176470588238</v>
      </c>
      <c r="AS23" s="39">
        <v>6.9411764705882367E-2</v>
      </c>
      <c r="AT23" s="240">
        <f>AVERAGEIFS(AT$36:AT$173,$C$36:$C$173,"=6")</f>
        <v>0.48529411764705882</v>
      </c>
      <c r="AU23" s="240">
        <f>AVERAGEIFS(AU$36:AU$173,$C$36:$C$173,"=6")</f>
        <v>0.37882352941176473</v>
      </c>
      <c r="AV23" s="240">
        <f>AVERAGEIFS(AV$36:AV$173,$C$36:$C$173,"=6")</f>
        <v>0.45294117647058824</v>
      </c>
      <c r="AW23" s="294">
        <v>54.1875</v>
      </c>
      <c r="AX23" s="294"/>
      <c r="AY23" s="294"/>
      <c r="AZ23" s="240"/>
      <c r="BA23" s="262">
        <v>1.6875000000000001E-2</v>
      </c>
      <c r="BB23" s="262">
        <v>0.37687500000000002</v>
      </c>
      <c r="BC23" s="262">
        <v>0.49812500000000004</v>
      </c>
      <c r="BD23" s="262">
        <v>0.10999999999999999</v>
      </c>
      <c r="BE23" s="240">
        <v>0.45437499999999992</v>
      </c>
      <c r="BF23" s="240">
        <v>0.33437499999999998</v>
      </c>
      <c r="BG23" s="240">
        <v>0.53437500000000004</v>
      </c>
      <c r="BH23" s="129">
        <f>AVERAGEIF($C$36:$C$173,"=6",BH$36:BH$173)</f>
        <v>54.526315789473685</v>
      </c>
      <c r="BJ23" s="129">
        <f t="shared" ref="BJ23:CQ23" si="12">AVERAGEIF($C$36:$C$173,"=6",BJ$36:BJ$173)</f>
        <v>8.3157894736842106</v>
      </c>
      <c r="BL23" s="342">
        <f t="shared" si="12"/>
        <v>2.4210526315789474E-2</v>
      </c>
      <c r="BM23" s="342">
        <f t="shared" si="12"/>
        <v>0.31052631578947371</v>
      </c>
      <c r="BN23" s="342">
        <f t="shared" si="12"/>
        <v>0.55736842105263151</v>
      </c>
      <c r="BO23" s="342">
        <f t="shared" si="12"/>
        <v>0.10684210526315789</v>
      </c>
      <c r="BP23" s="342">
        <f t="shared" si="12"/>
        <v>0.46736842105263154</v>
      </c>
      <c r="BQ23" s="342">
        <f t="shared" si="12"/>
        <v>0.3436842105263157</v>
      </c>
      <c r="BR23" s="342">
        <f t="shared" si="12"/>
        <v>0.44210526315789478</v>
      </c>
      <c r="BS23" s="129">
        <f t="shared" si="12"/>
        <v>55.6</v>
      </c>
      <c r="BU23" s="129">
        <f t="shared" si="12"/>
        <v>7.9</v>
      </c>
      <c r="BW23" s="342">
        <f t="shared" si="12"/>
        <v>9.5000000000000015E-3</v>
      </c>
      <c r="BX23" s="342">
        <f t="shared" si="12"/>
        <v>0.26700000000000002</v>
      </c>
      <c r="BY23" s="342">
        <f t="shared" si="12"/>
        <v>0.57150000000000012</v>
      </c>
      <c r="BZ23" s="342">
        <f t="shared" si="12"/>
        <v>0.15150000000000002</v>
      </c>
      <c r="CA23" s="342">
        <f t="shared" si="12"/>
        <v>0.34649999999999997</v>
      </c>
      <c r="CB23" s="342">
        <f t="shared" si="12"/>
        <v>0.44449999999999995</v>
      </c>
      <c r="CC23" s="342">
        <f t="shared" si="12"/>
        <v>0.46149999999999991</v>
      </c>
      <c r="CD23" s="129">
        <f t="shared" si="12"/>
        <v>56</v>
      </c>
      <c r="CF23" s="129">
        <f t="shared" si="12"/>
        <v>8.5555555555555554</v>
      </c>
      <c r="CH23" s="342">
        <f t="shared" si="12"/>
        <v>2.6666666666666668E-2</v>
      </c>
      <c r="CI23" s="342">
        <f t="shared" si="12"/>
        <v>0.2316666666666666</v>
      </c>
      <c r="CJ23" s="342">
        <f t="shared" si="12"/>
        <v>0.5988888888888888</v>
      </c>
      <c r="CK23" s="342">
        <f t="shared" si="12"/>
        <v>0.14333333333333334</v>
      </c>
      <c r="CL23" s="342">
        <f t="shared" si="12"/>
        <v>0.43833333333333335</v>
      </c>
      <c r="CM23" s="342">
        <f t="shared" si="12"/>
        <v>0.4200000000000001</v>
      </c>
      <c r="CN23" s="342">
        <f t="shared" si="12"/>
        <v>0.31277777777777782</v>
      </c>
      <c r="CO23" s="129">
        <f t="shared" si="12"/>
        <v>56.631578947368418</v>
      </c>
      <c r="CQ23" s="129">
        <f t="shared" si="12"/>
        <v>8.9473684210526319</v>
      </c>
      <c r="CS23" s="342">
        <f t="shared" ref="CS23:CY23" si="13">AVERAGEIF($C$36:$C$173,"=6",CS$36:CS$173)</f>
        <v>5.263157894736842E-3</v>
      </c>
      <c r="CT23" s="342">
        <f t="shared" si="13"/>
        <v>0.27210526315789479</v>
      </c>
      <c r="CU23" s="342">
        <f t="shared" si="13"/>
        <v>0.5368421052631579</v>
      </c>
      <c r="CV23" s="342">
        <f t="shared" si="13"/>
        <v>0.18526315789473688</v>
      </c>
      <c r="CW23" s="342">
        <f t="shared" si="13"/>
        <v>0.29578947368421049</v>
      </c>
      <c r="CX23" s="342">
        <f t="shared" si="13"/>
        <v>0.41</v>
      </c>
      <c r="CY23" s="342">
        <f t="shared" si="13"/>
        <v>0.48736842105263156</v>
      </c>
      <c r="CZ23" s="342"/>
    </row>
    <row r="24" spans="1:104" ht="24.95" customHeight="1" x14ac:dyDescent="0.2">
      <c r="A24" s="6" t="s">
        <v>776</v>
      </c>
      <c r="B24" s="292"/>
      <c r="C24" s="292"/>
      <c r="D24" s="198">
        <v>53</v>
      </c>
      <c r="E24" s="198">
        <v>7.25</v>
      </c>
      <c r="F24" s="262">
        <v>7.4999999999999997E-3</v>
      </c>
      <c r="G24" s="262">
        <v>0.36499999999999999</v>
      </c>
      <c r="H24" s="262">
        <v>0.58749999999999991</v>
      </c>
      <c r="I24" s="262">
        <v>3.7499999999999999E-2</v>
      </c>
      <c r="J24" s="293">
        <v>0.43499999999999994</v>
      </c>
      <c r="K24" s="293">
        <v>0.48749999999999999</v>
      </c>
      <c r="L24" s="293">
        <v>0.55000000000000004</v>
      </c>
      <c r="M24" s="198">
        <v>55</v>
      </c>
      <c r="N24" s="198">
        <v>7.25</v>
      </c>
      <c r="O24" s="262">
        <v>0.01</v>
      </c>
      <c r="P24" s="262">
        <v>0.27500000000000002</v>
      </c>
      <c r="Q24" s="262">
        <v>0.64749999999999996</v>
      </c>
      <c r="R24" s="262">
        <v>6.7500000000000004E-2</v>
      </c>
      <c r="S24" s="293">
        <v>0.42000000000000004</v>
      </c>
      <c r="T24" s="293">
        <v>0.45500000000000002</v>
      </c>
      <c r="U24" s="293">
        <v>0.45249999999999996</v>
      </c>
      <c r="V24" s="198">
        <v>53.75</v>
      </c>
      <c r="W24" s="198">
        <v>8.5</v>
      </c>
      <c r="X24" s="262">
        <v>1.4999999999999999E-2</v>
      </c>
      <c r="Y24" s="262">
        <v>0.35749999999999998</v>
      </c>
      <c r="Z24" s="262">
        <v>0.53749999999999998</v>
      </c>
      <c r="AA24" s="262">
        <v>0.09</v>
      </c>
      <c r="AB24" s="293">
        <v>0.4325</v>
      </c>
      <c r="AC24" s="293">
        <v>0.48499999999999999</v>
      </c>
      <c r="AD24" s="293">
        <v>0.505</v>
      </c>
      <c r="AE24" s="295">
        <v>54.25</v>
      </c>
      <c r="AF24" s="295">
        <v>8.75</v>
      </c>
      <c r="AG24" s="262">
        <v>2.75E-2</v>
      </c>
      <c r="AH24" s="262">
        <v>0.3075</v>
      </c>
      <c r="AI24" s="262">
        <v>0.56999999999999995</v>
      </c>
      <c r="AJ24" s="262">
        <v>9.5000000000000001E-2</v>
      </c>
      <c r="AK24" s="293">
        <v>0.42249999999999999</v>
      </c>
      <c r="AL24" s="293">
        <v>0.36250000000000004</v>
      </c>
      <c r="AM24" s="293">
        <v>0.41500000000000004</v>
      </c>
      <c r="AN24" s="198">
        <v>54.25</v>
      </c>
      <c r="AO24" s="198">
        <v>8</v>
      </c>
      <c r="AP24" s="262">
        <v>1.7500000000000002E-2</v>
      </c>
      <c r="AQ24" s="262">
        <v>0.3175</v>
      </c>
      <c r="AR24" s="262">
        <v>0.57999999999999996</v>
      </c>
      <c r="AS24" s="262">
        <v>8.249999999999999E-2</v>
      </c>
      <c r="AT24" s="293">
        <v>0.46249999999999997</v>
      </c>
      <c r="AU24" s="293">
        <v>0.35499999999999998</v>
      </c>
      <c r="AV24" s="293">
        <v>0.41749999999999998</v>
      </c>
      <c r="AW24" s="294">
        <v>53.75</v>
      </c>
      <c r="AX24" s="294"/>
      <c r="AY24" s="294">
        <v>9.5</v>
      </c>
      <c r="AZ24" s="293"/>
      <c r="BA24" s="262">
        <v>2.5000000000000001E-2</v>
      </c>
      <c r="BB24" s="262">
        <v>0.33749999999999997</v>
      </c>
      <c r="BC24" s="262">
        <v>0.53</v>
      </c>
      <c r="BD24" s="262">
        <v>0.10500000000000001</v>
      </c>
      <c r="BE24" s="293">
        <v>0.44749999999999995</v>
      </c>
      <c r="BF24" s="293">
        <v>0.34</v>
      </c>
      <c r="BG24" s="293">
        <v>0.54749999999999999</v>
      </c>
      <c r="BH24" s="300">
        <f>AVERAGEIFS(BH$36:BH$173,$C$36:$C$173,"=1", $B$36:$B$173,"OFICIAL")</f>
        <v>54</v>
      </c>
      <c r="BJ24" s="300">
        <f t="shared" ref="BJ24:CD24" si="14">AVERAGEIFS(BJ$36:BJ$173,$C$36:$C$173,"=1", $B$36:$B$173,"OFICIAL")</f>
        <v>8.6</v>
      </c>
      <c r="BL24" s="343">
        <f t="shared" si="14"/>
        <v>1.4000000000000002E-2</v>
      </c>
      <c r="BM24" s="343">
        <f t="shared" si="14"/>
        <v>0.32200000000000001</v>
      </c>
      <c r="BN24" s="343">
        <f t="shared" si="14"/>
        <v>0.57200000000000006</v>
      </c>
      <c r="BO24" s="343">
        <f t="shared" si="14"/>
        <v>8.7999999999999995E-2</v>
      </c>
      <c r="BP24" s="343">
        <f t="shared" si="14"/>
        <v>0.47199999999999998</v>
      </c>
      <c r="BQ24" s="343">
        <f t="shared" si="14"/>
        <v>0.35199999999999998</v>
      </c>
      <c r="BR24" s="343">
        <f t="shared" si="14"/>
        <v>0.45599999999999996</v>
      </c>
      <c r="BS24" s="300">
        <f t="shared" si="14"/>
        <v>52.8</v>
      </c>
      <c r="BU24" s="300">
        <f t="shared" si="14"/>
        <v>8.1999999999999993</v>
      </c>
      <c r="BW24" s="343">
        <f t="shared" si="14"/>
        <v>1.6E-2</v>
      </c>
      <c r="BX24" s="343">
        <f t="shared" si="14"/>
        <v>0.36199999999999999</v>
      </c>
      <c r="BY24" s="343">
        <f t="shared" si="14"/>
        <v>0.56799999999999995</v>
      </c>
      <c r="BZ24" s="343">
        <f t="shared" si="14"/>
        <v>5.7999999999999996E-2</v>
      </c>
      <c r="CA24" s="343">
        <f t="shared" si="14"/>
        <v>0.374</v>
      </c>
      <c r="CB24" s="343">
        <f t="shared" si="14"/>
        <v>0.49800000000000005</v>
      </c>
      <c r="CC24" s="343">
        <f t="shared" si="14"/>
        <v>0.51400000000000001</v>
      </c>
      <c r="CD24" s="490">
        <f t="shared" si="14"/>
        <v>54</v>
      </c>
      <c r="CF24" s="300">
        <f>AVERAGEIFS(CF$36:CF$173,$C$36:$C$173,"=1", $B$36:$B$173,"OFICIAL")</f>
        <v>9.4</v>
      </c>
      <c r="CH24" s="343">
        <f t="shared" ref="CH24:CO24" si="15">AVERAGEIFS(CH$36:CH$173,$C$36:$C$173,"=1", $B$36:$B$173,"OFICIAL")</f>
        <v>3.5999999999999997E-2</v>
      </c>
      <c r="CI24" s="343">
        <f t="shared" si="15"/>
        <v>0.29199999999999998</v>
      </c>
      <c r="CJ24" s="343">
        <f t="shared" si="15"/>
        <v>0.57399999999999995</v>
      </c>
      <c r="CK24" s="343">
        <f t="shared" si="15"/>
        <v>9.8000000000000004E-2</v>
      </c>
      <c r="CL24" s="343">
        <f t="shared" si="15"/>
        <v>0.45400000000000001</v>
      </c>
      <c r="CM24" s="343">
        <f t="shared" si="15"/>
        <v>0.45400000000000001</v>
      </c>
      <c r="CN24" s="343">
        <f t="shared" si="15"/>
        <v>0.36199999999999999</v>
      </c>
      <c r="CO24" s="300">
        <f t="shared" si="15"/>
        <v>53.8</v>
      </c>
      <c r="CQ24" s="300">
        <f t="shared" ref="CQ24" si="16">AVERAGEIFS(CQ$36:CQ$173,$C$36:$C$173,"=1", $B$36:$B$173,"OFICIAL")</f>
        <v>9.1999999999999993</v>
      </c>
      <c r="CS24" s="343">
        <f t="shared" ref="CS24:CY24" si="17">AVERAGEIFS(CS$36:CS$173,$C$36:$C$173,"=1", $B$36:$B$173,"OFICIAL")</f>
        <v>2.7999999999999997E-2</v>
      </c>
      <c r="CT24" s="343">
        <f t="shared" si="17"/>
        <v>0.34799999999999998</v>
      </c>
      <c r="CU24" s="343">
        <f t="shared" si="17"/>
        <v>0.51800000000000002</v>
      </c>
      <c r="CV24" s="343">
        <f t="shared" si="17"/>
        <v>0.10600000000000001</v>
      </c>
      <c r="CW24" s="343">
        <f t="shared" si="17"/>
        <v>0.34</v>
      </c>
      <c r="CX24" s="343">
        <f t="shared" si="17"/>
        <v>0.46399999999999997</v>
      </c>
      <c r="CY24" s="343">
        <f t="shared" si="17"/>
        <v>0.53</v>
      </c>
      <c r="CZ24" s="342"/>
    </row>
    <row r="25" spans="1:104" ht="24.95" customHeight="1" x14ac:dyDescent="0.2">
      <c r="A25" s="6" t="s">
        <v>777</v>
      </c>
      <c r="B25" s="292"/>
      <c r="C25" s="292"/>
      <c r="D25" s="198">
        <v>53.5</v>
      </c>
      <c r="E25" s="198">
        <v>7.5</v>
      </c>
      <c r="F25" s="262">
        <v>5.0000000000000001E-3</v>
      </c>
      <c r="G25" s="262">
        <v>0.36</v>
      </c>
      <c r="H25" s="262">
        <v>0.56499999999999995</v>
      </c>
      <c r="I25" s="262">
        <v>6.5000000000000002E-2</v>
      </c>
      <c r="J25" s="293">
        <v>0.43</v>
      </c>
      <c r="K25" s="293">
        <v>0.49</v>
      </c>
      <c r="L25" s="293">
        <v>0.54499999999999993</v>
      </c>
      <c r="M25" s="198">
        <v>54.5</v>
      </c>
      <c r="N25" s="198">
        <v>8</v>
      </c>
      <c r="O25" s="262">
        <v>1.4999999999999999E-2</v>
      </c>
      <c r="P25" s="262">
        <v>0.29500000000000004</v>
      </c>
      <c r="Q25" s="262">
        <v>0.61499999999999999</v>
      </c>
      <c r="R25" s="262">
        <v>7.0000000000000007E-2</v>
      </c>
      <c r="S25" s="293">
        <v>0.43</v>
      </c>
      <c r="T25" s="293">
        <v>0.46499999999999997</v>
      </c>
      <c r="U25" s="293">
        <v>0.47499999999999998</v>
      </c>
      <c r="V25" s="198">
        <v>53.5</v>
      </c>
      <c r="W25" s="198">
        <v>9</v>
      </c>
      <c r="X25" s="262">
        <v>0.01</v>
      </c>
      <c r="Y25" s="262">
        <v>0.33499999999999996</v>
      </c>
      <c r="Z25" s="262">
        <v>0.54</v>
      </c>
      <c r="AA25" s="262">
        <v>0.11</v>
      </c>
      <c r="AB25" s="293">
        <v>0.42499999999999999</v>
      </c>
      <c r="AC25" s="293">
        <v>0.495</v>
      </c>
      <c r="AD25" s="293">
        <v>0.505</v>
      </c>
      <c r="AE25" s="295">
        <v>54</v>
      </c>
      <c r="AF25" s="295">
        <v>9</v>
      </c>
      <c r="AG25" s="262">
        <v>2.5000000000000001E-2</v>
      </c>
      <c r="AH25" s="262">
        <v>0.30499999999999999</v>
      </c>
      <c r="AI25" s="262">
        <v>0.57999999999999996</v>
      </c>
      <c r="AJ25" s="262">
        <v>0.09</v>
      </c>
      <c r="AK25" s="293">
        <v>0.41000000000000003</v>
      </c>
      <c r="AL25" s="293">
        <v>0.36</v>
      </c>
      <c r="AM25" s="293">
        <v>0.42</v>
      </c>
      <c r="AN25" s="198">
        <v>54</v>
      </c>
      <c r="AO25" s="198">
        <v>8.5</v>
      </c>
      <c r="AP25" s="262">
        <v>5.0000000000000001E-3</v>
      </c>
      <c r="AQ25" s="262">
        <v>0.33</v>
      </c>
      <c r="AR25" s="262">
        <v>0.57499999999999996</v>
      </c>
      <c r="AS25" s="262">
        <v>8.5000000000000006E-2</v>
      </c>
      <c r="AT25" s="293">
        <v>0.47499999999999998</v>
      </c>
      <c r="AU25" s="293">
        <v>0.36</v>
      </c>
      <c r="AV25" s="293">
        <v>0.42499999999999999</v>
      </c>
      <c r="AW25" s="294">
        <v>53.5</v>
      </c>
      <c r="AX25" s="294"/>
      <c r="AY25" s="294">
        <v>9</v>
      </c>
      <c r="AZ25" s="293"/>
      <c r="BA25" s="262">
        <v>0.02</v>
      </c>
      <c r="BB25" s="262">
        <v>0.38</v>
      </c>
      <c r="BC25" s="262">
        <v>0.5</v>
      </c>
      <c r="BD25" s="262">
        <v>0.1</v>
      </c>
      <c r="BE25" s="293">
        <v>0.45500000000000002</v>
      </c>
      <c r="BF25" s="293">
        <v>0.36</v>
      </c>
      <c r="BG25" s="293">
        <v>0.55000000000000004</v>
      </c>
      <c r="BH25" s="300">
        <f>AVERAGEIFS(BH$36:BH$173,$C$36:$C$173,"=2", $B$36:$B$173,"OFICIAL")</f>
        <v>53.75</v>
      </c>
      <c r="BJ25" s="300">
        <f t="shared" ref="BJ25:CD25" si="18">AVERAGEIFS(BJ$36:BJ$173,$C$36:$C$173,"=2", $B$36:$B$173,"OFICIAL")</f>
        <v>8.75</v>
      </c>
      <c r="BL25" s="343">
        <f t="shared" si="18"/>
        <v>1.4999999999999999E-2</v>
      </c>
      <c r="BM25" s="343">
        <f t="shared" si="18"/>
        <v>0.32</v>
      </c>
      <c r="BN25" s="343">
        <f t="shared" si="18"/>
        <v>0.57250000000000001</v>
      </c>
      <c r="BO25" s="343">
        <f t="shared" si="18"/>
        <v>9.7500000000000003E-2</v>
      </c>
      <c r="BP25" s="343">
        <f t="shared" si="18"/>
        <v>0.46749999999999997</v>
      </c>
      <c r="BQ25" s="343">
        <f t="shared" si="18"/>
        <v>0.36</v>
      </c>
      <c r="BR25" s="343">
        <f t="shared" si="18"/>
        <v>0.45499999999999996</v>
      </c>
      <c r="BS25" s="300">
        <f t="shared" si="18"/>
        <v>54.25</v>
      </c>
      <c r="BU25" s="300">
        <f t="shared" si="18"/>
        <v>8.5</v>
      </c>
      <c r="BW25" s="343">
        <f t="shared" si="18"/>
        <v>0.02</v>
      </c>
      <c r="BX25" s="343">
        <f t="shared" si="18"/>
        <v>0.3</v>
      </c>
      <c r="BY25" s="343">
        <f t="shared" si="18"/>
        <v>0.59750000000000003</v>
      </c>
      <c r="BZ25" s="343">
        <f t="shared" si="18"/>
        <v>0.08</v>
      </c>
      <c r="CA25" s="343">
        <f t="shared" si="18"/>
        <v>0.37</v>
      </c>
      <c r="CB25" s="343">
        <f t="shared" si="18"/>
        <v>0.47249999999999998</v>
      </c>
      <c r="CC25" s="343">
        <f t="shared" si="18"/>
        <v>0.4975</v>
      </c>
      <c r="CD25" s="490">
        <f t="shared" si="18"/>
        <v>54.75</v>
      </c>
      <c r="CF25" s="300">
        <f>AVERAGEIFS(CF$36:CF$173,$C$36:$C$173,"=2", $B$36:$B$173,"OFICIAL")</f>
        <v>8.5</v>
      </c>
      <c r="CH25" s="343">
        <f t="shared" ref="CH25:CO25" si="19">AVERAGEIFS(CH$36:CH$173,$C$36:$C$173,"=2", $B$36:$B$173,"OFICIAL")</f>
        <v>1.2500000000000001E-2</v>
      </c>
      <c r="CI25" s="343">
        <f t="shared" si="19"/>
        <v>0.30500000000000005</v>
      </c>
      <c r="CJ25" s="343">
        <f t="shared" si="19"/>
        <v>0.58499999999999996</v>
      </c>
      <c r="CK25" s="343">
        <f t="shared" si="19"/>
        <v>9.7500000000000003E-2</v>
      </c>
      <c r="CL25" s="343">
        <f t="shared" si="19"/>
        <v>0.44999999999999996</v>
      </c>
      <c r="CM25" s="343">
        <f t="shared" si="19"/>
        <v>0.44750000000000001</v>
      </c>
      <c r="CN25" s="343">
        <f t="shared" si="19"/>
        <v>0.33499999999999996</v>
      </c>
      <c r="CO25" s="300">
        <f t="shared" si="19"/>
        <v>55</v>
      </c>
      <c r="CQ25" s="300">
        <f t="shared" ref="CQ25" si="20">AVERAGEIFS(CQ$36:CQ$173,$C$36:$C$173,"=2", $B$36:$B$173,"OFICIAL")</f>
        <v>9</v>
      </c>
      <c r="CS25" s="343">
        <f t="shared" ref="CS25:CY25" si="21">AVERAGEIFS(CS$36:CS$173,$C$36:$C$173,"=2", $B$36:$B$173,"OFICIAL")</f>
        <v>1.2500000000000001E-2</v>
      </c>
      <c r="CT25" s="343">
        <f t="shared" si="21"/>
        <v>0.29749999999999999</v>
      </c>
      <c r="CU25" s="343">
        <f t="shared" si="21"/>
        <v>0.5575</v>
      </c>
      <c r="CV25" s="343">
        <f t="shared" si="21"/>
        <v>0.13250000000000001</v>
      </c>
      <c r="CW25" s="343">
        <f t="shared" si="21"/>
        <v>0.315</v>
      </c>
      <c r="CX25" s="343">
        <f t="shared" si="21"/>
        <v>0.43999999999999995</v>
      </c>
      <c r="CY25" s="343">
        <f t="shared" si="21"/>
        <v>0.51249999999999996</v>
      </c>
      <c r="CZ25" s="342"/>
    </row>
    <row r="26" spans="1:104" ht="24.95" customHeight="1" x14ac:dyDescent="0.2">
      <c r="A26" s="6" t="s">
        <v>778</v>
      </c>
      <c r="B26" s="292"/>
      <c r="C26" s="292"/>
      <c r="D26" s="198">
        <v>53</v>
      </c>
      <c r="E26" s="198">
        <v>8.5</v>
      </c>
      <c r="F26" s="262">
        <v>2.4E-2</v>
      </c>
      <c r="G26" s="262">
        <v>0.38400000000000001</v>
      </c>
      <c r="H26" s="262">
        <v>0.53599999999999992</v>
      </c>
      <c r="I26" s="262">
        <v>0.06</v>
      </c>
      <c r="J26" s="293">
        <v>0.47400000000000003</v>
      </c>
      <c r="K26" s="293">
        <v>0.48399999999999999</v>
      </c>
      <c r="L26" s="293">
        <v>0.53800000000000003</v>
      </c>
      <c r="M26" s="198">
        <v>54.4</v>
      </c>
      <c r="N26" s="198">
        <v>8.75</v>
      </c>
      <c r="O26" s="262">
        <v>1.4000000000000002E-2</v>
      </c>
      <c r="P26" s="262">
        <v>0.30199999999999999</v>
      </c>
      <c r="Q26" s="262">
        <v>0.60199999999999998</v>
      </c>
      <c r="R26" s="262">
        <v>8.2000000000000003E-2</v>
      </c>
      <c r="S26" s="293">
        <v>0.42599999999999999</v>
      </c>
      <c r="T26" s="293">
        <v>0.48399999999999999</v>
      </c>
      <c r="U26" s="293">
        <v>0.46600000000000003</v>
      </c>
      <c r="V26" s="198">
        <v>54.2</v>
      </c>
      <c r="W26" s="198">
        <v>8.5</v>
      </c>
      <c r="X26" s="262">
        <v>1.4000000000000002E-2</v>
      </c>
      <c r="Y26" s="262">
        <v>0.29000000000000004</v>
      </c>
      <c r="Z26" s="262">
        <v>0.59</v>
      </c>
      <c r="AA26" s="262">
        <v>0.10400000000000001</v>
      </c>
      <c r="AB26" s="293">
        <v>0.42400000000000004</v>
      </c>
      <c r="AC26" s="293">
        <v>0.47599999999999998</v>
      </c>
      <c r="AD26" s="293">
        <v>0.504</v>
      </c>
      <c r="AE26" s="295">
        <v>53.6</v>
      </c>
      <c r="AF26" s="295">
        <v>8.5</v>
      </c>
      <c r="AG26" s="262">
        <v>0.01</v>
      </c>
      <c r="AH26" s="262">
        <v>0.35</v>
      </c>
      <c r="AI26" s="262">
        <v>0.55800000000000005</v>
      </c>
      <c r="AJ26" s="262">
        <v>7.7999999999999986E-2</v>
      </c>
      <c r="AK26" s="293">
        <v>0.42000000000000004</v>
      </c>
      <c r="AL26" s="293">
        <v>0.38600000000000001</v>
      </c>
      <c r="AM26" s="293">
        <v>0.42599999999999999</v>
      </c>
      <c r="AN26" s="198">
        <v>53.6</v>
      </c>
      <c r="AO26" s="198">
        <v>8.4</v>
      </c>
      <c r="AP26" s="262">
        <v>3.4000000000000002E-2</v>
      </c>
      <c r="AQ26" s="262">
        <v>0.30399999999999999</v>
      </c>
      <c r="AR26" s="262">
        <v>0.59400000000000008</v>
      </c>
      <c r="AS26" s="262">
        <v>7.1999999999999995E-2</v>
      </c>
      <c r="AT26" s="293">
        <v>0.47599999999999998</v>
      </c>
      <c r="AU26" s="293">
        <v>0.37799999999999995</v>
      </c>
      <c r="AV26" s="293">
        <v>0.43600000000000005</v>
      </c>
      <c r="AW26" s="294">
        <v>53.8</v>
      </c>
      <c r="AX26" s="294"/>
      <c r="AY26" s="294">
        <v>8.6</v>
      </c>
      <c r="AZ26" s="293"/>
      <c r="BA26" s="262">
        <v>1.6E-2</v>
      </c>
      <c r="BB26" s="262">
        <v>0.34199999999999997</v>
      </c>
      <c r="BC26" s="262">
        <v>0.55600000000000005</v>
      </c>
      <c r="BD26" s="262">
        <v>8.7999999999999995E-2</v>
      </c>
      <c r="BE26" s="293">
        <v>0.44800000000000006</v>
      </c>
      <c r="BF26" s="293">
        <v>0.34799999999999998</v>
      </c>
      <c r="BG26" s="293">
        <v>0.54600000000000004</v>
      </c>
      <c r="BH26" s="300">
        <f>AVERAGEIFS(BH$36:BH$173,$C$36:$C$173,"=3", $B$36:$B$173,"OFICIAL")</f>
        <v>54.333333333333336</v>
      </c>
      <c r="BJ26" s="300">
        <f t="shared" ref="BJ26:CD26" si="22">AVERAGEIFS(BJ$36:BJ$173,$C$36:$C$173,"=3", $B$36:$B$173,"OFICIAL")</f>
        <v>8.8333333333333339</v>
      </c>
      <c r="BL26" s="343">
        <f t="shared" si="22"/>
        <v>0.01</v>
      </c>
      <c r="BM26" s="343">
        <f t="shared" si="22"/>
        <v>0.31</v>
      </c>
      <c r="BN26" s="343">
        <f t="shared" si="22"/>
        <v>0.58499999999999996</v>
      </c>
      <c r="BO26" s="343">
        <f t="shared" si="22"/>
        <v>9.6666666666666679E-2</v>
      </c>
      <c r="BP26" s="343">
        <f t="shared" si="22"/>
        <v>0.47666666666666674</v>
      </c>
      <c r="BQ26" s="343">
        <f t="shared" si="22"/>
        <v>0.34666666666666668</v>
      </c>
      <c r="BR26" s="343">
        <f t="shared" si="22"/>
        <v>0.44</v>
      </c>
      <c r="BS26" s="300">
        <f t="shared" si="22"/>
        <v>54</v>
      </c>
      <c r="BU26" s="300">
        <f t="shared" si="22"/>
        <v>8.6666666666666661</v>
      </c>
      <c r="BW26" s="343">
        <f t="shared" si="22"/>
        <v>2.3333333333333334E-2</v>
      </c>
      <c r="BX26" s="343">
        <f t="shared" si="22"/>
        <v>0.30333333333333334</v>
      </c>
      <c r="BY26" s="343">
        <f t="shared" si="22"/>
        <v>0.58166666666666667</v>
      </c>
      <c r="BZ26" s="343">
        <f t="shared" si="22"/>
        <v>9.1666666666666674E-2</v>
      </c>
      <c r="CA26" s="343">
        <f t="shared" si="22"/>
        <v>0.3666666666666667</v>
      </c>
      <c r="CB26" s="343">
        <f t="shared" si="22"/>
        <v>0.46833333333333327</v>
      </c>
      <c r="CC26" s="343">
        <f t="shared" si="22"/>
        <v>0.4916666666666667</v>
      </c>
      <c r="CD26" s="490">
        <f t="shared" si="22"/>
        <v>54.5</v>
      </c>
      <c r="CF26" s="300">
        <f>AVERAGEIFS(CF$36:CF$173,$C$36:$C$173,"=3", $B$36:$B$173,"OFICIAL")</f>
        <v>9</v>
      </c>
      <c r="CH26" s="343">
        <f t="shared" ref="CH26:CO26" si="23">AVERAGEIFS(CH$36:CH$173,$C$36:$C$173,"=3", $B$36:$B$173,"OFICIAL")</f>
        <v>2.1666666666666667E-2</v>
      </c>
      <c r="CI26" s="343">
        <f t="shared" si="23"/>
        <v>0.28999999999999998</v>
      </c>
      <c r="CJ26" s="343">
        <f t="shared" si="23"/>
        <v>0.57833333333333337</v>
      </c>
      <c r="CK26" s="343">
        <f t="shared" si="23"/>
        <v>0.11333333333333334</v>
      </c>
      <c r="CL26" s="343">
        <f t="shared" si="23"/>
        <v>0.45500000000000002</v>
      </c>
      <c r="CM26" s="343">
        <f t="shared" si="23"/>
        <v>0.44</v>
      </c>
      <c r="CN26" s="343">
        <f t="shared" si="23"/>
        <v>0.34333333333333332</v>
      </c>
      <c r="CO26" s="300">
        <f t="shared" si="23"/>
        <v>54.833333333333336</v>
      </c>
      <c r="CQ26" s="300">
        <f t="shared" ref="CQ26" si="24">AVERAGEIFS(CQ$36:CQ$173,$C$36:$C$173,"=3", $B$36:$B$173,"OFICIAL")</f>
        <v>8.8333333333333339</v>
      </c>
      <c r="CS26" s="343">
        <f t="shared" ref="CS26:CY26" si="25">AVERAGEIFS(CS$36:CS$173,$C$36:$C$173,"=3", $B$36:$B$173,"OFICIAL")</f>
        <v>1.833333333333333E-2</v>
      </c>
      <c r="CT26" s="343">
        <f t="shared" si="25"/>
        <v>0.30333333333333334</v>
      </c>
      <c r="CU26" s="343">
        <f t="shared" si="25"/>
        <v>0.55499999999999994</v>
      </c>
      <c r="CV26" s="343">
        <f t="shared" si="25"/>
        <v>0.125</v>
      </c>
      <c r="CW26" s="343">
        <f t="shared" si="25"/>
        <v>0.32666666666666666</v>
      </c>
      <c r="CX26" s="343">
        <f t="shared" si="25"/>
        <v>0.45500000000000002</v>
      </c>
      <c r="CY26" s="343">
        <f t="shared" si="25"/>
        <v>0.505</v>
      </c>
      <c r="CZ26" s="342"/>
    </row>
    <row r="27" spans="1:104" ht="24.95" customHeight="1" x14ac:dyDescent="0.2">
      <c r="A27" s="6" t="s">
        <v>779</v>
      </c>
      <c r="B27" s="292"/>
      <c r="C27" s="292"/>
      <c r="D27" s="198">
        <v>49.666666666666664</v>
      </c>
      <c r="E27" s="198">
        <v>7.666666666666667</v>
      </c>
      <c r="F27" s="262">
        <v>3.1666666666666669E-2</v>
      </c>
      <c r="G27" s="262">
        <v>0.53833333333333322</v>
      </c>
      <c r="H27" s="262">
        <v>0.40833333333333338</v>
      </c>
      <c r="I27" s="262">
        <v>1.8333333333333333E-2</v>
      </c>
      <c r="J27" s="293">
        <v>0.48833333333333345</v>
      </c>
      <c r="K27" s="293">
        <v>0.52666666666666673</v>
      </c>
      <c r="L27" s="293">
        <v>0.61833333333333329</v>
      </c>
      <c r="M27" s="198">
        <v>51.333333333333336</v>
      </c>
      <c r="N27" s="198">
        <v>8.1666666666666661</v>
      </c>
      <c r="O27" s="262">
        <v>1.6666666666666666E-2</v>
      </c>
      <c r="P27" s="262">
        <v>0.47000000000000003</v>
      </c>
      <c r="Q27" s="262">
        <v>0.45666666666666661</v>
      </c>
      <c r="R27" s="262">
        <v>5.5E-2</v>
      </c>
      <c r="S27" s="293">
        <v>0.47833333333333333</v>
      </c>
      <c r="T27" s="293">
        <v>0.51666666666666672</v>
      </c>
      <c r="U27" s="293">
        <v>0.52166666666666661</v>
      </c>
      <c r="V27" s="198">
        <v>50.333333333333336</v>
      </c>
      <c r="W27" s="198">
        <v>8.6666666666666661</v>
      </c>
      <c r="X27" s="262">
        <v>2.6666666666666668E-2</v>
      </c>
      <c r="Y27" s="262">
        <v>0.5083333333333333</v>
      </c>
      <c r="Z27" s="262">
        <v>0.42</v>
      </c>
      <c r="AA27" s="262">
        <v>4.1666666666666664E-2</v>
      </c>
      <c r="AB27" s="293">
        <v>0.505</v>
      </c>
      <c r="AC27" s="293">
        <v>0.53833333333333333</v>
      </c>
      <c r="AD27" s="293">
        <v>0.55333333333333334</v>
      </c>
      <c r="AE27" s="295">
        <v>50</v>
      </c>
      <c r="AF27" s="295">
        <v>8.8333333333333339</v>
      </c>
      <c r="AG27" s="262">
        <v>4.8333333333333339E-2</v>
      </c>
      <c r="AH27" s="262">
        <v>0.49333333333333335</v>
      </c>
      <c r="AI27" s="262">
        <v>0.40833333333333338</v>
      </c>
      <c r="AJ27" s="262">
        <v>5.1666666666666666E-2</v>
      </c>
      <c r="AK27" s="293">
        <v>0.48833333333333345</v>
      </c>
      <c r="AL27" s="293">
        <v>0.435</v>
      </c>
      <c r="AM27" s="293">
        <v>0.47499999999999992</v>
      </c>
      <c r="AN27" s="198">
        <v>50</v>
      </c>
      <c r="AO27" s="198">
        <v>8.5</v>
      </c>
      <c r="AP27" s="262">
        <v>3.8333333333333337E-2</v>
      </c>
      <c r="AQ27" s="262">
        <v>0.48</v>
      </c>
      <c r="AR27" s="262">
        <v>0.44666666666666671</v>
      </c>
      <c r="AS27" s="262">
        <v>3.8333333333333337E-2</v>
      </c>
      <c r="AT27" s="293">
        <v>0.52833333333333343</v>
      </c>
      <c r="AU27" s="293">
        <v>0.4316666666666667</v>
      </c>
      <c r="AV27" s="293">
        <v>0.48833333333333334</v>
      </c>
      <c r="AW27" s="294">
        <v>50.333333333333336</v>
      </c>
      <c r="AX27" s="294"/>
      <c r="AY27" s="294">
        <v>8.5</v>
      </c>
      <c r="AZ27" s="293"/>
      <c r="BA27" s="262">
        <v>3.666666666666666E-2</v>
      </c>
      <c r="BB27" s="262">
        <v>0.47333333333333333</v>
      </c>
      <c r="BC27" s="262">
        <v>0.45</v>
      </c>
      <c r="BD27" s="262">
        <v>0.04</v>
      </c>
      <c r="BE27" s="293">
        <v>0.4916666666666667</v>
      </c>
      <c r="BF27" s="293">
        <v>0.42</v>
      </c>
      <c r="BG27" s="293">
        <v>0.59499999999999997</v>
      </c>
      <c r="BH27" s="300">
        <f>AVERAGEIFS(BH$36:BH$173,$C$36:$C$173,"=4", $B$36:$B$173,"OFICIAL")</f>
        <v>51</v>
      </c>
      <c r="BJ27" s="300">
        <f t="shared" ref="BJ27:CD27" si="26">AVERAGEIFS(BJ$36:BJ$173,$C$36:$C$173,"=4", $B$36:$B$173,"OFICIAL")</f>
        <v>8.6666666666666661</v>
      </c>
      <c r="BL27" s="343">
        <f t="shared" si="26"/>
        <v>3.8333333333333337E-2</v>
      </c>
      <c r="BM27" s="343">
        <f t="shared" si="26"/>
        <v>0.43500000000000005</v>
      </c>
      <c r="BN27" s="343">
        <f t="shared" si="26"/>
        <v>0.47333333333333333</v>
      </c>
      <c r="BO27" s="343">
        <f t="shared" si="26"/>
        <v>4.9999999999999996E-2</v>
      </c>
      <c r="BP27" s="343">
        <f t="shared" si="26"/>
        <v>0.52166666666666672</v>
      </c>
      <c r="BQ27" s="343">
        <f t="shared" si="26"/>
        <v>0.40333333333333338</v>
      </c>
      <c r="BR27" s="343">
        <f t="shared" si="26"/>
        <v>0.52</v>
      </c>
      <c r="BS27" s="300">
        <f t="shared" si="26"/>
        <v>49.833333333333336</v>
      </c>
      <c r="BU27" s="300">
        <f t="shared" si="26"/>
        <v>8.8333333333333339</v>
      </c>
      <c r="BW27" s="343">
        <f t="shared" si="26"/>
        <v>5.000000000000001E-2</v>
      </c>
      <c r="BX27" s="343">
        <f t="shared" si="26"/>
        <v>0.44999999999999996</v>
      </c>
      <c r="BY27" s="343">
        <f t="shared" si="26"/>
        <v>0.45</v>
      </c>
      <c r="BZ27" s="343">
        <f t="shared" si="26"/>
        <v>4.6666666666666669E-2</v>
      </c>
      <c r="CA27" s="343">
        <f t="shared" si="26"/>
        <v>0.43166666666666664</v>
      </c>
      <c r="CB27" s="343">
        <f t="shared" si="26"/>
        <v>0.54500000000000004</v>
      </c>
      <c r="CC27" s="343">
        <f t="shared" si="26"/>
        <v>0.57666666666666666</v>
      </c>
      <c r="CD27" s="490">
        <f t="shared" si="26"/>
        <v>50.666666666666664</v>
      </c>
      <c r="CF27" s="300">
        <f>AVERAGEIFS(CF$36:CF$173,$C$36:$C$173,"=4", $B$36:$B$173,"OFICIAL")</f>
        <v>9.1666666666666661</v>
      </c>
      <c r="CH27" s="343">
        <f t="shared" ref="CH27:CO27" si="27">AVERAGEIFS(CH$36:CH$173,$C$36:$C$173,"=4", $B$36:$B$173,"OFICIAL")</f>
        <v>5.8333333333333327E-2</v>
      </c>
      <c r="CI27" s="343">
        <f t="shared" si="27"/>
        <v>0.44333333333333336</v>
      </c>
      <c r="CJ27" s="343">
        <f t="shared" si="27"/>
        <v>0.45500000000000002</v>
      </c>
      <c r="CK27" s="343">
        <f t="shared" si="27"/>
        <v>4.5000000000000005E-2</v>
      </c>
      <c r="CL27" s="343">
        <f t="shared" si="27"/>
        <v>0.50333333333333341</v>
      </c>
      <c r="CM27" s="343">
        <f t="shared" si="27"/>
        <v>0.505</v>
      </c>
      <c r="CN27" s="343">
        <f t="shared" si="27"/>
        <v>0.435</v>
      </c>
      <c r="CO27" s="300">
        <f t="shared" si="27"/>
        <v>51.666666666666664</v>
      </c>
      <c r="CQ27" s="300">
        <f t="shared" ref="CQ27" si="28">AVERAGEIFS(CQ$36:CQ$173,$C$36:$C$173,"=4", $B$36:$B$173,"OFICIAL")</f>
        <v>9.1666666666666661</v>
      </c>
      <c r="CS27" s="343">
        <f t="shared" ref="CS27:CY27" si="29">AVERAGEIFS(CS$36:CS$173,$C$36:$C$173,"=4", $B$36:$B$173,"OFICIAL")</f>
        <v>4.9999999999999996E-2</v>
      </c>
      <c r="CT27" s="343">
        <f t="shared" si="29"/>
        <v>0.40500000000000003</v>
      </c>
      <c r="CU27" s="343">
        <f t="shared" si="29"/>
        <v>0.49</v>
      </c>
      <c r="CV27" s="343">
        <f t="shared" si="29"/>
        <v>4.8333333333333339E-2</v>
      </c>
      <c r="CW27" s="343">
        <f t="shared" si="29"/>
        <v>0.39666666666666667</v>
      </c>
      <c r="CX27" s="343">
        <f t="shared" si="29"/>
        <v>0.49666666666666665</v>
      </c>
      <c r="CY27" s="343">
        <f t="shared" si="29"/>
        <v>0.56333333333333335</v>
      </c>
      <c r="CZ27" s="342"/>
    </row>
    <row r="28" spans="1:104" ht="24.95" customHeight="1" x14ac:dyDescent="0.2">
      <c r="A28" s="6" t="s">
        <v>780</v>
      </c>
      <c r="B28" s="292"/>
      <c r="C28" s="292"/>
      <c r="D28" s="198">
        <v>53.5</v>
      </c>
      <c r="E28" s="198">
        <v>7.5</v>
      </c>
      <c r="F28" s="262">
        <v>0.01</v>
      </c>
      <c r="G28" s="262">
        <v>0.35499999999999998</v>
      </c>
      <c r="H28" s="262">
        <v>0.57499999999999996</v>
      </c>
      <c r="I28" s="262">
        <v>0.06</v>
      </c>
      <c r="J28" s="293">
        <v>0.43</v>
      </c>
      <c r="K28" s="293">
        <v>0.46499999999999997</v>
      </c>
      <c r="L28" s="293">
        <v>0.53500000000000003</v>
      </c>
      <c r="M28" s="198">
        <v>54</v>
      </c>
      <c r="N28" s="198">
        <v>8.5</v>
      </c>
      <c r="O28" s="262">
        <v>1.4999999999999999E-2</v>
      </c>
      <c r="P28" s="262">
        <v>0.33499999999999996</v>
      </c>
      <c r="Q28" s="262">
        <v>0.56499999999999995</v>
      </c>
      <c r="R28" s="262">
        <v>0.08</v>
      </c>
      <c r="S28" s="293">
        <v>0.435</v>
      </c>
      <c r="T28" s="293">
        <v>0.46499999999999997</v>
      </c>
      <c r="U28" s="293">
        <v>0.48499999999999999</v>
      </c>
      <c r="V28" s="198">
        <v>52.5</v>
      </c>
      <c r="W28" s="198">
        <v>8</v>
      </c>
      <c r="X28" s="262">
        <v>0.01</v>
      </c>
      <c r="Y28" s="262">
        <v>0.4</v>
      </c>
      <c r="Z28" s="262">
        <v>0.53</v>
      </c>
      <c r="AA28" s="262">
        <v>6.5000000000000002E-2</v>
      </c>
      <c r="AB28" s="293">
        <v>0.45499999999999996</v>
      </c>
      <c r="AC28" s="293">
        <v>0.495</v>
      </c>
      <c r="AD28" s="293">
        <v>0.52500000000000002</v>
      </c>
      <c r="AE28" s="295">
        <v>53.5</v>
      </c>
      <c r="AF28" s="295">
        <v>8</v>
      </c>
      <c r="AG28" s="262">
        <v>0.02</v>
      </c>
      <c r="AH28" s="262">
        <v>0.30500000000000005</v>
      </c>
      <c r="AI28" s="262">
        <v>0.6</v>
      </c>
      <c r="AJ28" s="262">
        <v>7.0000000000000007E-2</v>
      </c>
      <c r="AK28" s="293">
        <v>0.42499999999999999</v>
      </c>
      <c r="AL28" s="293">
        <v>0.36499999999999999</v>
      </c>
      <c r="AM28" s="293">
        <v>0.43</v>
      </c>
      <c r="AN28" s="198">
        <v>53.5</v>
      </c>
      <c r="AO28" s="198">
        <v>8</v>
      </c>
      <c r="AP28" s="262">
        <v>0.02</v>
      </c>
      <c r="AQ28" s="262">
        <v>0.33499999999999996</v>
      </c>
      <c r="AR28" s="262">
        <v>0.57000000000000006</v>
      </c>
      <c r="AS28" s="262">
        <v>7.5000000000000011E-2</v>
      </c>
      <c r="AT28" s="293">
        <v>0.47</v>
      </c>
      <c r="AU28" s="293">
        <v>0.36499999999999999</v>
      </c>
      <c r="AV28" s="293">
        <v>0.44500000000000001</v>
      </c>
      <c r="AW28" s="294">
        <v>54</v>
      </c>
      <c r="AX28" s="294"/>
      <c r="AY28" s="294">
        <v>9</v>
      </c>
      <c r="AZ28" s="293"/>
      <c r="BA28" s="262">
        <v>2.5000000000000001E-2</v>
      </c>
      <c r="BB28" s="262">
        <v>0.34499999999999997</v>
      </c>
      <c r="BC28" s="262">
        <v>0.51</v>
      </c>
      <c r="BD28" s="262">
        <v>0.115</v>
      </c>
      <c r="BE28" s="293">
        <v>0.44</v>
      </c>
      <c r="BF28" s="293">
        <v>0.33999999999999997</v>
      </c>
      <c r="BG28" s="293">
        <v>0.54500000000000004</v>
      </c>
      <c r="BH28" s="300">
        <f>AVERAGEIFS(BH$36:BH$173,$C$36:$C$173,"=5", $B$36:$B$173,"OFICIAL")</f>
        <v>56.666666666666664</v>
      </c>
      <c r="BJ28" s="300">
        <f t="shared" ref="BJ28:CD28" si="30">AVERAGEIFS(BJ$36:BJ$173,$C$36:$C$173,"=5", $B$36:$B$173,"OFICIAL")</f>
        <v>8</v>
      </c>
      <c r="BL28" s="343">
        <f t="shared" si="30"/>
        <v>1.3333333333333334E-2</v>
      </c>
      <c r="BM28" s="343">
        <f t="shared" si="30"/>
        <v>0.20666666666666669</v>
      </c>
      <c r="BN28" s="343">
        <f t="shared" si="30"/>
        <v>0.63</v>
      </c>
      <c r="BO28" s="343">
        <f t="shared" si="30"/>
        <v>0.15</v>
      </c>
      <c r="BP28" s="343">
        <f t="shared" si="30"/>
        <v>0.42333333333333334</v>
      </c>
      <c r="BQ28" s="343">
        <f t="shared" si="30"/>
        <v>0.3133333333333333</v>
      </c>
      <c r="BR28" s="343">
        <f t="shared" si="30"/>
        <v>0.39999999999999997</v>
      </c>
      <c r="BS28" s="300">
        <f t="shared" si="30"/>
        <v>55.333333333333336</v>
      </c>
      <c r="BU28" s="300">
        <f t="shared" si="30"/>
        <v>9</v>
      </c>
      <c r="BW28" s="343">
        <f t="shared" si="30"/>
        <v>0.02</v>
      </c>
      <c r="BX28" s="343">
        <f t="shared" si="30"/>
        <v>0.29666666666666669</v>
      </c>
      <c r="BY28" s="343">
        <f t="shared" si="30"/>
        <v>0.57333333333333336</v>
      </c>
      <c r="BZ28" s="343">
        <f t="shared" si="30"/>
        <v>0.11666666666666665</v>
      </c>
      <c r="CA28" s="343">
        <f t="shared" si="30"/>
        <v>0.34666666666666668</v>
      </c>
      <c r="CB28" s="343">
        <f t="shared" si="30"/>
        <v>0.45</v>
      </c>
      <c r="CC28" s="343">
        <f t="shared" si="30"/>
        <v>0.48</v>
      </c>
      <c r="CD28" s="490">
        <f t="shared" si="30"/>
        <v>56.333333333333336</v>
      </c>
      <c r="CF28" s="300">
        <f>AVERAGEIFS(CF$36:CF$173,$C$36:$C$173,"=5", $B$36:$B$173,"OFICIAL")</f>
        <v>8.6666666666666661</v>
      </c>
      <c r="CH28" s="343">
        <f t="shared" ref="CH28:CO28" si="31">AVERAGEIFS(CH$36:CH$173,$C$36:$C$173,"=5", $B$36:$B$173,"OFICIAL")</f>
        <v>1.3333333333333334E-2</v>
      </c>
      <c r="CI28" s="343">
        <f t="shared" si="31"/>
        <v>0.22999999999999998</v>
      </c>
      <c r="CJ28" s="343">
        <f t="shared" si="31"/>
        <v>0.58333333333333337</v>
      </c>
      <c r="CK28" s="343">
        <f t="shared" si="31"/>
        <v>0.17666666666666667</v>
      </c>
      <c r="CL28" s="343">
        <f t="shared" si="31"/>
        <v>0.41333333333333333</v>
      </c>
      <c r="CM28" s="343">
        <f t="shared" si="31"/>
        <v>0.41333333333333333</v>
      </c>
      <c r="CN28" s="343">
        <f t="shared" si="31"/>
        <v>0.30666666666666664</v>
      </c>
      <c r="CO28" s="300">
        <f t="shared" si="31"/>
        <v>56.666666666666664</v>
      </c>
      <c r="CQ28" s="300">
        <f t="shared" ref="CQ28" si="32">AVERAGEIFS(CQ$36:CQ$173,$C$36:$C$173,"=5", $B$36:$B$173,"OFICIAL")</f>
        <v>9.3333333333333339</v>
      </c>
      <c r="CS28" s="343">
        <f t="shared" ref="CS28:CY28" si="33">AVERAGEIFS(CS$36:CS$173,$C$36:$C$173,"=5", $B$36:$B$173,"OFICIAL")</f>
        <v>1.3333333333333334E-2</v>
      </c>
      <c r="CT28" s="343">
        <f t="shared" si="33"/>
        <v>0.25666666666666665</v>
      </c>
      <c r="CU28" s="343">
        <f t="shared" si="33"/>
        <v>0.54666666666666663</v>
      </c>
      <c r="CV28" s="343">
        <f t="shared" si="33"/>
        <v>0.18333333333333335</v>
      </c>
      <c r="CW28" s="343">
        <f t="shared" si="33"/>
        <v>0.29666666666666663</v>
      </c>
      <c r="CX28" s="343">
        <f t="shared" si="33"/>
        <v>0.41333333333333333</v>
      </c>
      <c r="CY28" s="343">
        <f t="shared" si="33"/>
        <v>0.47666666666666674</v>
      </c>
      <c r="CZ28" s="342"/>
    </row>
    <row r="29" spans="1:104" ht="24.95" customHeight="1" x14ac:dyDescent="0.2">
      <c r="A29" s="6" t="s">
        <v>781</v>
      </c>
      <c r="B29" s="292"/>
      <c r="C29" s="292"/>
      <c r="D29" s="198">
        <v>52.666666666666664</v>
      </c>
      <c r="E29" s="198">
        <v>8</v>
      </c>
      <c r="F29" s="262">
        <v>6.6666666666666671E-3</v>
      </c>
      <c r="G29" s="262">
        <v>0.41</v>
      </c>
      <c r="H29" s="262">
        <v>0.54</v>
      </c>
      <c r="I29" s="262">
        <v>4.3333333333333335E-2</v>
      </c>
      <c r="J29" s="293">
        <v>0.46666666666666662</v>
      </c>
      <c r="K29" s="293">
        <v>0.5033333333333333</v>
      </c>
      <c r="L29" s="293">
        <v>0.54666666666666652</v>
      </c>
      <c r="M29" s="198">
        <v>52.666666666666664</v>
      </c>
      <c r="N29" s="198">
        <v>7.666666666666667</v>
      </c>
      <c r="O29" s="262">
        <v>6.6666666666666671E-3</v>
      </c>
      <c r="P29" s="262">
        <v>0.39999999999999997</v>
      </c>
      <c r="Q29" s="262">
        <v>0.54666666666666675</v>
      </c>
      <c r="R29" s="262">
        <v>4.6666666666666669E-2</v>
      </c>
      <c r="S29" s="293">
        <v>0.4466666666666666</v>
      </c>
      <c r="T29" s="293">
        <v>0.49666666666666665</v>
      </c>
      <c r="U29" s="293">
        <v>0.49666666666666665</v>
      </c>
      <c r="V29" s="198">
        <v>52.666666666666664</v>
      </c>
      <c r="W29" s="198">
        <v>9</v>
      </c>
      <c r="X29" s="262">
        <v>2.6666666666666661E-2</v>
      </c>
      <c r="Y29" s="262">
        <v>0.41</v>
      </c>
      <c r="Z29" s="262">
        <v>0.47666666666666663</v>
      </c>
      <c r="AA29" s="262">
        <v>8.666666666666667E-2</v>
      </c>
      <c r="AB29" s="293">
        <v>0.45999999999999996</v>
      </c>
      <c r="AC29" s="293">
        <v>0.49666666666666665</v>
      </c>
      <c r="AD29" s="293">
        <v>0.51333333333333331</v>
      </c>
      <c r="AE29" s="295">
        <v>52.666666666666664</v>
      </c>
      <c r="AF29" s="295">
        <v>8.6666666666666661</v>
      </c>
      <c r="AG29" s="262">
        <v>2.3333333333333334E-2</v>
      </c>
      <c r="AH29" s="262">
        <v>0.35666666666666663</v>
      </c>
      <c r="AI29" s="262">
        <v>0.55000000000000004</v>
      </c>
      <c r="AJ29" s="262">
        <v>7.3333333333333348E-2</v>
      </c>
      <c r="AK29" s="293">
        <v>0.44</v>
      </c>
      <c r="AL29" s="293">
        <v>0.3833333333333333</v>
      </c>
      <c r="AM29" s="293">
        <v>0.43</v>
      </c>
      <c r="AN29" s="198">
        <v>53</v>
      </c>
      <c r="AO29" s="198">
        <v>8.6666666666666661</v>
      </c>
      <c r="AP29" s="262">
        <v>0.03</v>
      </c>
      <c r="AQ29" s="262">
        <v>0.36000000000000004</v>
      </c>
      <c r="AR29" s="262">
        <v>0.53666666666666663</v>
      </c>
      <c r="AS29" s="262">
        <v>7.6666666666666675E-2</v>
      </c>
      <c r="AT29" s="293">
        <v>0.46666666666666662</v>
      </c>
      <c r="AU29" s="293">
        <v>0.38000000000000006</v>
      </c>
      <c r="AV29" s="293">
        <v>0.45</v>
      </c>
      <c r="AW29" s="294">
        <v>52.333333333333336</v>
      </c>
      <c r="AX29" s="294"/>
      <c r="AY29" s="294">
        <v>8.6666666666666661</v>
      </c>
      <c r="AZ29" s="293"/>
      <c r="BA29" s="262">
        <v>3.3333333333333333E-2</v>
      </c>
      <c r="BB29" s="262">
        <v>0.39666666666666667</v>
      </c>
      <c r="BC29" s="262">
        <v>0.5033333333333333</v>
      </c>
      <c r="BD29" s="262">
        <v>7.3333333333333334E-2</v>
      </c>
      <c r="BE29" s="293">
        <v>0.47666666666666663</v>
      </c>
      <c r="BF29" s="293">
        <v>0.36999999999999994</v>
      </c>
      <c r="BG29" s="293">
        <v>0.56666666666666676</v>
      </c>
      <c r="BH29" s="300">
        <f>AVERAGEIFS(BH$36:BH$173,$C$36:$C$173,"=6", $B$36:$B$173,"OFICIAL")</f>
        <v>52.75</v>
      </c>
      <c r="BJ29" s="300">
        <f t="shared" ref="BJ29:CD29" si="34">AVERAGEIFS(BJ$36:BJ$173,$C$36:$C$173,"=6", $B$36:$B$173,"OFICIAL")</f>
        <v>8.5</v>
      </c>
      <c r="BL29" s="343">
        <f t="shared" si="34"/>
        <v>2.7500000000000004E-2</v>
      </c>
      <c r="BM29" s="343">
        <f t="shared" si="34"/>
        <v>0.36999999999999994</v>
      </c>
      <c r="BN29" s="343">
        <f t="shared" si="34"/>
        <v>0.53750000000000009</v>
      </c>
      <c r="BO29" s="343">
        <f t="shared" si="34"/>
        <v>6.25E-2</v>
      </c>
      <c r="BP29" s="343">
        <f t="shared" si="34"/>
        <v>0.505</v>
      </c>
      <c r="BQ29" s="343">
        <f t="shared" si="34"/>
        <v>0.37250000000000005</v>
      </c>
      <c r="BR29" s="343">
        <f t="shared" si="34"/>
        <v>0.47249999999999998</v>
      </c>
      <c r="BS29" s="300">
        <f t="shared" si="34"/>
        <v>52.5</v>
      </c>
      <c r="BU29" s="300">
        <f t="shared" si="34"/>
        <v>8.5</v>
      </c>
      <c r="BW29" s="343">
        <f t="shared" si="34"/>
        <v>2.5000000000000001E-2</v>
      </c>
      <c r="BX29" s="343">
        <f t="shared" si="34"/>
        <v>0.38749999999999996</v>
      </c>
      <c r="BY29" s="343">
        <f t="shared" si="34"/>
        <v>0.53750000000000009</v>
      </c>
      <c r="BZ29" s="343">
        <f t="shared" si="34"/>
        <v>0.05</v>
      </c>
      <c r="CA29" s="343">
        <f t="shared" si="34"/>
        <v>0.39</v>
      </c>
      <c r="CB29" s="343">
        <f t="shared" si="34"/>
        <v>0.505</v>
      </c>
      <c r="CC29" s="343">
        <f t="shared" si="34"/>
        <v>0.52</v>
      </c>
      <c r="CD29" s="490">
        <f t="shared" si="34"/>
        <v>54</v>
      </c>
      <c r="CF29" s="300">
        <f>AVERAGEIFS(CF$36:CF$173,$C$36:$C$173,"=6", $B$36:$B$173,"OFICIAL")</f>
        <v>8.5</v>
      </c>
      <c r="CH29" s="343">
        <f t="shared" ref="CH29:CO29" si="35">AVERAGEIFS(CH$36:CH$173,$C$36:$C$173,"=6", $B$36:$B$173,"OFICIAL")</f>
        <v>1.7499999999999998E-2</v>
      </c>
      <c r="CI29" s="343">
        <f t="shared" si="35"/>
        <v>0.3125</v>
      </c>
      <c r="CJ29" s="343">
        <f t="shared" si="35"/>
        <v>0.57500000000000007</v>
      </c>
      <c r="CK29" s="343">
        <f t="shared" si="35"/>
        <v>0.09</v>
      </c>
      <c r="CL29" s="343">
        <f t="shared" si="35"/>
        <v>0.46249999999999997</v>
      </c>
      <c r="CM29" s="343">
        <f t="shared" si="35"/>
        <v>0.45249999999999996</v>
      </c>
      <c r="CN29" s="343">
        <f t="shared" si="35"/>
        <v>0.36500000000000005</v>
      </c>
      <c r="CO29" s="300">
        <f t="shared" si="35"/>
        <v>54.75</v>
      </c>
      <c r="CQ29" s="300">
        <f t="shared" ref="CQ29" si="36">AVERAGEIFS(CQ$36:CQ$173,$C$36:$C$173,"=6", $B$36:$B$173,"OFICIAL")</f>
        <v>9</v>
      </c>
      <c r="CS29" s="343">
        <f t="shared" ref="CS29:CY29" si="37">AVERAGEIFS(CS$36:CS$173,$C$36:$C$173,"=6", $B$36:$B$173,"OFICIAL")</f>
        <v>1.2500000000000001E-2</v>
      </c>
      <c r="CT29" s="343">
        <f t="shared" si="37"/>
        <v>0.3175</v>
      </c>
      <c r="CU29" s="343">
        <f t="shared" si="37"/>
        <v>0.5575</v>
      </c>
      <c r="CV29" s="343">
        <f t="shared" si="37"/>
        <v>0.11499999999999999</v>
      </c>
      <c r="CW29" s="343">
        <f t="shared" si="37"/>
        <v>0.32</v>
      </c>
      <c r="CX29" s="343">
        <f t="shared" si="37"/>
        <v>0.45250000000000001</v>
      </c>
      <c r="CY29" s="343">
        <f t="shared" si="37"/>
        <v>0.52</v>
      </c>
      <c r="CZ29" s="342"/>
    </row>
    <row r="30" spans="1:104" ht="24.95" customHeight="1" x14ac:dyDescent="0.2">
      <c r="A30" s="6" t="s">
        <v>782</v>
      </c>
      <c r="B30" s="292"/>
      <c r="C30" s="292"/>
      <c r="D30" s="198">
        <v>53.153846153846153</v>
      </c>
      <c r="E30" s="198">
        <v>7.4615384615384617</v>
      </c>
      <c r="F30" s="262">
        <v>0.01</v>
      </c>
      <c r="G30" s="262">
        <v>0.4053846153846154</v>
      </c>
      <c r="H30" s="262">
        <v>0.55153846153846153</v>
      </c>
      <c r="I30" s="262">
        <v>3.7692307692307685E-2</v>
      </c>
      <c r="J30" s="293">
        <v>0.43461538461538463</v>
      </c>
      <c r="K30" s="293">
        <v>0.47999999999999987</v>
      </c>
      <c r="L30" s="293">
        <v>0.56230769230769218</v>
      </c>
      <c r="M30" s="198">
        <v>53.333333333333336</v>
      </c>
      <c r="N30" s="198">
        <v>7.833333333333333</v>
      </c>
      <c r="O30" s="262">
        <v>1.3333333333333334E-2</v>
      </c>
      <c r="P30" s="262">
        <v>0.34250000000000003</v>
      </c>
      <c r="Q30" s="262">
        <v>0.57916666666666672</v>
      </c>
      <c r="R30" s="262">
        <v>6.5833333333333341E-2</v>
      </c>
      <c r="S30" s="293">
        <v>0.45500000000000007</v>
      </c>
      <c r="T30" s="293">
        <v>0.48833333333333334</v>
      </c>
      <c r="U30" s="293">
        <v>0.46999999999999992</v>
      </c>
      <c r="V30" s="198">
        <v>53.846153846153847</v>
      </c>
      <c r="W30" s="198">
        <v>8.2307692307692299</v>
      </c>
      <c r="X30" s="262">
        <v>0.02</v>
      </c>
      <c r="Y30" s="262">
        <v>0.32384615384615389</v>
      </c>
      <c r="Z30" s="262">
        <v>0.55000000000000004</v>
      </c>
      <c r="AA30" s="262">
        <v>0.11076923076923079</v>
      </c>
      <c r="AB30" s="293">
        <v>0.44307692307692303</v>
      </c>
      <c r="AC30" s="293">
        <v>0.47000000000000003</v>
      </c>
      <c r="AD30" s="293">
        <v>0.49769230769230766</v>
      </c>
      <c r="AE30" s="295">
        <v>53.53846153846154</v>
      </c>
      <c r="AF30" s="295">
        <v>8.3076923076923084</v>
      </c>
      <c r="AG30" s="262">
        <v>1.3076923076923078E-2</v>
      </c>
      <c r="AH30" s="262">
        <v>0.36538461538461547</v>
      </c>
      <c r="AI30" s="262">
        <v>0.53307692307692311</v>
      </c>
      <c r="AJ30" s="262">
        <v>8.8461538461538453E-2</v>
      </c>
      <c r="AK30" s="293">
        <v>0.42</v>
      </c>
      <c r="AL30" s="293">
        <v>0.36692307692307691</v>
      </c>
      <c r="AM30" s="293">
        <v>0.4284615384615385</v>
      </c>
      <c r="AN30" s="198">
        <v>53.692307692307693</v>
      </c>
      <c r="AO30" s="198">
        <v>8.0769230769230766</v>
      </c>
      <c r="AP30" s="262">
        <v>2.8461538461538462E-2</v>
      </c>
      <c r="AQ30" s="262">
        <v>0.28615384615384615</v>
      </c>
      <c r="AR30" s="262">
        <v>0.6100000000000001</v>
      </c>
      <c r="AS30" s="262">
        <v>7.6153846153846155E-2</v>
      </c>
      <c r="AT30" s="293">
        <v>0.4646153846153846</v>
      </c>
      <c r="AU30" s="293">
        <v>0.36230769230769233</v>
      </c>
      <c r="AV30" s="293">
        <v>0.44153846153846155</v>
      </c>
      <c r="AW30" s="294">
        <v>54.846153846153847</v>
      </c>
      <c r="AX30" s="294"/>
      <c r="AY30" s="294">
        <v>8.1538461538461533</v>
      </c>
      <c r="AZ30" s="293"/>
      <c r="BA30" s="262">
        <v>7.6923076923076927E-3</v>
      </c>
      <c r="BB30" s="262">
        <v>0.30538461538461542</v>
      </c>
      <c r="BC30" s="262">
        <v>0.57769230769230784</v>
      </c>
      <c r="BD30" s="262">
        <v>0.1076923076923077</v>
      </c>
      <c r="BE30" s="293">
        <v>0.42692307692307696</v>
      </c>
      <c r="BF30" s="293">
        <v>0.31538461538461537</v>
      </c>
      <c r="BG30" s="293">
        <v>0.53307692307692311</v>
      </c>
      <c r="BH30" s="300">
        <f>AVERAGEIFS(BH$36:BH$173,$C$36:$C$173,"=1", $B$36:$B$173,"NO OFICIAL")</f>
        <v>55</v>
      </c>
      <c r="BJ30" s="300">
        <f t="shared" ref="BJ30:CD30" si="38">AVERAGEIFS(BJ$36:BJ$173,$C$36:$C$173,"=1", $B$36:$B$173,"NO OFICIAL")</f>
        <v>8.5384615384615383</v>
      </c>
      <c r="BL30" s="343">
        <f t="shared" si="38"/>
        <v>2.3076923076923082E-2</v>
      </c>
      <c r="BM30" s="343">
        <f t="shared" si="38"/>
        <v>0.27</v>
      </c>
      <c r="BN30" s="343">
        <f t="shared" si="38"/>
        <v>0.61384615384615393</v>
      </c>
      <c r="BO30" s="343">
        <f t="shared" si="38"/>
        <v>9.5384615384615387E-2</v>
      </c>
      <c r="BP30" s="343">
        <f t="shared" si="38"/>
        <v>0.45461538461538453</v>
      </c>
      <c r="BQ30" s="343">
        <f t="shared" si="38"/>
        <v>0.33076923076923076</v>
      </c>
      <c r="BR30" s="343">
        <f t="shared" si="38"/>
        <v>0.4407692307692308</v>
      </c>
      <c r="BS30" s="300">
        <f t="shared" si="38"/>
        <v>55.25</v>
      </c>
      <c r="BU30" s="300">
        <f t="shared" si="38"/>
        <v>8.3333333333333339</v>
      </c>
      <c r="BW30" s="343">
        <f t="shared" si="38"/>
        <v>0.02</v>
      </c>
      <c r="BX30" s="343">
        <f t="shared" si="38"/>
        <v>0.2583333333333333</v>
      </c>
      <c r="BY30" s="343">
        <f t="shared" si="38"/>
        <v>0.60333333333333339</v>
      </c>
      <c r="BZ30" s="343">
        <f t="shared" si="38"/>
        <v>0.11833333333333335</v>
      </c>
      <c r="CA30" s="343">
        <f t="shared" si="38"/>
        <v>0.34666666666666668</v>
      </c>
      <c r="CB30" s="343">
        <f t="shared" si="38"/>
        <v>0.45083333333333336</v>
      </c>
      <c r="CC30" s="343">
        <f t="shared" si="38"/>
        <v>0.47916666666666669</v>
      </c>
      <c r="CD30" s="490">
        <f t="shared" si="38"/>
        <v>55.846153846153847</v>
      </c>
      <c r="CF30" s="300">
        <f>AVERAGEIFS(CF$36:CF$173,$C$36:$C$173,"=1", $B$36:$B$173,"NO OFICIAL")</f>
        <v>8.0769230769230766</v>
      </c>
      <c r="CH30" s="343">
        <f t="shared" ref="CH30:CO30" si="39">AVERAGEIFS(CH$36:CH$173,$C$36:$C$173,"=1", $B$36:$B$173,"NO OFICIAL")</f>
        <v>1.5384615384615384E-2</v>
      </c>
      <c r="CI30" s="343">
        <f t="shared" si="39"/>
        <v>0.21538461538461534</v>
      </c>
      <c r="CJ30" s="343">
        <f t="shared" si="39"/>
        <v>0.65923076923076929</v>
      </c>
      <c r="CK30" s="343">
        <f t="shared" si="39"/>
        <v>0.11461538461538463</v>
      </c>
      <c r="CL30" s="343">
        <f t="shared" si="39"/>
        <v>0.42384615384615387</v>
      </c>
      <c r="CM30" s="343">
        <f t="shared" si="39"/>
        <v>0.43153846153846154</v>
      </c>
      <c r="CN30" s="343">
        <f t="shared" si="39"/>
        <v>0.31615384615384617</v>
      </c>
      <c r="CO30" s="300">
        <f t="shared" si="39"/>
        <v>56.692307692307693</v>
      </c>
      <c r="CQ30" s="300">
        <f t="shared" ref="CQ30" si="40">AVERAGEIFS(CQ$36:CQ$173,$C$36:$C$173,"=1", $B$36:$B$173,"NO OFICIAL")</f>
        <v>8.1538461538461533</v>
      </c>
      <c r="CS30" s="343">
        <f t="shared" ref="CS30:CY30" si="41">AVERAGEIFS(CS$36:CS$173,$C$36:$C$173,"=1", $B$36:$B$173,"NO OFICIAL")</f>
        <v>1.0769230769230771E-2</v>
      </c>
      <c r="CT30" s="343">
        <f t="shared" si="41"/>
        <v>0.22538461538461535</v>
      </c>
      <c r="CU30" s="343">
        <f t="shared" si="41"/>
        <v>0.6053846153846153</v>
      </c>
      <c r="CV30" s="343">
        <f t="shared" si="41"/>
        <v>0.15923076923076923</v>
      </c>
      <c r="CW30" s="343">
        <f t="shared" si="41"/>
        <v>0.28846153846153855</v>
      </c>
      <c r="CX30" s="343">
        <f t="shared" si="41"/>
        <v>0.4176923076923077</v>
      </c>
      <c r="CY30" s="343">
        <f t="shared" si="41"/>
        <v>0.48538461538461541</v>
      </c>
      <c r="CZ30" s="342"/>
    </row>
    <row r="31" spans="1:104" ht="24.95" customHeight="1" x14ac:dyDescent="0.2">
      <c r="A31" s="6" t="s">
        <v>783</v>
      </c>
      <c r="B31" s="292"/>
      <c r="C31" s="292"/>
      <c r="D31" s="198">
        <v>54.888888888888886</v>
      </c>
      <c r="E31" s="198">
        <v>7.1111111111111107</v>
      </c>
      <c r="F31" s="262">
        <v>1.7222222222222222E-2</v>
      </c>
      <c r="G31" s="262">
        <v>0.31444444444444447</v>
      </c>
      <c r="H31" s="262">
        <v>0.58500000000000008</v>
      </c>
      <c r="I31" s="262">
        <v>8.4444444444444447E-2</v>
      </c>
      <c r="J31" s="293">
        <v>0.41055555555555551</v>
      </c>
      <c r="K31" s="293">
        <v>0.45222222222222225</v>
      </c>
      <c r="L31" s="293">
        <v>0.50944444444444448</v>
      </c>
      <c r="M31" s="198">
        <v>55.705882352941174</v>
      </c>
      <c r="N31" s="198">
        <v>7.882352941176471</v>
      </c>
      <c r="O31" s="262">
        <v>1.5882352941176472E-2</v>
      </c>
      <c r="P31" s="262">
        <v>0.26117647058823534</v>
      </c>
      <c r="Q31" s="262">
        <v>0.59058823529411775</v>
      </c>
      <c r="R31" s="262">
        <v>0.13235294117647059</v>
      </c>
      <c r="S31" s="293">
        <v>0.40588235294117647</v>
      </c>
      <c r="T31" s="293">
        <v>0.44588235294117651</v>
      </c>
      <c r="U31" s="293">
        <v>0.43882352941176472</v>
      </c>
      <c r="V31" s="198">
        <v>54.823529411764703</v>
      </c>
      <c r="W31" s="198">
        <v>8.2941176470588243</v>
      </c>
      <c r="X31" s="262">
        <v>1.4705882352941176E-2</v>
      </c>
      <c r="Y31" s="262">
        <v>0.3123529411764705</v>
      </c>
      <c r="Z31" s="262">
        <v>0.54647058823529415</v>
      </c>
      <c r="AA31" s="262">
        <v>0.12588235294117647</v>
      </c>
      <c r="AB31" s="293">
        <v>0.41411764705882348</v>
      </c>
      <c r="AC31" s="293">
        <v>0.4629411764705883</v>
      </c>
      <c r="AD31" s="293">
        <v>0.47764705882352948</v>
      </c>
      <c r="AE31" s="295">
        <v>55.444444444444443</v>
      </c>
      <c r="AF31" s="295">
        <v>8.2777777777777786</v>
      </c>
      <c r="AG31" s="262">
        <v>8.8888888888888906E-3</v>
      </c>
      <c r="AH31" s="262">
        <v>0.25444444444444447</v>
      </c>
      <c r="AI31" s="262">
        <v>0.60611111111111104</v>
      </c>
      <c r="AJ31" s="262">
        <v>0.13222222222222221</v>
      </c>
      <c r="AK31" s="293">
        <v>0.38777777777777783</v>
      </c>
      <c r="AL31" s="293">
        <v>0.33777777777777779</v>
      </c>
      <c r="AM31" s="293">
        <v>0.4284615384615385</v>
      </c>
      <c r="AN31" s="198">
        <v>54.863636363636367</v>
      </c>
      <c r="AO31" s="198">
        <v>6.9090909090909092</v>
      </c>
      <c r="AP31" s="262">
        <v>7.7272727272727267E-3</v>
      </c>
      <c r="AQ31" s="262">
        <v>0.29090909090909084</v>
      </c>
      <c r="AR31" s="262">
        <v>0.58954545454545448</v>
      </c>
      <c r="AS31" s="262">
        <v>0.11227272727272729</v>
      </c>
      <c r="AT31" s="293">
        <v>0.43090909090909091</v>
      </c>
      <c r="AU31" s="293">
        <v>0.36181818181818176</v>
      </c>
      <c r="AV31" s="293">
        <v>0.41636363636363638</v>
      </c>
      <c r="AW31" s="294">
        <v>54.65</v>
      </c>
      <c r="AX31" s="294"/>
      <c r="AY31" s="294">
        <v>7.9</v>
      </c>
      <c r="AZ31" s="293"/>
      <c r="BA31" s="262">
        <v>3.2000000000000008E-2</v>
      </c>
      <c r="BB31" s="262">
        <v>0.32599999999999996</v>
      </c>
      <c r="BC31" s="262">
        <v>0.51150000000000007</v>
      </c>
      <c r="BD31" s="262">
        <v>0.13100000000000003</v>
      </c>
      <c r="BE31" s="293">
        <v>0.4335</v>
      </c>
      <c r="BF31" s="293">
        <v>0.33399999999999996</v>
      </c>
      <c r="BG31" s="293">
        <v>0.52500000000000013</v>
      </c>
      <c r="BH31" s="300">
        <f>AVERAGEIFS(BH$36:BH$173,$C$36:$C$173,"=2", $B$36:$B$173,"NO OFICIAL")</f>
        <v>56.952380952380949</v>
      </c>
      <c r="BJ31" s="300">
        <f t="shared" ref="BJ31:CD31" si="42">AVERAGEIFS(BJ$36:BJ$173,$C$36:$C$173,"=2", $B$36:$B$173,"NO OFICIAL")</f>
        <v>7.666666666666667</v>
      </c>
      <c r="BL31" s="343">
        <f t="shared" si="42"/>
        <v>2.1428571428571429E-2</v>
      </c>
      <c r="BM31" s="343">
        <f t="shared" si="42"/>
        <v>0.20571428571428568</v>
      </c>
      <c r="BN31" s="343">
        <f t="shared" si="42"/>
        <v>0.59190476190476171</v>
      </c>
      <c r="BO31" s="343">
        <f t="shared" si="42"/>
        <v>0.18142857142857141</v>
      </c>
      <c r="BP31" s="343">
        <f t="shared" si="42"/>
        <v>0.42904761904761912</v>
      </c>
      <c r="BQ31" s="343">
        <f t="shared" si="42"/>
        <v>0.30285714285714282</v>
      </c>
      <c r="BR31" s="343">
        <f t="shared" si="42"/>
        <v>0.38666666666666671</v>
      </c>
      <c r="BS31" s="300">
        <f t="shared" si="42"/>
        <v>56.272727272727273</v>
      </c>
      <c r="BU31" s="300">
        <f t="shared" si="42"/>
        <v>8.2727272727272734</v>
      </c>
      <c r="BW31" s="343">
        <f t="shared" si="42"/>
        <v>2.6363636363636367E-2</v>
      </c>
      <c r="BX31" s="343">
        <f t="shared" si="42"/>
        <v>0.24999999999999992</v>
      </c>
      <c r="BY31" s="343">
        <f t="shared" si="42"/>
        <v>0.54954545454545467</v>
      </c>
      <c r="BZ31" s="343">
        <f t="shared" si="42"/>
        <v>0.17500000000000002</v>
      </c>
      <c r="CA31" s="343">
        <f t="shared" si="42"/>
        <v>0.33681818181818185</v>
      </c>
      <c r="CB31" s="343">
        <f t="shared" si="42"/>
        <v>0.43909090909090903</v>
      </c>
      <c r="CC31" s="343">
        <f t="shared" si="42"/>
        <v>0.4413636363636364</v>
      </c>
      <c r="CD31" s="490">
        <f t="shared" si="42"/>
        <v>57.7</v>
      </c>
      <c r="CF31" s="300">
        <f>AVERAGEIFS(CF$36:CF$173,$C$36:$C$173,"=2", $B$36:$B$173,"NO OFICIAL")</f>
        <v>8.15</v>
      </c>
      <c r="CH31" s="343">
        <f t="shared" ref="CH31:CO31" si="43">AVERAGEIFS(CH$36:CH$173,$C$36:$C$173,"=2", $B$36:$B$173,"NO OFICIAL")</f>
        <v>1.2E-2</v>
      </c>
      <c r="CI31" s="343">
        <f t="shared" si="43"/>
        <v>0.19850000000000004</v>
      </c>
      <c r="CJ31" s="343">
        <f t="shared" si="43"/>
        <v>0.57299999999999995</v>
      </c>
      <c r="CK31" s="343">
        <f t="shared" si="43"/>
        <v>0.217</v>
      </c>
      <c r="CL31" s="343">
        <f t="shared" si="43"/>
        <v>0.38350000000000001</v>
      </c>
      <c r="CM31" s="343">
        <f t="shared" si="43"/>
        <v>0.40150000000000008</v>
      </c>
      <c r="CN31" s="343">
        <f t="shared" si="43"/>
        <v>0.29649999999999999</v>
      </c>
      <c r="CO31" s="300">
        <f t="shared" si="43"/>
        <v>56.826086956521742</v>
      </c>
      <c r="CQ31" s="300">
        <f t="shared" ref="CQ31" si="44">AVERAGEIFS(CQ$36:CQ$173,$C$36:$C$173,"=2", $B$36:$B$173,"NO OFICIAL")</f>
        <v>7.3043478260869561</v>
      </c>
      <c r="CS31" s="343">
        <f t="shared" ref="CS31:CY31" si="45">AVERAGEIFS(CS$36:CS$173,$C$36:$C$173,"=2", $B$36:$B$173,"NO OFICIAL")</f>
        <v>5.6521739130434784E-3</v>
      </c>
      <c r="CT31" s="343">
        <f t="shared" si="45"/>
        <v>0.23391304347826089</v>
      </c>
      <c r="CU31" s="343">
        <f t="shared" si="45"/>
        <v>0.56999999999999995</v>
      </c>
      <c r="CV31" s="343">
        <f t="shared" si="45"/>
        <v>0.19043478260869567</v>
      </c>
      <c r="CW31" s="343">
        <f t="shared" si="45"/>
        <v>0.30217391304347829</v>
      </c>
      <c r="CX31" s="343">
        <f t="shared" si="45"/>
        <v>0.40260869565217405</v>
      </c>
      <c r="CY31" s="343">
        <f t="shared" si="45"/>
        <v>0.48391304347826081</v>
      </c>
      <c r="CZ31" s="342"/>
    </row>
    <row r="32" spans="1:104" ht="24.95" customHeight="1" x14ac:dyDescent="0.2">
      <c r="A32" s="6" t="s">
        <v>784</v>
      </c>
      <c r="B32" s="292"/>
      <c r="C32" s="292"/>
      <c r="D32" s="198">
        <v>55.153846153846153</v>
      </c>
      <c r="E32" s="198">
        <v>7.8461538461538458</v>
      </c>
      <c r="F32" s="262">
        <v>1.7692307692307691E-2</v>
      </c>
      <c r="G32" s="262">
        <v>0.28076923076923077</v>
      </c>
      <c r="H32" s="262">
        <v>0.62153846153846171</v>
      </c>
      <c r="I32" s="262">
        <v>8.3846153846153876E-2</v>
      </c>
      <c r="J32" s="293">
        <v>0.37769230769230772</v>
      </c>
      <c r="K32" s="293">
        <v>0.46384615384615385</v>
      </c>
      <c r="L32" s="293">
        <v>0.51153846153846161</v>
      </c>
      <c r="M32" s="198">
        <v>55.714285714285715</v>
      </c>
      <c r="N32" s="198">
        <v>7.6428571428571432</v>
      </c>
      <c r="O32" s="262">
        <v>1.1428571428571429E-2</v>
      </c>
      <c r="P32" s="262">
        <v>0.2364285714285714</v>
      </c>
      <c r="Q32" s="262">
        <v>0.64642857142857146</v>
      </c>
      <c r="R32" s="262">
        <v>0.10714285714285714</v>
      </c>
      <c r="S32" s="293">
        <v>0.41785714285714282</v>
      </c>
      <c r="T32" s="293">
        <v>0.44857142857142851</v>
      </c>
      <c r="U32" s="293">
        <v>0.43928571428571433</v>
      </c>
      <c r="V32" s="198">
        <v>56.214285714285715</v>
      </c>
      <c r="W32" s="198">
        <v>8.2142857142857135</v>
      </c>
      <c r="X32" s="262">
        <v>1.3571428571428571E-2</v>
      </c>
      <c r="Y32" s="262">
        <v>0.25428571428571434</v>
      </c>
      <c r="Z32" s="262">
        <v>0.59071428571428564</v>
      </c>
      <c r="AA32" s="262">
        <v>0.1435714285714286</v>
      </c>
      <c r="AB32" s="293">
        <v>0.39785714285714296</v>
      </c>
      <c r="AC32" s="293">
        <v>0.44928571428571429</v>
      </c>
      <c r="AD32" s="293">
        <v>0.46928571428571431</v>
      </c>
      <c r="AE32" s="295">
        <v>55.785714285714285</v>
      </c>
      <c r="AF32" s="295">
        <v>8.4285714285714288</v>
      </c>
      <c r="AG32" s="262">
        <v>7.8571428571428577E-3</v>
      </c>
      <c r="AH32" s="262">
        <v>0.26214285714285718</v>
      </c>
      <c r="AI32" s="262">
        <v>0.57857142857142863</v>
      </c>
      <c r="AJ32" s="262">
        <v>0.15285714285714283</v>
      </c>
      <c r="AK32" s="293">
        <v>0.39357142857142863</v>
      </c>
      <c r="AL32" s="293">
        <v>0.33571428571428574</v>
      </c>
      <c r="AM32" s="293">
        <v>0.4284615384615385</v>
      </c>
      <c r="AN32" s="198">
        <v>55.333333333333336</v>
      </c>
      <c r="AO32" s="198">
        <v>7.6</v>
      </c>
      <c r="AP32" s="262">
        <v>1.2000000000000002E-2</v>
      </c>
      <c r="AQ32" s="262">
        <v>0.24666666666666667</v>
      </c>
      <c r="AR32" s="262">
        <v>0.66399999999999992</v>
      </c>
      <c r="AS32" s="262">
        <v>7.5333333333333335E-2</v>
      </c>
      <c r="AT32" s="293">
        <v>0.4386666666666667</v>
      </c>
      <c r="AU32" s="293">
        <v>0.33466666666666672</v>
      </c>
      <c r="AV32" s="293">
        <v>0.39466666666666667</v>
      </c>
      <c r="AW32" s="294">
        <v>56.2</v>
      </c>
      <c r="AX32" s="294"/>
      <c r="AY32" s="294">
        <v>8.5333333333333332</v>
      </c>
      <c r="AZ32" s="293"/>
      <c r="BA32" s="262">
        <v>0.01</v>
      </c>
      <c r="BB32" s="262">
        <v>0.26999999999999996</v>
      </c>
      <c r="BC32" s="262">
        <v>0.56000000000000005</v>
      </c>
      <c r="BD32" s="262">
        <v>0.16266666666666665</v>
      </c>
      <c r="BE32" s="293">
        <v>0.4</v>
      </c>
      <c r="BF32" s="293">
        <v>0.31133333333333335</v>
      </c>
      <c r="BG32" s="293">
        <v>0.49933333333333341</v>
      </c>
      <c r="BH32" s="300">
        <f>AVERAGEIFS(BH$36:BH$173,$C$36:$C$173,"=3", $B$36:$B$173,"NO OFICIAL")</f>
        <v>57</v>
      </c>
      <c r="BJ32" s="300">
        <f t="shared" ref="BJ32:CD32" si="46">AVERAGEIFS(BJ$36:BJ$173,$C$36:$C$173,"=3", $B$36:$B$173,"NO OFICIAL")</f>
        <v>8.25</v>
      </c>
      <c r="BL32" s="343">
        <f t="shared" si="46"/>
        <v>1.375E-2</v>
      </c>
      <c r="BM32" s="343">
        <f t="shared" si="46"/>
        <v>0.21250000000000002</v>
      </c>
      <c r="BN32" s="343">
        <f t="shared" si="46"/>
        <v>0.609375</v>
      </c>
      <c r="BO32" s="343">
        <f t="shared" si="46"/>
        <v>0.16562499999999999</v>
      </c>
      <c r="BP32" s="343">
        <f t="shared" si="46"/>
        <v>0.42000000000000004</v>
      </c>
      <c r="BQ32" s="343">
        <f t="shared" si="46"/>
        <v>0.30874999999999997</v>
      </c>
      <c r="BR32" s="343">
        <f t="shared" si="46"/>
        <v>0.385625</v>
      </c>
      <c r="BS32" s="300">
        <f t="shared" si="46"/>
        <v>56.625</v>
      </c>
      <c r="BU32" s="300">
        <f t="shared" si="46"/>
        <v>7.9375</v>
      </c>
      <c r="BW32" s="343">
        <f t="shared" si="46"/>
        <v>1.2500000000000001E-2</v>
      </c>
      <c r="BX32" s="343">
        <f t="shared" si="46"/>
        <v>0.20500000000000002</v>
      </c>
      <c r="BY32" s="343">
        <f t="shared" si="46"/>
        <v>0.63437500000000002</v>
      </c>
      <c r="BZ32" s="343">
        <f t="shared" si="46"/>
        <v>0.15000000000000002</v>
      </c>
      <c r="CA32" s="343">
        <f t="shared" si="46"/>
        <v>0.33187499999999998</v>
      </c>
      <c r="CB32" s="343">
        <f t="shared" si="46"/>
        <v>0.43124999999999997</v>
      </c>
      <c r="CC32" s="343">
        <f t="shared" si="46"/>
        <v>0.44</v>
      </c>
      <c r="CD32" s="490">
        <f t="shared" si="46"/>
        <v>57.25</v>
      </c>
      <c r="CF32" s="300">
        <f>AVERAGEIFS(CF$36:CF$173,$C$36:$C$173,"=3", $B$36:$B$173,"NO OFICIAL")</f>
        <v>8.3125</v>
      </c>
      <c r="CH32" s="343">
        <f t="shared" ref="CH32:CO32" si="47">AVERAGEIFS(CH$36:CH$173,$C$36:$C$173,"=3", $B$36:$B$173,"NO OFICIAL")</f>
        <v>2.0625000000000001E-2</v>
      </c>
      <c r="CI32" s="343">
        <f t="shared" si="47"/>
        <v>0.19312499999999999</v>
      </c>
      <c r="CJ32" s="343">
        <f t="shared" si="47"/>
        <v>0.60937500000000011</v>
      </c>
      <c r="CK32" s="343">
        <f t="shared" si="47"/>
        <v>0.17812500000000001</v>
      </c>
      <c r="CL32" s="343">
        <f t="shared" si="47"/>
        <v>0.40500000000000008</v>
      </c>
      <c r="CM32" s="343">
        <f t="shared" si="47"/>
        <v>0.39812499999999995</v>
      </c>
      <c r="CN32" s="343">
        <f t="shared" si="47"/>
        <v>0.29625000000000001</v>
      </c>
      <c r="CO32" s="300">
        <f t="shared" si="47"/>
        <v>58</v>
      </c>
      <c r="CQ32" s="300">
        <f t="shared" ref="CQ32" si="48">AVERAGEIFS(CQ$36:CQ$173,$C$36:$C$173,"=3", $B$36:$B$173,"NO OFICIAL")</f>
        <v>9</v>
      </c>
      <c r="CS32" s="343">
        <f t="shared" ref="CS32:CY32" si="49">AVERAGEIFS(CS$36:CS$173,$C$36:$C$173,"=3", $B$36:$B$173,"NO OFICIAL")</f>
        <v>1.0000000000000002E-2</v>
      </c>
      <c r="CT32" s="343">
        <f t="shared" si="49"/>
        <v>0.20812499999999998</v>
      </c>
      <c r="CU32" s="343">
        <f t="shared" si="49"/>
        <v>0.58187499999999992</v>
      </c>
      <c r="CV32" s="343">
        <f t="shared" si="49"/>
        <v>0.20250000000000001</v>
      </c>
      <c r="CW32" s="343">
        <f t="shared" si="49"/>
        <v>0.260625</v>
      </c>
      <c r="CX32" s="343">
        <f t="shared" si="49"/>
        <v>0.39500000000000002</v>
      </c>
      <c r="CY32" s="343">
        <f t="shared" si="49"/>
        <v>0.45500000000000007</v>
      </c>
      <c r="CZ32" s="342"/>
    </row>
    <row r="33" spans="1:105" ht="24.95" customHeight="1" x14ac:dyDescent="0.2">
      <c r="A33" s="6" t="s">
        <v>785</v>
      </c>
      <c r="B33" s="292"/>
      <c r="C33" s="292"/>
      <c r="D33" s="198">
        <v>51.5</v>
      </c>
      <c r="E33" s="198">
        <v>7.375</v>
      </c>
      <c r="F33" s="262">
        <v>2.2499999999999999E-2</v>
      </c>
      <c r="G33" s="262">
        <v>0.41125</v>
      </c>
      <c r="H33" s="262">
        <v>0.53875000000000006</v>
      </c>
      <c r="I33" s="262">
        <v>2.7499999999999997E-2</v>
      </c>
      <c r="J33" s="293">
        <v>0.47125</v>
      </c>
      <c r="K33" s="293">
        <v>0.52124999999999999</v>
      </c>
      <c r="L33" s="293">
        <v>0.57250000000000001</v>
      </c>
      <c r="M33" s="198">
        <v>55.111111111111114</v>
      </c>
      <c r="N33" s="198">
        <v>6.666666666666667</v>
      </c>
      <c r="O33" s="262">
        <v>0.01</v>
      </c>
      <c r="P33" s="262">
        <v>0.22999999999999998</v>
      </c>
      <c r="Q33" s="262">
        <v>0.65999999999999992</v>
      </c>
      <c r="R33" s="262">
        <v>0.10125000000000001</v>
      </c>
      <c r="S33" s="293">
        <v>0.40374999999999994</v>
      </c>
      <c r="T33" s="293">
        <v>0.44375000000000003</v>
      </c>
      <c r="U33" s="293">
        <v>0.46750000000000003</v>
      </c>
      <c r="V33" s="198">
        <v>54.666666666666664</v>
      </c>
      <c r="W33" s="198">
        <v>6.8888888888888893</v>
      </c>
      <c r="X33" s="262">
        <v>0</v>
      </c>
      <c r="Y33" s="262">
        <v>0.26555555555555554</v>
      </c>
      <c r="Z33" s="262">
        <v>0.68333333333333335</v>
      </c>
      <c r="AA33" s="262">
        <v>5.2222222222222218E-2</v>
      </c>
      <c r="AB33" s="293">
        <v>0.4022222222222222</v>
      </c>
      <c r="AC33" s="293">
        <v>0.46888888888888886</v>
      </c>
      <c r="AD33" s="293">
        <v>0.4933333333333334</v>
      </c>
      <c r="AE33" s="295">
        <v>54.375</v>
      </c>
      <c r="AF33" s="295">
        <v>8.25</v>
      </c>
      <c r="AG33" s="262">
        <v>2.2500000000000003E-2</v>
      </c>
      <c r="AH33" s="262">
        <v>0.31874999999999992</v>
      </c>
      <c r="AI33" s="262">
        <v>0.55500000000000005</v>
      </c>
      <c r="AJ33" s="262">
        <v>0.10375</v>
      </c>
      <c r="AK33" s="293">
        <v>0.39999999999999997</v>
      </c>
      <c r="AL33" s="293">
        <v>0.37124999999999997</v>
      </c>
      <c r="AM33" s="293">
        <v>0.4284615384615385</v>
      </c>
      <c r="AN33" s="198">
        <v>52.142857142857146</v>
      </c>
      <c r="AO33" s="198">
        <v>7.7142857142857144</v>
      </c>
      <c r="AP33" s="262">
        <v>2.5714285714285714E-2</v>
      </c>
      <c r="AQ33" s="262">
        <v>0.36857142857142861</v>
      </c>
      <c r="AR33" s="262">
        <v>0.53999999999999992</v>
      </c>
      <c r="AS33" s="262">
        <v>6.5714285714285711E-2</v>
      </c>
      <c r="AT33" s="293">
        <v>0.48857142857142855</v>
      </c>
      <c r="AU33" s="293">
        <v>0.40857142857142853</v>
      </c>
      <c r="AV33" s="293">
        <v>0.43857142857142856</v>
      </c>
      <c r="AW33" s="294">
        <v>53.875</v>
      </c>
      <c r="AX33" s="294"/>
      <c r="AY33" s="294">
        <v>7.625</v>
      </c>
      <c r="AZ33" s="293"/>
      <c r="BA33" s="262">
        <v>7.4999999999999997E-3</v>
      </c>
      <c r="BB33" s="262">
        <v>0.34124999999999994</v>
      </c>
      <c r="BC33" s="262">
        <v>0.58624999999999994</v>
      </c>
      <c r="BD33" s="262">
        <v>6.7500000000000004E-2</v>
      </c>
      <c r="BE33" s="293">
        <v>0.43875000000000003</v>
      </c>
      <c r="BF33" s="293">
        <v>0.35375000000000001</v>
      </c>
      <c r="BG33" s="293">
        <v>0.54874999999999996</v>
      </c>
      <c r="BH33" s="300">
        <f>AVERAGEIFS(BH$36:BH$173,$C$36:$C$173,"=4", $B$36:$B$173,"NO OFICIAL")</f>
        <v>55</v>
      </c>
      <c r="BJ33" s="300">
        <f t="shared" ref="BJ33:CD33" si="50">AVERAGEIFS(BJ$36:BJ$173,$C$36:$C$173,"=4", $B$36:$B$173,"NO OFICIAL")</f>
        <v>8.375</v>
      </c>
      <c r="BL33" s="343">
        <f t="shared" si="50"/>
        <v>0.03</v>
      </c>
      <c r="BM33" s="343">
        <f t="shared" si="50"/>
        <v>0.27625</v>
      </c>
      <c r="BN33" s="343">
        <f t="shared" si="50"/>
        <v>0.5525000000000001</v>
      </c>
      <c r="BO33" s="343">
        <f t="shared" si="50"/>
        <v>0.14250000000000002</v>
      </c>
      <c r="BP33" s="343">
        <f t="shared" si="50"/>
        <v>0.44624999999999998</v>
      </c>
      <c r="BQ33" s="343">
        <f t="shared" si="50"/>
        <v>0.31874999999999998</v>
      </c>
      <c r="BR33" s="343">
        <f t="shared" si="50"/>
        <v>0.44125000000000003</v>
      </c>
      <c r="BS33" s="300">
        <f t="shared" si="50"/>
        <v>52.555555555555557</v>
      </c>
      <c r="BU33" s="300">
        <f t="shared" si="50"/>
        <v>8.4444444444444446</v>
      </c>
      <c r="BW33" s="343">
        <f t="shared" si="50"/>
        <v>1.8888888888888886E-2</v>
      </c>
      <c r="BX33" s="343">
        <f t="shared" si="50"/>
        <v>0.41444444444444439</v>
      </c>
      <c r="BY33" s="343">
        <f t="shared" si="50"/>
        <v>0.49333333333333329</v>
      </c>
      <c r="BZ33" s="343">
        <f t="shared" si="50"/>
        <v>7.4444444444444452E-2</v>
      </c>
      <c r="CA33" s="343">
        <f t="shared" si="50"/>
        <v>0.4022222222222222</v>
      </c>
      <c r="CB33" s="343">
        <f t="shared" si="50"/>
        <v>0.49555555555555564</v>
      </c>
      <c r="CC33" s="343">
        <f t="shared" si="50"/>
        <v>0.52555555555555555</v>
      </c>
      <c r="CD33" s="490">
        <f t="shared" si="50"/>
        <v>55.714285714285715</v>
      </c>
      <c r="CF33" s="300">
        <f>AVERAGEIFS(CF$36:CF$173,$C$36:$C$173,"=4", $B$36:$B$173,"NO OFICIAL")</f>
        <v>7.7142857142857144</v>
      </c>
      <c r="CH33" s="343">
        <f t="shared" ref="CH33:CO33" si="51">AVERAGEIFS(CH$36:CH$173,$C$36:$C$173,"=4", $B$36:$B$173,"NO OFICIAL")</f>
        <v>1.4285714285714286E-3</v>
      </c>
      <c r="CI33" s="343">
        <f t="shared" si="51"/>
        <v>0.27</v>
      </c>
      <c r="CJ33" s="343">
        <f t="shared" si="51"/>
        <v>0.6</v>
      </c>
      <c r="CK33" s="343">
        <f t="shared" si="51"/>
        <v>0.13142857142857142</v>
      </c>
      <c r="CL33" s="343">
        <f t="shared" si="51"/>
        <v>0.42285714285714288</v>
      </c>
      <c r="CM33" s="343">
        <f t="shared" si="51"/>
        <v>0.42571428571428566</v>
      </c>
      <c r="CN33" s="343">
        <f t="shared" si="51"/>
        <v>0.32714285714285712</v>
      </c>
      <c r="CO33" s="300">
        <f t="shared" si="51"/>
        <v>57.222222222222221</v>
      </c>
      <c r="CQ33" s="300">
        <f t="shared" ref="CQ33" si="52">AVERAGEIFS(CQ$36:CQ$173,$C$36:$C$173,"=4", $B$36:$B$173,"NO OFICIAL")</f>
        <v>8.1111111111111107</v>
      </c>
      <c r="CS33" s="343">
        <f t="shared" ref="CS33:CY33" si="53">AVERAGEIFS(CS$36:CS$173,$C$36:$C$173,"=4", $B$36:$B$173,"NO OFICIAL")</f>
        <v>1.5555555555555557E-2</v>
      </c>
      <c r="CT33" s="343">
        <f t="shared" si="53"/>
        <v>0.19666666666666666</v>
      </c>
      <c r="CU33" s="343">
        <f t="shared" si="53"/>
        <v>0.58555555555555561</v>
      </c>
      <c r="CV33" s="343">
        <f t="shared" si="53"/>
        <v>0.20333333333333328</v>
      </c>
      <c r="CW33" s="343">
        <f t="shared" si="53"/>
        <v>0.32555555555555554</v>
      </c>
      <c r="CX33" s="343">
        <f t="shared" si="53"/>
        <v>0.38222222222222224</v>
      </c>
      <c r="CY33" s="343">
        <f t="shared" si="53"/>
        <v>0.45999999999999996</v>
      </c>
      <c r="CZ33" s="342"/>
    </row>
    <row r="34" spans="1:105" ht="24.95" customHeight="1" x14ac:dyDescent="0.2">
      <c r="A34" s="6" t="s">
        <v>786</v>
      </c>
      <c r="B34" s="292"/>
      <c r="C34" s="292"/>
      <c r="D34" s="198">
        <v>55.8</v>
      </c>
      <c r="E34" s="198">
        <v>7.7333333333333334</v>
      </c>
      <c r="F34" s="262">
        <v>1.2E-2</v>
      </c>
      <c r="G34" s="262">
        <v>0.25466666666666665</v>
      </c>
      <c r="H34" s="262">
        <v>0.64600000000000002</v>
      </c>
      <c r="I34" s="262">
        <v>8.8000000000000009E-2</v>
      </c>
      <c r="J34" s="293">
        <v>0.40666666666666668</v>
      </c>
      <c r="K34" s="293">
        <v>0.43200000000000005</v>
      </c>
      <c r="L34" s="293">
        <v>0.53066666666666673</v>
      </c>
      <c r="M34" s="198">
        <v>57.333333333333336</v>
      </c>
      <c r="N34" s="198">
        <v>7.4666666666666668</v>
      </c>
      <c r="O34" s="262">
        <v>0.01</v>
      </c>
      <c r="P34" s="262">
        <v>0.19687499999999999</v>
      </c>
      <c r="Q34" s="262">
        <v>0.67249999999999999</v>
      </c>
      <c r="R34" s="262">
        <v>0.11874999999999999</v>
      </c>
      <c r="S34" s="293">
        <v>0.36624999999999996</v>
      </c>
      <c r="T34" s="293">
        <v>0.426875</v>
      </c>
      <c r="U34" s="293">
        <v>0.42875000000000002</v>
      </c>
      <c r="V34" s="198">
        <v>56.3125</v>
      </c>
      <c r="W34" s="198">
        <v>7.875</v>
      </c>
      <c r="X34" s="262">
        <v>1.2500000000000001E-2</v>
      </c>
      <c r="Y34" s="262">
        <v>0.25187500000000002</v>
      </c>
      <c r="Z34" s="262">
        <v>0.60499999999999998</v>
      </c>
      <c r="AA34" s="262">
        <v>0.13250000000000001</v>
      </c>
      <c r="AB34" s="293">
        <v>0.38750000000000001</v>
      </c>
      <c r="AC34" s="293">
        <v>0.44874999999999998</v>
      </c>
      <c r="AD34" s="293">
        <v>0.45687500000000003</v>
      </c>
      <c r="AE34" s="295">
        <v>56.705882352941174</v>
      </c>
      <c r="AF34" s="295">
        <v>7.9411764705882355</v>
      </c>
      <c r="AG34" s="262">
        <v>5.2941176470588241E-3</v>
      </c>
      <c r="AH34" s="262">
        <v>0.24941176470588242</v>
      </c>
      <c r="AI34" s="262">
        <v>0.59058823529411775</v>
      </c>
      <c r="AJ34" s="262">
        <v>0.15588235294117647</v>
      </c>
      <c r="AK34" s="293">
        <v>0.36941176470588233</v>
      </c>
      <c r="AL34" s="293">
        <v>0.32058823529411767</v>
      </c>
      <c r="AM34" s="293">
        <v>0.4284615384615385</v>
      </c>
      <c r="AN34" s="198">
        <v>56.875</v>
      </c>
      <c r="AO34" s="198">
        <v>7.3125</v>
      </c>
      <c r="AP34" s="262">
        <v>0</v>
      </c>
      <c r="AQ34" s="262">
        <v>0.20312500000000003</v>
      </c>
      <c r="AR34" s="262">
        <v>0.67562500000000003</v>
      </c>
      <c r="AS34" s="262">
        <v>0.12124999999999998</v>
      </c>
      <c r="AT34" s="293">
        <v>0.42250000000000004</v>
      </c>
      <c r="AU34" s="293">
        <v>0.29687499999999994</v>
      </c>
      <c r="AV34" s="293">
        <v>0.38500000000000001</v>
      </c>
      <c r="AW34" s="294">
        <v>57.3125</v>
      </c>
      <c r="AX34" s="294"/>
      <c r="AY34" s="294">
        <v>8.375</v>
      </c>
      <c r="AZ34" s="293"/>
      <c r="BA34" s="262">
        <v>3.1250000000000002E-3</v>
      </c>
      <c r="BB34" s="262">
        <v>0.20624999999999999</v>
      </c>
      <c r="BC34" s="262">
        <v>0.604375</v>
      </c>
      <c r="BD34" s="262">
        <v>0.185</v>
      </c>
      <c r="BE34" s="293">
        <v>0.38500000000000001</v>
      </c>
      <c r="BF34" s="293">
        <v>0.29624999999999996</v>
      </c>
      <c r="BG34" s="293">
        <v>0.47687499999999999</v>
      </c>
      <c r="BH34" s="300">
        <f>AVERAGEIFS(BH$36:BH$173,$C$36:$C$173,"=5", $B$36:$B$173,"NO OFICIAL")</f>
        <v>58.142857142857146</v>
      </c>
      <c r="BJ34" s="300">
        <f t="shared" ref="BJ34:CD34" si="54">AVERAGEIFS(BJ$36:BJ$173,$C$36:$C$173,"=5", $B$36:$B$173,"NO OFICIAL")</f>
        <v>7.6428571428571432</v>
      </c>
      <c r="BL34" s="343">
        <f t="shared" si="54"/>
        <v>1.2142857142857144E-2</v>
      </c>
      <c r="BM34" s="343">
        <f t="shared" si="54"/>
        <v>0.1657142857142857</v>
      </c>
      <c r="BN34" s="343">
        <f t="shared" si="54"/>
        <v>0.625</v>
      </c>
      <c r="BO34" s="343">
        <f t="shared" si="54"/>
        <v>0.19857142857142857</v>
      </c>
      <c r="BP34" s="343">
        <f t="shared" si="54"/>
        <v>0.41</v>
      </c>
      <c r="BQ34" s="343">
        <f t="shared" si="54"/>
        <v>0.27499999999999997</v>
      </c>
      <c r="BR34" s="343">
        <f t="shared" si="54"/>
        <v>0.3735714285714285</v>
      </c>
      <c r="BS34" s="300">
        <f t="shared" si="54"/>
        <v>58.357142857142854</v>
      </c>
      <c r="BU34" s="300">
        <f t="shared" si="54"/>
        <v>8</v>
      </c>
      <c r="BW34" s="343">
        <f t="shared" si="54"/>
        <v>3.5714285714285718E-3</v>
      </c>
      <c r="BX34" s="343">
        <f t="shared" si="54"/>
        <v>0.16642857142857143</v>
      </c>
      <c r="BY34" s="343">
        <f t="shared" si="54"/>
        <v>0.63785714285714279</v>
      </c>
      <c r="BZ34" s="343">
        <f t="shared" si="54"/>
        <v>0.19214285714285714</v>
      </c>
      <c r="CA34" s="343">
        <f t="shared" si="54"/>
        <v>0.30142857142857143</v>
      </c>
      <c r="CB34" s="343">
        <f t="shared" si="54"/>
        <v>0.40499999999999997</v>
      </c>
      <c r="CC34" s="343">
        <f t="shared" si="54"/>
        <v>0.40785714285714281</v>
      </c>
      <c r="CD34" s="490">
        <f t="shared" si="54"/>
        <v>57.733333333333334</v>
      </c>
      <c r="CF34" s="300">
        <f>AVERAGEIFS(CF$36:CF$173,$C$36:$C$173,"=5", $B$36:$B$173,"NO OFICIAL")</f>
        <v>7.333333333333333</v>
      </c>
      <c r="CH34" s="343">
        <f t="shared" ref="CH34:CO34" si="55">AVERAGEIFS(CH$36:CH$173,$C$36:$C$173,"=5", $B$36:$B$173,"NO OFICIAL")</f>
        <v>6.6666666666666671E-3</v>
      </c>
      <c r="CI34" s="343">
        <f t="shared" si="55"/>
        <v>0.18533333333333332</v>
      </c>
      <c r="CJ34" s="343">
        <f t="shared" si="55"/>
        <v>0.63133333333333341</v>
      </c>
      <c r="CK34" s="343">
        <f t="shared" si="55"/>
        <v>0.17600000000000005</v>
      </c>
      <c r="CL34" s="343">
        <f t="shared" si="55"/>
        <v>0.40266666666666673</v>
      </c>
      <c r="CM34" s="343">
        <f t="shared" si="55"/>
        <v>0.40866666666666668</v>
      </c>
      <c r="CN34" s="343">
        <f t="shared" si="55"/>
        <v>0.27200000000000008</v>
      </c>
      <c r="CO34" s="300">
        <f t="shared" si="55"/>
        <v>58.466666666666669</v>
      </c>
      <c r="CQ34" s="300">
        <f t="shared" ref="CQ34" si="56">AVERAGEIFS(CQ$36:CQ$173,$C$36:$C$173,"=5", $B$36:$B$173,"NO OFICIAL")</f>
        <v>8.2666666666666675</v>
      </c>
      <c r="CS34" s="343">
        <f t="shared" ref="CS34:CY34" si="57">AVERAGEIFS(CS$36:CS$173,$C$36:$C$173,"=5", $B$36:$B$173,"NO OFICIAL")</f>
        <v>3.3333333333333335E-3</v>
      </c>
      <c r="CT34" s="343">
        <f t="shared" si="57"/>
        <v>0.18200000000000002</v>
      </c>
      <c r="CU34" s="343">
        <f t="shared" si="57"/>
        <v>0.63400000000000001</v>
      </c>
      <c r="CV34" s="343">
        <f t="shared" si="57"/>
        <v>0.1806666666666667</v>
      </c>
      <c r="CW34" s="343">
        <f t="shared" si="57"/>
        <v>0.26666666666666666</v>
      </c>
      <c r="CX34" s="343">
        <f t="shared" si="57"/>
        <v>0.3826666666666666</v>
      </c>
      <c r="CY34" s="343">
        <f t="shared" si="57"/>
        <v>0.44866666666666682</v>
      </c>
      <c r="CZ34" s="342"/>
    </row>
    <row r="35" spans="1:105" ht="24.95" customHeight="1" x14ac:dyDescent="0.2">
      <c r="A35" s="6" t="s">
        <v>787</v>
      </c>
      <c r="B35" s="292"/>
      <c r="C35" s="292"/>
      <c r="D35" s="198">
        <v>54.583333333333336</v>
      </c>
      <c r="E35" s="198">
        <v>6.416666666666667</v>
      </c>
      <c r="F35" s="262">
        <v>7.5000000000000006E-3</v>
      </c>
      <c r="G35" s="262">
        <v>0.3666666666666667</v>
      </c>
      <c r="H35" s="262">
        <v>0.56500000000000006</v>
      </c>
      <c r="I35" s="262">
        <v>6.1666666666666668E-2</v>
      </c>
      <c r="J35" s="293">
        <v>0.41749999999999998</v>
      </c>
      <c r="K35" s="293">
        <v>0.47250000000000009</v>
      </c>
      <c r="L35" s="293">
        <v>0.53333333333333333</v>
      </c>
      <c r="M35" s="198">
        <v>54</v>
      </c>
      <c r="N35" s="198">
        <v>8.5</v>
      </c>
      <c r="O35" s="262">
        <v>3.3333333333333333E-2</v>
      </c>
      <c r="P35" s="262">
        <v>0.29916666666666675</v>
      </c>
      <c r="Q35" s="262">
        <v>0.58250000000000002</v>
      </c>
      <c r="R35" s="262">
        <v>8.5833333333333331E-2</v>
      </c>
      <c r="S35" s="293">
        <v>0.44083333333333335</v>
      </c>
      <c r="T35" s="293">
        <v>0.47333333333333338</v>
      </c>
      <c r="U35" s="293">
        <v>0.47166666666666668</v>
      </c>
      <c r="V35" s="198">
        <v>54.81818181818182</v>
      </c>
      <c r="W35" s="198">
        <v>8.454545454545455</v>
      </c>
      <c r="X35" s="262">
        <v>5.454545454545455E-3</v>
      </c>
      <c r="Y35" s="262">
        <v>0.36090909090909096</v>
      </c>
      <c r="Z35" s="262">
        <v>0.52727272727272723</v>
      </c>
      <c r="AA35" s="262">
        <v>0.1109090909090909</v>
      </c>
      <c r="AB35" s="293">
        <v>0.41727272727272724</v>
      </c>
      <c r="AC35" s="293">
        <v>0.45818181818181808</v>
      </c>
      <c r="AD35" s="293">
        <v>0.50090909090909086</v>
      </c>
      <c r="AE35" s="295">
        <v>55.083333333333336</v>
      </c>
      <c r="AF35" s="295">
        <v>8.6666666666666661</v>
      </c>
      <c r="AG35" s="262">
        <v>8.3333333333333332E-3</v>
      </c>
      <c r="AH35" s="262">
        <v>0.31666666666666665</v>
      </c>
      <c r="AI35" s="262">
        <v>0.55666666666666675</v>
      </c>
      <c r="AJ35" s="262">
        <v>0.11833333333333333</v>
      </c>
      <c r="AK35" s="293">
        <v>0.40749999999999997</v>
      </c>
      <c r="AL35" s="293">
        <v>0.35833333333333334</v>
      </c>
      <c r="AM35" s="293">
        <v>0.4284615384615385</v>
      </c>
      <c r="AN35" s="198">
        <v>52.5</v>
      </c>
      <c r="AO35" s="198">
        <v>7.2142857142857144</v>
      </c>
      <c r="AP35" s="262">
        <v>4.1428571428571433E-2</v>
      </c>
      <c r="AQ35" s="262">
        <v>0.33785714285714291</v>
      </c>
      <c r="AR35" s="262">
        <v>0.55214285714285716</v>
      </c>
      <c r="AS35" s="262">
        <v>6.7857142857142866E-2</v>
      </c>
      <c r="AT35" s="293">
        <v>0.48928571428571427</v>
      </c>
      <c r="AU35" s="293">
        <v>0.37857142857142861</v>
      </c>
      <c r="AV35" s="293">
        <v>0.45357142857142863</v>
      </c>
      <c r="AW35" s="294">
        <v>54.615384615384613</v>
      </c>
      <c r="AX35" s="294"/>
      <c r="AY35" s="294">
        <v>7.4615384615384617</v>
      </c>
      <c r="AZ35" s="293"/>
      <c r="BA35" s="262">
        <v>1.3076923076923078E-2</v>
      </c>
      <c r="BB35" s="262">
        <v>0.37230769230769234</v>
      </c>
      <c r="BC35" s="262">
        <v>0.49692307692307697</v>
      </c>
      <c r="BD35" s="262">
        <v>0.11846153846153845</v>
      </c>
      <c r="BE35" s="293">
        <v>0.44923076923076916</v>
      </c>
      <c r="BF35" s="293">
        <v>0.32615384615384618</v>
      </c>
      <c r="BG35" s="293">
        <v>0.52692307692307683</v>
      </c>
      <c r="BH35" s="300">
        <f>AVERAGEIFS(BH$36:BH$173,$C$36:$C$173,"=6", $B$36:$B$173,"NO OFICIAL")</f>
        <v>55</v>
      </c>
      <c r="BJ35" s="300">
        <f t="shared" ref="BJ35:CD35" si="58">AVERAGEIFS(BJ$36:BJ$173,$C$36:$C$173,"=6", $B$36:$B$173,"NO OFICIAL")</f>
        <v>8.2666666666666675</v>
      </c>
      <c r="BL35" s="343">
        <f t="shared" si="58"/>
        <v>2.3333333333333334E-2</v>
      </c>
      <c r="BM35" s="343">
        <f t="shared" si="58"/>
        <v>0.29466666666666674</v>
      </c>
      <c r="BN35" s="343">
        <f t="shared" si="58"/>
        <v>0.56266666666666665</v>
      </c>
      <c r="BO35" s="343">
        <f t="shared" si="58"/>
        <v>0.11866666666666667</v>
      </c>
      <c r="BP35" s="343">
        <f t="shared" si="58"/>
        <v>0.45733333333333337</v>
      </c>
      <c r="BQ35" s="343">
        <f t="shared" si="58"/>
        <v>0.33600000000000002</v>
      </c>
      <c r="BR35" s="343">
        <f t="shared" si="58"/>
        <v>0.434</v>
      </c>
      <c r="BS35" s="300">
        <f t="shared" si="58"/>
        <v>56.375</v>
      </c>
      <c r="BU35" s="300">
        <f t="shared" si="58"/>
        <v>7.75</v>
      </c>
      <c r="BW35" s="343">
        <f t="shared" si="58"/>
        <v>5.6249999999999998E-3</v>
      </c>
      <c r="BX35" s="343">
        <f t="shared" si="58"/>
        <v>0.23687500000000003</v>
      </c>
      <c r="BY35" s="343">
        <f t="shared" si="58"/>
        <v>0.58000000000000007</v>
      </c>
      <c r="BZ35" s="343">
        <f t="shared" si="58"/>
        <v>0.17687500000000003</v>
      </c>
      <c r="CA35" s="343">
        <f t="shared" si="58"/>
        <v>0.33562499999999995</v>
      </c>
      <c r="CB35" s="343">
        <f t="shared" si="58"/>
        <v>0.42937500000000001</v>
      </c>
      <c r="CC35" s="343">
        <f t="shared" si="58"/>
        <v>0.44687500000000008</v>
      </c>
      <c r="CD35" s="490">
        <f t="shared" si="58"/>
        <v>56.571428571428569</v>
      </c>
      <c r="CF35" s="300">
        <f>AVERAGEIFS(CF$36:CF$173,$C$36:$C$173,"=6", $B$36:$B$173,"NO OFICIAL")</f>
        <v>8.5714285714285712</v>
      </c>
      <c r="CH35" s="343">
        <f t="shared" ref="CH35:CO35" si="59">AVERAGEIFS(CH$36:CH$173,$C$36:$C$173,"=6", $B$36:$B$173,"NO OFICIAL")</f>
        <v>2.9285714285714286E-2</v>
      </c>
      <c r="CI35" s="343">
        <f t="shared" si="59"/>
        <v>0.20857142857142855</v>
      </c>
      <c r="CJ35" s="343">
        <f t="shared" si="59"/>
        <v>0.60571428571428576</v>
      </c>
      <c r="CK35" s="343">
        <f t="shared" si="59"/>
        <v>0.15857142857142859</v>
      </c>
      <c r="CL35" s="343">
        <f t="shared" si="59"/>
        <v>0.43142857142857144</v>
      </c>
      <c r="CM35" s="343">
        <f t="shared" si="59"/>
        <v>0.4107142857142857</v>
      </c>
      <c r="CN35" s="343">
        <f t="shared" si="59"/>
        <v>0.29785714285714288</v>
      </c>
      <c r="CO35" s="300">
        <f t="shared" si="59"/>
        <v>57.133333333333333</v>
      </c>
      <c r="CQ35" s="300">
        <f t="shared" ref="CQ35" si="60">AVERAGEIFS(CQ$36:CQ$173,$C$36:$C$173,"=6", $B$36:$B$173,"NO OFICIAL")</f>
        <v>8.9333333333333336</v>
      </c>
      <c r="CS35" s="343">
        <f t="shared" ref="CS35:CY35" si="61">AVERAGEIFS(CS$36:CS$173,$C$36:$C$173,"=6", $B$36:$B$173,"NO OFICIAL")</f>
        <v>3.3333333333333335E-3</v>
      </c>
      <c r="CT35" s="343">
        <f t="shared" si="61"/>
        <v>0.26000000000000006</v>
      </c>
      <c r="CU35" s="343">
        <f t="shared" si="61"/>
        <v>0.53133333333333344</v>
      </c>
      <c r="CV35" s="343">
        <f t="shared" si="61"/>
        <v>0.20400000000000007</v>
      </c>
      <c r="CW35" s="343">
        <f t="shared" si="61"/>
        <v>0.28933333333333333</v>
      </c>
      <c r="CX35" s="343">
        <f t="shared" si="61"/>
        <v>0.39866666666666661</v>
      </c>
      <c r="CY35" s="343">
        <f t="shared" si="61"/>
        <v>0.47866666666666668</v>
      </c>
      <c r="CZ35" s="342"/>
    </row>
    <row r="36" spans="1:105" ht="24.95" customHeight="1" x14ac:dyDescent="0.2">
      <c r="A36" s="126" t="s">
        <v>23</v>
      </c>
      <c r="B36" s="1" t="s">
        <v>123</v>
      </c>
      <c r="C36" s="2">
        <v>2</v>
      </c>
      <c r="D36" s="12">
        <v>54</v>
      </c>
      <c r="E36" s="12">
        <v>9</v>
      </c>
      <c r="F36" s="63">
        <v>0.01</v>
      </c>
      <c r="G36" s="63">
        <v>0.36</v>
      </c>
      <c r="H36" s="63">
        <v>0.56999999999999995</v>
      </c>
      <c r="I36" s="63">
        <v>0.06</v>
      </c>
      <c r="J36" s="63">
        <v>0.42</v>
      </c>
      <c r="K36" s="63">
        <v>0.47</v>
      </c>
      <c r="L36" s="63">
        <v>0.54</v>
      </c>
      <c r="M36" s="25">
        <v>55</v>
      </c>
      <c r="N36" s="25">
        <v>8</v>
      </c>
      <c r="O36" s="61">
        <v>0</v>
      </c>
      <c r="P36" s="61">
        <v>0.28999999999999998</v>
      </c>
      <c r="Q36" s="61">
        <v>0.66</v>
      </c>
      <c r="R36" s="61">
        <v>0.06</v>
      </c>
      <c r="S36" s="61">
        <v>0.41</v>
      </c>
      <c r="T36" s="61">
        <v>0.48</v>
      </c>
      <c r="U36" s="61">
        <v>0.44</v>
      </c>
      <c r="V36" s="25">
        <v>54</v>
      </c>
      <c r="W36" s="25">
        <v>8</v>
      </c>
      <c r="X36" s="66">
        <v>0.02</v>
      </c>
      <c r="Y36" s="66">
        <v>0.37</v>
      </c>
      <c r="Z36" s="66">
        <v>0.52</v>
      </c>
      <c r="AA36" s="66">
        <v>0.09</v>
      </c>
      <c r="AB36" s="66">
        <v>0.46</v>
      </c>
      <c r="AC36" s="66">
        <v>0.44</v>
      </c>
      <c r="AD36" s="66">
        <v>0.5</v>
      </c>
      <c r="AE36" s="12">
        <v>54</v>
      </c>
      <c r="AF36" s="12">
        <v>10</v>
      </c>
      <c r="AG36" s="63">
        <v>0.04</v>
      </c>
      <c r="AH36" s="63">
        <v>0.3</v>
      </c>
      <c r="AI36" s="63">
        <v>0.55000000000000004</v>
      </c>
      <c r="AJ36" s="63">
        <v>0.11</v>
      </c>
      <c r="AK36" s="63">
        <v>0.4</v>
      </c>
      <c r="AL36" s="63">
        <v>0.37</v>
      </c>
      <c r="AM36" s="63">
        <v>0.43</v>
      </c>
      <c r="AN36" s="35">
        <v>53</v>
      </c>
      <c r="AO36" s="35">
        <v>9</v>
      </c>
      <c r="AP36" s="40">
        <v>0.02</v>
      </c>
      <c r="AQ36" s="40">
        <v>0.41</v>
      </c>
      <c r="AR36" s="40">
        <v>0.49</v>
      </c>
      <c r="AS36" s="40">
        <v>0.08</v>
      </c>
      <c r="AT36" s="40">
        <v>0.48</v>
      </c>
      <c r="AU36" s="40">
        <v>0.39</v>
      </c>
      <c r="AV36" s="40">
        <v>0.44</v>
      </c>
      <c r="AW36" s="246">
        <v>56</v>
      </c>
      <c r="AX36" s="246" t="s">
        <v>758</v>
      </c>
      <c r="AY36" s="246">
        <v>8</v>
      </c>
      <c r="AZ36" s="246" t="s">
        <v>758</v>
      </c>
      <c r="BA36" s="263">
        <v>0</v>
      </c>
      <c r="BB36" s="263">
        <v>0.24</v>
      </c>
      <c r="BC36" s="263">
        <v>0.65</v>
      </c>
      <c r="BD36" s="263">
        <v>0.11</v>
      </c>
      <c r="BE36" s="263">
        <v>0.41</v>
      </c>
      <c r="BF36" s="263">
        <v>0.31</v>
      </c>
      <c r="BG36" s="263">
        <v>0.51</v>
      </c>
      <c r="CZ36" s="26"/>
      <c r="DA36" s="126" t="s">
        <v>23</v>
      </c>
    </row>
    <row r="37" spans="1:105" ht="24.95" customHeight="1" x14ac:dyDescent="0.2">
      <c r="A37" s="739" t="s">
        <v>952</v>
      </c>
      <c r="B37" s="14" t="s">
        <v>123</v>
      </c>
      <c r="C37" s="735">
        <v>2</v>
      </c>
      <c r="D37" s="736"/>
      <c r="E37" s="736"/>
      <c r="F37" s="796"/>
      <c r="G37" s="796"/>
      <c r="H37" s="796"/>
      <c r="I37" s="796"/>
      <c r="J37" s="796"/>
      <c r="K37" s="796"/>
      <c r="L37" s="796"/>
      <c r="M37" s="737"/>
      <c r="N37" s="737"/>
      <c r="O37" s="797"/>
      <c r="P37" s="797"/>
      <c r="Q37" s="797"/>
      <c r="R37" s="797"/>
      <c r="S37" s="797"/>
      <c r="T37" s="797"/>
      <c r="U37" s="797"/>
      <c r="V37" s="737"/>
      <c r="W37" s="737"/>
      <c r="X37" s="798"/>
      <c r="Y37" s="798"/>
      <c r="Z37" s="798"/>
      <c r="AA37" s="798"/>
      <c r="AB37" s="798"/>
      <c r="AC37" s="798"/>
      <c r="AD37" s="798"/>
      <c r="AE37" s="736"/>
      <c r="AF37" s="736"/>
      <c r="AG37" s="796"/>
      <c r="AH37" s="796"/>
      <c r="AI37" s="796"/>
      <c r="AJ37" s="796"/>
      <c r="AK37" s="796"/>
      <c r="AL37" s="796"/>
      <c r="AM37" s="796"/>
      <c r="AN37" s="799"/>
      <c r="AO37" s="799"/>
      <c r="AP37" s="800"/>
      <c r="AQ37" s="800"/>
      <c r="AR37" s="800"/>
      <c r="AS37" s="800"/>
      <c r="AT37" s="800"/>
      <c r="AU37" s="800"/>
      <c r="AV37" s="800"/>
      <c r="AW37" s="801"/>
      <c r="AX37" s="801"/>
      <c r="AY37" s="801"/>
      <c r="AZ37" s="801"/>
      <c r="BA37" s="802"/>
      <c r="BB37" s="802"/>
      <c r="BC37" s="802"/>
      <c r="BD37" s="802"/>
      <c r="BE37" s="802"/>
      <c r="BF37" s="802"/>
      <c r="BG37" s="802"/>
      <c r="CO37" s="902">
        <v>73</v>
      </c>
      <c r="CP37" s="902" t="s">
        <v>759</v>
      </c>
      <c r="CQ37" s="902">
        <v>0</v>
      </c>
      <c r="CR37" s="902" t="s">
        <v>760</v>
      </c>
      <c r="CS37" s="949">
        <v>0</v>
      </c>
      <c r="CT37" s="949">
        <v>0</v>
      </c>
      <c r="CU37" s="949">
        <v>0</v>
      </c>
      <c r="CV37" s="949">
        <v>1</v>
      </c>
      <c r="CW37" s="949">
        <v>0</v>
      </c>
      <c r="CX37" s="949">
        <v>0.13</v>
      </c>
      <c r="CY37" s="949">
        <v>0.17</v>
      </c>
      <c r="CZ37" s="26">
        <v>325754800026</v>
      </c>
      <c r="DA37" s="739" t="s">
        <v>952</v>
      </c>
    </row>
    <row r="38" spans="1:105" ht="24.6" customHeight="1" x14ac:dyDescent="0.2">
      <c r="A38" s="36" t="s">
        <v>166</v>
      </c>
      <c r="B38" s="14" t="s">
        <v>123</v>
      </c>
      <c r="C38" s="2">
        <v>2</v>
      </c>
      <c r="D38" s="12"/>
      <c r="E38" s="12"/>
      <c r="F38" s="12"/>
      <c r="G38" s="12"/>
      <c r="H38" s="12"/>
      <c r="I38" s="12"/>
      <c r="J38" s="12"/>
      <c r="K38" s="12"/>
      <c r="L38" s="12"/>
      <c r="M38" s="25"/>
      <c r="N38" s="25"/>
      <c r="O38" s="61"/>
      <c r="P38" s="61"/>
      <c r="Q38" s="61"/>
      <c r="R38" s="61"/>
      <c r="S38" s="61"/>
      <c r="T38" s="61"/>
      <c r="U38" s="61"/>
      <c r="V38" s="25"/>
      <c r="W38" s="25"/>
      <c r="X38" s="12"/>
      <c r="Y38" s="12"/>
      <c r="Z38" s="12"/>
      <c r="AA38" s="12"/>
      <c r="AB38" s="12"/>
      <c r="AC38" s="12"/>
      <c r="AD38" s="12"/>
      <c r="AE38" s="12"/>
      <c r="AF38" s="12"/>
      <c r="AG38" s="2"/>
      <c r="AH38" s="2"/>
      <c r="AI38" s="2"/>
      <c r="AJ38" s="2"/>
      <c r="AK38" s="2"/>
      <c r="AL38" s="2"/>
      <c r="AM38" s="2"/>
      <c r="AN38" s="35">
        <v>46</v>
      </c>
      <c r="AO38" s="35">
        <v>7</v>
      </c>
      <c r="AP38" s="40">
        <v>0</v>
      </c>
      <c r="AQ38" s="40">
        <v>0.5</v>
      </c>
      <c r="AR38" s="40">
        <v>0.5</v>
      </c>
      <c r="AS38" s="40">
        <v>0</v>
      </c>
      <c r="AT38" s="40">
        <v>0.45</v>
      </c>
      <c r="AU38" s="40">
        <v>0.71</v>
      </c>
      <c r="AV38" s="40">
        <v>0.53</v>
      </c>
      <c r="AW38" s="246">
        <v>48</v>
      </c>
      <c r="AX38" s="246" t="s">
        <v>758</v>
      </c>
      <c r="AY38" s="246">
        <v>0</v>
      </c>
      <c r="AZ38" s="246" t="s">
        <v>760</v>
      </c>
      <c r="BA38" s="263">
        <v>0</v>
      </c>
      <c r="BB38" s="263">
        <v>1</v>
      </c>
      <c r="BC38" s="263">
        <v>0</v>
      </c>
      <c r="BD38" s="263">
        <v>0</v>
      </c>
      <c r="BE38" s="263">
        <v>0.56000000000000005</v>
      </c>
      <c r="BF38" s="263">
        <v>0.5</v>
      </c>
      <c r="BG38" s="263">
        <v>0.67</v>
      </c>
      <c r="BH38" s="309">
        <v>45</v>
      </c>
      <c r="BI38" s="309" t="s">
        <v>760</v>
      </c>
      <c r="BJ38" s="309">
        <v>19</v>
      </c>
      <c r="BK38" s="309" t="s">
        <v>759</v>
      </c>
      <c r="BL38" s="327">
        <v>0.33</v>
      </c>
      <c r="BM38" s="327">
        <v>0.33</v>
      </c>
      <c r="BN38" s="327">
        <v>0</v>
      </c>
      <c r="BO38" s="327">
        <v>0.33</v>
      </c>
      <c r="BP38" s="327">
        <v>0.61</v>
      </c>
      <c r="BQ38" s="327">
        <v>0.61</v>
      </c>
      <c r="BR38" s="327">
        <v>0.53</v>
      </c>
      <c r="BS38" s="424">
        <v>65</v>
      </c>
      <c r="BT38" s="424" t="s">
        <v>759</v>
      </c>
      <c r="BU38" s="424">
        <v>0</v>
      </c>
      <c r="BV38" s="424" t="s">
        <v>760</v>
      </c>
      <c r="BW38" s="428">
        <v>0</v>
      </c>
      <c r="BX38" s="428">
        <v>0</v>
      </c>
      <c r="BY38" s="428">
        <v>1</v>
      </c>
      <c r="BZ38" s="428">
        <v>0</v>
      </c>
      <c r="CA38" s="428">
        <v>0.22</v>
      </c>
      <c r="CB38" s="428">
        <v>0.47</v>
      </c>
      <c r="CC38" s="428">
        <v>0.17</v>
      </c>
      <c r="CD38" s="424">
        <v>44</v>
      </c>
      <c r="CE38" s="424" t="s">
        <v>760</v>
      </c>
      <c r="CF38" s="424">
        <v>7</v>
      </c>
      <c r="CG38" s="424" t="s">
        <v>758</v>
      </c>
      <c r="CH38" s="428">
        <v>0</v>
      </c>
      <c r="CI38" s="428">
        <v>1</v>
      </c>
      <c r="CJ38" s="428">
        <v>0</v>
      </c>
      <c r="CK38" s="428">
        <v>0</v>
      </c>
      <c r="CL38" s="428">
        <v>0.5</v>
      </c>
      <c r="CM38" s="428">
        <v>0.6</v>
      </c>
      <c r="CN38" s="428">
        <v>0.59</v>
      </c>
      <c r="CO38" s="902">
        <v>56</v>
      </c>
      <c r="CP38" s="902" t="s">
        <v>758</v>
      </c>
      <c r="CQ38" s="902">
        <v>6</v>
      </c>
      <c r="CR38" s="902" t="s">
        <v>758</v>
      </c>
      <c r="CS38" s="949">
        <v>0</v>
      </c>
      <c r="CT38" s="949">
        <v>0</v>
      </c>
      <c r="CU38" s="949">
        <v>1</v>
      </c>
      <c r="CV38" s="949">
        <v>0</v>
      </c>
      <c r="CW38" s="949">
        <v>0.41</v>
      </c>
      <c r="CX38" s="949">
        <v>0.48</v>
      </c>
      <c r="CY38" s="949">
        <v>0.42</v>
      </c>
      <c r="CZ38" s="26">
        <v>325754005200</v>
      </c>
      <c r="DA38" s="36" t="s">
        <v>166</v>
      </c>
    </row>
    <row r="39" spans="1:105" ht="24.6" customHeight="1" x14ac:dyDescent="0.2">
      <c r="A39" s="555" t="s">
        <v>796</v>
      </c>
      <c r="B39" s="14" t="s">
        <v>123</v>
      </c>
      <c r="C39" s="309">
        <v>2</v>
      </c>
      <c r="D39" s="328"/>
      <c r="E39" s="328"/>
      <c r="F39" s="328"/>
      <c r="G39" s="328"/>
      <c r="H39" s="328"/>
      <c r="I39" s="328"/>
      <c r="J39" s="328"/>
      <c r="K39" s="328"/>
      <c r="L39" s="328"/>
      <c r="M39" s="329"/>
      <c r="N39" s="329"/>
      <c r="O39" s="330"/>
      <c r="P39" s="330"/>
      <c r="Q39" s="330"/>
      <c r="R39" s="330"/>
      <c r="S39" s="330"/>
      <c r="T39" s="330"/>
      <c r="U39" s="330"/>
      <c r="V39" s="329"/>
      <c r="W39" s="329"/>
      <c r="X39" s="328"/>
      <c r="Y39" s="328"/>
      <c r="Z39" s="328"/>
      <c r="AA39" s="328"/>
      <c r="AB39" s="328"/>
      <c r="AC39" s="328"/>
      <c r="AD39" s="328"/>
      <c r="AE39" s="328"/>
      <c r="AF39" s="328"/>
      <c r="AG39" s="309"/>
      <c r="AH39" s="309"/>
      <c r="AI39" s="309"/>
      <c r="AJ39" s="309"/>
      <c r="AK39" s="309"/>
      <c r="AL39" s="309"/>
      <c r="AM39" s="309"/>
      <c r="AN39" s="311"/>
      <c r="AO39" s="311"/>
      <c r="AP39" s="331"/>
      <c r="AQ39" s="331"/>
      <c r="AR39" s="331"/>
      <c r="AS39" s="331"/>
      <c r="AT39" s="331"/>
      <c r="AU39" s="331"/>
      <c r="AV39" s="331"/>
      <c r="AW39" s="312"/>
      <c r="AX39" s="312"/>
      <c r="AY39" s="312"/>
      <c r="AZ39" s="312"/>
      <c r="BA39" s="332"/>
      <c r="BB39" s="332"/>
      <c r="BC39" s="332"/>
      <c r="BD39" s="332"/>
      <c r="BE39" s="332"/>
      <c r="BF39" s="332"/>
      <c r="BG39" s="332"/>
      <c r="BH39" s="309">
        <v>46</v>
      </c>
      <c r="BI39" s="309" t="s">
        <v>760</v>
      </c>
      <c r="BJ39" s="309">
        <v>7</v>
      </c>
      <c r="BK39" s="309" t="s">
        <v>758</v>
      </c>
      <c r="BL39" s="327">
        <v>0</v>
      </c>
      <c r="BM39" s="327">
        <v>0.88</v>
      </c>
      <c r="BN39" s="327">
        <v>0.13</v>
      </c>
      <c r="BO39" s="327">
        <v>0</v>
      </c>
      <c r="BP39" s="327">
        <v>0.65</v>
      </c>
      <c r="BQ39" s="327">
        <v>0.47</v>
      </c>
      <c r="BR39" s="327">
        <v>0.6</v>
      </c>
      <c r="BS39" s="424">
        <v>43</v>
      </c>
      <c r="BT39" s="424" t="s">
        <v>760</v>
      </c>
      <c r="BU39" s="424">
        <v>11</v>
      </c>
      <c r="BV39" s="424" t="s">
        <v>758</v>
      </c>
      <c r="BW39" s="428">
        <v>0.25</v>
      </c>
      <c r="BX39" s="428">
        <v>0.5</v>
      </c>
      <c r="BY39" s="428">
        <v>0.25</v>
      </c>
      <c r="BZ39" s="428">
        <v>0</v>
      </c>
      <c r="CA39" s="428">
        <v>0.59</v>
      </c>
      <c r="CB39" s="428">
        <v>0.56999999999999995</v>
      </c>
      <c r="CC39" s="428">
        <v>0.64</v>
      </c>
      <c r="CD39" s="424"/>
      <c r="CE39" s="424"/>
      <c r="CF39" s="424"/>
      <c r="CG39" s="424"/>
      <c r="CH39" s="428"/>
      <c r="CI39" s="428"/>
      <c r="CJ39" s="428"/>
      <c r="CK39" s="428"/>
      <c r="CL39" s="428"/>
      <c r="CM39" s="428"/>
      <c r="CN39" s="428"/>
      <c r="CS39" s="949"/>
      <c r="CT39" s="949"/>
      <c r="CU39" s="949"/>
      <c r="CV39" s="949"/>
      <c r="CW39" s="949"/>
      <c r="CX39" s="949"/>
      <c r="CY39" s="949"/>
      <c r="CZ39" s="26"/>
      <c r="DA39" s="555" t="s">
        <v>796</v>
      </c>
    </row>
    <row r="40" spans="1:105" ht="24.95" customHeight="1" x14ac:dyDescent="0.2">
      <c r="A40" s="126" t="s">
        <v>26</v>
      </c>
      <c r="B40" s="1" t="s">
        <v>123</v>
      </c>
      <c r="C40" s="2">
        <v>3</v>
      </c>
      <c r="D40" s="12">
        <v>54</v>
      </c>
      <c r="E40" s="12">
        <v>6</v>
      </c>
      <c r="F40" s="63">
        <v>0.02</v>
      </c>
      <c r="G40" s="63">
        <v>0.26</v>
      </c>
      <c r="H40" s="63">
        <v>0.71</v>
      </c>
      <c r="I40" s="63">
        <v>0.02</v>
      </c>
      <c r="J40" s="63">
        <v>0.38</v>
      </c>
      <c r="K40" s="63">
        <v>0.49</v>
      </c>
      <c r="L40" s="63">
        <v>0.59</v>
      </c>
      <c r="M40" s="25">
        <v>54</v>
      </c>
      <c r="N40" s="25">
        <v>8</v>
      </c>
      <c r="O40" s="61">
        <v>0.02</v>
      </c>
      <c r="P40" s="61">
        <v>0.36</v>
      </c>
      <c r="Q40" s="61">
        <v>0.56999999999999995</v>
      </c>
      <c r="R40" s="61">
        <v>0.05</v>
      </c>
      <c r="S40" s="61">
        <v>0.5</v>
      </c>
      <c r="T40" s="61">
        <v>0.48</v>
      </c>
      <c r="U40" s="61">
        <v>0.52</v>
      </c>
      <c r="V40" s="25">
        <v>53</v>
      </c>
      <c r="W40" s="25">
        <v>8</v>
      </c>
      <c r="X40" s="66">
        <v>0.03</v>
      </c>
      <c r="Y40" s="66">
        <v>0.46</v>
      </c>
      <c r="Z40" s="66">
        <v>0.51</v>
      </c>
      <c r="AA40" s="66">
        <v>0</v>
      </c>
      <c r="AB40" s="66">
        <v>0.48</v>
      </c>
      <c r="AC40" s="66">
        <v>0.55000000000000004</v>
      </c>
      <c r="AD40" s="66">
        <v>0.56000000000000005</v>
      </c>
      <c r="AE40" s="12">
        <v>53</v>
      </c>
      <c r="AF40" s="12">
        <v>7</v>
      </c>
      <c r="AG40" s="63">
        <v>0</v>
      </c>
      <c r="AH40" s="63">
        <v>0.33</v>
      </c>
      <c r="AI40" s="63">
        <v>0.56999999999999995</v>
      </c>
      <c r="AJ40" s="63">
        <v>0.1</v>
      </c>
      <c r="AK40" s="63">
        <v>0.43</v>
      </c>
      <c r="AL40" s="63">
        <v>0.36</v>
      </c>
      <c r="AM40" s="63">
        <v>0.44</v>
      </c>
      <c r="AN40" s="35">
        <v>54</v>
      </c>
      <c r="AO40" s="35">
        <v>7</v>
      </c>
      <c r="AP40" s="40">
        <v>0</v>
      </c>
      <c r="AQ40" s="40">
        <v>0.38</v>
      </c>
      <c r="AR40" s="40">
        <v>0.56999999999999995</v>
      </c>
      <c r="AS40" s="40">
        <v>0.05</v>
      </c>
      <c r="AT40" s="40">
        <v>0.47</v>
      </c>
      <c r="AU40" s="40">
        <v>0.36</v>
      </c>
      <c r="AV40" s="40">
        <v>0.43</v>
      </c>
      <c r="AW40" s="246">
        <v>55</v>
      </c>
      <c r="AX40" s="246" t="s">
        <v>758</v>
      </c>
      <c r="AY40" s="246">
        <v>9</v>
      </c>
      <c r="AZ40" s="246" t="s">
        <v>758</v>
      </c>
      <c r="BA40" s="263">
        <v>0.03</v>
      </c>
      <c r="BB40" s="263">
        <v>0.26</v>
      </c>
      <c r="BC40" s="263">
        <v>0.59</v>
      </c>
      <c r="BD40" s="263">
        <v>0.13</v>
      </c>
      <c r="BE40" s="263">
        <v>0.44</v>
      </c>
      <c r="BF40" s="263">
        <v>0.33</v>
      </c>
      <c r="BG40" s="263">
        <v>0.5</v>
      </c>
      <c r="BH40" s="309">
        <v>54</v>
      </c>
      <c r="BI40" s="309" t="s">
        <v>758</v>
      </c>
      <c r="BJ40" s="309">
        <v>9</v>
      </c>
      <c r="BK40" s="309" t="s">
        <v>758</v>
      </c>
      <c r="BL40" s="327">
        <v>0</v>
      </c>
      <c r="BM40" s="327">
        <v>0.36</v>
      </c>
      <c r="BN40" s="327">
        <v>0.57999999999999996</v>
      </c>
      <c r="BO40" s="327">
        <v>0.06</v>
      </c>
      <c r="BP40" s="327">
        <v>0.48</v>
      </c>
      <c r="BQ40" s="327">
        <v>0.31</v>
      </c>
      <c r="BR40" s="327">
        <v>0.43</v>
      </c>
      <c r="BS40" s="424">
        <v>55</v>
      </c>
      <c r="BT40" s="424" t="s">
        <v>758</v>
      </c>
      <c r="BU40" s="424">
        <v>8</v>
      </c>
      <c r="BV40" s="424" t="s">
        <v>758</v>
      </c>
      <c r="BW40" s="428">
        <v>0</v>
      </c>
      <c r="BX40" s="428">
        <v>0.28999999999999998</v>
      </c>
      <c r="BY40" s="428">
        <v>0.57999999999999996</v>
      </c>
      <c r="BZ40" s="428">
        <v>0.13</v>
      </c>
      <c r="CA40" s="428">
        <v>0.33</v>
      </c>
      <c r="CB40" s="428">
        <v>0.48</v>
      </c>
      <c r="CC40" s="428">
        <v>0.48</v>
      </c>
      <c r="CD40" s="464">
        <v>56</v>
      </c>
      <c r="CE40" s="464" t="s">
        <v>758</v>
      </c>
      <c r="CF40" s="464">
        <v>7</v>
      </c>
      <c r="CG40" s="464" t="s">
        <v>758</v>
      </c>
      <c r="CH40" s="476">
        <v>0</v>
      </c>
      <c r="CI40" s="476">
        <v>0.19</v>
      </c>
      <c r="CJ40" s="476">
        <v>0.71</v>
      </c>
      <c r="CK40" s="476">
        <v>0.1</v>
      </c>
      <c r="CL40" s="476">
        <v>0.44</v>
      </c>
      <c r="CM40" s="476">
        <v>0.43</v>
      </c>
      <c r="CN40" s="476">
        <v>0.28999999999999998</v>
      </c>
      <c r="CO40" s="902">
        <v>56</v>
      </c>
      <c r="CP40" s="902" t="s">
        <v>758</v>
      </c>
      <c r="CQ40" s="902">
        <v>9</v>
      </c>
      <c r="CR40" s="902" t="s">
        <v>758</v>
      </c>
      <c r="CS40" s="949">
        <v>0</v>
      </c>
      <c r="CT40" s="949">
        <v>0.32</v>
      </c>
      <c r="CU40" s="949">
        <v>0.57999999999999996</v>
      </c>
      <c r="CV40" s="949">
        <v>0.1</v>
      </c>
      <c r="CW40" s="949">
        <v>0.28000000000000003</v>
      </c>
      <c r="CX40" s="949">
        <v>0.44</v>
      </c>
      <c r="CY40" s="949">
        <v>0.48</v>
      </c>
      <c r="CZ40" s="26">
        <v>325754001042</v>
      </c>
      <c r="DA40" s="126" t="s">
        <v>26</v>
      </c>
    </row>
    <row r="41" spans="1:105" ht="24.95" customHeight="1" x14ac:dyDescent="0.2">
      <c r="A41" s="809" t="s">
        <v>167</v>
      </c>
      <c r="B41" s="1" t="s">
        <v>123</v>
      </c>
      <c r="C41" s="2">
        <v>4</v>
      </c>
      <c r="D41" s="12">
        <v>52</v>
      </c>
      <c r="E41" s="12">
        <v>8</v>
      </c>
      <c r="F41" s="63">
        <v>0.02</v>
      </c>
      <c r="G41" s="63">
        <v>0.35</v>
      </c>
      <c r="H41" s="63">
        <v>0.61</v>
      </c>
      <c r="I41" s="63">
        <v>0.02</v>
      </c>
      <c r="J41" s="63">
        <v>0.45</v>
      </c>
      <c r="K41" s="63">
        <v>0.51</v>
      </c>
      <c r="L41" s="63">
        <v>0.57999999999999996</v>
      </c>
      <c r="M41" s="25">
        <v>52</v>
      </c>
      <c r="N41" s="25">
        <v>8</v>
      </c>
      <c r="O41" s="61"/>
      <c r="P41" s="61"/>
      <c r="Q41" s="61"/>
      <c r="R41" s="61"/>
      <c r="S41" s="61"/>
      <c r="T41" s="61"/>
      <c r="U41" s="61"/>
      <c r="V41" s="25">
        <v>50</v>
      </c>
      <c r="W41" s="25">
        <v>8</v>
      </c>
      <c r="X41" s="66">
        <v>0</v>
      </c>
      <c r="Y41" s="66">
        <v>0.33</v>
      </c>
      <c r="Z41" s="66">
        <v>0.61</v>
      </c>
      <c r="AA41" s="66">
        <v>0.06</v>
      </c>
      <c r="AB41" s="66">
        <v>0.4</v>
      </c>
      <c r="AC41" s="66">
        <v>0.5</v>
      </c>
      <c r="AD41" s="66">
        <v>0.52</v>
      </c>
      <c r="AE41" s="12">
        <v>53</v>
      </c>
      <c r="AF41" s="12">
        <v>8</v>
      </c>
      <c r="AG41" s="63">
        <v>0</v>
      </c>
      <c r="AH41" s="63">
        <v>0.47</v>
      </c>
      <c r="AI41" s="63">
        <v>0.53</v>
      </c>
      <c r="AJ41" s="63">
        <v>0</v>
      </c>
      <c r="AK41" s="63">
        <v>0.47</v>
      </c>
      <c r="AL41" s="63">
        <v>0.43</v>
      </c>
      <c r="AM41" s="63">
        <v>0.48</v>
      </c>
      <c r="AN41" s="35">
        <v>50</v>
      </c>
      <c r="AO41" s="35">
        <v>8</v>
      </c>
      <c r="AP41" s="40">
        <v>0.03</v>
      </c>
      <c r="AQ41" s="40">
        <v>0.5</v>
      </c>
      <c r="AR41" s="40">
        <v>0.48</v>
      </c>
      <c r="AS41" s="40">
        <v>0</v>
      </c>
      <c r="AT41" s="40">
        <v>0.5</v>
      </c>
      <c r="AU41" s="40">
        <v>0.43</v>
      </c>
      <c r="AV41" s="40">
        <v>0.51</v>
      </c>
      <c r="AW41" s="246">
        <v>52</v>
      </c>
      <c r="AX41" s="246" t="s">
        <v>758</v>
      </c>
      <c r="AY41" s="246">
        <v>9</v>
      </c>
      <c r="AZ41" s="246" t="s">
        <v>758</v>
      </c>
      <c r="BA41" s="263">
        <v>0</v>
      </c>
      <c r="BB41" s="263">
        <v>0.51</v>
      </c>
      <c r="BC41" s="263">
        <v>0.41</v>
      </c>
      <c r="BD41" s="263">
        <v>7.0000000000000007E-2</v>
      </c>
      <c r="BE41" s="263">
        <v>0.47</v>
      </c>
      <c r="BF41" s="263">
        <v>0.37</v>
      </c>
      <c r="BG41" s="263">
        <v>0.59</v>
      </c>
      <c r="BH41" s="309">
        <v>53</v>
      </c>
      <c r="BI41" s="309" t="s">
        <v>758</v>
      </c>
      <c r="BJ41" s="309">
        <v>7</v>
      </c>
      <c r="BK41" s="309" t="s">
        <v>758</v>
      </c>
      <c r="BL41" s="327">
        <v>0.02</v>
      </c>
      <c r="BM41" s="327">
        <v>0.33</v>
      </c>
      <c r="BN41" s="327">
        <v>0.59</v>
      </c>
      <c r="BO41" s="327">
        <v>7.0000000000000007E-2</v>
      </c>
      <c r="BP41" s="327">
        <v>0.5</v>
      </c>
      <c r="BQ41" s="327">
        <v>0.32</v>
      </c>
      <c r="BR41" s="327">
        <v>0.5</v>
      </c>
      <c r="BS41" s="424">
        <v>53</v>
      </c>
      <c r="BT41" s="424" t="s">
        <v>758</v>
      </c>
      <c r="BU41" s="424">
        <v>8</v>
      </c>
      <c r="BV41" s="424" t="s">
        <v>758</v>
      </c>
      <c r="BW41" s="428">
        <v>0</v>
      </c>
      <c r="BX41" s="428">
        <v>0.41</v>
      </c>
      <c r="BY41" s="428">
        <v>0.51</v>
      </c>
      <c r="BZ41" s="428">
        <v>0.08</v>
      </c>
      <c r="CA41" s="428">
        <v>0.42</v>
      </c>
      <c r="CB41" s="428">
        <v>0.46</v>
      </c>
      <c r="CC41" s="428">
        <v>0.49</v>
      </c>
      <c r="CD41" s="464">
        <v>53</v>
      </c>
      <c r="CE41" s="464" t="s">
        <v>758</v>
      </c>
      <c r="CF41" s="464">
        <v>7</v>
      </c>
      <c r="CG41" s="464" t="s">
        <v>758</v>
      </c>
      <c r="CH41" s="476">
        <v>0</v>
      </c>
      <c r="CI41" s="476">
        <v>0.35</v>
      </c>
      <c r="CJ41" s="476">
        <v>0.62</v>
      </c>
      <c r="CK41" s="476">
        <v>0.04</v>
      </c>
      <c r="CL41" s="476">
        <v>0.47</v>
      </c>
      <c r="CM41" s="476">
        <v>0.46</v>
      </c>
      <c r="CN41" s="476">
        <v>0.38</v>
      </c>
      <c r="CO41" s="902">
        <v>59</v>
      </c>
      <c r="CP41" s="902" t="s">
        <v>758</v>
      </c>
      <c r="CQ41" s="902">
        <v>9</v>
      </c>
      <c r="CR41" s="902" t="s">
        <v>758</v>
      </c>
      <c r="CS41" s="949">
        <v>0</v>
      </c>
      <c r="CT41" s="949">
        <v>0.19</v>
      </c>
      <c r="CU41" s="949">
        <v>0.5</v>
      </c>
      <c r="CV41" s="949">
        <v>0.31</v>
      </c>
      <c r="CW41" s="949">
        <v>0.31</v>
      </c>
      <c r="CX41" s="949">
        <v>0.37</v>
      </c>
      <c r="CY41" s="949">
        <v>0.42</v>
      </c>
      <c r="CZ41" s="26">
        <v>325754003428</v>
      </c>
      <c r="DA41" s="809" t="s">
        <v>167</v>
      </c>
    </row>
    <row r="42" spans="1:105" ht="24.95" customHeight="1" x14ac:dyDescent="0.2">
      <c r="A42" s="811" t="s">
        <v>181</v>
      </c>
      <c r="B42" s="1" t="s">
        <v>123</v>
      </c>
      <c r="C42" s="464">
        <v>5</v>
      </c>
      <c r="D42" s="524"/>
      <c r="E42" s="524"/>
      <c r="F42" s="524"/>
      <c r="G42" s="524"/>
      <c r="H42" s="524"/>
      <c r="I42" s="524"/>
      <c r="J42" s="524"/>
      <c r="K42" s="524"/>
      <c r="L42" s="524"/>
      <c r="M42" s="524" t="s">
        <v>126</v>
      </c>
      <c r="N42" s="524" t="s">
        <v>126</v>
      </c>
      <c r="O42" s="656">
        <v>0.03</v>
      </c>
      <c r="P42" s="656">
        <v>0.33</v>
      </c>
      <c r="Q42" s="656">
        <v>0.55000000000000004</v>
      </c>
      <c r="R42" s="656">
        <v>0.08</v>
      </c>
      <c r="S42" s="656">
        <v>0.43</v>
      </c>
      <c r="T42" s="656">
        <v>0.47</v>
      </c>
      <c r="U42" s="656">
        <v>0.49</v>
      </c>
      <c r="V42" s="608">
        <v>53</v>
      </c>
      <c r="W42" s="608">
        <v>9</v>
      </c>
      <c r="X42" s="525">
        <v>0</v>
      </c>
      <c r="Y42" s="525">
        <v>0.37</v>
      </c>
      <c r="Z42" s="525">
        <v>0.59</v>
      </c>
      <c r="AA42" s="525">
        <v>0.04</v>
      </c>
      <c r="AB42" s="525">
        <v>0.45</v>
      </c>
      <c r="AC42" s="525">
        <v>0.47</v>
      </c>
      <c r="AD42" s="525">
        <v>0.54</v>
      </c>
      <c r="AE42" s="524">
        <v>51</v>
      </c>
      <c r="AF42" s="524">
        <v>7</v>
      </c>
      <c r="AG42" s="476">
        <v>0.02</v>
      </c>
      <c r="AH42" s="476">
        <v>0.33</v>
      </c>
      <c r="AI42" s="476">
        <v>0.6</v>
      </c>
      <c r="AJ42" s="476">
        <v>0.04</v>
      </c>
      <c r="AK42" s="476">
        <v>0.44</v>
      </c>
      <c r="AL42" s="476">
        <v>0.39</v>
      </c>
      <c r="AM42" s="476">
        <v>0.44</v>
      </c>
      <c r="AN42" s="638">
        <v>51</v>
      </c>
      <c r="AO42" s="638">
        <v>10</v>
      </c>
      <c r="AP42" s="637">
        <v>0</v>
      </c>
      <c r="AQ42" s="637">
        <v>0.59</v>
      </c>
      <c r="AR42" s="637">
        <v>0.32</v>
      </c>
      <c r="AS42" s="637">
        <v>0.09</v>
      </c>
      <c r="AT42" s="637">
        <v>0.5</v>
      </c>
      <c r="AU42" s="637">
        <v>0.45</v>
      </c>
      <c r="AV42" s="637">
        <v>0.46</v>
      </c>
      <c r="AW42" s="639">
        <v>55</v>
      </c>
      <c r="AX42" s="639" t="s">
        <v>758</v>
      </c>
      <c r="AY42" s="639">
        <v>9</v>
      </c>
      <c r="AZ42" s="639" t="s">
        <v>758</v>
      </c>
      <c r="BA42" s="640">
        <v>0</v>
      </c>
      <c r="BB42" s="640">
        <v>0.23</v>
      </c>
      <c r="BC42" s="640">
        <v>0.65</v>
      </c>
      <c r="BD42" s="640">
        <v>0.12</v>
      </c>
      <c r="BE42" s="640">
        <v>0.44</v>
      </c>
      <c r="BF42" s="640">
        <v>0.33</v>
      </c>
      <c r="BG42" s="640">
        <v>0.5</v>
      </c>
      <c r="BH42" s="464">
        <v>56</v>
      </c>
      <c r="BI42" s="464" t="s">
        <v>758</v>
      </c>
      <c r="BJ42" s="464">
        <v>9</v>
      </c>
      <c r="BK42" s="464" t="s">
        <v>758</v>
      </c>
      <c r="BL42" s="476">
        <v>0</v>
      </c>
      <c r="BM42" s="476">
        <v>0.23</v>
      </c>
      <c r="BN42" s="476">
        <v>0.69</v>
      </c>
      <c r="BO42" s="476">
        <v>0.08</v>
      </c>
      <c r="BP42" s="476">
        <v>0.46</v>
      </c>
      <c r="BQ42" s="476">
        <v>0.31</v>
      </c>
      <c r="BR42" s="476">
        <v>0.41</v>
      </c>
      <c r="BS42" s="641">
        <v>55</v>
      </c>
      <c r="BT42" s="641" t="s">
        <v>758</v>
      </c>
      <c r="BU42" s="641">
        <v>8</v>
      </c>
      <c r="BV42" s="641" t="s">
        <v>758</v>
      </c>
      <c r="BW42" s="642">
        <v>0</v>
      </c>
      <c r="BX42" s="642">
        <v>0.23</v>
      </c>
      <c r="BY42" s="642">
        <v>0.77</v>
      </c>
      <c r="BZ42" s="642">
        <v>0</v>
      </c>
      <c r="CA42" s="642">
        <v>0.32</v>
      </c>
      <c r="CB42" s="642">
        <v>0.44</v>
      </c>
      <c r="CC42" s="642">
        <v>0.5</v>
      </c>
      <c r="CD42" s="464">
        <v>55</v>
      </c>
      <c r="CE42" s="464" t="s">
        <v>758</v>
      </c>
      <c r="CF42" s="464">
        <v>6</v>
      </c>
      <c r="CG42" s="464" t="s">
        <v>758</v>
      </c>
      <c r="CH42" s="476">
        <v>0</v>
      </c>
      <c r="CI42" s="476">
        <v>0.2</v>
      </c>
      <c r="CJ42" s="476">
        <v>0.76</v>
      </c>
      <c r="CK42" s="476">
        <v>0.04</v>
      </c>
      <c r="CL42" s="476">
        <v>0.42</v>
      </c>
      <c r="CM42" s="476">
        <v>0.45</v>
      </c>
      <c r="CN42" s="476">
        <v>0.37</v>
      </c>
      <c r="CO42" s="902">
        <v>59</v>
      </c>
      <c r="CP42" s="902" t="s">
        <v>758</v>
      </c>
      <c r="CQ42" s="902">
        <v>10</v>
      </c>
      <c r="CR42" s="902" t="s">
        <v>758</v>
      </c>
      <c r="CS42" s="949">
        <v>0</v>
      </c>
      <c r="CT42" s="949">
        <v>0.24</v>
      </c>
      <c r="CU42" s="949">
        <v>0.52</v>
      </c>
      <c r="CV42" s="949">
        <v>0.24</v>
      </c>
      <c r="CW42" s="949">
        <v>0.25</v>
      </c>
      <c r="CX42" s="949">
        <v>0.42</v>
      </c>
      <c r="CY42" s="949">
        <v>0.43</v>
      </c>
      <c r="CZ42" s="26">
        <v>325754002057</v>
      </c>
      <c r="DA42" s="811" t="s">
        <v>181</v>
      </c>
    </row>
    <row r="43" spans="1:105" ht="24.95" customHeight="1" x14ac:dyDescent="0.2">
      <c r="A43" s="810" t="s">
        <v>163</v>
      </c>
      <c r="B43" s="14" t="s">
        <v>123</v>
      </c>
      <c r="C43" s="464">
        <v>6</v>
      </c>
      <c r="D43" s="524"/>
      <c r="E43" s="524"/>
      <c r="F43" s="524"/>
      <c r="G43" s="524"/>
      <c r="H43" s="524"/>
      <c r="I43" s="524"/>
      <c r="J43" s="524"/>
      <c r="K43" s="524"/>
      <c r="L43" s="524"/>
      <c r="M43" s="608"/>
      <c r="N43" s="608"/>
      <c r="O43" s="656"/>
      <c r="P43" s="656"/>
      <c r="Q43" s="656"/>
      <c r="R43" s="656"/>
      <c r="S43" s="656"/>
      <c r="T43" s="656"/>
      <c r="U43" s="656"/>
      <c r="V43" s="608"/>
      <c r="W43" s="608"/>
      <c r="X43" s="524"/>
      <c r="Y43" s="524"/>
      <c r="Z43" s="524"/>
      <c r="AA43" s="524"/>
      <c r="AB43" s="524"/>
      <c r="AC43" s="524"/>
      <c r="AD43" s="524"/>
      <c r="AE43" s="524"/>
      <c r="AF43" s="524"/>
      <c r="AG43" s="464"/>
      <c r="AH43" s="464"/>
      <c r="AI43" s="464"/>
      <c r="AJ43" s="464"/>
      <c r="AK43" s="464"/>
      <c r="AL43" s="464"/>
      <c r="AM43" s="464"/>
      <c r="AN43" s="638">
        <v>56</v>
      </c>
      <c r="AO43" s="638">
        <v>1</v>
      </c>
      <c r="AP43" s="637">
        <v>0</v>
      </c>
      <c r="AQ43" s="637">
        <v>0</v>
      </c>
      <c r="AR43" s="637">
        <v>1</v>
      </c>
      <c r="AS43" s="637">
        <v>0</v>
      </c>
      <c r="AT43" s="637">
        <v>0.55000000000000004</v>
      </c>
      <c r="AU43" s="637">
        <v>0.28999999999999998</v>
      </c>
      <c r="AV43" s="637">
        <v>0.33</v>
      </c>
      <c r="AW43" s="639">
        <v>47</v>
      </c>
      <c r="AX43" s="639" t="s">
        <v>760</v>
      </c>
      <c r="AY43" s="639">
        <v>0</v>
      </c>
      <c r="AZ43" s="639" t="s">
        <v>760</v>
      </c>
      <c r="BA43" s="640">
        <v>0</v>
      </c>
      <c r="BB43" s="640">
        <v>1</v>
      </c>
      <c r="BC43" s="640">
        <v>0</v>
      </c>
      <c r="BD43" s="640">
        <v>0</v>
      </c>
      <c r="BE43" s="640">
        <v>0.6</v>
      </c>
      <c r="BF43" s="640">
        <v>0.25</v>
      </c>
      <c r="BG43" s="640">
        <v>0.77</v>
      </c>
      <c r="BH43" s="464">
        <v>57</v>
      </c>
      <c r="BI43" s="464" t="s">
        <v>758</v>
      </c>
      <c r="BJ43" s="464">
        <v>8</v>
      </c>
      <c r="BK43" s="464" t="s">
        <v>758</v>
      </c>
      <c r="BL43" s="476">
        <v>0</v>
      </c>
      <c r="BM43" s="476">
        <v>0.33</v>
      </c>
      <c r="BN43" s="476">
        <v>0.67</v>
      </c>
      <c r="BO43" s="476">
        <v>0</v>
      </c>
      <c r="BP43" s="476">
        <v>0.48</v>
      </c>
      <c r="BQ43" s="476">
        <v>0.31</v>
      </c>
      <c r="BR43" s="476">
        <v>0.35</v>
      </c>
      <c r="BS43" s="641">
        <v>56</v>
      </c>
      <c r="BT43" s="641" t="s">
        <v>758</v>
      </c>
      <c r="BU43" s="641">
        <v>5</v>
      </c>
      <c r="BV43" s="641" t="s">
        <v>760</v>
      </c>
      <c r="BW43" s="642">
        <v>0</v>
      </c>
      <c r="BX43" s="642">
        <v>0.08</v>
      </c>
      <c r="BY43" s="642">
        <v>0.92</v>
      </c>
      <c r="BZ43" s="642">
        <v>0</v>
      </c>
      <c r="CA43" s="642">
        <v>0.34</v>
      </c>
      <c r="CB43" s="642">
        <v>0.49</v>
      </c>
      <c r="CC43" s="642">
        <v>0.47</v>
      </c>
      <c r="CD43" s="464">
        <v>60</v>
      </c>
      <c r="CE43" s="464" t="s">
        <v>758</v>
      </c>
      <c r="CF43" s="464">
        <v>8</v>
      </c>
      <c r="CG43" s="464" t="s">
        <v>758</v>
      </c>
      <c r="CH43" s="476">
        <v>0</v>
      </c>
      <c r="CI43" s="476">
        <v>0.13</v>
      </c>
      <c r="CJ43" s="476">
        <v>0.63</v>
      </c>
      <c r="CK43" s="476">
        <v>0.25</v>
      </c>
      <c r="CL43" s="476">
        <v>0.43</v>
      </c>
      <c r="CM43" s="476">
        <v>0.36</v>
      </c>
      <c r="CN43" s="476">
        <v>0.19</v>
      </c>
      <c r="CO43" s="902">
        <v>56</v>
      </c>
      <c r="CP43" s="902" t="s">
        <v>758</v>
      </c>
      <c r="CQ43" s="902">
        <v>10</v>
      </c>
      <c r="CR43" s="902" t="s">
        <v>758</v>
      </c>
      <c r="CS43" s="949">
        <v>0</v>
      </c>
      <c r="CT43" s="949">
        <v>0.36</v>
      </c>
      <c r="CU43" s="949">
        <v>0.45</v>
      </c>
      <c r="CV43" s="949">
        <v>0.18</v>
      </c>
      <c r="CW43" s="949">
        <v>0.27</v>
      </c>
      <c r="CX43" s="949">
        <v>0.42</v>
      </c>
      <c r="CY43" s="949">
        <v>0.54</v>
      </c>
      <c r="CZ43" s="26">
        <v>325754004599</v>
      </c>
      <c r="DA43" s="810" t="s">
        <v>163</v>
      </c>
    </row>
    <row r="44" spans="1:105" ht="24.95" customHeight="1" x14ac:dyDescent="0.2">
      <c r="A44" s="803" t="s">
        <v>104</v>
      </c>
      <c r="B44" s="1" t="s">
        <v>123</v>
      </c>
      <c r="C44" s="2">
        <v>2</v>
      </c>
      <c r="D44" s="12">
        <v>62</v>
      </c>
      <c r="E44" s="12">
        <v>0</v>
      </c>
      <c r="F44" s="63">
        <v>0</v>
      </c>
      <c r="G44" s="63">
        <v>0</v>
      </c>
      <c r="H44" s="63">
        <v>1</v>
      </c>
      <c r="I44" s="63">
        <v>0</v>
      </c>
      <c r="J44" s="63">
        <v>0.33</v>
      </c>
      <c r="K44" s="63">
        <v>0.42</v>
      </c>
      <c r="L44" s="63">
        <v>0.23</v>
      </c>
      <c r="M44" s="12" t="s">
        <v>126</v>
      </c>
      <c r="N44" s="12" t="s">
        <v>126</v>
      </c>
      <c r="O44" s="61"/>
      <c r="P44" s="61"/>
      <c r="Q44" s="61"/>
      <c r="R44" s="61"/>
      <c r="S44" s="61"/>
      <c r="T44" s="61"/>
      <c r="U44" s="61"/>
      <c r="V44" s="12" t="s">
        <v>126</v>
      </c>
      <c r="W44" s="12" t="s">
        <v>126</v>
      </c>
      <c r="X44" s="12"/>
      <c r="Y44" s="12"/>
      <c r="Z44" s="12"/>
      <c r="AA44" s="12"/>
      <c r="AB44" s="12"/>
      <c r="AC44" s="12"/>
      <c r="AD44" s="12"/>
      <c r="AE44" s="12" t="s">
        <v>126</v>
      </c>
      <c r="AF44" s="12" t="s">
        <v>126</v>
      </c>
      <c r="AG44" s="2"/>
      <c r="AH44" s="2"/>
      <c r="AI44" s="2"/>
      <c r="AJ44" s="2"/>
      <c r="AK44" s="2"/>
      <c r="AL44" s="2"/>
      <c r="AM44" s="2"/>
      <c r="AN44" s="35">
        <v>42</v>
      </c>
      <c r="AO44" s="35">
        <v>0</v>
      </c>
      <c r="AP44" s="40">
        <v>0</v>
      </c>
      <c r="AQ44" s="40">
        <v>1</v>
      </c>
      <c r="AR44" s="40">
        <v>0</v>
      </c>
      <c r="AS44" s="40">
        <v>0</v>
      </c>
      <c r="AT44" s="40">
        <v>0.75</v>
      </c>
      <c r="AU44" s="40">
        <v>0.63</v>
      </c>
      <c r="AV44" s="40">
        <v>0.56999999999999995</v>
      </c>
      <c r="AW44" s="250"/>
      <c r="AX44" s="250"/>
      <c r="AY44" s="646"/>
      <c r="AZ44" s="646"/>
      <c r="BA44" s="646"/>
      <c r="BB44" s="646"/>
      <c r="BC44" s="646"/>
      <c r="BD44" s="646"/>
      <c r="BE44" s="646"/>
      <c r="BF44" s="646"/>
      <c r="BG44" s="646"/>
      <c r="BH44" s="649"/>
      <c r="BI44" s="649"/>
      <c r="BJ44" s="649"/>
      <c r="BK44" s="649"/>
      <c r="BL44" s="649"/>
      <c r="BM44" s="649"/>
      <c r="BN44" s="649"/>
      <c r="BO44" s="649"/>
      <c r="BP44" s="649"/>
      <c r="BQ44" s="649"/>
      <c r="BR44" s="649"/>
      <c r="BS44" s="651"/>
      <c r="BT44" s="651"/>
      <c r="BU44" s="651"/>
      <c r="BV44" s="651"/>
      <c r="BW44" s="651"/>
      <c r="BX44" s="651"/>
      <c r="BY44" s="651"/>
      <c r="BZ44" s="651"/>
      <c r="CA44" s="651"/>
      <c r="CB44" s="651"/>
      <c r="CC44" s="651"/>
      <c r="CD44" s="650"/>
      <c r="CE44" s="650"/>
      <c r="CF44" s="650"/>
      <c r="CG44" s="650"/>
      <c r="CH44" s="650"/>
      <c r="CI44" s="650"/>
      <c r="CJ44" s="650"/>
      <c r="CK44" s="650"/>
      <c r="CL44" s="650"/>
      <c r="CM44" s="650"/>
      <c r="CN44" s="650"/>
      <c r="CO44" s="902">
        <v>47</v>
      </c>
      <c r="CP44" s="902" t="s">
        <v>760</v>
      </c>
      <c r="CQ44" s="902">
        <v>5</v>
      </c>
      <c r="CR44" s="902" t="s">
        <v>760</v>
      </c>
      <c r="CS44" s="949">
        <v>0</v>
      </c>
      <c r="CT44" s="949">
        <v>0.8</v>
      </c>
      <c r="CU44" s="949">
        <v>0.2</v>
      </c>
      <c r="CV44" s="949">
        <v>0</v>
      </c>
      <c r="CW44" s="949">
        <v>0.51</v>
      </c>
      <c r="CX44" s="949">
        <v>0.55000000000000004</v>
      </c>
      <c r="CY44" s="949">
        <v>0.63</v>
      </c>
      <c r="CZ44" s="26">
        <v>325754004980</v>
      </c>
      <c r="DA44" s="803" t="s">
        <v>104</v>
      </c>
    </row>
    <row r="45" spans="1:105" ht="24.95" customHeight="1" x14ac:dyDescent="0.2">
      <c r="A45" s="803" t="s">
        <v>797</v>
      </c>
      <c r="B45" s="14" t="s">
        <v>123</v>
      </c>
      <c r="C45" s="2">
        <v>2</v>
      </c>
      <c r="D45" s="12"/>
      <c r="E45" s="12"/>
      <c r="F45" s="63"/>
      <c r="G45" s="63"/>
      <c r="H45" s="63"/>
      <c r="I45" s="63"/>
      <c r="J45" s="63"/>
      <c r="K45" s="63"/>
      <c r="L45" s="63"/>
      <c r="M45" s="12"/>
      <c r="N45" s="12"/>
      <c r="O45" s="61"/>
      <c r="P45" s="61"/>
      <c r="Q45" s="61"/>
      <c r="R45" s="61"/>
      <c r="S45" s="61"/>
      <c r="T45" s="61"/>
      <c r="U45" s="61"/>
      <c r="V45" s="12"/>
      <c r="W45" s="12"/>
      <c r="X45" s="12"/>
      <c r="Y45" s="12"/>
      <c r="Z45" s="12"/>
      <c r="AA45" s="12"/>
      <c r="AB45" s="12"/>
      <c r="AC45" s="12"/>
      <c r="AD45" s="12"/>
      <c r="AE45" s="12"/>
      <c r="AF45" s="12"/>
      <c r="AG45" s="2"/>
      <c r="AH45" s="2"/>
      <c r="AI45" s="2"/>
      <c r="AJ45" s="2"/>
      <c r="AK45" s="2"/>
      <c r="AL45" s="2"/>
      <c r="AM45" s="2"/>
      <c r="AN45" s="35"/>
      <c r="AO45" s="35"/>
      <c r="AP45" s="40"/>
      <c r="AQ45" s="40"/>
      <c r="AR45" s="40"/>
      <c r="AS45" s="40"/>
      <c r="AT45" s="40"/>
      <c r="AU45" s="40"/>
      <c r="AV45" s="40"/>
      <c r="AW45" s="250"/>
      <c r="AX45" s="250"/>
      <c r="AY45" s="646"/>
      <c r="AZ45" s="646"/>
      <c r="BA45" s="646"/>
      <c r="BB45" s="646"/>
      <c r="BC45" s="646"/>
      <c r="BD45" s="646"/>
      <c r="BE45" s="646"/>
      <c r="BF45" s="646"/>
      <c r="BG45" s="646"/>
      <c r="BH45" s="309">
        <v>67</v>
      </c>
      <c r="BI45" s="309" t="s">
        <v>759</v>
      </c>
      <c r="BJ45" s="309">
        <v>3</v>
      </c>
      <c r="BK45" s="309" t="s">
        <v>760</v>
      </c>
      <c r="BL45" s="327">
        <v>0</v>
      </c>
      <c r="BM45" s="327">
        <v>0</v>
      </c>
      <c r="BN45" s="327">
        <v>0.33</v>
      </c>
      <c r="BO45" s="327">
        <v>0.67</v>
      </c>
      <c r="BP45" s="327">
        <v>0.28000000000000003</v>
      </c>
      <c r="BQ45" s="327">
        <v>0.15</v>
      </c>
      <c r="BR45" s="327">
        <v>0.18</v>
      </c>
      <c r="BS45" s="424">
        <v>56</v>
      </c>
      <c r="BT45" s="424" t="s">
        <v>758</v>
      </c>
      <c r="BU45" s="424">
        <v>9</v>
      </c>
      <c r="BV45" s="424" t="s">
        <v>758</v>
      </c>
      <c r="BW45" s="428">
        <v>0</v>
      </c>
      <c r="BX45" s="428">
        <v>0.43</v>
      </c>
      <c r="BY45" s="428">
        <v>0.43</v>
      </c>
      <c r="BZ45" s="428">
        <v>0.14000000000000001</v>
      </c>
      <c r="CA45" s="428">
        <v>0.41</v>
      </c>
      <c r="CB45" s="428">
        <v>0.43</v>
      </c>
      <c r="CC45" s="428">
        <v>0.46</v>
      </c>
      <c r="CD45" s="641"/>
      <c r="CE45" s="641"/>
      <c r="CF45" s="641"/>
      <c r="CG45" s="641"/>
      <c r="CH45" s="642"/>
      <c r="CI45" s="642"/>
      <c r="CJ45" s="642"/>
      <c r="CK45" s="642"/>
      <c r="CL45" s="642"/>
      <c r="CM45" s="642"/>
      <c r="CN45" s="642"/>
      <c r="CO45" s="902">
        <v>61</v>
      </c>
      <c r="CP45" s="902" t="s">
        <v>758</v>
      </c>
      <c r="CQ45" s="902">
        <v>7</v>
      </c>
      <c r="CR45" s="902" t="s">
        <v>758</v>
      </c>
      <c r="CS45" s="949">
        <v>0</v>
      </c>
      <c r="CT45" s="949">
        <v>0</v>
      </c>
      <c r="CU45" s="949">
        <v>0.78</v>
      </c>
      <c r="CV45" s="949">
        <v>0.22</v>
      </c>
      <c r="CW45" s="949">
        <v>0.28000000000000003</v>
      </c>
      <c r="CX45" s="949">
        <v>0.28000000000000003</v>
      </c>
      <c r="CY45" s="949">
        <v>0.39</v>
      </c>
      <c r="CZ45" s="26">
        <v>325754005561</v>
      </c>
      <c r="DA45" s="803" t="s">
        <v>797</v>
      </c>
    </row>
    <row r="46" spans="1:105" ht="24.95" customHeight="1" x14ac:dyDescent="0.2">
      <c r="A46" s="803" t="s">
        <v>40</v>
      </c>
      <c r="B46" s="1" t="s">
        <v>123</v>
      </c>
      <c r="C46" s="2">
        <v>4</v>
      </c>
      <c r="D46" s="12">
        <v>52</v>
      </c>
      <c r="E46" s="12">
        <v>10</v>
      </c>
      <c r="F46" s="63">
        <v>0</v>
      </c>
      <c r="G46" s="63">
        <v>0.4</v>
      </c>
      <c r="H46" s="63">
        <v>0.6</v>
      </c>
      <c r="I46" s="63">
        <v>0</v>
      </c>
      <c r="J46" s="63">
        <v>0.42</v>
      </c>
      <c r="K46" s="63">
        <v>0.53</v>
      </c>
      <c r="L46" s="63">
        <v>0.53</v>
      </c>
      <c r="M46" s="12">
        <v>60</v>
      </c>
      <c r="N46" s="12">
        <v>7</v>
      </c>
      <c r="O46" s="61">
        <v>0</v>
      </c>
      <c r="P46" s="61">
        <v>0</v>
      </c>
      <c r="Q46" s="61">
        <v>0.6</v>
      </c>
      <c r="R46" s="61">
        <v>0.4</v>
      </c>
      <c r="S46" s="61">
        <v>0.3</v>
      </c>
      <c r="T46" s="61">
        <v>0.32</v>
      </c>
      <c r="U46" s="61">
        <v>0.4</v>
      </c>
      <c r="V46" s="12">
        <v>57</v>
      </c>
      <c r="W46" s="12">
        <v>9</v>
      </c>
      <c r="X46" s="66">
        <v>0</v>
      </c>
      <c r="Y46" s="66">
        <v>0.27</v>
      </c>
      <c r="Z46" s="66">
        <v>0.55000000000000004</v>
      </c>
      <c r="AA46" s="66">
        <v>0.18</v>
      </c>
      <c r="AB46" s="66">
        <v>0.35</v>
      </c>
      <c r="AC46" s="66">
        <v>0.41</v>
      </c>
      <c r="AD46" s="66">
        <v>0.54</v>
      </c>
      <c r="AE46" s="12">
        <v>61</v>
      </c>
      <c r="AF46" s="12">
        <v>9</v>
      </c>
      <c r="AG46" s="63">
        <v>0</v>
      </c>
      <c r="AH46" s="63">
        <v>0.1</v>
      </c>
      <c r="AI46" s="63">
        <v>0.5</v>
      </c>
      <c r="AJ46" s="63">
        <v>0.4</v>
      </c>
      <c r="AK46" s="63">
        <v>0.27</v>
      </c>
      <c r="AL46" s="63">
        <v>0.3</v>
      </c>
      <c r="AM46" s="63">
        <v>0.32</v>
      </c>
      <c r="AN46" s="35">
        <v>51</v>
      </c>
      <c r="AO46" s="35">
        <v>7</v>
      </c>
      <c r="AP46" s="40">
        <v>0.08</v>
      </c>
      <c r="AQ46" s="40">
        <v>0.23</v>
      </c>
      <c r="AR46" s="40">
        <v>0.69</v>
      </c>
      <c r="AS46" s="40">
        <v>0</v>
      </c>
      <c r="AT46" s="40">
        <v>0.55000000000000004</v>
      </c>
      <c r="AU46" s="40">
        <v>0.43</v>
      </c>
      <c r="AV46" s="40">
        <v>0.42</v>
      </c>
      <c r="AW46" s="657">
        <v>56</v>
      </c>
      <c r="AX46" s="647" t="s">
        <v>758</v>
      </c>
      <c r="AY46" s="647">
        <v>10</v>
      </c>
      <c r="AZ46" s="647" t="s">
        <v>758</v>
      </c>
      <c r="BA46" s="648">
        <v>0</v>
      </c>
      <c r="BB46" s="648">
        <v>0.38</v>
      </c>
      <c r="BC46" s="648">
        <v>0.52</v>
      </c>
      <c r="BD46" s="648">
        <v>0.1</v>
      </c>
      <c r="BE46" s="648">
        <v>0.43</v>
      </c>
      <c r="BF46" s="648">
        <v>0.28999999999999998</v>
      </c>
      <c r="BG46" s="648">
        <v>0.46</v>
      </c>
      <c r="BH46" s="74">
        <v>53</v>
      </c>
      <c r="BI46" s="74" t="s">
        <v>758</v>
      </c>
      <c r="BJ46" s="74">
        <v>9</v>
      </c>
      <c r="BK46" s="74" t="s">
        <v>758</v>
      </c>
      <c r="BL46" s="96">
        <v>0.08</v>
      </c>
      <c r="BM46" s="96">
        <v>0.24</v>
      </c>
      <c r="BN46" s="96">
        <v>0.56000000000000005</v>
      </c>
      <c r="BO46" s="96">
        <v>0.12</v>
      </c>
      <c r="BP46" s="96">
        <v>0.48</v>
      </c>
      <c r="BQ46" s="96">
        <v>0.34</v>
      </c>
      <c r="BR46" s="96">
        <v>0.46</v>
      </c>
      <c r="BS46" s="652">
        <v>52</v>
      </c>
      <c r="BT46" s="652" t="s">
        <v>758</v>
      </c>
      <c r="BU46" s="652">
        <v>9</v>
      </c>
      <c r="BV46" s="652" t="s">
        <v>758</v>
      </c>
      <c r="BW46" s="653">
        <v>0</v>
      </c>
      <c r="BX46" s="653">
        <v>0.39</v>
      </c>
      <c r="BY46" s="653">
        <v>0.56000000000000005</v>
      </c>
      <c r="BZ46" s="653">
        <v>0.06</v>
      </c>
      <c r="CA46" s="653">
        <v>0.38</v>
      </c>
      <c r="CB46" s="653">
        <v>0.52</v>
      </c>
      <c r="CC46" s="653">
        <v>0.54</v>
      </c>
      <c r="CD46" s="74">
        <v>50</v>
      </c>
      <c r="CE46" s="74" t="s">
        <v>758</v>
      </c>
      <c r="CF46" s="74">
        <v>8</v>
      </c>
      <c r="CG46" s="74" t="s">
        <v>758</v>
      </c>
      <c r="CH46" s="96">
        <v>0</v>
      </c>
      <c r="CI46" s="96">
        <v>0.55000000000000004</v>
      </c>
      <c r="CJ46" s="96">
        <v>0.42</v>
      </c>
      <c r="CK46" s="96">
        <v>0.03</v>
      </c>
      <c r="CL46" s="96">
        <v>0.51</v>
      </c>
      <c r="CM46" s="96">
        <v>0.51</v>
      </c>
      <c r="CN46" s="96">
        <v>0.38</v>
      </c>
      <c r="CO46" s="902">
        <v>53</v>
      </c>
      <c r="CP46" s="902" t="s">
        <v>758</v>
      </c>
      <c r="CQ46" s="902">
        <v>12</v>
      </c>
      <c r="CR46" s="902" t="s">
        <v>758</v>
      </c>
      <c r="CS46" s="949">
        <v>0.11</v>
      </c>
      <c r="CT46" s="949">
        <v>0.32</v>
      </c>
      <c r="CU46" s="949">
        <v>0.46</v>
      </c>
      <c r="CV46" s="949">
        <v>0.11</v>
      </c>
      <c r="CW46" s="949">
        <v>0.37</v>
      </c>
      <c r="CX46" s="949">
        <v>0.46</v>
      </c>
      <c r="CY46" s="949">
        <v>0.56000000000000005</v>
      </c>
      <c r="CZ46" s="26">
        <v>325754004513</v>
      </c>
      <c r="DA46" s="803" t="s">
        <v>40</v>
      </c>
    </row>
    <row r="47" spans="1:105" ht="24.95" customHeight="1" x14ac:dyDescent="0.2">
      <c r="A47" s="804" t="s">
        <v>31</v>
      </c>
      <c r="B47" s="1" t="s">
        <v>123</v>
      </c>
      <c r="C47" s="309">
        <v>1</v>
      </c>
      <c r="D47" s="328">
        <v>52</v>
      </c>
      <c r="E47" s="328">
        <v>7</v>
      </c>
      <c r="F47" s="327">
        <v>0</v>
      </c>
      <c r="G47" s="327">
        <v>0.47</v>
      </c>
      <c r="H47" s="327">
        <v>0.53</v>
      </c>
      <c r="I47" s="327">
        <v>0</v>
      </c>
      <c r="J47" s="327">
        <v>0.46</v>
      </c>
      <c r="K47" s="327">
        <v>0.51</v>
      </c>
      <c r="L47" s="327">
        <v>0.59</v>
      </c>
      <c r="M47" s="328" t="s">
        <v>126</v>
      </c>
      <c r="N47" s="328" t="s">
        <v>126</v>
      </c>
      <c r="O47" s="330"/>
      <c r="P47" s="330"/>
      <c r="Q47" s="330"/>
      <c r="R47" s="330"/>
      <c r="S47" s="330"/>
      <c r="T47" s="330"/>
      <c r="U47" s="330"/>
      <c r="V47" s="328" t="s">
        <v>126</v>
      </c>
      <c r="W47" s="328" t="s">
        <v>126</v>
      </c>
      <c r="X47" s="328"/>
      <c r="Y47" s="328"/>
      <c r="Z47" s="328"/>
      <c r="AA47" s="328"/>
      <c r="AB47" s="328"/>
      <c r="AC47" s="328"/>
      <c r="AD47" s="328"/>
      <c r="AE47" s="328" t="s">
        <v>126</v>
      </c>
      <c r="AF47" s="328" t="s">
        <v>126</v>
      </c>
      <c r="AG47" s="309"/>
      <c r="AH47" s="309"/>
      <c r="AI47" s="309"/>
      <c r="AJ47" s="309"/>
      <c r="AK47" s="309"/>
      <c r="AL47" s="309"/>
      <c r="AM47" s="309"/>
      <c r="AW47" s="649"/>
      <c r="BH47" s="649"/>
      <c r="BI47" s="649"/>
      <c r="BJ47" s="649"/>
      <c r="BK47" s="649"/>
      <c r="BL47" s="649"/>
      <c r="BM47" s="649"/>
      <c r="BN47" s="649"/>
      <c r="BO47" s="649"/>
      <c r="BP47" s="649"/>
      <c r="BQ47" s="649"/>
      <c r="BR47" s="649"/>
      <c r="BS47" s="651"/>
      <c r="BT47" s="651"/>
      <c r="BU47" s="651"/>
      <c r="BV47" s="651"/>
      <c r="BW47" s="651"/>
      <c r="BX47" s="651"/>
      <c r="BY47" s="651"/>
      <c r="BZ47" s="651"/>
      <c r="CA47" s="651"/>
      <c r="CB47" s="651"/>
      <c r="CC47" s="651"/>
      <c r="CD47" s="651"/>
      <c r="CE47" s="651"/>
      <c r="CF47" s="651"/>
      <c r="CG47" s="651"/>
      <c r="CH47" s="651"/>
      <c r="CI47" s="651"/>
      <c r="CJ47" s="651"/>
      <c r="CK47" s="651"/>
      <c r="CL47" s="651"/>
      <c r="CM47" s="651"/>
      <c r="CN47" s="651"/>
      <c r="CS47" s="949"/>
      <c r="CT47" s="949"/>
      <c r="CU47" s="949"/>
      <c r="CV47" s="949"/>
      <c r="CW47" s="949"/>
      <c r="CX47" s="949"/>
      <c r="CY47" s="949"/>
      <c r="CZ47" s="26"/>
      <c r="DA47" s="804" t="s">
        <v>31</v>
      </c>
    </row>
    <row r="48" spans="1:105" ht="24.95" customHeight="1" x14ac:dyDescent="0.2">
      <c r="A48" s="803" t="s">
        <v>43</v>
      </c>
      <c r="B48" s="1" t="s">
        <v>123</v>
      </c>
      <c r="C48" s="2">
        <v>2</v>
      </c>
      <c r="D48" s="12">
        <v>49</v>
      </c>
      <c r="E48" s="12">
        <v>7</v>
      </c>
      <c r="F48" s="63">
        <v>0.08</v>
      </c>
      <c r="G48" s="63">
        <v>0.5</v>
      </c>
      <c r="H48" s="63">
        <v>0.42</v>
      </c>
      <c r="I48" s="63">
        <v>0</v>
      </c>
      <c r="J48" s="63">
        <v>0.56999999999999995</v>
      </c>
      <c r="K48" s="63">
        <v>0.59</v>
      </c>
      <c r="L48" s="63">
        <v>0.61</v>
      </c>
      <c r="M48" s="12" t="s">
        <v>126</v>
      </c>
      <c r="N48" s="12" t="s">
        <v>126</v>
      </c>
      <c r="O48" s="61"/>
      <c r="P48" s="61"/>
      <c r="Q48" s="61"/>
      <c r="R48" s="61"/>
      <c r="S48" s="61"/>
      <c r="T48" s="61"/>
      <c r="U48" s="61"/>
      <c r="V48" s="25">
        <v>47</v>
      </c>
      <c r="W48" s="25">
        <v>9</v>
      </c>
      <c r="X48" s="66">
        <v>0.14000000000000001</v>
      </c>
      <c r="Y48" s="66">
        <v>0.43</v>
      </c>
      <c r="Z48" s="66">
        <v>0.43</v>
      </c>
      <c r="AA48" s="66">
        <v>0</v>
      </c>
      <c r="AB48" s="66">
        <v>0.48</v>
      </c>
      <c r="AC48" s="66">
        <v>0.65</v>
      </c>
      <c r="AD48" s="66">
        <v>0.56000000000000005</v>
      </c>
      <c r="AE48" s="12">
        <v>55</v>
      </c>
      <c r="AF48" s="12">
        <v>6</v>
      </c>
      <c r="AG48" s="63">
        <v>0</v>
      </c>
      <c r="AH48" s="63">
        <v>0.23</v>
      </c>
      <c r="AI48" s="63">
        <v>0.77</v>
      </c>
      <c r="AJ48" s="63">
        <v>0</v>
      </c>
      <c r="AK48" s="63">
        <v>0.39</v>
      </c>
      <c r="AL48" s="63">
        <v>0.38</v>
      </c>
      <c r="AM48" s="63">
        <v>0.38</v>
      </c>
      <c r="AN48" s="45">
        <v>56</v>
      </c>
      <c r="AO48" s="45">
        <v>8</v>
      </c>
      <c r="AP48" s="46">
        <v>0</v>
      </c>
      <c r="AQ48" s="46">
        <v>0.17</v>
      </c>
      <c r="AR48" s="46">
        <v>0.67</v>
      </c>
      <c r="AS48" s="46">
        <v>0.17</v>
      </c>
      <c r="AT48" s="46">
        <v>0.42</v>
      </c>
      <c r="AU48" s="46">
        <v>0.28999999999999998</v>
      </c>
      <c r="AV48" s="46">
        <v>0.4</v>
      </c>
      <c r="AW48" s="246">
        <v>51</v>
      </c>
      <c r="AX48" s="246" t="s">
        <v>758</v>
      </c>
      <c r="AY48" s="246">
        <v>14</v>
      </c>
      <c r="AZ48" s="246" t="s">
        <v>759</v>
      </c>
      <c r="BA48" s="263">
        <v>0.17</v>
      </c>
      <c r="BB48" s="263">
        <v>0.33</v>
      </c>
      <c r="BC48" s="263">
        <v>0.33</v>
      </c>
      <c r="BD48" s="263">
        <v>0.17</v>
      </c>
      <c r="BE48" s="263">
        <v>0.46</v>
      </c>
      <c r="BF48" s="263">
        <v>0.42</v>
      </c>
      <c r="BG48" s="263">
        <v>0.53</v>
      </c>
      <c r="BH48" s="649"/>
      <c r="BI48" s="649"/>
      <c r="BJ48" s="649"/>
      <c r="BK48" s="649"/>
      <c r="BL48" s="649"/>
      <c r="BM48" s="649"/>
      <c r="BN48" s="649"/>
      <c r="BO48" s="649"/>
      <c r="BP48" s="649"/>
      <c r="BQ48" s="649"/>
      <c r="BR48" s="649"/>
      <c r="BS48" s="424">
        <v>56</v>
      </c>
      <c r="BT48" s="424" t="s">
        <v>758</v>
      </c>
      <c r="BU48" s="424">
        <v>9</v>
      </c>
      <c r="BV48" s="424" t="s">
        <v>758</v>
      </c>
      <c r="BW48" s="428">
        <v>0</v>
      </c>
      <c r="BX48" s="428">
        <v>0.43</v>
      </c>
      <c r="BY48" s="428">
        <v>0.43</v>
      </c>
      <c r="BZ48" s="428">
        <v>0.14000000000000001</v>
      </c>
      <c r="CA48" s="428">
        <v>0.44</v>
      </c>
      <c r="CB48" s="428">
        <v>0.42</v>
      </c>
      <c r="CC48" s="428">
        <v>0.41</v>
      </c>
      <c r="CD48" s="464">
        <v>62</v>
      </c>
      <c r="CE48" s="464" t="s">
        <v>758</v>
      </c>
      <c r="CF48" s="464">
        <v>7</v>
      </c>
      <c r="CG48" s="464" t="s">
        <v>758</v>
      </c>
      <c r="CH48" s="476">
        <v>0</v>
      </c>
      <c r="CI48" s="476">
        <v>0.08</v>
      </c>
      <c r="CJ48" s="476">
        <v>0.62</v>
      </c>
      <c r="CK48" s="476">
        <v>0.31</v>
      </c>
      <c r="CL48" s="476">
        <v>0.3</v>
      </c>
      <c r="CM48" s="476">
        <v>0.36</v>
      </c>
      <c r="CN48" s="476">
        <v>0.22</v>
      </c>
      <c r="CO48" s="902">
        <v>50</v>
      </c>
      <c r="CP48" s="902" t="s">
        <v>758</v>
      </c>
      <c r="CQ48" s="902">
        <v>5</v>
      </c>
      <c r="CR48" s="902" t="s">
        <v>760</v>
      </c>
      <c r="CS48" s="949">
        <v>0</v>
      </c>
      <c r="CT48" s="949">
        <v>0.56999999999999995</v>
      </c>
      <c r="CU48" s="949">
        <v>0.43</v>
      </c>
      <c r="CV48" s="949">
        <v>0</v>
      </c>
      <c r="CW48" s="949">
        <v>0.39</v>
      </c>
      <c r="CX48" s="949">
        <v>0.56999999999999995</v>
      </c>
      <c r="CY48" s="949">
        <v>0.62</v>
      </c>
      <c r="CZ48" s="26">
        <v>325754000160</v>
      </c>
      <c r="DA48" s="803" t="s">
        <v>43</v>
      </c>
    </row>
    <row r="49" spans="1:105" ht="24.95" customHeight="1" x14ac:dyDescent="0.2">
      <c r="A49" s="809" t="s">
        <v>164</v>
      </c>
      <c r="B49" s="1" t="s">
        <v>123</v>
      </c>
      <c r="C49" s="2">
        <v>6</v>
      </c>
      <c r="D49" s="12"/>
      <c r="E49" s="12"/>
      <c r="F49" s="12"/>
      <c r="G49" s="12"/>
      <c r="H49" s="12"/>
      <c r="I49" s="12"/>
      <c r="J49" s="12"/>
      <c r="K49" s="12"/>
      <c r="L49" s="12"/>
      <c r="M49" s="12"/>
      <c r="N49" s="12"/>
      <c r="O49" s="61"/>
      <c r="P49" s="61"/>
      <c r="Q49" s="61"/>
      <c r="R49" s="61"/>
      <c r="S49" s="61"/>
      <c r="T49" s="61"/>
      <c r="U49" s="61"/>
      <c r="V49" s="25"/>
      <c r="W49" s="25"/>
      <c r="X49" s="12"/>
      <c r="Y49" s="12"/>
      <c r="Z49" s="12"/>
      <c r="AA49" s="12"/>
      <c r="AB49" s="12"/>
      <c r="AC49" s="12"/>
      <c r="AD49" s="12"/>
      <c r="AE49" s="12"/>
      <c r="AF49" s="12"/>
      <c r="AG49" s="2"/>
      <c r="AH49" s="2"/>
      <c r="AI49" s="2"/>
      <c r="AJ49" s="2"/>
      <c r="AK49" s="2"/>
      <c r="AL49" s="2"/>
      <c r="AM49" s="2"/>
      <c r="AN49" s="35">
        <v>50</v>
      </c>
      <c r="AO49" s="35">
        <v>8</v>
      </c>
      <c r="AP49" s="40">
        <v>0.04</v>
      </c>
      <c r="AQ49" s="40">
        <v>0.48</v>
      </c>
      <c r="AR49" s="40">
        <v>0.48</v>
      </c>
      <c r="AS49" s="40">
        <v>0</v>
      </c>
      <c r="AT49" s="40">
        <v>0.52</v>
      </c>
      <c r="AU49" s="40">
        <v>0.4</v>
      </c>
      <c r="AV49" s="40">
        <v>0.56000000000000005</v>
      </c>
      <c r="AW49" s="647">
        <v>57</v>
      </c>
      <c r="AX49" s="647" t="s">
        <v>758</v>
      </c>
      <c r="AY49" s="647">
        <v>9</v>
      </c>
      <c r="AZ49" s="647" t="s">
        <v>758</v>
      </c>
      <c r="BA49" s="648">
        <v>0</v>
      </c>
      <c r="BB49" s="648">
        <v>0.19</v>
      </c>
      <c r="BC49" s="648">
        <v>0.62</v>
      </c>
      <c r="BD49" s="648">
        <v>0.19</v>
      </c>
      <c r="BE49" s="648">
        <v>0.4</v>
      </c>
      <c r="BF49" s="648">
        <v>0.31</v>
      </c>
      <c r="BG49" s="648">
        <v>0.46</v>
      </c>
      <c r="BH49" s="74">
        <v>51</v>
      </c>
      <c r="BI49" s="74" t="s">
        <v>758</v>
      </c>
      <c r="BJ49" s="74">
        <v>9</v>
      </c>
      <c r="BK49" s="74" t="s">
        <v>758</v>
      </c>
      <c r="BL49" s="96">
        <v>0.03</v>
      </c>
      <c r="BM49" s="96">
        <v>0.41</v>
      </c>
      <c r="BN49" s="96">
        <v>0.5</v>
      </c>
      <c r="BO49" s="96">
        <v>0.06</v>
      </c>
      <c r="BP49" s="96">
        <v>0.51</v>
      </c>
      <c r="BQ49" s="96">
        <v>0.42</v>
      </c>
      <c r="BR49" s="96">
        <v>0.5</v>
      </c>
      <c r="BS49" s="652">
        <v>56</v>
      </c>
      <c r="BT49" s="652" t="s">
        <v>758</v>
      </c>
      <c r="BU49" s="652">
        <v>10</v>
      </c>
      <c r="BV49" s="652" t="s">
        <v>758</v>
      </c>
      <c r="BW49" s="653">
        <v>0</v>
      </c>
      <c r="BX49" s="653">
        <v>0.32</v>
      </c>
      <c r="BY49" s="653">
        <v>0.46</v>
      </c>
      <c r="BZ49" s="653">
        <v>0.21</v>
      </c>
      <c r="CA49" s="653">
        <v>0.33</v>
      </c>
      <c r="CB49" s="653">
        <v>0.41</v>
      </c>
      <c r="CC49" s="653">
        <v>0.46</v>
      </c>
      <c r="CD49" s="74">
        <v>54</v>
      </c>
      <c r="CE49" s="74" t="s">
        <v>758</v>
      </c>
      <c r="CF49" s="74">
        <v>8</v>
      </c>
      <c r="CG49" s="74" t="s">
        <v>758</v>
      </c>
      <c r="CH49" s="96">
        <v>0</v>
      </c>
      <c r="CI49" s="96">
        <v>0.38</v>
      </c>
      <c r="CJ49" s="96">
        <v>0.56000000000000005</v>
      </c>
      <c r="CK49" s="96">
        <v>0.05</v>
      </c>
      <c r="CL49" s="96">
        <v>0.47</v>
      </c>
      <c r="CM49" s="96">
        <v>0.46</v>
      </c>
      <c r="CN49" s="96">
        <v>0.32</v>
      </c>
      <c r="CO49" s="902">
        <v>57</v>
      </c>
      <c r="CP49" s="902" t="s">
        <v>758</v>
      </c>
      <c r="CQ49" s="902">
        <v>9</v>
      </c>
      <c r="CR49" s="902" t="s">
        <v>758</v>
      </c>
      <c r="CS49" s="949">
        <v>0</v>
      </c>
      <c r="CT49" s="949">
        <v>0.26</v>
      </c>
      <c r="CU49" s="949">
        <v>0.56000000000000005</v>
      </c>
      <c r="CV49" s="949">
        <v>0.18</v>
      </c>
      <c r="CW49" s="949">
        <v>0.35</v>
      </c>
      <c r="CX49" s="949">
        <v>0.38</v>
      </c>
      <c r="CY49" s="949">
        <v>0.45</v>
      </c>
      <c r="CZ49" s="26">
        <v>325754003363</v>
      </c>
      <c r="DA49" s="809" t="s">
        <v>164</v>
      </c>
    </row>
    <row r="50" spans="1:105" ht="24.95" customHeight="1" x14ac:dyDescent="0.2">
      <c r="A50" s="803" t="s">
        <v>125</v>
      </c>
      <c r="B50" s="1" t="s">
        <v>123</v>
      </c>
      <c r="C50" s="2">
        <v>3</v>
      </c>
      <c r="D50" s="12"/>
      <c r="E50" s="12"/>
      <c r="F50" s="12"/>
      <c r="G50" s="12"/>
      <c r="H50" s="12"/>
      <c r="I50" s="12"/>
      <c r="J50" s="12"/>
      <c r="K50" s="12"/>
      <c r="L50" s="12"/>
      <c r="M50" s="25">
        <v>54</v>
      </c>
      <c r="N50" s="25">
        <v>8</v>
      </c>
      <c r="O50" s="61">
        <v>0.02</v>
      </c>
      <c r="P50" s="61">
        <v>0.28999999999999998</v>
      </c>
      <c r="Q50" s="61">
        <v>0.56999999999999995</v>
      </c>
      <c r="R50" s="61">
        <v>0.11</v>
      </c>
      <c r="S50" s="61">
        <v>0.43</v>
      </c>
      <c r="T50" s="61">
        <v>0.47</v>
      </c>
      <c r="U50" s="61">
        <v>0.47</v>
      </c>
      <c r="V50" s="25">
        <v>53</v>
      </c>
      <c r="W50" s="25">
        <v>9</v>
      </c>
      <c r="X50" s="66">
        <v>0.03</v>
      </c>
      <c r="Y50" s="66">
        <v>0.39</v>
      </c>
      <c r="Z50" s="66">
        <v>0.52</v>
      </c>
      <c r="AA50" s="66">
        <v>0.06</v>
      </c>
      <c r="AB50" s="66">
        <v>0.47</v>
      </c>
      <c r="AC50" s="66">
        <v>0.52</v>
      </c>
      <c r="AD50" s="66">
        <v>0.52</v>
      </c>
      <c r="AE50" s="12">
        <v>52</v>
      </c>
      <c r="AF50" s="12">
        <v>9</v>
      </c>
      <c r="AG50" s="63">
        <v>0.01</v>
      </c>
      <c r="AH50" s="63">
        <v>0.41</v>
      </c>
      <c r="AI50" s="63">
        <v>0.5</v>
      </c>
      <c r="AJ50" s="63">
        <v>0.08</v>
      </c>
      <c r="AK50" s="63">
        <v>0.46</v>
      </c>
      <c r="AL50" s="63">
        <v>0.38</v>
      </c>
      <c r="AM50" s="63">
        <v>0.45</v>
      </c>
      <c r="AN50" s="35">
        <v>50</v>
      </c>
      <c r="AO50" s="35">
        <v>10</v>
      </c>
      <c r="AP50" s="40">
        <v>0.04</v>
      </c>
      <c r="AQ50" s="40">
        <v>0.48</v>
      </c>
      <c r="AR50" s="40">
        <v>0.44</v>
      </c>
      <c r="AS50" s="40">
        <v>0.03</v>
      </c>
      <c r="AT50" s="40">
        <v>0.52</v>
      </c>
      <c r="AU50" s="40">
        <v>0.44</v>
      </c>
      <c r="AV50" s="40">
        <v>0.49</v>
      </c>
      <c r="AW50" s="246">
        <v>52</v>
      </c>
      <c r="AX50" s="246" t="s">
        <v>758</v>
      </c>
      <c r="AY50" s="246">
        <v>9</v>
      </c>
      <c r="AZ50" s="246" t="s">
        <v>758</v>
      </c>
      <c r="BA50" s="263">
        <v>0.03</v>
      </c>
      <c r="BB50" s="263">
        <v>0.45</v>
      </c>
      <c r="BC50" s="263">
        <v>0.46</v>
      </c>
      <c r="BD50" s="263">
        <v>0.06</v>
      </c>
      <c r="BE50" s="263">
        <v>0.48</v>
      </c>
      <c r="BF50" s="263">
        <v>0.38</v>
      </c>
      <c r="BG50" s="263">
        <v>0.57999999999999996</v>
      </c>
      <c r="BH50" s="74">
        <v>52</v>
      </c>
      <c r="BI50" s="74" t="s">
        <v>758</v>
      </c>
      <c r="BJ50" s="74">
        <v>9</v>
      </c>
      <c r="BK50" s="74" t="s">
        <v>758</v>
      </c>
      <c r="BL50" s="96">
        <v>0.06</v>
      </c>
      <c r="BM50" s="96">
        <v>0.34</v>
      </c>
      <c r="BN50" s="96">
        <v>0.55000000000000004</v>
      </c>
      <c r="BO50" s="96">
        <v>0.05</v>
      </c>
      <c r="BP50" s="96">
        <v>0.51</v>
      </c>
      <c r="BQ50" s="96">
        <v>0.39</v>
      </c>
      <c r="BR50" s="96">
        <v>0.5</v>
      </c>
      <c r="BS50" s="424">
        <v>53</v>
      </c>
      <c r="BT50" s="424" t="s">
        <v>758</v>
      </c>
      <c r="BU50" s="424">
        <v>9</v>
      </c>
      <c r="BV50" s="424" t="s">
        <v>758</v>
      </c>
      <c r="BW50" s="428">
        <v>0.02</v>
      </c>
      <c r="BX50" s="428">
        <v>0.33</v>
      </c>
      <c r="BY50" s="428">
        <v>0.56000000000000005</v>
      </c>
      <c r="BZ50" s="428">
        <v>0.1</v>
      </c>
      <c r="CA50" s="428">
        <v>0.38</v>
      </c>
      <c r="CB50" s="428">
        <v>0.5</v>
      </c>
      <c r="CC50" s="428">
        <v>0.49</v>
      </c>
      <c r="CD50" s="464">
        <v>53</v>
      </c>
      <c r="CE50" s="464" t="s">
        <v>758</v>
      </c>
      <c r="CF50" s="464">
        <v>9</v>
      </c>
      <c r="CG50" s="464" t="s">
        <v>758</v>
      </c>
      <c r="CH50" s="476">
        <v>0.06</v>
      </c>
      <c r="CI50" s="476">
        <v>0.31</v>
      </c>
      <c r="CJ50" s="476">
        <v>0.56000000000000005</v>
      </c>
      <c r="CK50" s="476">
        <v>7.0000000000000007E-2</v>
      </c>
      <c r="CL50" s="476">
        <v>0.46</v>
      </c>
      <c r="CM50" s="476">
        <v>0.46</v>
      </c>
      <c r="CN50" s="476">
        <v>0.38</v>
      </c>
      <c r="CO50" s="902">
        <v>54</v>
      </c>
      <c r="CP50" s="902" t="s">
        <v>758</v>
      </c>
      <c r="CQ50" s="902">
        <v>9</v>
      </c>
      <c r="CR50" s="902" t="s">
        <v>758</v>
      </c>
      <c r="CS50" s="949">
        <v>0.01</v>
      </c>
      <c r="CT50" s="949">
        <v>0.31</v>
      </c>
      <c r="CU50" s="949">
        <v>0.56999999999999995</v>
      </c>
      <c r="CV50" s="949">
        <v>0.12</v>
      </c>
      <c r="CW50" s="949">
        <v>0.33</v>
      </c>
      <c r="CX50" s="949">
        <v>0.47</v>
      </c>
      <c r="CY50" s="949">
        <v>0.52</v>
      </c>
      <c r="CZ50" s="26">
        <v>125754005189</v>
      </c>
      <c r="DA50" s="803" t="s">
        <v>125</v>
      </c>
    </row>
    <row r="51" spans="1:105" ht="24.95" customHeight="1" x14ac:dyDescent="0.2">
      <c r="A51" s="803" t="s">
        <v>72</v>
      </c>
      <c r="B51" s="1" t="s">
        <v>123</v>
      </c>
      <c r="C51" s="2">
        <v>2</v>
      </c>
      <c r="D51" s="12">
        <v>59</v>
      </c>
      <c r="E51" s="12">
        <v>8</v>
      </c>
      <c r="F51" s="63">
        <v>0</v>
      </c>
      <c r="G51" s="63">
        <v>0.15</v>
      </c>
      <c r="H51" s="63">
        <v>0.65</v>
      </c>
      <c r="I51" s="63">
        <v>0.2</v>
      </c>
      <c r="J51" s="63">
        <v>0.37</v>
      </c>
      <c r="K51" s="63">
        <v>0.38</v>
      </c>
      <c r="L51" s="63">
        <v>0.43</v>
      </c>
      <c r="M51" s="25">
        <v>59</v>
      </c>
      <c r="N51" s="25">
        <v>7</v>
      </c>
      <c r="O51" s="61">
        <v>0</v>
      </c>
      <c r="P51" s="61">
        <v>0.08</v>
      </c>
      <c r="Q51" s="61">
        <v>0.74</v>
      </c>
      <c r="R51" s="61">
        <v>0.17</v>
      </c>
      <c r="S51" s="61">
        <v>0.33</v>
      </c>
      <c r="T51" s="61">
        <v>0.4</v>
      </c>
      <c r="U51" s="61">
        <v>0.38</v>
      </c>
      <c r="V51" s="25">
        <v>59</v>
      </c>
      <c r="W51" s="25">
        <v>8</v>
      </c>
      <c r="X51" s="66">
        <v>0</v>
      </c>
      <c r="Y51" s="66">
        <v>0.11</v>
      </c>
      <c r="Z51" s="66">
        <v>0.68</v>
      </c>
      <c r="AA51" s="66">
        <v>0.21</v>
      </c>
      <c r="AB51" s="66">
        <v>0.34</v>
      </c>
      <c r="AC51" s="66">
        <v>0.38</v>
      </c>
      <c r="AD51" s="66">
        <v>0.42</v>
      </c>
      <c r="AE51" s="12">
        <v>60</v>
      </c>
      <c r="AF51" s="12">
        <v>8</v>
      </c>
      <c r="AG51" s="63">
        <v>0.01</v>
      </c>
      <c r="AH51" s="63">
        <v>0.11</v>
      </c>
      <c r="AI51" s="63">
        <v>0.66</v>
      </c>
      <c r="AJ51" s="63">
        <v>0.22</v>
      </c>
      <c r="AK51" s="63">
        <v>0.31</v>
      </c>
      <c r="AL51" s="63">
        <v>0.27</v>
      </c>
      <c r="AM51" s="63">
        <v>0.34</v>
      </c>
      <c r="AN51" s="35">
        <v>62</v>
      </c>
      <c r="AO51" s="35">
        <v>9</v>
      </c>
      <c r="AP51" s="40">
        <v>0</v>
      </c>
      <c r="AQ51" s="40">
        <v>7.0000000000000007E-2</v>
      </c>
      <c r="AR51" s="40">
        <v>0.62</v>
      </c>
      <c r="AS51" s="40">
        <v>0.31</v>
      </c>
      <c r="AT51" s="40">
        <v>0.32</v>
      </c>
      <c r="AU51" s="40">
        <v>0.26</v>
      </c>
      <c r="AV51" s="40">
        <v>0.28999999999999998</v>
      </c>
      <c r="AW51" s="246">
        <v>59</v>
      </c>
      <c r="AX51" s="246" t="s">
        <v>758</v>
      </c>
      <c r="AY51" s="246">
        <v>7</v>
      </c>
      <c r="AZ51" s="246" t="s">
        <v>758</v>
      </c>
      <c r="BA51" s="263">
        <v>0</v>
      </c>
      <c r="BB51" s="263">
        <v>0.14000000000000001</v>
      </c>
      <c r="BC51" s="263">
        <v>0.68</v>
      </c>
      <c r="BD51" s="263">
        <v>0.18</v>
      </c>
      <c r="BE51" s="263">
        <v>0.35</v>
      </c>
      <c r="BF51" s="263">
        <v>0.28000000000000003</v>
      </c>
      <c r="BG51" s="263">
        <v>0.43</v>
      </c>
      <c r="BH51" s="309">
        <v>62</v>
      </c>
      <c r="BI51" s="309" t="s">
        <v>758</v>
      </c>
      <c r="BJ51" s="309">
        <v>7</v>
      </c>
      <c r="BK51" s="309" t="s">
        <v>758</v>
      </c>
      <c r="BL51" s="327">
        <v>0</v>
      </c>
      <c r="BM51" s="327">
        <v>0.04</v>
      </c>
      <c r="BN51" s="327">
        <v>0.67</v>
      </c>
      <c r="BO51" s="327">
        <v>0.28999999999999998</v>
      </c>
      <c r="BP51" s="327">
        <v>0.34</v>
      </c>
      <c r="BQ51" s="327">
        <v>0.23</v>
      </c>
      <c r="BR51" s="327">
        <v>0.28999999999999998</v>
      </c>
      <c r="BS51" s="424">
        <v>60</v>
      </c>
      <c r="BT51" s="424" t="s">
        <v>758</v>
      </c>
      <c r="BU51" s="424">
        <v>8</v>
      </c>
      <c r="BV51" s="424" t="s">
        <v>758</v>
      </c>
      <c r="BW51" s="428">
        <v>0</v>
      </c>
      <c r="BX51" s="428">
        <v>0.13</v>
      </c>
      <c r="BY51" s="428">
        <v>0.63</v>
      </c>
      <c r="BZ51" s="428">
        <v>0.24</v>
      </c>
      <c r="CA51" s="428">
        <v>0.27</v>
      </c>
      <c r="CB51" s="428">
        <v>0.37</v>
      </c>
      <c r="CC51" s="428">
        <v>0.39</v>
      </c>
      <c r="CD51" s="464">
        <v>62</v>
      </c>
      <c r="CE51" s="464" t="s">
        <v>758</v>
      </c>
      <c r="CF51" s="464">
        <v>8</v>
      </c>
      <c r="CG51" s="464" t="s">
        <v>758</v>
      </c>
      <c r="CH51" s="476">
        <v>0.01</v>
      </c>
      <c r="CI51" s="476">
        <v>0.08</v>
      </c>
      <c r="CJ51" s="476">
        <v>0.56000000000000005</v>
      </c>
      <c r="CK51" s="476">
        <v>0.35</v>
      </c>
      <c r="CL51" s="476">
        <v>0.32</v>
      </c>
      <c r="CM51" s="476">
        <v>0.33</v>
      </c>
      <c r="CN51" s="476">
        <v>0.24</v>
      </c>
      <c r="CO51" s="902">
        <v>61</v>
      </c>
      <c r="CP51" s="902" t="s">
        <v>758</v>
      </c>
      <c r="CQ51" s="902">
        <v>8</v>
      </c>
      <c r="CR51" s="902" t="s">
        <v>758</v>
      </c>
      <c r="CS51" s="949">
        <v>0</v>
      </c>
      <c r="CT51" s="949">
        <v>0.1</v>
      </c>
      <c r="CU51" s="949">
        <v>0.56000000000000005</v>
      </c>
      <c r="CV51" s="949">
        <v>0.34</v>
      </c>
      <c r="CW51" s="949">
        <v>0.22</v>
      </c>
      <c r="CX51" s="949">
        <v>0.32</v>
      </c>
      <c r="CY51" s="949">
        <v>0.41</v>
      </c>
      <c r="CZ51" s="26">
        <v>325754001891</v>
      </c>
      <c r="DA51" s="803" t="s">
        <v>72</v>
      </c>
    </row>
    <row r="52" spans="1:105" ht="24.95" customHeight="1" x14ac:dyDescent="0.2">
      <c r="A52" s="809" t="s">
        <v>165</v>
      </c>
      <c r="B52" s="1" t="s">
        <v>123</v>
      </c>
      <c r="C52" s="2">
        <v>2</v>
      </c>
      <c r="D52" s="12"/>
      <c r="E52" s="12"/>
      <c r="F52" s="12"/>
      <c r="G52" s="12"/>
      <c r="H52" s="12"/>
      <c r="I52" s="12"/>
      <c r="J52" s="12"/>
      <c r="K52" s="12"/>
      <c r="L52" s="12"/>
      <c r="M52" s="25"/>
      <c r="N52" s="25"/>
      <c r="O52" s="61"/>
      <c r="P52" s="61"/>
      <c r="Q52" s="61"/>
      <c r="R52" s="61"/>
      <c r="S52" s="61"/>
      <c r="T52" s="61"/>
      <c r="U52" s="61"/>
      <c r="V52" s="25"/>
      <c r="W52" s="25"/>
      <c r="X52" s="12"/>
      <c r="Y52" s="12"/>
      <c r="Z52" s="12"/>
      <c r="AA52" s="12"/>
      <c r="AB52" s="12"/>
      <c r="AC52" s="12"/>
      <c r="AD52" s="12"/>
      <c r="AE52" s="12"/>
      <c r="AF52" s="12"/>
      <c r="AG52" s="2"/>
      <c r="AH52" s="2"/>
      <c r="AI52" s="2"/>
      <c r="AJ52" s="2"/>
      <c r="AK52" s="2"/>
      <c r="AL52" s="2"/>
      <c r="AM52" s="2"/>
      <c r="AN52" s="35">
        <v>61</v>
      </c>
      <c r="AO52" s="35">
        <v>0</v>
      </c>
      <c r="AP52" s="40">
        <v>0</v>
      </c>
      <c r="AQ52" s="40">
        <v>0</v>
      </c>
      <c r="AR52" s="40">
        <v>1</v>
      </c>
      <c r="AS52" s="40">
        <v>0</v>
      </c>
      <c r="AT52" s="40">
        <v>0.18</v>
      </c>
      <c r="AU52" s="40">
        <v>0.33</v>
      </c>
      <c r="AV52" s="40">
        <v>0.43</v>
      </c>
      <c r="AW52" s="646"/>
      <c r="AX52" s="646"/>
      <c r="AY52" s="646"/>
      <c r="AZ52" s="646"/>
      <c r="BA52" s="646"/>
      <c r="BB52" s="646"/>
      <c r="BC52" s="646"/>
      <c r="BD52" s="646"/>
      <c r="BE52" s="646"/>
      <c r="BF52" s="646"/>
      <c r="BG52" s="646"/>
      <c r="BH52" s="649"/>
      <c r="BI52" s="649"/>
      <c r="BJ52" s="649"/>
      <c r="BK52" s="649"/>
      <c r="BL52" s="649"/>
      <c r="BM52" s="649"/>
      <c r="BN52" s="649"/>
      <c r="BO52" s="649"/>
      <c r="BP52" s="649"/>
      <c r="BQ52" s="649"/>
      <c r="BR52" s="649"/>
      <c r="BS52" s="651"/>
      <c r="BT52" s="651"/>
      <c r="BU52" s="651"/>
      <c r="BV52" s="651"/>
      <c r="BW52" s="651"/>
      <c r="BX52" s="651"/>
      <c r="BY52" s="651"/>
      <c r="BZ52" s="651"/>
      <c r="CA52" s="651"/>
      <c r="CB52" s="651"/>
      <c r="CC52" s="651"/>
      <c r="CD52" s="650"/>
      <c r="CE52" s="650"/>
      <c r="CF52" s="650"/>
      <c r="CG52" s="650"/>
      <c r="CH52" s="650"/>
      <c r="CI52" s="650"/>
      <c r="CJ52" s="650"/>
      <c r="CK52" s="650"/>
      <c r="CL52" s="650"/>
      <c r="CM52" s="650"/>
      <c r="CN52" s="650"/>
      <c r="CO52" s="902">
        <v>52</v>
      </c>
      <c r="CP52" s="902" t="s">
        <v>758</v>
      </c>
      <c r="CQ52" s="902">
        <v>8</v>
      </c>
      <c r="CR52" s="902" t="s">
        <v>758</v>
      </c>
      <c r="CS52" s="949">
        <v>0</v>
      </c>
      <c r="CT52" s="949">
        <v>0.37</v>
      </c>
      <c r="CU52" s="949">
        <v>0.56000000000000005</v>
      </c>
      <c r="CV52" s="949">
        <v>7.0000000000000007E-2</v>
      </c>
      <c r="CW52" s="949">
        <v>0.36</v>
      </c>
      <c r="CX52" s="949">
        <v>0.49</v>
      </c>
      <c r="CY52" s="949">
        <v>0.56000000000000005</v>
      </c>
      <c r="CZ52" s="26">
        <v>325754005331</v>
      </c>
      <c r="DA52" s="809" t="s">
        <v>165</v>
      </c>
    </row>
    <row r="53" spans="1:105" ht="24.95" customHeight="1" x14ac:dyDescent="0.2">
      <c r="A53" s="803" t="s">
        <v>76</v>
      </c>
      <c r="B53" s="1" t="s">
        <v>123</v>
      </c>
      <c r="C53" s="2">
        <v>5</v>
      </c>
      <c r="D53" s="12">
        <v>55</v>
      </c>
      <c r="E53" s="12">
        <v>6</v>
      </c>
      <c r="F53" s="63">
        <v>0</v>
      </c>
      <c r="G53" s="63">
        <v>0.33</v>
      </c>
      <c r="H53" s="63">
        <v>0.63</v>
      </c>
      <c r="I53" s="63">
        <v>0.04</v>
      </c>
      <c r="J53" s="63">
        <v>0.39</v>
      </c>
      <c r="K53" s="63">
        <v>0.52</v>
      </c>
      <c r="L53" s="63">
        <v>0.51</v>
      </c>
      <c r="M53" s="25">
        <v>58</v>
      </c>
      <c r="N53" s="25">
        <v>7</v>
      </c>
      <c r="O53" s="61">
        <v>0</v>
      </c>
      <c r="P53" s="61">
        <v>0.22</v>
      </c>
      <c r="Q53" s="61">
        <v>0.72</v>
      </c>
      <c r="R53" s="61">
        <v>0.06</v>
      </c>
      <c r="S53" s="61">
        <v>0.38</v>
      </c>
      <c r="T53" s="61">
        <v>0.45</v>
      </c>
      <c r="U53" s="61">
        <v>0.38</v>
      </c>
      <c r="V53" s="25">
        <v>56</v>
      </c>
      <c r="W53" s="25">
        <v>9</v>
      </c>
      <c r="X53" s="66">
        <v>0</v>
      </c>
      <c r="Y53" s="66">
        <v>0.28000000000000003</v>
      </c>
      <c r="Z53" s="66">
        <v>0.56000000000000005</v>
      </c>
      <c r="AA53" s="66">
        <v>0.17</v>
      </c>
      <c r="AB53" s="66">
        <v>0.39</v>
      </c>
      <c r="AC53" s="66">
        <v>0.43</v>
      </c>
      <c r="AD53" s="66">
        <v>0.51</v>
      </c>
      <c r="AE53" s="12">
        <v>60</v>
      </c>
      <c r="AF53" s="12">
        <v>9</v>
      </c>
      <c r="AG53" s="63">
        <v>0</v>
      </c>
      <c r="AH53" s="63">
        <v>0.32</v>
      </c>
      <c r="AI53" s="63">
        <v>0.37</v>
      </c>
      <c r="AJ53" s="63">
        <v>0.32</v>
      </c>
      <c r="AK53" s="63">
        <v>0.33</v>
      </c>
      <c r="AL53" s="63">
        <v>0.25</v>
      </c>
      <c r="AM53" s="63">
        <v>0.34</v>
      </c>
      <c r="AN53" s="35">
        <v>59</v>
      </c>
      <c r="AO53" s="35">
        <v>7</v>
      </c>
      <c r="AP53" s="40">
        <v>0</v>
      </c>
      <c r="AQ53" s="40">
        <v>0.14000000000000001</v>
      </c>
      <c r="AR53" s="40">
        <v>0.71</v>
      </c>
      <c r="AS53" s="40">
        <v>0.14000000000000001</v>
      </c>
      <c r="AT53" s="40">
        <v>0.41</v>
      </c>
      <c r="AU53" s="40">
        <v>0.26</v>
      </c>
      <c r="AV53" s="40">
        <v>0.33</v>
      </c>
      <c r="AW53" s="246">
        <v>64</v>
      </c>
      <c r="AX53" s="246" t="s">
        <v>759</v>
      </c>
      <c r="AY53" s="246">
        <v>10</v>
      </c>
      <c r="AZ53" s="246" t="s">
        <v>758</v>
      </c>
      <c r="BA53" s="263">
        <v>0</v>
      </c>
      <c r="BB53" s="263">
        <v>0.19</v>
      </c>
      <c r="BC53" s="263">
        <v>0.33</v>
      </c>
      <c r="BD53" s="263">
        <v>0.48</v>
      </c>
      <c r="BE53" s="263">
        <v>0.28999999999999998</v>
      </c>
      <c r="BF53" s="263">
        <v>0.25</v>
      </c>
      <c r="BG53" s="263">
        <v>0.34</v>
      </c>
      <c r="BH53" s="309">
        <v>59</v>
      </c>
      <c r="BI53" s="309" t="s">
        <v>758</v>
      </c>
      <c r="BJ53" s="309">
        <v>6</v>
      </c>
      <c r="BK53" s="309" t="s">
        <v>758</v>
      </c>
      <c r="BL53" s="327">
        <v>0</v>
      </c>
      <c r="BM53" s="327">
        <v>0.06</v>
      </c>
      <c r="BN53" s="327">
        <v>0.83</v>
      </c>
      <c r="BO53" s="327">
        <v>0.11</v>
      </c>
      <c r="BP53" s="327">
        <v>0.37</v>
      </c>
      <c r="BQ53" s="327">
        <v>0.24</v>
      </c>
      <c r="BR53" s="327">
        <v>0.4</v>
      </c>
      <c r="BS53" s="424">
        <v>60</v>
      </c>
      <c r="BT53" s="424" t="s">
        <v>758</v>
      </c>
      <c r="BU53" s="424">
        <v>6</v>
      </c>
      <c r="BV53" s="424" t="s">
        <v>758</v>
      </c>
      <c r="BW53" s="428">
        <v>0</v>
      </c>
      <c r="BX53" s="428">
        <v>0</v>
      </c>
      <c r="BY53" s="428">
        <v>0.76</v>
      </c>
      <c r="BZ53" s="428">
        <v>0.24</v>
      </c>
      <c r="CA53" s="428">
        <v>0.23</v>
      </c>
      <c r="CB53" s="428">
        <v>0.38</v>
      </c>
      <c r="CC53" s="428">
        <v>0.43</v>
      </c>
      <c r="CD53" s="464">
        <v>61</v>
      </c>
      <c r="CE53" s="464" t="s">
        <v>758</v>
      </c>
      <c r="CF53" s="464">
        <v>8</v>
      </c>
      <c r="CG53" s="464" t="s">
        <v>758</v>
      </c>
      <c r="CH53" s="476">
        <v>0</v>
      </c>
      <c r="CI53" s="476">
        <v>0.14000000000000001</v>
      </c>
      <c r="CJ53" s="476">
        <v>0.62</v>
      </c>
      <c r="CK53" s="476">
        <v>0.24</v>
      </c>
      <c r="CL53" s="476">
        <v>0.35</v>
      </c>
      <c r="CM53" s="476">
        <v>0.37</v>
      </c>
      <c r="CN53" s="476">
        <v>0.24</v>
      </c>
      <c r="CO53" s="902">
        <v>59</v>
      </c>
      <c r="CP53" s="902" t="s">
        <v>758</v>
      </c>
      <c r="CQ53" s="902">
        <v>8</v>
      </c>
      <c r="CR53" s="902" t="s">
        <v>758</v>
      </c>
      <c r="CS53" s="949">
        <v>0</v>
      </c>
      <c r="CT53" s="949">
        <v>0.21</v>
      </c>
      <c r="CU53" s="949">
        <v>0.57999999999999996</v>
      </c>
      <c r="CV53" s="949">
        <v>0.21</v>
      </c>
      <c r="CW53" s="949">
        <v>0.28000000000000003</v>
      </c>
      <c r="CX53" s="949">
        <v>0.34</v>
      </c>
      <c r="CY53" s="949">
        <v>0.45</v>
      </c>
      <c r="CZ53" s="26">
        <v>325754001361</v>
      </c>
      <c r="DA53" s="803" t="s">
        <v>76</v>
      </c>
    </row>
    <row r="54" spans="1:105" ht="24.95" customHeight="1" x14ac:dyDescent="0.2">
      <c r="A54" s="803" t="s">
        <v>798</v>
      </c>
      <c r="B54" s="14" t="s">
        <v>123</v>
      </c>
      <c r="C54" s="2">
        <v>6</v>
      </c>
      <c r="D54" s="12"/>
      <c r="E54" s="12"/>
      <c r="F54" s="63"/>
      <c r="G54" s="63"/>
      <c r="H54" s="63"/>
      <c r="I54" s="63"/>
      <c r="J54" s="63"/>
      <c r="K54" s="63"/>
      <c r="L54" s="63"/>
      <c r="M54" s="25"/>
      <c r="N54" s="25"/>
      <c r="O54" s="61"/>
      <c r="P54" s="61"/>
      <c r="Q54" s="61"/>
      <c r="R54" s="61"/>
      <c r="S54" s="61"/>
      <c r="T54" s="61"/>
      <c r="U54" s="61"/>
      <c r="V54" s="25"/>
      <c r="W54" s="25"/>
      <c r="X54" s="66"/>
      <c r="Y54" s="66"/>
      <c r="Z54" s="66"/>
      <c r="AA54" s="66"/>
      <c r="AB54" s="66"/>
      <c r="AC54" s="66"/>
      <c r="AD54" s="66"/>
      <c r="AE54" s="12"/>
      <c r="AF54" s="12"/>
      <c r="AG54" s="63"/>
      <c r="AH54" s="63"/>
      <c r="AI54" s="63"/>
      <c r="AJ54" s="63"/>
      <c r="AK54" s="63"/>
      <c r="AL54" s="63"/>
      <c r="AM54" s="63"/>
      <c r="AN54" s="35"/>
      <c r="AO54" s="35"/>
      <c r="AP54" s="40"/>
      <c r="AQ54" s="40"/>
      <c r="AR54" s="40"/>
      <c r="AS54" s="40"/>
      <c r="AT54" s="40"/>
      <c r="AU54" s="40"/>
      <c r="AV54" s="40"/>
      <c r="AW54" s="647"/>
      <c r="AX54" s="647"/>
      <c r="AY54" s="647"/>
      <c r="AZ54" s="647"/>
      <c r="BA54" s="648"/>
      <c r="BB54" s="648"/>
      <c r="BC54" s="648"/>
      <c r="BD54" s="648"/>
      <c r="BE54" s="648"/>
      <c r="BF54" s="648"/>
      <c r="BG54" s="648"/>
      <c r="BH54" s="74">
        <v>63</v>
      </c>
      <c r="BI54" s="74" t="s">
        <v>759</v>
      </c>
      <c r="BJ54" s="74">
        <v>6</v>
      </c>
      <c r="BK54" s="74" t="s">
        <v>758</v>
      </c>
      <c r="BL54" s="96">
        <v>0</v>
      </c>
      <c r="BM54" s="96">
        <v>0</v>
      </c>
      <c r="BN54" s="96">
        <v>0.69</v>
      </c>
      <c r="BO54" s="96">
        <v>0.31</v>
      </c>
      <c r="BP54" s="96">
        <v>0.35</v>
      </c>
      <c r="BQ54" s="96">
        <v>0.18</v>
      </c>
      <c r="BR54" s="96">
        <v>0.24</v>
      </c>
      <c r="BS54" s="652">
        <v>64</v>
      </c>
      <c r="BT54" s="652" t="s">
        <v>759</v>
      </c>
      <c r="BU54" s="652">
        <v>7</v>
      </c>
      <c r="BV54" s="652" t="s">
        <v>758</v>
      </c>
      <c r="BW54" s="653">
        <v>0</v>
      </c>
      <c r="BX54" s="653">
        <v>0.04</v>
      </c>
      <c r="BY54" s="653">
        <v>0.56000000000000005</v>
      </c>
      <c r="BZ54" s="653">
        <v>0.41</v>
      </c>
      <c r="CA54" s="653">
        <v>0.24</v>
      </c>
      <c r="CB54" s="653">
        <v>0.28000000000000003</v>
      </c>
      <c r="CC54" s="653">
        <v>0.3</v>
      </c>
      <c r="CD54" s="74">
        <v>66</v>
      </c>
      <c r="CE54" s="74" t="s">
        <v>759</v>
      </c>
      <c r="CF54" s="74">
        <v>12</v>
      </c>
      <c r="CG54" s="74" t="s">
        <v>758</v>
      </c>
      <c r="CH54" s="96">
        <v>0.05</v>
      </c>
      <c r="CI54" s="96">
        <v>0.05</v>
      </c>
      <c r="CJ54" s="96">
        <v>0.36</v>
      </c>
      <c r="CK54" s="96">
        <v>0.55000000000000004</v>
      </c>
      <c r="CL54" s="96">
        <v>0.28000000000000003</v>
      </c>
      <c r="CM54" s="96">
        <v>0.26</v>
      </c>
      <c r="CN54" s="96">
        <v>0.18</v>
      </c>
      <c r="CO54" s="902">
        <v>64</v>
      </c>
      <c r="CP54" s="902" t="s">
        <v>759</v>
      </c>
      <c r="CQ54" s="902">
        <v>9</v>
      </c>
      <c r="CR54" s="902" t="s">
        <v>758</v>
      </c>
      <c r="CS54" s="949">
        <v>0</v>
      </c>
      <c r="CT54" s="949">
        <v>0.04</v>
      </c>
      <c r="CU54" s="949">
        <v>0.52</v>
      </c>
      <c r="CV54" s="949">
        <v>0.44</v>
      </c>
      <c r="CW54" s="949">
        <v>0.21</v>
      </c>
      <c r="CX54" s="949">
        <v>0.26</v>
      </c>
      <c r="CY54" s="949">
        <v>0.32</v>
      </c>
      <c r="CZ54" s="26">
        <v>325754005480</v>
      </c>
      <c r="DA54" s="803" t="s">
        <v>798</v>
      </c>
    </row>
    <row r="55" spans="1:105" ht="24.95" customHeight="1" x14ac:dyDescent="0.2">
      <c r="A55" s="803" t="s">
        <v>60</v>
      </c>
      <c r="B55" s="1" t="s">
        <v>123</v>
      </c>
      <c r="C55" s="2">
        <v>1</v>
      </c>
      <c r="D55" s="12">
        <v>55</v>
      </c>
      <c r="E55" s="12">
        <v>9</v>
      </c>
      <c r="F55" s="63">
        <v>0</v>
      </c>
      <c r="G55" s="63">
        <v>0.35</v>
      </c>
      <c r="H55" s="63">
        <v>0.53</v>
      </c>
      <c r="I55" s="63">
        <v>0.12</v>
      </c>
      <c r="J55" s="63">
        <v>0.42</v>
      </c>
      <c r="K55" s="63">
        <v>0.45</v>
      </c>
      <c r="L55" s="63">
        <v>0.5</v>
      </c>
      <c r="M55" s="25">
        <v>56</v>
      </c>
      <c r="N55" s="25">
        <v>7</v>
      </c>
      <c r="O55" s="61">
        <v>0</v>
      </c>
      <c r="P55" s="61">
        <v>0.21</v>
      </c>
      <c r="Q55" s="61">
        <v>0.73</v>
      </c>
      <c r="R55" s="61">
        <v>0.06</v>
      </c>
      <c r="S55" s="61">
        <v>0.41</v>
      </c>
      <c r="T55" s="61">
        <v>0.44</v>
      </c>
      <c r="U55" s="61">
        <v>0.44</v>
      </c>
      <c r="V55" s="25">
        <v>57</v>
      </c>
      <c r="W55" s="25">
        <v>8</v>
      </c>
      <c r="X55" s="66">
        <v>0.04</v>
      </c>
      <c r="Y55" s="66">
        <v>0.21</v>
      </c>
      <c r="Z55" s="66">
        <v>0.53</v>
      </c>
      <c r="AA55" s="66">
        <v>0.23</v>
      </c>
      <c r="AB55" s="66">
        <v>0.36</v>
      </c>
      <c r="AC55" s="66">
        <v>0.42</v>
      </c>
      <c r="AD55" s="66">
        <v>0.47</v>
      </c>
      <c r="AE55" s="12">
        <v>56</v>
      </c>
      <c r="AF55" s="12">
        <v>8</v>
      </c>
      <c r="AG55" s="63">
        <v>0</v>
      </c>
      <c r="AH55" s="63">
        <v>0.25</v>
      </c>
      <c r="AI55" s="63">
        <v>0.63</v>
      </c>
      <c r="AJ55" s="63">
        <v>0.12</v>
      </c>
      <c r="AK55" s="63">
        <v>0.37</v>
      </c>
      <c r="AL55" s="63">
        <v>0.32</v>
      </c>
      <c r="AM55" s="63">
        <v>0.38</v>
      </c>
      <c r="AN55" s="35">
        <v>54</v>
      </c>
      <c r="AO55" s="35">
        <v>9</v>
      </c>
      <c r="AP55" s="40">
        <v>0.02</v>
      </c>
      <c r="AQ55" s="40">
        <v>0.35</v>
      </c>
      <c r="AR55" s="40">
        <v>0.55000000000000004</v>
      </c>
      <c r="AS55" s="40">
        <v>0.09</v>
      </c>
      <c r="AT55" s="40">
        <v>0.43</v>
      </c>
      <c r="AU55" s="40">
        <v>0.38</v>
      </c>
      <c r="AV55" s="40">
        <v>0.42</v>
      </c>
      <c r="AW55" s="246">
        <v>55</v>
      </c>
      <c r="AX55" s="246" t="s">
        <v>758</v>
      </c>
      <c r="AY55" s="246">
        <v>8</v>
      </c>
      <c r="AZ55" s="246" t="s">
        <v>758</v>
      </c>
      <c r="BA55" s="263">
        <v>0</v>
      </c>
      <c r="BB55" s="263">
        <v>0.32</v>
      </c>
      <c r="BC55" s="263">
        <v>0.55000000000000004</v>
      </c>
      <c r="BD55" s="263">
        <v>0.13</v>
      </c>
      <c r="BE55" s="263">
        <v>0.44</v>
      </c>
      <c r="BF55" s="263">
        <v>0.32</v>
      </c>
      <c r="BG55" s="263">
        <v>0.53</v>
      </c>
      <c r="BH55" s="309">
        <v>57</v>
      </c>
      <c r="BI55" s="309" t="s">
        <v>758</v>
      </c>
      <c r="BJ55" s="309">
        <v>7</v>
      </c>
      <c r="BK55" s="309" t="s">
        <v>758</v>
      </c>
      <c r="BL55" s="327">
        <v>0</v>
      </c>
      <c r="BM55" s="327">
        <v>0.23</v>
      </c>
      <c r="BN55" s="327">
        <v>0.68</v>
      </c>
      <c r="BO55" s="327">
        <v>0.09</v>
      </c>
      <c r="BP55" s="327">
        <v>0.4</v>
      </c>
      <c r="BQ55" s="327">
        <v>0.31</v>
      </c>
      <c r="BR55" s="327">
        <v>0.42</v>
      </c>
      <c r="BS55" s="424">
        <v>55</v>
      </c>
      <c r="BT55" s="424" t="s">
        <v>758</v>
      </c>
      <c r="BU55" s="424">
        <v>9</v>
      </c>
      <c r="BV55" s="424" t="s">
        <v>758</v>
      </c>
      <c r="BW55" s="428">
        <v>0.02</v>
      </c>
      <c r="BX55" s="428">
        <v>0.26</v>
      </c>
      <c r="BY55" s="428">
        <v>0.57999999999999996</v>
      </c>
      <c r="BZ55" s="428">
        <v>0.14000000000000001</v>
      </c>
      <c r="CA55" s="428">
        <v>0.35</v>
      </c>
      <c r="CB55" s="428">
        <v>0.44</v>
      </c>
      <c r="CC55" s="428">
        <v>0.49</v>
      </c>
      <c r="CD55" s="464">
        <v>58</v>
      </c>
      <c r="CE55" s="464" t="s">
        <v>758</v>
      </c>
      <c r="CF55" s="464">
        <v>8</v>
      </c>
      <c r="CG55" s="464" t="s">
        <v>758</v>
      </c>
      <c r="CH55" s="476">
        <v>0.02</v>
      </c>
      <c r="CI55" s="476">
        <v>0.11</v>
      </c>
      <c r="CJ55" s="476">
        <v>0.68</v>
      </c>
      <c r="CK55" s="476">
        <v>0.19</v>
      </c>
      <c r="CL55" s="476">
        <v>0.41</v>
      </c>
      <c r="CM55" s="476">
        <v>0.4</v>
      </c>
      <c r="CN55" s="476">
        <v>0.28000000000000003</v>
      </c>
      <c r="CO55" s="902">
        <v>58</v>
      </c>
      <c r="CP55" s="902" t="s">
        <v>758</v>
      </c>
      <c r="CQ55" s="902">
        <v>8</v>
      </c>
      <c r="CR55" s="902" t="s">
        <v>758</v>
      </c>
      <c r="CS55" s="949">
        <v>0</v>
      </c>
      <c r="CT55" s="949">
        <v>0.15</v>
      </c>
      <c r="CU55" s="949">
        <v>0.64</v>
      </c>
      <c r="CV55" s="949">
        <v>0.2</v>
      </c>
      <c r="CW55" s="949">
        <v>0.28000000000000003</v>
      </c>
      <c r="CX55" s="949">
        <v>0.37</v>
      </c>
      <c r="CY55" s="949">
        <v>0.46</v>
      </c>
      <c r="CZ55" s="26">
        <v>325754002961</v>
      </c>
      <c r="DA55" s="803" t="s">
        <v>60</v>
      </c>
    </row>
    <row r="56" spans="1:105" ht="24.95" customHeight="1" x14ac:dyDescent="0.2">
      <c r="A56" s="804" t="s">
        <v>131</v>
      </c>
      <c r="B56" s="1" t="s">
        <v>123</v>
      </c>
      <c r="C56" s="309">
        <v>1</v>
      </c>
      <c r="D56" s="328"/>
      <c r="E56" s="328"/>
      <c r="F56" s="328"/>
      <c r="G56" s="328"/>
      <c r="H56" s="328"/>
      <c r="I56" s="328"/>
      <c r="J56" s="328"/>
      <c r="K56" s="328"/>
      <c r="L56" s="328"/>
      <c r="M56" s="328" t="s">
        <v>126</v>
      </c>
      <c r="N56" s="328" t="s">
        <v>126</v>
      </c>
      <c r="O56" s="330"/>
      <c r="P56" s="330"/>
      <c r="Q56" s="330"/>
      <c r="R56" s="330"/>
      <c r="S56" s="330"/>
      <c r="T56" s="330"/>
      <c r="U56" s="330"/>
      <c r="V56" s="329">
        <v>59</v>
      </c>
      <c r="W56" s="329">
        <v>9</v>
      </c>
      <c r="X56" s="333">
        <v>0</v>
      </c>
      <c r="Y56" s="333">
        <v>0.17</v>
      </c>
      <c r="Z56" s="333">
        <v>0.67</v>
      </c>
      <c r="AA56" s="333">
        <v>0.17</v>
      </c>
      <c r="AB56" s="333">
        <v>0.43</v>
      </c>
      <c r="AC56" s="333">
        <v>0.28999999999999998</v>
      </c>
      <c r="AD56" s="333">
        <v>0.36</v>
      </c>
      <c r="AE56" s="328">
        <v>52</v>
      </c>
      <c r="AF56" s="328">
        <v>9</v>
      </c>
      <c r="AG56" s="327">
        <v>0</v>
      </c>
      <c r="AH56" s="327">
        <v>0.5</v>
      </c>
      <c r="AI56" s="327">
        <v>0.4</v>
      </c>
      <c r="AJ56" s="327">
        <v>0.1</v>
      </c>
      <c r="AK56" s="327">
        <v>0.46</v>
      </c>
      <c r="AL56" s="327">
        <v>0.26</v>
      </c>
      <c r="AM56" s="327">
        <v>0.56000000000000005</v>
      </c>
      <c r="AN56" s="311">
        <v>53</v>
      </c>
      <c r="AO56" s="311">
        <v>6</v>
      </c>
      <c r="AP56" s="331">
        <v>0</v>
      </c>
      <c r="AQ56" s="331">
        <v>0.3</v>
      </c>
      <c r="AR56" s="331">
        <v>0.7</v>
      </c>
      <c r="AS56" s="331">
        <v>0</v>
      </c>
      <c r="AT56" s="331">
        <v>0.45</v>
      </c>
      <c r="AU56" s="331">
        <v>0.39</v>
      </c>
      <c r="AV56" s="331">
        <v>0.52</v>
      </c>
      <c r="AW56" s="312">
        <v>58</v>
      </c>
      <c r="AX56" s="312" t="s">
        <v>758</v>
      </c>
      <c r="AY56" s="312">
        <v>4</v>
      </c>
      <c r="AZ56" s="312" t="s">
        <v>760</v>
      </c>
      <c r="BA56" s="332">
        <v>0</v>
      </c>
      <c r="BB56" s="332">
        <v>0</v>
      </c>
      <c r="BC56" s="332">
        <v>1</v>
      </c>
      <c r="BD56" s="332">
        <v>0</v>
      </c>
      <c r="BE56" s="332">
        <v>0.31</v>
      </c>
      <c r="BF56" s="332">
        <v>0.33</v>
      </c>
      <c r="BG56" s="332">
        <v>0.52</v>
      </c>
      <c r="BH56" s="309">
        <v>59</v>
      </c>
      <c r="BI56" s="309" t="s">
        <v>758</v>
      </c>
      <c r="BJ56" s="309">
        <v>6</v>
      </c>
      <c r="BK56" s="309" t="s">
        <v>758</v>
      </c>
      <c r="BL56" s="327">
        <v>0</v>
      </c>
      <c r="BM56" s="327">
        <v>0.1</v>
      </c>
      <c r="BN56" s="327">
        <v>0.9</v>
      </c>
      <c r="BO56" s="327">
        <v>0</v>
      </c>
      <c r="BP56" s="327">
        <v>0.38</v>
      </c>
      <c r="BQ56" s="327">
        <v>0.24</v>
      </c>
      <c r="BR56" s="327">
        <v>0.41</v>
      </c>
      <c r="BS56" s="424">
        <v>59</v>
      </c>
      <c r="BT56" s="424" t="s">
        <v>758</v>
      </c>
      <c r="BU56" s="424">
        <v>8</v>
      </c>
      <c r="BV56" s="424" t="s">
        <v>758</v>
      </c>
      <c r="BW56" s="428">
        <v>0</v>
      </c>
      <c r="BX56" s="428">
        <v>0.15</v>
      </c>
      <c r="BY56" s="428">
        <v>0.6</v>
      </c>
      <c r="BZ56" s="428">
        <v>0.25</v>
      </c>
      <c r="CA56" s="428">
        <v>0.28999999999999998</v>
      </c>
      <c r="CB56" s="428">
        <v>0.39</v>
      </c>
      <c r="CC56" s="428">
        <v>0.44</v>
      </c>
      <c r="CD56" s="464">
        <v>52</v>
      </c>
      <c r="CE56" s="464" t="s">
        <v>758</v>
      </c>
      <c r="CF56" s="464">
        <v>7</v>
      </c>
      <c r="CG56" s="464" t="s">
        <v>758</v>
      </c>
      <c r="CH56" s="476">
        <v>0</v>
      </c>
      <c r="CI56" s="476">
        <v>0.28999999999999998</v>
      </c>
      <c r="CJ56" s="476">
        <v>0.71</v>
      </c>
      <c r="CK56" s="476">
        <v>0</v>
      </c>
      <c r="CL56" s="476">
        <v>0.42</v>
      </c>
      <c r="CM56" s="476">
        <v>0.56000000000000005</v>
      </c>
      <c r="CN56" s="476">
        <v>0.34</v>
      </c>
      <c r="CO56" s="902">
        <v>57</v>
      </c>
      <c r="CP56" s="902" t="s">
        <v>758</v>
      </c>
      <c r="CQ56" s="902">
        <v>7</v>
      </c>
      <c r="CR56" s="902" t="s">
        <v>758</v>
      </c>
      <c r="CS56" s="949">
        <v>0</v>
      </c>
      <c r="CT56" s="949">
        <v>0.23</v>
      </c>
      <c r="CU56" s="949">
        <v>0.69</v>
      </c>
      <c r="CV56" s="949">
        <v>0.08</v>
      </c>
      <c r="CW56" s="949">
        <v>0.25</v>
      </c>
      <c r="CX56" s="949">
        <v>0.43</v>
      </c>
      <c r="CY56" s="949">
        <v>0.46</v>
      </c>
      <c r="CZ56" s="26">
        <v>325754005226</v>
      </c>
      <c r="DA56" s="804" t="s">
        <v>131</v>
      </c>
    </row>
    <row r="57" spans="1:105" ht="24.95" customHeight="1" x14ac:dyDescent="0.2">
      <c r="A57" s="803" t="s">
        <v>67</v>
      </c>
      <c r="B57" s="1" t="s">
        <v>123</v>
      </c>
      <c r="C57" s="2">
        <v>2</v>
      </c>
      <c r="D57" s="12">
        <v>53</v>
      </c>
      <c r="E57" s="12">
        <v>7</v>
      </c>
      <c r="F57" s="63">
        <v>0.03</v>
      </c>
      <c r="G57" s="63">
        <v>0.26</v>
      </c>
      <c r="H57" s="63">
        <v>0.68</v>
      </c>
      <c r="I57" s="63">
        <v>0.03</v>
      </c>
      <c r="J57" s="63">
        <v>0.42</v>
      </c>
      <c r="K57" s="63">
        <v>0.47</v>
      </c>
      <c r="L57" s="63">
        <v>0.56000000000000005</v>
      </c>
      <c r="M57" s="25">
        <v>55</v>
      </c>
      <c r="N57" s="25">
        <v>9</v>
      </c>
      <c r="O57" s="61">
        <v>0.02</v>
      </c>
      <c r="P57" s="61">
        <v>0.26</v>
      </c>
      <c r="Q57" s="61">
        <v>0.65</v>
      </c>
      <c r="R57" s="61">
        <v>7.0000000000000007E-2</v>
      </c>
      <c r="S57" s="61">
        <v>0.43</v>
      </c>
      <c r="T57" s="61">
        <v>0.46</v>
      </c>
      <c r="U57" s="61">
        <v>0.44</v>
      </c>
      <c r="V57" s="25">
        <v>55</v>
      </c>
      <c r="W57" s="25">
        <v>9</v>
      </c>
      <c r="X57" s="66">
        <v>0</v>
      </c>
      <c r="Y57" s="66">
        <v>0.28999999999999998</v>
      </c>
      <c r="Z57" s="66">
        <v>0.6</v>
      </c>
      <c r="AA57" s="66">
        <v>0.11</v>
      </c>
      <c r="AB57" s="66">
        <v>0.41</v>
      </c>
      <c r="AC57" s="66">
        <v>0.47</v>
      </c>
      <c r="AD57" s="66">
        <v>0.49</v>
      </c>
      <c r="AE57" s="12">
        <v>56</v>
      </c>
      <c r="AF57" s="12">
        <v>9</v>
      </c>
      <c r="AG57" s="63">
        <v>0.02</v>
      </c>
      <c r="AH57" s="63">
        <v>0.25</v>
      </c>
      <c r="AI57" s="63">
        <v>0.57999999999999996</v>
      </c>
      <c r="AJ57" s="63">
        <v>0.16</v>
      </c>
      <c r="AK57" s="63">
        <v>0.39</v>
      </c>
      <c r="AL57" s="63">
        <v>0.32</v>
      </c>
      <c r="AM57" s="63">
        <v>0.36</v>
      </c>
      <c r="AN57" s="35">
        <v>54</v>
      </c>
      <c r="AO57" s="35">
        <v>7</v>
      </c>
      <c r="AP57" s="40">
        <v>0.01</v>
      </c>
      <c r="AQ57" s="40">
        <v>0.33</v>
      </c>
      <c r="AR57" s="40">
        <v>0.62</v>
      </c>
      <c r="AS57" s="40">
        <v>0.04</v>
      </c>
      <c r="AT57" s="40">
        <v>0.46</v>
      </c>
      <c r="AU57" s="40">
        <v>0.36</v>
      </c>
      <c r="AV57" s="40">
        <v>0.44</v>
      </c>
      <c r="AW57" s="246">
        <v>60</v>
      </c>
      <c r="AX57" s="246" t="s">
        <v>758</v>
      </c>
      <c r="AY57" s="246">
        <v>7</v>
      </c>
      <c r="AZ57" s="246" t="s">
        <v>758</v>
      </c>
      <c r="BA57" s="263">
        <v>0</v>
      </c>
      <c r="BB57" s="263">
        <v>0.18</v>
      </c>
      <c r="BC57" s="263">
        <v>0.63</v>
      </c>
      <c r="BD57" s="263">
        <v>0.18</v>
      </c>
      <c r="BE57" s="263">
        <v>0.34</v>
      </c>
      <c r="BF57" s="263">
        <v>0.23</v>
      </c>
      <c r="BG57" s="263">
        <v>0.47</v>
      </c>
      <c r="BH57" s="309">
        <v>58</v>
      </c>
      <c r="BI57" s="309" t="s">
        <v>758</v>
      </c>
      <c r="BJ57" s="309">
        <v>9</v>
      </c>
      <c r="BK57" s="309" t="s">
        <v>758</v>
      </c>
      <c r="BL57" s="327">
        <v>0.01</v>
      </c>
      <c r="BM57" s="327">
        <v>0.19</v>
      </c>
      <c r="BN57" s="327">
        <v>0.61</v>
      </c>
      <c r="BO57" s="327">
        <v>0.19</v>
      </c>
      <c r="BP57" s="327">
        <v>0.4</v>
      </c>
      <c r="BQ57" s="327">
        <v>0.28999999999999998</v>
      </c>
      <c r="BR57" s="327">
        <v>0.38</v>
      </c>
      <c r="BS57" s="424">
        <v>56</v>
      </c>
      <c r="BT57" s="424" t="s">
        <v>758</v>
      </c>
      <c r="BU57" s="424">
        <v>10</v>
      </c>
      <c r="BV57" s="424" t="s">
        <v>758</v>
      </c>
      <c r="BW57" s="428">
        <v>0.04</v>
      </c>
      <c r="BX57" s="428">
        <v>0.24</v>
      </c>
      <c r="BY57" s="428">
        <v>0.57999999999999996</v>
      </c>
      <c r="BZ57" s="428">
        <v>0.15</v>
      </c>
      <c r="CA57" s="428">
        <v>0.32</v>
      </c>
      <c r="CB57" s="428">
        <v>0.42</v>
      </c>
      <c r="CC57" s="428">
        <v>0.47</v>
      </c>
      <c r="CD57" s="464">
        <v>58</v>
      </c>
      <c r="CE57" s="464" t="s">
        <v>758</v>
      </c>
      <c r="CF57" s="464">
        <v>9</v>
      </c>
      <c r="CG57" s="464" t="s">
        <v>758</v>
      </c>
      <c r="CH57" s="476">
        <v>0</v>
      </c>
      <c r="CI57" s="476">
        <v>0.21</v>
      </c>
      <c r="CJ57" s="476">
        <v>0.51</v>
      </c>
      <c r="CK57" s="476">
        <v>0.28000000000000003</v>
      </c>
      <c r="CL57" s="476">
        <v>0.37</v>
      </c>
      <c r="CM57" s="476">
        <v>0.39</v>
      </c>
      <c r="CN57" s="476">
        <v>0.3</v>
      </c>
      <c r="CO57" s="902">
        <v>58</v>
      </c>
      <c r="CP57" s="902" t="s">
        <v>758</v>
      </c>
      <c r="CQ57" s="902">
        <v>8</v>
      </c>
      <c r="CR57" s="902" t="s">
        <v>758</v>
      </c>
      <c r="CS57" s="949">
        <v>0.02</v>
      </c>
      <c r="CT57" s="949">
        <v>0.1</v>
      </c>
      <c r="CU57" s="949">
        <v>0.71</v>
      </c>
      <c r="CV57" s="949">
        <v>0.16</v>
      </c>
      <c r="CW57" s="949">
        <v>0.27</v>
      </c>
      <c r="CX57" s="949">
        <v>0.38</v>
      </c>
      <c r="CY57" s="949">
        <v>0.47</v>
      </c>
      <c r="CZ57" s="26">
        <v>325754004131</v>
      </c>
      <c r="DA57" s="803" t="s">
        <v>67</v>
      </c>
    </row>
    <row r="58" spans="1:105" ht="24.95" customHeight="1" x14ac:dyDescent="0.2">
      <c r="A58" s="803" t="s">
        <v>85</v>
      </c>
      <c r="B58" s="1" t="s">
        <v>123</v>
      </c>
      <c r="C58" s="2">
        <v>3</v>
      </c>
      <c r="D58" s="12">
        <v>55</v>
      </c>
      <c r="E58" s="12">
        <v>9</v>
      </c>
      <c r="F58" s="63">
        <v>0.04</v>
      </c>
      <c r="G58" s="63">
        <v>0.22</v>
      </c>
      <c r="H58" s="63">
        <v>0.67</v>
      </c>
      <c r="I58" s="63">
        <v>7.0000000000000007E-2</v>
      </c>
      <c r="J58" s="63">
        <v>0.35</v>
      </c>
      <c r="K58" s="63">
        <v>0.43</v>
      </c>
      <c r="L58" s="63">
        <v>0.55000000000000004</v>
      </c>
      <c r="M58" s="25">
        <v>53</v>
      </c>
      <c r="N58" s="25">
        <v>8</v>
      </c>
      <c r="O58" s="61">
        <v>0</v>
      </c>
      <c r="P58" s="61">
        <v>0.36</v>
      </c>
      <c r="Q58" s="61">
        <v>0.56999999999999995</v>
      </c>
      <c r="R58" s="61">
        <v>7.0000000000000007E-2</v>
      </c>
      <c r="S58" s="61">
        <v>0.55000000000000004</v>
      </c>
      <c r="T58" s="61">
        <v>0.5</v>
      </c>
      <c r="U58" s="61">
        <v>0.48</v>
      </c>
      <c r="V58" s="25">
        <v>57</v>
      </c>
      <c r="W58" s="25">
        <v>7</v>
      </c>
      <c r="X58" s="66">
        <v>0</v>
      </c>
      <c r="Y58" s="66">
        <v>0.13</v>
      </c>
      <c r="Z58" s="66">
        <v>0.74</v>
      </c>
      <c r="AA58" s="66">
        <v>0.13</v>
      </c>
      <c r="AB58" s="66">
        <v>0.38</v>
      </c>
      <c r="AC58" s="66">
        <v>0.42</v>
      </c>
      <c r="AD58" s="66">
        <v>0.48</v>
      </c>
      <c r="AE58" s="12">
        <v>54</v>
      </c>
      <c r="AF58" s="12">
        <v>7</v>
      </c>
      <c r="AG58" s="63">
        <v>0</v>
      </c>
      <c r="AH58" s="63">
        <v>0.32</v>
      </c>
      <c r="AI58" s="63">
        <v>0.68</v>
      </c>
      <c r="AJ58" s="63">
        <v>0</v>
      </c>
      <c r="AK58" s="63">
        <v>0.41</v>
      </c>
      <c r="AL58" s="63">
        <v>0.36</v>
      </c>
      <c r="AM58" s="63">
        <v>0.42</v>
      </c>
      <c r="AN58" s="35">
        <v>55</v>
      </c>
      <c r="AO58" s="35">
        <v>9</v>
      </c>
      <c r="AP58" s="40">
        <v>0.03</v>
      </c>
      <c r="AQ58" s="40">
        <v>0.21</v>
      </c>
      <c r="AR58" s="40">
        <v>0.66</v>
      </c>
      <c r="AS58" s="40">
        <v>0.1</v>
      </c>
      <c r="AT58" s="40">
        <v>0.48</v>
      </c>
      <c r="AU58" s="40">
        <v>0.34</v>
      </c>
      <c r="AV58" s="40">
        <v>0.39</v>
      </c>
      <c r="AW58" s="246">
        <v>57</v>
      </c>
      <c r="AX58" s="246" t="s">
        <v>758</v>
      </c>
      <c r="AY58" s="246">
        <v>8</v>
      </c>
      <c r="AZ58" s="246" t="s">
        <v>758</v>
      </c>
      <c r="BA58" s="263">
        <v>0.02</v>
      </c>
      <c r="BB58" s="263">
        <v>0.15</v>
      </c>
      <c r="BC58" s="263">
        <v>0.72</v>
      </c>
      <c r="BD58" s="263">
        <v>0.11</v>
      </c>
      <c r="BE58" s="263">
        <v>0.38</v>
      </c>
      <c r="BF58" s="263">
        <v>0.31</v>
      </c>
      <c r="BG58" s="263">
        <v>0.49</v>
      </c>
      <c r="BH58" s="309">
        <v>51</v>
      </c>
      <c r="BI58" s="309" t="s">
        <v>758</v>
      </c>
      <c r="BJ58" s="309">
        <v>7</v>
      </c>
      <c r="BK58" s="309" t="s">
        <v>758</v>
      </c>
      <c r="BL58" s="327">
        <v>0.03</v>
      </c>
      <c r="BM58" s="327">
        <v>0.38</v>
      </c>
      <c r="BN58" s="327">
        <v>0.56000000000000005</v>
      </c>
      <c r="BO58" s="327">
        <v>0.03</v>
      </c>
      <c r="BP58" s="327">
        <v>0.53</v>
      </c>
      <c r="BQ58" s="327">
        <v>0.38</v>
      </c>
      <c r="BR58" s="327">
        <v>0.5</v>
      </c>
      <c r="BS58" s="424">
        <v>54</v>
      </c>
      <c r="BT58" s="424" t="s">
        <v>758</v>
      </c>
      <c r="BU58" s="424">
        <v>9</v>
      </c>
      <c r="BV58" s="424" t="s">
        <v>758</v>
      </c>
      <c r="BW58" s="428">
        <v>0</v>
      </c>
      <c r="BX58" s="428">
        <v>0.37</v>
      </c>
      <c r="BY58" s="428">
        <v>0.53</v>
      </c>
      <c r="BZ58" s="428">
        <v>0.11</v>
      </c>
      <c r="CA58" s="428">
        <v>0.37</v>
      </c>
      <c r="CB58" s="428">
        <v>0.49</v>
      </c>
      <c r="CC58" s="428">
        <v>0.49</v>
      </c>
      <c r="CD58" s="464">
        <v>56</v>
      </c>
      <c r="CE58" s="464" t="s">
        <v>758</v>
      </c>
      <c r="CF58" s="464">
        <v>9</v>
      </c>
      <c r="CG58" s="464" t="s">
        <v>758</v>
      </c>
      <c r="CH58" s="476">
        <v>0</v>
      </c>
      <c r="CI58" s="476">
        <v>0.28999999999999998</v>
      </c>
      <c r="CJ58" s="476">
        <v>0.6</v>
      </c>
      <c r="CK58" s="476">
        <v>0.11</v>
      </c>
      <c r="CL58" s="476">
        <v>0.42</v>
      </c>
      <c r="CM58" s="476">
        <v>0.42</v>
      </c>
      <c r="CN58" s="476">
        <v>0.34</v>
      </c>
      <c r="CO58" s="902">
        <v>55</v>
      </c>
      <c r="CP58" s="902" t="s">
        <v>758</v>
      </c>
      <c r="CQ58" s="902">
        <v>8</v>
      </c>
      <c r="CR58" s="902" t="s">
        <v>758</v>
      </c>
      <c r="CS58" s="949">
        <v>0</v>
      </c>
      <c r="CT58" s="949">
        <v>0.27</v>
      </c>
      <c r="CU58" s="949">
        <v>0.57999999999999996</v>
      </c>
      <c r="CV58" s="949">
        <v>0.15</v>
      </c>
      <c r="CW58" s="949">
        <v>0.32</v>
      </c>
      <c r="CX58" s="949">
        <v>0.43</v>
      </c>
      <c r="CY58" s="949">
        <v>0.51</v>
      </c>
      <c r="CZ58" s="26">
        <v>325754000771</v>
      </c>
      <c r="DA58" s="803" t="s">
        <v>85</v>
      </c>
    </row>
    <row r="59" spans="1:105" ht="24.95" customHeight="1" x14ac:dyDescent="0.2">
      <c r="A59" s="803" t="s">
        <v>727</v>
      </c>
      <c r="B59" s="1" t="s">
        <v>123</v>
      </c>
      <c r="C59" s="2">
        <v>4</v>
      </c>
      <c r="D59" s="12"/>
      <c r="E59" s="12"/>
      <c r="F59" s="63"/>
      <c r="G59" s="63"/>
      <c r="H59" s="63"/>
      <c r="I59" s="63"/>
      <c r="J59" s="63"/>
      <c r="K59" s="63"/>
      <c r="L59" s="63"/>
      <c r="M59" s="25"/>
      <c r="N59" s="25"/>
      <c r="O59" s="61"/>
      <c r="P59" s="61"/>
      <c r="Q59" s="61"/>
      <c r="R59" s="61"/>
      <c r="S59" s="61"/>
      <c r="T59" s="61"/>
      <c r="U59" s="61"/>
      <c r="V59" s="25"/>
      <c r="W59" s="25"/>
      <c r="X59" s="66"/>
      <c r="Y59" s="66"/>
      <c r="Z59" s="66"/>
      <c r="AA59" s="66"/>
      <c r="AB59" s="66"/>
      <c r="AC59" s="66"/>
      <c r="AD59" s="66"/>
      <c r="AE59" s="12"/>
      <c r="AF59" s="12"/>
      <c r="AG59" s="63"/>
      <c r="AH59" s="63"/>
      <c r="AI59" s="63"/>
      <c r="AJ59" s="63"/>
      <c r="AK59" s="63"/>
      <c r="AL59" s="63"/>
      <c r="AM59" s="63"/>
      <c r="AN59" s="35"/>
      <c r="AO59" s="35"/>
      <c r="AP59" s="40"/>
      <c r="AQ59" s="40"/>
      <c r="AR59" s="40"/>
      <c r="AS59" s="40"/>
      <c r="AT59" s="40"/>
      <c r="AU59" s="40"/>
      <c r="AV59" s="40"/>
      <c r="AW59" s="646"/>
      <c r="AX59" s="646"/>
      <c r="AY59" s="646"/>
      <c r="AZ59" s="646"/>
      <c r="BA59" s="646"/>
      <c r="BB59" s="646"/>
      <c r="BC59" s="646"/>
      <c r="BD59" s="646"/>
      <c r="BE59" s="646"/>
      <c r="BF59" s="646"/>
      <c r="BG59" s="646"/>
      <c r="BH59" s="649"/>
      <c r="BI59" s="649"/>
      <c r="BJ59" s="649"/>
      <c r="BK59" s="649"/>
      <c r="BL59" s="649"/>
      <c r="BM59" s="649"/>
      <c r="BN59" s="649"/>
      <c r="BO59" s="649"/>
      <c r="BP59" s="649"/>
      <c r="BQ59" s="649"/>
      <c r="BR59" s="649"/>
      <c r="BS59" s="651"/>
      <c r="BT59" s="651"/>
      <c r="BU59" s="651"/>
      <c r="BV59" s="651"/>
      <c r="BW59" s="651"/>
      <c r="BX59" s="651"/>
      <c r="BY59" s="651"/>
      <c r="BZ59" s="651"/>
      <c r="CA59" s="651"/>
      <c r="CB59" s="651"/>
      <c r="CC59" s="651"/>
      <c r="CD59" s="650"/>
      <c r="CE59" s="650"/>
      <c r="CF59" s="650"/>
      <c r="CG59" s="650"/>
      <c r="CH59" s="650"/>
      <c r="CI59" s="650"/>
      <c r="CJ59" s="650"/>
      <c r="CK59" s="650"/>
      <c r="CL59" s="650"/>
      <c r="CM59" s="650"/>
      <c r="CN59" s="650"/>
      <c r="CS59" s="949"/>
      <c r="CT59" s="949"/>
      <c r="CU59" s="949"/>
      <c r="CV59" s="949"/>
      <c r="CW59" s="949"/>
      <c r="CX59" s="949"/>
      <c r="CY59" s="949"/>
      <c r="CZ59" s="26"/>
      <c r="DA59" s="803" t="s">
        <v>727</v>
      </c>
    </row>
    <row r="60" spans="1:105" ht="24.95" customHeight="1" x14ac:dyDescent="0.2">
      <c r="A60" s="803" t="s">
        <v>109</v>
      </c>
      <c r="B60" s="1" t="s">
        <v>123</v>
      </c>
      <c r="C60" s="2">
        <v>3</v>
      </c>
      <c r="D60" s="12">
        <v>56</v>
      </c>
      <c r="E60" s="12">
        <v>8</v>
      </c>
      <c r="F60" s="63">
        <v>0</v>
      </c>
      <c r="G60" s="63">
        <v>0.23</v>
      </c>
      <c r="H60" s="63">
        <v>0.66</v>
      </c>
      <c r="I60" s="63">
        <v>0.11</v>
      </c>
      <c r="J60" s="63">
        <v>0.36</v>
      </c>
      <c r="K60" s="63">
        <v>0.43</v>
      </c>
      <c r="L60" s="63">
        <v>0.49</v>
      </c>
      <c r="M60" s="25">
        <v>59</v>
      </c>
      <c r="N60" s="25">
        <v>7</v>
      </c>
      <c r="O60" s="61">
        <v>0</v>
      </c>
      <c r="P60" s="61">
        <v>0.09</v>
      </c>
      <c r="Q60" s="61">
        <v>0.73</v>
      </c>
      <c r="R60" s="61">
        <v>0.18</v>
      </c>
      <c r="S60" s="61">
        <v>0.37</v>
      </c>
      <c r="T60" s="61">
        <v>0.41</v>
      </c>
      <c r="U60" s="61">
        <v>0.36</v>
      </c>
      <c r="V60" s="25">
        <v>57</v>
      </c>
      <c r="W60" s="25">
        <v>8</v>
      </c>
      <c r="X60" s="66">
        <v>0.02</v>
      </c>
      <c r="Y60" s="66">
        <v>0.15</v>
      </c>
      <c r="Z60" s="66">
        <v>0.66</v>
      </c>
      <c r="AA60" s="66">
        <v>0.18</v>
      </c>
      <c r="AB60" s="66">
        <v>0.39</v>
      </c>
      <c r="AC60" s="66">
        <v>0.42</v>
      </c>
      <c r="AD60" s="66">
        <v>0.43</v>
      </c>
      <c r="AE60" s="12">
        <v>59</v>
      </c>
      <c r="AF60" s="12">
        <v>7</v>
      </c>
      <c r="AG60" s="63">
        <v>0</v>
      </c>
      <c r="AH60" s="63">
        <v>0.14000000000000001</v>
      </c>
      <c r="AI60" s="63">
        <v>0.69</v>
      </c>
      <c r="AJ60" s="63">
        <v>0.17</v>
      </c>
      <c r="AK60" s="63">
        <v>0.35</v>
      </c>
      <c r="AL60" s="63">
        <v>0.28999999999999998</v>
      </c>
      <c r="AM60" s="63">
        <v>0.35</v>
      </c>
      <c r="AN60" s="35">
        <v>58</v>
      </c>
      <c r="AO60" s="35">
        <v>8</v>
      </c>
      <c r="AP60" s="40">
        <v>0</v>
      </c>
      <c r="AQ60" s="40">
        <v>0.17</v>
      </c>
      <c r="AR60" s="40">
        <v>0.64</v>
      </c>
      <c r="AS60" s="40">
        <v>0.18</v>
      </c>
      <c r="AT60" s="40">
        <v>0.38</v>
      </c>
      <c r="AU60" s="40">
        <v>0.27</v>
      </c>
      <c r="AV60" s="40">
        <v>0.36</v>
      </c>
      <c r="AW60" s="246">
        <v>59</v>
      </c>
      <c r="AX60" s="246" t="s">
        <v>758</v>
      </c>
      <c r="AY60" s="246">
        <v>8</v>
      </c>
      <c r="AZ60" s="246" t="s">
        <v>758</v>
      </c>
      <c r="BA60" s="263">
        <v>0</v>
      </c>
      <c r="BB60" s="263">
        <v>0.16</v>
      </c>
      <c r="BC60" s="263">
        <v>0.59</v>
      </c>
      <c r="BD60" s="263">
        <v>0.25</v>
      </c>
      <c r="BE60" s="263">
        <v>0.35</v>
      </c>
      <c r="BF60" s="263">
        <v>0.26</v>
      </c>
      <c r="BG60" s="263">
        <v>0.44</v>
      </c>
      <c r="BH60" s="309">
        <v>60</v>
      </c>
      <c r="BI60" s="309" t="s">
        <v>758</v>
      </c>
      <c r="BJ60" s="309">
        <v>9</v>
      </c>
      <c r="BK60" s="309" t="s">
        <v>758</v>
      </c>
      <c r="BL60" s="327">
        <v>0.01</v>
      </c>
      <c r="BM60" s="327">
        <v>0.12</v>
      </c>
      <c r="BN60" s="327">
        <v>0.59</v>
      </c>
      <c r="BO60" s="327">
        <v>0.28000000000000003</v>
      </c>
      <c r="BP60" s="327">
        <v>0.37</v>
      </c>
      <c r="BQ60" s="327">
        <v>0.25</v>
      </c>
      <c r="BR60" s="327">
        <v>0.34</v>
      </c>
      <c r="BS60" s="424">
        <v>59</v>
      </c>
      <c r="BT60" s="424" t="s">
        <v>758</v>
      </c>
      <c r="BU60" s="424">
        <v>8</v>
      </c>
      <c r="BV60" s="424" t="s">
        <v>758</v>
      </c>
      <c r="BW60" s="428">
        <v>0.01</v>
      </c>
      <c r="BX60" s="428">
        <v>0.13</v>
      </c>
      <c r="BY60" s="428">
        <v>0.66</v>
      </c>
      <c r="BZ60" s="428">
        <v>0.21</v>
      </c>
      <c r="CA60" s="428">
        <v>0.3</v>
      </c>
      <c r="CB60" s="428">
        <v>0.39</v>
      </c>
      <c r="CC60" s="428">
        <v>0.42</v>
      </c>
      <c r="CD60" s="464">
        <v>60</v>
      </c>
      <c r="CE60" s="464" t="s">
        <v>758</v>
      </c>
      <c r="CF60" s="464">
        <v>8</v>
      </c>
      <c r="CG60" s="464" t="s">
        <v>758</v>
      </c>
      <c r="CH60" s="476">
        <v>0.01</v>
      </c>
      <c r="CI60" s="476">
        <v>0.1</v>
      </c>
      <c r="CJ60" s="476">
        <v>0.63</v>
      </c>
      <c r="CK60" s="476">
        <v>0.26</v>
      </c>
      <c r="CL60" s="476">
        <v>0.37</v>
      </c>
      <c r="CM60" s="476">
        <v>0.36</v>
      </c>
      <c r="CN60" s="476">
        <v>0.23</v>
      </c>
      <c r="CO60" s="902">
        <v>60</v>
      </c>
      <c r="CP60" s="902" t="s">
        <v>758</v>
      </c>
      <c r="CQ60" s="902">
        <v>9</v>
      </c>
      <c r="CR60" s="902" t="s">
        <v>758</v>
      </c>
      <c r="CS60" s="949">
        <v>0.01</v>
      </c>
      <c r="CT60" s="949">
        <v>0.11</v>
      </c>
      <c r="CU60" s="949">
        <v>0.61</v>
      </c>
      <c r="CV60" s="949">
        <v>0.27</v>
      </c>
      <c r="CW60" s="949">
        <v>0.22</v>
      </c>
      <c r="CX60" s="949">
        <v>0.37</v>
      </c>
      <c r="CY60" s="949">
        <v>0.41</v>
      </c>
      <c r="CZ60" s="26">
        <v>325754005412</v>
      </c>
      <c r="DA60" s="803" t="s">
        <v>109</v>
      </c>
    </row>
    <row r="61" spans="1:105" s="892" customFormat="1" ht="24.95" customHeight="1" x14ac:dyDescent="0.2">
      <c r="A61" s="905" t="s">
        <v>960</v>
      </c>
      <c r="B61" s="1" t="s">
        <v>123</v>
      </c>
      <c r="C61" s="867">
        <v>6</v>
      </c>
      <c r="D61" s="868"/>
      <c r="E61" s="868"/>
      <c r="F61" s="906"/>
      <c r="G61" s="906"/>
      <c r="H61" s="906"/>
      <c r="I61" s="906"/>
      <c r="J61" s="906"/>
      <c r="K61" s="906"/>
      <c r="L61" s="906"/>
      <c r="M61" s="869"/>
      <c r="N61" s="869"/>
      <c r="O61" s="907"/>
      <c r="P61" s="907"/>
      <c r="Q61" s="907"/>
      <c r="R61" s="907"/>
      <c r="S61" s="907"/>
      <c r="T61" s="907"/>
      <c r="U61" s="907"/>
      <c r="V61" s="869"/>
      <c r="W61" s="869"/>
      <c r="X61" s="908"/>
      <c r="Y61" s="908"/>
      <c r="Z61" s="908"/>
      <c r="AA61" s="908"/>
      <c r="AB61" s="908"/>
      <c r="AC61" s="908"/>
      <c r="AD61" s="908"/>
      <c r="AE61" s="868"/>
      <c r="AF61" s="868"/>
      <c r="AG61" s="906"/>
      <c r="AH61" s="906"/>
      <c r="AI61" s="906"/>
      <c r="AJ61" s="906"/>
      <c r="AK61" s="906"/>
      <c r="AL61" s="906"/>
      <c r="AM61" s="906"/>
      <c r="AN61" s="909"/>
      <c r="AO61" s="909"/>
      <c r="AP61" s="910"/>
      <c r="AQ61" s="910"/>
      <c r="AR61" s="910"/>
      <c r="AS61" s="910"/>
      <c r="AT61" s="910"/>
      <c r="AU61" s="910"/>
      <c r="AV61" s="910"/>
      <c r="AW61" s="915"/>
      <c r="AX61" s="915"/>
      <c r="AY61" s="915"/>
      <c r="AZ61" s="915"/>
      <c r="BA61" s="916"/>
      <c r="BB61" s="916"/>
      <c r="BC61" s="916"/>
      <c r="BD61" s="916"/>
      <c r="BE61" s="916"/>
      <c r="BF61" s="916"/>
      <c r="BG61" s="916"/>
      <c r="BH61" s="917"/>
      <c r="BI61" s="917"/>
      <c r="BJ61" s="917"/>
      <c r="BK61" s="917"/>
      <c r="BL61" s="918"/>
      <c r="BM61" s="918"/>
      <c r="BN61" s="918"/>
      <c r="BO61" s="918"/>
      <c r="BP61" s="918"/>
      <c r="BQ61" s="918"/>
      <c r="BR61" s="918"/>
      <c r="BS61" s="919"/>
      <c r="BT61" s="919"/>
      <c r="BU61" s="919"/>
      <c r="BV61" s="919"/>
      <c r="BW61" s="920"/>
      <c r="BX61" s="920"/>
      <c r="BY61" s="920"/>
      <c r="BZ61" s="920"/>
      <c r="CA61" s="920"/>
      <c r="CB61" s="920"/>
      <c r="CC61" s="920"/>
      <c r="CD61" s="917"/>
      <c r="CE61" s="917"/>
      <c r="CF61" s="917"/>
      <c r="CG61" s="917"/>
      <c r="CH61" s="918"/>
      <c r="CI61" s="918"/>
      <c r="CJ61" s="918"/>
      <c r="CK61" s="918"/>
      <c r="CL61" s="918"/>
      <c r="CM61" s="918"/>
      <c r="CN61" s="918"/>
      <c r="CO61" s="902">
        <v>49</v>
      </c>
      <c r="CP61" s="902" t="s">
        <v>758</v>
      </c>
      <c r="CQ61" s="902">
        <v>9</v>
      </c>
      <c r="CR61" s="902" t="s">
        <v>758</v>
      </c>
      <c r="CS61" s="949">
        <v>0</v>
      </c>
      <c r="CT61" s="949">
        <v>0.59</v>
      </c>
      <c r="CU61" s="949">
        <v>0.41</v>
      </c>
      <c r="CV61" s="949">
        <v>0</v>
      </c>
      <c r="CW61" s="949">
        <v>0.41</v>
      </c>
      <c r="CX61" s="949">
        <v>0.54</v>
      </c>
      <c r="CY61" s="949">
        <v>0.64</v>
      </c>
      <c r="CZ61" s="26">
        <v>325754003622</v>
      </c>
      <c r="DA61" s="905" t="s">
        <v>960</v>
      </c>
    </row>
    <row r="62" spans="1:105" ht="24.95" customHeight="1" x14ac:dyDescent="0.2">
      <c r="A62" s="803" t="s">
        <v>97</v>
      </c>
      <c r="B62" s="1" t="s">
        <v>123</v>
      </c>
      <c r="C62" s="2">
        <v>2</v>
      </c>
      <c r="D62" s="12">
        <v>53</v>
      </c>
      <c r="E62" s="12">
        <v>8</v>
      </c>
      <c r="F62" s="63">
        <v>0</v>
      </c>
      <c r="G62" s="63">
        <v>0.36</v>
      </c>
      <c r="H62" s="63">
        <v>0.62</v>
      </c>
      <c r="I62" s="63">
        <v>0.03</v>
      </c>
      <c r="J62" s="63">
        <v>0.44</v>
      </c>
      <c r="K62" s="63">
        <v>0.47</v>
      </c>
      <c r="L62" s="63">
        <v>0.56000000000000005</v>
      </c>
      <c r="M62" s="25">
        <v>54</v>
      </c>
      <c r="N62" s="25">
        <v>8</v>
      </c>
      <c r="O62" s="61">
        <v>0</v>
      </c>
      <c r="P62" s="61">
        <v>0.4</v>
      </c>
      <c r="Q62" s="61">
        <v>0.5</v>
      </c>
      <c r="R62" s="61">
        <v>0.1</v>
      </c>
      <c r="S62" s="61">
        <v>0.42</v>
      </c>
      <c r="T62" s="61">
        <v>0.5</v>
      </c>
      <c r="U62" s="61">
        <v>0.46</v>
      </c>
      <c r="V62" s="25">
        <v>53</v>
      </c>
      <c r="W62" s="25">
        <v>10</v>
      </c>
      <c r="X62" s="66">
        <v>0.03</v>
      </c>
      <c r="Y62" s="66">
        <v>0.25</v>
      </c>
      <c r="Z62" s="66">
        <v>0.61</v>
      </c>
      <c r="AA62" s="66">
        <v>0.11</v>
      </c>
      <c r="AB62" s="66">
        <v>0.47</v>
      </c>
      <c r="AC62" s="66">
        <v>0.44</v>
      </c>
      <c r="AD62" s="66">
        <v>0.48</v>
      </c>
      <c r="AE62" s="12">
        <v>57</v>
      </c>
      <c r="AF62" s="12">
        <v>7</v>
      </c>
      <c r="AG62" s="63">
        <v>0</v>
      </c>
      <c r="AH62" s="63">
        <v>0.15</v>
      </c>
      <c r="AI62" s="63">
        <v>0.73</v>
      </c>
      <c r="AJ62" s="63">
        <v>0.12</v>
      </c>
      <c r="AK62" s="63">
        <v>0.36</v>
      </c>
      <c r="AL62" s="63">
        <v>0.28999999999999998</v>
      </c>
      <c r="AM62" s="63">
        <v>0.37</v>
      </c>
      <c r="AN62" s="35">
        <v>54</v>
      </c>
      <c r="AO62" s="35">
        <v>8</v>
      </c>
      <c r="AP62" s="40">
        <v>0</v>
      </c>
      <c r="AQ62" s="40">
        <v>0.28000000000000003</v>
      </c>
      <c r="AR62" s="40">
        <v>0.67</v>
      </c>
      <c r="AS62" s="40">
        <v>0.06</v>
      </c>
      <c r="AT62" s="40">
        <v>0.46</v>
      </c>
      <c r="AU62" s="40">
        <v>0.33</v>
      </c>
      <c r="AV62" s="40">
        <v>0.42</v>
      </c>
      <c r="AW62" s="647">
        <v>55</v>
      </c>
      <c r="AX62" s="647" t="s">
        <v>758</v>
      </c>
      <c r="AY62" s="647">
        <v>8</v>
      </c>
      <c r="AZ62" s="647" t="s">
        <v>758</v>
      </c>
      <c r="BA62" s="648">
        <v>0</v>
      </c>
      <c r="BB62" s="648">
        <v>0.31</v>
      </c>
      <c r="BC62" s="648">
        <v>0.56000000000000005</v>
      </c>
      <c r="BD62" s="648">
        <v>0.13</v>
      </c>
      <c r="BE62" s="648">
        <v>0.42</v>
      </c>
      <c r="BF62" s="648">
        <v>0.33</v>
      </c>
      <c r="BG62" s="648">
        <v>0.52</v>
      </c>
      <c r="BH62" s="74">
        <v>58</v>
      </c>
      <c r="BI62" s="74" t="s">
        <v>758</v>
      </c>
      <c r="BJ62" s="74">
        <v>7</v>
      </c>
      <c r="BK62" s="74" t="s">
        <v>758</v>
      </c>
      <c r="BL62" s="96">
        <v>0</v>
      </c>
      <c r="BM62" s="96">
        <v>0.16</v>
      </c>
      <c r="BN62" s="96">
        <v>0.68</v>
      </c>
      <c r="BO62" s="96">
        <v>0.16</v>
      </c>
      <c r="BP62" s="96">
        <v>0.4</v>
      </c>
      <c r="BQ62" s="96">
        <v>0.28000000000000003</v>
      </c>
      <c r="BR62" s="96">
        <v>0.38</v>
      </c>
      <c r="BS62" s="652">
        <v>56</v>
      </c>
      <c r="BT62" s="652" t="s">
        <v>758</v>
      </c>
      <c r="BU62" s="652">
        <v>9</v>
      </c>
      <c r="BV62" s="652" t="s">
        <v>758</v>
      </c>
      <c r="BW62" s="653">
        <v>0</v>
      </c>
      <c r="BX62" s="653">
        <v>0.24</v>
      </c>
      <c r="BY62" s="653">
        <v>0.61</v>
      </c>
      <c r="BZ62" s="653">
        <v>0.15</v>
      </c>
      <c r="CA62" s="653">
        <v>0.28999999999999998</v>
      </c>
      <c r="CB62" s="653">
        <v>0.45</v>
      </c>
      <c r="CC62" s="653">
        <v>0.47</v>
      </c>
      <c r="CD62" s="74">
        <v>56</v>
      </c>
      <c r="CE62" s="74" t="s">
        <v>758</v>
      </c>
      <c r="CF62" s="74">
        <v>8</v>
      </c>
      <c r="CG62" s="74" t="s">
        <v>758</v>
      </c>
      <c r="CH62" s="96">
        <v>0.06</v>
      </c>
      <c r="CI62" s="96">
        <v>0.14000000000000001</v>
      </c>
      <c r="CJ62" s="96">
        <v>0.69</v>
      </c>
      <c r="CK62" s="96">
        <v>0.11</v>
      </c>
      <c r="CL62" s="96">
        <v>0.39</v>
      </c>
      <c r="CM62" s="96">
        <v>0.42</v>
      </c>
      <c r="CN62" s="96">
        <v>0.33</v>
      </c>
      <c r="CO62" s="902">
        <v>59</v>
      </c>
      <c r="CP62" s="902" t="s">
        <v>758</v>
      </c>
      <c r="CQ62" s="902">
        <v>9</v>
      </c>
      <c r="CR62" s="902" t="s">
        <v>758</v>
      </c>
      <c r="CS62" s="949">
        <v>0</v>
      </c>
      <c r="CT62" s="949">
        <v>0.21</v>
      </c>
      <c r="CU62" s="949">
        <v>0.53</v>
      </c>
      <c r="CV62" s="949">
        <v>0.26</v>
      </c>
      <c r="CW62" s="949">
        <v>0.28000000000000003</v>
      </c>
      <c r="CX62" s="949">
        <v>0.37</v>
      </c>
      <c r="CY62" s="949">
        <v>0.46</v>
      </c>
      <c r="CZ62" s="26">
        <v>325754000950</v>
      </c>
      <c r="DA62" s="803" t="s">
        <v>97</v>
      </c>
    </row>
    <row r="63" spans="1:105" ht="24.95" customHeight="1" x14ac:dyDescent="0.2">
      <c r="A63" s="803" t="s">
        <v>51</v>
      </c>
      <c r="B63" s="1" t="s">
        <v>123</v>
      </c>
      <c r="C63" s="2">
        <v>2</v>
      </c>
      <c r="D63" s="12">
        <v>60</v>
      </c>
      <c r="E63" s="12">
        <v>6</v>
      </c>
      <c r="F63" s="63">
        <v>0</v>
      </c>
      <c r="G63" s="63">
        <v>0.04</v>
      </c>
      <c r="H63" s="63">
        <v>0.83</v>
      </c>
      <c r="I63" s="63">
        <v>0.13</v>
      </c>
      <c r="J63" s="63">
        <v>0.3</v>
      </c>
      <c r="K63" s="63">
        <v>0.31</v>
      </c>
      <c r="L63" s="63">
        <v>0.46</v>
      </c>
      <c r="M63" s="25">
        <v>62</v>
      </c>
      <c r="N63" s="25">
        <v>4</v>
      </c>
      <c r="O63" s="61">
        <v>0</v>
      </c>
      <c r="P63" s="61">
        <v>0</v>
      </c>
      <c r="Q63" s="61">
        <v>0.79</v>
      </c>
      <c r="R63" s="61">
        <v>0.21</v>
      </c>
      <c r="S63" s="61">
        <v>0.28000000000000003</v>
      </c>
      <c r="T63" s="61">
        <v>0.31</v>
      </c>
      <c r="U63" s="61">
        <v>0.33</v>
      </c>
      <c r="V63" s="25">
        <v>65</v>
      </c>
      <c r="W63" s="25">
        <v>7</v>
      </c>
      <c r="X63" s="66">
        <v>0</v>
      </c>
      <c r="Y63" s="66">
        <v>0</v>
      </c>
      <c r="Z63" s="66">
        <v>0.56000000000000005</v>
      </c>
      <c r="AA63" s="66">
        <v>0.44</v>
      </c>
      <c r="AB63" s="66">
        <v>0.22</v>
      </c>
      <c r="AC63" s="66">
        <v>0.32</v>
      </c>
      <c r="AD63" s="66">
        <v>0.36</v>
      </c>
      <c r="AE63" s="12">
        <v>58</v>
      </c>
      <c r="AF63" s="12">
        <v>8</v>
      </c>
      <c r="AG63" s="63">
        <v>0</v>
      </c>
      <c r="AH63" s="63">
        <v>0.14000000000000001</v>
      </c>
      <c r="AI63" s="63">
        <v>0.59</v>
      </c>
      <c r="AJ63" s="63">
        <v>0.27</v>
      </c>
      <c r="AK63" s="63">
        <v>0.32</v>
      </c>
      <c r="AL63" s="63">
        <v>0.33</v>
      </c>
      <c r="AM63" s="63">
        <v>0.34</v>
      </c>
      <c r="AN63" s="35">
        <v>60</v>
      </c>
      <c r="AO63" s="35">
        <v>7</v>
      </c>
      <c r="AP63" s="40">
        <v>0</v>
      </c>
      <c r="AQ63" s="40">
        <v>0.11</v>
      </c>
      <c r="AR63" s="40">
        <v>0.67</v>
      </c>
      <c r="AS63" s="40">
        <v>0.22</v>
      </c>
      <c r="AT63" s="40">
        <v>0.35</v>
      </c>
      <c r="AU63" s="40">
        <v>0.27</v>
      </c>
      <c r="AV63" s="40">
        <v>0.31</v>
      </c>
      <c r="AW63" s="246">
        <v>59</v>
      </c>
      <c r="AX63" s="246" t="s">
        <v>758</v>
      </c>
      <c r="AY63" s="246">
        <v>8</v>
      </c>
      <c r="AZ63" s="246" t="s">
        <v>758</v>
      </c>
      <c r="BA63" s="263">
        <v>0</v>
      </c>
      <c r="BB63" s="263">
        <v>0.1</v>
      </c>
      <c r="BC63" s="263">
        <v>0.76</v>
      </c>
      <c r="BD63" s="263">
        <v>0.14000000000000001</v>
      </c>
      <c r="BE63" s="263">
        <v>0.35</v>
      </c>
      <c r="BF63" s="263">
        <v>0.3</v>
      </c>
      <c r="BG63" s="263">
        <v>0.44</v>
      </c>
      <c r="BH63" s="309">
        <v>60</v>
      </c>
      <c r="BI63" s="309" t="s">
        <v>758</v>
      </c>
      <c r="BJ63" s="309">
        <v>8</v>
      </c>
      <c r="BK63" s="309" t="s">
        <v>758</v>
      </c>
      <c r="BL63" s="327">
        <v>0</v>
      </c>
      <c r="BM63" s="327">
        <v>0.15</v>
      </c>
      <c r="BN63" s="327">
        <v>0.5</v>
      </c>
      <c r="BO63" s="327">
        <v>0.35</v>
      </c>
      <c r="BP63" s="327">
        <v>0.35</v>
      </c>
      <c r="BQ63" s="327">
        <v>0.26</v>
      </c>
      <c r="BR63" s="327">
        <v>0.35</v>
      </c>
      <c r="BS63" s="424">
        <v>62</v>
      </c>
      <c r="BT63" s="424" t="s">
        <v>758</v>
      </c>
      <c r="BU63" s="424">
        <v>7</v>
      </c>
      <c r="BV63" s="424" t="s">
        <v>758</v>
      </c>
      <c r="BW63" s="428">
        <v>0</v>
      </c>
      <c r="BX63" s="428">
        <v>0</v>
      </c>
      <c r="BY63" s="428">
        <v>0.44</v>
      </c>
      <c r="BZ63" s="428">
        <v>0.56000000000000005</v>
      </c>
      <c r="CA63" s="428">
        <v>0.26</v>
      </c>
      <c r="CB63" s="428">
        <v>0.32</v>
      </c>
      <c r="CC63" s="428">
        <v>0.35</v>
      </c>
      <c r="CD63" s="464">
        <v>62</v>
      </c>
      <c r="CE63" s="464" t="s">
        <v>758</v>
      </c>
      <c r="CF63" s="464">
        <v>7</v>
      </c>
      <c r="CG63" s="464" t="s">
        <v>758</v>
      </c>
      <c r="CH63" s="476">
        <v>0</v>
      </c>
      <c r="CI63" s="476">
        <v>0</v>
      </c>
      <c r="CJ63" s="476">
        <v>0.5</v>
      </c>
      <c r="CK63" s="476">
        <v>0.5</v>
      </c>
      <c r="CL63" s="476">
        <v>0.32</v>
      </c>
      <c r="CM63" s="476">
        <v>0.35</v>
      </c>
      <c r="CN63" s="476">
        <v>0.2</v>
      </c>
      <c r="CO63" s="902">
        <v>59</v>
      </c>
      <c r="CP63" s="902" t="s">
        <v>758</v>
      </c>
      <c r="CQ63" s="902">
        <v>7</v>
      </c>
      <c r="CR63" s="902" t="s">
        <v>758</v>
      </c>
      <c r="CS63" s="949">
        <v>0</v>
      </c>
      <c r="CT63" s="949">
        <v>0.1</v>
      </c>
      <c r="CU63" s="949">
        <v>0.7</v>
      </c>
      <c r="CV63" s="949">
        <v>0.2</v>
      </c>
      <c r="CW63" s="949">
        <v>0.28000000000000003</v>
      </c>
      <c r="CX63" s="949">
        <v>0.35</v>
      </c>
      <c r="CY63" s="949">
        <v>0.49</v>
      </c>
      <c r="CZ63" s="26">
        <v>325754000721</v>
      </c>
      <c r="DA63" s="803" t="s">
        <v>51</v>
      </c>
    </row>
    <row r="64" spans="1:105" ht="24.95" customHeight="1" x14ac:dyDescent="0.2">
      <c r="A64" s="803" t="s">
        <v>102</v>
      </c>
      <c r="B64" s="1" t="s">
        <v>123</v>
      </c>
      <c r="C64" s="2">
        <v>1</v>
      </c>
      <c r="D64" s="12">
        <v>51</v>
      </c>
      <c r="E64" s="12">
        <v>8</v>
      </c>
      <c r="F64" s="63">
        <v>0</v>
      </c>
      <c r="G64" s="63">
        <v>0.54</v>
      </c>
      <c r="H64" s="63">
        <v>0.46</v>
      </c>
      <c r="I64" s="63">
        <v>0</v>
      </c>
      <c r="J64" s="63">
        <v>0.47</v>
      </c>
      <c r="K64" s="63">
        <v>0.53</v>
      </c>
      <c r="L64" s="63">
        <v>0.62</v>
      </c>
      <c r="M64" s="25">
        <v>51</v>
      </c>
      <c r="N64" s="25">
        <v>7</v>
      </c>
      <c r="O64" s="61">
        <v>0</v>
      </c>
      <c r="P64" s="61">
        <v>0.6</v>
      </c>
      <c r="Q64" s="61">
        <v>0.4</v>
      </c>
      <c r="R64" s="61">
        <v>0</v>
      </c>
      <c r="S64" s="61">
        <v>0.53</v>
      </c>
      <c r="T64" s="61">
        <v>0.53</v>
      </c>
      <c r="U64" s="61">
        <v>0.5</v>
      </c>
      <c r="V64" s="25">
        <v>51</v>
      </c>
      <c r="W64" s="25">
        <v>8</v>
      </c>
      <c r="X64" s="66">
        <v>0.05</v>
      </c>
      <c r="Y64" s="66">
        <v>0.32</v>
      </c>
      <c r="Z64" s="66">
        <v>0.63</v>
      </c>
      <c r="AA64" s="66">
        <v>0</v>
      </c>
      <c r="AB64" s="66">
        <v>0.46</v>
      </c>
      <c r="AC64" s="66">
        <v>0.54</v>
      </c>
      <c r="AD64" s="66">
        <v>0.56000000000000005</v>
      </c>
      <c r="AE64" s="12">
        <v>48</v>
      </c>
      <c r="AF64" s="12">
        <v>8</v>
      </c>
      <c r="AG64" s="63">
        <v>0.06</v>
      </c>
      <c r="AH64" s="63">
        <v>0.65</v>
      </c>
      <c r="AI64" s="63">
        <v>0.28999999999999998</v>
      </c>
      <c r="AJ64" s="63">
        <v>0</v>
      </c>
      <c r="AK64" s="63">
        <v>0.56999999999999995</v>
      </c>
      <c r="AL64" s="63">
        <v>0.44</v>
      </c>
      <c r="AM64" s="63">
        <v>0.52</v>
      </c>
      <c r="AN64" s="35">
        <v>51</v>
      </c>
      <c r="AO64" s="35">
        <v>7</v>
      </c>
      <c r="AP64" s="40">
        <v>0</v>
      </c>
      <c r="AQ64" s="40">
        <v>0.35</v>
      </c>
      <c r="AR64" s="40">
        <v>0.65</v>
      </c>
      <c r="AS64" s="40">
        <v>0</v>
      </c>
      <c r="AT64" s="40">
        <v>0.53</v>
      </c>
      <c r="AU64" s="40">
        <v>0.37</v>
      </c>
      <c r="AV64" s="40">
        <v>0.45</v>
      </c>
      <c r="AW64" s="246">
        <v>51</v>
      </c>
      <c r="AX64" s="246" t="s">
        <v>758</v>
      </c>
      <c r="AY64" s="246">
        <v>6</v>
      </c>
      <c r="AZ64" s="246" t="s">
        <v>758</v>
      </c>
      <c r="BA64" s="263">
        <v>0</v>
      </c>
      <c r="BB64" s="263">
        <v>0.44</v>
      </c>
      <c r="BC64" s="263">
        <v>0.56000000000000005</v>
      </c>
      <c r="BD64" s="263">
        <v>0</v>
      </c>
      <c r="BE64" s="263">
        <v>0.46</v>
      </c>
      <c r="BF64" s="263">
        <v>0.37</v>
      </c>
      <c r="BG64" s="263">
        <v>0.64</v>
      </c>
      <c r="BH64" s="309">
        <v>51</v>
      </c>
      <c r="BI64" s="309" t="s">
        <v>758</v>
      </c>
      <c r="BJ64" s="309">
        <v>8</v>
      </c>
      <c r="BK64" s="309" t="s">
        <v>758</v>
      </c>
      <c r="BL64" s="327">
        <v>0</v>
      </c>
      <c r="BM64" s="327">
        <v>0.5</v>
      </c>
      <c r="BN64" s="327">
        <v>0.5</v>
      </c>
      <c r="BO64" s="327">
        <v>0</v>
      </c>
      <c r="BP64" s="327">
        <v>0.56000000000000005</v>
      </c>
      <c r="BQ64" s="327">
        <v>0.4</v>
      </c>
      <c r="BR64" s="327">
        <v>0.51</v>
      </c>
      <c r="BS64" s="424">
        <v>54</v>
      </c>
      <c r="BT64" s="424" t="s">
        <v>758</v>
      </c>
      <c r="BU64" s="424">
        <v>4</v>
      </c>
      <c r="BV64" s="424" t="s">
        <v>760</v>
      </c>
      <c r="BW64" s="428">
        <v>0</v>
      </c>
      <c r="BX64" s="428">
        <v>0.38</v>
      </c>
      <c r="BY64" s="428">
        <v>0.63</v>
      </c>
      <c r="BZ64" s="428">
        <v>0</v>
      </c>
      <c r="CA64" s="428">
        <v>0.4</v>
      </c>
      <c r="CB64" s="428">
        <v>0.5</v>
      </c>
      <c r="CC64" s="428">
        <v>0.51</v>
      </c>
      <c r="CD64" s="464">
        <v>56</v>
      </c>
      <c r="CE64" s="464" t="s">
        <v>758</v>
      </c>
      <c r="CF64" s="464">
        <v>10</v>
      </c>
      <c r="CG64" s="464" t="s">
        <v>758</v>
      </c>
      <c r="CH64" s="476">
        <v>0.04</v>
      </c>
      <c r="CI64" s="476">
        <v>0.16</v>
      </c>
      <c r="CJ64" s="476">
        <v>0.6</v>
      </c>
      <c r="CK64" s="476">
        <v>0.2</v>
      </c>
      <c r="CL64" s="476">
        <v>0.45</v>
      </c>
      <c r="CM64" s="476">
        <v>0.39</v>
      </c>
      <c r="CN64" s="476">
        <v>0.33</v>
      </c>
      <c r="CO64" s="902">
        <v>53</v>
      </c>
      <c r="CP64" s="902" t="s">
        <v>758</v>
      </c>
      <c r="CQ64" s="902">
        <v>8</v>
      </c>
      <c r="CR64" s="902" t="s">
        <v>758</v>
      </c>
      <c r="CS64" s="949">
        <v>0</v>
      </c>
      <c r="CT64" s="949">
        <v>0.33</v>
      </c>
      <c r="CU64" s="949">
        <v>0.6</v>
      </c>
      <c r="CV64" s="949">
        <v>7.0000000000000007E-2</v>
      </c>
      <c r="CW64" s="949">
        <v>0.35</v>
      </c>
      <c r="CX64" s="949">
        <v>0.44</v>
      </c>
      <c r="CY64" s="949">
        <v>0.56000000000000005</v>
      </c>
      <c r="CZ64" s="26">
        <v>325754004959</v>
      </c>
      <c r="DA64" s="803" t="s">
        <v>102</v>
      </c>
    </row>
    <row r="65" spans="1:105" ht="24.95" customHeight="1" x14ac:dyDescent="0.2">
      <c r="A65" s="803" t="s">
        <v>90</v>
      </c>
      <c r="B65" s="1" t="s">
        <v>123</v>
      </c>
      <c r="C65" s="2">
        <v>4</v>
      </c>
      <c r="D65" s="12">
        <v>54</v>
      </c>
      <c r="E65" s="12">
        <v>9</v>
      </c>
      <c r="F65" s="63">
        <v>0.02</v>
      </c>
      <c r="G65" s="63">
        <v>0.37</v>
      </c>
      <c r="H65" s="63">
        <v>0.49</v>
      </c>
      <c r="I65" s="63">
        <v>0.12</v>
      </c>
      <c r="J65" s="63">
        <v>0.46</v>
      </c>
      <c r="K65" s="63">
        <v>0.47</v>
      </c>
      <c r="L65" s="63">
        <v>0.54</v>
      </c>
      <c r="M65" s="25">
        <v>53</v>
      </c>
      <c r="N65" s="25">
        <v>7</v>
      </c>
      <c r="O65" s="61">
        <v>0.05</v>
      </c>
      <c r="P65" s="61">
        <v>0.23</v>
      </c>
      <c r="Q65" s="61">
        <v>0.72</v>
      </c>
      <c r="R65" s="61">
        <v>0</v>
      </c>
      <c r="S65" s="61">
        <v>0.46</v>
      </c>
      <c r="T65" s="61">
        <v>0.5</v>
      </c>
      <c r="U65" s="61">
        <v>0.47</v>
      </c>
      <c r="V65" s="25">
        <v>54</v>
      </c>
      <c r="W65" s="25">
        <v>7</v>
      </c>
      <c r="X65" s="66">
        <v>0</v>
      </c>
      <c r="Y65" s="66">
        <v>0.35</v>
      </c>
      <c r="Z65" s="66">
        <v>0.56000000000000005</v>
      </c>
      <c r="AA65" s="66">
        <v>0.09</v>
      </c>
      <c r="AB65" s="66">
        <v>0.41</v>
      </c>
      <c r="AC65" s="66">
        <v>0.5</v>
      </c>
      <c r="AD65" s="66">
        <v>0.51</v>
      </c>
      <c r="AE65" s="12">
        <v>54</v>
      </c>
      <c r="AF65" s="12">
        <v>9</v>
      </c>
      <c r="AG65" s="63">
        <v>0.03</v>
      </c>
      <c r="AH65" s="63">
        <v>0.32</v>
      </c>
      <c r="AI65" s="63">
        <v>0.56999999999999995</v>
      </c>
      <c r="AJ65" s="63">
        <v>0.08</v>
      </c>
      <c r="AK65" s="63">
        <v>0.43</v>
      </c>
      <c r="AL65" s="63">
        <v>0.34</v>
      </c>
      <c r="AM65" s="63">
        <v>0.41</v>
      </c>
      <c r="AN65" s="35">
        <v>53</v>
      </c>
      <c r="AO65" s="35">
        <v>9</v>
      </c>
      <c r="AP65" s="40">
        <v>0.02</v>
      </c>
      <c r="AQ65" s="40">
        <v>0.37</v>
      </c>
      <c r="AR65" s="40">
        <v>0.51</v>
      </c>
      <c r="AS65" s="40">
        <v>0.1</v>
      </c>
      <c r="AT65" s="40">
        <v>0.48</v>
      </c>
      <c r="AU65" s="40">
        <v>0.39</v>
      </c>
      <c r="AV65" s="40">
        <v>0.42</v>
      </c>
      <c r="AW65" s="246">
        <v>55</v>
      </c>
      <c r="AX65" s="246" t="s">
        <v>758</v>
      </c>
      <c r="AY65" s="246">
        <v>9</v>
      </c>
      <c r="AZ65" s="246" t="s">
        <v>758</v>
      </c>
      <c r="BA65" s="263">
        <v>0</v>
      </c>
      <c r="BB65" s="263">
        <v>0.3</v>
      </c>
      <c r="BC65" s="263">
        <v>0.63</v>
      </c>
      <c r="BD65" s="263">
        <v>0.08</v>
      </c>
      <c r="BE65" s="263">
        <v>0.43</v>
      </c>
      <c r="BF65" s="263">
        <v>0.36</v>
      </c>
      <c r="BG65" s="263">
        <v>0.51</v>
      </c>
      <c r="BH65" s="309">
        <v>55</v>
      </c>
      <c r="BI65" s="309" t="s">
        <v>758</v>
      </c>
      <c r="BJ65" s="309">
        <v>9</v>
      </c>
      <c r="BK65" s="309" t="s">
        <v>758</v>
      </c>
      <c r="BL65" s="327">
        <v>0</v>
      </c>
      <c r="BM65" s="327">
        <v>0.35</v>
      </c>
      <c r="BN65" s="327">
        <v>0.54</v>
      </c>
      <c r="BO65" s="327">
        <v>0.11</v>
      </c>
      <c r="BP65" s="327">
        <v>0.47</v>
      </c>
      <c r="BQ65" s="327">
        <v>0.31</v>
      </c>
      <c r="BR65" s="327">
        <v>0.44</v>
      </c>
      <c r="BS65" s="424">
        <v>55</v>
      </c>
      <c r="BT65" s="424" t="s">
        <v>758</v>
      </c>
      <c r="BU65" s="424">
        <v>8</v>
      </c>
      <c r="BV65" s="424" t="s">
        <v>758</v>
      </c>
      <c r="BW65" s="428">
        <v>0.05</v>
      </c>
      <c r="BX65" s="428">
        <v>0.19</v>
      </c>
      <c r="BY65" s="428">
        <v>0.74</v>
      </c>
      <c r="BZ65" s="428">
        <v>0.02</v>
      </c>
      <c r="CA65" s="428">
        <v>0.35</v>
      </c>
      <c r="CB65" s="428">
        <v>0.46</v>
      </c>
      <c r="CC65" s="428">
        <v>0.47</v>
      </c>
      <c r="CD65" s="464">
        <v>57</v>
      </c>
      <c r="CE65" s="464" t="s">
        <v>758</v>
      </c>
      <c r="CF65" s="464">
        <v>8</v>
      </c>
      <c r="CG65" s="464" t="s">
        <v>758</v>
      </c>
      <c r="CH65" s="476">
        <v>0</v>
      </c>
      <c r="CI65" s="476">
        <v>0.21</v>
      </c>
      <c r="CJ65" s="476">
        <v>0.66</v>
      </c>
      <c r="CK65" s="476">
        <v>0.13</v>
      </c>
      <c r="CL65" s="476">
        <v>0.42</v>
      </c>
      <c r="CM65" s="476">
        <v>0.39</v>
      </c>
      <c r="CN65" s="476">
        <v>0.32</v>
      </c>
      <c r="CO65" s="902">
        <v>57</v>
      </c>
      <c r="CP65" s="902" t="s">
        <v>758</v>
      </c>
      <c r="CQ65" s="902">
        <v>8</v>
      </c>
      <c r="CR65" s="902" t="s">
        <v>758</v>
      </c>
      <c r="CS65" s="949">
        <v>0</v>
      </c>
      <c r="CT65" s="949">
        <v>0.25</v>
      </c>
      <c r="CU65" s="949">
        <v>0.67</v>
      </c>
      <c r="CV65" s="949">
        <v>0.08</v>
      </c>
      <c r="CW65" s="949">
        <v>0.28999999999999998</v>
      </c>
      <c r="CX65" s="949">
        <v>0.42</v>
      </c>
      <c r="CY65" s="949">
        <v>0.49</v>
      </c>
      <c r="CZ65" s="26">
        <v>325754003347</v>
      </c>
      <c r="DA65" s="803" t="s">
        <v>90</v>
      </c>
    </row>
    <row r="66" spans="1:105" ht="24.95" customHeight="1" x14ac:dyDescent="0.2">
      <c r="A66" s="803" t="s">
        <v>66</v>
      </c>
      <c r="B66" s="1" t="s">
        <v>123</v>
      </c>
      <c r="C66" s="2">
        <v>3</v>
      </c>
      <c r="D66" s="12">
        <v>55</v>
      </c>
      <c r="E66" s="12">
        <v>8</v>
      </c>
      <c r="F66" s="63">
        <v>0</v>
      </c>
      <c r="G66" s="63">
        <v>0.26</v>
      </c>
      <c r="H66" s="63">
        <v>0.66</v>
      </c>
      <c r="I66" s="63">
        <v>0.09</v>
      </c>
      <c r="J66" s="63">
        <v>0.35</v>
      </c>
      <c r="K66" s="63">
        <v>0.49</v>
      </c>
      <c r="L66" s="63">
        <v>0.5</v>
      </c>
      <c r="M66" s="25">
        <v>59</v>
      </c>
      <c r="N66" s="25">
        <v>7</v>
      </c>
      <c r="O66" s="61">
        <v>0</v>
      </c>
      <c r="P66" s="61">
        <v>0.11</v>
      </c>
      <c r="Q66" s="61">
        <v>0.75</v>
      </c>
      <c r="R66" s="61">
        <v>0.14000000000000001</v>
      </c>
      <c r="S66" s="61">
        <v>0.33</v>
      </c>
      <c r="T66" s="61">
        <v>0.39</v>
      </c>
      <c r="U66" s="61">
        <v>0.4</v>
      </c>
      <c r="V66" s="25">
        <v>58</v>
      </c>
      <c r="W66" s="25">
        <v>8</v>
      </c>
      <c r="X66" s="66">
        <v>0</v>
      </c>
      <c r="Y66" s="66">
        <v>0.22</v>
      </c>
      <c r="Z66" s="66">
        <v>0.57999999999999996</v>
      </c>
      <c r="AA66" s="66">
        <v>0.2</v>
      </c>
      <c r="AB66" s="66">
        <v>0.35</v>
      </c>
      <c r="AC66" s="66">
        <v>0.41</v>
      </c>
      <c r="AD66" s="66">
        <v>0.44</v>
      </c>
      <c r="AE66" s="12">
        <v>59</v>
      </c>
      <c r="AF66" s="12">
        <v>8</v>
      </c>
      <c r="AG66" s="63">
        <v>0</v>
      </c>
      <c r="AH66" s="63">
        <v>0.11</v>
      </c>
      <c r="AI66" s="63">
        <v>0.66</v>
      </c>
      <c r="AJ66" s="63">
        <v>0.23</v>
      </c>
      <c r="AK66" s="63">
        <v>0.33</v>
      </c>
      <c r="AL66" s="63">
        <v>0.27</v>
      </c>
      <c r="AM66" s="63">
        <v>0.33</v>
      </c>
      <c r="AN66" s="35">
        <v>59</v>
      </c>
      <c r="AO66" s="35">
        <v>8</v>
      </c>
      <c r="AP66" s="40">
        <v>0</v>
      </c>
      <c r="AQ66" s="40">
        <v>0.16</v>
      </c>
      <c r="AR66" s="40">
        <v>0.66</v>
      </c>
      <c r="AS66" s="40">
        <v>0.18</v>
      </c>
      <c r="AT66" s="40">
        <v>0.36</v>
      </c>
      <c r="AU66" s="40">
        <v>0.31</v>
      </c>
      <c r="AV66" s="40">
        <v>0.33</v>
      </c>
      <c r="AW66" s="246">
        <v>59</v>
      </c>
      <c r="AX66" s="246" t="s">
        <v>758</v>
      </c>
      <c r="AY66" s="246">
        <v>10</v>
      </c>
      <c r="AZ66" s="246" t="s">
        <v>758</v>
      </c>
      <c r="BA66" s="263">
        <v>0</v>
      </c>
      <c r="BB66" s="263">
        <v>0.23</v>
      </c>
      <c r="BC66" s="263">
        <v>0.55000000000000004</v>
      </c>
      <c r="BD66" s="263">
        <v>0.22</v>
      </c>
      <c r="BE66" s="263">
        <v>0.36</v>
      </c>
      <c r="BF66" s="263">
        <v>0.27</v>
      </c>
      <c r="BG66" s="263">
        <v>0.46</v>
      </c>
      <c r="BH66" s="309">
        <v>60</v>
      </c>
      <c r="BI66" s="309" t="s">
        <v>758</v>
      </c>
      <c r="BJ66" s="309">
        <v>8</v>
      </c>
      <c r="BK66" s="309" t="s">
        <v>758</v>
      </c>
      <c r="BL66" s="327">
        <v>0</v>
      </c>
      <c r="BM66" s="327">
        <v>0.15</v>
      </c>
      <c r="BN66" s="327">
        <v>0.57999999999999996</v>
      </c>
      <c r="BO66" s="327">
        <v>0.27</v>
      </c>
      <c r="BP66" s="327">
        <v>0.38</v>
      </c>
      <c r="BQ66" s="327">
        <v>0.25</v>
      </c>
      <c r="BR66" s="327">
        <v>0.34</v>
      </c>
      <c r="BS66" s="424">
        <v>60</v>
      </c>
      <c r="BT66" s="424" t="s">
        <v>758</v>
      </c>
      <c r="BU66" s="424">
        <v>7</v>
      </c>
      <c r="BV66" s="424" t="s">
        <v>758</v>
      </c>
      <c r="BW66" s="428">
        <v>0</v>
      </c>
      <c r="BX66" s="428">
        <v>0.08</v>
      </c>
      <c r="BY66" s="428">
        <v>0.64</v>
      </c>
      <c r="BZ66" s="428">
        <v>0.28000000000000003</v>
      </c>
      <c r="CA66" s="428">
        <v>0.28999999999999998</v>
      </c>
      <c r="CB66" s="428">
        <v>0.35</v>
      </c>
      <c r="CC66" s="428">
        <v>0.4</v>
      </c>
      <c r="CD66" s="464">
        <v>59</v>
      </c>
      <c r="CE66" s="464" t="s">
        <v>758</v>
      </c>
      <c r="CF66" s="464">
        <v>9</v>
      </c>
      <c r="CG66" s="464" t="s">
        <v>758</v>
      </c>
      <c r="CH66" s="476">
        <v>0.02</v>
      </c>
      <c r="CI66" s="476">
        <v>0.13</v>
      </c>
      <c r="CJ66" s="476">
        <v>0.64</v>
      </c>
      <c r="CK66" s="476">
        <v>0.21</v>
      </c>
      <c r="CL66" s="476">
        <v>0.41</v>
      </c>
      <c r="CM66" s="476">
        <v>0.35</v>
      </c>
      <c r="CN66" s="476">
        <v>0.28000000000000003</v>
      </c>
      <c r="CO66" s="902">
        <v>62</v>
      </c>
      <c r="CP66" s="902" t="s">
        <v>758</v>
      </c>
      <c r="CQ66" s="902">
        <v>9</v>
      </c>
      <c r="CR66" s="902" t="s">
        <v>758</v>
      </c>
      <c r="CS66" s="949">
        <v>0</v>
      </c>
      <c r="CT66" s="949">
        <v>0.14000000000000001</v>
      </c>
      <c r="CU66" s="949">
        <v>0.48</v>
      </c>
      <c r="CV66" s="949">
        <v>0.38</v>
      </c>
      <c r="CW66" s="949">
        <v>0.22</v>
      </c>
      <c r="CX66" s="949">
        <v>0.32</v>
      </c>
      <c r="CY66" s="949">
        <v>0.37</v>
      </c>
      <c r="CZ66" s="26">
        <v>325754004122</v>
      </c>
      <c r="DA66" s="803" t="s">
        <v>66</v>
      </c>
    </row>
    <row r="67" spans="1:105" ht="24.95" customHeight="1" x14ac:dyDescent="0.2">
      <c r="A67" s="803" t="s">
        <v>73</v>
      </c>
      <c r="B67" s="1" t="s">
        <v>123</v>
      </c>
      <c r="C67" s="2">
        <v>5</v>
      </c>
      <c r="D67" s="12">
        <v>57</v>
      </c>
      <c r="E67" s="12">
        <v>8</v>
      </c>
      <c r="F67" s="63">
        <v>0</v>
      </c>
      <c r="G67" s="63">
        <v>0.17</v>
      </c>
      <c r="H67" s="63">
        <v>0.67</v>
      </c>
      <c r="I67" s="63">
        <v>0.17</v>
      </c>
      <c r="J67" s="63">
        <v>0.35</v>
      </c>
      <c r="K67" s="63">
        <v>0.39</v>
      </c>
      <c r="L67" s="63">
        <v>0.46</v>
      </c>
      <c r="M67" s="25">
        <v>56</v>
      </c>
      <c r="N67" s="25">
        <v>7</v>
      </c>
      <c r="O67" s="61">
        <v>0</v>
      </c>
      <c r="P67" s="61">
        <v>0.22</v>
      </c>
      <c r="Q67" s="61">
        <v>0.61</v>
      </c>
      <c r="R67" s="61">
        <v>0.17</v>
      </c>
      <c r="S67" s="61">
        <v>0.39</v>
      </c>
      <c r="T67" s="61">
        <v>0.42</v>
      </c>
      <c r="U67" s="61">
        <v>0.44</v>
      </c>
      <c r="V67" s="25">
        <v>57</v>
      </c>
      <c r="W67" s="25">
        <v>9</v>
      </c>
      <c r="X67" s="66">
        <v>0.03</v>
      </c>
      <c r="Y67" s="66">
        <v>0.17</v>
      </c>
      <c r="Z67" s="66">
        <v>0.62</v>
      </c>
      <c r="AA67" s="66">
        <v>0.17</v>
      </c>
      <c r="AB67" s="66">
        <v>0.37</v>
      </c>
      <c r="AC67" s="66">
        <v>0.47</v>
      </c>
      <c r="AD67" s="66">
        <v>0.42</v>
      </c>
      <c r="AE67" s="12">
        <v>58</v>
      </c>
      <c r="AF67" s="12">
        <v>9</v>
      </c>
      <c r="AG67" s="63">
        <v>0</v>
      </c>
      <c r="AH67" s="63">
        <v>0.28000000000000003</v>
      </c>
      <c r="AI67" s="63">
        <v>0.5</v>
      </c>
      <c r="AJ67" s="63">
        <v>0.22</v>
      </c>
      <c r="AK67" s="63">
        <v>0.26</v>
      </c>
      <c r="AL67" s="63">
        <v>0.38</v>
      </c>
      <c r="AM67" s="63">
        <v>0.39</v>
      </c>
      <c r="AN67" s="35">
        <v>56</v>
      </c>
      <c r="AO67" s="35">
        <v>4</v>
      </c>
      <c r="AP67" s="40">
        <v>0</v>
      </c>
      <c r="AQ67" s="40">
        <v>0.1</v>
      </c>
      <c r="AR67" s="40">
        <v>0.9</v>
      </c>
      <c r="AS67" s="40">
        <v>0</v>
      </c>
      <c r="AT67" s="40">
        <v>0.43</v>
      </c>
      <c r="AU67" s="40">
        <v>0.36</v>
      </c>
      <c r="AV67" s="40">
        <v>0.37</v>
      </c>
      <c r="AW67" s="246">
        <v>56</v>
      </c>
      <c r="AX67" s="246" t="s">
        <v>758</v>
      </c>
      <c r="AY67" s="246">
        <v>12</v>
      </c>
      <c r="AZ67" s="246" t="s">
        <v>758</v>
      </c>
      <c r="BA67" s="263">
        <v>0</v>
      </c>
      <c r="BB67" s="263">
        <v>0.25</v>
      </c>
      <c r="BC67" s="263">
        <v>0.45</v>
      </c>
      <c r="BD67" s="263">
        <v>0.3</v>
      </c>
      <c r="BE67" s="263">
        <v>0.4</v>
      </c>
      <c r="BF67" s="263">
        <v>0.33</v>
      </c>
      <c r="BG67" s="263">
        <v>0.49</v>
      </c>
      <c r="BH67" s="309">
        <v>57</v>
      </c>
      <c r="BI67" s="309" t="s">
        <v>758</v>
      </c>
      <c r="BJ67" s="309">
        <v>8</v>
      </c>
      <c r="BK67" s="309" t="s">
        <v>758</v>
      </c>
      <c r="BL67" s="327">
        <v>0.04</v>
      </c>
      <c r="BM67" s="327">
        <v>0.11</v>
      </c>
      <c r="BN67" s="327">
        <v>0.68</v>
      </c>
      <c r="BO67" s="327">
        <v>0.18</v>
      </c>
      <c r="BP67" s="327">
        <v>0.41</v>
      </c>
      <c r="BQ67" s="327">
        <v>0.3</v>
      </c>
      <c r="BR67" s="327">
        <v>0.37</v>
      </c>
      <c r="BS67" s="424">
        <v>57</v>
      </c>
      <c r="BT67" s="424" t="s">
        <v>758</v>
      </c>
      <c r="BU67" s="424">
        <v>7</v>
      </c>
      <c r="BV67" s="424" t="s">
        <v>758</v>
      </c>
      <c r="BW67" s="428">
        <v>0</v>
      </c>
      <c r="BX67" s="428">
        <v>0.19</v>
      </c>
      <c r="BY67" s="428">
        <v>0.67</v>
      </c>
      <c r="BZ67" s="428">
        <v>0.15</v>
      </c>
      <c r="CA67" s="428">
        <v>0.32</v>
      </c>
      <c r="CB67" s="428">
        <v>0.39</v>
      </c>
      <c r="CC67" s="428">
        <v>0.43</v>
      </c>
      <c r="CD67" s="464">
        <v>57</v>
      </c>
      <c r="CE67" s="464" t="s">
        <v>758</v>
      </c>
      <c r="CF67" s="464">
        <v>4</v>
      </c>
      <c r="CG67" s="464" t="s">
        <v>760</v>
      </c>
      <c r="CH67" s="476">
        <v>0</v>
      </c>
      <c r="CI67" s="476">
        <v>7.0000000000000007E-2</v>
      </c>
      <c r="CJ67" s="476">
        <v>0.93</v>
      </c>
      <c r="CK67" s="476">
        <v>0</v>
      </c>
      <c r="CL67" s="476">
        <v>0.41</v>
      </c>
      <c r="CM67" s="476">
        <v>0.4</v>
      </c>
      <c r="CN67" s="476">
        <v>0.23</v>
      </c>
      <c r="CO67" s="902">
        <v>55</v>
      </c>
      <c r="CP67" s="902" t="s">
        <v>758</v>
      </c>
      <c r="CQ67" s="902">
        <v>10</v>
      </c>
      <c r="CR67" s="902" t="s">
        <v>758</v>
      </c>
      <c r="CS67" s="949">
        <v>0</v>
      </c>
      <c r="CT67" s="949">
        <v>0.39</v>
      </c>
      <c r="CU67" s="949">
        <v>0.45</v>
      </c>
      <c r="CV67" s="949">
        <v>0.16</v>
      </c>
      <c r="CW67" s="949">
        <v>0.32</v>
      </c>
      <c r="CX67" s="949">
        <v>0.44</v>
      </c>
      <c r="CY67" s="949">
        <v>0.49</v>
      </c>
      <c r="CZ67" s="26">
        <v>325754002154</v>
      </c>
      <c r="DA67" s="803" t="s">
        <v>73</v>
      </c>
    </row>
    <row r="68" spans="1:105" ht="24.95" customHeight="1" x14ac:dyDescent="0.2">
      <c r="A68" s="803" t="s">
        <v>89</v>
      </c>
      <c r="B68" s="1" t="s">
        <v>123</v>
      </c>
      <c r="C68" s="2">
        <v>3</v>
      </c>
      <c r="D68" s="12">
        <v>56</v>
      </c>
      <c r="E68" s="12">
        <v>8</v>
      </c>
      <c r="F68" s="63">
        <v>0</v>
      </c>
      <c r="G68" s="63">
        <v>0.26</v>
      </c>
      <c r="H68" s="63">
        <v>0.66</v>
      </c>
      <c r="I68" s="63">
        <v>0.08</v>
      </c>
      <c r="J68" s="63">
        <v>0.39</v>
      </c>
      <c r="K68" s="63">
        <v>0.46</v>
      </c>
      <c r="L68" s="63">
        <v>0.48</v>
      </c>
      <c r="M68" s="25">
        <v>57</v>
      </c>
      <c r="N68" s="25">
        <v>7</v>
      </c>
      <c r="O68" s="61">
        <v>0</v>
      </c>
      <c r="P68" s="61">
        <v>0.17</v>
      </c>
      <c r="Q68" s="61">
        <v>0.7</v>
      </c>
      <c r="R68" s="61">
        <v>0.13</v>
      </c>
      <c r="S68" s="61">
        <v>0.42</v>
      </c>
      <c r="T68" s="61">
        <v>0.39</v>
      </c>
      <c r="U68" s="61">
        <v>0.41</v>
      </c>
      <c r="V68" s="25">
        <v>64</v>
      </c>
      <c r="W68" s="25">
        <v>6</v>
      </c>
      <c r="X68" s="66">
        <v>0</v>
      </c>
      <c r="Y68" s="66">
        <v>0</v>
      </c>
      <c r="Z68" s="66">
        <v>0.56000000000000005</v>
      </c>
      <c r="AA68" s="66">
        <v>0.44</v>
      </c>
      <c r="AB68" s="66">
        <v>0.24</v>
      </c>
      <c r="AC68" s="66">
        <v>0.33</v>
      </c>
      <c r="AD68" s="66">
        <v>0.34</v>
      </c>
      <c r="AE68" s="12">
        <v>59</v>
      </c>
      <c r="AF68" s="12">
        <v>7</v>
      </c>
      <c r="AG68" s="63">
        <v>0</v>
      </c>
      <c r="AH68" s="63">
        <v>0.15</v>
      </c>
      <c r="AI68" s="63">
        <v>0.62</v>
      </c>
      <c r="AJ68" s="63">
        <v>0.23</v>
      </c>
      <c r="AK68" s="63">
        <v>0.33</v>
      </c>
      <c r="AL68" s="63">
        <v>0.26</v>
      </c>
      <c r="AM68" s="63">
        <v>0.36</v>
      </c>
      <c r="AN68" s="35">
        <v>57</v>
      </c>
      <c r="AO68" s="35">
        <v>6</v>
      </c>
      <c r="AP68" s="40">
        <v>0</v>
      </c>
      <c r="AQ68" s="40">
        <v>0.16</v>
      </c>
      <c r="AR68" s="40">
        <v>0.79</v>
      </c>
      <c r="AS68" s="40">
        <v>0.05</v>
      </c>
      <c r="AT68" s="40">
        <v>0.39</v>
      </c>
      <c r="AU68" s="40">
        <v>0.3</v>
      </c>
      <c r="AV68" s="40">
        <v>0.35</v>
      </c>
      <c r="AW68" s="246">
        <v>60</v>
      </c>
      <c r="AX68" s="246" t="s">
        <v>758</v>
      </c>
      <c r="AY68" s="246">
        <v>9</v>
      </c>
      <c r="AZ68" s="246" t="s">
        <v>758</v>
      </c>
      <c r="BA68" s="263">
        <v>0</v>
      </c>
      <c r="BB68" s="263">
        <v>0.15</v>
      </c>
      <c r="BC68" s="263">
        <v>0.65</v>
      </c>
      <c r="BD68" s="263">
        <v>0.21</v>
      </c>
      <c r="BE68" s="263">
        <v>0.33</v>
      </c>
      <c r="BF68" s="263">
        <v>0.27</v>
      </c>
      <c r="BG68" s="263">
        <v>0.42</v>
      </c>
      <c r="BH68" s="309">
        <v>63</v>
      </c>
      <c r="BI68" s="309" t="s">
        <v>759</v>
      </c>
      <c r="BJ68" s="309">
        <v>8</v>
      </c>
      <c r="BK68" s="309" t="s">
        <v>758</v>
      </c>
      <c r="BL68" s="327">
        <v>0</v>
      </c>
      <c r="BM68" s="327">
        <v>0.08</v>
      </c>
      <c r="BN68" s="327">
        <v>0.55000000000000004</v>
      </c>
      <c r="BO68" s="327">
        <v>0.37</v>
      </c>
      <c r="BP68" s="327">
        <v>0.31</v>
      </c>
      <c r="BQ68" s="327">
        <v>0.24</v>
      </c>
      <c r="BR68" s="327">
        <v>0.27</v>
      </c>
      <c r="BS68" s="424">
        <v>61</v>
      </c>
      <c r="BT68" s="424" t="s">
        <v>758</v>
      </c>
      <c r="BU68" s="424">
        <v>7</v>
      </c>
      <c r="BV68" s="424" t="s">
        <v>758</v>
      </c>
      <c r="BW68" s="428">
        <v>0</v>
      </c>
      <c r="BX68" s="428">
        <v>0.02</v>
      </c>
      <c r="BY68" s="428">
        <v>0.67</v>
      </c>
      <c r="BZ68" s="428">
        <v>0.31</v>
      </c>
      <c r="CA68" s="428">
        <v>0.24</v>
      </c>
      <c r="CB68" s="428">
        <v>0.37</v>
      </c>
      <c r="CC68" s="428">
        <v>0.34</v>
      </c>
      <c r="CD68" s="464">
        <v>65</v>
      </c>
      <c r="CE68" s="464" t="s">
        <v>759</v>
      </c>
      <c r="CF68" s="464">
        <v>6</v>
      </c>
      <c r="CG68" s="464" t="s">
        <v>758</v>
      </c>
      <c r="CH68" s="476">
        <v>0</v>
      </c>
      <c r="CI68" s="476">
        <v>0</v>
      </c>
      <c r="CJ68" s="476">
        <v>0.59</v>
      </c>
      <c r="CK68" s="476">
        <v>0.41</v>
      </c>
      <c r="CL68" s="476">
        <v>0.27</v>
      </c>
      <c r="CM68" s="476">
        <v>0.26</v>
      </c>
      <c r="CN68" s="476">
        <v>0.19</v>
      </c>
      <c r="CO68" s="902">
        <v>61</v>
      </c>
      <c r="CP68" s="902" t="s">
        <v>758</v>
      </c>
      <c r="CQ68" s="902">
        <v>8</v>
      </c>
      <c r="CR68" s="902" t="s">
        <v>758</v>
      </c>
      <c r="CS68" s="949">
        <v>0</v>
      </c>
      <c r="CT68" s="949">
        <v>0.06</v>
      </c>
      <c r="CU68" s="949">
        <v>0.63</v>
      </c>
      <c r="CV68" s="949">
        <v>0.31</v>
      </c>
      <c r="CW68" s="949">
        <v>0.18</v>
      </c>
      <c r="CX68" s="949">
        <v>0.33</v>
      </c>
      <c r="CY68" s="949">
        <v>0.42</v>
      </c>
      <c r="CZ68" s="26">
        <v>325754001662</v>
      </c>
      <c r="DA68" s="803" t="s">
        <v>89</v>
      </c>
    </row>
    <row r="69" spans="1:105" ht="24.95" customHeight="1" x14ac:dyDescent="0.2">
      <c r="A69" s="803" t="s">
        <v>38</v>
      </c>
      <c r="B69" s="1" t="s">
        <v>123</v>
      </c>
      <c r="C69" s="2">
        <v>1</v>
      </c>
      <c r="D69" s="12">
        <v>55</v>
      </c>
      <c r="E69" s="12">
        <v>7</v>
      </c>
      <c r="F69" s="63">
        <v>0</v>
      </c>
      <c r="G69" s="63">
        <v>0.39</v>
      </c>
      <c r="H69" s="63">
        <v>0.56000000000000005</v>
      </c>
      <c r="I69" s="63">
        <v>0.06</v>
      </c>
      <c r="J69" s="63">
        <v>0.42</v>
      </c>
      <c r="K69" s="63">
        <v>0.47</v>
      </c>
      <c r="L69" s="63">
        <v>0.52</v>
      </c>
      <c r="M69" s="25">
        <v>50</v>
      </c>
      <c r="N69" s="25">
        <v>7</v>
      </c>
      <c r="O69" s="61">
        <v>0.03</v>
      </c>
      <c r="P69" s="61">
        <v>0.43</v>
      </c>
      <c r="Q69" s="61">
        <v>0.5</v>
      </c>
      <c r="R69" s="61">
        <v>0.03</v>
      </c>
      <c r="S69" s="61">
        <v>0.55000000000000004</v>
      </c>
      <c r="T69" s="61">
        <v>0.54</v>
      </c>
      <c r="U69" s="61">
        <v>0.5</v>
      </c>
      <c r="V69" s="25">
        <v>50</v>
      </c>
      <c r="W69" s="25">
        <v>7</v>
      </c>
      <c r="X69" s="66">
        <v>0.05</v>
      </c>
      <c r="Y69" s="66">
        <v>0.5</v>
      </c>
      <c r="Z69" s="66">
        <v>0.41</v>
      </c>
      <c r="AA69" s="66">
        <v>0.05</v>
      </c>
      <c r="AB69" s="66">
        <v>0.52</v>
      </c>
      <c r="AC69" s="66">
        <v>0.53</v>
      </c>
      <c r="AD69" s="66">
        <v>0.56999999999999995</v>
      </c>
      <c r="AE69" s="12">
        <v>52</v>
      </c>
      <c r="AF69" s="12">
        <v>9</v>
      </c>
      <c r="AG69" s="63">
        <v>0</v>
      </c>
      <c r="AH69" s="63">
        <v>0.42</v>
      </c>
      <c r="AI69" s="63">
        <v>0.5</v>
      </c>
      <c r="AJ69" s="63">
        <v>0.08</v>
      </c>
      <c r="AK69" s="63">
        <v>0.44</v>
      </c>
      <c r="AL69" s="63">
        <v>0.39</v>
      </c>
      <c r="AM69" s="63">
        <v>0.48</v>
      </c>
      <c r="AN69" s="35">
        <v>49</v>
      </c>
      <c r="AO69" s="35">
        <v>8</v>
      </c>
      <c r="AP69" s="40">
        <v>0.04</v>
      </c>
      <c r="AQ69" s="40">
        <v>0.44</v>
      </c>
      <c r="AR69" s="40">
        <v>0.48</v>
      </c>
      <c r="AS69" s="40">
        <v>0.04</v>
      </c>
      <c r="AT69" s="40">
        <v>0.53</v>
      </c>
      <c r="AU69" s="40">
        <v>0.47</v>
      </c>
      <c r="AV69" s="40">
        <v>0.55000000000000004</v>
      </c>
      <c r="AW69" s="246">
        <v>53</v>
      </c>
      <c r="AX69" s="246" t="s">
        <v>758</v>
      </c>
      <c r="AY69" s="246">
        <v>10</v>
      </c>
      <c r="AZ69" s="246" t="s">
        <v>758</v>
      </c>
      <c r="BA69" s="263">
        <v>0</v>
      </c>
      <c r="BB69" s="263">
        <v>0.48</v>
      </c>
      <c r="BC69" s="263">
        <v>0.33</v>
      </c>
      <c r="BD69" s="263">
        <v>0.19</v>
      </c>
      <c r="BE69" s="263">
        <v>0.47</v>
      </c>
      <c r="BF69" s="263">
        <v>0.36</v>
      </c>
      <c r="BG69" s="263">
        <v>0.53</v>
      </c>
      <c r="BH69" s="309">
        <v>50</v>
      </c>
      <c r="BI69" s="309" t="s">
        <v>758</v>
      </c>
      <c r="BJ69" s="309">
        <v>10</v>
      </c>
      <c r="BK69" s="309" t="s">
        <v>758</v>
      </c>
      <c r="BL69" s="327">
        <v>0.04</v>
      </c>
      <c r="BM69" s="327">
        <v>0.43</v>
      </c>
      <c r="BN69" s="327">
        <v>0.39</v>
      </c>
      <c r="BO69" s="327">
        <v>0.14000000000000001</v>
      </c>
      <c r="BP69" s="327">
        <v>0.51</v>
      </c>
      <c r="BQ69" s="327">
        <v>0.4</v>
      </c>
      <c r="BR69" s="327">
        <v>0.55000000000000004</v>
      </c>
      <c r="BS69" s="424">
        <v>52</v>
      </c>
      <c r="BT69" s="424" t="s">
        <v>758</v>
      </c>
      <c r="BU69" s="424">
        <v>9</v>
      </c>
      <c r="BV69" s="424" t="s">
        <v>758</v>
      </c>
      <c r="BW69" s="428">
        <v>0.05</v>
      </c>
      <c r="BX69" s="428">
        <v>0.27</v>
      </c>
      <c r="BY69" s="428">
        <v>0.64</v>
      </c>
      <c r="BZ69" s="428">
        <v>0.05</v>
      </c>
      <c r="CA69" s="428">
        <v>0.38</v>
      </c>
      <c r="CB69" s="428">
        <v>0.51</v>
      </c>
      <c r="CC69" s="428">
        <v>0.53</v>
      </c>
      <c r="CD69" s="464">
        <v>52</v>
      </c>
      <c r="CE69" s="464" t="s">
        <v>758</v>
      </c>
      <c r="CF69" s="464">
        <v>9</v>
      </c>
      <c r="CG69" s="464" t="s">
        <v>758</v>
      </c>
      <c r="CH69" s="476">
        <v>0</v>
      </c>
      <c r="CI69" s="476">
        <v>0.38</v>
      </c>
      <c r="CJ69" s="476">
        <v>0.63</v>
      </c>
      <c r="CK69" s="476">
        <v>0</v>
      </c>
      <c r="CL69" s="476">
        <v>0.5</v>
      </c>
      <c r="CM69" s="476">
        <v>0.47</v>
      </c>
      <c r="CN69" s="476">
        <v>0.39</v>
      </c>
      <c r="CO69" s="902">
        <v>53</v>
      </c>
      <c r="CP69" s="902" t="s">
        <v>758</v>
      </c>
      <c r="CQ69" s="902">
        <v>7</v>
      </c>
      <c r="CR69" s="902" t="s">
        <v>758</v>
      </c>
      <c r="CS69" s="949">
        <v>0</v>
      </c>
      <c r="CT69" s="949">
        <v>0.28999999999999998</v>
      </c>
      <c r="CU69" s="949">
        <v>0.71</v>
      </c>
      <c r="CV69" s="949">
        <v>0</v>
      </c>
      <c r="CW69" s="949">
        <v>0.38</v>
      </c>
      <c r="CX69" s="949">
        <v>0.47</v>
      </c>
      <c r="CY69" s="949">
        <v>0.56000000000000005</v>
      </c>
      <c r="CZ69" s="26">
        <v>325754001671</v>
      </c>
      <c r="DA69" s="803" t="s">
        <v>38</v>
      </c>
    </row>
    <row r="70" spans="1:105" ht="24.95" customHeight="1" x14ac:dyDescent="0.2">
      <c r="A70" s="803" t="s">
        <v>75</v>
      </c>
      <c r="B70" s="1" t="s">
        <v>123</v>
      </c>
      <c r="C70" s="2">
        <v>3</v>
      </c>
      <c r="D70" s="12">
        <v>58</v>
      </c>
      <c r="E70" s="12">
        <v>9</v>
      </c>
      <c r="F70" s="63">
        <v>0</v>
      </c>
      <c r="G70" s="63">
        <v>0.21</v>
      </c>
      <c r="H70" s="63">
        <v>0.56000000000000005</v>
      </c>
      <c r="I70" s="63">
        <v>0.24</v>
      </c>
      <c r="J70" s="63">
        <v>0.36</v>
      </c>
      <c r="K70" s="63">
        <v>0.41</v>
      </c>
      <c r="L70" s="63">
        <v>0.45</v>
      </c>
      <c r="M70" s="25">
        <v>57</v>
      </c>
      <c r="N70" s="25">
        <v>8</v>
      </c>
      <c r="O70" s="61">
        <v>0</v>
      </c>
      <c r="P70" s="61">
        <v>0.23</v>
      </c>
      <c r="Q70" s="61">
        <v>0.6</v>
      </c>
      <c r="R70" s="61">
        <v>0.18</v>
      </c>
      <c r="S70" s="61">
        <v>0.4</v>
      </c>
      <c r="T70" s="61">
        <v>0.43</v>
      </c>
      <c r="U70" s="61">
        <v>0.39</v>
      </c>
      <c r="V70" s="25">
        <v>59</v>
      </c>
      <c r="W70" s="25">
        <v>8</v>
      </c>
      <c r="X70" s="66">
        <v>0</v>
      </c>
      <c r="Y70" s="66">
        <v>0.16</v>
      </c>
      <c r="Z70" s="66">
        <v>0.57999999999999996</v>
      </c>
      <c r="AA70" s="66">
        <v>0.26</v>
      </c>
      <c r="AB70" s="66">
        <v>0.34</v>
      </c>
      <c r="AC70" s="66">
        <v>0.42</v>
      </c>
      <c r="AD70" s="66">
        <v>0.45</v>
      </c>
      <c r="AE70" s="12">
        <v>56</v>
      </c>
      <c r="AF70" s="12">
        <v>8</v>
      </c>
      <c r="AG70" s="63">
        <v>0.02</v>
      </c>
      <c r="AH70" s="63">
        <v>0.14000000000000001</v>
      </c>
      <c r="AI70" s="63">
        <v>0.75</v>
      </c>
      <c r="AJ70" s="63">
        <v>0.1</v>
      </c>
      <c r="AK70" s="63">
        <v>0.39</v>
      </c>
      <c r="AL70" s="63">
        <v>0.35</v>
      </c>
      <c r="AM70" s="63">
        <v>0.36</v>
      </c>
      <c r="AN70" s="35">
        <v>57</v>
      </c>
      <c r="AO70" s="35">
        <v>7</v>
      </c>
      <c r="AP70" s="40">
        <v>0</v>
      </c>
      <c r="AQ70" s="40">
        <v>0.16</v>
      </c>
      <c r="AR70" s="40">
        <v>0.76</v>
      </c>
      <c r="AS70" s="40">
        <v>0.08</v>
      </c>
      <c r="AT70" s="40">
        <v>0.41</v>
      </c>
      <c r="AU70" s="40">
        <v>0.3</v>
      </c>
      <c r="AV70" s="40">
        <v>0.33</v>
      </c>
      <c r="AW70" s="246">
        <v>57</v>
      </c>
      <c r="AX70" s="246" t="s">
        <v>758</v>
      </c>
      <c r="AY70" s="246">
        <v>10</v>
      </c>
      <c r="AZ70" s="246" t="s">
        <v>758</v>
      </c>
      <c r="BA70" s="263">
        <v>0.03</v>
      </c>
      <c r="BB70" s="263">
        <v>0.26</v>
      </c>
      <c r="BC70" s="263">
        <v>0.54</v>
      </c>
      <c r="BD70" s="263">
        <v>0.17</v>
      </c>
      <c r="BE70" s="263">
        <v>0.38</v>
      </c>
      <c r="BF70" s="263">
        <v>0.3</v>
      </c>
      <c r="BG70" s="263">
        <v>0.48</v>
      </c>
      <c r="BH70" s="309">
        <v>62</v>
      </c>
      <c r="BI70" s="309" t="s">
        <v>758</v>
      </c>
      <c r="BJ70" s="309">
        <v>7</v>
      </c>
      <c r="BK70" s="309" t="s">
        <v>758</v>
      </c>
      <c r="BL70" s="327">
        <v>0</v>
      </c>
      <c r="BM70" s="327">
        <v>0.06</v>
      </c>
      <c r="BN70" s="327">
        <v>0.6</v>
      </c>
      <c r="BO70" s="327">
        <v>0.34</v>
      </c>
      <c r="BP70" s="327">
        <v>0.32</v>
      </c>
      <c r="BQ70" s="327">
        <v>0.22</v>
      </c>
      <c r="BR70" s="327">
        <v>0.24</v>
      </c>
      <c r="BS70" s="424">
        <v>60</v>
      </c>
      <c r="BT70" s="424" t="s">
        <v>758</v>
      </c>
      <c r="BU70" s="424">
        <v>7</v>
      </c>
      <c r="BV70" s="424" t="s">
        <v>758</v>
      </c>
      <c r="BW70" s="428">
        <v>0.02</v>
      </c>
      <c r="BX70" s="428">
        <v>0.05</v>
      </c>
      <c r="BY70" s="428">
        <v>0.74</v>
      </c>
      <c r="BZ70" s="428">
        <v>0.19</v>
      </c>
      <c r="CA70" s="428">
        <v>0.24</v>
      </c>
      <c r="CB70" s="428">
        <v>0.38</v>
      </c>
      <c r="CC70" s="428">
        <v>0.42</v>
      </c>
      <c r="CD70" s="464">
        <v>59</v>
      </c>
      <c r="CE70" s="464" t="s">
        <v>758</v>
      </c>
      <c r="CF70" s="464">
        <v>7</v>
      </c>
      <c r="CG70" s="464" t="s">
        <v>758</v>
      </c>
      <c r="CH70" s="476">
        <v>0</v>
      </c>
      <c r="CI70" s="476">
        <v>0.1</v>
      </c>
      <c r="CJ70" s="476">
        <v>0.71</v>
      </c>
      <c r="CK70" s="476">
        <v>0.2</v>
      </c>
      <c r="CL70" s="476">
        <v>0.4</v>
      </c>
      <c r="CM70" s="476">
        <v>0.36</v>
      </c>
      <c r="CN70" s="476">
        <v>0.24</v>
      </c>
      <c r="CO70" s="902">
        <v>60</v>
      </c>
      <c r="CP70" s="902" t="s">
        <v>758</v>
      </c>
      <c r="CQ70" s="902">
        <v>10</v>
      </c>
      <c r="CR70" s="902" t="s">
        <v>758</v>
      </c>
      <c r="CS70" s="949">
        <v>0.02</v>
      </c>
      <c r="CT70" s="949">
        <v>0.16</v>
      </c>
      <c r="CU70" s="949">
        <v>0.51</v>
      </c>
      <c r="CV70" s="949">
        <v>0.32</v>
      </c>
      <c r="CW70" s="949">
        <v>0.22</v>
      </c>
      <c r="CX70" s="949">
        <v>0.36</v>
      </c>
      <c r="CY70" s="949">
        <v>0.43</v>
      </c>
      <c r="CZ70" s="26">
        <v>325754002162</v>
      </c>
      <c r="DA70" s="803" t="s">
        <v>75</v>
      </c>
    </row>
    <row r="71" spans="1:105" ht="24.95" customHeight="1" x14ac:dyDescent="0.2">
      <c r="A71" s="803" t="s">
        <v>99</v>
      </c>
      <c r="B71" s="1" t="s">
        <v>123</v>
      </c>
      <c r="C71" s="2">
        <v>5</v>
      </c>
      <c r="D71" s="12">
        <v>54</v>
      </c>
      <c r="E71" s="12">
        <v>7</v>
      </c>
      <c r="F71" s="63">
        <v>0.01</v>
      </c>
      <c r="G71" s="63">
        <v>0.35</v>
      </c>
      <c r="H71" s="63">
        <v>0.57999999999999996</v>
      </c>
      <c r="I71" s="63">
        <v>0.06</v>
      </c>
      <c r="J71" s="63">
        <v>0.4</v>
      </c>
      <c r="K71" s="63">
        <v>0.48</v>
      </c>
      <c r="L71" s="63">
        <v>0.54</v>
      </c>
      <c r="M71" s="25">
        <v>56</v>
      </c>
      <c r="N71" s="25">
        <v>8</v>
      </c>
      <c r="O71" s="61">
        <v>0.01</v>
      </c>
      <c r="P71" s="61">
        <v>0.25</v>
      </c>
      <c r="Q71" s="61">
        <v>0.63</v>
      </c>
      <c r="R71" s="61">
        <v>0.11</v>
      </c>
      <c r="S71" s="61">
        <v>0.38</v>
      </c>
      <c r="T71" s="61">
        <v>0.44</v>
      </c>
      <c r="U71" s="61">
        <v>0.46</v>
      </c>
      <c r="V71" s="25">
        <v>55</v>
      </c>
      <c r="W71" s="25">
        <v>8</v>
      </c>
      <c r="X71" s="66">
        <v>0.01</v>
      </c>
      <c r="Y71" s="66">
        <v>0.3</v>
      </c>
      <c r="Z71" s="66">
        <v>0.62</v>
      </c>
      <c r="AA71" s="66">
        <v>7.0000000000000007E-2</v>
      </c>
      <c r="AB71" s="66">
        <v>0.4</v>
      </c>
      <c r="AC71" s="66">
        <v>0.44</v>
      </c>
      <c r="AD71" s="66">
        <v>0.5</v>
      </c>
      <c r="AE71" s="12">
        <v>56</v>
      </c>
      <c r="AF71" s="12">
        <v>8</v>
      </c>
      <c r="AG71" s="63">
        <v>0.02</v>
      </c>
      <c r="AH71" s="63">
        <v>0.23</v>
      </c>
      <c r="AI71" s="63">
        <v>0.6</v>
      </c>
      <c r="AJ71" s="63">
        <v>0.15</v>
      </c>
      <c r="AK71" s="63">
        <v>0.38</v>
      </c>
      <c r="AL71" s="63">
        <v>0.32</v>
      </c>
      <c r="AM71" s="63">
        <v>0.39</v>
      </c>
      <c r="AN71" s="35">
        <v>57</v>
      </c>
      <c r="AO71" s="35">
        <v>7</v>
      </c>
      <c r="AP71" s="40">
        <v>0</v>
      </c>
      <c r="AQ71" s="40">
        <v>0.15</v>
      </c>
      <c r="AR71" s="40">
        <v>0.75</v>
      </c>
      <c r="AS71" s="40">
        <v>0.1</v>
      </c>
      <c r="AT71" s="40">
        <v>0.42</v>
      </c>
      <c r="AU71" s="40">
        <v>0.31</v>
      </c>
      <c r="AV71" s="40">
        <v>0.37</v>
      </c>
      <c r="AW71" s="246">
        <v>56</v>
      </c>
      <c r="AX71" s="246" t="s">
        <v>758</v>
      </c>
      <c r="AY71" s="246">
        <v>9</v>
      </c>
      <c r="AZ71" s="246" t="s">
        <v>758</v>
      </c>
      <c r="BA71" s="263">
        <v>0.01</v>
      </c>
      <c r="BB71" s="263">
        <v>0.33</v>
      </c>
      <c r="BC71" s="263">
        <v>0.46</v>
      </c>
      <c r="BD71" s="263">
        <v>0.19</v>
      </c>
      <c r="BE71" s="263">
        <v>0.41</v>
      </c>
      <c r="BF71" s="263">
        <v>0.34</v>
      </c>
      <c r="BG71" s="263">
        <v>0.49</v>
      </c>
      <c r="BH71" s="309">
        <v>56</v>
      </c>
      <c r="BI71" s="309" t="s">
        <v>758</v>
      </c>
      <c r="BJ71" s="309">
        <v>8</v>
      </c>
      <c r="BK71" s="309" t="s">
        <v>758</v>
      </c>
      <c r="BL71" s="327">
        <v>0.02</v>
      </c>
      <c r="BM71" s="327">
        <v>0.21</v>
      </c>
      <c r="BN71" s="327">
        <v>0.65</v>
      </c>
      <c r="BO71" s="327">
        <v>0.12</v>
      </c>
      <c r="BP71" s="327">
        <v>0.44</v>
      </c>
      <c r="BQ71" s="327">
        <v>0.28999999999999998</v>
      </c>
      <c r="BR71" s="327">
        <v>0.43</v>
      </c>
      <c r="BS71" s="424">
        <v>56</v>
      </c>
      <c r="BT71" s="424" t="s">
        <v>758</v>
      </c>
      <c r="BU71" s="424">
        <v>9</v>
      </c>
      <c r="BV71" s="424" t="s">
        <v>758</v>
      </c>
      <c r="BW71" s="428">
        <v>0.01</v>
      </c>
      <c r="BX71" s="428">
        <v>0.24</v>
      </c>
      <c r="BY71" s="428">
        <v>0.63</v>
      </c>
      <c r="BZ71" s="428">
        <v>0.12</v>
      </c>
      <c r="CA71" s="428">
        <v>0.32</v>
      </c>
      <c r="CB71" s="428">
        <v>0.45</v>
      </c>
      <c r="CC71" s="428">
        <v>0.44</v>
      </c>
      <c r="CD71" s="464">
        <v>57</v>
      </c>
      <c r="CE71" s="464" t="s">
        <v>758</v>
      </c>
      <c r="CF71" s="464">
        <v>8</v>
      </c>
      <c r="CG71" s="464" t="s">
        <v>758</v>
      </c>
      <c r="CH71" s="476">
        <v>0.01</v>
      </c>
      <c r="CI71" s="476">
        <v>0.23</v>
      </c>
      <c r="CJ71" s="476">
        <v>0.64</v>
      </c>
      <c r="CK71" s="476">
        <v>0.12</v>
      </c>
      <c r="CL71" s="476">
        <v>0.41</v>
      </c>
      <c r="CM71" s="476">
        <v>0.41</v>
      </c>
      <c r="CN71" s="476">
        <v>0.28000000000000003</v>
      </c>
      <c r="CO71" s="902">
        <v>58</v>
      </c>
      <c r="CP71" s="902" t="s">
        <v>758</v>
      </c>
      <c r="CQ71" s="902">
        <v>8</v>
      </c>
      <c r="CR71" s="902" t="s">
        <v>758</v>
      </c>
      <c r="CS71" s="949">
        <v>0</v>
      </c>
      <c r="CT71" s="949">
        <v>0.18</v>
      </c>
      <c r="CU71" s="949">
        <v>0.69</v>
      </c>
      <c r="CV71" s="949">
        <v>0.14000000000000001</v>
      </c>
      <c r="CW71" s="949">
        <v>0.25</v>
      </c>
      <c r="CX71" s="949">
        <v>0.39</v>
      </c>
      <c r="CY71" s="949">
        <v>0.47</v>
      </c>
      <c r="CZ71" s="26">
        <v>325754003312</v>
      </c>
      <c r="DA71" s="803" t="s">
        <v>99</v>
      </c>
    </row>
    <row r="72" spans="1:105" ht="24.95" customHeight="1" x14ac:dyDescent="0.2">
      <c r="A72" s="803" t="s">
        <v>46</v>
      </c>
      <c r="B72" s="1" t="s">
        <v>123</v>
      </c>
      <c r="C72" s="2">
        <v>1</v>
      </c>
      <c r="D72" s="12">
        <v>51</v>
      </c>
      <c r="E72" s="12">
        <v>6</v>
      </c>
      <c r="F72" s="63">
        <v>0.03</v>
      </c>
      <c r="G72" s="63">
        <v>0.49</v>
      </c>
      <c r="H72" s="63">
        <v>0.49</v>
      </c>
      <c r="I72" s="63">
        <v>0</v>
      </c>
      <c r="J72" s="63">
        <v>0.44</v>
      </c>
      <c r="K72" s="63">
        <v>0.51</v>
      </c>
      <c r="L72" s="63">
        <v>0.63</v>
      </c>
      <c r="M72" s="25">
        <v>53</v>
      </c>
      <c r="N72" s="25">
        <v>7</v>
      </c>
      <c r="O72" s="61">
        <v>0</v>
      </c>
      <c r="P72" s="61">
        <v>0.33</v>
      </c>
      <c r="Q72" s="61">
        <v>0.64</v>
      </c>
      <c r="R72" s="61">
        <v>0.03</v>
      </c>
      <c r="S72" s="61">
        <v>0.44</v>
      </c>
      <c r="T72" s="61">
        <v>0.5</v>
      </c>
      <c r="U72" s="61">
        <v>0.47</v>
      </c>
      <c r="V72" s="25">
        <v>54</v>
      </c>
      <c r="W72" s="25">
        <v>10</v>
      </c>
      <c r="X72" s="66">
        <v>0.04</v>
      </c>
      <c r="Y72" s="66">
        <v>0.28999999999999998</v>
      </c>
      <c r="Z72" s="66">
        <v>0.54</v>
      </c>
      <c r="AA72" s="66">
        <v>0.14000000000000001</v>
      </c>
      <c r="AB72" s="66">
        <v>0.42</v>
      </c>
      <c r="AC72" s="66">
        <v>0.46</v>
      </c>
      <c r="AD72" s="66">
        <v>0.51</v>
      </c>
      <c r="AE72" s="12">
        <v>51</v>
      </c>
      <c r="AF72" s="12">
        <v>8</v>
      </c>
      <c r="AG72" s="63">
        <v>0.03</v>
      </c>
      <c r="AH72" s="63">
        <v>0.5</v>
      </c>
      <c r="AI72" s="63">
        <v>0.44</v>
      </c>
      <c r="AJ72" s="63">
        <v>0.03</v>
      </c>
      <c r="AK72" s="63">
        <v>0.47</v>
      </c>
      <c r="AL72" s="63">
        <v>0.46</v>
      </c>
      <c r="AM72" s="63">
        <v>0.44</v>
      </c>
      <c r="AN72" s="35">
        <v>53</v>
      </c>
      <c r="AO72" s="35">
        <v>7</v>
      </c>
      <c r="AP72" s="40">
        <v>0.03</v>
      </c>
      <c r="AQ72" s="40">
        <v>0.33</v>
      </c>
      <c r="AR72" s="40">
        <v>0.57999999999999996</v>
      </c>
      <c r="AS72" s="40">
        <v>0.06</v>
      </c>
      <c r="AT72" s="40">
        <v>0.48</v>
      </c>
      <c r="AU72" s="40">
        <v>0.39</v>
      </c>
      <c r="AV72" s="40">
        <v>0.4</v>
      </c>
      <c r="AW72" s="246">
        <v>56</v>
      </c>
      <c r="AX72" s="246" t="s">
        <v>758</v>
      </c>
      <c r="AY72" s="246">
        <v>8</v>
      </c>
      <c r="AZ72" s="246" t="s">
        <v>758</v>
      </c>
      <c r="BA72" s="263">
        <v>0</v>
      </c>
      <c r="BB72" s="263">
        <v>0.31</v>
      </c>
      <c r="BC72" s="263">
        <v>0.5</v>
      </c>
      <c r="BD72" s="263">
        <v>0.19</v>
      </c>
      <c r="BE72" s="263">
        <v>0.4</v>
      </c>
      <c r="BF72" s="263">
        <v>0.27</v>
      </c>
      <c r="BG72" s="263">
        <v>0.53</v>
      </c>
      <c r="BH72" s="309">
        <v>52</v>
      </c>
      <c r="BI72" s="309" t="s">
        <v>758</v>
      </c>
      <c r="BJ72" s="309">
        <v>9</v>
      </c>
      <c r="BK72" s="309" t="s">
        <v>758</v>
      </c>
      <c r="BL72" s="327">
        <v>0.06</v>
      </c>
      <c r="BM72" s="327">
        <v>0.36</v>
      </c>
      <c r="BN72" s="327">
        <v>0.55000000000000004</v>
      </c>
      <c r="BO72" s="327">
        <v>0.03</v>
      </c>
      <c r="BP72" s="327">
        <v>0.48</v>
      </c>
      <c r="BQ72" s="327">
        <v>0.4</v>
      </c>
      <c r="BR72" s="327">
        <v>0.5</v>
      </c>
      <c r="BS72" s="424">
        <v>52</v>
      </c>
      <c r="BT72" s="424" t="s">
        <v>758</v>
      </c>
      <c r="BU72" s="424">
        <v>9</v>
      </c>
      <c r="BV72" s="424" t="s">
        <v>758</v>
      </c>
      <c r="BW72" s="428">
        <v>0.03</v>
      </c>
      <c r="BX72" s="428">
        <v>0.38</v>
      </c>
      <c r="BY72" s="428">
        <v>0.48</v>
      </c>
      <c r="BZ72" s="428">
        <v>0.1</v>
      </c>
      <c r="CA72" s="428">
        <v>0.37</v>
      </c>
      <c r="CB72" s="428">
        <v>0.49</v>
      </c>
      <c r="CC72" s="428">
        <v>0.57999999999999996</v>
      </c>
      <c r="CD72" s="464">
        <v>55</v>
      </c>
      <c r="CE72" s="464" t="s">
        <v>758</v>
      </c>
      <c r="CF72" s="464">
        <v>8</v>
      </c>
      <c r="CG72" s="464" t="s">
        <v>758</v>
      </c>
      <c r="CH72" s="476">
        <v>0.05</v>
      </c>
      <c r="CI72" s="476">
        <v>0.27</v>
      </c>
      <c r="CJ72" s="476">
        <v>0.64</v>
      </c>
      <c r="CK72" s="476">
        <v>0.05</v>
      </c>
      <c r="CL72" s="476">
        <v>0.42</v>
      </c>
      <c r="CM72" s="476">
        <v>0.44</v>
      </c>
      <c r="CN72" s="476">
        <v>0.33</v>
      </c>
      <c r="CO72" s="902">
        <v>56</v>
      </c>
      <c r="CP72" s="902" t="s">
        <v>758</v>
      </c>
      <c r="CQ72" s="902">
        <v>8</v>
      </c>
      <c r="CR72" s="902" t="s">
        <v>758</v>
      </c>
      <c r="CS72" s="949">
        <v>0</v>
      </c>
      <c r="CT72" s="949">
        <v>0.24</v>
      </c>
      <c r="CU72" s="949">
        <v>0.6</v>
      </c>
      <c r="CV72" s="949">
        <v>0.17</v>
      </c>
      <c r="CW72" s="949">
        <v>0.28999999999999998</v>
      </c>
      <c r="CX72" s="949">
        <v>0.43</v>
      </c>
      <c r="CY72" s="949">
        <v>0.49</v>
      </c>
      <c r="CZ72" s="26">
        <v>325754002073</v>
      </c>
      <c r="DA72" s="803" t="s">
        <v>46</v>
      </c>
    </row>
    <row r="73" spans="1:105" ht="24.95" customHeight="1" x14ac:dyDescent="0.2">
      <c r="A73" s="803" t="s">
        <v>21</v>
      </c>
      <c r="B73" s="1" t="s">
        <v>123</v>
      </c>
      <c r="C73" s="2">
        <v>3</v>
      </c>
      <c r="D73" s="12">
        <v>56</v>
      </c>
      <c r="E73" s="12">
        <v>8</v>
      </c>
      <c r="F73" s="63">
        <v>0</v>
      </c>
      <c r="G73" s="63">
        <v>0.27</v>
      </c>
      <c r="H73" s="63">
        <v>0.67</v>
      </c>
      <c r="I73" s="63">
        <v>0.06</v>
      </c>
      <c r="J73" s="63">
        <v>0.36</v>
      </c>
      <c r="K73" s="63">
        <v>0.44</v>
      </c>
      <c r="L73" s="63">
        <v>0.46</v>
      </c>
      <c r="M73" s="25">
        <v>58</v>
      </c>
      <c r="N73" s="25">
        <v>7</v>
      </c>
      <c r="O73" s="61">
        <v>0</v>
      </c>
      <c r="P73" s="61">
        <v>0.13</v>
      </c>
      <c r="Q73" s="61">
        <v>0.75</v>
      </c>
      <c r="R73" s="61">
        <v>0.13</v>
      </c>
      <c r="S73" s="61">
        <v>0.4</v>
      </c>
      <c r="T73" s="61">
        <v>0.4</v>
      </c>
      <c r="U73" s="61">
        <v>0.37</v>
      </c>
      <c r="V73" s="25">
        <v>53</v>
      </c>
      <c r="W73" s="25">
        <v>8</v>
      </c>
      <c r="X73" s="66">
        <v>0</v>
      </c>
      <c r="Y73" s="66">
        <v>0.47</v>
      </c>
      <c r="Z73" s="66">
        <v>0.47</v>
      </c>
      <c r="AA73" s="66">
        <v>7.0000000000000007E-2</v>
      </c>
      <c r="AB73" s="66">
        <v>0.46</v>
      </c>
      <c r="AC73" s="66">
        <v>0.48</v>
      </c>
      <c r="AD73" s="66">
        <v>0.51</v>
      </c>
      <c r="AE73" s="12">
        <v>57</v>
      </c>
      <c r="AF73" s="12">
        <v>9</v>
      </c>
      <c r="AG73" s="63">
        <v>0</v>
      </c>
      <c r="AH73" s="63">
        <v>0.26</v>
      </c>
      <c r="AI73" s="63">
        <v>0.53</v>
      </c>
      <c r="AJ73" s="63">
        <v>0.21</v>
      </c>
      <c r="AK73" s="63">
        <v>0.43</v>
      </c>
      <c r="AL73" s="63">
        <v>0.28000000000000003</v>
      </c>
      <c r="AM73" s="63">
        <v>0.34</v>
      </c>
      <c r="AN73" s="35">
        <v>56</v>
      </c>
      <c r="AO73" s="35">
        <v>9</v>
      </c>
      <c r="AP73" s="40">
        <v>0.02</v>
      </c>
      <c r="AQ73" s="40">
        <v>0.24</v>
      </c>
      <c r="AR73" s="40">
        <v>0.64</v>
      </c>
      <c r="AS73" s="40">
        <v>0.1</v>
      </c>
      <c r="AT73" s="40">
        <v>0.44</v>
      </c>
      <c r="AU73" s="40">
        <v>0.33</v>
      </c>
      <c r="AV73" s="40">
        <v>0.4</v>
      </c>
      <c r="AW73" s="246">
        <v>57</v>
      </c>
      <c r="AX73" s="246" t="s">
        <v>758</v>
      </c>
      <c r="AY73" s="246">
        <v>8</v>
      </c>
      <c r="AZ73" s="246" t="s">
        <v>758</v>
      </c>
      <c r="BA73" s="263">
        <v>0</v>
      </c>
      <c r="BB73" s="263">
        <v>0.22</v>
      </c>
      <c r="BC73" s="263">
        <v>0.61</v>
      </c>
      <c r="BD73" s="263">
        <v>0.17</v>
      </c>
      <c r="BE73" s="263">
        <v>0.41</v>
      </c>
      <c r="BF73" s="263">
        <v>0.28000000000000003</v>
      </c>
      <c r="BG73" s="263">
        <v>0.49</v>
      </c>
      <c r="BH73" s="309">
        <v>58</v>
      </c>
      <c r="BI73" s="309" t="s">
        <v>758</v>
      </c>
      <c r="BJ73" s="309">
        <v>7</v>
      </c>
      <c r="BK73" s="309" t="s">
        <v>758</v>
      </c>
      <c r="BL73" s="327">
        <v>0.02</v>
      </c>
      <c r="BM73" s="327">
        <v>0.11</v>
      </c>
      <c r="BN73" s="327">
        <v>0.79</v>
      </c>
      <c r="BO73" s="327">
        <v>0.09</v>
      </c>
      <c r="BP73" s="327">
        <v>0.43</v>
      </c>
      <c r="BQ73" s="327">
        <v>0.27</v>
      </c>
      <c r="BR73" s="327">
        <v>0.36</v>
      </c>
      <c r="BS73" s="424">
        <v>57</v>
      </c>
      <c r="BT73" s="424" t="s">
        <v>758</v>
      </c>
      <c r="BU73" s="424">
        <v>7</v>
      </c>
      <c r="BV73" s="424" t="s">
        <v>758</v>
      </c>
      <c r="BW73" s="428">
        <v>0</v>
      </c>
      <c r="BX73" s="428">
        <v>0.15</v>
      </c>
      <c r="BY73" s="428">
        <v>0.75</v>
      </c>
      <c r="BZ73" s="428">
        <v>0.1</v>
      </c>
      <c r="CA73" s="428">
        <v>0.31</v>
      </c>
      <c r="CB73" s="428">
        <v>0.44</v>
      </c>
      <c r="CC73" s="428">
        <v>0.42</v>
      </c>
      <c r="CD73" s="464">
        <v>59</v>
      </c>
      <c r="CE73" s="464" t="s">
        <v>758</v>
      </c>
      <c r="CF73" s="464">
        <v>8</v>
      </c>
      <c r="CG73" s="464" t="s">
        <v>758</v>
      </c>
      <c r="CH73" s="476">
        <v>0.01</v>
      </c>
      <c r="CI73" s="476">
        <v>0.1</v>
      </c>
      <c r="CJ73" s="476">
        <v>0.69</v>
      </c>
      <c r="CK73" s="476">
        <v>0.19</v>
      </c>
      <c r="CL73" s="476">
        <v>0.35</v>
      </c>
      <c r="CM73" s="476">
        <v>0.4</v>
      </c>
      <c r="CN73" s="476">
        <v>0.27</v>
      </c>
      <c r="CO73" s="902">
        <v>59</v>
      </c>
      <c r="CP73" s="902" t="s">
        <v>758</v>
      </c>
      <c r="CQ73" s="902">
        <v>11</v>
      </c>
      <c r="CR73" s="902" t="s">
        <v>758</v>
      </c>
      <c r="CS73" s="949">
        <v>0</v>
      </c>
      <c r="CT73" s="949">
        <v>0.22</v>
      </c>
      <c r="CU73" s="949">
        <v>0.59</v>
      </c>
      <c r="CV73" s="949">
        <v>0.2</v>
      </c>
      <c r="CW73" s="949">
        <v>0.25</v>
      </c>
      <c r="CX73" s="949">
        <v>0.39</v>
      </c>
      <c r="CY73" s="949">
        <v>0.44</v>
      </c>
      <c r="CZ73" s="26">
        <v>125754001833</v>
      </c>
      <c r="DA73" s="803" t="s">
        <v>21</v>
      </c>
    </row>
    <row r="74" spans="1:105" ht="24.95" customHeight="1" x14ac:dyDescent="0.2">
      <c r="A74" s="803" t="s">
        <v>56</v>
      </c>
      <c r="B74" s="1" t="s">
        <v>123</v>
      </c>
      <c r="C74" s="2">
        <v>6</v>
      </c>
      <c r="D74" s="12">
        <v>50</v>
      </c>
      <c r="E74" s="12">
        <v>2</v>
      </c>
      <c r="F74" s="63">
        <v>0</v>
      </c>
      <c r="G74" s="63">
        <v>0.75</v>
      </c>
      <c r="H74" s="63">
        <v>0.25</v>
      </c>
      <c r="I74" s="63">
        <v>0</v>
      </c>
      <c r="J74" s="63">
        <v>0.46</v>
      </c>
      <c r="K74" s="63">
        <v>0.67</v>
      </c>
      <c r="L74" s="63">
        <v>0.57999999999999996</v>
      </c>
      <c r="M74" s="25">
        <v>50</v>
      </c>
      <c r="N74" s="25">
        <v>9</v>
      </c>
      <c r="O74" s="61">
        <v>0</v>
      </c>
      <c r="P74" s="61">
        <v>0.5</v>
      </c>
      <c r="Q74" s="61">
        <v>0.5</v>
      </c>
      <c r="R74" s="61">
        <v>0</v>
      </c>
      <c r="S74" s="61">
        <v>0.46</v>
      </c>
      <c r="T74" s="61">
        <v>0.5</v>
      </c>
      <c r="U74" s="61">
        <v>0.57999999999999996</v>
      </c>
      <c r="V74" s="12" t="s">
        <v>126</v>
      </c>
      <c r="W74" s="12" t="s">
        <v>128</v>
      </c>
      <c r="X74" s="12"/>
      <c r="Y74" s="12"/>
      <c r="Z74" s="12"/>
      <c r="AA74" s="12"/>
      <c r="AB74" s="12"/>
      <c r="AC74" s="12"/>
      <c r="AD74" s="12"/>
      <c r="AE74" s="12">
        <v>49</v>
      </c>
      <c r="AF74" s="12">
        <v>7</v>
      </c>
      <c r="AG74" s="63">
        <v>0</v>
      </c>
      <c r="AH74" s="63">
        <v>0.5</v>
      </c>
      <c r="AI74" s="63">
        <v>0.5</v>
      </c>
      <c r="AJ74" s="63">
        <v>0</v>
      </c>
      <c r="AK74" s="63">
        <v>0.44</v>
      </c>
      <c r="AL74" s="63">
        <v>0.5</v>
      </c>
      <c r="AM74" s="63">
        <v>0.5</v>
      </c>
      <c r="AN74" s="35">
        <v>47</v>
      </c>
      <c r="AO74" s="35">
        <v>9</v>
      </c>
      <c r="AP74" s="40">
        <v>0</v>
      </c>
      <c r="AQ74" s="40">
        <v>0.75</v>
      </c>
      <c r="AR74" s="40">
        <v>0.25</v>
      </c>
      <c r="AS74" s="40">
        <v>0</v>
      </c>
      <c r="AT74" s="40">
        <v>0.57999999999999996</v>
      </c>
      <c r="AU74" s="40">
        <v>0.55000000000000004</v>
      </c>
      <c r="AV74" s="40">
        <v>0.45</v>
      </c>
      <c r="AW74" s="646"/>
      <c r="AX74" s="646"/>
      <c r="AY74" s="646"/>
      <c r="AZ74" s="646"/>
      <c r="BA74" s="646"/>
      <c r="BB74" s="646"/>
      <c r="BC74" s="646"/>
      <c r="BD74" s="646"/>
      <c r="BE74" s="646"/>
      <c r="BF74" s="646"/>
      <c r="BG74" s="646"/>
      <c r="BH74" s="649"/>
      <c r="BI74" s="649"/>
      <c r="BJ74" s="649"/>
      <c r="BK74" s="649"/>
      <c r="BL74" s="649"/>
      <c r="BM74" s="649"/>
      <c r="BN74" s="649"/>
      <c r="BO74" s="649"/>
      <c r="BP74" s="649"/>
      <c r="BQ74" s="649"/>
      <c r="BR74" s="649"/>
      <c r="BS74" s="424">
        <v>58</v>
      </c>
      <c r="BT74" s="424" t="s">
        <v>758</v>
      </c>
      <c r="BU74" s="424">
        <v>14</v>
      </c>
      <c r="BV74" s="424" t="s">
        <v>759</v>
      </c>
      <c r="BW74" s="428">
        <v>0</v>
      </c>
      <c r="BX74" s="428">
        <v>0.2</v>
      </c>
      <c r="BY74" s="428">
        <v>0.4</v>
      </c>
      <c r="BZ74" s="428">
        <v>0.4</v>
      </c>
      <c r="CA74" s="428">
        <v>0.23</v>
      </c>
      <c r="CB74" s="428">
        <v>0.47</v>
      </c>
      <c r="CC74" s="428">
        <v>0.42</v>
      </c>
      <c r="CD74" s="464">
        <v>59</v>
      </c>
      <c r="CE74" s="464" t="s">
        <v>758</v>
      </c>
      <c r="CF74" s="464">
        <v>9</v>
      </c>
      <c r="CG74" s="464" t="s">
        <v>758</v>
      </c>
      <c r="CH74" s="476">
        <v>0</v>
      </c>
      <c r="CI74" s="476">
        <v>0.25</v>
      </c>
      <c r="CJ74" s="476">
        <v>0.5</v>
      </c>
      <c r="CK74" s="476">
        <v>0.25</v>
      </c>
      <c r="CL74" s="476">
        <v>0.5</v>
      </c>
      <c r="CM74" s="476">
        <v>0.33</v>
      </c>
      <c r="CN74" s="476">
        <v>0.31</v>
      </c>
      <c r="CO74" s="902">
        <v>57</v>
      </c>
      <c r="CP74" s="902" t="s">
        <v>758</v>
      </c>
      <c r="CQ74" s="902">
        <v>10</v>
      </c>
      <c r="CR74" s="902" t="s">
        <v>758</v>
      </c>
      <c r="CS74" s="949">
        <v>0</v>
      </c>
      <c r="CT74" s="949">
        <v>0.33</v>
      </c>
      <c r="CU74" s="949">
        <v>0.33</v>
      </c>
      <c r="CV74" s="949">
        <v>0.33</v>
      </c>
      <c r="CW74" s="949">
        <v>0.17</v>
      </c>
      <c r="CX74" s="949">
        <v>0.49</v>
      </c>
      <c r="CY74" s="949">
        <v>0.56000000000000005</v>
      </c>
      <c r="CZ74" s="26">
        <v>325754002979</v>
      </c>
      <c r="DA74" s="803" t="s">
        <v>56</v>
      </c>
    </row>
    <row r="75" spans="1:105" ht="24.95" customHeight="1" x14ac:dyDescent="0.2">
      <c r="A75" s="806" t="s">
        <v>761</v>
      </c>
      <c r="B75" s="1" t="s">
        <v>123</v>
      </c>
      <c r="C75" s="2">
        <v>6</v>
      </c>
      <c r="D75" s="12"/>
      <c r="E75" s="12"/>
      <c r="F75" s="63"/>
      <c r="G75" s="63"/>
      <c r="H75" s="63"/>
      <c r="I75" s="63"/>
      <c r="J75" s="63"/>
      <c r="K75" s="63"/>
      <c r="L75" s="63"/>
      <c r="M75" s="25"/>
      <c r="N75" s="25"/>
      <c r="O75" s="61"/>
      <c r="P75" s="61"/>
      <c r="Q75" s="61"/>
      <c r="R75" s="61"/>
      <c r="S75" s="61"/>
      <c r="T75" s="61"/>
      <c r="U75" s="61"/>
      <c r="V75" s="25"/>
      <c r="W75" s="25"/>
      <c r="X75" s="66"/>
      <c r="Y75" s="66"/>
      <c r="Z75" s="66"/>
      <c r="AA75" s="66"/>
      <c r="AB75" s="66"/>
      <c r="AC75" s="66"/>
      <c r="AD75" s="66"/>
      <c r="AE75" s="12"/>
      <c r="AF75" s="12"/>
      <c r="AG75" s="63"/>
      <c r="AH75" s="63"/>
      <c r="AI75" s="63"/>
      <c r="AJ75" s="63"/>
      <c r="AK75" s="63"/>
      <c r="AL75" s="63"/>
      <c r="AM75" s="63"/>
      <c r="AN75" s="35"/>
      <c r="AO75" s="35"/>
      <c r="AP75" s="40"/>
      <c r="AQ75" s="40"/>
      <c r="AR75" s="40"/>
      <c r="AS75" s="40"/>
      <c r="AT75" s="40"/>
      <c r="AU75" s="40"/>
      <c r="AV75" s="40"/>
      <c r="AW75" s="246">
        <v>56</v>
      </c>
      <c r="AX75" s="246" t="s">
        <v>758</v>
      </c>
      <c r="AY75" s="246">
        <v>9</v>
      </c>
      <c r="AZ75" s="246" t="s">
        <v>758</v>
      </c>
      <c r="BA75" s="263">
        <v>0</v>
      </c>
      <c r="BB75" s="263">
        <v>0.28000000000000003</v>
      </c>
      <c r="BC75" s="263">
        <v>0.56000000000000005</v>
      </c>
      <c r="BD75" s="263">
        <v>0.17</v>
      </c>
      <c r="BE75" s="263">
        <v>0.39</v>
      </c>
      <c r="BF75" s="263">
        <v>0.36</v>
      </c>
      <c r="BG75" s="263">
        <v>0.48</v>
      </c>
      <c r="BH75" s="309">
        <v>52</v>
      </c>
      <c r="BI75" s="309" t="s">
        <v>758</v>
      </c>
      <c r="BJ75" s="309">
        <v>9</v>
      </c>
      <c r="BK75" s="309" t="s">
        <v>758</v>
      </c>
      <c r="BL75" s="327">
        <v>0.06</v>
      </c>
      <c r="BM75" s="327">
        <v>0.28999999999999998</v>
      </c>
      <c r="BN75" s="327">
        <v>0.57999999999999996</v>
      </c>
      <c r="BO75" s="327">
        <v>0.06</v>
      </c>
      <c r="BP75" s="327">
        <v>0.48</v>
      </c>
      <c r="BQ75" s="327">
        <v>0.4</v>
      </c>
      <c r="BR75" s="327">
        <v>0.49</v>
      </c>
      <c r="BS75" s="424">
        <v>56</v>
      </c>
      <c r="BT75" s="424" t="s">
        <v>758</v>
      </c>
      <c r="BU75" s="424">
        <v>10</v>
      </c>
      <c r="BV75" s="424" t="s">
        <v>758</v>
      </c>
      <c r="BW75" s="428">
        <v>0.03</v>
      </c>
      <c r="BX75" s="428">
        <v>0.17</v>
      </c>
      <c r="BY75" s="428">
        <v>0.69</v>
      </c>
      <c r="BZ75" s="428">
        <v>0.1</v>
      </c>
      <c r="CA75" s="428">
        <v>0.33</v>
      </c>
      <c r="CB75" s="428">
        <v>0.44</v>
      </c>
      <c r="CC75" s="428">
        <v>0.45</v>
      </c>
      <c r="CD75" s="464">
        <v>55</v>
      </c>
      <c r="CE75" s="464" t="s">
        <v>758</v>
      </c>
      <c r="CF75" s="464">
        <v>8</v>
      </c>
      <c r="CG75" s="464" t="s">
        <v>758</v>
      </c>
      <c r="CH75" s="476">
        <v>0</v>
      </c>
      <c r="CI75" s="476">
        <v>0.19</v>
      </c>
      <c r="CJ75" s="476">
        <v>0.78</v>
      </c>
      <c r="CK75" s="476">
        <v>0.04</v>
      </c>
      <c r="CL75" s="476">
        <v>0.47</v>
      </c>
      <c r="CM75" s="476">
        <v>0.45</v>
      </c>
      <c r="CN75" s="476">
        <v>0.31</v>
      </c>
      <c r="CO75" s="902">
        <v>63</v>
      </c>
      <c r="CP75" s="902" t="s">
        <v>758</v>
      </c>
      <c r="CQ75" s="902">
        <v>10</v>
      </c>
      <c r="CR75" s="902" t="s">
        <v>758</v>
      </c>
      <c r="CS75" s="949">
        <v>0</v>
      </c>
      <c r="CT75" s="949">
        <v>0.11</v>
      </c>
      <c r="CU75" s="949">
        <v>0.39</v>
      </c>
      <c r="CV75" s="949">
        <v>0.5</v>
      </c>
      <c r="CW75" s="949">
        <v>0.18</v>
      </c>
      <c r="CX75" s="949">
        <v>0.28999999999999998</v>
      </c>
      <c r="CY75" s="949">
        <v>0.4</v>
      </c>
      <c r="CZ75" s="26">
        <v>325754001549</v>
      </c>
      <c r="DA75" s="806" t="s">
        <v>761</v>
      </c>
    </row>
    <row r="76" spans="1:105" ht="24.95" customHeight="1" x14ac:dyDescent="0.2">
      <c r="A76" s="807" t="s">
        <v>93</v>
      </c>
      <c r="B76" s="1" t="s">
        <v>123</v>
      </c>
      <c r="C76" s="249">
        <v>3</v>
      </c>
      <c r="D76" s="254">
        <v>50</v>
      </c>
      <c r="E76" s="254">
        <v>7</v>
      </c>
      <c r="F76" s="255">
        <v>0.11</v>
      </c>
      <c r="G76" s="255">
        <v>0.56000000000000005</v>
      </c>
      <c r="H76" s="255">
        <v>0.33</v>
      </c>
      <c r="I76" s="255">
        <v>0</v>
      </c>
      <c r="J76" s="255">
        <v>0.47</v>
      </c>
      <c r="K76" s="255">
        <v>0.51</v>
      </c>
      <c r="L76" s="255">
        <v>0.57999999999999996</v>
      </c>
      <c r="M76" s="256">
        <v>54</v>
      </c>
      <c r="N76" s="256">
        <v>10</v>
      </c>
      <c r="O76" s="257">
        <v>0.04</v>
      </c>
      <c r="P76" s="257">
        <v>0.2</v>
      </c>
      <c r="Q76" s="257">
        <v>0.72</v>
      </c>
      <c r="R76" s="257">
        <v>0.04</v>
      </c>
      <c r="S76" s="257">
        <v>0.46</v>
      </c>
      <c r="T76" s="257">
        <v>0.48</v>
      </c>
      <c r="U76" s="257">
        <v>0.44</v>
      </c>
      <c r="V76" s="256">
        <v>58</v>
      </c>
      <c r="W76" s="256">
        <v>10</v>
      </c>
      <c r="X76" s="258">
        <v>0.04</v>
      </c>
      <c r="Y76" s="258">
        <v>0.22</v>
      </c>
      <c r="Z76" s="258">
        <v>0.56999999999999995</v>
      </c>
      <c r="AA76" s="258">
        <v>0.17</v>
      </c>
      <c r="AB76" s="258">
        <v>0.37</v>
      </c>
      <c r="AC76" s="258">
        <v>0.36</v>
      </c>
      <c r="AD76" s="258">
        <v>0.45</v>
      </c>
      <c r="AE76" s="254">
        <v>58</v>
      </c>
      <c r="AF76" s="254">
        <v>10</v>
      </c>
      <c r="AG76" s="255">
        <v>0</v>
      </c>
      <c r="AH76" s="255">
        <v>0.22</v>
      </c>
      <c r="AI76" s="255">
        <v>0.5</v>
      </c>
      <c r="AJ76" s="255">
        <v>0.28000000000000003</v>
      </c>
      <c r="AK76" s="255">
        <v>0.38</v>
      </c>
      <c r="AL76" s="255">
        <v>0.3</v>
      </c>
      <c r="AM76" s="255">
        <v>0.3</v>
      </c>
      <c r="AN76" s="250">
        <v>55</v>
      </c>
      <c r="AO76" s="250">
        <v>6</v>
      </c>
      <c r="AP76" s="259">
        <v>0</v>
      </c>
      <c r="AQ76" s="259">
        <v>0.23</v>
      </c>
      <c r="AR76" s="259">
        <v>0.73</v>
      </c>
      <c r="AS76" s="259">
        <v>0.04</v>
      </c>
      <c r="AT76" s="259">
        <v>0.45</v>
      </c>
      <c r="AU76" s="259">
        <v>0.3</v>
      </c>
      <c r="AV76" s="259">
        <v>0.4</v>
      </c>
      <c r="AW76" s="246">
        <v>50</v>
      </c>
      <c r="AX76" s="246" t="s">
        <v>758</v>
      </c>
      <c r="AY76" s="246">
        <v>8</v>
      </c>
      <c r="AZ76" s="246" t="s">
        <v>758</v>
      </c>
      <c r="BA76" s="263">
        <v>0</v>
      </c>
      <c r="BB76" s="263">
        <v>0.53</v>
      </c>
      <c r="BC76" s="263">
        <v>0.47</v>
      </c>
      <c r="BD76" s="263">
        <v>0</v>
      </c>
      <c r="BE76" s="263">
        <v>0.46</v>
      </c>
      <c r="BF76" s="263">
        <v>0.41</v>
      </c>
      <c r="BG76" s="263">
        <v>0.59</v>
      </c>
      <c r="BH76" s="309">
        <v>58</v>
      </c>
      <c r="BI76" s="309" t="s">
        <v>758</v>
      </c>
      <c r="BJ76" s="309">
        <v>7</v>
      </c>
      <c r="BK76" s="309" t="s">
        <v>758</v>
      </c>
      <c r="BL76" s="327">
        <v>0</v>
      </c>
      <c r="BM76" s="327">
        <v>0.17</v>
      </c>
      <c r="BN76" s="327">
        <v>0.67</v>
      </c>
      <c r="BO76" s="327">
        <v>0.17</v>
      </c>
      <c r="BP76" s="327">
        <v>0.41</v>
      </c>
      <c r="BQ76" s="327">
        <v>0.33</v>
      </c>
      <c r="BR76" s="327">
        <v>0.34</v>
      </c>
      <c r="BS76" s="424">
        <v>61</v>
      </c>
      <c r="BT76" s="424" t="s">
        <v>758</v>
      </c>
      <c r="BU76" s="424">
        <v>7</v>
      </c>
      <c r="BV76" s="424" t="s">
        <v>758</v>
      </c>
      <c r="BW76" s="428">
        <v>0</v>
      </c>
      <c r="BX76" s="428">
        <v>0.04</v>
      </c>
      <c r="BY76" s="428">
        <v>0.71</v>
      </c>
      <c r="BZ76" s="428">
        <v>0.25</v>
      </c>
      <c r="CA76" s="428">
        <v>0.28000000000000003</v>
      </c>
      <c r="CB76" s="428">
        <v>0.34</v>
      </c>
      <c r="CC76" s="428">
        <v>0.37</v>
      </c>
      <c r="CD76" s="464">
        <v>59</v>
      </c>
      <c r="CE76" s="464" t="s">
        <v>758</v>
      </c>
      <c r="CF76" s="464">
        <v>11</v>
      </c>
      <c r="CG76" s="464" t="s">
        <v>758</v>
      </c>
      <c r="CH76" s="476">
        <v>0</v>
      </c>
      <c r="CI76" s="476">
        <v>0.23</v>
      </c>
      <c r="CJ76" s="476">
        <v>0.45</v>
      </c>
      <c r="CK76" s="476">
        <v>0.32</v>
      </c>
      <c r="CL76" s="476">
        <v>0.36</v>
      </c>
      <c r="CM76" s="476">
        <v>0.36</v>
      </c>
      <c r="CN76" s="476">
        <v>0.3</v>
      </c>
      <c r="CO76" s="902">
        <v>59</v>
      </c>
      <c r="CP76" s="902" t="s">
        <v>758</v>
      </c>
      <c r="CQ76" s="902">
        <v>8</v>
      </c>
      <c r="CR76" s="902" t="s">
        <v>758</v>
      </c>
      <c r="CS76" s="949">
        <v>0</v>
      </c>
      <c r="CT76" s="949">
        <v>0.14000000000000001</v>
      </c>
      <c r="CU76" s="949">
        <v>0.64</v>
      </c>
      <c r="CV76" s="949">
        <v>0.23</v>
      </c>
      <c r="CW76" s="949">
        <v>0.21</v>
      </c>
      <c r="CX76" s="949">
        <v>0.39</v>
      </c>
      <c r="CY76" s="949">
        <v>0.44</v>
      </c>
      <c r="CZ76" s="26">
        <v>325754001921</v>
      </c>
      <c r="DA76" s="807" t="s">
        <v>93</v>
      </c>
    </row>
    <row r="77" spans="1:105" ht="24.95" customHeight="1" x14ac:dyDescent="0.2">
      <c r="A77" s="803" t="s">
        <v>111</v>
      </c>
      <c r="B77" s="1" t="s">
        <v>123</v>
      </c>
      <c r="C77" s="2">
        <v>1</v>
      </c>
      <c r="D77" s="12">
        <v>53</v>
      </c>
      <c r="E77" s="12">
        <v>8</v>
      </c>
      <c r="F77" s="63">
        <v>0.06</v>
      </c>
      <c r="G77" s="63">
        <v>0.24</v>
      </c>
      <c r="H77" s="63">
        <v>0.71</v>
      </c>
      <c r="I77" s="63">
        <v>0</v>
      </c>
      <c r="J77" s="63">
        <v>0.51</v>
      </c>
      <c r="K77" s="63">
        <v>0.48</v>
      </c>
      <c r="L77" s="63">
        <v>0.53</v>
      </c>
      <c r="M77" s="25">
        <v>48</v>
      </c>
      <c r="N77" s="25">
        <v>8</v>
      </c>
      <c r="O77" s="61">
        <v>0</v>
      </c>
      <c r="P77" s="61">
        <v>0.56000000000000005</v>
      </c>
      <c r="Q77" s="61">
        <v>0.44</v>
      </c>
      <c r="R77" s="61">
        <v>0</v>
      </c>
      <c r="S77" s="61">
        <v>0.56000000000000005</v>
      </c>
      <c r="T77" s="61">
        <v>0.56000000000000005</v>
      </c>
      <c r="U77" s="61">
        <v>0.56000000000000005</v>
      </c>
      <c r="V77" s="25">
        <v>51</v>
      </c>
      <c r="W77" s="25">
        <v>8</v>
      </c>
      <c r="X77" s="66">
        <v>0</v>
      </c>
      <c r="Y77" s="66">
        <v>0.38</v>
      </c>
      <c r="Z77" s="66">
        <v>0.63</v>
      </c>
      <c r="AA77" s="66">
        <v>0</v>
      </c>
      <c r="AB77" s="66">
        <v>0.5</v>
      </c>
      <c r="AC77" s="66">
        <v>0.59</v>
      </c>
      <c r="AD77" s="66">
        <v>0.51</v>
      </c>
      <c r="AE77" s="12">
        <v>55</v>
      </c>
      <c r="AF77" s="12">
        <v>9</v>
      </c>
      <c r="AG77" s="63">
        <v>0</v>
      </c>
      <c r="AH77" s="63">
        <v>0.33</v>
      </c>
      <c r="AI77" s="63">
        <v>0.56000000000000005</v>
      </c>
      <c r="AJ77" s="63">
        <v>0.11</v>
      </c>
      <c r="AK77" s="63">
        <v>0.39</v>
      </c>
      <c r="AL77" s="63">
        <v>0.34</v>
      </c>
      <c r="AM77" s="63">
        <v>0.41</v>
      </c>
      <c r="AN77" s="35">
        <v>49</v>
      </c>
      <c r="AO77" s="35">
        <v>10</v>
      </c>
      <c r="AP77" s="40">
        <v>0.13</v>
      </c>
      <c r="AQ77" s="40">
        <v>0.38</v>
      </c>
      <c r="AR77" s="40">
        <v>0.5</v>
      </c>
      <c r="AS77" s="40">
        <v>0</v>
      </c>
      <c r="AT77" s="40">
        <v>0.54</v>
      </c>
      <c r="AU77" s="40">
        <v>0.43</v>
      </c>
      <c r="AV77" s="40">
        <v>0.51</v>
      </c>
      <c r="AW77" s="647">
        <v>55</v>
      </c>
      <c r="AX77" s="647" t="s">
        <v>758</v>
      </c>
      <c r="AY77" s="647">
        <v>7</v>
      </c>
      <c r="AZ77" s="647" t="s">
        <v>758</v>
      </c>
      <c r="BA77" s="648">
        <v>0</v>
      </c>
      <c r="BB77" s="648">
        <v>0.27</v>
      </c>
      <c r="BC77" s="648">
        <v>0.73</v>
      </c>
      <c r="BD77" s="648">
        <v>0</v>
      </c>
      <c r="BE77" s="648">
        <v>0.48</v>
      </c>
      <c r="BF77" s="648">
        <v>0.22</v>
      </c>
      <c r="BG77" s="648">
        <v>0.49</v>
      </c>
      <c r="BH77" s="74">
        <v>52</v>
      </c>
      <c r="BI77" s="74" t="s">
        <v>758</v>
      </c>
      <c r="BJ77" s="74">
        <v>9</v>
      </c>
      <c r="BK77" s="74" t="s">
        <v>758</v>
      </c>
      <c r="BL77" s="96">
        <v>0.04</v>
      </c>
      <c r="BM77" s="96">
        <v>0.35</v>
      </c>
      <c r="BN77" s="96">
        <v>0.56999999999999995</v>
      </c>
      <c r="BO77" s="96">
        <v>0.04</v>
      </c>
      <c r="BP77" s="96">
        <v>0.51</v>
      </c>
      <c r="BQ77" s="96">
        <v>0.38</v>
      </c>
      <c r="BR77" s="96">
        <v>0.49</v>
      </c>
      <c r="BS77" s="424">
        <v>54</v>
      </c>
      <c r="BT77" s="424" t="s">
        <v>758</v>
      </c>
      <c r="BU77" s="424">
        <v>8</v>
      </c>
      <c r="BV77" s="424" t="s">
        <v>758</v>
      </c>
      <c r="BW77" s="428">
        <v>0</v>
      </c>
      <c r="BX77" s="428">
        <v>0.32</v>
      </c>
      <c r="BY77" s="428">
        <v>0.59</v>
      </c>
      <c r="BZ77" s="428">
        <v>0.09</v>
      </c>
      <c r="CA77" s="428">
        <v>0.39</v>
      </c>
      <c r="CB77" s="428">
        <v>0.47</v>
      </c>
      <c r="CC77" s="428">
        <v>0.5</v>
      </c>
      <c r="CD77" s="464">
        <v>56</v>
      </c>
      <c r="CE77" s="464" t="s">
        <v>758</v>
      </c>
      <c r="CF77" s="464">
        <v>9</v>
      </c>
      <c r="CG77" s="464" t="s">
        <v>758</v>
      </c>
      <c r="CH77" s="476">
        <v>0.05</v>
      </c>
      <c r="CI77" s="476">
        <v>0.16</v>
      </c>
      <c r="CJ77" s="476">
        <v>0.63</v>
      </c>
      <c r="CK77" s="476">
        <v>0.16</v>
      </c>
      <c r="CL77" s="476">
        <v>0.41</v>
      </c>
      <c r="CM77" s="476">
        <v>0.41</v>
      </c>
      <c r="CN77" s="476">
        <v>0.34</v>
      </c>
      <c r="CO77" s="902">
        <v>59</v>
      </c>
      <c r="CP77" s="902" t="s">
        <v>758</v>
      </c>
      <c r="CQ77" s="902">
        <v>7</v>
      </c>
      <c r="CR77" s="902" t="s">
        <v>758</v>
      </c>
      <c r="CS77" s="949">
        <v>0</v>
      </c>
      <c r="CT77" s="949">
        <v>0.15</v>
      </c>
      <c r="CU77" s="949">
        <v>0.6</v>
      </c>
      <c r="CV77" s="949">
        <v>0.25</v>
      </c>
      <c r="CW77" s="949">
        <v>0.21</v>
      </c>
      <c r="CX77" s="949">
        <v>0.39</v>
      </c>
      <c r="CY77" s="949">
        <v>0.48</v>
      </c>
      <c r="CZ77" s="26">
        <v>325754004581</v>
      </c>
      <c r="DA77" s="803" t="s">
        <v>111</v>
      </c>
    </row>
    <row r="78" spans="1:105" ht="24.95" customHeight="1" x14ac:dyDescent="0.2">
      <c r="A78" s="803" t="s">
        <v>799</v>
      </c>
      <c r="B78" s="14" t="s">
        <v>123</v>
      </c>
      <c r="C78" s="2">
        <v>2</v>
      </c>
      <c r="D78" s="12"/>
      <c r="E78" s="12"/>
      <c r="F78" s="63"/>
      <c r="G78" s="63"/>
      <c r="H78" s="63"/>
      <c r="I78" s="63"/>
      <c r="J78" s="63"/>
      <c r="K78" s="63"/>
      <c r="L78" s="63"/>
      <c r="M78" s="25"/>
      <c r="N78" s="25"/>
      <c r="O78" s="61"/>
      <c r="P78" s="61"/>
      <c r="Q78" s="61"/>
      <c r="R78" s="61"/>
      <c r="S78" s="61"/>
      <c r="T78" s="61"/>
      <c r="U78" s="61"/>
      <c r="V78" s="25"/>
      <c r="W78" s="25"/>
      <c r="X78" s="66"/>
      <c r="Y78" s="66"/>
      <c r="Z78" s="66"/>
      <c r="AA78" s="66"/>
      <c r="AB78" s="66"/>
      <c r="AC78" s="66"/>
      <c r="AD78" s="66"/>
      <c r="AE78" s="12"/>
      <c r="AF78" s="12"/>
      <c r="AG78" s="63"/>
      <c r="AH78" s="63"/>
      <c r="AI78" s="63"/>
      <c r="AJ78" s="63"/>
      <c r="AK78" s="63"/>
      <c r="AL78" s="63"/>
      <c r="AM78" s="63"/>
      <c r="AN78" s="35"/>
      <c r="AO78" s="35"/>
      <c r="AP78" s="40"/>
      <c r="AQ78" s="40"/>
      <c r="AR78" s="40"/>
      <c r="AS78" s="40"/>
      <c r="AT78" s="40"/>
      <c r="AU78" s="40"/>
      <c r="AV78" s="40"/>
      <c r="AW78" s="246"/>
      <c r="AX78" s="246"/>
      <c r="AY78" s="246"/>
      <c r="AZ78" s="246"/>
      <c r="BA78" s="263"/>
      <c r="BB78" s="263"/>
      <c r="BC78" s="263"/>
      <c r="BD78" s="263"/>
      <c r="BE78" s="263"/>
      <c r="BF78" s="263"/>
      <c r="BG78" s="263"/>
      <c r="BH78" s="309">
        <v>54</v>
      </c>
      <c r="BI78" s="309" t="s">
        <v>758</v>
      </c>
      <c r="BJ78" s="309">
        <v>7</v>
      </c>
      <c r="BK78" s="309" t="s">
        <v>758</v>
      </c>
      <c r="BL78" s="327">
        <v>0</v>
      </c>
      <c r="BM78" s="327">
        <v>0.4</v>
      </c>
      <c r="BN78" s="327">
        <v>0.53</v>
      </c>
      <c r="BO78" s="327">
        <v>7.0000000000000007E-2</v>
      </c>
      <c r="BP78" s="327">
        <v>0.52</v>
      </c>
      <c r="BQ78" s="327">
        <v>0.31</v>
      </c>
      <c r="BR78" s="327">
        <v>0.47</v>
      </c>
      <c r="BS78" s="424">
        <v>53</v>
      </c>
      <c r="BT78" s="424" t="s">
        <v>758</v>
      </c>
      <c r="BU78" s="424">
        <v>9</v>
      </c>
      <c r="BV78" s="424" t="s">
        <v>758</v>
      </c>
      <c r="BW78" s="428">
        <v>0</v>
      </c>
      <c r="BX78" s="428">
        <v>0.38</v>
      </c>
      <c r="BY78" s="428">
        <v>0.52</v>
      </c>
      <c r="BZ78" s="428">
        <v>0.1</v>
      </c>
      <c r="CA78" s="428">
        <v>0.34</v>
      </c>
      <c r="CB78" s="428">
        <v>0.53</v>
      </c>
      <c r="CC78" s="428">
        <v>0.54</v>
      </c>
      <c r="CD78" s="464">
        <v>53</v>
      </c>
      <c r="CE78" s="464" t="s">
        <v>758</v>
      </c>
      <c r="CF78" s="464">
        <v>9</v>
      </c>
      <c r="CG78" s="464" t="s">
        <v>758</v>
      </c>
      <c r="CH78" s="476">
        <v>7.0000000000000007E-2</v>
      </c>
      <c r="CI78" s="476">
        <v>0.21</v>
      </c>
      <c r="CJ78" s="476">
        <v>0.68</v>
      </c>
      <c r="CK78" s="476">
        <v>0.04</v>
      </c>
      <c r="CL78" s="476">
        <v>0.49</v>
      </c>
      <c r="CM78" s="476">
        <v>0.47</v>
      </c>
      <c r="CN78" s="476">
        <v>0.38</v>
      </c>
      <c r="CO78" s="902">
        <v>55</v>
      </c>
      <c r="CP78" s="902" t="s">
        <v>758</v>
      </c>
      <c r="CQ78" s="902">
        <v>8</v>
      </c>
      <c r="CR78" s="902" t="s">
        <v>758</v>
      </c>
      <c r="CS78" s="949">
        <v>0</v>
      </c>
      <c r="CT78" s="949">
        <v>0.3</v>
      </c>
      <c r="CU78" s="949">
        <v>0.63</v>
      </c>
      <c r="CV78" s="949">
        <v>0.08</v>
      </c>
      <c r="CW78" s="949">
        <v>0.33</v>
      </c>
      <c r="CX78" s="949">
        <v>0.46</v>
      </c>
      <c r="CY78" s="949">
        <v>0.49</v>
      </c>
      <c r="CZ78" s="26">
        <v>325754001531</v>
      </c>
      <c r="DA78" s="803" t="s">
        <v>799</v>
      </c>
    </row>
    <row r="79" spans="1:105" ht="24.95" customHeight="1" x14ac:dyDescent="0.2">
      <c r="A79" s="803" t="s">
        <v>959</v>
      </c>
      <c r="B79" s="1" t="s">
        <v>123</v>
      </c>
      <c r="C79" s="2">
        <v>4</v>
      </c>
      <c r="D79" s="12">
        <v>48</v>
      </c>
      <c r="E79" s="12">
        <v>8</v>
      </c>
      <c r="F79" s="63">
        <v>0.08</v>
      </c>
      <c r="G79" s="63">
        <v>0.49</v>
      </c>
      <c r="H79" s="63">
        <v>0.43</v>
      </c>
      <c r="I79" s="63">
        <v>0</v>
      </c>
      <c r="J79" s="63">
        <v>0.52</v>
      </c>
      <c r="K79" s="63">
        <v>0.55000000000000004</v>
      </c>
      <c r="L79" s="63">
        <v>0.64</v>
      </c>
      <c r="M79" s="25">
        <v>52</v>
      </c>
      <c r="N79" s="25">
        <v>8</v>
      </c>
      <c r="O79" s="61">
        <v>0</v>
      </c>
      <c r="P79" s="61">
        <v>0.39</v>
      </c>
      <c r="Q79" s="61">
        <v>0.56999999999999995</v>
      </c>
      <c r="R79" s="61">
        <v>0.04</v>
      </c>
      <c r="S79" s="61">
        <v>0.49</v>
      </c>
      <c r="T79" s="61">
        <v>0.48</v>
      </c>
      <c r="U79" s="61">
        <v>0.48</v>
      </c>
      <c r="V79" s="25">
        <v>54</v>
      </c>
      <c r="W79" s="25">
        <v>9</v>
      </c>
      <c r="X79" s="66">
        <v>0</v>
      </c>
      <c r="Y79" s="66">
        <v>0.25</v>
      </c>
      <c r="Z79" s="66">
        <v>0.67</v>
      </c>
      <c r="AA79" s="66">
        <v>0.08</v>
      </c>
      <c r="AB79" s="66">
        <v>0.42</v>
      </c>
      <c r="AC79" s="66">
        <v>0.46</v>
      </c>
      <c r="AD79" s="66">
        <v>0.53</v>
      </c>
      <c r="AE79" s="12">
        <v>49</v>
      </c>
      <c r="AF79" s="12">
        <v>10</v>
      </c>
      <c r="AG79" s="63">
        <v>0.11</v>
      </c>
      <c r="AH79" s="63">
        <v>0.39</v>
      </c>
      <c r="AI79" s="63">
        <v>0.48</v>
      </c>
      <c r="AJ79" s="63">
        <v>0.02</v>
      </c>
      <c r="AK79" s="63">
        <v>0.48</v>
      </c>
      <c r="AL79" s="63">
        <v>0.47</v>
      </c>
      <c r="AM79" s="63">
        <v>0.48</v>
      </c>
      <c r="AN79" s="41"/>
      <c r="AO79" s="41"/>
      <c r="AP79" s="41"/>
      <c r="AQ79" s="41"/>
      <c r="AR79" s="41"/>
      <c r="AS79" s="41"/>
      <c r="AT79" s="41"/>
      <c r="AU79" s="41"/>
      <c r="AV79" s="41"/>
      <c r="AW79" s="246">
        <v>56</v>
      </c>
      <c r="AX79" s="246" t="s">
        <v>758</v>
      </c>
      <c r="AY79" s="246">
        <v>0</v>
      </c>
      <c r="AZ79" s="246" t="s">
        <v>760</v>
      </c>
      <c r="BA79" s="263">
        <v>0</v>
      </c>
      <c r="BB79" s="263">
        <v>0</v>
      </c>
      <c r="BC79" s="263">
        <v>1</v>
      </c>
      <c r="BD79" s="263">
        <v>0</v>
      </c>
      <c r="BE79" s="263">
        <v>0.4</v>
      </c>
      <c r="BF79" s="263">
        <v>0.33</v>
      </c>
      <c r="BG79" s="263">
        <v>0.57999999999999996</v>
      </c>
      <c r="BH79" s="649"/>
      <c r="BI79" s="649"/>
      <c r="BJ79" s="649"/>
      <c r="BK79" s="649"/>
      <c r="BL79" s="649"/>
      <c r="BM79" s="649"/>
      <c r="BN79" s="649"/>
      <c r="BO79" s="649"/>
      <c r="BP79" s="649"/>
      <c r="BQ79" s="649"/>
      <c r="BR79" s="649"/>
      <c r="BS79" s="651"/>
      <c r="BT79" s="651"/>
      <c r="BU79" s="651"/>
      <c r="BV79" s="651"/>
      <c r="BW79" s="651"/>
      <c r="BX79" s="651"/>
      <c r="BY79" s="651"/>
      <c r="BZ79" s="651"/>
      <c r="CA79" s="651"/>
      <c r="CB79" s="651"/>
      <c r="CC79" s="651"/>
      <c r="CD79" s="650"/>
      <c r="CE79" s="650"/>
      <c r="CF79" s="650"/>
      <c r="CG79" s="650"/>
      <c r="CH79" s="650"/>
      <c r="CI79" s="650"/>
      <c r="CJ79" s="650"/>
      <c r="CK79" s="650"/>
      <c r="CL79" s="650"/>
      <c r="CM79" s="650"/>
      <c r="CN79" s="650"/>
      <c r="CO79" s="902">
        <v>51</v>
      </c>
      <c r="CP79" s="902" t="s">
        <v>758</v>
      </c>
      <c r="CQ79" s="902">
        <v>0</v>
      </c>
      <c r="CR79" s="902" t="s">
        <v>760</v>
      </c>
      <c r="CS79" s="949">
        <v>0</v>
      </c>
      <c r="CT79" s="949">
        <v>0</v>
      </c>
      <c r="CU79" s="949">
        <v>1</v>
      </c>
      <c r="CV79" s="949">
        <v>0</v>
      </c>
      <c r="CW79" s="949">
        <v>0.67</v>
      </c>
      <c r="CX79" s="949">
        <v>0.33</v>
      </c>
      <c r="CY79" s="949">
        <v>0.42</v>
      </c>
      <c r="CZ79" s="26">
        <v>325754001875</v>
      </c>
      <c r="DA79" s="803" t="s">
        <v>959</v>
      </c>
    </row>
    <row r="80" spans="1:105" ht="24.95" customHeight="1" x14ac:dyDescent="0.2">
      <c r="A80" s="804" t="s">
        <v>94</v>
      </c>
      <c r="B80" s="1" t="s">
        <v>123</v>
      </c>
      <c r="C80" s="309">
        <v>6</v>
      </c>
      <c r="D80" s="328">
        <v>50</v>
      </c>
      <c r="E80" s="328">
        <v>8</v>
      </c>
      <c r="F80" s="327">
        <v>7.0000000000000007E-2</v>
      </c>
      <c r="G80" s="327">
        <v>0.47</v>
      </c>
      <c r="H80" s="327">
        <v>0.47</v>
      </c>
      <c r="I80" s="327">
        <v>0</v>
      </c>
      <c r="J80" s="327">
        <v>0.47</v>
      </c>
      <c r="K80" s="327">
        <v>0.56000000000000005</v>
      </c>
      <c r="L80" s="327">
        <v>0.63</v>
      </c>
      <c r="M80" s="329">
        <v>51</v>
      </c>
      <c r="N80" s="329">
        <v>6</v>
      </c>
      <c r="O80" s="330">
        <v>0</v>
      </c>
      <c r="P80" s="330">
        <v>0.43</v>
      </c>
      <c r="Q80" s="330">
        <v>0.56999999999999995</v>
      </c>
      <c r="R80" s="330">
        <v>0</v>
      </c>
      <c r="S80" s="330">
        <v>0.51</v>
      </c>
      <c r="T80" s="330">
        <v>0.52</v>
      </c>
      <c r="U80" s="330">
        <v>0.51</v>
      </c>
      <c r="V80" s="329">
        <v>48</v>
      </c>
      <c r="W80" s="329">
        <v>7</v>
      </c>
      <c r="X80" s="333">
        <v>0</v>
      </c>
      <c r="Y80" s="333">
        <v>0.88</v>
      </c>
      <c r="Z80" s="333">
        <v>0.13</v>
      </c>
      <c r="AA80" s="333">
        <v>0</v>
      </c>
      <c r="AB80" s="333">
        <v>0.55000000000000004</v>
      </c>
      <c r="AC80" s="333">
        <v>0.51</v>
      </c>
      <c r="AD80" s="333">
        <v>0.64</v>
      </c>
      <c r="AE80" s="328">
        <v>55</v>
      </c>
      <c r="AF80" s="328">
        <v>9</v>
      </c>
      <c r="AG80" s="327">
        <v>0</v>
      </c>
      <c r="AH80" s="327">
        <v>0.36</v>
      </c>
      <c r="AI80" s="327">
        <v>0.45</v>
      </c>
      <c r="AJ80" s="327">
        <v>0.18</v>
      </c>
      <c r="AK80" s="327">
        <v>0.4</v>
      </c>
      <c r="AL80" s="327">
        <v>0.35</v>
      </c>
      <c r="AM80" s="327">
        <v>0.42</v>
      </c>
      <c r="AN80" s="45">
        <v>52</v>
      </c>
      <c r="AO80" s="45">
        <v>4</v>
      </c>
      <c r="AP80" s="46">
        <v>0</v>
      </c>
      <c r="AQ80" s="46">
        <v>0.36</v>
      </c>
      <c r="AR80" s="46">
        <v>0.64</v>
      </c>
      <c r="AS80" s="46">
        <v>0</v>
      </c>
      <c r="AT80" s="46">
        <v>0.5</v>
      </c>
      <c r="AU80" s="46">
        <v>0.43</v>
      </c>
      <c r="AV80" s="46">
        <v>0.4</v>
      </c>
      <c r="AW80" s="312">
        <v>52</v>
      </c>
      <c r="AX80" s="312" t="s">
        <v>758</v>
      </c>
      <c r="AY80" s="312">
        <v>11</v>
      </c>
      <c r="AZ80" s="312" t="s">
        <v>758</v>
      </c>
      <c r="BA80" s="332">
        <v>7.0000000000000007E-2</v>
      </c>
      <c r="BB80" s="332">
        <v>0.33</v>
      </c>
      <c r="BC80" s="332">
        <v>0.53</v>
      </c>
      <c r="BD80" s="332">
        <v>7.0000000000000007E-2</v>
      </c>
      <c r="BE80" s="332">
        <v>0.41</v>
      </c>
      <c r="BF80" s="332">
        <v>0.36</v>
      </c>
      <c r="BG80" s="332">
        <v>0.56999999999999995</v>
      </c>
      <c r="BH80" s="309">
        <v>52</v>
      </c>
      <c r="BI80" s="309" t="s">
        <v>758</v>
      </c>
      <c r="BJ80" s="309">
        <v>10</v>
      </c>
      <c r="BK80" s="309" t="s">
        <v>758</v>
      </c>
      <c r="BL80" s="327">
        <v>0.05</v>
      </c>
      <c r="BM80" s="327">
        <v>0.4</v>
      </c>
      <c r="BN80" s="327">
        <v>0.45</v>
      </c>
      <c r="BO80" s="327">
        <v>0.1</v>
      </c>
      <c r="BP80" s="327">
        <v>0.47</v>
      </c>
      <c r="BQ80" s="327">
        <v>0.42</v>
      </c>
      <c r="BR80" s="327">
        <v>0.52</v>
      </c>
      <c r="BS80" s="424">
        <v>50</v>
      </c>
      <c r="BT80" s="424" t="s">
        <v>758</v>
      </c>
      <c r="BU80" s="424">
        <v>7</v>
      </c>
      <c r="BV80" s="424" t="s">
        <v>758</v>
      </c>
      <c r="BW80" s="428">
        <v>0</v>
      </c>
      <c r="BX80" s="428">
        <v>0.4</v>
      </c>
      <c r="BY80" s="428">
        <v>0.6</v>
      </c>
      <c r="BZ80" s="428">
        <v>0</v>
      </c>
      <c r="CA80" s="428">
        <v>0.4</v>
      </c>
      <c r="CB80" s="428">
        <v>0.56000000000000005</v>
      </c>
      <c r="CC80" s="428">
        <v>0.63</v>
      </c>
      <c r="CD80" s="464">
        <v>49</v>
      </c>
      <c r="CE80" s="464" t="s">
        <v>758</v>
      </c>
      <c r="CF80" s="464">
        <v>9</v>
      </c>
      <c r="CG80" s="464" t="s">
        <v>758</v>
      </c>
      <c r="CH80" s="476">
        <v>0.08</v>
      </c>
      <c r="CI80" s="476">
        <v>0.44</v>
      </c>
      <c r="CJ80" s="476">
        <v>0.48</v>
      </c>
      <c r="CK80" s="476">
        <v>0</v>
      </c>
      <c r="CL80" s="476">
        <v>0.52</v>
      </c>
      <c r="CM80" s="476">
        <v>0.52</v>
      </c>
      <c r="CN80" s="476">
        <v>0.47</v>
      </c>
      <c r="CO80" s="902">
        <v>53</v>
      </c>
      <c r="CP80" s="902" t="s">
        <v>758</v>
      </c>
      <c r="CQ80" s="902">
        <v>10</v>
      </c>
      <c r="CR80" s="902" t="s">
        <v>758</v>
      </c>
      <c r="CS80" s="949">
        <v>0</v>
      </c>
      <c r="CT80" s="949">
        <v>0.38</v>
      </c>
      <c r="CU80" s="949">
        <v>0.52</v>
      </c>
      <c r="CV80" s="949">
        <v>0.1</v>
      </c>
      <c r="CW80" s="949">
        <v>0.41</v>
      </c>
      <c r="CX80" s="949">
        <v>0.47</v>
      </c>
      <c r="CY80" s="949">
        <v>0.51</v>
      </c>
      <c r="CZ80" s="26">
        <v>325754001221</v>
      </c>
      <c r="DA80" s="804" t="s">
        <v>94</v>
      </c>
    </row>
    <row r="81" spans="1:105" ht="24.95" customHeight="1" x14ac:dyDescent="0.2">
      <c r="A81" s="803" t="s">
        <v>132</v>
      </c>
      <c r="B81" s="1" t="s">
        <v>123</v>
      </c>
      <c r="C81" s="2">
        <v>2</v>
      </c>
      <c r="D81" s="12"/>
      <c r="E81" s="12"/>
      <c r="F81" s="12"/>
      <c r="G81" s="12"/>
      <c r="H81" s="12"/>
      <c r="I81" s="12"/>
      <c r="J81" s="12"/>
      <c r="K81" s="12"/>
      <c r="L81" s="12"/>
      <c r="M81" s="25">
        <v>61</v>
      </c>
      <c r="N81" s="25">
        <v>8</v>
      </c>
      <c r="O81" s="61">
        <v>0</v>
      </c>
      <c r="P81" s="61">
        <v>0.13</v>
      </c>
      <c r="Q81" s="61">
        <v>0.63</v>
      </c>
      <c r="R81" s="61">
        <v>0.25</v>
      </c>
      <c r="S81" s="61">
        <v>0.31</v>
      </c>
      <c r="T81" s="61">
        <v>0.39</v>
      </c>
      <c r="U81" s="61">
        <v>0.32</v>
      </c>
      <c r="V81" s="25">
        <v>59</v>
      </c>
      <c r="W81" s="25">
        <v>10</v>
      </c>
      <c r="X81" s="66">
        <v>0</v>
      </c>
      <c r="Y81" s="66">
        <v>0.21</v>
      </c>
      <c r="Z81" s="66">
        <v>0.56999999999999995</v>
      </c>
      <c r="AA81" s="66">
        <v>0.21</v>
      </c>
      <c r="AB81" s="66">
        <v>0.34</v>
      </c>
      <c r="AC81" s="66">
        <v>0.48</v>
      </c>
      <c r="AD81" s="66">
        <v>0.38</v>
      </c>
      <c r="AE81" s="12">
        <v>57</v>
      </c>
      <c r="AF81" s="12">
        <v>8</v>
      </c>
      <c r="AG81" s="63">
        <v>0</v>
      </c>
      <c r="AH81" s="63">
        <v>0.19</v>
      </c>
      <c r="AI81" s="63">
        <v>0.56000000000000005</v>
      </c>
      <c r="AJ81" s="63">
        <v>0.25</v>
      </c>
      <c r="AK81" s="63">
        <v>0.33</v>
      </c>
      <c r="AL81" s="63">
        <v>0.3</v>
      </c>
      <c r="AM81" s="63">
        <v>0.35</v>
      </c>
      <c r="AN81" s="45">
        <v>64</v>
      </c>
      <c r="AO81" s="45">
        <v>8</v>
      </c>
      <c r="AP81" s="46">
        <v>0</v>
      </c>
      <c r="AQ81" s="46">
        <v>0.06</v>
      </c>
      <c r="AR81" s="46">
        <v>0.56000000000000005</v>
      </c>
      <c r="AS81" s="46">
        <v>0.38</v>
      </c>
      <c r="AT81" s="46">
        <v>0.28999999999999998</v>
      </c>
      <c r="AU81" s="46">
        <v>0.15</v>
      </c>
      <c r="AV81" s="46">
        <v>0.23</v>
      </c>
      <c r="AW81" s="246">
        <v>65</v>
      </c>
      <c r="AX81" s="246" t="s">
        <v>759</v>
      </c>
      <c r="AY81" s="246">
        <v>8</v>
      </c>
      <c r="AZ81" s="246" t="s">
        <v>758</v>
      </c>
      <c r="BA81" s="263">
        <v>0</v>
      </c>
      <c r="BB81" s="263">
        <v>0</v>
      </c>
      <c r="BC81" s="263">
        <v>0.6</v>
      </c>
      <c r="BD81" s="263">
        <v>0.4</v>
      </c>
      <c r="BE81" s="263">
        <v>0.25</v>
      </c>
      <c r="BF81" s="263">
        <v>0.16</v>
      </c>
      <c r="BG81" s="263">
        <v>0.33</v>
      </c>
      <c r="BH81" s="74">
        <v>62</v>
      </c>
      <c r="BI81" s="74" t="s">
        <v>758</v>
      </c>
      <c r="BJ81" s="74">
        <v>6</v>
      </c>
      <c r="BK81" s="74" t="s">
        <v>758</v>
      </c>
      <c r="BL81" s="96">
        <v>0</v>
      </c>
      <c r="BM81" s="96">
        <v>0.04</v>
      </c>
      <c r="BN81" s="96">
        <v>0.73</v>
      </c>
      <c r="BO81" s="96">
        <v>0.23</v>
      </c>
      <c r="BP81" s="96">
        <v>0.35</v>
      </c>
      <c r="BQ81" s="96">
        <v>0.21</v>
      </c>
      <c r="BR81" s="96">
        <v>0.28000000000000003</v>
      </c>
      <c r="BS81" s="652">
        <v>62</v>
      </c>
      <c r="BT81" s="652" t="s">
        <v>758</v>
      </c>
      <c r="BU81" s="652">
        <v>6</v>
      </c>
      <c r="BV81" s="652" t="s">
        <v>758</v>
      </c>
      <c r="BW81" s="653">
        <v>0</v>
      </c>
      <c r="BX81" s="653">
        <v>0.03</v>
      </c>
      <c r="BY81" s="653">
        <v>0.62</v>
      </c>
      <c r="BZ81" s="653">
        <v>0.34</v>
      </c>
      <c r="CA81" s="653">
        <v>0.23</v>
      </c>
      <c r="CB81" s="653">
        <v>0.34</v>
      </c>
      <c r="CC81" s="653">
        <v>0.35</v>
      </c>
      <c r="CD81" s="74">
        <v>65</v>
      </c>
      <c r="CE81" s="74" t="s">
        <v>759</v>
      </c>
      <c r="CF81" s="74">
        <v>5</v>
      </c>
      <c r="CG81" s="74" t="s">
        <v>760</v>
      </c>
      <c r="CH81" s="96">
        <v>0</v>
      </c>
      <c r="CI81" s="96">
        <v>0</v>
      </c>
      <c r="CJ81" s="96">
        <v>0.57999999999999996</v>
      </c>
      <c r="CK81" s="96">
        <v>0.42</v>
      </c>
      <c r="CL81" s="96">
        <v>0.27</v>
      </c>
      <c r="CM81" s="96">
        <v>0.28000000000000003</v>
      </c>
      <c r="CN81" s="96">
        <v>0.18</v>
      </c>
      <c r="CO81" s="902">
        <v>65</v>
      </c>
      <c r="CP81" s="902" t="s">
        <v>759</v>
      </c>
      <c r="CQ81" s="902">
        <v>7</v>
      </c>
      <c r="CR81" s="902" t="s">
        <v>758</v>
      </c>
      <c r="CS81" s="949">
        <v>0</v>
      </c>
      <c r="CT81" s="949">
        <v>0.04</v>
      </c>
      <c r="CU81" s="949">
        <v>0.46</v>
      </c>
      <c r="CV81" s="949">
        <v>0.5</v>
      </c>
      <c r="CW81" s="949">
        <v>0.19</v>
      </c>
      <c r="CX81" s="949">
        <v>0.25</v>
      </c>
      <c r="CY81" s="949">
        <v>0.36</v>
      </c>
      <c r="CZ81" s="26">
        <v>325754003169</v>
      </c>
      <c r="DA81" s="803" t="s">
        <v>132</v>
      </c>
    </row>
    <row r="82" spans="1:105" ht="24.95" customHeight="1" x14ac:dyDescent="0.2">
      <c r="A82" s="803" t="s">
        <v>30</v>
      </c>
      <c r="B82" s="1" t="s">
        <v>123</v>
      </c>
      <c r="C82" s="2">
        <v>6</v>
      </c>
      <c r="D82" s="12">
        <v>59</v>
      </c>
      <c r="E82" s="12">
        <v>7</v>
      </c>
      <c r="F82" s="63">
        <v>0</v>
      </c>
      <c r="G82" s="63">
        <v>0.18</v>
      </c>
      <c r="H82" s="63">
        <v>0.73</v>
      </c>
      <c r="I82" s="63">
        <v>0.09</v>
      </c>
      <c r="J82" s="63">
        <v>0.47</v>
      </c>
      <c r="K82" s="63">
        <v>0.36</v>
      </c>
      <c r="L82" s="63">
        <v>0.43</v>
      </c>
      <c r="M82" s="25">
        <v>58</v>
      </c>
      <c r="N82" s="25">
        <v>10</v>
      </c>
      <c r="O82" s="61">
        <v>0.04</v>
      </c>
      <c r="P82" s="61">
        <v>0.13</v>
      </c>
      <c r="Q82" s="61">
        <v>0.67</v>
      </c>
      <c r="R82" s="61">
        <v>0.17</v>
      </c>
      <c r="S82" s="61">
        <v>0.37</v>
      </c>
      <c r="T82" s="61">
        <v>0.44</v>
      </c>
      <c r="U82" s="61">
        <v>0.39</v>
      </c>
      <c r="V82" s="25">
        <v>58</v>
      </c>
      <c r="W82" s="25">
        <v>10</v>
      </c>
      <c r="X82" s="66">
        <v>0</v>
      </c>
      <c r="Y82" s="66">
        <v>0.28000000000000003</v>
      </c>
      <c r="Z82" s="66">
        <v>0.5</v>
      </c>
      <c r="AA82" s="66">
        <v>0.22</v>
      </c>
      <c r="AB82" s="66">
        <v>0.37</v>
      </c>
      <c r="AC82" s="66">
        <v>0.37</v>
      </c>
      <c r="AD82" s="66">
        <v>0.45</v>
      </c>
      <c r="AE82" s="12">
        <v>59</v>
      </c>
      <c r="AF82" s="12">
        <v>8</v>
      </c>
      <c r="AG82" s="63">
        <v>0</v>
      </c>
      <c r="AH82" s="63">
        <v>0.17</v>
      </c>
      <c r="AI82" s="63">
        <v>0.67</v>
      </c>
      <c r="AJ82" s="63">
        <v>0.17</v>
      </c>
      <c r="AK82" s="63">
        <v>0.34</v>
      </c>
      <c r="AL82" s="63">
        <v>0.28999999999999998</v>
      </c>
      <c r="AM82" s="63">
        <v>0.34</v>
      </c>
      <c r="AN82" s="35">
        <v>59</v>
      </c>
      <c r="AO82" s="35">
        <v>8</v>
      </c>
      <c r="AP82" s="40">
        <v>0</v>
      </c>
      <c r="AQ82" s="40">
        <v>0.08</v>
      </c>
      <c r="AR82" s="40">
        <v>0.69</v>
      </c>
      <c r="AS82" s="40">
        <v>0.23</v>
      </c>
      <c r="AT82" s="40">
        <v>0.37</v>
      </c>
      <c r="AU82" s="40">
        <v>0.24</v>
      </c>
      <c r="AV82" s="40">
        <v>0.37</v>
      </c>
      <c r="AW82" s="246">
        <v>56</v>
      </c>
      <c r="AX82" s="246" t="s">
        <v>758</v>
      </c>
      <c r="AY82" s="246">
        <v>7</v>
      </c>
      <c r="AZ82" s="246" t="s">
        <v>758</v>
      </c>
      <c r="BA82" s="263">
        <v>0</v>
      </c>
      <c r="BB82" s="263">
        <v>0.16</v>
      </c>
      <c r="BC82" s="263">
        <v>0.73</v>
      </c>
      <c r="BD82" s="263">
        <v>0.11</v>
      </c>
      <c r="BE82" s="263">
        <v>0.42</v>
      </c>
      <c r="BF82" s="263">
        <v>0.31</v>
      </c>
      <c r="BG82" s="263">
        <v>0.5</v>
      </c>
      <c r="BH82" s="309">
        <v>61</v>
      </c>
      <c r="BI82" s="309" t="s">
        <v>758</v>
      </c>
      <c r="BJ82" s="309">
        <v>7</v>
      </c>
      <c r="BK82" s="309" t="s">
        <v>758</v>
      </c>
      <c r="BL82" s="327">
        <v>0</v>
      </c>
      <c r="BM82" s="327">
        <v>0.03</v>
      </c>
      <c r="BN82" s="327">
        <v>0.69</v>
      </c>
      <c r="BO82" s="327">
        <v>0.28000000000000003</v>
      </c>
      <c r="BP82" s="327">
        <v>0.36</v>
      </c>
      <c r="BQ82" s="327">
        <v>0.26</v>
      </c>
      <c r="BR82" s="327">
        <v>0.32</v>
      </c>
      <c r="BS82" s="424">
        <v>60</v>
      </c>
      <c r="BT82" s="424" t="s">
        <v>758</v>
      </c>
      <c r="BU82" s="424">
        <v>7</v>
      </c>
      <c r="BV82" s="424" t="s">
        <v>758</v>
      </c>
      <c r="BW82" s="428">
        <v>0</v>
      </c>
      <c r="BX82" s="428">
        <v>0.11</v>
      </c>
      <c r="BY82" s="428">
        <v>0.64</v>
      </c>
      <c r="BZ82" s="428">
        <v>0.25</v>
      </c>
      <c r="CA82" s="428">
        <v>0.28999999999999998</v>
      </c>
      <c r="CB82" s="428">
        <v>0.37</v>
      </c>
      <c r="CC82" s="428">
        <v>0.37</v>
      </c>
      <c r="CD82" s="464">
        <v>59</v>
      </c>
      <c r="CE82" s="464" t="s">
        <v>758</v>
      </c>
      <c r="CF82" s="464">
        <v>7</v>
      </c>
      <c r="CG82" s="464" t="s">
        <v>758</v>
      </c>
      <c r="CH82" s="476">
        <v>0</v>
      </c>
      <c r="CI82" s="476">
        <v>0.1</v>
      </c>
      <c r="CJ82" s="476">
        <v>0.71</v>
      </c>
      <c r="CK82" s="476">
        <v>0.19</v>
      </c>
      <c r="CL82" s="476">
        <v>0.36</v>
      </c>
      <c r="CM82" s="476">
        <v>0.36</v>
      </c>
      <c r="CN82" s="476">
        <v>0.27</v>
      </c>
      <c r="CO82" s="902">
        <v>59</v>
      </c>
      <c r="CP82" s="902" t="s">
        <v>758</v>
      </c>
      <c r="CQ82" s="902">
        <v>7</v>
      </c>
      <c r="CR82" s="902" t="s">
        <v>758</v>
      </c>
      <c r="CS82" s="949">
        <v>0</v>
      </c>
      <c r="CT82" s="949">
        <v>0.1</v>
      </c>
      <c r="CU82" s="949">
        <v>0.85</v>
      </c>
      <c r="CV82" s="949">
        <v>0.05</v>
      </c>
      <c r="CW82" s="949">
        <v>0.26</v>
      </c>
      <c r="CX82" s="949">
        <v>0.35</v>
      </c>
      <c r="CY82" s="949">
        <v>0.45</v>
      </c>
      <c r="CZ82" s="26">
        <v>325754001212</v>
      </c>
      <c r="DA82" s="803" t="s">
        <v>30</v>
      </c>
    </row>
    <row r="83" spans="1:105" ht="24.95" customHeight="1" x14ac:dyDescent="0.2">
      <c r="A83" s="803" t="s">
        <v>800</v>
      </c>
      <c r="B83" s="14" t="s">
        <v>123</v>
      </c>
      <c r="C83" s="2">
        <v>3</v>
      </c>
      <c r="D83" s="12"/>
      <c r="E83" s="12"/>
      <c r="F83" s="63"/>
      <c r="G83" s="63"/>
      <c r="H83" s="63"/>
      <c r="I83" s="63"/>
      <c r="J83" s="63"/>
      <c r="K83" s="63"/>
      <c r="L83" s="63"/>
      <c r="M83" s="25"/>
      <c r="N83" s="25"/>
      <c r="O83" s="61"/>
      <c r="P83" s="61"/>
      <c r="Q83" s="61"/>
      <c r="R83" s="61"/>
      <c r="S83" s="61"/>
      <c r="T83" s="61"/>
      <c r="U83" s="61"/>
      <c r="V83" s="25"/>
      <c r="W83" s="25"/>
      <c r="X83" s="66"/>
      <c r="Y83" s="66"/>
      <c r="Z83" s="66"/>
      <c r="AA83" s="66"/>
      <c r="AB83" s="66"/>
      <c r="AC83" s="66"/>
      <c r="AD83" s="66"/>
      <c r="AE83" s="12"/>
      <c r="AF83" s="12"/>
      <c r="AG83" s="63"/>
      <c r="AH83" s="63"/>
      <c r="AI83" s="63"/>
      <c r="AJ83" s="63"/>
      <c r="AK83" s="63"/>
      <c r="AL83" s="63"/>
      <c r="AM83" s="63"/>
      <c r="AN83" s="35"/>
      <c r="AO83" s="35"/>
      <c r="AP83" s="40"/>
      <c r="AQ83" s="40"/>
      <c r="AR83" s="40"/>
      <c r="AS83" s="40"/>
      <c r="AT83" s="40"/>
      <c r="AU83" s="40"/>
      <c r="AV83" s="40"/>
      <c r="AW83" s="246"/>
      <c r="AX83" s="246"/>
      <c r="AY83" s="246"/>
      <c r="AZ83" s="246"/>
      <c r="BA83" s="263"/>
      <c r="BB83" s="263"/>
      <c r="BC83" s="263"/>
      <c r="BD83" s="263"/>
      <c r="BE83" s="263"/>
      <c r="BF83" s="263"/>
      <c r="BG83" s="263"/>
      <c r="BH83" s="309">
        <v>57</v>
      </c>
      <c r="BI83" s="309" t="s">
        <v>758</v>
      </c>
      <c r="BJ83" s="309">
        <v>9</v>
      </c>
      <c r="BK83" s="309" t="s">
        <v>758</v>
      </c>
      <c r="BL83" s="327">
        <v>0</v>
      </c>
      <c r="BM83" s="327">
        <v>0.21</v>
      </c>
      <c r="BN83" s="327">
        <v>0.64</v>
      </c>
      <c r="BO83" s="327">
        <v>0.14000000000000001</v>
      </c>
      <c r="BP83" s="327">
        <v>0.38</v>
      </c>
      <c r="BQ83" s="327">
        <v>0.36</v>
      </c>
      <c r="BR83" s="327">
        <v>0.34</v>
      </c>
      <c r="BS83" s="424">
        <v>50</v>
      </c>
      <c r="BT83" s="424" t="s">
        <v>758</v>
      </c>
      <c r="BU83" s="424">
        <v>9</v>
      </c>
      <c r="BV83" s="424" t="s">
        <v>758</v>
      </c>
      <c r="BW83" s="428">
        <v>0</v>
      </c>
      <c r="BX83" s="428">
        <v>0.55000000000000004</v>
      </c>
      <c r="BY83" s="428">
        <v>0.4</v>
      </c>
      <c r="BZ83" s="428">
        <v>0.05</v>
      </c>
      <c r="CA83" s="428">
        <v>0.48</v>
      </c>
      <c r="CB83" s="428">
        <v>0.57999999999999996</v>
      </c>
      <c r="CC83" s="428">
        <v>0.52</v>
      </c>
      <c r="CD83" s="464">
        <v>57</v>
      </c>
      <c r="CE83" s="464" t="s">
        <v>758</v>
      </c>
      <c r="CF83" s="464">
        <v>11</v>
      </c>
      <c r="CG83" s="464" t="s">
        <v>758</v>
      </c>
      <c r="CH83" s="476">
        <v>0.05</v>
      </c>
      <c r="CI83" s="476">
        <v>0.25</v>
      </c>
      <c r="CJ83" s="476">
        <v>0.45</v>
      </c>
      <c r="CK83" s="476">
        <v>0.25</v>
      </c>
      <c r="CL83" s="476">
        <v>0.39</v>
      </c>
      <c r="CM83" s="476">
        <v>0.39</v>
      </c>
      <c r="CN83" s="476">
        <v>0.3</v>
      </c>
      <c r="CO83" s="902">
        <v>56</v>
      </c>
      <c r="CP83" s="902" t="s">
        <v>758</v>
      </c>
      <c r="CQ83" s="902">
        <v>9</v>
      </c>
      <c r="CR83" s="902" t="s">
        <v>758</v>
      </c>
      <c r="CS83" s="949">
        <v>0</v>
      </c>
      <c r="CT83" s="949">
        <v>0.38</v>
      </c>
      <c r="CU83" s="949">
        <v>0.56000000000000005</v>
      </c>
      <c r="CV83" s="949">
        <v>0.06</v>
      </c>
      <c r="CW83" s="949">
        <v>0.26</v>
      </c>
      <c r="CX83" s="949">
        <v>0.42</v>
      </c>
      <c r="CY83" s="949">
        <v>0.49</v>
      </c>
      <c r="CZ83" s="26">
        <v>325754004335</v>
      </c>
      <c r="DA83" s="803" t="s">
        <v>800</v>
      </c>
    </row>
    <row r="84" spans="1:105" ht="24.95" customHeight="1" x14ac:dyDescent="0.2">
      <c r="A84" s="803" t="s">
        <v>957</v>
      </c>
      <c r="B84" s="14" t="s">
        <v>123</v>
      </c>
      <c r="C84" s="813">
        <v>4</v>
      </c>
      <c r="D84" s="813"/>
      <c r="E84" s="813"/>
      <c r="F84" s="813"/>
      <c r="G84" s="813"/>
      <c r="H84" s="813"/>
      <c r="I84" s="813"/>
      <c r="J84" s="813"/>
      <c r="K84" s="813"/>
      <c r="L84" s="813"/>
      <c r="M84" s="813"/>
      <c r="N84" s="813"/>
      <c r="O84" s="813"/>
      <c r="P84" s="813"/>
      <c r="Q84" s="813"/>
      <c r="R84" s="813"/>
      <c r="S84" s="813"/>
      <c r="T84" s="813"/>
      <c r="U84" s="813"/>
      <c r="V84" s="813"/>
      <c r="W84" s="813"/>
      <c r="X84" s="813"/>
      <c r="Y84" s="813"/>
      <c r="Z84" s="813"/>
      <c r="AA84" s="813"/>
      <c r="AB84" s="813"/>
      <c r="AC84" s="813"/>
      <c r="AD84" s="813"/>
      <c r="AE84" s="813"/>
      <c r="AF84" s="813"/>
      <c r="AG84" s="813"/>
      <c r="AH84" s="813"/>
      <c r="AI84" s="813"/>
      <c r="AJ84" s="813"/>
      <c r="AK84" s="813"/>
      <c r="AL84" s="813"/>
      <c r="AM84" s="813"/>
      <c r="AN84" s="813"/>
      <c r="AO84" s="813"/>
      <c r="AP84" s="813"/>
      <c r="AQ84" s="813"/>
      <c r="AR84" s="813"/>
      <c r="AS84" s="813"/>
      <c r="AT84" s="813"/>
      <c r="AU84" s="813"/>
      <c r="AV84" s="813"/>
      <c r="AW84" s="813"/>
      <c r="AX84" s="813"/>
      <c r="AY84" s="813"/>
      <c r="AZ84" s="813"/>
      <c r="BA84" s="813"/>
      <c r="BB84" s="813"/>
      <c r="BC84" s="813"/>
      <c r="BD84" s="813"/>
      <c r="BE84" s="813"/>
      <c r="BF84" s="813"/>
      <c r="BG84" s="813"/>
      <c r="BH84" s="813"/>
      <c r="BI84" s="813"/>
      <c r="BJ84" s="813"/>
      <c r="BK84" s="813"/>
      <c r="BL84" s="813"/>
      <c r="BM84" s="813"/>
      <c r="BN84" s="813"/>
      <c r="BO84" s="813"/>
      <c r="BP84" s="813"/>
      <c r="BQ84" s="813"/>
      <c r="BR84" s="813"/>
      <c r="BS84" s="813"/>
      <c r="BT84" s="813"/>
      <c r="BU84" s="813"/>
      <c r="BV84" s="813"/>
      <c r="BW84" s="813"/>
      <c r="BX84" s="813"/>
      <c r="BY84" s="813"/>
      <c r="BZ84" s="813"/>
      <c r="CA84" s="813"/>
      <c r="CB84" s="813"/>
      <c r="CC84" s="813"/>
      <c r="CD84" s="813"/>
      <c r="CE84" s="813"/>
      <c r="CF84" s="813"/>
      <c r="CG84" s="813"/>
      <c r="CH84" s="813"/>
      <c r="CI84" s="813"/>
      <c r="CJ84" s="813"/>
      <c r="CK84" s="813"/>
      <c r="CL84" s="813"/>
      <c r="CM84" s="813"/>
      <c r="CN84" s="813"/>
      <c r="CS84" s="949"/>
      <c r="CT84" s="949"/>
      <c r="CU84" s="949"/>
      <c r="CV84" s="949"/>
      <c r="CW84" s="949"/>
      <c r="CX84" s="949"/>
      <c r="CY84" s="949"/>
      <c r="CZ84" s="26"/>
      <c r="DA84" s="803" t="s">
        <v>957</v>
      </c>
    </row>
    <row r="85" spans="1:105" ht="24.95" customHeight="1" x14ac:dyDescent="0.2">
      <c r="A85" s="803" t="s">
        <v>63</v>
      </c>
      <c r="B85" s="1" t="s">
        <v>123</v>
      </c>
      <c r="C85" s="2">
        <v>6</v>
      </c>
      <c r="D85" s="12">
        <v>56</v>
      </c>
      <c r="E85" s="12">
        <v>7</v>
      </c>
      <c r="F85" s="63">
        <v>0</v>
      </c>
      <c r="G85" s="63">
        <v>0.13</v>
      </c>
      <c r="H85" s="63">
        <v>0.8</v>
      </c>
      <c r="I85" s="63">
        <v>7.0000000000000007E-2</v>
      </c>
      <c r="J85" s="63">
        <v>0.42</v>
      </c>
      <c r="K85" s="63">
        <v>0.43</v>
      </c>
      <c r="L85" s="63">
        <v>0.52</v>
      </c>
      <c r="M85" s="25">
        <v>54</v>
      </c>
      <c r="N85" s="25">
        <v>8</v>
      </c>
      <c r="O85" s="61">
        <v>0.06</v>
      </c>
      <c r="P85" s="61">
        <v>0.24</v>
      </c>
      <c r="Q85" s="61">
        <v>0.65</v>
      </c>
      <c r="R85" s="61">
        <v>0.06</v>
      </c>
      <c r="S85" s="61">
        <v>0.4</v>
      </c>
      <c r="T85" s="61">
        <v>0.54</v>
      </c>
      <c r="U85" s="61">
        <v>0.45</v>
      </c>
      <c r="V85" s="25">
        <v>56</v>
      </c>
      <c r="W85" s="25">
        <v>6</v>
      </c>
      <c r="X85" s="66">
        <v>0</v>
      </c>
      <c r="Y85" s="66">
        <v>0.18</v>
      </c>
      <c r="Z85" s="66">
        <v>0.82</v>
      </c>
      <c r="AA85" s="66">
        <v>0</v>
      </c>
      <c r="AB85" s="66">
        <v>0.37</v>
      </c>
      <c r="AC85" s="66">
        <v>0.44</v>
      </c>
      <c r="AD85" s="66">
        <v>0.51</v>
      </c>
      <c r="AE85" s="12">
        <v>56</v>
      </c>
      <c r="AF85" s="12">
        <v>9</v>
      </c>
      <c r="AG85" s="63">
        <v>0</v>
      </c>
      <c r="AH85" s="63">
        <v>0.31</v>
      </c>
      <c r="AI85" s="63">
        <v>0.56000000000000005</v>
      </c>
      <c r="AJ85" s="63">
        <v>0.13</v>
      </c>
      <c r="AK85" s="63">
        <v>0.38</v>
      </c>
      <c r="AL85" s="63">
        <v>0.32</v>
      </c>
      <c r="AM85" s="63">
        <v>0.4</v>
      </c>
      <c r="AN85" s="35">
        <v>54</v>
      </c>
      <c r="AO85" s="35">
        <v>9</v>
      </c>
      <c r="AP85" s="40">
        <v>0</v>
      </c>
      <c r="AQ85" s="40">
        <v>0.32</v>
      </c>
      <c r="AR85" s="40">
        <v>0.63</v>
      </c>
      <c r="AS85" s="40">
        <v>0.05</v>
      </c>
      <c r="AT85" s="40">
        <v>0.47</v>
      </c>
      <c r="AU85" s="40">
        <v>0.3</v>
      </c>
      <c r="AV85" s="40">
        <v>0.44</v>
      </c>
      <c r="AW85" s="246">
        <v>56</v>
      </c>
      <c r="AX85" s="246" t="s">
        <v>758</v>
      </c>
      <c r="AY85" s="246">
        <v>10</v>
      </c>
      <c r="AZ85" s="246" t="s">
        <v>758</v>
      </c>
      <c r="BA85" s="263">
        <v>0</v>
      </c>
      <c r="BB85" s="263">
        <v>0.38</v>
      </c>
      <c r="BC85" s="263">
        <v>0.46</v>
      </c>
      <c r="BD85" s="263">
        <v>0.15</v>
      </c>
      <c r="BE85" s="263">
        <v>0.43</v>
      </c>
      <c r="BF85" s="263">
        <v>0.34</v>
      </c>
      <c r="BG85" s="263">
        <v>0.52</v>
      </c>
      <c r="BH85" s="309">
        <v>52</v>
      </c>
      <c r="BI85" s="309" t="s">
        <v>758</v>
      </c>
      <c r="BJ85" s="309">
        <v>11</v>
      </c>
      <c r="BK85" s="309" t="s">
        <v>758</v>
      </c>
      <c r="BL85" s="327">
        <v>0</v>
      </c>
      <c r="BM85" s="327">
        <v>0.6</v>
      </c>
      <c r="BN85" s="327">
        <v>0.3</v>
      </c>
      <c r="BO85" s="327">
        <v>0.1</v>
      </c>
      <c r="BP85" s="327">
        <v>0.52</v>
      </c>
      <c r="BQ85" s="327">
        <v>0.34</v>
      </c>
      <c r="BR85" s="327">
        <v>0.56000000000000005</v>
      </c>
      <c r="BS85" s="424">
        <v>61</v>
      </c>
      <c r="BT85" s="424" t="s">
        <v>758</v>
      </c>
      <c r="BU85" s="424">
        <v>8</v>
      </c>
      <c r="BV85" s="424" t="s">
        <v>758</v>
      </c>
      <c r="BW85" s="428">
        <v>0</v>
      </c>
      <c r="BX85" s="428">
        <v>0.11</v>
      </c>
      <c r="BY85" s="428">
        <v>0.44</v>
      </c>
      <c r="BZ85" s="428">
        <v>0.44</v>
      </c>
      <c r="CA85" s="428">
        <v>0.24</v>
      </c>
      <c r="CB85" s="428">
        <v>0.35</v>
      </c>
      <c r="CC85" s="428">
        <v>0.36</v>
      </c>
      <c r="CD85" s="641"/>
      <c r="CE85" s="641"/>
      <c r="CF85" s="641"/>
      <c r="CG85" s="641"/>
      <c r="CH85" s="642"/>
      <c r="CI85" s="642"/>
      <c r="CJ85" s="642"/>
      <c r="CK85" s="642"/>
      <c r="CL85" s="642"/>
      <c r="CM85" s="642"/>
      <c r="CN85" s="642"/>
      <c r="CS85" s="949"/>
      <c r="CT85" s="949"/>
      <c r="CU85" s="949"/>
      <c r="CV85" s="949"/>
      <c r="CW85" s="949"/>
      <c r="CX85" s="949"/>
      <c r="CY85" s="949"/>
      <c r="CZ85" s="26"/>
      <c r="DA85" s="803" t="s">
        <v>63</v>
      </c>
    </row>
    <row r="86" spans="1:105" ht="24.95" customHeight="1" x14ac:dyDescent="0.2">
      <c r="A86" s="804" t="s">
        <v>949</v>
      </c>
      <c r="B86" s="1" t="s">
        <v>123</v>
      </c>
      <c r="C86" s="309">
        <v>5</v>
      </c>
      <c r="D86" s="328"/>
      <c r="E86" s="328"/>
      <c r="F86" s="327"/>
      <c r="G86" s="327"/>
      <c r="H86" s="327"/>
      <c r="I86" s="327"/>
      <c r="J86" s="327"/>
      <c r="K86" s="327"/>
      <c r="L86" s="327"/>
      <c r="M86" s="329"/>
      <c r="N86" s="329"/>
      <c r="O86" s="330"/>
      <c r="P86" s="330"/>
      <c r="Q86" s="330"/>
      <c r="R86" s="330"/>
      <c r="S86" s="330"/>
      <c r="T86" s="330"/>
      <c r="U86" s="330"/>
      <c r="V86" s="329"/>
      <c r="W86" s="329"/>
      <c r="X86" s="333"/>
      <c r="Y86" s="333"/>
      <c r="Z86" s="333"/>
      <c r="AA86" s="333"/>
      <c r="AB86" s="333"/>
      <c r="AC86" s="333"/>
      <c r="AD86" s="333"/>
      <c r="AE86" s="328"/>
      <c r="AF86" s="328"/>
      <c r="AG86" s="327"/>
      <c r="AH86" s="327"/>
      <c r="AI86" s="327"/>
      <c r="AJ86" s="327"/>
      <c r="AK86" s="327"/>
      <c r="AL86" s="327"/>
      <c r="AM86" s="327"/>
      <c r="AN86" s="311"/>
      <c r="AO86" s="311"/>
      <c r="AP86" s="331"/>
      <c r="AQ86" s="331"/>
      <c r="AR86" s="331"/>
      <c r="AS86" s="331"/>
      <c r="AT86" s="331"/>
      <c r="AU86" s="331"/>
      <c r="AV86" s="331"/>
      <c r="AW86" s="312"/>
      <c r="AX86" s="312"/>
      <c r="AY86" s="312"/>
      <c r="AZ86" s="312"/>
      <c r="BA86" s="332"/>
      <c r="BB86" s="332"/>
      <c r="BC86" s="332"/>
      <c r="BD86" s="332"/>
      <c r="BE86" s="332"/>
      <c r="BF86" s="332"/>
      <c r="BG86" s="332"/>
      <c r="BH86" s="309"/>
      <c r="BI86" s="309"/>
      <c r="BJ86" s="309"/>
      <c r="BK86" s="309"/>
      <c r="BL86" s="327"/>
      <c r="BM86" s="327"/>
      <c r="BN86" s="327"/>
      <c r="BO86" s="327"/>
      <c r="BP86" s="327"/>
      <c r="BQ86" s="327"/>
      <c r="BR86" s="327"/>
      <c r="BS86" s="424"/>
      <c r="BT86" s="424"/>
      <c r="BU86" s="424"/>
      <c r="BV86" s="424"/>
      <c r="BW86" s="428"/>
      <c r="BX86" s="428"/>
      <c r="BY86" s="428"/>
      <c r="BZ86" s="428"/>
      <c r="CA86" s="428"/>
      <c r="CB86" s="428"/>
      <c r="CC86" s="428"/>
      <c r="CD86" s="464">
        <v>48</v>
      </c>
      <c r="CE86" s="464" t="s">
        <v>760</v>
      </c>
      <c r="CF86" s="464">
        <v>6</v>
      </c>
      <c r="CG86" s="464" t="s">
        <v>758</v>
      </c>
      <c r="CH86" s="476">
        <v>0</v>
      </c>
      <c r="CI86" s="476">
        <v>0.67</v>
      </c>
      <c r="CJ86" s="476">
        <v>0.33</v>
      </c>
      <c r="CK86" s="476">
        <v>0</v>
      </c>
      <c r="CL86" s="476">
        <v>0.57999999999999996</v>
      </c>
      <c r="CM86" s="476">
        <v>0.64</v>
      </c>
      <c r="CN86" s="476">
        <v>0.36</v>
      </c>
      <c r="CS86" s="949"/>
      <c r="CT86" s="949"/>
      <c r="CU86" s="949"/>
      <c r="CV86" s="949"/>
      <c r="CW86" s="949"/>
      <c r="CX86" s="949"/>
      <c r="CY86" s="949"/>
      <c r="CZ86" s="26"/>
      <c r="DA86" s="804" t="s">
        <v>949</v>
      </c>
    </row>
    <row r="87" spans="1:105" ht="24.95" customHeight="1" x14ac:dyDescent="0.2">
      <c r="A87" s="803" t="s">
        <v>28</v>
      </c>
      <c r="B87" s="1" t="s">
        <v>123</v>
      </c>
      <c r="C87" s="2">
        <v>6</v>
      </c>
      <c r="D87" s="12">
        <v>58</v>
      </c>
      <c r="E87" s="12">
        <v>7</v>
      </c>
      <c r="F87" s="63">
        <v>0</v>
      </c>
      <c r="G87" s="63">
        <v>0.14000000000000001</v>
      </c>
      <c r="H87" s="63">
        <v>0.78</v>
      </c>
      <c r="I87" s="63">
        <v>0.08</v>
      </c>
      <c r="J87" s="63">
        <v>0.35</v>
      </c>
      <c r="K87" s="63">
        <v>0.4</v>
      </c>
      <c r="L87" s="63">
        <v>0.47</v>
      </c>
      <c r="M87" s="25">
        <v>52</v>
      </c>
      <c r="N87" s="25">
        <v>10</v>
      </c>
      <c r="O87" s="61">
        <v>0</v>
      </c>
      <c r="P87" s="61">
        <v>0.45</v>
      </c>
      <c r="Q87" s="61">
        <v>0.39</v>
      </c>
      <c r="R87" s="61">
        <v>0.16</v>
      </c>
      <c r="S87" s="61">
        <v>0.46</v>
      </c>
      <c r="T87" s="61">
        <v>0.51</v>
      </c>
      <c r="U87" s="61">
        <v>0.49</v>
      </c>
      <c r="V87" s="25">
        <v>55</v>
      </c>
      <c r="W87" s="25">
        <v>9</v>
      </c>
      <c r="X87" s="66">
        <v>0.04</v>
      </c>
      <c r="Y87" s="66">
        <v>0.28000000000000003</v>
      </c>
      <c r="Z87" s="66">
        <v>0.6</v>
      </c>
      <c r="AA87" s="66">
        <v>0.09</v>
      </c>
      <c r="AB87" s="66">
        <v>0.42</v>
      </c>
      <c r="AC87" s="66">
        <v>0.46</v>
      </c>
      <c r="AD87" s="66">
        <v>0.5</v>
      </c>
      <c r="AE87" s="12">
        <v>56</v>
      </c>
      <c r="AF87" s="12">
        <v>9</v>
      </c>
      <c r="AG87" s="63">
        <v>0.05</v>
      </c>
      <c r="AH87" s="63">
        <v>0.16</v>
      </c>
      <c r="AI87" s="63">
        <v>0.66</v>
      </c>
      <c r="AJ87" s="63">
        <v>0.13</v>
      </c>
      <c r="AK87" s="63">
        <v>0.38</v>
      </c>
      <c r="AL87" s="63">
        <v>0.33</v>
      </c>
      <c r="AM87" s="63">
        <v>0.4</v>
      </c>
      <c r="AN87" s="35">
        <v>54</v>
      </c>
      <c r="AO87" s="35">
        <v>9</v>
      </c>
      <c r="AP87" s="40">
        <v>0</v>
      </c>
      <c r="AQ87" s="40">
        <v>0.33</v>
      </c>
      <c r="AR87" s="40">
        <v>0.56999999999999995</v>
      </c>
      <c r="AS87" s="40">
        <v>0.09</v>
      </c>
      <c r="AT87" s="40">
        <v>0.47</v>
      </c>
      <c r="AU87" s="40">
        <v>0.36</v>
      </c>
      <c r="AV87" s="40">
        <v>0.41</v>
      </c>
      <c r="AW87" s="246">
        <v>53</v>
      </c>
      <c r="AX87" s="246" t="s">
        <v>758</v>
      </c>
      <c r="AY87" s="246">
        <v>10</v>
      </c>
      <c r="AZ87" s="246" t="s">
        <v>758</v>
      </c>
      <c r="BA87" s="263">
        <v>0.04</v>
      </c>
      <c r="BB87" s="263">
        <v>0.33</v>
      </c>
      <c r="BC87" s="263">
        <v>0.49</v>
      </c>
      <c r="BD87" s="263">
        <v>0.14000000000000001</v>
      </c>
      <c r="BE87" s="263">
        <v>0.47</v>
      </c>
      <c r="BF87" s="263">
        <v>0.33</v>
      </c>
      <c r="BG87" s="263">
        <v>0.53</v>
      </c>
      <c r="BH87" s="309">
        <v>55</v>
      </c>
      <c r="BI87" s="309" t="s">
        <v>758</v>
      </c>
      <c r="BJ87" s="309">
        <v>8</v>
      </c>
      <c r="BK87" s="309" t="s">
        <v>758</v>
      </c>
      <c r="BL87" s="327">
        <v>0</v>
      </c>
      <c r="BM87" s="327">
        <v>0.28999999999999998</v>
      </c>
      <c r="BN87" s="327">
        <v>0.6</v>
      </c>
      <c r="BO87" s="327">
        <v>0.1</v>
      </c>
      <c r="BP87" s="327">
        <v>0.44</v>
      </c>
      <c r="BQ87" s="327">
        <v>0.33</v>
      </c>
      <c r="BR87" s="327">
        <v>0.45</v>
      </c>
      <c r="BS87" s="424">
        <v>55</v>
      </c>
      <c r="BT87" s="424" t="s">
        <v>758</v>
      </c>
      <c r="BU87" s="424">
        <v>9</v>
      </c>
      <c r="BV87" s="424" t="s">
        <v>758</v>
      </c>
      <c r="BW87" s="428">
        <v>0.01</v>
      </c>
      <c r="BX87" s="428">
        <v>0.3</v>
      </c>
      <c r="BY87" s="428">
        <v>0.55000000000000004</v>
      </c>
      <c r="BZ87" s="428">
        <v>0.14000000000000001</v>
      </c>
      <c r="CA87" s="428">
        <v>0.35</v>
      </c>
      <c r="CB87" s="428">
        <v>0.46</v>
      </c>
      <c r="CC87" s="428">
        <v>0.48</v>
      </c>
      <c r="CD87" s="654">
        <v>55</v>
      </c>
      <c r="CE87" s="654" t="s">
        <v>758</v>
      </c>
      <c r="CF87" s="654">
        <v>8</v>
      </c>
      <c r="CG87" s="654" t="s">
        <v>758</v>
      </c>
      <c r="CH87" s="655">
        <v>0.02</v>
      </c>
      <c r="CI87" s="655">
        <v>0.24</v>
      </c>
      <c r="CJ87" s="655">
        <v>0.64</v>
      </c>
      <c r="CK87" s="655">
        <v>0.11</v>
      </c>
      <c r="CL87" s="655">
        <v>0.46</v>
      </c>
      <c r="CM87" s="655">
        <v>0.44</v>
      </c>
      <c r="CN87" s="655">
        <v>0.33</v>
      </c>
      <c r="CO87" s="902">
        <v>55</v>
      </c>
      <c r="CP87" s="902" t="s">
        <v>758</v>
      </c>
      <c r="CQ87" s="902">
        <v>10</v>
      </c>
      <c r="CR87" s="902" t="s">
        <v>758</v>
      </c>
      <c r="CS87" s="949">
        <v>0.02</v>
      </c>
      <c r="CT87" s="949">
        <v>0.38</v>
      </c>
      <c r="CU87" s="949">
        <v>0.44</v>
      </c>
      <c r="CV87" s="949">
        <v>0.16</v>
      </c>
      <c r="CW87" s="949">
        <v>0.35</v>
      </c>
      <c r="CX87" s="949">
        <v>0.45</v>
      </c>
      <c r="CY87" s="949">
        <v>0.5</v>
      </c>
      <c r="CZ87" s="26">
        <v>325754001859</v>
      </c>
      <c r="DA87" s="803" t="s">
        <v>28</v>
      </c>
    </row>
    <row r="88" spans="1:105" ht="24.95" customHeight="1" x14ac:dyDescent="0.2">
      <c r="A88" s="803" t="s">
        <v>101</v>
      </c>
      <c r="B88" s="1" t="s">
        <v>123</v>
      </c>
      <c r="C88" s="2">
        <v>3</v>
      </c>
      <c r="D88" s="12">
        <v>54</v>
      </c>
      <c r="E88" s="12">
        <v>9</v>
      </c>
      <c r="F88" s="63">
        <v>0.04</v>
      </c>
      <c r="G88" s="63">
        <v>0.35</v>
      </c>
      <c r="H88" s="63">
        <v>0.56999999999999995</v>
      </c>
      <c r="I88" s="63">
        <v>0.04</v>
      </c>
      <c r="J88" s="63">
        <v>0.39</v>
      </c>
      <c r="K88" s="63">
        <v>0.52</v>
      </c>
      <c r="L88" s="63">
        <v>0.49</v>
      </c>
      <c r="M88" s="25">
        <v>53</v>
      </c>
      <c r="N88" s="25">
        <v>10</v>
      </c>
      <c r="O88" s="61">
        <v>0.04</v>
      </c>
      <c r="P88" s="61">
        <v>0.42</v>
      </c>
      <c r="Q88" s="61">
        <v>0.38</v>
      </c>
      <c r="R88" s="61">
        <v>0.17</v>
      </c>
      <c r="S88" s="61">
        <v>0.45</v>
      </c>
      <c r="T88" s="61">
        <v>0.48</v>
      </c>
      <c r="U88" s="61">
        <v>0.45</v>
      </c>
      <c r="V88" s="25">
        <v>55</v>
      </c>
      <c r="W88" s="25">
        <v>9</v>
      </c>
      <c r="X88" s="66">
        <v>0</v>
      </c>
      <c r="Y88" s="66">
        <v>0.33</v>
      </c>
      <c r="Z88" s="66">
        <v>0.61</v>
      </c>
      <c r="AA88" s="66">
        <v>0.06</v>
      </c>
      <c r="AB88" s="66">
        <v>0.43</v>
      </c>
      <c r="AC88" s="66">
        <v>0.48</v>
      </c>
      <c r="AD88" s="66">
        <v>0.48</v>
      </c>
      <c r="AE88" s="12">
        <v>53</v>
      </c>
      <c r="AF88" s="12">
        <v>9</v>
      </c>
      <c r="AG88" s="63">
        <v>0.06</v>
      </c>
      <c r="AH88" s="63">
        <v>0.22</v>
      </c>
      <c r="AI88" s="63">
        <v>0.67</v>
      </c>
      <c r="AJ88" s="63">
        <v>0.06</v>
      </c>
      <c r="AK88" s="63">
        <v>0.43</v>
      </c>
      <c r="AL88" s="63">
        <v>0.43</v>
      </c>
      <c r="AM88" s="63">
        <v>0.42</v>
      </c>
      <c r="AN88" s="35">
        <v>57</v>
      </c>
      <c r="AO88" s="35">
        <v>6</v>
      </c>
      <c r="AP88" s="40">
        <v>0</v>
      </c>
      <c r="AQ88" s="40">
        <v>0.2</v>
      </c>
      <c r="AR88" s="40">
        <v>0.75</v>
      </c>
      <c r="AS88" s="40">
        <v>0.05</v>
      </c>
      <c r="AT88" s="40">
        <v>0.39</v>
      </c>
      <c r="AU88" s="40">
        <v>0.36</v>
      </c>
      <c r="AV88" s="40">
        <v>0.34</v>
      </c>
      <c r="AW88" s="246">
        <v>53</v>
      </c>
      <c r="AX88" s="246" t="s">
        <v>758</v>
      </c>
      <c r="AY88" s="246">
        <v>9</v>
      </c>
      <c r="AZ88" s="246" t="s">
        <v>758</v>
      </c>
      <c r="BA88" s="263">
        <v>0</v>
      </c>
      <c r="BB88" s="263">
        <v>0.38</v>
      </c>
      <c r="BC88" s="263">
        <v>0.53</v>
      </c>
      <c r="BD88" s="263">
        <v>0.09</v>
      </c>
      <c r="BE88" s="263">
        <v>0.47</v>
      </c>
      <c r="BF88" s="263">
        <v>0.37</v>
      </c>
      <c r="BG88" s="263">
        <v>0.54</v>
      </c>
      <c r="BH88" s="309">
        <v>54</v>
      </c>
      <c r="BI88" s="309" t="s">
        <v>758</v>
      </c>
      <c r="BJ88" s="309">
        <v>9</v>
      </c>
      <c r="BK88" s="309" t="s">
        <v>758</v>
      </c>
      <c r="BL88" s="327">
        <v>0.06</v>
      </c>
      <c r="BM88" s="327">
        <v>0.13</v>
      </c>
      <c r="BN88" s="327">
        <v>0.81</v>
      </c>
      <c r="BO88" s="327">
        <v>0</v>
      </c>
      <c r="BP88" s="327">
        <v>0.46</v>
      </c>
      <c r="BQ88" s="327">
        <v>0.38</v>
      </c>
      <c r="BR88" s="327">
        <v>0.47</v>
      </c>
      <c r="BS88" s="424">
        <v>52</v>
      </c>
      <c r="BT88" s="424" t="s">
        <v>758</v>
      </c>
      <c r="BU88" s="424">
        <v>10</v>
      </c>
      <c r="BV88" s="424" t="s">
        <v>758</v>
      </c>
      <c r="BW88" s="428">
        <v>0.08</v>
      </c>
      <c r="BX88" s="428">
        <v>0.23</v>
      </c>
      <c r="BY88" s="428">
        <v>0.62</v>
      </c>
      <c r="BZ88" s="428">
        <v>0.08</v>
      </c>
      <c r="CA88" s="428">
        <v>0.41</v>
      </c>
      <c r="CB88" s="428">
        <v>0.49</v>
      </c>
      <c r="CC88" s="428">
        <v>0.51</v>
      </c>
      <c r="CD88" s="464">
        <v>53</v>
      </c>
      <c r="CE88" s="464" t="s">
        <v>758</v>
      </c>
      <c r="CF88" s="464">
        <v>9</v>
      </c>
      <c r="CG88" s="464" t="s">
        <v>758</v>
      </c>
      <c r="CH88" s="476">
        <v>0.05</v>
      </c>
      <c r="CI88" s="476">
        <v>0.28999999999999998</v>
      </c>
      <c r="CJ88" s="476">
        <v>0.62</v>
      </c>
      <c r="CK88" s="476">
        <v>0.05</v>
      </c>
      <c r="CL88" s="476">
        <v>0.44</v>
      </c>
      <c r="CM88" s="476">
        <v>0.47</v>
      </c>
      <c r="CN88" s="476">
        <v>0.39</v>
      </c>
      <c r="CO88" s="902">
        <v>58</v>
      </c>
      <c r="CP88" s="902" t="s">
        <v>758</v>
      </c>
      <c r="CQ88" s="902">
        <v>10</v>
      </c>
      <c r="CR88" s="902" t="s">
        <v>758</v>
      </c>
      <c r="CS88" s="949">
        <v>0</v>
      </c>
      <c r="CT88" s="949">
        <v>0.28999999999999998</v>
      </c>
      <c r="CU88" s="949">
        <v>0.5</v>
      </c>
      <c r="CV88" s="949">
        <v>0.21</v>
      </c>
      <c r="CW88" s="949">
        <v>0.28000000000000003</v>
      </c>
      <c r="CX88" s="949">
        <v>0.4</v>
      </c>
      <c r="CY88" s="949">
        <v>0.44</v>
      </c>
      <c r="CZ88" s="26">
        <v>325754002782</v>
      </c>
      <c r="DA88" s="803" t="s">
        <v>101</v>
      </c>
    </row>
    <row r="89" spans="1:105" ht="24.95" customHeight="1" x14ac:dyDescent="0.2">
      <c r="A89" s="803" t="s">
        <v>64</v>
      </c>
      <c r="B89" s="1" t="s">
        <v>123</v>
      </c>
      <c r="C89" s="2">
        <v>2</v>
      </c>
      <c r="D89" s="12">
        <v>60</v>
      </c>
      <c r="E89" s="12">
        <v>7</v>
      </c>
      <c r="F89" s="63">
        <v>0</v>
      </c>
      <c r="G89" s="63">
        <v>0.1</v>
      </c>
      <c r="H89" s="63">
        <v>0.68</v>
      </c>
      <c r="I89" s="63">
        <v>0.22</v>
      </c>
      <c r="J89" s="63">
        <v>0.34</v>
      </c>
      <c r="K89" s="63">
        <v>0.38</v>
      </c>
      <c r="L89" s="63">
        <v>0.41</v>
      </c>
      <c r="M89" s="25">
        <v>60</v>
      </c>
      <c r="N89" s="25">
        <v>7</v>
      </c>
      <c r="O89" s="61">
        <v>0</v>
      </c>
      <c r="P89" s="61">
        <v>0.06</v>
      </c>
      <c r="Q89" s="61">
        <v>0.71</v>
      </c>
      <c r="R89" s="61">
        <v>0.22</v>
      </c>
      <c r="S89" s="61">
        <v>0.31</v>
      </c>
      <c r="T89" s="61">
        <v>0.36</v>
      </c>
      <c r="U89" s="61">
        <v>0.38</v>
      </c>
      <c r="V89" s="25">
        <v>60</v>
      </c>
      <c r="W89" s="25">
        <v>7</v>
      </c>
      <c r="X89" s="66">
        <v>0</v>
      </c>
      <c r="Y89" s="66">
        <v>0.06</v>
      </c>
      <c r="Z89" s="66">
        <v>0.73</v>
      </c>
      <c r="AA89" s="66">
        <v>0.2</v>
      </c>
      <c r="AB89" s="66">
        <v>0.3</v>
      </c>
      <c r="AC89" s="66">
        <v>0.36</v>
      </c>
      <c r="AD89" s="66">
        <v>0.41</v>
      </c>
      <c r="AE89" s="12">
        <v>61</v>
      </c>
      <c r="AF89" s="12">
        <v>7</v>
      </c>
      <c r="AG89" s="63">
        <v>0</v>
      </c>
      <c r="AH89" s="63">
        <v>0.08</v>
      </c>
      <c r="AI89" s="63">
        <v>0.65</v>
      </c>
      <c r="AJ89" s="63">
        <v>0.28000000000000003</v>
      </c>
      <c r="AK89" s="63">
        <v>0.27</v>
      </c>
      <c r="AL89" s="63">
        <v>0.25</v>
      </c>
      <c r="AM89" s="63">
        <v>0.35</v>
      </c>
      <c r="AN89" s="35">
        <v>62</v>
      </c>
      <c r="AO89" s="35">
        <v>7</v>
      </c>
      <c r="AP89" s="40">
        <v>0</v>
      </c>
      <c r="AQ89" s="40">
        <v>0.05</v>
      </c>
      <c r="AR89" s="40">
        <v>0.64</v>
      </c>
      <c r="AS89" s="40">
        <v>0.31</v>
      </c>
      <c r="AT89" s="40">
        <v>0.3</v>
      </c>
      <c r="AU89" s="40">
        <v>0.24</v>
      </c>
      <c r="AV89" s="40">
        <v>0.28999999999999998</v>
      </c>
      <c r="AW89" s="246">
        <v>62</v>
      </c>
      <c r="AX89" s="246" t="s">
        <v>758</v>
      </c>
      <c r="AY89" s="246">
        <v>9</v>
      </c>
      <c r="AZ89" s="246" t="s">
        <v>758</v>
      </c>
      <c r="BA89" s="263">
        <v>0</v>
      </c>
      <c r="BB89" s="263">
        <v>0.18</v>
      </c>
      <c r="BC89" s="263">
        <v>0.5</v>
      </c>
      <c r="BD89" s="263">
        <v>0.32</v>
      </c>
      <c r="BE89" s="263">
        <v>0.33</v>
      </c>
      <c r="BF89" s="263">
        <v>0.23</v>
      </c>
      <c r="BG89" s="263">
        <v>0.4</v>
      </c>
      <c r="BH89" s="309">
        <v>64</v>
      </c>
      <c r="BI89" s="309" t="s">
        <v>759</v>
      </c>
      <c r="BJ89" s="309">
        <v>7</v>
      </c>
      <c r="BK89" s="309" t="s">
        <v>758</v>
      </c>
      <c r="BL89" s="327">
        <v>0</v>
      </c>
      <c r="BM89" s="327">
        <v>0.04</v>
      </c>
      <c r="BN89" s="327">
        <v>0.48</v>
      </c>
      <c r="BO89" s="327">
        <v>0.48</v>
      </c>
      <c r="BP89" s="327">
        <v>0.28999999999999998</v>
      </c>
      <c r="BQ89" s="327">
        <v>0.22</v>
      </c>
      <c r="BR89" s="327">
        <v>0.24</v>
      </c>
      <c r="BS89" s="424">
        <v>65</v>
      </c>
      <c r="BT89" s="424" t="s">
        <v>759</v>
      </c>
      <c r="BU89" s="424">
        <v>6</v>
      </c>
      <c r="BV89" s="424" t="s">
        <v>758</v>
      </c>
      <c r="BW89" s="428">
        <v>0</v>
      </c>
      <c r="BX89" s="428">
        <v>0</v>
      </c>
      <c r="BY89" s="428">
        <v>0.53</v>
      </c>
      <c r="BZ89" s="428">
        <v>0.47</v>
      </c>
      <c r="CA89" s="428">
        <v>0.2</v>
      </c>
      <c r="CB89" s="428">
        <v>0.27</v>
      </c>
      <c r="CC89" s="428">
        <v>0.3</v>
      </c>
      <c r="CD89" s="464">
        <v>65</v>
      </c>
      <c r="CE89" s="464" t="s">
        <v>759</v>
      </c>
      <c r="CF89" s="464">
        <v>7</v>
      </c>
      <c r="CG89" s="464" t="s">
        <v>758</v>
      </c>
      <c r="CH89" s="476">
        <v>0</v>
      </c>
      <c r="CI89" s="476">
        <v>0.04</v>
      </c>
      <c r="CJ89" s="476">
        <v>0.64</v>
      </c>
      <c r="CK89" s="476">
        <v>0.32</v>
      </c>
      <c r="CL89" s="476">
        <v>0.28999999999999998</v>
      </c>
      <c r="CM89" s="476">
        <v>0.28000000000000003</v>
      </c>
      <c r="CN89" s="476">
        <v>0.19</v>
      </c>
      <c r="CO89" s="902">
        <v>63</v>
      </c>
      <c r="CP89" s="902" t="s">
        <v>758</v>
      </c>
      <c r="CQ89" s="902">
        <v>7</v>
      </c>
      <c r="CR89" s="902" t="s">
        <v>758</v>
      </c>
      <c r="CS89" s="949">
        <v>0</v>
      </c>
      <c r="CT89" s="949">
        <v>0</v>
      </c>
      <c r="CU89" s="949">
        <v>0.6</v>
      </c>
      <c r="CV89" s="949">
        <v>0.4</v>
      </c>
      <c r="CW89" s="949">
        <v>0.15</v>
      </c>
      <c r="CX89" s="949">
        <v>0.26</v>
      </c>
      <c r="CY89" s="949">
        <v>0.41</v>
      </c>
      <c r="CZ89" s="26">
        <v>325754000046</v>
      </c>
      <c r="DA89" s="803" t="s">
        <v>64</v>
      </c>
    </row>
    <row r="90" spans="1:105" ht="24.95" customHeight="1" x14ac:dyDescent="0.2">
      <c r="A90" s="803" t="s">
        <v>801</v>
      </c>
      <c r="B90" s="14" t="s">
        <v>123</v>
      </c>
      <c r="C90" s="2">
        <v>6</v>
      </c>
      <c r="D90" s="12"/>
      <c r="E90" s="12"/>
      <c r="F90" s="63"/>
      <c r="G90" s="63"/>
      <c r="H90" s="63"/>
      <c r="I90" s="63"/>
      <c r="J90" s="63"/>
      <c r="K90" s="63"/>
      <c r="L90" s="63"/>
      <c r="M90" s="25"/>
      <c r="N90" s="25"/>
      <c r="O90" s="61"/>
      <c r="P90" s="61"/>
      <c r="Q90" s="61"/>
      <c r="R90" s="61"/>
      <c r="S90" s="61"/>
      <c r="T90" s="61"/>
      <c r="U90" s="61"/>
      <c r="V90" s="25"/>
      <c r="W90" s="25"/>
      <c r="X90" s="66"/>
      <c r="Y90" s="66"/>
      <c r="Z90" s="66"/>
      <c r="AA90" s="66"/>
      <c r="AB90" s="66"/>
      <c r="AC90" s="66"/>
      <c r="AD90" s="66"/>
      <c r="AE90" s="12"/>
      <c r="AF90" s="12"/>
      <c r="AG90" s="63"/>
      <c r="AH90" s="63"/>
      <c r="AI90" s="63"/>
      <c r="AJ90" s="63"/>
      <c r="AK90" s="63"/>
      <c r="AL90" s="63"/>
      <c r="AM90" s="63"/>
      <c r="AN90" s="35"/>
      <c r="AO90" s="35"/>
      <c r="AP90" s="40"/>
      <c r="AQ90" s="40"/>
      <c r="AR90" s="40"/>
      <c r="AS90" s="40"/>
      <c r="AT90" s="40"/>
      <c r="AU90" s="40"/>
      <c r="AV90" s="40"/>
      <c r="AW90" s="246"/>
      <c r="AX90" s="246"/>
      <c r="AY90" s="246"/>
      <c r="AZ90" s="246"/>
      <c r="BA90" s="263"/>
      <c r="BB90" s="263"/>
      <c r="BC90" s="263"/>
      <c r="BD90" s="263"/>
      <c r="BE90" s="263"/>
      <c r="BF90" s="263"/>
      <c r="BG90" s="263"/>
      <c r="BH90" s="309">
        <v>48</v>
      </c>
      <c r="BI90" s="309" t="s">
        <v>758</v>
      </c>
      <c r="BJ90" s="309">
        <v>10</v>
      </c>
      <c r="BK90" s="309" t="s">
        <v>758</v>
      </c>
      <c r="BL90" s="327">
        <v>0.06</v>
      </c>
      <c r="BM90" s="327">
        <v>0.59</v>
      </c>
      <c r="BN90" s="327">
        <v>0.28999999999999998</v>
      </c>
      <c r="BO90" s="327">
        <v>0.06</v>
      </c>
      <c r="BP90" s="327">
        <v>0.56000000000000005</v>
      </c>
      <c r="BQ90" s="327">
        <v>0.45</v>
      </c>
      <c r="BR90" s="327">
        <v>0.57999999999999996</v>
      </c>
      <c r="BS90" s="424">
        <v>53</v>
      </c>
      <c r="BT90" s="424" t="s">
        <v>758</v>
      </c>
      <c r="BU90" s="424">
        <v>0</v>
      </c>
      <c r="BV90" s="424" t="s">
        <v>760</v>
      </c>
      <c r="BW90" s="428">
        <v>0</v>
      </c>
      <c r="BX90" s="428">
        <v>0</v>
      </c>
      <c r="BY90" s="428">
        <v>1</v>
      </c>
      <c r="BZ90" s="428">
        <v>0</v>
      </c>
      <c r="CA90" s="428">
        <v>0.56000000000000005</v>
      </c>
      <c r="CB90" s="428">
        <v>0.36</v>
      </c>
      <c r="CC90" s="428">
        <v>0.42</v>
      </c>
      <c r="CD90" s="641"/>
      <c r="CE90" s="641"/>
      <c r="CF90" s="641"/>
      <c r="CG90" s="641"/>
      <c r="CH90" s="642"/>
      <c r="CI90" s="642"/>
      <c r="CJ90" s="642"/>
      <c r="CK90" s="642"/>
      <c r="CL90" s="642"/>
      <c r="CM90" s="642"/>
      <c r="CN90" s="642"/>
      <c r="CS90" s="949"/>
      <c r="CT90" s="949"/>
      <c r="CU90" s="949"/>
      <c r="CV90" s="949"/>
      <c r="CW90" s="949"/>
      <c r="CX90" s="949"/>
      <c r="CY90" s="949"/>
      <c r="CZ90" s="26"/>
      <c r="DA90" s="803" t="s">
        <v>801</v>
      </c>
    </row>
    <row r="91" spans="1:105" ht="24.95" customHeight="1" x14ac:dyDescent="0.2">
      <c r="A91" s="808" t="s">
        <v>162</v>
      </c>
      <c r="B91" s="1" t="s">
        <v>123</v>
      </c>
      <c r="C91" s="309">
        <v>3</v>
      </c>
      <c r="D91" s="328"/>
      <c r="E91" s="328"/>
      <c r="F91" s="328"/>
      <c r="G91" s="328"/>
      <c r="H91" s="328"/>
      <c r="I91" s="328"/>
      <c r="J91" s="328"/>
      <c r="K91" s="328"/>
      <c r="L91" s="328"/>
      <c r="M91" s="329"/>
      <c r="N91" s="329"/>
      <c r="O91" s="330"/>
      <c r="P91" s="330"/>
      <c r="Q91" s="330"/>
      <c r="R91" s="330"/>
      <c r="S91" s="330"/>
      <c r="T91" s="330"/>
      <c r="U91" s="330"/>
      <c r="V91" s="329"/>
      <c r="W91" s="329"/>
      <c r="X91" s="328"/>
      <c r="Y91" s="328"/>
      <c r="Z91" s="328"/>
      <c r="AA91" s="328"/>
      <c r="AB91" s="328"/>
      <c r="AC91" s="328"/>
      <c r="AD91" s="328"/>
      <c r="AE91" s="328"/>
      <c r="AF91" s="328"/>
      <c r="AG91" s="309"/>
      <c r="AH91" s="309"/>
      <c r="AI91" s="309"/>
      <c r="AJ91" s="309"/>
      <c r="AK91" s="309"/>
      <c r="AL91" s="309"/>
      <c r="AM91" s="309"/>
      <c r="AN91" s="311">
        <v>59</v>
      </c>
      <c r="AO91" s="311">
        <v>5</v>
      </c>
      <c r="AP91" s="331">
        <v>0</v>
      </c>
      <c r="AQ91" s="331">
        <v>0</v>
      </c>
      <c r="AR91" s="331">
        <v>1</v>
      </c>
      <c r="AS91" s="331">
        <v>0</v>
      </c>
      <c r="AT91" s="331">
        <v>0.36</v>
      </c>
      <c r="AU91" s="331">
        <v>0.24</v>
      </c>
      <c r="AV91" s="331">
        <v>0.36</v>
      </c>
      <c r="AW91" s="312">
        <v>62</v>
      </c>
      <c r="AX91" s="312" t="s">
        <v>758</v>
      </c>
      <c r="AY91" s="312">
        <v>6</v>
      </c>
      <c r="AZ91" s="312" t="s">
        <v>758</v>
      </c>
      <c r="BA91" s="332">
        <v>0</v>
      </c>
      <c r="BB91" s="332">
        <v>0</v>
      </c>
      <c r="BC91" s="332">
        <v>0.56000000000000005</v>
      </c>
      <c r="BD91" s="332">
        <v>0.44</v>
      </c>
      <c r="BE91" s="332">
        <v>0.27</v>
      </c>
      <c r="BF91" s="332">
        <v>0.23</v>
      </c>
      <c r="BG91" s="332">
        <v>0.41</v>
      </c>
      <c r="BH91" s="309">
        <v>64</v>
      </c>
      <c r="BI91" s="309" t="s">
        <v>759</v>
      </c>
      <c r="BJ91" s="309">
        <v>8</v>
      </c>
      <c r="BK91" s="309" t="s">
        <v>758</v>
      </c>
      <c r="BL91" s="327">
        <v>0</v>
      </c>
      <c r="BM91" s="327">
        <v>0.06</v>
      </c>
      <c r="BN91" s="327">
        <v>0.5</v>
      </c>
      <c r="BO91" s="327">
        <v>0.44</v>
      </c>
      <c r="BP91" s="327">
        <v>0.31</v>
      </c>
      <c r="BQ91" s="327">
        <v>0.23</v>
      </c>
      <c r="BR91" s="327">
        <v>0.25</v>
      </c>
      <c r="BS91" s="424">
        <v>62</v>
      </c>
      <c r="BT91" s="424" t="s">
        <v>758</v>
      </c>
      <c r="BU91" s="424">
        <v>5</v>
      </c>
      <c r="BV91" s="424" t="s">
        <v>760</v>
      </c>
      <c r="BW91" s="428">
        <v>0</v>
      </c>
      <c r="BX91" s="428">
        <v>0</v>
      </c>
      <c r="BY91" s="428">
        <v>0.9</v>
      </c>
      <c r="BZ91" s="428">
        <v>0.1</v>
      </c>
      <c r="CA91" s="428">
        <v>0.27</v>
      </c>
      <c r="CB91" s="428">
        <v>0.31</v>
      </c>
      <c r="CC91" s="428">
        <v>0.35</v>
      </c>
      <c r="CD91" s="654">
        <v>61</v>
      </c>
      <c r="CE91" s="654" t="s">
        <v>758</v>
      </c>
      <c r="CF91" s="654">
        <v>7</v>
      </c>
      <c r="CG91" s="654" t="s">
        <v>758</v>
      </c>
      <c r="CH91" s="655">
        <v>0</v>
      </c>
      <c r="CI91" s="655">
        <v>0.06</v>
      </c>
      <c r="CJ91" s="655">
        <v>0.61</v>
      </c>
      <c r="CK91" s="655">
        <v>0.33</v>
      </c>
      <c r="CL91" s="655">
        <v>0.36</v>
      </c>
      <c r="CM91" s="655">
        <v>0.35</v>
      </c>
      <c r="CN91" s="655">
        <v>0.22</v>
      </c>
      <c r="CO91" s="902">
        <v>62</v>
      </c>
      <c r="CP91" s="902" t="s">
        <v>758</v>
      </c>
      <c r="CQ91" s="902">
        <v>6</v>
      </c>
      <c r="CR91" s="902" t="s">
        <v>758</v>
      </c>
      <c r="CS91" s="949">
        <v>0</v>
      </c>
      <c r="CT91" s="949">
        <v>0</v>
      </c>
      <c r="CU91" s="949">
        <v>0.75</v>
      </c>
      <c r="CV91" s="949">
        <v>0.25</v>
      </c>
      <c r="CW91" s="949">
        <v>0.23</v>
      </c>
      <c r="CX91" s="949">
        <v>0.28999999999999998</v>
      </c>
      <c r="CY91" s="949">
        <v>0.4</v>
      </c>
      <c r="CZ91" s="26">
        <v>325754800018</v>
      </c>
      <c r="DA91" s="808" t="s">
        <v>162</v>
      </c>
    </row>
    <row r="92" spans="1:105" ht="24.95" customHeight="1" x14ac:dyDescent="0.2">
      <c r="A92" s="803" t="s">
        <v>134</v>
      </c>
      <c r="B92" s="1" t="s">
        <v>123</v>
      </c>
      <c r="C92" s="2">
        <v>5</v>
      </c>
      <c r="D92" s="12"/>
      <c r="E92" s="12"/>
      <c r="F92" s="12"/>
      <c r="G92" s="12"/>
      <c r="H92" s="12"/>
      <c r="I92" s="12"/>
      <c r="J92" s="12"/>
      <c r="K92" s="12"/>
      <c r="L92" s="12"/>
      <c r="M92" s="12" t="s">
        <v>126</v>
      </c>
      <c r="N92" s="12" t="s">
        <v>126</v>
      </c>
      <c r="O92" s="61"/>
      <c r="P92" s="61"/>
      <c r="Q92" s="61"/>
      <c r="R92" s="61"/>
      <c r="S92" s="61"/>
      <c r="T92" s="61"/>
      <c r="U92" s="61"/>
      <c r="V92" s="12" t="s">
        <v>126</v>
      </c>
      <c r="W92" s="12" t="s">
        <v>126</v>
      </c>
      <c r="X92" s="12"/>
      <c r="Y92" s="12"/>
      <c r="Z92" s="12"/>
      <c r="AA92" s="12"/>
      <c r="AB92" s="12"/>
      <c r="AC92" s="12"/>
      <c r="AD92" s="12"/>
      <c r="AE92" s="12">
        <v>54</v>
      </c>
      <c r="AF92" s="12">
        <v>7</v>
      </c>
      <c r="AG92" s="63">
        <v>0</v>
      </c>
      <c r="AH92" s="63">
        <v>0.33</v>
      </c>
      <c r="AI92" s="63">
        <v>0.67</v>
      </c>
      <c r="AJ92" s="63">
        <v>0</v>
      </c>
      <c r="AK92" s="63">
        <v>0.47</v>
      </c>
      <c r="AL92" s="63">
        <v>0.36</v>
      </c>
      <c r="AM92" s="63">
        <v>0.39</v>
      </c>
      <c r="AN92" s="41"/>
      <c r="AO92" s="41"/>
      <c r="AP92" s="41"/>
      <c r="AQ92" s="41"/>
      <c r="AR92" s="41"/>
      <c r="AS92" s="41"/>
      <c r="AT92" s="41"/>
      <c r="AU92" s="41"/>
      <c r="AV92" s="41"/>
      <c r="AW92" s="646"/>
      <c r="AX92" s="646"/>
      <c r="AY92" s="646"/>
      <c r="AZ92" s="646"/>
      <c r="BA92" s="646"/>
      <c r="BB92" s="646"/>
      <c r="BC92" s="646"/>
      <c r="BD92" s="646"/>
      <c r="BE92" s="646"/>
      <c r="BF92" s="646"/>
      <c r="BG92" s="646"/>
      <c r="BH92" s="649"/>
      <c r="BI92" s="649"/>
      <c r="BJ92" s="649"/>
      <c r="BK92" s="649"/>
      <c r="BL92" s="649"/>
      <c r="BM92" s="649"/>
      <c r="BN92" s="649"/>
      <c r="BO92" s="649"/>
      <c r="BP92" s="649"/>
      <c r="BQ92" s="649"/>
      <c r="BR92" s="649"/>
      <c r="BS92" s="651"/>
      <c r="BT92" s="651"/>
      <c r="BU92" s="651"/>
      <c r="BV92" s="651"/>
      <c r="BW92" s="651"/>
      <c r="BX92" s="651"/>
      <c r="BY92" s="651"/>
      <c r="BZ92" s="651"/>
      <c r="CA92" s="651"/>
      <c r="CB92" s="651"/>
      <c r="CC92" s="651"/>
      <c r="CD92" s="650"/>
      <c r="CE92" s="650"/>
      <c r="CF92" s="650"/>
      <c r="CG92" s="650"/>
      <c r="CH92" s="650"/>
      <c r="CI92" s="650"/>
      <c r="CJ92" s="650"/>
      <c r="CK92" s="650"/>
      <c r="CL92" s="650"/>
      <c r="CM92" s="650"/>
      <c r="CN92" s="650"/>
      <c r="CS92" s="949"/>
      <c r="CT92" s="949"/>
      <c r="CU92" s="949"/>
      <c r="CV92" s="949"/>
      <c r="CW92" s="949"/>
      <c r="CX92" s="949"/>
      <c r="CY92" s="949"/>
      <c r="CZ92" s="26"/>
      <c r="DA92" s="803" t="s">
        <v>134</v>
      </c>
    </row>
    <row r="93" spans="1:105" ht="24.95" customHeight="1" x14ac:dyDescent="0.2">
      <c r="A93" s="809" t="s">
        <v>86</v>
      </c>
      <c r="B93" s="1" t="s">
        <v>123</v>
      </c>
      <c r="C93" s="2">
        <v>2</v>
      </c>
      <c r="D93" s="12">
        <v>56</v>
      </c>
      <c r="E93" s="12">
        <v>7</v>
      </c>
      <c r="F93" s="63">
        <v>0</v>
      </c>
      <c r="G93" s="63">
        <v>0.28000000000000003</v>
      </c>
      <c r="H93" s="63">
        <v>0.62</v>
      </c>
      <c r="I93" s="63">
        <v>0.1</v>
      </c>
      <c r="J93" s="63">
        <v>0.39</v>
      </c>
      <c r="K93" s="63">
        <v>0.42</v>
      </c>
      <c r="L93" s="63">
        <v>0.51</v>
      </c>
      <c r="M93" s="25">
        <v>56</v>
      </c>
      <c r="N93" s="25">
        <v>7</v>
      </c>
      <c r="O93" s="61">
        <v>0</v>
      </c>
      <c r="P93" s="61">
        <v>0.2</v>
      </c>
      <c r="Q93" s="61">
        <v>0.7</v>
      </c>
      <c r="R93" s="61">
        <v>0.1</v>
      </c>
      <c r="S93" s="61">
        <v>0.39</v>
      </c>
      <c r="T93" s="61">
        <v>0.43</v>
      </c>
      <c r="U93" s="61">
        <v>0.44</v>
      </c>
      <c r="V93" s="25">
        <v>57</v>
      </c>
      <c r="W93" s="25">
        <v>10</v>
      </c>
      <c r="X93" s="66">
        <v>0.06</v>
      </c>
      <c r="Y93" s="66">
        <v>0.12</v>
      </c>
      <c r="Z93" s="66">
        <v>0.65</v>
      </c>
      <c r="AA93" s="66">
        <v>0.18</v>
      </c>
      <c r="AB93" s="66">
        <v>0.37</v>
      </c>
      <c r="AC93" s="66">
        <v>0.47</v>
      </c>
      <c r="AD93" s="66">
        <v>0.43</v>
      </c>
      <c r="AE93" s="12">
        <v>57</v>
      </c>
      <c r="AF93" s="12">
        <v>8</v>
      </c>
      <c r="AG93" s="63">
        <v>0.04</v>
      </c>
      <c r="AH93" s="63">
        <v>0.11</v>
      </c>
      <c r="AI93" s="63">
        <v>0.67</v>
      </c>
      <c r="AJ93" s="63">
        <v>0.19</v>
      </c>
      <c r="AK93" s="63">
        <v>0.41</v>
      </c>
      <c r="AL93" s="63">
        <v>0.31</v>
      </c>
      <c r="AM93" s="63">
        <v>0.34</v>
      </c>
      <c r="AN93" s="45">
        <v>56</v>
      </c>
      <c r="AO93" s="45">
        <v>8</v>
      </c>
      <c r="AP93" s="46">
        <v>0</v>
      </c>
      <c r="AQ93" s="46">
        <v>0.26</v>
      </c>
      <c r="AR93" s="46">
        <v>0.66</v>
      </c>
      <c r="AS93" s="46">
        <v>0.09</v>
      </c>
      <c r="AT93" s="46">
        <v>0.44</v>
      </c>
      <c r="AU93" s="46">
        <v>0.3</v>
      </c>
      <c r="AV93" s="46">
        <v>0.4</v>
      </c>
      <c r="AW93" s="647">
        <v>56</v>
      </c>
      <c r="AX93" s="647" t="s">
        <v>758</v>
      </c>
      <c r="AY93" s="647">
        <v>8</v>
      </c>
      <c r="AZ93" s="647" t="s">
        <v>758</v>
      </c>
      <c r="BA93" s="648">
        <v>0</v>
      </c>
      <c r="BB93" s="648">
        <v>0.23</v>
      </c>
      <c r="BC93" s="648">
        <v>0.62</v>
      </c>
      <c r="BD93" s="648">
        <v>0.15</v>
      </c>
      <c r="BE93" s="648">
        <v>0.39</v>
      </c>
      <c r="BF93" s="648">
        <v>0.3</v>
      </c>
      <c r="BG93" s="648">
        <v>0.49</v>
      </c>
      <c r="BH93" s="74">
        <v>56</v>
      </c>
      <c r="BI93" s="74" t="s">
        <v>758</v>
      </c>
      <c r="BJ93" s="74">
        <v>8</v>
      </c>
      <c r="BK93" s="74" t="s">
        <v>758</v>
      </c>
      <c r="BL93" s="96">
        <v>0.02</v>
      </c>
      <c r="BM93" s="96">
        <v>0.19</v>
      </c>
      <c r="BN93" s="96">
        <v>0.69</v>
      </c>
      <c r="BO93" s="96">
        <v>0.1</v>
      </c>
      <c r="BP93" s="96">
        <v>0.44</v>
      </c>
      <c r="BQ93" s="96">
        <v>0.31</v>
      </c>
      <c r="BR93" s="96">
        <v>0.41</v>
      </c>
      <c r="BS93" s="652">
        <v>57</v>
      </c>
      <c r="BT93" s="652" t="s">
        <v>758</v>
      </c>
      <c r="BU93" s="652">
        <v>8</v>
      </c>
      <c r="BV93" s="652" t="s">
        <v>758</v>
      </c>
      <c r="BW93" s="653">
        <v>0</v>
      </c>
      <c r="BX93" s="653">
        <v>0.15</v>
      </c>
      <c r="BY93" s="653">
        <v>0.7</v>
      </c>
      <c r="BZ93" s="653">
        <v>0.15</v>
      </c>
      <c r="CA93" s="653">
        <v>0.28000000000000003</v>
      </c>
      <c r="CB93" s="653">
        <v>0.45</v>
      </c>
      <c r="CC93" s="653">
        <v>0.43</v>
      </c>
      <c r="CD93" s="74">
        <v>58</v>
      </c>
      <c r="CE93" s="74" t="s">
        <v>758</v>
      </c>
      <c r="CF93" s="74">
        <v>9</v>
      </c>
      <c r="CG93" s="74" t="s">
        <v>758</v>
      </c>
      <c r="CH93" s="96">
        <v>0</v>
      </c>
      <c r="CI93" s="96">
        <v>0.2</v>
      </c>
      <c r="CJ93" s="96">
        <v>0.6</v>
      </c>
      <c r="CK93" s="96">
        <v>0.2</v>
      </c>
      <c r="CL93" s="96">
        <v>0.41</v>
      </c>
      <c r="CM93" s="96">
        <v>0.38</v>
      </c>
      <c r="CN93" s="96">
        <v>0.27</v>
      </c>
      <c r="CO93" s="902">
        <v>58</v>
      </c>
      <c r="CP93" s="902" t="s">
        <v>758</v>
      </c>
      <c r="CQ93" s="902">
        <v>7</v>
      </c>
      <c r="CR93" s="902" t="s">
        <v>758</v>
      </c>
      <c r="CS93" s="949">
        <v>0</v>
      </c>
      <c r="CT93" s="949">
        <v>0.11</v>
      </c>
      <c r="CU93" s="949">
        <v>0.71</v>
      </c>
      <c r="CV93" s="949">
        <v>0.17</v>
      </c>
      <c r="CW93" s="949">
        <v>0.26</v>
      </c>
      <c r="CX93" s="949">
        <v>0.38</v>
      </c>
      <c r="CY93" s="949">
        <v>0.46</v>
      </c>
      <c r="CZ93" s="26">
        <v>325754001450</v>
      </c>
      <c r="DA93" s="809" t="s">
        <v>86</v>
      </c>
    </row>
    <row r="94" spans="1:105" ht="24.95" customHeight="1" x14ac:dyDescent="0.2">
      <c r="A94" s="803" t="s">
        <v>77</v>
      </c>
      <c r="B94" s="1" t="s">
        <v>123</v>
      </c>
      <c r="C94" s="2">
        <v>4</v>
      </c>
      <c r="D94" s="12">
        <v>51</v>
      </c>
      <c r="E94" s="12">
        <v>6</v>
      </c>
      <c r="F94" s="63">
        <v>0</v>
      </c>
      <c r="G94" s="63">
        <v>0.38</v>
      </c>
      <c r="H94" s="63">
        <v>0.62</v>
      </c>
      <c r="I94" s="63">
        <v>0</v>
      </c>
      <c r="J94" s="63">
        <v>0.46</v>
      </c>
      <c r="K94" s="63">
        <v>0.54</v>
      </c>
      <c r="L94" s="63">
        <v>0.57999999999999996</v>
      </c>
      <c r="M94" s="25">
        <v>56</v>
      </c>
      <c r="N94" s="25">
        <v>9</v>
      </c>
      <c r="O94" s="61">
        <v>0.03</v>
      </c>
      <c r="P94" s="61">
        <v>0.14000000000000001</v>
      </c>
      <c r="Q94" s="61">
        <v>0.75</v>
      </c>
      <c r="R94" s="61">
        <v>0.08</v>
      </c>
      <c r="S94" s="61">
        <v>0.37</v>
      </c>
      <c r="T94" s="61">
        <v>0.44</v>
      </c>
      <c r="U94" s="61">
        <v>0.45</v>
      </c>
      <c r="V94" s="25">
        <v>54</v>
      </c>
      <c r="W94" s="25">
        <v>7</v>
      </c>
      <c r="X94" s="66">
        <v>0</v>
      </c>
      <c r="Y94" s="66">
        <v>0.28000000000000003</v>
      </c>
      <c r="Z94" s="66">
        <v>0.67</v>
      </c>
      <c r="AA94" s="66">
        <v>0.06</v>
      </c>
      <c r="AB94" s="66">
        <v>0.43</v>
      </c>
      <c r="AC94" s="66">
        <v>0.48</v>
      </c>
      <c r="AD94" s="66">
        <v>0.52</v>
      </c>
      <c r="AE94" s="12">
        <v>54</v>
      </c>
      <c r="AF94" s="12">
        <v>9</v>
      </c>
      <c r="AG94" s="63">
        <v>0.04</v>
      </c>
      <c r="AH94" s="63">
        <v>0.26</v>
      </c>
      <c r="AI94" s="63">
        <v>0.62</v>
      </c>
      <c r="AJ94" s="63">
        <v>0.08</v>
      </c>
      <c r="AK94" s="63">
        <v>0.41</v>
      </c>
      <c r="AL94" s="63">
        <v>0.37</v>
      </c>
      <c r="AM94" s="63">
        <v>0.42</v>
      </c>
      <c r="AN94" s="35">
        <v>56</v>
      </c>
      <c r="AO94" s="35">
        <v>10</v>
      </c>
      <c r="AP94" s="40">
        <v>0.05</v>
      </c>
      <c r="AQ94" s="40">
        <v>0.26</v>
      </c>
      <c r="AR94" s="40">
        <v>0.54</v>
      </c>
      <c r="AS94" s="40">
        <v>0.15</v>
      </c>
      <c r="AT94" s="40">
        <v>0.43</v>
      </c>
      <c r="AU94" s="40">
        <v>0.34</v>
      </c>
      <c r="AV94" s="40">
        <v>0.38</v>
      </c>
      <c r="AW94" s="246">
        <v>54</v>
      </c>
      <c r="AX94" s="246" t="s">
        <v>758</v>
      </c>
      <c r="AY94" s="246">
        <v>9</v>
      </c>
      <c r="AZ94" s="246" t="s">
        <v>758</v>
      </c>
      <c r="BA94" s="263">
        <v>0</v>
      </c>
      <c r="BB94" s="263">
        <v>0.36</v>
      </c>
      <c r="BC94" s="263">
        <v>0.53</v>
      </c>
      <c r="BD94" s="263">
        <v>0.11</v>
      </c>
      <c r="BE94" s="263">
        <v>0.41</v>
      </c>
      <c r="BF94" s="263">
        <v>0.36</v>
      </c>
      <c r="BG94" s="263">
        <v>0.54</v>
      </c>
      <c r="BH94" s="309">
        <v>57</v>
      </c>
      <c r="BI94" s="309" t="s">
        <v>758</v>
      </c>
      <c r="BJ94" s="309">
        <v>9</v>
      </c>
      <c r="BK94" s="309" t="s">
        <v>758</v>
      </c>
      <c r="BL94" s="327">
        <v>0</v>
      </c>
      <c r="BM94" s="327">
        <v>0.25</v>
      </c>
      <c r="BN94" s="327">
        <v>0.52</v>
      </c>
      <c r="BO94" s="327">
        <v>0.23</v>
      </c>
      <c r="BP94" s="327">
        <v>0.39</v>
      </c>
      <c r="BQ94" s="327">
        <v>0.28999999999999998</v>
      </c>
      <c r="BR94" s="327">
        <v>0.43</v>
      </c>
      <c r="BS94" s="424">
        <v>53</v>
      </c>
      <c r="BT94" s="424" t="s">
        <v>758</v>
      </c>
      <c r="BU94" s="424">
        <v>10</v>
      </c>
      <c r="BV94" s="424" t="s">
        <v>758</v>
      </c>
      <c r="BW94" s="428">
        <v>0.04</v>
      </c>
      <c r="BX94" s="428">
        <v>0.37</v>
      </c>
      <c r="BY94" s="428">
        <v>0.49</v>
      </c>
      <c r="BZ94" s="428">
        <v>0.09</v>
      </c>
      <c r="CA94" s="428">
        <v>0.38</v>
      </c>
      <c r="CB94" s="428">
        <v>0.49</v>
      </c>
      <c r="CC94" s="428">
        <v>0.5</v>
      </c>
      <c r="CD94" s="464">
        <v>58</v>
      </c>
      <c r="CE94" s="464" t="s">
        <v>758</v>
      </c>
      <c r="CF94" s="464">
        <v>9</v>
      </c>
      <c r="CG94" s="464" t="s">
        <v>758</v>
      </c>
      <c r="CH94" s="476">
        <v>0.01</v>
      </c>
      <c r="CI94" s="476">
        <v>0.2</v>
      </c>
      <c r="CJ94" s="476">
        <v>0.63</v>
      </c>
      <c r="CK94" s="476">
        <v>0.16</v>
      </c>
      <c r="CL94" s="476">
        <v>0.38</v>
      </c>
      <c r="CM94" s="476">
        <v>0.4</v>
      </c>
      <c r="CN94" s="476">
        <v>0.31</v>
      </c>
      <c r="CO94" s="902">
        <v>58</v>
      </c>
      <c r="CP94" s="902" t="s">
        <v>758</v>
      </c>
      <c r="CQ94" s="902">
        <v>8</v>
      </c>
      <c r="CR94" s="902" t="s">
        <v>758</v>
      </c>
      <c r="CS94" s="949">
        <v>0</v>
      </c>
      <c r="CT94" s="949">
        <v>0.2</v>
      </c>
      <c r="CU94" s="949">
        <v>0.63</v>
      </c>
      <c r="CV94" s="949">
        <v>0.18</v>
      </c>
      <c r="CW94" s="949">
        <v>0.26</v>
      </c>
      <c r="CX94" s="949">
        <v>0.4</v>
      </c>
      <c r="CY94" s="949">
        <v>0.48</v>
      </c>
      <c r="CZ94" s="26">
        <v>325754004521</v>
      </c>
      <c r="DA94" s="803" t="s">
        <v>77</v>
      </c>
    </row>
    <row r="95" spans="1:105" ht="24.95" customHeight="1" x14ac:dyDescent="0.2">
      <c r="A95" s="803" t="s">
        <v>58</v>
      </c>
      <c r="B95" s="1" t="s">
        <v>123</v>
      </c>
      <c r="C95" s="2">
        <v>2</v>
      </c>
      <c r="D95" s="12">
        <v>63</v>
      </c>
      <c r="E95" s="12">
        <v>8</v>
      </c>
      <c r="F95" s="63">
        <v>0</v>
      </c>
      <c r="G95" s="63">
        <v>0</v>
      </c>
      <c r="H95" s="63">
        <v>0.56999999999999995</v>
      </c>
      <c r="I95" s="63">
        <v>0.43</v>
      </c>
      <c r="J95" s="63">
        <v>0.33</v>
      </c>
      <c r="K95" s="63">
        <v>0.31</v>
      </c>
      <c r="L95" s="63">
        <v>0.3</v>
      </c>
      <c r="M95" s="25">
        <v>48</v>
      </c>
      <c r="N95" s="25">
        <v>5</v>
      </c>
      <c r="O95" s="61">
        <v>0</v>
      </c>
      <c r="P95" s="61">
        <v>0.78</v>
      </c>
      <c r="Q95" s="61">
        <v>0.22</v>
      </c>
      <c r="R95" s="61">
        <v>0</v>
      </c>
      <c r="S95" s="61">
        <v>0.53</v>
      </c>
      <c r="T95" s="61">
        <v>0.52</v>
      </c>
      <c r="U95" s="61">
        <v>0.6</v>
      </c>
      <c r="V95" s="25">
        <v>44</v>
      </c>
      <c r="W95" s="25">
        <v>8</v>
      </c>
      <c r="X95" s="66">
        <v>0</v>
      </c>
      <c r="Y95" s="66">
        <v>0.83</v>
      </c>
      <c r="Z95" s="66">
        <v>0.17</v>
      </c>
      <c r="AA95" s="66">
        <v>0</v>
      </c>
      <c r="AB95" s="66">
        <v>0.62</v>
      </c>
      <c r="AC95" s="66">
        <v>0.56999999999999995</v>
      </c>
      <c r="AD95" s="66">
        <v>0.65</v>
      </c>
      <c r="AE95" s="12">
        <v>51</v>
      </c>
      <c r="AF95" s="12">
        <v>8</v>
      </c>
      <c r="AG95" s="63">
        <v>0</v>
      </c>
      <c r="AH95" s="63">
        <v>0.56000000000000005</v>
      </c>
      <c r="AI95" s="63">
        <v>0.33</v>
      </c>
      <c r="AJ95" s="63">
        <v>0.11</v>
      </c>
      <c r="AK95" s="63">
        <v>0.45</v>
      </c>
      <c r="AL95" s="63">
        <v>0.43</v>
      </c>
      <c r="AM95" s="63">
        <v>0.56999999999999995</v>
      </c>
      <c r="AN95" s="35">
        <v>49</v>
      </c>
      <c r="AO95" s="35">
        <v>6</v>
      </c>
      <c r="AP95" s="40">
        <v>0.09</v>
      </c>
      <c r="AQ95" s="40">
        <v>0.36</v>
      </c>
      <c r="AR95" s="40">
        <v>0.55000000000000004</v>
      </c>
      <c r="AS95" s="40">
        <v>0</v>
      </c>
      <c r="AT95" s="40">
        <v>0.53</v>
      </c>
      <c r="AU95" s="40">
        <v>0.43</v>
      </c>
      <c r="AV95" s="40">
        <v>0.56000000000000005</v>
      </c>
      <c r="AW95" s="246">
        <v>50</v>
      </c>
      <c r="AX95" s="246" t="s">
        <v>758</v>
      </c>
      <c r="AY95" s="246">
        <v>8</v>
      </c>
      <c r="AZ95" s="246" t="s">
        <v>758</v>
      </c>
      <c r="BA95" s="263">
        <v>0</v>
      </c>
      <c r="BB95" s="263">
        <v>0.5</v>
      </c>
      <c r="BC95" s="263">
        <v>0.5</v>
      </c>
      <c r="BD95" s="263">
        <v>0</v>
      </c>
      <c r="BE95" s="263">
        <v>0.55000000000000004</v>
      </c>
      <c r="BF95" s="263">
        <v>0.39</v>
      </c>
      <c r="BG95" s="263">
        <v>0.64</v>
      </c>
      <c r="BH95" s="309">
        <v>52</v>
      </c>
      <c r="BI95" s="309" t="s">
        <v>758</v>
      </c>
      <c r="BJ95" s="309">
        <v>13</v>
      </c>
      <c r="BK95" s="309" t="s">
        <v>759</v>
      </c>
      <c r="BL95" s="327">
        <v>0</v>
      </c>
      <c r="BM95" s="327">
        <v>0.33</v>
      </c>
      <c r="BN95" s="327">
        <v>0.67</v>
      </c>
      <c r="BO95" s="327">
        <v>0</v>
      </c>
      <c r="BP95" s="327">
        <v>0.53</v>
      </c>
      <c r="BQ95" s="327">
        <v>0.35</v>
      </c>
      <c r="BR95" s="327">
        <v>0.45</v>
      </c>
      <c r="BS95" s="424">
        <v>55</v>
      </c>
      <c r="BT95" s="424" t="s">
        <v>758</v>
      </c>
      <c r="BU95" s="424">
        <v>11</v>
      </c>
      <c r="BV95" s="424" t="s">
        <v>758</v>
      </c>
      <c r="BW95" s="428">
        <v>0.13</v>
      </c>
      <c r="BX95" s="428">
        <v>0.13</v>
      </c>
      <c r="BY95" s="428">
        <v>0.63</v>
      </c>
      <c r="BZ95" s="428">
        <v>0.13</v>
      </c>
      <c r="CA95" s="428">
        <v>0.36</v>
      </c>
      <c r="CB95" s="428">
        <v>0.44</v>
      </c>
      <c r="CC95" s="428">
        <v>0.42</v>
      </c>
      <c r="CD95" s="464">
        <v>60</v>
      </c>
      <c r="CE95" s="464" t="s">
        <v>758</v>
      </c>
      <c r="CF95" s="464">
        <v>4</v>
      </c>
      <c r="CG95" s="464" t="s">
        <v>760</v>
      </c>
      <c r="CH95" s="476">
        <v>0</v>
      </c>
      <c r="CI95" s="476">
        <v>0</v>
      </c>
      <c r="CJ95" s="476">
        <v>0.83</v>
      </c>
      <c r="CK95" s="476">
        <v>0.17</v>
      </c>
      <c r="CL95" s="476">
        <v>0.32</v>
      </c>
      <c r="CM95" s="476">
        <v>0.37</v>
      </c>
      <c r="CN95" s="476">
        <v>0.31</v>
      </c>
      <c r="CO95" s="902">
        <v>53</v>
      </c>
      <c r="CP95" s="902" t="s">
        <v>758</v>
      </c>
      <c r="CQ95" s="902">
        <v>7</v>
      </c>
      <c r="CR95" s="902" t="s">
        <v>758</v>
      </c>
      <c r="CS95" s="949">
        <v>0</v>
      </c>
      <c r="CT95" s="949">
        <v>0.2</v>
      </c>
      <c r="CU95" s="949">
        <v>0.8</v>
      </c>
      <c r="CV95" s="949">
        <v>0</v>
      </c>
      <c r="CW95" s="949">
        <v>0.33</v>
      </c>
      <c r="CX95" s="949">
        <v>0.46</v>
      </c>
      <c r="CY95" s="949">
        <v>0.6</v>
      </c>
      <c r="CZ95" s="26">
        <v>325754005129</v>
      </c>
      <c r="DA95" s="803" t="s">
        <v>58</v>
      </c>
    </row>
    <row r="96" spans="1:105" ht="24.95" customHeight="1" x14ac:dyDescent="0.2">
      <c r="A96" s="803" t="s">
        <v>100</v>
      </c>
      <c r="B96" s="1" t="s">
        <v>123</v>
      </c>
      <c r="C96" s="2">
        <v>3</v>
      </c>
      <c r="D96" s="12">
        <v>58</v>
      </c>
      <c r="E96" s="12">
        <v>6</v>
      </c>
      <c r="F96" s="63">
        <v>0</v>
      </c>
      <c r="G96" s="63">
        <v>0.13</v>
      </c>
      <c r="H96" s="63">
        <v>0.77</v>
      </c>
      <c r="I96" s="63">
        <v>0.1</v>
      </c>
      <c r="J96" s="63">
        <v>0.34</v>
      </c>
      <c r="K96" s="63">
        <v>0.36</v>
      </c>
      <c r="L96" s="63">
        <v>0.49</v>
      </c>
      <c r="M96" s="25">
        <v>60</v>
      </c>
      <c r="N96" s="25">
        <v>7</v>
      </c>
      <c r="O96" s="61">
        <v>0</v>
      </c>
      <c r="P96" s="61">
        <v>0.09</v>
      </c>
      <c r="Q96" s="61">
        <v>0.69</v>
      </c>
      <c r="R96" s="61">
        <v>0.22</v>
      </c>
      <c r="S96" s="61">
        <v>0.3</v>
      </c>
      <c r="T96" s="61">
        <v>0.36</v>
      </c>
      <c r="U96" s="61">
        <v>0.39</v>
      </c>
      <c r="V96" s="25">
        <v>57</v>
      </c>
      <c r="W96" s="25">
        <v>8</v>
      </c>
      <c r="X96" s="66">
        <v>0</v>
      </c>
      <c r="Y96" s="66">
        <v>0.22</v>
      </c>
      <c r="Z96" s="66">
        <v>0.56000000000000005</v>
      </c>
      <c r="AA96" s="66">
        <v>0.22</v>
      </c>
      <c r="AB96" s="66">
        <v>0.36</v>
      </c>
      <c r="AC96" s="66">
        <v>0.42</v>
      </c>
      <c r="AD96" s="66">
        <v>0.46</v>
      </c>
      <c r="AE96" s="12">
        <v>56</v>
      </c>
      <c r="AF96" s="12">
        <v>9</v>
      </c>
      <c r="AG96" s="63">
        <v>0.02</v>
      </c>
      <c r="AH96" s="63">
        <v>0.25</v>
      </c>
      <c r="AI96" s="63">
        <v>0.63</v>
      </c>
      <c r="AJ96" s="63">
        <v>0.1</v>
      </c>
      <c r="AK96" s="63">
        <v>0.4</v>
      </c>
      <c r="AL96" s="63">
        <v>0.33</v>
      </c>
      <c r="AM96" s="63">
        <v>0.39</v>
      </c>
      <c r="AN96" s="35">
        <v>56</v>
      </c>
      <c r="AO96" s="35">
        <v>9</v>
      </c>
      <c r="AP96" s="40">
        <v>0.06</v>
      </c>
      <c r="AQ96" s="40">
        <v>0.14000000000000001</v>
      </c>
      <c r="AR96" s="40">
        <v>0.68</v>
      </c>
      <c r="AS96" s="40">
        <v>0.11</v>
      </c>
      <c r="AT96" s="40">
        <v>0.45</v>
      </c>
      <c r="AU96" s="40">
        <v>0.31</v>
      </c>
      <c r="AV96" s="40">
        <v>0.37</v>
      </c>
      <c r="AW96" s="246">
        <v>59</v>
      </c>
      <c r="AX96" s="246" t="s">
        <v>758</v>
      </c>
      <c r="AY96" s="246">
        <v>7</v>
      </c>
      <c r="AZ96" s="246" t="s">
        <v>758</v>
      </c>
      <c r="BA96" s="263">
        <v>0</v>
      </c>
      <c r="BB96" s="263">
        <v>0.12</v>
      </c>
      <c r="BC96" s="263">
        <v>0.7</v>
      </c>
      <c r="BD96" s="263">
        <v>0.18</v>
      </c>
      <c r="BE96" s="263">
        <v>0.35</v>
      </c>
      <c r="BF96" s="263">
        <v>0.26</v>
      </c>
      <c r="BG96" s="263">
        <v>0.48</v>
      </c>
      <c r="BH96" s="309">
        <v>58</v>
      </c>
      <c r="BI96" s="309" t="s">
        <v>758</v>
      </c>
      <c r="BJ96" s="309">
        <v>8</v>
      </c>
      <c r="BK96" s="309" t="s">
        <v>758</v>
      </c>
      <c r="BL96" s="327">
        <v>0</v>
      </c>
      <c r="BM96" s="327">
        <v>0.15</v>
      </c>
      <c r="BN96" s="327">
        <v>0.73</v>
      </c>
      <c r="BO96" s="327">
        <v>0.12</v>
      </c>
      <c r="BP96" s="327">
        <v>0.41</v>
      </c>
      <c r="BQ96" s="327">
        <v>0.28000000000000003</v>
      </c>
      <c r="BR96" s="327">
        <v>0.36</v>
      </c>
      <c r="BS96" s="424">
        <v>58</v>
      </c>
      <c r="BT96" s="424" t="s">
        <v>758</v>
      </c>
      <c r="BU96" s="424">
        <v>8</v>
      </c>
      <c r="BV96" s="424" t="s">
        <v>758</v>
      </c>
      <c r="BW96" s="428">
        <v>0</v>
      </c>
      <c r="BX96" s="428">
        <v>0.2</v>
      </c>
      <c r="BY96" s="428">
        <v>0.61</v>
      </c>
      <c r="BZ96" s="428">
        <v>0.19</v>
      </c>
      <c r="CA96" s="428">
        <v>0.3</v>
      </c>
      <c r="CB96" s="428">
        <v>0.38</v>
      </c>
      <c r="CC96" s="428">
        <v>0.43</v>
      </c>
      <c r="CD96" s="464">
        <v>58</v>
      </c>
      <c r="CE96" s="464" t="s">
        <v>758</v>
      </c>
      <c r="CF96" s="464">
        <v>8</v>
      </c>
      <c r="CG96" s="464" t="s">
        <v>758</v>
      </c>
      <c r="CH96" s="476">
        <v>0</v>
      </c>
      <c r="CI96" s="476">
        <v>0.17</v>
      </c>
      <c r="CJ96" s="476">
        <v>0.7</v>
      </c>
      <c r="CK96" s="476">
        <v>0.13</v>
      </c>
      <c r="CL96" s="476">
        <v>0.41</v>
      </c>
      <c r="CM96" s="476">
        <v>0.39</v>
      </c>
      <c r="CN96" s="476">
        <v>0.28999999999999998</v>
      </c>
      <c r="CO96" s="902">
        <v>59</v>
      </c>
      <c r="CP96" s="902" t="s">
        <v>758</v>
      </c>
      <c r="CQ96" s="902">
        <v>8</v>
      </c>
      <c r="CR96" s="902" t="s">
        <v>758</v>
      </c>
      <c r="CS96" s="949">
        <v>0</v>
      </c>
      <c r="CT96" s="949">
        <v>0.17</v>
      </c>
      <c r="CU96" s="949">
        <v>0.64</v>
      </c>
      <c r="CV96" s="949">
        <v>0.19</v>
      </c>
      <c r="CW96" s="949">
        <v>0.24</v>
      </c>
      <c r="CX96" s="949">
        <v>0.37</v>
      </c>
      <c r="CY96" s="949">
        <v>0.43</v>
      </c>
      <c r="CZ96" s="26">
        <v>325754003461</v>
      </c>
      <c r="DA96" s="803" t="s">
        <v>100</v>
      </c>
    </row>
    <row r="97" spans="1:105" ht="24.95" customHeight="1" x14ac:dyDescent="0.2">
      <c r="A97" s="803" t="s">
        <v>95</v>
      </c>
      <c r="B97" s="1" t="s">
        <v>123</v>
      </c>
      <c r="C97" s="2">
        <v>2</v>
      </c>
      <c r="D97" s="12">
        <v>56</v>
      </c>
      <c r="E97" s="12">
        <v>6</v>
      </c>
      <c r="F97" s="63">
        <v>0</v>
      </c>
      <c r="G97" s="63">
        <v>0.24</v>
      </c>
      <c r="H97" s="63">
        <v>0.68</v>
      </c>
      <c r="I97" s="63">
        <v>7.0000000000000007E-2</v>
      </c>
      <c r="J97" s="63">
        <v>0.41</v>
      </c>
      <c r="K97" s="63">
        <v>0.41</v>
      </c>
      <c r="L97" s="63">
        <v>0.54</v>
      </c>
      <c r="M97" s="25">
        <v>57</v>
      </c>
      <c r="N97" s="25">
        <v>9</v>
      </c>
      <c r="O97" s="61">
        <v>0</v>
      </c>
      <c r="P97" s="61">
        <v>0.25</v>
      </c>
      <c r="Q97" s="61">
        <v>0.56000000000000005</v>
      </c>
      <c r="R97" s="61">
        <v>0.19</v>
      </c>
      <c r="S97" s="61">
        <v>0.33</v>
      </c>
      <c r="T97" s="61">
        <v>0.46</v>
      </c>
      <c r="U97" s="61">
        <v>0.43</v>
      </c>
      <c r="V97" s="25">
        <v>54</v>
      </c>
      <c r="W97" s="25">
        <v>7</v>
      </c>
      <c r="X97" s="66">
        <v>0</v>
      </c>
      <c r="Y97" s="66">
        <v>0.3</v>
      </c>
      <c r="Z97" s="66">
        <v>0.7</v>
      </c>
      <c r="AA97" s="66">
        <v>0</v>
      </c>
      <c r="AB97" s="66">
        <v>0.44</v>
      </c>
      <c r="AC97" s="66">
        <v>0.46</v>
      </c>
      <c r="AD97" s="66">
        <v>0.47</v>
      </c>
      <c r="AE97" s="12">
        <v>54</v>
      </c>
      <c r="AF97" s="12">
        <v>9</v>
      </c>
      <c r="AG97" s="63">
        <v>0.05</v>
      </c>
      <c r="AH97" s="63">
        <v>0.24</v>
      </c>
      <c r="AI97" s="63">
        <v>0.68</v>
      </c>
      <c r="AJ97" s="63">
        <v>0.03</v>
      </c>
      <c r="AK97" s="63">
        <v>0.42</v>
      </c>
      <c r="AL97" s="63">
        <v>0.37</v>
      </c>
      <c r="AM97" s="63">
        <v>0.4</v>
      </c>
      <c r="AN97" s="35">
        <v>56</v>
      </c>
      <c r="AO97" s="35">
        <v>7</v>
      </c>
      <c r="AP97" s="40">
        <v>0</v>
      </c>
      <c r="AQ97" s="40">
        <v>0.2</v>
      </c>
      <c r="AR97" s="40">
        <v>0.71</v>
      </c>
      <c r="AS97" s="40">
        <v>0.08</v>
      </c>
      <c r="AT97" s="40">
        <v>0.42</v>
      </c>
      <c r="AU97" s="40">
        <v>0.33</v>
      </c>
      <c r="AV97" s="40">
        <v>0.37</v>
      </c>
      <c r="AW97" s="246">
        <v>58</v>
      </c>
      <c r="AX97" s="246" t="s">
        <v>758</v>
      </c>
      <c r="AY97" s="246">
        <v>11</v>
      </c>
      <c r="AZ97" s="246" t="s">
        <v>758</v>
      </c>
      <c r="BA97" s="263">
        <v>0.04</v>
      </c>
      <c r="BB97" s="263">
        <v>0.19</v>
      </c>
      <c r="BC97" s="263">
        <v>0.55000000000000004</v>
      </c>
      <c r="BD97" s="263">
        <v>0.23</v>
      </c>
      <c r="BE97" s="263">
        <v>0.38</v>
      </c>
      <c r="BF97" s="263">
        <v>0.3</v>
      </c>
      <c r="BG97" s="263">
        <v>0.45</v>
      </c>
      <c r="BH97" s="309">
        <v>60</v>
      </c>
      <c r="BI97" s="309" t="s">
        <v>758</v>
      </c>
      <c r="BJ97" s="309">
        <v>7</v>
      </c>
      <c r="BK97" s="309" t="s">
        <v>758</v>
      </c>
      <c r="BL97" s="327">
        <v>0</v>
      </c>
      <c r="BM97" s="327">
        <v>0.11</v>
      </c>
      <c r="BN97" s="327">
        <v>0.7</v>
      </c>
      <c r="BO97" s="327">
        <v>0.19</v>
      </c>
      <c r="BP97" s="327">
        <v>0.39</v>
      </c>
      <c r="BQ97" s="327">
        <v>0.26</v>
      </c>
      <c r="BR97" s="327">
        <v>0.34</v>
      </c>
      <c r="BS97" s="424">
        <v>58</v>
      </c>
      <c r="BT97" s="424" t="s">
        <v>758</v>
      </c>
      <c r="BU97" s="424">
        <v>8</v>
      </c>
      <c r="BV97" s="424" t="s">
        <v>758</v>
      </c>
      <c r="BW97" s="428">
        <v>0</v>
      </c>
      <c r="BX97" s="428">
        <v>0.26</v>
      </c>
      <c r="BY97" s="428">
        <v>0.56000000000000005</v>
      </c>
      <c r="BZ97" s="428">
        <v>0.18</v>
      </c>
      <c r="CA97" s="428">
        <v>0.31</v>
      </c>
      <c r="CB97" s="428">
        <v>0.39</v>
      </c>
      <c r="CC97" s="428">
        <v>0.45</v>
      </c>
      <c r="CD97" s="464">
        <v>57</v>
      </c>
      <c r="CE97" s="464" t="s">
        <v>758</v>
      </c>
      <c r="CF97" s="464">
        <v>8</v>
      </c>
      <c r="CG97" s="464" t="s">
        <v>758</v>
      </c>
      <c r="CH97" s="476">
        <v>0</v>
      </c>
      <c r="CI97" s="476">
        <v>0.17</v>
      </c>
      <c r="CJ97" s="476">
        <v>0.69</v>
      </c>
      <c r="CK97" s="476">
        <v>0.14000000000000001</v>
      </c>
      <c r="CL97" s="476">
        <v>0.42</v>
      </c>
      <c r="CM97" s="476">
        <v>0.39</v>
      </c>
      <c r="CN97" s="476">
        <v>0.28999999999999998</v>
      </c>
      <c r="CO97" s="902">
        <v>55</v>
      </c>
      <c r="CP97" s="902" t="s">
        <v>758</v>
      </c>
      <c r="CQ97" s="902">
        <v>8</v>
      </c>
      <c r="CR97" s="902" t="s">
        <v>758</v>
      </c>
      <c r="CS97" s="949">
        <v>0</v>
      </c>
      <c r="CT97" s="949">
        <v>0.33</v>
      </c>
      <c r="CU97" s="949">
        <v>0.56000000000000005</v>
      </c>
      <c r="CV97" s="949">
        <v>0.11</v>
      </c>
      <c r="CW97" s="949">
        <v>0.3</v>
      </c>
      <c r="CX97" s="949">
        <v>0.45</v>
      </c>
      <c r="CY97" s="949">
        <v>0.51</v>
      </c>
      <c r="CZ97" s="26">
        <v>325754005161</v>
      </c>
      <c r="DA97" s="803" t="s">
        <v>95</v>
      </c>
    </row>
    <row r="98" spans="1:105" ht="24.95" customHeight="1" x14ac:dyDescent="0.2">
      <c r="A98" s="803" t="s">
        <v>47</v>
      </c>
      <c r="B98" s="1" t="s">
        <v>123</v>
      </c>
      <c r="C98" s="2">
        <v>2</v>
      </c>
      <c r="D98" s="12">
        <v>54</v>
      </c>
      <c r="E98" s="12">
        <v>10</v>
      </c>
      <c r="F98" s="63">
        <v>0.06</v>
      </c>
      <c r="G98" s="63">
        <v>0.24</v>
      </c>
      <c r="H98" s="63">
        <v>0.53</v>
      </c>
      <c r="I98" s="63">
        <v>0.18</v>
      </c>
      <c r="J98" s="63">
        <v>0.43</v>
      </c>
      <c r="K98" s="63">
        <v>0.52</v>
      </c>
      <c r="L98" s="63">
        <v>0.52</v>
      </c>
      <c r="M98" s="25">
        <v>49</v>
      </c>
      <c r="N98" s="25">
        <v>8</v>
      </c>
      <c r="O98" s="61">
        <v>0.06</v>
      </c>
      <c r="P98" s="61">
        <v>0.41</v>
      </c>
      <c r="Q98" s="61">
        <v>0.53</v>
      </c>
      <c r="R98" s="61">
        <v>0</v>
      </c>
      <c r="S98" s="61">
        <v>0.55000000000000004</v>
      </c>
      <c r="T98" s="61">
        <v>0.56000000000000005</v>
      </c>
      <c r="U98" s="61">
        <v>0.55000000000000004</v>
      </c>
      <c r="V98" s="25">
        <v>53</v>
      </c>
      <c r="W98" s="25">
        <v>9</v>
      </c>
      <c r="X98" s="66">
        <v>0</v>
      </c>
      <c r="Y98" s="66">
        <v>0.47</v>
      </c>
      <c r="Z98" s="66">
        <v>0.53</v>
      </c>
      <c r="AA98" s="66">
        <v>0</v>
      </c>
      <c r="AB98" s="66">
        <v>0.45</v>
      </c>
      <c r="AC98" s="66">
        <v>0.55000000000000004</v>
      </c>
      <c r="AD98" s="66">
        <v>0.5</v>
      </c>
      <c r="AE98" s="12">
        <v>53</v>
      </c>
      <c r="AF98" s="12">
        <v>10</v>
      </c>
      <c r="AG98" s="63">
        <v>0</v>
      </c>
      <c r="AH98" s="63">
        <v>0.36</v>
      </c>
      <c r="AI98" s="63">
        <v>0.55000000000000004</v>
      </c>
      <c r="AJ98" s="63">
        <v>0.09</v>
      </c>
      <c r="AK98" s="63">
        <v>0.45</v>
      </c>
      <c r="AL98" s="63">
        <v>0.31</v>
      </c>
      <c r="AM98" s="63">
        <v>0.39</v>
      </c>
      <c r="AN98" s="35">
        <v>56</v>
      </c>
      <c r="AO98" s="35">
        <v>8</v>
      </c>
      <c r="AP98" s="40">
        <v>0</v>
      </c>
      <c r="AQ98" s="40">
        <v>0.36</v>
      </c>
      <c r="AR98" s="40">
        <v>0.43</v>
      </c>
      <c r="AS98" s="40">
        <v>0.21</v>
      </c>
      <c r="AT98" s="40">
        <v>0.43</v>
      </c>
      <c r="AU98" s="40">
        <v>0.33</v>
      </c>
      <c r="AV98" s="40">
        <v>0.39</v>
      </c>
      <c r="AW98" s="246">
        <v>50</v>
      </c>
      <c r="AX98" s="246" t="s">
        <v>758</v>
      </c>
      <c r="AY98" s="246">
        <v>9</v>
      </c>
      <c r="AZ98" s="246" t="s">
        <v>758</v>
      </c>
      <c r="BA98" s="263">
        <v>0.14000000000000001</v>
      </c>
      <c r="BB98" s="263">
        <v>0.28999999999999998</v>
      </c>
      <c r="BC98" s="263">
        <v>0.56999999999999995</v>
      </c>
      <c r="BD98" s="263">
        <v>0</v>
      </c>
      <c r="BE98" s="263">
        <v>0.51</v>
      </c>
      <c r="BF98" s="263">
        <v>0.35</v>
      </c>
      <c r="BG98" s="263">
        <v>0.65</v>
      </c>
      <c r="BH98" s="309">
        <v>59</v>
      </c>
      <c r="BI98" s="309" t="s">
        <v>758</v>
      </c>
      <c r="BJ98" s="309">
        <v>8</v>
      </c>
      <c r="BK98" s="309" t="s">
        <v>758</v>
      </c>
      <c r="BL98" s="327">
        <v>0</v>
      </c>
      <c r="BM98" s="327">
        <v>0.1</v>
      </c>
      <c r="BN98" s="327">
        <v>0.7</v>
      </c>
      <c r="BO98" s="327">
        <v>0.2</v>
      </c>
      <c r="BP98" s="327">
        <v>0.4</v>
      </c>
      <c r="BQ98" s="327">
        <v>0.28000000000000003</v>
      </c>
      <c r="BR98" s="327">
        <v>0.28999999999999998</v>
      </c>
      <c r="BS98" s="424">
        <v>57</v>
      </c>
      <c r="BT98" s="424" t="s">
        <v>758</v>
      </c>
      <c r="BU98" s="424">
        <v>8</v>
      </c>
      <c r="BV98" s="424" t="s">
        <v>758</v>
      </c>
      <c r="BW98" s="428">
        <v>0</v>
      </c>
      <c r="BX98" s="428">
        <v>0.17</v>
      </c>
      <c r="BY98" s="428">
        <v>0.5</v>
      </c>
      <c r="BZ98" s="428">
        <v>0.33</v>
      </c>
      <c r="CA98" s="428">
        <v>0.3</v>
      </c>
      <c r="CB98" s="428">
        <v>0.45</v>
      </c>
      <c r="CC98" s="428">
        <v>0.41</v>
      </c>
      <c r="CD98" s="464">
        <v>59</v>
      </c>
      <c r="CE98" s="464" t="s">
        <v>758</v>
      </c>
      <c r="CF98" s="464">
        <v>7</v>
      </c>
      <c r="CG98" s="464" t="s">
        <v>758</v>
      </c>
      <c r="CH98" s="476">
        <v>0</v>
      </c>
      <c r="CI98" s="476">
        <v>0</v>
      </c>
      <c r="CJ98" s="476">
        <v>0.71</v>
      </c>
      <c r="CK98" s="476">
        <v>0.28999999999999998</v>
      </c>
      <c r="CL98" s="476">
        <v>0.39</v>
      </c>
      <c r="CM98" s="476">
        <v>0.45</v>
      </c>
      <c r="CN98" s="476">
        <v>0.25</v>
      </c>
      <c r="CO98" s="902">
        <v>53</v>
      </c>
      <c r="CP98" s="902" t="s">
        <v>758</v>
      </c>
      <c r="CQ98" s="902">
        <v>9</v>
      </c>
      <c r="CR98" s="902" t="s">
        <v>758</v>
      </c>
      <c r="CS98" s="949">
        <v>0</v>
      </c>
      <c r="CT98" s="949">
        <v>0.28999999999999998</v>
      </c>
      <c r="CU98" s="949">
        <v>0.71</v>
      </c>
      <c r="CV98" s="949">
        <v>0</v>
      </c>
      <c r="CW98" s="949">
        <v>0.4</v>
      </c>
      <c r="CX98" s="949">
        <v>0.44</v>
      </c>
      <c r="CY98" s="949">
        <v>0.57999999999999996</v>
      </c>
      <c r="CZ98" s="26">
        <v>325754002839</v>
      </c>
      <c r="DA98" s="803" t="s">
        <v>47</v>
      </c>
    </row>
    <row r="99" spans="1:105" ht="24.95" customHeight="1" x14ac:dyDescent="0.2">
      <c r="A99" s="803" t="s">
        <v>27</v>
      </c>
      <c r="B99" s="1" t="s">
        <v>121</v>
      </c>
      <c r="C99" s="2" t="s">
        <v>122</v>
      </c>
      <c r="D99" s="12">
        <v>53</v>
      </c>
      <c r="E99" s="12">
        <v>8</v>
      </c>
      <c r="F99" s="63">
        <v>0.02</v>
      </c>
      <c r="G99" s="63">
        <v>0.32</v>
      </c>
      <c r="H99" s="63">
        <v>0.66</v>
      </c>
      <c r="I99" s="63">
        <v>0</v>
      </c>
      <c r="J99" s="63">
        <v>0.47</v>
      </c>
      <c r="K99" s="63">
        <v>0.53</v>
      </c>
      <c r="L99" s="63">
        <v>0.56999999999999995</v>
      </c>
      <c r="M99" s="25">
        <v>51</v>
      </c>
      <c r="N99" s="25">
        <v>8</v>
      </c>
      <c r="O99" s="61">
        <v>0.02</v>
      </c>
      <c r="P99" s="61">
        <v>0.43</v>
      </c>
      <c r="Q99" s="61">
        <v>0.5</v>
      </c>
      <c r="R99" s="61">
        <v>0.05</v>
      </c>
      <c r="S99" s="61">
        <v>0.47</v>
      </c>
      <c r="T99" s="61">
        <v>0.53</v>
      </c>
      <c r="U99" s="61">
        <v>0.56999999999999995</v>
      </c>
      <c r="V99" s="25">
        <v>51</v>
      </c>
      <c r="W99" s="25">
        <v>9</v>
      </c>
      <c r="X99" s="66">
        <v>0.09</v>
      </c>
      <c r="Y99" s="66">
        <v>0.41</v>
      </c>
      <c r="Z99" s="66">
        <v>0.44</v>
      </c>
      <c r="AA99" s="66">
        <v>0.06</v>
      </c>
      <c r="AB99" s="66">
        <v>0.52</v>
      </c>
      <c r="AC99" s="66">
        <v>0.49</v>
      </c>
      <c r="AD99" s="66">
        <v>0.54</v>
      </c>
      <c r="AE99" s="12">
        <v>52</v>
      </c>
      <c r="AF99" s="12">
        <v>10</v>
      </c>
      <c r="AG99" s="63">
        <v>0.02</v>
      </c>
      <c r="AH99" s="63">
        <v>0.47</v>
      </c>
      <c r="AI99" s="63">
        <v>0.45</v>
      </c>
      <c r="AJ99" s="63">
        <v>0.06</v>
      </c>
      <c r="AK99" s="63">
        <v>0.49</v>
      </c>
      <c r="AL99" s="63">
        <v>0.37</v>
      </c>
      <c r="AM99" s="63">
        <v>0.45</v>
      </c>
      <c r="AN99" s="35">
        <v>52</v>
      </c>
      <c r="AO99" s="35">
        <v>9</v>
      </c>
      <c r="AP99" s="40">
        <v>0</v>
      </c>
      <c r="AQ99" s="40">
        <v>0.39</v>
      </c>
      <c r="AR99" s="40">
        <v>0.55000000000000004</v>
      </c>
      <c r="AS99" s="40">
        <v>0.05</v>
      </c>
      <c r="AT99" s="40">
        <v>0.5</v>
      </c>
      <c r="AU99" s="40">
        <v>0.38</v>
      </c>
      <c r="AV99" s="40">
        <v>0.47</v>
      </c>
      <c r="AW99" s="246">
        <v>52</v>
      </c>
      <c r="AX99" s="246" t="s">
        <v>758</v>
      </c>
      <c r="AY99" s="246">
        <v>8</v>
      </c>
      <c r="AZ99" s="246" t="s">
        <v>758</v>
      </c>
      <c r="BA99" s="263">
        <v>0.02</v>
      </c>
      <c r="BB99" s="263">
        <v>0.43</v>
      </c>
      <c r="BC99" s="263">
        <v>0.5</v>
      </c>
      <c r="BD99" s="263">
        <v>0.05</v>
      </c>
      <c r="BE99" s="263">
        <v>0.48</v>
      </c>
      <c r="BF99" s="263">
        <v>0.38</v>
      </c>
      <c r="BG99" s="263">
        <v>0.57999999999999996</v>
      </c>
      <c r="BH99" s="309">
        <v>52</v>
      </c>
      <c r="BI99" s="309" t="s">
        <v>758</v>
      </c>
      <c r="BJ99" s="309">
        <v>10</v>
      </c>
      <c r="BK99" s="309" t="s">
        <v>758</v>
      </c>
      <c r="BL99" s="327">
        <v>0.03</v>
      </c>
      <c r="BM99" s="327">
        <v>0.4</v>
      </c>
      <c r="BN99" s="327">
        <v>0.45</v>
      </c>
      <c r="BO99" s="327">
        <v>0.13</v>
      </c>
      <c r="BP99" s="327">
        <v>0.49</v>
      </c>
      <c r="BQ99" s="327">
        <v>0.37</v>
      </c>
      <c r="BR99" s="327">
        <v>0.52</v>
      </c>
      <c r="BS99" s="424">
        <v>51</v>
      </c>
      <c r="BT99" s="424" t="s">
        <v>758</v>
      </c>
      <c r="BU99" s="424">
        <v>9</v>
      </c>
      <c r="BV99" s="424" t="s">
        <v>758</v>
      </c>
      <c r="BW99" s="428">
        <v>0</v>
      </c>
      <c r="BX99" s="428">
        <v>0.44</v>
      </c>
      <c r="BY99" s="428">
        <v>0.54</v>
      </c>
      <c r="BZ99" s="428">
        <v>0.02</v>
      </c>
      <c r="CA99" s="428">
        <v>0.43</v>
      </c>
      <c r="CB99" s="428">
        <v>0.56000000000000005</v>
      </c>
      <c r="CC99" s="428">
        <v>0.5</v>
      </c>
      <c r="CD99" s="464">
        <v>52</v>
      </c>
      <c r="CE99" s="464" t="s">
        <v>758</v>
      </c>
      <c r="CF99" s="464">
        <v>8</v>
      </c>
      <c r="CG99" s="464" t="s">
        <v>758</v>
      </c>
      <c r="CH99" s="476">
        <v>0.02</v>
      </c>
      <c r="CI99" s="476">
        <v>0.34</v>
      </c>
      <c r="CJ99" s="476">
        <v>0.6</v>
      </c>
      <c r="CK99" s="476">
        <v>0.04</v>
      </c>
      <c r="CL99" s="476">
        <v>0.47</v>
      </c>
      <c r="CM99" s="476">
        <v>0.46</v>
      </c>
      <c r="CN99" s="476">
        <v>0.4</v>
      </c>
      <c r="CO99" s="902">
        <v>54</v>
      </c>
      <c r="CP99" s="902" t="s">
        <v>758</v>
      </c>
      <c r="CQ99" s="902">
        <v>9</v>
      </c>
      <c r="CR99" s="902" t="s">
        <v>758</v>
      </c>
      <c r="CS99" s="949">
        <v>0.02</v>
      </c>
      <c r="CT99" s="949">
        <v>0.28999999999999998</v>
      </c>
      <c r="CU99" s="949">
        <v>0.62</v>
      </c>
      <c r="CV99" s="949">
        <v>0.08</v>
      </c>
      <c r="CW99" s="949">
        <v>0.36</v>
      </c>
      <c r="CX99" s="949">
        <v>0.48</v>
      </c>
      <c r="CY99" s="949">
        <v>0.5</v>
      </c>
      <c r="CZ99" s="26">
        <v>225754000661</v>
      </c>
      <c r="DA99" s="803" t="s">
        <v>27</v>
      </c>
    </row>
    <row r="100" spans="1:105" ht="24.95" customHeight="1" x14ac:dyDescent="0.2">
      <c r="A100" s="803" t="s">
        <v>127</v>
      </c>
      <c r="B100" s="1" t="s">
        <v>123</v>
      </c>
      <c r="C100" s="2">
        <v>4</v>
      </c>
      <c r="D100" s="12"/>
      <c r="E100" s="12"/>
      <c r="F100" s="12"/>
      <c r="G100" s="12"/>
      <c r="H100" s="12"/>
      <c r="I100" s="12"/>
      <c r="J100" s="12"/>
      <c r="K100" s="12"/>
      <c r="L100" s="12"/>
      <c r="M100" s="25">
        <v>62</v>
      </c>
      <c r="N100" s="25">
        <v>0</v>
      </c>
      <c r="O100" s="61">
        <v>0</v>
      </c>
      <c r="P100" s="61">
        <v>0</v>
      </c>
      <c r="Q100" s="61">
        <v>1</v>
      </c>
      <c r="R100" s="61">
        <v>0</v>
      </c>
      <c r="S100" s="61">
        <v>0.38</v>
      </c>
      <c r="T100" s="61">
        <v>0.4</v>
      </c>
      <c r="U100" s="61">
        <v>0.38</v>
      </c>
      <c r="V100" s="12" t="s">
        <v>126</v>
      </c>
      <c r="W100" s="12" t="s">
        <v>126</v>
      </c>
      <c r="X100" s="12"/>
      <c r="Y100" s="12"/>
      <c r="Z100" s="12"/>
      <c r="AA100" s="12"/>
      <c r="AB100" s="12"/>
      <c r="AC100" s="12"/>
      <c r="AD100" s="12"/>
      <c r="AE100" s="12" t="s">
        <v>126</v>
      </c>
      <c r="AF100" s="12" t="s">
        <v>126</v>
      </c>
      <c r="AG100" s="2"/>
      <c r="AH100" s="2"/>
      <c r="AI100" s="2"/>
      <c r="AJ100" s="2"/>
      <c r="AK100" s="2"/>
      <c r="AL100" s="2"/>
      <c r="AM100" s="2"/>
      <c r="AN100" s="41"/>
      <c r="AO100" s="41"/>
      <c r="AP100" s="41"/>
      <c r="AQ100" s="41"/>
      <c r="AR100" s="41"/>
      <c r="AS100" s="41"/>
      <c r="AT100" s="41"/>
      <c r="AU100" s="41"/>
      <c r="AV100" s="41"/>
      <c r="AW100" s="646"/>
      <c r="AX100" s="646"/>
      <c r="AY100" s="646"/>
      <c r="AZ100" s="646"/>
      <c r="BA100" s="646"/>
      <c r="BB100" s="646"/>
      <c r="BC100" s="646"/>
      <c r="BD100" s="646"/>
      <c r="BE100" s="646"/>
      <c r="BF100" s="646"/>
      <c r="BG100" s="646"/>
      <c r="BH100" s="649"/>
      <c r="BI100" s="649"/>
      <c r="BJ100" s="649"/>
      <c r="BK100" s="649"/>
      <c r="BL100" s="649"/>
      <c r="BM100" s="649"/>
      <c r="BN100" s="649"/>
      <c r="BO100" s="649"/>
      <c r="BP100" s="649"/>
      <c r="BQ100" s="649"/>
      <c r="BR100" s="649"/>
      <c r="BS100" s="651"/>
      <c r="BT100" s="651"/>
      <c r="BU100" s="651"/>
      <c r="BV100" s="651"/>
      <c r="BW100" s="651"/>
      <c r="BX100" s="651"/>
      <c r="BY100" s="651"/>
      <c r="BZ100" s="651"/>
      <c r="CA100" s="651"/>
      <c r="CB100" s="651"/>
      <c r="CC100" s="651"/>
      <c r="CD100" s="650"/>
      <c r="CE100" s="650"/>
      <c r="CF100" s="650"/>
      <c r="CG100" s="650"/>
      <c r="CH100" s="650"/>
      <c r="CI100" s="650"/>
      <c r="CJ100" s="650"/>
      <c r="CK100" s="650"/>
      <c r="CL100" s="650"/>
      <c r="CM100" s="650"/>
      <c r="CN100" s="650"/>
      <c r="CS100" s="949"/>
      <c r="CT100" s="949"/>
      <c r="CU100" s="949"/>
      <c r="CV100" s="949"/>
      <c r="CW100" s="949"/>
      <c r="CX100" s="949"/>
      <c r="CY100" s="949"/>
      <c r="CZ100" s="26"/>
      <c r="DA100" s="803" t="s">
        <v>127</v>
      </c>
    </row>
    <row r="101" spans="1:105" ht="24.95" customHeight="1" x14ac:dyDescent="0.2">
      <c r="A101" s="803" t="s">
        <v>55</v>
      </c>
      <c r="B101" s="1" t="s">
        <v>121</v>
      </c>
      <c r="C101" s="2">
        <v>1</v>
      </c>
      <c r="D101" s="12">
        <v>51</v>
      </c>
      <c r="E101" s="12">
        <v>8</v>
      </c>
      <c r="F101" s="63">
        <v>0.02</v>
      </c>
      <c r="G101" s="63">
        <v>0.44</v>
      </c>
      <c r="H101" s="63">
        <v>0.5</v>
      </c>
      <c r="I101" s="63">
        <v>0.04</v>
      </c>
      <c r="J101" s="63">
        <v>0.45</v>
      </c>
      <c r="K101" s="63">
        <v>0.49</v>
      </c>
      <c r="L101" s="63">
        <v>0.56000000000000005</v>
      </c>
      <c r="M101" s="25">
        <v>55</v>
      </c>
      <c r="N101" s="25">
        <v>8</v>
      </c>
      <c r="O101" s="61">
        <v>0</v>
      </c>
      <c r="P101" s="61">
        <v>0.35</v>
      </c>
      <c r="Q101" s="61">
        <v>0.53</v>
      </c>
      <c r="R101" s="61">
        <v>0.12</v>
      </c>
      <c r="S101" s="61">
        <v>0.39</v>
      </c>
      <c r="T101" s="61">
        <v>0.45</v>
      </c>
      <c r="U101" s="61">
        <v>0.45</v>
      </c>
      <c r="V101" s="12">
        <v>54</v>
      </c>
      <c r="W101" s="12">
        <v>8</v>
      </c>
      <c r="X101" s="66">
        <v>0.01</v>
      </c>
      <c r="Y101" s="66">
        <v>0.35</v>
      </c>
      <c r="Z101" s="66">
        <v>0.55000000000000004</v>
      </c>
      <c r="AA101" s="66">
        <v>0.09</v>
      </c>
      <c r="AB101" s="66">
        <v>0.44</v>
      </c>
      <c r="AC101" s="66">
        <v>0.49</v>
      </c>
      <c r="AD101" s="66">
        <v>0.51</v>
      </c>
      <c r="AE101" s="12">
        <v>55</v>
      </c>
      <c r="AF101" s="12">
        <v>9</v>
      </c>
      <c r="AG101" s="63">
        <v>0.01</v>
      </c>
      <c r="AH101" s="63">
        <v>0.3</v>
      </c>
      <c r="AI101" s="63">
        <v>0.56999999999999995</v>
      </c>
      <c r="AJ101" s="63">
        <v>0.11</v>
      </c>
      <c r="AK101" s="63">
        <v>0.41</v>
      </c>
      <c r="AL101" s="63">
        <v>0.36</v>
      </c>
      <c r="AM101" s="63">
        <v>0.39</v>
      </c>
      <c r="AN101" s="35">
        <v>53</v>
      </c>
      <c r="AO101" s="35">
        <v>8</v>
      </c>
      <c r="AP101" s="40">
        <v>0.03</v>
      </c>
      <c r="AQ101" s="40">
        <v>0.34</v>
      </c>
      <c r="AR101" s="40">
        <v>0.59</v>
      </c>
      <c r="AS101" s="40">
        <v>0.04</v>
      </c>
      <c r="AT101" s="40">
        <v>0.48</v>
      </c>
      <c r="AU101" s="40">
        <v>0.38</v>
      </c>
      <c r="AV101" s="40">
        <v>0.43</v>
      </c>
      <c r="AW101" s="647">
        <v>55</v>
      </c>
      <c r="AX101" s="647" t="s">
        <v>758</v>
      </c>
      <c r="AY101" s="647">
        <v>9</v>
      </c>
      <c r="AZ101" s="647" t="s">
        <v>758</v>
      </c>
      <c r="BA101" s="648">
        <v>0.01</v>
      </c>
      <c r="BB101" s="648">
        <v>0.32</v>
      </c>
      <c r="BC101" s="648">
        <v>0.56000000000000005</v>
      </c>
      <c r="BD101" s="648">
        <v>0.11</v>
      </c>
      <c r="BE101" s="648">
        <v>0.43</v>
      </c>
      <c r="BF101" s="648">
        <v>0.34</v>
      </c>
      <c r="BG101" s="648">
        <v>0.52</v>
      </c>
      <c r="BH101" s="74">
        <v>53</v>
      </c>
      <c r="BI101" s="74" t="s">
        <v>758</v>
      </c>
      <c r="BJ101" s="74">
        <v>9</v>
      </c>
      <c r="BK101" s="74" t="s">
        <v>758</v>
      </c>
      <c r="BL101" s="96">
        <v>0.04</v>
      </c>
      <c r="BM101" s="96">
        <v>0.34</v>
      </c>
      <c r="BN101" s="96">
        <v>0.56000000000000005</v>
      </c>
      <c r="BO101" s="96">
        <v>0.06</v>
      </c>
      <c r="BP101" s="96">
        <v>0.49</v>
      </c>
      <c r="BQ101" s="96">
        <v>0.39</v>
      </c>
      <c r="BR101" s="96">
        <v>0.47</v>
      </c>
      <c r="BS101" s="652">
        <v>52</v>
      </c>
      <c r="BT101" s="652" t="s">
        <v>758</v>
      </c>
      <c r="BU101" s="652">
        <v>8</v>
      </c>
      <c r="BV101" s="652" t="s">
        <v>758</v>
      </c>
      <c r="BW101" s="653">
        <v>0.01</v>
      </c>
      <c r="BX101" s="653">
        <v>0.44</v>
      </c>
      <c r="BY101" s="653">
        <v>0.49</v>
      </c>
      <c r="BZ101" s="653">
        <v>0.06</v>
      </c>
      <c r="CA101" s="653">
        <v>0.4</v>
      </c>
      <c r="CB101" s="653">
        <v>0.51</v>
      </c>
      <c r="CC101" s="653">
        <v>0.54</v>
      </c>
      <c r="CD101" s="74">
        <v>54</v>
      </c>
      <c r="CE101" s="74" t="s">
        <v>758</v>
      </c>
      <c r="CF101" s="74">
        <v>9</v>
      </c>
      <c r="CG101" s="74" t="s">
        <v>758</v>
      </c>
      <c r="CH101" s="96">
        <v>0.02</v>
      </c>
      <c r="CI101" s="96">
        <v>0.35</v>
      </c>
      <c r="CJ101" s="96">
        <v>0.53</v>
      </c>
      <c r="CK101" s="96">
        <v>0.1</v>
      </c>
      <c r="CL101" s="96">
        <v>0.46</v>
      </c>
      <c r="CM101" s="96">
        <v>0.46</v>
      </c>
      <c r="CN101" s="96">
        <v>0.36</v>
      </c>
      <c r="CO101" s="902">
        <v>55</v>
      </c>
      <c r="CP101" s="902" t="s">
        <v>758</v>
      </c>
      <c r="CQ101" s="902">
        <v>9</v>
      </c>
      <c r="CR101" s="902" t="s">
        <v>758</v>
      </c>
      <c r="CS101" s="949">
        <v>0.02</v>
      </c>
      <c r="CT101" s="949">
        <v>0.3</v>
      </c>
      <c r="CU101" s="949">
        <v>0.55000000000000004</v>
      </c>
      <c r="CV101" s="949">
        <v>0.13</v>
      </c>
      <c r="CW101" s="949">
        <v>0.32</v>
      </c>
      <c r="CX101" s="949">
        <v>0.45</v>
      </c>
      <c r="CY101" s="949">
        <v>0.51</v>
      </c>
      <c r="CZ101" s="26">
        <v>125754003569</v>
      </c>
      <c r="DA101" s="803" t="s">
        <v>55</v>
      </c>
    </row>
    <row r="102" spans="1:105" ht="24.95" customHeight="1" x14ac:dyDescent="0.2">
      <c r="A102" s="803" t="s">
        <v>22</v>
      </c>
      <c r="B102" s="1" t="s">
        <v>121</v>
      </c>
      <c r="C102" s="2">
        <v>6</v>
      </c>
      <c r="D102" s="12">
        <v>52</v>
      </c>
      <c r="E102" s="12">
        <v>8</v>
      </c>
      <c r="F102" s="63">
        <v>0.01</v>
      </c>
      <c r="G102" s="63">
        <v>0.42</v>
      </c>
      <c r="H102" s="63">
        <v>0.52</v>
      </c>
      <c r="I102" s="63">
        <v>0.05</v>
      </c>
      <c r="J102" s="63">
        <v>0.44</v>
      </c>
      <c r="K102" s="63">
        <v>0.51</v>
      </c>
      <c r="L102" s="63">
        <v>0.56999999999999995</v>
      </c>
      <c r="M102" s="25">
        <v>52</v>
      </c>
      <c r="N102" s="25">
        <v>8</v>
      </c>
      <c r="O102" s="61">
        <v>0.01</v>
      </c>
      <c r="P102" s="61">
        <v>0.47</v>
      </c>
      <c r="Q102" s="61">
        <v>0.47</v>
      </c>
      <c r="R102" s="61">
        <v>0.05</v>
      </c>
      <c r="S102" s="61">
        <v>0.47</v>
      </c>
      <c r="T102" s="61">
        <v>0.51</v>
      </c>
      <c r="U102" s="61">
        <v>0.51</v>
      </c>
      <c r="V102" s="12">
        <v>51</v>
      </c>
      <c r="W102" s="12">
        <v>9</v>
      </c>
      <c r="X102" s="66">
        <v>0.06</v>
      </c>
      <c r="Y102" s="66">
        <v>0.45</v>
      </c>
      <c r="Z102" s="66">
        <v>0.43</v>
      </c>
      <c r="AA102" s="66">
        <v>0.06</v>
      </c>
      <c r="AB102" s="66">
        <v>0.48</v>
      </c>
      <c r="AC102" s="66">
        <v>0.52</v>
      </c>
      <c r="AD102" s="66">
        <v>0.54</v>
      </c>
      <c r="AE102" s="12">
        <v>52</v>
      </c>
      <c r="AF102" s="12">
        <v>9</v>
      </c>
      <c r="AG102" s="63">
        <v>0.02</v>
      </c>
      <c r="AH102" s="63">
        <v>0.35</v>
      </c>
      <c r="AI102" s="63">
        <v>0.56999999999999995</v>
      </c>
      <c r="AJ102" s="63">
        <v>0.06</v>
      </c>
      <c r="AK102" s="63">
        <v>0.44</v>
      </c>
      <c r="AL102" s="63">
        <v>0.41</v>
      </c>
      <c r="AM102" s="63">
        <v>0.43</v>
      </c>
      <c r="AN102" s="35">
        <v>52</v>
      </c>
      <c r="AO102" s="35">
        <v>8</v>
      </c>
      <c r="AP102" s="40">
        <v>0.01</v>
      </c>
      <c r="AQ102" s="40">
        <v>0.4</v>
      </c>
      <c r="AR102" s="40">
        <v>0.54</v>
      </c>
      <c r="AS102" s="40">
        <v>0.05</v>
      </c>
      <c r="AT102" s="40">
        <v>0.48</v>
      </c>
      <c r="AU102" s="40">
        <v>0.4</v>
      </c>
      <c r="AV102" s="40">
        <v>0.46</v>
      </c>
      <c r="AW102" s="246">
        <v>52</v>
      </c>
      <c r="AX102" s="246" t="s">
        <v>758</v>
      </c>
      <c r="AY102" s="246">
        <v>9</v>
      </c>
      <c r="AZ102" s="246" t="s">
        <v>758</v>
      </c>
      <c r="BA102" s="263">
        <v>0.04</v>
      </c>
      <c r="BB102" s="263">
        <v>0.42</v>
      </c>
      <c r="BC102" s="263">
        <v>0.48</v>
      </c>
      <c r="BD102" s="263">
        <v>0.06</v>
      </c>
      <c r="BE102" s="263">
        <v>0.47</v>
      </c>
      <c r="BF102" s="263">
        <v>0.37</v>
      </c>
      <c r="BG102" s="263">
        <v>0.57999999999999996</v>
      </c>
      <c r="BH102" s="309">
        <v>52</v>
      </c>
      <c r="BI102" s="309" t="s">
        <v>758</v>
      </c>
      <c r="BJ102" s="309">
        <v>8</v>
      </c>
      <c r="BK102" s="309" t="s">
        <v>758</v>
      </c>
      <c r="BL102" s="327">
        <v>0.02</v>
      </c>
      <c r="BM102" s="327">
        <v>0.39</v>
      </c>
      <c r="BN102" s="327">
        <v>0.54</v>
      </c>
      <c r="BO102" s="327">
        <v>0.05</v>
      </c>
      <c r="BP102" s="327">
        <v>0.51</v>
      </c>
      <c r="BQ102" s="327">
        <v>0.4</v>
      </c>
      <c r="BR102" s="327">
        <v>0.48</v>
      </c>
      <c r="BS102" s="424">
        <v>52</v>
      </c>
      <c r="BT102" s="424" t="s">
        <v>758</v>
      </c>
      <c r="BU102" s="424">
        <v>8</v>
      </c>
      <c r="BV102" s="424" t="s">
        <v>758</v>
      </c>
      <c r="BW102" s="428">
        <v>0.02</v>
      </c>
      <c r="BX102" s="428">
        <v>0.39</v>
      </c>
      <c r="BY102" s="428">
        <v>0.54</v>
      </c>
      <c r="BZ102" s="428">
        <v>0.04</v>
      </c>
      <c r="CA102" s="428">
        <v>0.4</v>
      </c>
      <c r="CB102" s="428">
        <v>0.51</v>
      </c>
      <c r="CC102" s="428">
        <v>0.53</v>
      </c>
      <c r="CD102" s="464">
        <v>53</v>
      </c>
      <c r="CE102" s="464" t="s">
        <v>758</v>
      </c>
      <c r="CF102" s="464">
        <v>8</v>
      </c>
      <c r="CG102" s="464" t="s">
        <v>758</v>
      </c>
      <c r="CH102" s="476">
        <v>0.01</v>
      </c>
      <c r="CI102" s="476">
        <v>0.38</v>
      </c>
      <c r="CJ102" s="476">
        <v>0.55000000000000004</v>
      </c>
      <c r="CK102" s="476">
        <v>0.06</v>
      </c>
      <c r="CL102" s="476">
        <v>0.48</v>
      </c>
      <c r="CM102" s="476">
        <v>0.47</v>
      </c>
      <c r="CN102" s="476">
        <v>0.39</v>
      </c>
      <c r="CO102" s="902">
        <v>55</v>
      </c>
      <c r="CP102" s="902" t="s">
        <v>758</v>
      </c>
      <c r="CQ102" s="902">
        <v>9</v>
      </c>
      <c r="CR102" s="902" t="s">
        <v>758</v>
      </c>
      <c r="CS102" s="949">
        <v>0.02</v>
      </c>
      <c r="CT102" s="949">
        <v>0.35</v>
      </c>
      <c r="CU102" s="949">
        <v>0.5</v>
      </c>
      <c r="CV102" s="949">
        <v>0.14000000000000001</v>
      </c>
      <c r="CW102" s="949">
        <v>0.31</v>
      </c>
      <c r="CX102" s="949">
        <v>0.46</v>
      </c>
      <c r="CY102" s="949">
        <v>0.52</v>
      </c>
      <c r="CZ102" s="26">
        <v>325754001590</v>
      </c>
      <c r="DA102" s="803" t="s">
        <v>22</v>
      </c>
    </row>
    <row r="103" spans="1:105" ht="24.95" customHeight="1" x14ac:dyDescent="0.2">
      <c r="A103" s="803" t="s">
        <v>83</v>
      </c>
      <c r="B103" s="1" t="s">
        <v>121</v>
      </c>
      <c r="C103" s="2">
        <v>5</v>
      </c>
      <c r="D103" s="12">
        <v>55</v>
      </c>
      <c r="E103" s="12">
        <v>8</v>
      </c>
      <c r="F103" s="63">
        <v>0.01</v>
      </c>
      <c r="G103" s="63">
        <v>0.3</v>
      </c>
      <c r="H103" s="63">
        <v>0.6</v>
      </c>
      <c r="I103" s="63">
        <v>0.09</v>
      </c>
      <c r="J103" s="63">
        <v>0.42</v>
      </c>
      <c r="K103" s="63">
        <v>0.46</v>
      </c>
      <c r="L103" s="63">
        <v>0.52</v>
      </c>
      <c r="M103" s="25">
        <v>55</v>
      </c>
      <c r="N103" s="25">
        <v>9</v>
      </c>
      <c r="O103" s="61">
        <v>0.02</v>
      </c>
      <c r="P103" s="61">
        <v>0.28999999999999998</v>
      </c>
      <c r="Q103" s="61">
        <v>0.57999999999999996</v>
      </c>
      <c r="R103" s="61">
        <v>0.11</v>
      </c>
      <c r="S103" s="61">
        <v>0.41</v>
      </c>
      <c r="T103" s="61">
        <v>0.45</v>
      </c>
      <c r="U103" s="61">
        <v>0.47</v>
      </c>
      <c r="V103" s="12">
        <v>54</v>
      </c>
      <c r="W103" s="12">
        <v>8</v>
      </c>
      <c r="X103" s="66">
        <v>0.01</v>
      </c>
      <c r="Y103" s="66">
        <v>0.32</v>
      </c>
      <c r="Z103" s="66">
        <v>0.57999999999999996</v>
      </c>
      <c r="AA103" s="66">
        <v>0.09</v>
      </c>
      <c r="AB103" s="66">
        <v>0.43</v>
      </c>
      <c r="AC103" s="66">
        <v>0.47</v>
      </c>
      <c r="AD103" s="66">
        <v>0.51</v>
      </c>
      <c r="AE103" s="12">
        <v>54</v>
      </c>
      <c r="AF103" s="12">
        <v>8</v>
      </c>
      <c r="AG103" s="63">
        <v>0.02</v>
      </c>
      <c r="AH103" s="63">
        <v>0.28000000000000003</v>
      </c>
      <c r="AI103" s="63">
        <v>0.62</v>
      </c>
      <c r="AJ103" s="63">
        <v>7.0000000000000007E-2</v>
      </c>
      <c r="AK103" s="63">
        <v>0.41</v>
      </c>
      <c r="AL103" s="63">
        <v>0.36</v>
      </c>
      <c r="AM103" s="63">
        <v>0.42</v>
      </c>
      <c r="AN103" s="35">
        <v>54</v>
      </c>
      <c r="AO103" s="35">
        <v>8</v>
      </c>
      <c r="AP103" s="40">
        <v>0.01</v>
      </c>
      <c r="AQ103" s="40">
        <v>0.31</v>
      </c>
      <c r="AR103" s="40">
        <v>0.6</v>
      </c>
      <c r="AS103" s="40">
        <v>0.08</v>
      </c>
      <c r="AT103" s="40">
        <v>0.47</v>
      </c>
      <c r="AU103" s="40">
        <v>0.35</v>
      </c>
      <c r="AV103" s="40">
        <v>0.43</v>
      </c>
      <c r="AW103" s="246">
        <v>54</v>
      </c>
      <c r="AX103" s="246" t="s">
        <v>758</v>
      </c>
      <c r="AY103" s="246">
        <v>9</v>
      </c>
      <c r="AZ103" s="246" t="s">
        <v>758</v>
      </c>
      <c r="BA103" s="263">
        <v>0.01</v>
      </c>
      <c r="BB103" s="263">
        <v>0.36</v>
      </c>
      <c r="BC103" s="263">
        <v>0.49</v>
      </c>
      <c r="BD103" s="263">
        <v>0.13</v>
      </c>
      <c r="BE103" s="263">
        <v>0.44</v>
      </c>
      <c r="BF103" s="263">
        <v>0.35</v>
      </c>
      <c r="BG103" s="263">
        <v>0.54</v>
      </c>
      <c r="BH103" s="309">
        <v>55</v>
      </c>
      <c r="BI103" s="309" t="s">
        <v>758</v>
      </c>
      <c r="BJ103" s="309">
        <v>8</v>
      </c>
      <c r="BK103" s="309" t="s">
        <v>758</v>
      </c>
      <c r="BL103" s="327">
        <v>0.01</v>
      </c>
      <c r="BM103" s="327">
        <v>0.27</v>
      </c>
      <c r="BN103" s="327">
        <v>0.63</v>
      </c>
      <c r="BO103" s="327">
        <v>0.09</v>
      </c>
      <c r="BP103" s="327">
        <v>0.46</v>
      </c>
      <c r="BQ103" s="327">
        <v>0.34</v>
      </c>
      <c r="BR103" s="327">
        <v>0.45</v>
      </c>
      <c r="BS103" s="424">
        <v>55</v>
      </c>
      <c r="BT103" s="424" t="s">
        <v>758</v>
      </c>
      <c r="BU103" s="424">
        <v>10</v>
      </c>
      <c r="BV103" s="424" t="s">
        <v>758</v>
      </c>
      <c r="BW103" s="428">
        <v>0.03</v>
      </c>
      <c r="BX103" s="428">
        <v>0.28999999999999998</v>
      </c>
      <c r="BY103" s="428">
        <v>0.56000000000000005</v>
      </c>
      <c r="BZ103" s="428">
        <v>0.13</v>
      </c>
      <c r="CA103" s="428">
        <v>0.35</v>
      </c>
      <c r="CB103" s="428">
        <v>0.45</v>
      </c>
      <c r="CC103" s="428">
        <v>0.48</v>
      </c>
      <c r="CD103" s="464">
        <v>56</v>
      </c>
      <c r="CE103" s="464" t="s">
        <v>758</v>
      </c>
      <c r="CF103" s="464">
        <v>9</v>
      </c>
      <c r="CG103" s="464" t="s">
        <v>758</v>
      </c>
      <c r="CH103" s="476">
        <v>0.02</v>
      </c>
      <c r="CI103" s="476">
        <v>0.21</v>
      </c>
      <c r="CJ103" s="476">
        <v>0.61</v>
      </c>
      <c r="CK103" s="476">
        <v>0.15</v>
      </c>
      <c r="CL103" s="476">
        <v>0.42</v>
      </c>
      <c r="CM103" s="476">
        <v>0.42</v>
      </c>
      <c r="CN103" s="476">
        <v>0.3</v>
      </c>
      <c r="CO103" s="902">
        <v>56</v>
      </c>
      <c r="CP103" s="902" t="s">
        <v>758</v>
      </c>
      <c r="CQ103" s="902">
        <v>9</v>
      </c>
      <c r="CR103" s="902" t="s">
        <v>758</v>
      </c>
      <c r="CS103" s="949">
        <v>0.01</v>
      </c>
      <c r="CT103" s="949">
        <v>0.27</v>
      </c>
      <c r="CU103" s="949">
        <v>0.59</v>
      </c>
      <c r="CV103" s="949">
        <v>0.13</v>
      </c>
      <c r="CW103" s="949">
        <v>0.3</v>
      </c>
      <c r="CX103" s="949">
        <v>0.44</v>
      </c>
      <c r="CY103" s="949">
        <v>0.5</v>
      </c>
      <c r="CZ103" s="26">
        <v>125754002147</v>
      </c>
      <c r="DA103" s="803" t="s">
        <v>83</v>
      </c>
    </row>
    <row r="104" spans="1:105" ht="24.6" customHeight="1" x14ac:dyDescent="0.2">
      <c r="A104" s="803" t="s">
        <v>65</v>
      </c>
      <c r="B104" s="1" t="s">
        <v>121</v>
      </c>
      <c r="C104" s="2">
        <v>4</v>
      </c>
      <c r="D104" s="12">
        <v>49</v>
      </c>
      <c r="E104" s="12">
        <v>8</v>
      </c>
      <c r="F104" s="63">
        <v>0.03</v>
      </c>
      <c r="G104" s="63">
        <v>0.56999999999999995</v>
      </c>
      <c r="H104" s="63">
        <v>0.38</v>
      </c>
      <c r="I104" s="63">
        <v>0.02</v>
      </c>
      <c r="J104" s="63">
        <v>0.5</v>
      </c>
      <c r="K104" s="63">
        <v>0.57999999999999996</v>
      </c>
      <c r="L104" s="63">
        <v>0.65</v>
      </c>
      <c r="M104" s="25">
        <v>51</v>
      </c>
      <c r="N104" s="25">
        <v>9</v>
      </c>
      <c r="O104" s="61">
        <v>0.03</v>
      </c>
      <c r="P104" s="61">
        <v>0.46</v>
      </c>
      <c r="Q104" s="61">
        <v>0.45</v>
      </c>
      <c r="R104" s="61">
        <v>0.06</v>
      </c>
      <c r="S104" s="61">
        <v>0.47</v>
      </c>
      <c r="T104" s="61">
        <v>0.51</v>
      </c>
      <c r="U104" s="61">
        <v>0.52</v>
      </c>
      <c r="V104" s="12">
        <v>49</v>
      </c>
      <c r="W104" s="12">
        <v>9</v>
      </c>
      <c r="X104" s="66">
        <v>0.06</v>
      </c>
      <c r="Y104" s="66">
        <v>0.53</v>
      </c>
      <c r="Z104" s="66">
        <v>0.37</v>
      </c>
      <c r="AA104" s="66">
        <v>0.04</v>
      </c>
      <c r="AB104" s="66">
        <v>0.54</v>
      </c>
      <c r="AC104" s="66">
        <v>0.56000000000000005</v>
      </c>
      <c r="AD104" s="66">
        <v>0.56999999999999995</v>
      </c>
      <c r="AE104" s="12">
        <v>47</v>
      </c>
      <c r="AF104" s="12">
        <v>9</v>
      </c>
      <c r="AG104" s="63">
        <v>0.11</v>
      </c>
      <c r="AH104" s="63">
        <v>0.56999999999999995</v>
      </c>
      <c r="AI104" s="63">
        <v>0.28999999999999998</v>
      </c>
      <c r="AJ104" s="63">
        <v>0.03</v>
      </c>
      <c r="AK104" s="63">
        <v>0.55000000000000004</v>
      </c>
      <c r="AL104" s="63">
        <v>0.5</v>
      </c>
      <c r="AM104" s="63">
        <v>0.52</v>
      </c>
      <c r="AN104" s="35">
        <v>49</v>
      </c>
      <c r="AO104" s="35">
        <v>9</v>
      </c>
      <c r="AP104" s="40">
        <v>7.0000000000000007E-2</v>
      </c>
      <c r="AQ104" s="40">
        <v>0.47</v>
      </c>
      <c r="AR104" s="40">
        <v>0.44</v>
      </c>
      <c r="AS104" s="40">
        <v>0.03</v>
      </c>
      <c r="AT104" s="40">
        <v>0.53</v>
      </c>
      <c r="AU104" s="40">
        <v>0.45</v>
      </c>
      <c r="AV104" s="40">
        <v>0.5</v>
      </c>
      <c r="AW104" s="246">
        <v>50</v>
      </c>
      <c r="AX104" s="246" t="s">
        <v>758</v>
      </c>
      <c r="AY104" s="246">
        <v>8</v>
      </c>
      <c r="AZ104" s="246" t="s">
        <v>758</v>
      </c>
      <c r="BA104" s="263">
        <v>0.03</v>
      </c>
      <c r="BB104" s="263">
        <v>0.55000000000000004</v>
      </c>
      <c r="BC104" s="263">
        <v>0.36</v>
      </c>
      <c r="BD104" s="263">
        <v>0.06</v>
      </c>
      <c r="BE104" s="263">
        <v>0.5</v>
      </c>
      <c r="BF104" s="263">
        <v>0.41</v>
      </c>
      <c r="BG104" s="263">
        <v>0.6</v>
      </c>
      <c r="BH104" s="309">
        <v>51</v>
      </c>
      <c r="BI104" s="309" t="s">
        <v>758</v>
      </c>
      <c r="BJ104" s="309">
        <v>9</v>
      </c>
      <c r="BK104" s="309" t="s">
        <v>758</v>
      </c>
      <c r="BL104" s="327">
        <v>0.03</v>
      </c>
      <c r="BM104" s="327">
        <v>0.44</v>
      </c>
      <c r="BN104" s="327">
        <v>0.48</v>
      </c>
      <c r="BO104" s="327">
        <v>0.05</v>
      </c>
      <c r="BP104" s="327">
        <v>0.53</v>
      </c>
      <c r="BQ104" s="327">
        <v>0.4</v>
      </c>
      <c r="BR104" s="327">
        <v>0.52</v>
      </c>
      <c r="BS104" s="424">
        <v>48</v>
      </c>
      <c r="BT104" s="424" t="s">
        <v>758</v>
      </c>
      <c r="BU104" s="424">
        <v>7</v>
      </c>
      <c r="BV104" s="424" t="s">
        <v>758</v>
      </c>
      <c r="BW104" s="428">
        <v>7.0000000000000007E-2</v>
      </c>
      <c r="BX104" s="428">
        <v>0.52</v>
      </c>
      <c r="BY104" s="428">
        <v>0.41</v>
      </c>
      <c r="BZ104" s="428">
        <v>0</v>
      </c>
      <c r="CA104" s="428">
        <v>0.46</v>
      </c>
      <c r="CB104" s="428">
        <v>0.59</v>
      </c>
      <c r="CC104" s="428">
        <v>0.6</v>
      </c>
      <c r="CD104" s="464">
        <v>51</v>
      </c>
      <c r="CE104" s="464" t="s">
        <v>758</v>
      </c>
      <c r="CF104" s="464">
        <v>9</v>
      </c>
      <c r="CG104" s="464" t="s">
        <v>758</v>
      </c>
      <c r="CH104" s="476">
        <v>0.05</v>
      </c>
      <c r="CI104" s="476">
        <v>0.43</v>
      </c>
      <c r="CJ104" s="476">
        <v>0.51</v>
      </c>
      <c r="CK104" s="476">
        <v>0.01</v>
      </c>
      <c r="CL104" s="476">
        <v>0.5</v>
      </c>
      <c r="CM104" s="476">
        <v>0.5</v>
      </c>
      <c r="CN104" s="476">
        <v>0.41</v>
      </c>
      <c r="CO104" s="902">
        <v>51</v>
      </c>
      <c r="CP104" s="902" t="s">
        <v>758</v>
      </c>
      <c r="CQ104" s="902">
        <v>9</v>
      </c>
      <c r="CR104" s="902" t="s">
        <v>758</v>
      </c>
      <c r="CS104" s="949">
        <v>7.0000000000000007E-2</v>
      </c>
      <c r="CT104" s="949">
        <v>0.42</v>
      </c>
      <c r="CU104" s="949">
        <v>0.46</v>
      </c>
      <c r="CV104" s="949">
        <v>0.05</v>
      </c>
      <c r="CW104" s="949">
        <v>0.41</v>
      </c>
      <c r="CX104" s="949">
        <v>0.5</v>
      </c>
      <c r="CY104" s="949">
        <v>0.6</v>
      </c>
      <c r="CZ104" s="26">
        <v>125754002554</v>
      </c>
      <c r="DA104" s="803" t="s">
        <v>65</v>
      </c>
    </row>
    <row r="105" spans="1:105" ht="24.95" customHeight="1" x14ac:dyDescent="0.2">
      <c r="A105" s="803" t="s">
        <v>33</v>
      </c>
      <c r="B105" s="1" t="s">
        <v>121</v>
      </c>
      <c r="C105" s="2">
        <v>4</v>
      </c>
      <c r="D105" s="12">
        <v>50</v>
      </c>
      <c r="E105" s="12">
        <v>6</v>
      </c>
      <c r="F105" s="63">
        <v>0</v>
      </c>
      <c r="G105" s="63">
        <v>0.54</v>
      </c>
      <c r="H105" s="63">
        <v>0.46</v>
      </c>
      <c r="I105" s="63">
        <v>0</v>
      </c>
      <c r="J105" s="63">
        <v>0.51</v>
      </c>
      <c r="K105" s="63">
        <v>0.53</v>
      </c>
      <c r="L105" s="63">
        <v>0.65</v>
      </c>
      <c r="M105" s="25">
        <v>50</v>
      </c>
      <c r="N105" s="25">
        <v>8</v>
      </c>
      <c r="O105" s="61">
        <v>0.03</v>
      </c>
      <c r="P105" s="61">
        <v>0.52</v>
      </c>
      <c r="Q105" s="61">
        <v>0.41</v>
      </c>
      <c r="R105" s="61">
        <v>0.03</v>
      </c>
      <c r="S105" s="61">
        <v>0.51</v>
      </c>
      <c r="T105" s="61">
        <v>0.55000000000000004</v>
      </c>
      <c r="U105" s="61">
        <v>0.51</v>
      </c>
      <c r="V105" s="12">
        <v>52</v>
      </c>
      <c r="W105" s="12">
        <v>10</v>
      </c>
      <c r="X105" s="66">
        <v>0.03</v>
      </c>
      <c r="Y105" s="66">
        <v>0.41</v>
      </c>
      <c r="Z105" s="66">
        <v>0.48</v>
      </c>
      <c r="AA105" s="66">
        <v>7.0000000000000007E-2</v>
      </c>
      <c r="AB105" s="66">
        <v>0.48</v>
      </c>
      <c r="AC105" s="66">
        <v>0.49</v>
      </c>
      <c r="AD105" s="66">
        <v>0.53</v>
      </c>
      <c r="AE105" s="12">
        <v>51</v>
      </c>
      <c r="AF105" s="12">
        <v>7</v>
      </c>
      <c r="AG105" s="63">
        <v>0</v>
      </c>
      <c r="AH105" s="63">
        <v>0.48</v>
      </c>
      <c r="AI105" s="63">
        <v>0.52</v>
      </c>
      <c r="AJ105" s="63">
        <v>0</v>
      </c>
      <c r="AK105" s="63">
        <v>0.49</v>
      </c>
      <c r="AL105" s="63">
        <v>0.41</v>
      </c>
      <c r="AM105" s="63">
        <v>0.43</v>
      </c>
      <c r="AN105" s="35">
        <v>49</v>
      </c>
      <c r="AO105" s="35">
        <v>7</v>
      </c>
      <c r="AP105" s="40">
        <v>0.03</v>
      </c>
      <c r="AQ105" s="40">
        <v>0.52</v>
      </c>
      <c r="AR105" s="40">
        <v>0.45</v>
      </c>
      <c r="AS105" s="40">
        <v>0</v>
      </c>
      <c r="AT105" s="40">
        <v>0.54</v>
      </c>
      <c r="AU105" s="40">
        <v>0.42</v>
      </c>
      <c r="AV105" s="40">
        <v>0.52</v>
      </c>
      <c r="AW105" s="246">
        <v>50</v>
      </c>
      <c r="AX105" s="246" t="s">
        <v>758</v>
      </c>
      <c r="AY105" s="246">
        <v>7</v>
      </c>
      <c r="AZ105" s="246" t="s">
        <v>758</v>
      </c>
      <c r="BA105" s="263">
        <v>0.03</v>
      </c>
      <c r="BB105" s="263">
        <v>0.44</v>
      </c>
      <c r="BC105" s="263">
        <v>0.53</v>
      </c>
      <c r="BD105" s="263">
        <v>0</v>
      </c>
      <c r="BE105" s="263">
        <v>0.45</v>
      </c>
      <c r="BF105" s="263">
        <v>0.42</v>
      </c>
      <c r="BG105" s="263">
        <v>0.62</v>
      </c>
      <c r="BH105" s="309">
        <v>54</v>
      </c>
      <c r="BI105" s="309" t="s">
        <v>758</v>
      </c>
      <c r="BJ105" s="309">
        <v>7</v>
      </c>
      <c r="BK105" s="309" t="s">
        <v>758</v>
      </c>
      <c r="BL105" s="327">
        <v>0</v>
      </c>
      <c r="BM105" s="327">
        <v>0.39</v>
      </c>
      <c r="BN105" s="327">
        <v>0.48</v>
      </c>
      <c r="BO105" s="327">
        <v>0.12</v>
      </c>
      <c r="BP105" s="327">
        <v>0.46</v>
      </c>
      <c r="BQ105" s="327">
        <v>0.39</v>
      </c>
      <c r="BR105" s="327">
        <v>0.47</v>
      </c>
      <c r="BS105" s="424">
        <v>51</v>
      </c>
      <c r="BT105" s="424" t="s">
        <v>758</v>
      </c>
      <c r="BU105" s="424">
        <v>9</v>
      </c>
      <c r="BV105" s="424" t="s">
        <v>758</v>
      </c>
      <c r="BW105" s="428">
        <v>7.0000000000000007E-2</v>
      </c>
      <c r="BX105" s="428">
        <v>0.36</v>
      </c>
      <c r="BY105" s="428">
        <v>0.5</v>
      </c>
      <c r="BZ105" s="428">
        <v>7.0000000000000007E-2</v>
      </c>
      <c r="CA105" s="428">
        <v>0.41</v>
      </c>
      <c r="CB105" s="428">
        <v>0.55000000000000004</v>
      </c>
      <c r="CC105" s="428">
        <v>0.56000000000000005</v>
      </c>
      <c r="CD105" s="464">
        <v>51</v>
      </c>
      <c r="CE105" s="464" t="s">
        <v>758</v>
      </c>
      <c r="CF105" s="464">
        <v>9</v>
      </c>
      <c r="CG105" s="464" t="s">
        <v>758</v>
      </c>
      <c r="CH105" s="476">
        <v>0.03</v>
      </c>
      <c r="CI105" s="476">
        <v>0.44</v>
      </c>
      <c r="CJ105" s="476">
        <v>0.47</v>
      </c>
      <c r="CK105" s="476">
        <v>0.06</v>
      </c>
      <c r="CL105" s="476">
        <v>0.49</v>
      </c>
      <c r="CM105" s="476">
        <v>0.47</v>
      </c>
      <c r="CN105" s="476">
        <v>0.47</v>
      </c>
      <c r="CO105" s="902">
        <v>52</v>
      </c>
      <c r="CP105" s="902" t="s">
        <v>758</v>
      </c>
      <c r="CQ105" s="902">
        <v>10</v>
      </c>
      <c r="CR105" s="902" t="s">
        <v>758</v>
      </c>
      <c r="CS105" s="949">
        <v>0.06</v>
      </c>
      <c r="CT105" s="949">
        <v>0.32</v>
      </c>
      <c r="CU105" s="949">
        <v>0.55000000000000004</v>
      </c>
      <c r="CV105" s="949">
        <v>0.06</v>
      </c>
      <c r="CW105" s="949">
        <v>0.41</v>
      </c>
      <c r="CX105" s="949">
        <v>0.49</v>
      </c>
      <c r="CY105" s="949">
        <v>0.51</v>
      </c>
      <c r="CZ105" s="26">
        <v>125754001973</v>
      </c>
      <c r="DA105" s="803" t="s">
        <v>33</v>
      </c>
    </row>
    <row r="106" spans="1:105" ht="24.95" customHeight="1" x14ac:dyDescent="0.2">
      <c r="A106" s="803" t="s">
        <v>773</v>
      </c>
      <c r="B106" s="1" t="s">
        <v>121</v>
      </c>
      <c r="C106" s="2">
        <v>3</v>
      </c>
      <c r="D106" s="12">
        <v>54</v>
      </c>
      <c r="E106" s="12">
        <v>8</v>
      </c>
      <c r="F106" s="63">
        <v>0.02</v>
      </c>
      <c r="G106" s="63">
        <v>0.33</v>
      </c>
      <c r="H106" s="63">
        <v>0.6</v>
      </c>
      <c r="I106" s="63">
        <v>0.05</v>
      </c>
      <c r="J106" s="63">
        <v>0.49</v>
      </c>
      <c r="K106" s="63">
        <v>0.49</v>
      </c>
      <c r="L106" s="63">
        <v>0.53</v>
      </c>
      <c r="M106" s="25">
        <v>56</v>
      </c>
      <c r="N106" s="25">
        <v>9</v>
      </c>
      <c r="O106" s="61">
        <v>0.01</v>
      </c>
      <c r="P106" s="61">
        <v>0.23</v>
      </c>
      <c r="Q106" s="61">
        <v>0.63</v>
      </c>
      <c r="R106" s="61">
        <v>0.12</v>
      </c>
      <c r="S106" s="61">
        <v>0.42</v>
      </c>
      <c r="T106" s="61">
        <v>0.47</v>
      </c>
      <c r="U106" s="61">
        <v>0.46</v>
      </c>
      <c r="V106" s="12">
        <v>54</v>
      </c>
      <c r="W106" s="12">
        <v>8</v>
      </c>
      <c r="X106" s="66">
        <v>0.01</v>
      </c>
      <c r="Y106" s="66">
        <v>0.28000000000000003</v>
      </c>
      <c r="Z106" s="66">
        <v>0.63</v>
      </c>
      <c r="AA106" s="66">
        <v>0.08</v>
      </c>
      <c r="AB106" s="66">
        <v>0.42</v>
      </c>
      <c r="AC106" s="66">
        <v>0.49</v>
      </c>
      <c r="AD106" s="66">
        <v>0.51</v>
      </c>
      <c r="AE106" s="12">
        <v>54</v>
      </c>
      <c r="AF106" s="12">
        <v>9</v>
      </c>
      <c r="AG106" s="63">
        <v>0</v>
      </c>
      <c r="AH106" s="63">
        <v>0.4</v>
      </c>
      <c r="AI106" s="63">
        <v>0.5</v>
      </c>
      <c r="AJ106" s="63">
        <v>0.1</v>
      </c>
      <c r="AK106" s="63">
        <v>0.35</v>
      </c>
      <c r="AL106" s="63">
        <v>0.42</v>
      </c>
      <c r="AM106" s="63">
        <v>0.43</v>
      </c>
      <c r="AN106" s="45">
        <v>55</v>
      </c>
      <c r="AO106" s="45">
        <v>9</v>
      </c>
      <c r="AP106" s="46">
        <v>0.03</v>
      </c>
      <c r="AQ106" s="46">
        <v>0.25</v>
      </c>
      <c r="AR106" s="46">
        <v>0.63</v>
      </c>
      <c r="AS106" s="46">
        <v>0.1</v>
      </c>
      <c r="AT106" s="46">
        <v>0.46</v>
      </c>
      <c r="AU106" s="46">
        <v>0.37</v>
      </c>
      <c r="AV106" s="46">
        <v>0.43</v>
      </c>
      <c r="AW106" s="246">
        <v>54</v>
      </c>
      <c r="AX106" s="246" t="s">
        <v>758</v>
      </c>
      <c r="AY106" s="246">
        <v>9</v>
      </c>
      <c r="AZ106" s="246" t="s">
        <v>758</v>
      </c>
      <c r="BA106" s="263">
        <v>0.02</v>
      </c>
      <c r="BB106" s="263">
        <v>0.33</v>
      </c>
      <c r="BC106" s="263">
        <v>0.55000000000000004</v>
      </c>
      <c r="BD106" s="263">
        <v>0.11</v>
      </c>
      <c r="BE106" s="263">
        <v>0.44</v>
      </c>
      <c r="BF106" s="263">
        <v>0.36</v>
      </c>
      <c r="BG106" s="263">
        <v>0.54</v>
      </c>
      <c r="BH106" s="309">
        <v>55</v>
      </c>
      <c r="BI106" s="309" t="s">
        <v>758</v>
      </c>
      <c r="BJ106" s="309">
        <v>9</v>
      </c>
      <c r="BK106" s="309" t="s">
        <v>758</v>
      </c>
      <c r="BL106" s="327">
        <v>0</v>
      </c>
      <c r="BM106" s="327">
        <v>0.28999999999999998</v>
      </c>
      <c r="BN106" s="327">
        <v>0.57999999999999996</v>
      </c>
      <c r="BO106" s="327">
        <v>0.13</v>
      </c>
      <c r="BP106" s="327">
        <v>0.46</v>
      </c>
      <c r="BQ106" s="327">
        <v>0.33</v>
      </c>
      <c r="BR106" s="327">
        <v>0.41</v>
      </c>
      <c r="BS106" s="424">
        <v>56</v>
      </c>
      <c r="BT106" s="424" t="s">
        <v>758</v>
      </c>
      <c r="BU106" s="424">
        <v>9</v>
      </c>
      <c r="BV106" s="424" t="s">
        <v>758</v>
      </c>
      <c r="BW106" s="428">
        <v>0.01</v>
      </c>
      <c r="BX106" s="428">
        <v>0.24</v>
      </c>
      <c r="BY106" s="428">
        <v>0.6</v>
      </c>
      <c r="BZ106" s="428">
        <v>0.15</v>
      </c>
      <c r="CA106" s="428">
        <v>0.33</v>
      </c>
      <c r="CB106" s="428">
        <v>0.44</v>
      </c>
      <c r="CC106" s="428">
        <v>0.45</v>
      </c>
      <c r="CD106" s="464">
        <v>55</v>
      </c>
      <c r="CE106" s="464" t="s">
        <v>758</v>
      </c>
      <c r="CF106" s="464">
        <v>9</v>
      </c>
      <c r="CG106" s="464" t="s">
        <v>758</v>
      </c>
      <c r="CH106" s="476">
        <v>0.03</v>
      </c>
      <c r="CI106" s="476">
        <v>0.28999999999999998</v>
      </c>
      <c r="CJ106" s="476">
        <v>0.59</v>
      </c>
      <c r="CK106" s="476">
        <v>0.1</v>
      </c>
      <c r="CL106" s="476">
        <v>0.46</v>
      </c>
      <c r="CM106" s="476">
        <v>0.44</v>
      </c>
      <c r="CN106" s="476">
        <v>0.33</v>
      </c>
      <c r="CO106" s="902">
        <v>57</v>
      </c>
      <c r="CP106" s="902" t="s">
        <v>758</v>
      </c>
      <c r="CQ106" s="902">
        <v>9</v>
      </c>
      <c r="CR106" s="902" t="s">
        <v>758</v>
      </c>
      <c r="CS106" s="949">
        <v>0.01</v>
      </c>
      <c r="CT106" s="949">
        <v>0.2</v>
      </c>
      <c r="CU106" s="949">
        <v>0.59</v>
      </c>
      <c r="CV106" s="949">
        <v>0.2</v>
      </c>
      <c r="CW106" s="949">
        <v>0.27</v>
      </c>
      <c r="CX106" s="949">
        <v>0.41</v>
      </c>
      <c r="CY106" s="949">
        <v>0.47</v>
      </c>
      <c r="CZ106" s="26">
        <v>125754005600</v>
      </c>
      <c r="DA106" s="803" t="s">
        <v>773</v>
      </c>
    </row>
    <row r="107" spans="1:105" ht="24.95" customHeight="1" x14ac:dyDescent="0.2">
      <c r="A107" s="803" t="s">
        <v>78</v>
      </c>
      <c r="B107" s="1" t="s">
        <v>121</v>
      </c>
      <c r="C107" s="2">
        <v>1</v>
      </c>
      <c r="D107" s="12">
        <v>53</v>
      </c>
      <c r="E107" s="12">
        <v>7</v>
      </c>
      <c r="F107" s="63">
        <v>0</v>
      </c>
      <c r="G107" s="63">
        <v>0.36</v>
      </c>
      <c r="H107" s="63">
        <v>0.61</v>
      </c>
      <c r="I107" s="63">
        <v>0.03</v>
      </c>
      <c r="J107" s="63">
        <v>0.48</v>
      </c>
      <c r="K107" s="63">
        <v>0.52</v>
      </c>
      <c r="L107" s="63">
        <v>0.56000000000000005</v>
      </c>
      <c r="M107" s="25">
        <v>55</v>
      </c>
      <c r="N107" s="25">
        <v>7</v>
      </c>
      <c r="O107" s="61">
        <v>0.02</v>
      </c>
      <c r="P107" s="61">
        <v>0.23</v>
      </c>
      <c r="Q107" s="61">
        <v>0.72</v>
      </c>
      <c r="R107" s="61">
        <v>0.03</v>
      </c>
      <c r="S107" s="61">
        <v>0.43</v>
      </c>
      <c r="T107" s="61">
        <v>0.46</v>
      </c>
      <c r="U107" s="61">
        <v>0.45</v>
      </c>
      <c r="V107" s="12">
        <v>52</v>
      </c>
      <c r="W107" s="12">
        <v>9</v>
      </c>
      <c r="X107" s="66">
        <v>0.03</v>
      </c>
      <c r="Y107" s="66">
        <v>0.43</v>
      </c>
      <c r="Z107" s="66">
        <v>0.48</v>
      </c>
      <c r="AA107" s="66">
        <v>0.06</v>
      </c>
      <c r="AB107" s="66">
        <v>0.45</v>
      </c>
      <c r="AC107" s="66">
        <v>0.52</v>
      </c>
      <c r="AD107" s="66">
        <v>0.53</v>
      </c>
      <c r="AE107" s="12">
        <v>53</v>
      </c>
      <c r="AF107" s="12">
        <v>9</v>
      </c>
      <c r="AG107" s="63">
        <v>0.05</v>
      </c>
      <c r="AH107" s="63">
        <v>0.34</v>
      </c>
      <c r="AI107" s="63">
        <v>0.53</v>
      </c>
      <c r="AJ107" s="63">
        <v>0.08</v>
      </c>
      <c r="AK107" s="63">
        <v>0.44</v>
      </c>
      <c r="AL107" s="63">
        <v>0.38</v>
      </c>
      <c r="AM107" s="63">
        <v>0.43</v>
      </c>
      <c r="AN107" s="45">
        <v>54</v>
      </c>
      <c r="AO107" s="45">
        <v>8</v>
      </c>
      <c r="AP107" s="46">
        <v>0.02</v>
      </c>
      <c r="AQ107" s="46">
        <v>0.28000000000000003</v>
      </c>
      <c r="AR107" s="46">
        <v>0.61</v>
      </c>
      <c r="AS107" s="46">
        <v>0.09</v>
      </c>
      <c r="AT107" s="46">
        <v>0.46</v>
      </c>
      <c r="AU107" s="46">
        <v>0.36</v>
      </c>
      <c r="AV107" s="46">
        <v>0.43</v>
      </c>
      <c r="AW107" s="246">
        <v>53</v>
      </c>
      <c r="AX107" s="246" t="s">
        <v>758</v>
      </c>
      <c r="AY107" s="246">
        <v>9</v>
      </c>
      <c r="AZ107" s="246" t="s">
        <v>758</v>
      </c>
      <c r="BA107" s="263">
        <v>0.03</v>
      </c>
      <c r="BB107" s="263">
        <v>0.38</v>
      </c>
      <c r="BC107" s="263">
        <v>0.51</v>
      </c>
      <c r="BD107" s="263">
        <v>0.08</v>
      </c>
      <c r="BE107" s="263">
        <v>0.47</v>
      </c>
      <c r="BF107" s="263">
        <v>0.33</v>
      </c>
      <c r="BG107" s="263">
        <v>0.56000000000000005</v>
      </c>
      <c r="BH107" s="309">
        <v>55</v>
      </c>
      <c r="BI107" s="309" t="s">
        <v>758</v>
      </c>
      <c r="BJ107" s="309">
        <v>9</v>
      </c>
      <c r="BK107" s="309" t="s">
        <v>758</v>
      </c>
      <c r="BL107" s="327">
        <v>0.01</v>
      </c>
      <c r="BM107" s="327">
        <v>0.31</v>
      </c>
      <c r="BN107" s="327">
        <v>0.55000000000000004</v>
      </c>
      <c r="BO107" s="327">
        <v>0.13</v>
      </c>
      <c r="BP107" s="327">
        <v>0.46</v>
      </c>
      <c r="BQ107" s="327">
        <v>0.33</v>
      </c>
      <c r="BR107" s="327">
        <v>0.44</v>
      </c>
      <c r="BS107" s="424">
        <v>52</v>
      </c>
      <c r="BT107" s="424" t="s">
        <v>758</v>
      </c>
      <c r="BU107" s="424">
        <v>9</v>
      </c>
      <c r="BV107" s="424" t="s">
        <v>758</v>
      </c>
      <c r="BW107" s="428">
        <v>0.03</v>
      </c>
      <c r="BX107" s="428">
        <v>0.39</v>
      </c>
      <c r="BY107" s="428">
        <v>0.55000000000000004</v>
      </c>
      <c r="BZ107" s="428">
        <v>0.04</v>
      </c>
      <c r="CA107" s="428">
        <v>0.39</v>
      </c>
      <c r="CB107" s="428">
        <v>0.51</v>
      </c>
      <c r="CC107" s="428">
        <v>0.51</v>
      </c>
      <c r="CD107" s="464">
        <v>53</v>
      </c>
      <c r="CE107" s="464" t="s">
        <v>758</v>
      </c>
      <c r="CF107" s="464">
        <v>9</v>
      </c>
      <c r="CG107" s="464" t="s">
        <v>758</v>
      </c>
      <c r="CH107" s="476">
        <v>0.03</v>
      </c>
      <c r="CI107" s="476">
        <v>0.31</v>
      </c>
      <c r="CJ107" s="476">
        <v>0.6</v>
      </c>
      <c r="CK107" s="476">
        <v>0.06</v>
      </c>
      <c r="CL107" s="476">
        <v>0.47</v>
      </c>
      <c r="CM107" s="476">
        <v>0.47</v>
      </c>
      <c r="CN107" s="476">
        <v>0.38</v>
      </c>
      <c r="CO107" s="902">
        <v>50</v>
      </c>
      <c r="CP107" s="902" t="s">
        <v>758</v>
      </c>
      <c r="CQ107" s="902">
        <v>9</v>
      </c>
      <c r="CR107" s="902" t="s">
        <v>758</v>
      </c>
      <c r="CS107" s="949">
        <v>0.05</v>
      </c>
      <c r="CT107" s="949">
        <v>0.46</v>
      </c>
      <c r="CU107" s="949">
        <v>0.46</v>
      </c>
      <c r="CV107" s="949">
        <v>0.03</v>
      </c>
      <c r="CW107" s="949">
        <v>0.39</v>
      </c>
      <c r="CX107" s="949">
        <v>0.52</v>
      </c>
      <c r="CY107" s="949">
        <v>0.57999999999999996</v>
      </c>
      <c r="CZ107" s="26">
        <v>125754001418</v>
      </c>
      <c r="DA107" s="803" t="s">
        <v>78</v>
      </c>
    </row>
    <row r="108" spans="1:105" ht="24.95" customHeight="1" x14ac:dyDescent="0.2">
      <c r="A108" s="809" t="s">
        <v>177</v>
      </c>
      <c r="B108" s="14" t="s">
        <v>121</v>
      </c>
      <c r="C108" s="2">
        <v>3</v>
      </c>
      <c r="D108" s="12">
        <v>51</v>
      </c>
      <c r="E108" s="12">
        <v>9</v>
      </c>
      <c r="F108" s="66">
        <v>0.04</v>
      </c>
      <c r="G108" s="66">
        <v>0.46</v>
      </c>
      <c r="H108" s="66">
        <v>0.46</v>
      </c>
      <c r="I108" s="66">
        <v>0.04</v>
      </c>
      <c r="J108" s="63">
        <v>0.48</v>
      </c>
      <c r="K108" s="63">
        <v>0.5</v>
      </c>
      <c r="L108" s="63">
        <v>0.56000000000000005</v>
      </c>
      <c r="M108" s="25">
        <v>54</v>
      </c>
      <c r="N108" s="25">
        <v>8</v>
      </c>
      <c r="O108" s="61">
        <v>0.02</v>
      </c>
      <c r="P108" s="61">
        <v>0.32</v>
      </c>
      <c r="Q108" s="61">
        <v>0.62</v>
      </c>
      <c r="R108" s="61">
        <v>0.04</v>
      </c>
      <c r="S108" s="61">
        <v>0.44</v>
      </c>
      <c r="T108" s="61">
        <v>0.51</v>
      </c>
      <c r="U108" s="61">
        <v>0.48</v>
      </c>
      <c r="V108" s="25">
        <v>55</v>
      </c>
      <c r="W108" s="25">
        <v>9</v>
      </c>
      <c r="X108" s="66">
        <v>0.02</v>
      </c>
      <c r="Y108" s="66">
        <v>0.25</v>
      </c>
      <c r="Z108" s="66">
        <v>0.57999999999999996</v>
      </c>
      <c r="AA108" s="66">
        <v>0.14000000000000001</v>
      </c>
      <c r="AB108" s="66">
        <v>0.42</v>
      </c>
      <c r="AC108" s="66">
        <v>0.46</v>
      </c>
      <c r="AD108" s="66">
        <v>0.5</v>
      </c>
      <c r="AE108" s="12">
        <v>54</v>
      </c>
      <c r="AF108" s="12">
        <v>8</v>
      </c>
      <c r="AG108" s="63">
        <v>0.02</v>
      </c>
      <c r="AH108" s="63">
        <v>0.3</v>
      </c>
      <c r="AI108" s="63">
        <v>0.6</v>
      </c>
      <c r="AJ108" s="63">
        <v>0.08</v>
      </c>
      <c r="AK108" s="63">
        <v>0.44</v>
      </c>
      <c r="AL108" s="63">
        <v>0.37</v>
      </c>
      <c r="AM108" s="63">
        <v>0.42</v>
      </c>
      <c r="AN108" s="35">
        <v>56</v>
      </c>
      <c r="AO108" s="35">
        <v>8</v>
      </c>
      <c r="AP108" s="40">
        <v>0.02</v>
      </c>
      <c r="AQ108" s="40">
        <v>0.2</v>
      </c>
      <c r="AR108" s="40">
        <v>0.66</v>
      </c>
      <c r="AS108" s="40">
        <v>0.12</v>
      </c>
      <c r="AT108" s="40">
        <v>0.43</v>
      </c>
      <c r="AU108" s="40">
        <v>0.34</v>
      </c>
      <c r="AV108" s="40">
        <v>0.4</v>
      </c>
      <c r="AW108" s="246">
        <v>56</v>
      </c>
      <c r="AX108" s="246" t="s">
        <v>758</v>
      </c>
      <c r="AY108" s="246">
        <v>8</v>
      </c>
      <c r="AZ108" s="246" t="s">
        <v>758</v>
      </c>
      <c r="BA108" s="263">
        <v>0.01</v>
      </c>
      <c r="BB108" s="263">
        <v>0.25</v>
      </c>
      <c r="BC108" s="263">
        <v>0.62</v>
      </c>
      <c r="BD108" s="263">
        <v>0.12</v>
      </c>
      <c r="BE108" s="263">
        <v>0.42</v>
      </c>
      <c r="BF108" s="263">
        <v>0.31</v>
      </c>
      <c r="BG108" s="263">
        <v>0.52</v>
      </c>
      <c r="BH108" s="309">
        <v>56</v>
      </c>
      <c r="BI108" s="309" t="s">
        <v>758</v>
      </c>
      <c r="BJ108" s="309">
        <v>9</v>
      </c>
      <c r="BK108" s="309" t="s">
        <v>758</v>
      </c>
      <c r="BL108" s="327">
        <v>0.01</v>
      </c>
      <c r="BM108" s="327">
        <v>0.24</v>
      </c>
      <c r="BN108" s="327">
        <v>0.61</v>
      </c>
      <c r="BO108" s="327">
        <v>0.14000000000000001</v>
      </c>
      <c r="BP108" s="327">
        <v>0.44</v>
      </c>
      <c r="BQ108" s="327">
        <v>0.3</v>
      </c>
      <c r="BR108" s="327">
        <v>0.42</v>
      </c>
      <c r="BS108" s="424">
        <v>56</v>
      </c>
      <c r="BT108" s="424" t="s">
        <v>758</v>
      </c>
      <c r="BU108" s="424">
        <v>9</v>
      </c>
      <c r="BV108" s="424" t="s">
        <v>758</v>
      </c>
      <c r="BW108" s="428">
        <v>0.02</v>
      </c>
      <c r="BX108" s="428">
        <v>0.25</v>
      </c>
      <c r="BY108" s="428">
        <v>0.6</v>
      </c>
      <c r="BZ108" s="428">
        <v>0.14000000000000001</v>
      </c>
      <c r="CA108" s="428">
        <v>0.34</v>
      </c>
      <c r="CB108" s="428">
        <v>0.43</v>
      </c>
      <c r="CC108" s="428">
        <v>0.44</v>
      </c>
      <c r="CD108" s="464">
        <v>56</v>
      </c>
      <c r="CE108" s="464" t="s">
        <v>758</v>
      </c>
      <c r="CF108" s="464">
        <v>9</v>
      </c>
      <c r="CG108" s="464" t="s">
        <v>758</v>
      </c>
      <c r="CH108" s="476">
        <v>0.01</v>
      </c>
      <c r="CI108" s="476">
        <v>0.24</v>
      </c>
      <c r="CJ108" s="476">
        <v>0.6</v>
      </c>
      <c r="CK108" s="476">
        <v>0.15</v>
      </c>
      <c r="CL108" s="476">
        <v>0.43</v>
      </c>
      <c r="CM108" s="476">
        <v>0.41</v>
      </c>
      <c r="CN108" s="476">
        <v>0.32</v>
      </c>
      <c r="CO108" s="902">
        <v>57</v>
      </c>
      <c r="CP108" s="902" t="s">
        <v>758</v>
      </c>
      <c r="CQ108" s="902">
        <v>9</v>
      </c>
      <c r="CR108" s="902" t="s">
        <v>758</v>
      </c>
      <c r="CS108" s="949">
        <v>0.01</v>
      </c>
      <c r="CT108" s="949">
        <v>0.23</v>
      </c>
      <c r="CU108" s="949">
        <v>0.59</v>
      </c>
      <c r="CV108" s="949">
        <v>0.17</v>
      </c>
      <c r="CW108" s="949">
        <v>0.28999999999999998</v>
      </c>
      <c r="CX108" s="949">
        <v>0.43</v>
      </c>
      <c r="CY108" s="949">
        <v>0.47</v>
      </c>
      <c r="CZ108" s="26">
        <v>125754005464</v>
      </c>
      <c r="DA108" s="809" t="s">
        <v>177</v>
      </c>
    </row>
    <row r="109" spans="1:105" ht="24.95" customHeight="1" x14ac:dyDescent="0.2">
      <c r="A109" s="803" t="s">
        <v>61</v>
      </c>
      <c r="B109" s="1" t="s">
        <v>121</v>
      </c>
      <c r="C109" s="2">
        <v>4</v>
      </c>
      <c r="D109" s="12">
        <v>50</v>
      </c>
      <c r="E109" s="12">
        <v>8</v>
      </c>
      <c r="F109" s="63">
        <v>0.02</v>
      </c>
      <c r="G109" s="63">
        <v>0.54</v>
      </c>
      <c r="H109" s="63">
        <v>0.43</v>
      </c>
      <c r="I109" s="63">
        <v>0.01</v>
      </c>
      <c r="J109" s="63">
        <v>0.47</v>
      </c>
      <c r="K109" s="63">
        <v>0.54</v>
      </c>
      <c r="L109" s="63">
        <v>0.6</v>
      </c>
      <c r="M109" s="25">
        <v>50</v>
      </c>
      <c r="N109" s="25">
        <v>8</v>
      </c>
      <c r="O109" s="61">
        <v>0.02</v>
      </c>
      <c r="P109" s="61">
        <v>0.54</v>
      </c>
      <c r="Q109" s="61">
        <v>0.41</v>
      </c>
      <c r="R109" s="61">
        <v>0.03</v>
      </c>
      <c r="S109" s="61">
        <v>0.49</v>
      </c>
      <c r="T109" s="61">
        <v>0.54</v>
      </c>
      <c r="U109" s="61">
        <v>0.53</v>
      </c>
      <c r="V109" s="12">
        <v>50</v>
      </c>
      <c r="W109" s="12">
        <v>9</v>
      </c>
      <c r="X109" s="66">
        <v>0.05</v>
      </c>
      <c r="Y109" s="66">
        <v>0.49</v>
      </c>
      <c r="Z109" s="66">
        <v>0.42</v>
      </c>
      <c r="AA109" s="66">
        <v>0.03</v>
      </c>
      <c r="AB109" s="66">
        <v>0.53</v>
      </c>
      <c r="AC109" s="66">
        <v>0.54</v>
      </c>
      <c r="AD109" s="66">
        <v>0.54</v>
      </c>
      <c r="AE109" s="12">
        <v>49</v>
      </c>
      <c r="AF109" s="12">
        <v>9</v>
      </c>
      <c r="AG109" s="63">
        <v>0.06</v>
      </c>
      <c r="AH109" s="63">
        <v>0.54</v>
      </c>
      <c r="AI109" s="63">
        <v>0.37</v>
      </c>
      <c r="AJ109" s="63">
        <v>0.04</v>
      </c>
      <c r="AK109" s="63">
        <v>0.5</v>
      </c>
      <c r="AL109" s="63">
        <v>0.46</v>
      </c>
      <c r="AM109" s="63">
        <v>0.5</v>
      </c>
      <c r="AN109" s="35">
        <v>51</v>
      </c>
      <c r="AO109" s="35">
        <v>9</v>
      </c>
      <c r="AP109" s="40">
        <v>0.01</v>
      </c>
      <c r="AQ109" s="40">
        <v>0.52</v>
      </c>
      <c r="AR109" s="40">
        <v>0.41</v>
      </c>
      <c r="AS109" s="40">
        <v>0.06</v>
      </c>
      <c r="AT109" s="40">
        <v>0.52</v>
      </c>
      <c r="AU109" s="40">
        <v>0.42</v>
      </c>
      <c r="AV109" s="40">
        <v>0.47</v>
      </c>
      <c r="AW109" s="246">
        <v>49</v>
      </c>
      <c r="AX109" s="246" t="s">
        <v>758</v>
      </c>
      <c r="AY109" s="246">
        <v>10</v>
      </c>
      <c r="AZ109" s="246" t="s">
        <v>758</v>
      </c>
      <c r="BA109" s="263">
        <v>0.09</v>
      </c>
      <c r="BB109" s="263">
        <v>0.48</v>
      </c>
      <c r="BC109" s="263">
        <v>0.4</v>
      </c>
      <c r="BD109" s="263">
        <v>0.03</v>
      </c>
      <c r="BE109" s="263">
        <v>0.54</v>
      </c>
      <c r="BF109" s="263">
        <v>0.43</v>
      </c>
      <c r="BG109" s="263">
        <v>0.61</v>
      </c>
      <c r="BH109" s="309">
        <v>50</v>
      </c>
      <c r="BI109" s="309" t="s">
        <v>758</v>
      </c>
      <c r="BJ109" s="309">
        <v>9</v>
      </c>
      <c r="BK109" s="309" t="s">
        <v>758</v>
      </c>
      <c r="BL109" s="327">
        <v>0.03</v>
      </c>
      <c r="BM109" s="327">
        <v>0.48</v>
      </c>
      <c r="BN109" s="327">
        <v>0.46</v>
      </c>
      <c r="BO109" s="327">
        <v>0.03</v>
      </c>
      <c r="BP109" s="327">
        <v>0.54</v>
      </c>
      <c r="BQ109" s="327">
        <v>0.39</v>
      </c>
      <c r="BR109" s="327">
        <v>0.53</v>
      </c>
      <c r="BS109" s="424">
        <v>49</v>
      </c>
      <c r="BT109" s="424" t="s">
        <v>758</v>
      </c>
      <c r="BU109" s="424">
        <v>10</v>
      </c>
      <c r="BV109" s="424" t="s">
        <v>758</v>
      </c>
      <c r="BW109" s="428">
        <v>0.08</v>
      </c>
      <c r="BX109" s="428">
        <v>0.5</v>
      </c>
      <c r="BY109" s="428">
        <v>0.36</v>
      </c>
      <c r="BZ109" s="428">
        <v>0.05</v>
      </c>
      <c r="CA109" s="428">
        <v>0.44</v>
      </c>
      <c r="CB109" s="428">
        <v>0.53</v>
      </c>
      <c r="CC109" s="428">
        <v>0.61</v>
      </c>
      <c r="CD109" s="464">
        <v>50</v>
      </c>
      <c r="CE109" s="464" t="s">
        <v>758</v>
      </c>
      <c r="CF109" s="464">
        <v>9</v>
      </c>
      <c r="CG109" s="464" t="s">
        <v>758</v>
      </c>
      <c r="CH109" s="476">
        <v>0.06</v>
      </c>
      <c r="CI109" s="476">
        <v>0.45</v>
      </c>
      <c r="CJ109" s="476">
        <v>0.45</v>
      </c>
      <c r="CK109" s="476">
        <v>0.03</v>
      </c>
      <c r="CL109" s="476">
        <v>0.53</v>
      </c>
      <c r="CM109" s="476">
        <v>0.53</v>
      </c>
      <c r="CN109" s="476">
        <v>0.43</v>
      </c>
      <c r="CO109" s="902">
        <v>51</v>
      </c>
      <c r="CP109" s="902" t="s">
        <v>758</v>
      </c>
      <c r="CQ109" s="902">
        <v>9</v>
      </c>
      <c r="CR109" s="902" t="s">
        <v>758</v>
      </c>
      <c r="CS109" s="949">
        <v>0.05</v>
      </c>
      <c r="CT109" s="949">
        <v>0.48</v>
      </c>
      <c r="CU109" s="949">
        <v>0.41</v>
      </c>
      <c r="CV109" s="949">
        <v>0.05</v>
      </c>
      <c r="CW109" s="949">
        <v>0.4</v>
      </c>
      <c r="CX109" s="949">
        <v>0.53</v>
      </c>
      <c r="CY109" s="949">
        <v>0.57999999999999996</v>
      </c>
      <c r="CZ109" s="26">
        <v>125754001957</v>
      </c>
      <c r="DA109" s="803" t="s">
        <v>61</v>
      </c>
    </row>
    <row r="110" spans="1:105" ht="24.95" customHeight="1" x14ac:dyDescent="0.2">
      <c r="A110" s="803" t="s">
        <v>52</v>
      </c>
      <c r="B110" s="1" t="s">
        <v>121</v>
      </c>
      <c r="C110" s="2">
        <v>1</v>
      </c>
      <c r="D110" s="12">
        <v>53</v>
      </c>
      <c r="E110" s="12">
        <v>8</v>
      </c>
      <c r="F110" s="63">
        <v>0.01</v>
      </c>
      <c r="G110" s="63">
        <v>0.41</v>
      </c>
      <c r="H110" s="63">
        <v>0.52</v>
      </c>
      <c r="I110" s="63">
        <v>0.06</v>
      </c>
      <c r="J110" s="63">
        <v>0.41</v>
      </c>
      <c r="K110" s="63">
        <v>0.49</v>
      </c>
      <c r="L110" s="63">
        <v>0.55000000000000004</v>
      </c>
      <c r="M110" s="25">
        <v>52</v>
      </c>
      <c r="N110" s="25">
        <v>8</v>
      </c>
      <c r="O110" s="61">
        <v>0.02</v>
      </c>
      <c r="P110" s="61">
        <v>0.39</v>
      </c>
      <c r="Q110" s="61">
        <v>0.56000000000000005</v>
      </c>
      <c r="R110" s="61">
        <v>0.03</v>
      </c>
      <c r="S110" s="61">
        <v>0.48</v>
      </c>
      <c r="T110" s="61">
        <v>0.5</v>
      </c>
      <c r="U110" s="61">
        <v>0.5</v>
      </c>
      <c r="V110" s="12">
        <v>53</v>
      </c>
      <c r="W110" s="12">
        <v>9</v>
      </c>
      <c r="X110" s="66">
        <v>0.02</v>
      </c>
      <c r="Y110" s="66">
        <v>0.37</v>
      </c>
      <c r="Z110" s="66">
        <v>0.53</v>
      </c>
      <c r="AA110" s="66">
        <v>0.08</v>
      </c>
      <c r="AB110" s="66">
        <v>0.45</v>
      </c>
      <c r="AC110" s="66">
        <v>0.49</v>
      </c>
      <c r="AD110" s="66">
        <v>0.52</v>
      </c>
      <c r="AE110" s="12">
        <v>53</v>
      </c>
      <c r="AF110" s="12">
        <v>9</v>
      </c>
      <c r="AG110" s="63">
        <v>0.02</v>
      </c>
      <c r="AH110" s="63">
        <v>0.36</v>
      </c>
      <c r="AI110" s="63">
        <v>0.56999999999999995</v>
      </c>
      <c r="AJ110" s="63">
        <v>0.06</v>
      </c>
      <c r="AK110" s="63">
        <v>0.45</v>
      </c>
      <c r="AL110" s="63">
        <v>0.38</v>
      </c>
      <c r="AM110" s="63">
        <v>0.45</v>
      </c>
      <c r="AN110" s="35">
        <v>53</v>
      </c>
      <c r="AO110" s="35">
        <v>8</v>
      </c>
      <c r="AP110" s="40">
        <v>0.01</v>
      </c>
      <c r="AQ110" s="40">
        <v>0.42</v>
      </c>
      <c r="AR110" s="40">
        <v>0.51</v>
      </c>
      <c r="AS110" s="40">
        <v>0.05</v>
      </c>
      <c r="AT110" s="40">
        <v>0.5</v>
      </c>
      <c r="AU110" s="40">
        <v>0.37</v>
      </c>
      <c r="AV110" s="40">
        <v>0.44</v>
      </c>
      <c r="AW110" s="246">
        <v>52</v>
      </c>
      <c r="AX110" s="246" t="s">
        <v>758</v>
      </c>
      <c r="AY110" s="246">
        <v>10</v>
      </c>
      <c r="AZ110" s="246" t="s">
        <v>758</v>
      </c>
      <c r="BA110" s="263">
        <v>0.03</v>
      </c>
      <c r="BB110" s="263">
        <v>0.37</v>
      </c>
      <c r="BC110" s="263">
        <v>0.52</v>
      </c>
      <c r="BD110" s="263">
        <v>7.0000000000000007E-2</v>
      </c>
      <c r="BE110" s="263">
        <v>0.46</v>
      </c>
      <c r="BF110" s="263">
        <v>0.36</v>
      </c>
      <c r="BG110" s="263">
        <v>0.56999999999999995</v>
      </c>
      <c r="BH110" s="309">
        <v>54</v>
      </c>
      <c r="BI110" s="309" t="s">
        <v>758</v>
      </c>
      <c r="BJ110" s="309">
        <v>9</v>
      </c>
      <c r="BK110" s="309" t="s">
        <v>758</v>
      </c>
      <c r="BL110" s="327">
        <v>0.01</v>
      </c>
      <c r="BM110" s="327">
        <v>0.31</v>
      </c>
      <c r="BN110" s="327">
        <v>0.56000000000000005</v>
      </c>
      <c r="BO110" s="327">
        <v>0.11</v>
      </c>
      <c r="BP110" s="327">
        <v>0.48</v>
      </c>
      <c r="BQ110" s="327">
        <v>0.35</v>
      </c>
      <c r="BR110" s="327">
        <v>0.45</v>
      </c>
      <c r="BS110" s="424">
        <v>53</v>
      </c>
      <c r="BT110" s="424" t="s">
        <v>758</v>
      </c>
      <c r="BU110" s="424">
        <v>8</v>
      </c>
      <c r="BV110" s="424" t="s">
        <v>758</v>
      </c>
      <c r="BW110" s="428">
        <v>0.02</v>
      </c>
      <c r="BX110" s="428">
        <v>0.37</v>
      </c>
      <c r="BY110" s="428">
        <v>0.54</v>
      </c>
      <c r="BZ110" s="428">
        <v>0.08</v>
      </c>
      <c r="CA110" s="428">
        <v>0.37</v>
      </c>
      <c r="CB110" s="428">
        <v>0.5</v>
      </c>
      <c r="CC110" s="428">
        <v>0.52</v>
      </c>
      <c r="CD110" s="464">
        <v>55</v>
      </c>
      <c r="CE110" s="464" t="s">
        <v>758</v>
      </c>
      <c r="CF110" s="464">
        <v>9</v>
      </c>
      <c r="CG110" s="464" t="s">
        <v>758</v>
      </c>
      <c r="CH110" s="476">
        <v>0.01</v>
      </c>
      <c r="CI110" s="476">
        <v>0.31</v>
      </c>
      <c r="CJ110" s="476">
        <v>0.57999999999999996</v>
      </c>
      <c r="CK110" s="476">
        <v>0.1</v>
      </c>
      <c r="CL110" s="476">
        <v>0.44</v>
      </c>
      <c r="CM110" s="476">
        <v>0.43</v>
      </c>
      <c r="CN110" s="476">
        <v>0.36</v>
      </c>
      <c r="CO110" s="902">
        <v>55</v>
      </c>
      <c r="CP110" s="902" t="s">
        <v>758</v>
      </c>
      <c r="CQ110" s="902">
        <v>9</v>
      </c>
      <c r="CR110" s="902" t="s">
        <v>758</v>
      </c>
      <c r="CS110" s="949">
        <v>0.01</v>
      </c>
      <c r="CT110" s="949">
        <v>0.28999999999999998</v>
      </c>
      <c r="CU110" s="949">
        <v>0.56999999999999995</v>
      </c>
      <c r="CV110" s="949">
        <v>0.13</v>
      </c>
      <c r="CW110" s="949">
        <v>0.34</v>
      </c>
      <c r="CX110" s="949">
        <v>0.45</v>
      </c>
      <c r="CY110" s="949">
        <v>0.51</v>
      </c>
      <c r="CZ110" s="26">
        <v>125754003267</v>
      </c>
      <c r="DA110" s="803" t="s">
        <v>52</v>
      </c>
    </row>
    <row r="111" spans="1:105" ht="24.95" customHeight="1" x14ac:dyDescent="0.2">
      <c r="A111" s="803" t="s">
        <v>32</v>
      </c>
      <c r="B111" s="1" t="s">
        <v>123</v>
      </c>
      <c r="C111" s="2">
        <v>5</v>
      </c>
      <c r="D111" s="12">
        <v>56</v>
      </c>
      <c r="E111" s="12">
        <v>8</v>
      </c>
      <c r="F111" s="63">
        <v>0.03</v>
      </c>
      <c r="G111" s="63">
        <v>0.25</v>
      </c>
      <c r="H111" s="63">
        <v>0.61</v>
      </c>
      <c r="I111" s="63">
        <v>0.11</v>
      </c>
      <c r="J111" s="63">
        <v>0.35</v>
      </c>
      <c r="K111" s="63">
        <v>0.44</v>
      </c>
      <c r="L111" s="63">
        <v>0.53</v>
      </c>
      <c r="M111" s="25">
        <v>55</v>
      </c>
      <c r="N111" s="25">
        <v>7</v>
      </c>
      <c r="O111" s="61">
        <v>0</v>
      </c>
      <c r="P111" s="61">
        <v>0.27</v>
      </c>
      <c r="Q111" s="61">
        <v>0.71</v>
      </c>
      <c r="R111" s="61">
        <v>0.02</v>
      </c>
      <c r="S111" s="61">
        <v>0.41</v>
      </c>
      <c r="T111" s="61">
        <v>0.47</v>
      </c>
      <c r="U111" s="61">
        <v>0.46</v>
      </c>
      <c r="V111" s="12">
        <v>53</v>
      </c>
      <c r="W111" s="12">
        <v>9</v>
      </c>
      <c r="X111" s="66">
        <v>0</v>
      </c>
      <c r="Y111" s="66">
        <v>0.48</v>
      </c>
      <c r="Z111" s="66">
        <v>0.43</v>
      </c>
      <c r="AA111" s="66">
        <v>0.1</v>
      </c>
      <c r="AB111" s="66">
        <v>0.42</v>
      </c>
      <c r="AC111" s="66">
        <v>0.53</v>
      </c>
      <c r="AD111" s="66">
        <v>0.5</v>
      </c>
      <c r="AE111" s="12">
        <v>57</v>
      </c>
      <c r="AF111" s="12">
        <v>8</v>
      </c>
      <c r="AG111" s="63">
        <v>0</v>
      </c>
      <c r="AH111" s="63">
        <v>0.14000000000000001</v>
      </c>
      <c r="AI111" s="63">
        <v>0.77</v>
      </c>
      <c r="AJ111" s="63">
        <v>0.09</v>
      </c>
      <c r="AK111" s="63">
        <v>0.34</v>
      </c>
      <c r="AL111" s="63">
        <v>0.33</v>
      </c>
      <c r="AM111" s="63">
        <v>0.39</v>
      </c>
      <c r="AN111" s="35">
        <v>53</v>
      </c>
      <c r="AO111" s="35">
        <v>8</v>
      </c>
      <c r="AP111" s="40">
        <v>0</v>
      </c>
      <c r="AQ111" s="40">
        <v>0.33</v>
      </c>
      <c r="AR111" s="40">
        <v>0.59</v>
      </c>
      <c r="AS111" s="40">
        <v>7.0000000000000007E-2</v>
      </c>
      <c r="AT111" s="40">
        <v>0.49</v>
      </c>
      <c r="AU111" s="40">
        <v>0.33</v>
      </c>
      <c r="AV111" s="40">
        <v>0.48</v>
      </c>
      <c r="AW111" s="246">
        <v>57</v>
      </c>
      <c r="AX111" s="246" t="s">
        <v>758</v>
      </c>
      <c r="AY111" s="246">
        <v>8</v>
      </c>
      <c r="AZ111" s="246" t="s">
        <v>758</v>
      </c>
      <c r="BA111" s="263">
        <v>0</v>
      </c>
      <c r="BB111" s="263">
        <v>0.22</v>
      </c>
      <c r="BC111" s="263">
        <v>0.61</v>
      </c>
      <c r="BD111" s="263">
        <v>0.17</v>
      </c>
      <c r="BE111" s="263">
        <v>0.41</v>
      </c>
      <c r="BF111" s="263">
        <v>0.21</v>
      </c>
      <c r="BG111" s="263">
        <v>0.48</v>
      </c>
      <c r="BH111" s="649"/>
      <c r="BI111" s="649"/>
      <c r="BJ111" s="649"/>
      <c r="BK111" s="649"/>
      <c r="BL111" s="649"/>
      <c r="BM111" s="649"/>
      <c r="BN111" s="649"/>
      <c r="BO111" s="649"/>
      <c r="BP111" s="649"/>
      <c r="BQ111" s="649"/>
      <c r="BR111" s="649"/>
      <c r="BS111" s="651"/>
      <c r="BT111" s="651"/>
      <c r="BU111" s="651"/>
      <c r="BV111" s="651"/>
      <c r="BW111" s="651"/>
      <c r="BX111" s="651"/>
      <c r="BY111" s="651"/>
      <c r="BZ111" s="651"/>
      <c r="CA111" s="651"/>
      <c r="CB111" s="651"/>
      <c r="CC111" s="651"/>
      <c r="CD111" s="650"/>
      <c r="CE111" s="650"/>
      <c r="CF111" s="650"/>
      <c r="CG111" s="650"/>
      <c r="CH111" s="650"/>
      <c r="CI111" s="650"/>
      <c r="CJ111" s="650"/>
      <c r="CK111" s="650"/>
      <c r="CL111" s="650"/>
      <c r="CM111" s="650"/>
      <c r="CN111" s="650"/>
      <c r="CS111" s="949"/>
      <c r="CT111" s="949"/>
      <c r="CU111" s="949"/>
      <c r="CV111" s="949"/>
      <c r="CW111" s="949"/>
      <c r="CX111" s="949"/>
      <c r="CY111" s="949"/>
      <c r="CZ111" s="26"/>
      <c r="DA111" s="803" t="s">
        <v>32</v>
      </c>
    </row>
    <row r="112" spans="1:105" ht="24.95" customHeight="1" x14ac:dyDescent="0.2">
      <c r="A112" s="803" t="s">
        <v>39</v>
      </c>
      <c r="B112" s="1" t="s">
        <v>121</v>
      </c>
      <c r="C112" s="2">
        <v>6</v>
      </c>
      <c r="D112" s="12">
        <v>53</v>
      </c>
      <c r="E112" s="12">
        <v>8</v>
      </c>
      <c r="F112" s="63">
        <v>0.01</v>
      </c>
      <c r="G112" s="63">
        <v>0.4</v>
      </c>
      <c r="H112" s="63">
        <v>0.55000000000000004</v>
      </c>
      <c r="I112" s="63">
        <v>0.04</v>
      </c>
      <c r="J112" s="63">
        <v>0.51</v>
      </c>
      <c r="K112" s="63">
        <v>0.5</v>
      </c>
      <c r="L112" s="63">
        <v>0.5</v>
      </c>
      <c r="M112" s="25">
        <v>53</v>
      </c>
      <c r="N112" s="25">
        <v>7</v>
      </c>
      <c r="O112" s="61">
        <v>0</v>
      </c>
      <c r="P112" s="61">
        <v>0.37</v>
      </c>
      <c r="Q112" s="61">
        <v>0.59</v>
      </c>
      <c r="R112" s="61">
        <v>0.03</v>
      </c>
      <c r="S112" s="61">
        <v>0.43</v>
      </c>
      <c r="T112" s="61">
        <v>0.49</v>
      </c>
      <c r="U112" s="61">
        <v>0.47</v>
      </c>
      <c r="V112" s="12">
        <v>52</v>
      </c>
      <c r="W112" s="12">
        <v>9</v>
      </c>
      <c r="X112" s="66">
        <v>0.01</v>
      </c>
      <c r="Y112" s="66">
        <v>0.43</v>
      </c>
      <c r="Z112" s="66">
        <v>0.48</v>
      </c>
      <c r="AA112" s="66">
        <v>7.0000000000000007E-2</v>
      </c>
      <c r="AB112" s="66">
        <v>0.46</v>
      </c>
      <c r="AC112" s="66">
        <v>0.52</v>
      </c>
      <c r="AD112" s="66">
        <v>0.53</v>
      </c>
      <c r="AE112" s="12">
        <v>53</v>
      </c>
      <c r="AF112" s="12">
        <v>8</v>
      </c>
      <c r="AG112" s="63">
        <v>0.01</v>
      </c>
      <c r="AH112" s="63">
        <v>0.36</v>
      </c>
      <c r="AI112" s="63">
        <v>0.55000000000000004</v>
      </c>
      <c r="AJ112" s="63">
        <v>0.08</v>
      </c>
      <c r="AK112" s="63">
        <v>0.45</v>
      </c>
      <c r="AL112" s="63">
        <v>0.36</v>
      </c>
      <c r="AM112" s="63">
        <v>0.42</v>
      </c>
      <c r="AN112" s="35">
        <v>53</v>
      </c>
      <c r="AO112" s="35">
        <v>10</v>
      </c>
      <c r="AP112" s="40">
        <v>0.06</v>
      </c>
      <c r="AQ112" s="40">
        <v>0.35</v>
      </c>
      <c r="AR112" s="40">
        <v>0.48</v>
      </c>
      <c r="AS112" s="40">
        <v>0.11</v>
      </c>
      <c r="AT112" s="40">
        <v>0.47</v>
      </c>
      <c r="AU112" s="40">
        <v>0.38</v>
      </c>
      <c r="AV112" s="40">
        <v>0.45</v>
      </c>
      <c r="AW112" s="246">
        <v>53</v>
      </c>
      <c r="AX112" s="246" t="s">
        <v>758</v>
      </c>
      <c r="AY112" s="246">
        <v>9</v>
      </c>
      <c r="AZ112" s="246" t="s">
        <v>758</v>
      </c>
      <c r="BA112" s="263">
        <v>0.03</v>
      </c>
      <c r="BB112" s="263">
        <v>0.39</v>
      </c>
      <c r="BC112" s="263">
        <v>0.49</v>
      </c>
      <c r="BD112" s="263">
        <v>0.1</v>
      </c>
      <c r="BE112" s="263">
        <v>0.48</v>
      </c>
      <c r="BF112" s="263">
        <v>0.36</v>
      </c>
      <c r="BG112" s="263">
        <v>0.56000000000000005</v>
      </c>
      <c r="BH112" s="74">
        <v>54</v>
      </c>
      <c r="BI112" s="74" t="s">
        <v>758</v>
      </c>
      <c r="BJ112" s="74">
        <v>8</v>
      </c>
      <c r="BK112" s="74" t="s">
        <v>758</v>
      </c>
      <c r="BL112" s="96">
        <v>0.01</v>
      </c>
      <c r="BM112" s="96">
        <v>0.33</v>
      </c>
      <c r="BN112" s="96">
        <v>0.6</v>
      </c>
      <c r="BO112" s="96">
        <v>0.05</v>
      </c>
      <c r="BP112" s="96">
        <v>0.47</v>
      </c>
      <c r="BQ112" s="96">
        <v>0.34</v>
      </c>
      <c r="BR112" s="96">
        <v>0.45</v>
      </c>
      <c r="BS112" s="652">
        <v>53</v>
      </c>
      <c r="BT112" s="652" t="s">
        <v>758</v>
      </c>
      <c r="BU112" s="652">
        <v>8</v>
      </c>
      <c r="BV112" s="652" t="s">
        <v>758</v>
      </c>
      <c r="BW112" s="653">
        <v>0.02</v>
      </c>
      <c r="BX112" s="653">
        <v>0.39</v>
      </c>
      <c r="BY112" s="653">
        <v>0.54</v>
      </c>
      <c r="BZ112" s="653">
        <v>0.05</v>
      </c>
      <c r="CA112" s="653">
        <v>0.37</v>
      </c>
      <c r="CB112" s="653">
        <v>0.51</v>
      </c>
      <c r="CC112" s="653">
        <v>0.51</v>
      </c>
      <c r="CD112" s="74">
        <v>55</v>
      </c>
      <c r="CE112" s="74" t="s">
        <v>758</v>
      </c>
      <c r="CF112" s="74">
        <v>9</v>
      </c>
      <c r="CG112" s="74" t="s">
        <v>758</v>
      </c>
      <c r="CH112" s="96">
        <v>0.01</v>
      </c>
      <c r="CI112" s="96">
        <v>0.3</v>
      </c>
      <c r="CJ112" s="96">
        <v>0.56999999999999995</v>
      </c>
      <c r="CK112" s="96">
        <v>0.11</v>
      </c>
      <c r="CL112" s="96">
        <v>0.45</v>
      </c>
      <c r="CM112" s="96">
        <v>0.44</v>
      </c>
      <c r="CN112" s="96">
        <v>0.36</v>
      </c>
      <c r="CO112" s="902">
        <v>55</v>
      </c>
      <c r="CP112" s="902" t="s">
        <v>758</v>
      </c>
      <c r="CQ112" s="902">
        <v>9</v>
      </c>
      <c r="CR112" s="902" t="s">
        <v>758</v>
      </c>
      <c r="CS112" s="949">
        <v>0.01</v>
      </c>
      <c r="CT112" s="949">
        <v>0.28999999999999998</v>
      </c>
      <c r="CU112" s="949">
        <v>0.6</v>
      </c>
      <c r="CV112" s="949">
        <v>0.1</v>
      </c>
      <c r="CW112" s="949">
        <v>0.32</v>
      </c>
      <c r="CX112" s="949">
        <v>0.45</v>
      </c>
      <c r="CY112" s="949">
        <v>0.52</v>
      </c>
      <c r="CZ112" s="26">
        <v>125754001183</v>
      </c>
      <c r="DA112" s="803" t="s">
        <v>39</v>
      </c>
    </row>
    <row r="113" spans="1:105" ht="24.95" customHeight="1" x14ac:dyDescent="0.2">
      <c r="A113" s="803" t="s">
        <v>19</v>
      </c>
      <c r="B113" s="1" t="s">
        <v>121</v>
      </c>
      <c r="C113" s="2">
        <v>5</v>
      </c>
      <c r="D113" s="12">
        <v>52</v>
      </c>
      <c r="E113" s="12">
        <v>7</v>
      </c>
      <c r="F113" s="63">
        <v>0.01</v>
      </c>
      <c r="G113" s="63">
        <v>0.41</v>
      </c>
      <c r="H113" s="63">
        <v>0.55000000000000004</v>
      </c>
      <c r="I113" s="63">
        <v>0.03</v>
      </c>
      <c r="J113" s="63">
        <v>0.44</v>
      </c>
      <c r="K113" s="63">
        <v>0.47</v>
      </c>
      <c r="L113" s="63">
        <v>0.55000000000000004</v>
      </c>
      <c r="M113" s="25">
        <v>53</v>
      </c>
      <c r="N113" s="25">
        <v>8</v>
      </c>
      <c r="O113" s="61">
        <v>0.01</v>
      </c>
      <c r="P113" s="61">
        <v>0.38</v>
      </c>
      <c r="Q113" s="61">
        <v>0.55000000000000004</v>
      </c>
      <c r="R113" s="61">
        <v>0.05</v>
      </c>
      <c r="S113" s="61">
        <v>0.46</v>
      </c>
      <c r="T113" s="61">
        <v>0.48</v>
      </c>
      <c r="U113" s="61">
        <v>0.5</v>
      </c>
      <c r="V113" s="12">
        <v>51</v>
      </c>
      <c r="W113" s="12">
        <v>8</v>
      </c>
      <c r="X113" s="66">
        <v>0.01</v>
      </c>
      <c r="Y113" s="66">
        <v>0.48</v>
      </c>
      <c r="Z113" s="66">
        <v>0.48</v>
      </c>
      <c r="AA113" s="66">
        <v>0.04</v>
      </c>
      <c r="AB113" s="66">
        <v>0.48</v>
      </c>
      <c r="AC113" s="66">
        <v>0.52</v>
      </c>
      <c r="AD113" s="66">
        <v>0.54</v>
      </c>
      <c r="AE113" s="12">
        <v>53</v>
      </c>
      <c r="AF113" s="12">
        <v>8</v>
      </c>
      <c r="AG113" s="63">
        <v>0.02</v>
      </c>
      <c r="AH113" s="63">
        <v>0.33</v>
      </c>
      <c r="AI113" s="63">
        <v>0.57999999999999996</v>
      </c>
      <c r="AJ113" s="63">
        <v>7.0000000000000007E-2</v>
      </c>
      <c r="AK113" s="63">
        <v>0.44</v>
      </c>
      <c r="AL113" s="63">
        <v>0.37</v>
      </c>
      <c r="AM113" s="63">
        <v>0.44</v>
      </c>
      <c r="AN113" s="35">
        <v>53</v>
      </c>
      <c r="AO113" s="35">
        <v>8</v>
      </c>
      <c r="AP113" s="40">
        <v>0.03</v>
      </c>
      <c r="AQ113" s="40">
        <v>0.36</v>
      </c>
      <c r="AR113" s="40">
        <v>0.54</v>
      </c>
      <c r="AS113" s="40">
        <v>7.0000000000000007E-2</v>
      </c>
      <c r="AT113" s="40">
        <v>0.47</v>
      </c>
      <c r="AU113" s="40">
        <v>0.38</v>
      </c>
      <c r="AV113" s="40">
        <v>0.46</v>
      </c>
      <c r="AW113" s="246">
        <v>54</v>
      </c>
      <c r="AX113" s="246" t="s">
        <v>758</v>
      </c>
      <c r="AY113" s="246">
        <v>9</v>
      </c>
      <c r="AZ113" s="246" t="s">
        <v>758</v>
      </c>
      <c r="BA113" s="263">
        <v>0.04</v>
      </c>
      <c r="BB113" s="263">
        <v>0.33</v>
      </c>
      <c r="BC113" s="263">
        <v>0.53</v>
      </c>
      <c r="BD113" s="263">
        <v>0.1</v>
      </c>
      <c r="BE113" s="263">
        <v>0.44</v>
      </c>
      <c r="BF113" s="263">
        <v>0.33</v>
      </c>
      <c r="BG113" s="263">
        <v>0.55000000000000004</v>
      </c>
      <c r="BH113" s="309">
        <v>55</v>
      </c>
      <c r="BI113" s="309" t="s">
        <v>758</v>
      </c>
      <c r="BJ113" s="309">
        <v>9</v>
      </c>
      <c r="BK113" s="309" t="s">
        <v>758</v>
      </c>
      <c r="BL113" s="327">
        <v>0.02</v>
      </c>
      <c r="BM113" s="327">
        <v>0.28000000000000003</v>
      </c>
      <c r="BN113" s="327">
        <v>0.59</v>
      </c>
      <c r="BO113" s="327">
        <v>0.11</v>
      </c>
      <c r="BP113" s="327">
        <v>0.46</v>
      </c>
      <c r="BQ113" s="327">
        <v>0.35</v>
      </c>
      <c r="BR113" s="327">
        <v>0.43</v>
      </c>
      <c r="BS113" s="424">
        <v>52</v>
      </c>
      <c r="BT113" s="424" t="s">
        <v>758</v>
      </c>
      <c r="BU113" s="424">
        <v>9</v>
      </c>
      <c r="BV113" s="424" t="s">
        <v>758</v>
      </c>
      <c r="BW113" s="428">
        <v>0.03</v>
      </c>
      <c r="BX113" s="428">
        <v>0.46</v>
      </c>
      <c r="BY113" s="428">
        <v>0.48</v>
      </c>
      <c r="BZ113" s="428">
        <v>0.04</v>
      </c>
      <c r="CA113" s="428">
        <v>0.41</v>
      </c>
      <c r="CB113" s="428">
        <v>0.52</v>
      </c>
      <c r="CC113" s="428">
        <v>0.52</v>
      </c>
      <c r="CD113" s="464">
        <v>54</v>
      </c>
      <c r="CE113" s="464" t="s">
        <v>758</v>
      </c>
      <c r="CF113" s="464">
        <v>9</v>
      </c>
      <c r="CG113" s="464" t="s">
        <v>758</v>
      </c>
      <c r="CH113" s="476">
        <v>0.01</v>
      </c>
      <c r="CI113" s="476">
        <v>0.38</v>
      </c>
      <c r="CJ113" s="476">
        <v>0.5</v>
      </c>
      <c r="CK113" s="476">
        <v>0.12</v>
      </c>
      <c r="CL113" s="476">
        <v>0.43</v>
      </c>
      <c r="CM113" s="476">
        <v>0.45</v>
      </c>
      <c r="CN113" s="476">
        <v>0.37</v>
      </c>
      <c r="CO113" s="902">
        <v>54</v>
      </c>
      <c r="CP113" s="902" t="s">
        <v>758</v>
      </c>
      <c r="CQ113" s="902">
        <v>10</v>
      </c>
      <c r="CR113" s="902" t="s">
        <v>758</v>
      </c>
      <c r="CS113" s="949">
        <v>0.03</v>
      </c>
      <c r="CT113" s="949">
        <v>0.32</v>
      </c>
      <c r="CU113" s="949">
        <v>0.54</v>
      </c>
      <c r="CV113" s="949">
        <v>0.11</v>
      </c>
      <c r="CW113" s="949">
        <v>0.36</v>
      </c>
      <c r="CX113" s="949">
        <v>0.44</v>
      </c>
      <c r="CY113" s="949">
        <v>0.53</v>
      </c>
      <c r="CZ113" s="26">
        <v>125754002066</v>
      </c>
      <c r="DA113" s="803" t="s">
        <v>19</v>
      </c>
    </row>
    <row r="114" spans="1:105" ht="24.95" customHeight="1" x14ac:dyDescent="0.2">
      <c r="A114" s="803" t="s">
        <v>71</v>
      </c>
      <c r="B114" s="1" t="s">
        <v>121</v>
      </c>
      <c r="C114" s="2">
        <v>4</v>
      </c>
      <c r="D114" s="12">
        <v>46</v>
      </c>
      <c r="E114" s="12">
        <v>7</v>
      </c>
      <c r="F114" s="63">
        <v>0.1</v>
      </c>
      <c r="G114" s="63">
        <v>0.65</v>
      </c>
      <c r="H114" s="63">
        <v>0.24</v>
      </c>
      <c r="I114" s="63">
        <v>0</v>
      </c>
      <c r="J114" s="63">
        <v>0.55000000000000004</v>
      </c>
      <c r="K114" s="63">
        <v>0.55000000000000004</v>
      </c>
      <c r="L114" s="63">
        <v>0.67</v>
      </c>
      <c r="M114" s="25">
        <v>48</v>
      </c>
      <c r="N114" s="25">
        <v>8</v>
      </c>
      <c r="O114" s="61">
        <v>0.02</v>
      </c>
      <c r="P114" s="61">
        <v>0.65</v>
      </c>
      <c r="Q114" s="61">
        <v>0.28999999999999998</v>
      </c>
      <c r="R114" s="61">
        <v>0.04</v>
      </c>
      <c r="S114" s="61">
        <v>0.52</v>
      </c>
      <c r="T114" s="61">
        <v>0.56000000000000005</v>
      </c>
      <c r="U114" s="61">
        <v>0.6</v>
      </c>
      <c r="V114" s="12">
        <v>48</v>
      </c>
      <c r="W114" s="12">
        <v>8</v>
      </c>
      <c r="X114" s="66">
        <v>0.02</v>
      </c>
      <c r="Y114" s="66">
        <v>0.62</v>
      </c>
      <c r="Z114" s="66">
        <v>0.34</v>
      </c>
      <c r="AA114" s="66">
        <v>0.02</v>
      </c>
      <c r="AB114" s="66">
        <v>0.53</v>
      </c>
      <c r="AC114" s="66">
        <v>0.59</v>
      </c>
      <c r="AD114" s="66">
        <v>0.59</v>
      </c>
      <c r="AE114" s="12">
        <v>49</v>
      </c>
      <c r="AF114" s="12">
        <v>10</v>
      </c>
      <c r="AG114" s="63">
        <v>7.0000000000000007E-2</v>
      </c>
      <c r="AH114" s="63">
        <v>0.49</v>
      </c>
      <c r="AI114" s="63">
        <v>0.39</v>
      </c>
      <c r="AJ114" s="63">
        <v>0.05</v>
      </c>
      <c r="AK114" s="63">
        <v>0.49</v>
      </c>
      <c r="AL114" s="63">
        <v>0.45</v>
      </c>
      <c r="AM114" s="63">
        <v>0.49</v>
      </c>
      <c r="AN114" s="35">
        <v>49</v>
      </c>
      <c r="AO114" s="35">
        <v>9</v>
      </c>
      <c r="AP114" s="40">
        <v>0.02</v>
      </c>
      <c r="AQ114" s="40">
        <v>0.55000000000000004</v>
      </c>
      <c r="AR114" s="40">
        <v>0.39</v>
      </c>
      <c r="AS114" s="40">
        <v>0.05</v>
      </c>
      <c r="AT114" s="40">
        <v>0.56000000000000005</v>
      </c>
      <c r="AU114" s="40">
        <v>0.49</v>
      </c>
      <c r="AV114" s="40">
        <v>0.51</v>
      </c>
      <c r="AW114" s="246">
        <v>50</v>
      </c>
      <c r="AX114" s="246" t="s">
        <v>758</v>
      </c>
      <c r="AY114" s="246">
        <v>8</v>
      </c>
      <c r="AZ114" s="246" t="s">
        <v>758</v>
      </c>
      <c r="BA114" s="263">
        <v>0.02</v>
      </c>
      <c r="BB114" s="263">
        <v>0.51</v>
      </c>
      <c r="BC114" s="263">
        <v>0.47</v>
      </c>
      <c r="BD114" s="263">
        <v>0</v>
      </c>
      <c r="BE114" s="263">
        <v>0.5</v>
      </c>
      <c r="BF114" s="263">
        <v>0.46</v>
      </c>
      <c r="BG114" s="263">
        <v>0.61</v>
      </c>
      <c r="BH114" s="309">
        <v>50</v>
      </c>
      <c r="BI114" s="309" t="s">
        <v>758</v>
      </c>
      <c r="BJ114" s="309">
        <v>9</v>
      </c>
      <c r="BK114" s="309" t="s">
        <v>758</v>
      </c>
      <c r="BL114" s="327">
        <v>0.08</v>
      </c>
      <c r="BM114" s="327">
        <v>0.43</v>
      </c>
      <c r="BN114" s="327">
        <v>0.47</v>
      </c>
      <c r="BO114" s="327">
        <v>0.02</v>
      </c>
      <c r="BP114" s="327">
        <v>0.54</v>
      </c>
      <c r="BQ114" s="327">
        <v>0.41</v>
      </c>
      <c r="BR114" s="327">
        <v>0.53</v>
      </c>
      <c r="BS114" s="424">
        <v>49</v>
      </c>
      <c r="BT114" s="424" t="s">
        <v>758</v>
      </c>
      <c r="BU114" s="424">
        <v>9</v>
      </c>
      <c r="BV114" s="424" t="s">
        <v>758</v>
      </c>
      <c r="BW114" s="428">
        <v>0.03</v>
      </c>
      <c r="BX114" s="428">
        <v>0.47</v>
      </c>
      <c r="BY114" s="428">
        <v>0.48</v>
      </c>
      <c r="BZ114" s="428">
        <v>0.02</v>
      </c>
      <c r="CA114" s="428">
        <v>0.46</v>
      </c>
      <c r="CB114" s="428">
        <v>0.56000000000000005</v>
      </c>
      <c r="CC114" s="428">
        <v>0.6</v>
      </c>
      <c r="CD114" s="464">
        <v>49</v>
      </c>
      <c r="CE114" s="464" t="s">
        <v>758</v>
      </c>
      <c r="CF114" s="464">
        <v>9</v>
      </c>
      <c r="CG114" s="464" t="s">
        <v>758</v>
      </c>
      <c r="CH114" s="476">
        <v>0.09</v>
      </c>
      <c r="CI114" s="476">
        <v>0.53</v>
      </c>
      <c r="CJ114" s="476">
        <v>0.37</v>
      </c>
      <c r="CK114" s="476">
        <v>0.02</v>
      </c>
      <c r="CL114" s="476">
        <v>0.54</v>
      </c>
      <c r="CM114" s="476">
        <v>0.54</v>
      </c>
      <c r="CN114" s="476">
        <v>0.46</v>
      </c>
      <c r="CO114" s="902">
        <v>50</v>
      </c>
      <c r="CP114" s="902" t="s">
        <v>758</v>
      </c>
      <c r="CQ114" s="902">
        <v>9</v>
      </c>
      <c r="CR114" s="902" t="s">
        <v>758</v>
      </c>
      <c r="CS114" s="949">
        <v>0.06</v>
      </c>
      <c r="CT114" s="949">
        <v>0.45</v>
      </c>
      <c r="CU114" s="949">
        <v>0.45</v>
      </c>
      <c r="CV114" s="949">
        <v>0.04</v>
      </c>
      <c r="CW114" s="949">
        <v>0.42</v>
      </c>
      <c r="CX114" s="949">
        <v>0.52</v>
      </c>
      <c r="CY114" s="949">
        <v>0.57999999999999996</v>
      </c>
      <c r="CZ114" s="26">
        <v>125754002538</v>
      </c>
      <c r="DA114" s="803" t="s">
        <v>71</v>
      </c>
    </row>
    <row r="115" spans="1:105" ht="24.95" customHeight="1" x14ac:dyDescent="0.2">
      <c r="A115" s="803" t="s">
        <v>20</v>
      </c>
      <c r="B115" s="1" t="s">
        <v>121</v>
      </c>
      <c r="C115" s="2">
        <v>2</v>
      </c>
      <c r="D115" s="12">
        <v>54</v>
      </c>
      <c r="E115" s="12">
        <v>8</v>
      </c>
      <c r="F115" s="63">
        <v>0</v>
      </c>
      <c r="G115" s="63">
        <v>0.34</v>
      </c>
      <c r="H115" s="63">
        <v>0.56999999999999995</v>
      </c>
      <c r="I115" s="63">
        <v>0.08</v>
      </c>
      <c r="J115" s="63">
        <v>0.42</v>
      </c>
      <c r="K115" s="63">
        <v>0.46</v>
      </c>
      <c r="L115" s="63">
        <v>0.52</v>
      </c>
      <c r="M115" s="25">
        <v>55</v>
      </c>
      <c r="N115" s="25">
        <v>8</v>
      </c>
      <c r="O115" s="61">
        <v>0.02</v>
      </c>
      <c r="P115" s="61">
        <v>0.25</v>
      </c>
      <c r="Q115" s="61">
        <v>0.65</v>
      </c>
      <c r="R115" s="61">
        <v>7.0000000000000007E-2</v>
      </c>
      <c r="S115" s="61">
        <v>0.42</v>
      </c>
      <c r="T115" s="61">
        <v>0.46</v>
      </c>
      <c r="U115" s="61">
        <v>0.46</v>
      </c>
      <c r="V115" s="12">
        <v>54</v>
      </c>
      <c r="W115" s="12">
        <v>9</v>
      </c>
      <c r="X115" s="66">
        <v>0.01</v>
      </c>
      <c r="Y115" s="66">
        <v>0.3</v>
      </c>
      <c r="Z115" s="66">
        <v>0.56000000000000005</v>
      </c>
      <c r="AA115" s="66">
        <v>0.13</v>
      </c>
      <c r="AB115" s="66">
        <v>0.41</v>
      </c>
      <c r="AC115" s="66">
        <v>0.48</v>
      </c>
      <c r="AD115" s="66">
        <v>0.5</v>
      </c>
      <c r="AE115" s="12">
        <v>54</v>
      </c>
      <c r="AF115" s="12">
        <v>9</v>
      </c>
      <c r="AG115" s="63">
        <v>0.03</v>
      </c>
      <c r="AH115" s="63">
        <v>0.3</v>
      </c>
      <c r="AI115" s="63">
        <v>0.57999999999999996</v>
      </c>
      <c r="AJ115" s="63">
        <v>0.09</v>
      </c>
      <c r="AK115" s="63">
        <v>0.42</v>
      </c>
      <c r="AL115" s="63">
        <v>0.37</v>
      </c>
      <c r="AM115" s="63">
        <v>0.42</v>
      </c>
      <c r="AN115" s="35">
        <v>54</v>
      </c>
      <c r="AO115" s="35">
        <v>9</v>
      </c>
      <c r="AP115" s="40">
        <v>0.01</v>
      </c>
      <c r="AQ115" s="40">
        <v>0.34</v>
      </c>
      <c r="AR115" s="40">
        <v>0.55000000000000004</v>
      </c>
      <c r="AS115" s="40">
        <v>0.1</v>
      </c>
      <c r="AT115" s="40">
        <v>0.48</v>
      </c>
      <c r="AU115" s="40">
        <v>0.36</v>
      </c>
      <c r="AV115" s="40">
        <v>0.43</v>
      </c>
      <c r="AW115" s="246">
        <v>54</v>
      </c>
      <c r="AX115" s="246" t="s">
        <v>758</v>
      </c>
      <c r="AY115" s="246">
        <v>9</v>
      </c>
      <c r="AZ115" s="246" t="s">
        <v>758</v>
      </c>
      <c r="BA115" s="263">
        <v>0.02</v>
      </c>
      <c r="BB115" s="263">
        <v>0.37</v>
      </c>
      <c r="BC115" s="263">
        <v>0.49</v>
      </c>
      <c r="BD115" s="263">
        <v>0.12</v>
      </c>
      <c r="BE115" s="263">
        <v>0.45</v>
      </c>
      <c r="BF115" s="263">
        <v>0.36</v>
      </c>
      <c r="BG115" s="263">
        <v>0.54</v>
      </c>
      <c r="BH115" s="309">
        <v>54</v>
      </c>
      <c r="BI115" s="309" t="s">
        <v>758</v>
      </c>
      <c r="BJ115" s="309">
        <v>9</v>
      </c>
      <c r="BK115" s="309" t="s">
        <v>758</v>
      </c>
      <c r="BL115" s="327">
        <v>0.01</v>
      </c>
      <c r="BM115" s="327">
        <v>0.33</v>
      </c>
      <c r="BN115" s="327">
        <v>0.55000000000000004</v>
      </c>
      <c r="BO115" s="327">
        <v>0.11</v>
      </c>
      <c r="BP115" s="327">
        <v>0.47</v>
      </c>
      <c r="BQ115" s="327">
        <v>0.35</v>
      </c>
      <c r="BR115" s="327">
        <v>0.44</v>
      </c>
      <c r="BS115" s="424">
        <v>55</v>
      </c>
      <c r="BT115" s="424" t="s">
        <v>758</v>
      </c>
      <c r="BU115" s="424">
        <v>9</v>
      </c>
      <c r="BV115" s="424" t="s">
        <v>758</v>
      </c>
      <c r="BW115" s="428">
        <v>0.01</v>
      </c>
      <c r="BX115" s="428">
        <v>0.33</v>
      </c>
      <c r="BY115" s="428">
        <v>0.54</v>
      </c>
      <c r="BZ115" s="428">
        <v>0.12</v>
      </c>
      <c r="CA115" s="428">
        <v>0.37</v>
      </c>
      <c r="CB115" s="428">
        <v>0.47</v>
      </c>
      <c r="CC115" s="428">
        <v>0.47</v>
      </c>
      <c r="CD115" s="464">
        <v>54</v>
      </c>
      <c r="CE115" s="464" t="s">
        <v>758</v>
      </c>
      <c r="CF115" s="464">
        <v>9</v>
      </c>
      <c r="CG115" s="464" t="s">
        <v>758</v>
      </c>
      <c r="CH115" s="476">
        <v>0.01</v>
      </c>
      <c r="CI115" s="476">
        <v>0.32</v>
      </c>
      <c r="CJ115" s="476">
        <v>0.57999999999999996</v>
      </c>
      <c r="CK115" s="476">
        <v>0.09</v>
      </c>
      <c r="CL115" s="476">
        <v>0.45</v>
      </c>
      <c r="CM115" s="476">
        <v>0.46</v>
      </c>
      <c r="CN115" s="476">
        <v>0.35</v>
      </c>
      <c r="CO115" s="902">
        <v>55</v>
      </c>
      <c r="CP115" s="902" t="s">
        <v>758</v>
      </c>
      <c r="CQ115" s="902">
        <v>10</v>
      </c>
      <c r="CR115" s="902" t="s">
        <v>758</v>
      </c>
      <c r="CS115" s="949">
        <v>0.02</v>
      </c>
      <c r="CT115" s="949">
        <v>0.32</v>
      </c>
      <c r="CU115" s="949">
        <v>0.51</v>
      </c>
      <c r="CV115" s="949">
        <v>0.15</v>
      </c>
      <c r="CW115" s="949">
        <v>0.34</v>
      </c>
      <c r="CX115" s="949">
        <v>0.44</v>
      </c>
      <c r="CY115" s="949">
        <v>0.5</v>
      </c>
      <c r="CZ115" s="26">
        <v>125754000331</v>
      </c>
      <c r="DA115" s="803" t="s">
        <v>20</v>
      </c>
    </row>
    <row r="116" spans="1:105" ht="24.95" customHeight="1" x14ac:dyDescent="0.2">
      <c r="A116" s="803" t="s">
        <v>124</v>
      </c>
      <c r="B116" s="1" t="s">
        <v>123</v>
      </c>
      <c r="C116" s="2">
        <v>1</v>
      </c>
      <c r="D116" s="12">
        <v>52</v>
      </c>
      <c r="E116" s="12">
        <v>7</v>
      </c>
      <c r="F116" s="66">
        <v>0</v>
      </c>
      <c r="G116" s="66">
        <v>0.52</v>
      </c>
      <c r="H116" s="66">
        <v>0.46</v>
      </c>
      <c r="I116" s="66">
        <v>0.02</v>
      </c>
      <c r="J116" s="66">
        <v>0.45</v>
      </c>
      <c r="K116" s="66">
        <v>0.53</v>
      </c>
      <c r="L116" s="66">
        <v>0.62</v>
      </c>
      <c r="M116" s="25">
        <v>57</v>
      </c>
      <c r="N116" s="25">
        <v>8</v>
      </c>
      <c r="O116" s="61">
        <v>0</v>
      </c>
      <c r="P116" s="61">
        <v>0.18</v>
      </c>
      <c r="Q116" s="61">
        <v>0.67</v>
      </c>
      <c r="R116" s="61">
        <v>0.15</v>
      </c>
      <c r="S116" s="61">
        <v>0.37</v>
      </c>
      <c r="T116" s="61">
        <v>0.44</v>
      </c>
      <c r="U116" s="61">
        <v>0.39</v>
      </c>
      <c r="V116" s="12">
        <v>56</v>
      </c>
      <c r="W116" s="12">
        <v>7</v>
      </c>
      <c r="X116" s="66">
        <v>0</v>
      </c>
      <c r="Y116" s="66">
        <v>0.24</v>
      </c>
      <c r="Z116" s="66">
        <v>0.71</v>
      </c>
      <c r="AA116" s="66">
        <v>0.05</v>
      </c>
      <c r="AB116" s="66">
        <v>0.43</v>
      </c>
      <c r="AC116" s="66">
        <v>0.44</v>
      </c>
      <c r="AD116" s="66">
        <v>0.45</v>
      </c>
      <c r="AE116" s="12">
        <v>57</v>
      </c>
      <c r="AF116" s="12">
        <v>9</v>
      </c>
      <c r="AG116" s="63">
        <v>0.03</v>
      </c>
      <c r="AH116" s="63">
        <v>0.22</v>
      </c>
      <c r="AI116" s="63">
        <v>0.56999999999999995</v>
      </c>
      <c r="AJ116" s="63">
        <v>0.19</v>
      </c>
      <c r="AK116" s="63">
        <v>0.35</v>
      </c>
      <c r="AL116" s="63">
        <v>0.34</v>
      </c>
      <c r="AM116" s="63">
        <v>0.38</v>
      </c>
      <c r="AN116" s="35">
        <v>57</v>
      </c>
      <c r="AO116" s="35">
        <v>8</v>
      </c>
      <c r="AP116" s="40">
        <v>0</v>
      </c>
      <c r="AQ116" s="40">
        <v>0.24</v>
      </c>
      <c r="AR116" s="40">
        <v>0.62</v>
      </c>
      <c r="AS116" s="40">
        <v>0.13</v>
      </c>
      <c r="AT116" s="40">
        <v>0.42</v>
      </c>
      <c r="AU116" s="40">
        <v>0.28000000000000003</v>
      </c>
      <c r="AV116" s="40">
        <v>0.36</v>
      </c>
      <c r="AW116" s="246">
        <v>59</v>
      </c>
      <c r="AX116" s="246" t="s">
        <v>758</v>
      </c>
      <c r="AY116" s="246">
        <v>8</v>
      </c>
      <c r="AZ116" s="246" t="s">
        <v>758</v>
      </c>
      <c r="BA116" s="263">
        <v>0.02</v>
      </c>
      <c r="BB116" s="263">
        <v>0.1</v>
      </c>
      <c r="BC116" s="263">
        <v>0.69</v>
      </c>
      <c r="BD116" s="263">
        <v>0.19</v>
      </c>
      <c r="BE116" s="263">
        <v>0.37</v>
      </c>
      <c r="BF116" s="263">
        <v>0.27</v>
      </c>
      <c r="BG116" s="263">
        <v>0.45</v>
      </c>
      <c r="BH116" s="309">
        <v>55</v>
      </c>
      <c r="BI116" s="309" t="s">
        <v>758</v>
      </c>
      <c r="BJ116" s="309">
        <v>9</v>
      </c>
      <c r="BK116" s="309" t="s">
        <v>758</v>
      </c>
      <c r="BL116" s="327">
        <v>0.04</v>
      </c>
      <c r="BM116" s="327">
        <v>0.28000000000000003</v>
      </c>
      <c r="BN116" s="327">
        <v>0.59</v>
      </c>
      <c r="BO116" s="327">
        <v>0.09</v>
      </c>
      <c r="BP116" s="327">
        <v>0.47</v>
      </c>
      <c r="BQ116" s="327">
        <v>0.34</v>
      </c>
      <c r="BR116" s="327">
        <v>0.44</v>
      </c>
      <c r="BS116" s="424">
        <v>57</v>
      </c>
      <c r="BT116" s="424" t="s">
        <v>758</v>
      </c>
      <c r="BU116" s="424">
        <v>9</v>
      </c>
      <c r="BV116" s="424" t="s">
        <v>758</v>
      </c>
      <c r="BW116" s="428">
        <v>0.02</v>
      </c>
      <c r="BX116" s="428">
        <v>0.22</v>
      </c>
      <c r="BY116" s="428">
        <v>0.61</v>
      </c>
      <c r="BZ116" s="428">
        <v>0.15</v>
      </c>
      <c r="CA116" s="428">
        <v>0.28999999999999998</v>
      </c>
      <c r="CB116" s="428">
        <v>0.39</v>
      </c>
      <c r="CC116" s="428">
        <v>0.45</v>
      </c>
      <c r="CD116" s="641">
        <v>56</v>
      </c>
      <c r="CE116" s="641" t="s">
        <v>758</v>
      </c>
      <c r="CF116" s="641">
        <v>7</v>
      </c>
      <c r="CG116" s="641" t="s">
        <v>758</v>
      </c>
      <c r="CH116" s="642">
        <v>0</v>
      </c>
      <c r="CI116" s="642">
        <v>0.17</v>
      </c>
      <c r="CJ116" s="642">
        <v>0.72</v>
      </c>
      <c r="CK116" s="642">
        <v>0.11</v>
      </c>
      <c r="CL116" s="642">
        <v>0.39</v>
      </c>
      <c r="CM116" s="642">
        <v>0.44</v>
      </c>
      <c r="CN116" s="642">
        <v>0.33</v>
      </c>
      <c r="CO116" s="902">
        <v>59</v>
      </c>
      <c r="CP116" s="902" t="s">
        <v>758</v>
      </c>
      <c r="CQ116" s="902">
        <v>8</v>
      </c>
      <c r="CR116" s="902" t="s">
        <v>758</v>
      </c>
      <c r="CS116" s="949">
        <v>0.02</v>
      </c>
      <c r="CT116" s="949">
        <v>0.18</v>
      </c>
      <c r="CU116" s="949">
        <v>0.61</v>
      </c>
      <c r="CV116" s="949">
        <v>0.2</v>
      </c>
      <c r="CW116" s="949">
        <v>0.27</v>
      </c>
      <c r="CX116" s="949">
        <v>0.37</v>
      </c>
      <c r="CY116" s="949">
        <v>0.43</v>
      </c>
      <c r="CZ116" s="26">
        <v>325754001441</v>
      </c>
      <c r="DA116" s="803" t="s">
        <v>124</v>
      </c>
    </row>
    <row r="117" spans="1:105" ht="24.95" customHeight="1" x14ac:dyDescent="0.2">
      <c r="A117" s="803" t="s">
        <v>53</v>
      </c>
      <c r="B117" s="1" t="s">
        <v>121</v>
      </c>
      <c r="C117" s="2">
        <v>2</v>
      </c>
      <c r="D117" s="12">
        <v>53</v>
      </c>
      <c r="E117" s="12">
        <v>7</v>
      </c>
      <c r="F117" s="63">
        <v>0.01</v>
      </c>
      <c r="G117" s="63">
        <v>0.38</v>
      </c>
      <c r="H117" s="63">
        <v>0.56000000000000005</v>
      </c>
      <c r="I117" s="63">
        <v>0.05</v>
      </c>
      <c r="J117" s="63">
        <v>0.44</v>
      </c>
      <c r="K117" s="63">
        <v>0.52</v>
      </c>
      <c r="L117" s="63">
        <v>0.56999999999999995</v>
      </c>
      <c r="M117" s="25">
        <v>54</v>
      </c>
      <c r="N117" s="25">
        <v>8</v>
      </c>
      <c r="O117" s="61">
        <v>0.01</v>
      </c>
      <c r="P117" s="61">
        <v>0.34</v>
      </c>
      <c r="Q117" s="61">
        <v>0.57999999999999996</v>
      </c>
      <c r="R117" s="61">
        <v>7.0000000000000007E-2</v>
      </c>
      <c r="S117" s="61">
        <v>0.44</v>
      </c>
      <c r="T117" s="61">
        <v>0.47</v>
      </c>
      <c r="U117" s="61">
        <v>0.49</v>
      </c>
      <c r="V117" s="12">
        <v>53</v>
      </c>
      <c r="W117" s="12">
        <v>9</v>
      </c>
      <c r="X117" s="66">
        <v>0.01</v>
      </c>
      <c r="Y117" s="66">
        <v>0.37</v>
      </c>
      <c r="Z117" s="66">
        <v>0.52</v>
      </c>
      <c r="AA117" s="66">
        <v>0.09</v>
      </c>
      <c r="AB117" s="66">
        <v>0.44</v>
      </c>
      <c r="AC117" s="66">
        <v>0.51</v>
      </c>
      <c r="AD117" s="66">
        <v>0.51</v>
      </c>
      <c r="AE117" s="12">
        <v>54</v>
      </c>
      <c r="AF117" s="12">
        <v>9</v>
      </c>
      <c r="AG117" s="63">
        <v>0.02</v>
      </c>
      <c r="AH117" s="63">
        <v>0.31</v>
      </c>
      <c r="AI117" s="63">
        <v>0.57999999999999996</v>
      </c>
      <c r="AJ117" s="63">
        <v>0.09</v>
      </c>
      <c r="AK117" s="63">
        <v>0.4</v>
      </c>
      <c r="AL117" s="63">
        <v>0.35</v>
      </c>
      <c r="AM117" s="63">
        <v>0.42</v>
      </c>
      <c r="AN117" s="35">
        <v>54</v>
      </c>
      <c r="AO117" s="35">
        <v>8</v>
      </c>
      <c r="AP117" s="40">
        <v>0</v>
      </c>
      <c r="AQ117" s="40">
        <v>0.32</v>
      </c>
      <c r="AR117" s="40">
        <v>0.6</v>
      </c>
      <c r="AS117" s="40">
        <v>7.0000000000000007E-2</v>
      </c>
      <c r="AT117" s="40">
        <v>0.47</v>
      </c>
      <c r="AU117" s="40">
        <v>0.36</v>
      </c>
      <c r="AV117" s="40">
        <v>0.42</v>
      </c>
      <c r="AW117" s="246">
        <v>53</v>
      </c>
      <c r="AX117" s="246" t="s">
        <v>758</v>
      </c>
      <c r="AY117" s="246">
        <v>9</v>
      </c>
      <c r="AZ117" s="246" t="s">
        <v>758</v>
      </c>
      <c r="BA117" s="263">
        <v>0.02</v>
      </c>
      <c r="BB117" s="263">
        <v>0.39</v>
      </c>
      <c r="BC117" s="263">
        <v>0.51</v>
      </c>
      <c r="BD117" s="263">
        <v>0.08</v>
      </c>
      <c r="BE117" s="263">
        <v>0.46</v>
      </c>
      <c r="BF117" s="263">
        <v>0.36</v>
      </c>
      <c r="BG117" s="263">
        <v>0.56000000000000005</v>
      </c>
      <c r="BH117" s="309">
        <v>53</v>
      </c>
      <c r="BI117" s="309" t="s">
        <v>758</v>
      </c>
      <c r="BJ117" s="309">
        <v>9</v>
      </c>
      <c r="BK117" s="309" t="s">
        <v>758</v>
      </c>
      <c r="BL117" s="327">
        <v>0.03</v>
      </c>
      <c r="BM117" s="327">
        <v>0.37</v>
      </c>
      <c r="BN117" s="327">
        <v>0.54</v>
      </c>
      <c r="BO117" s="327">
        <v>7.0000000000000007E-2</v>
      </c>
      <c r="BP117" s="327">
        <v>0.49</v>
      </c>
      <c r="BQ117" s="327">
        <v>0.37</v>
      </c>
      <c r="BR117" s="327">
        <v>0.48</v>
      </c>
      <c r="BS117" s="424">
        <v>54</v>
      </c>
      <c r="BT117" s="424" t="s">
        <v>758</v>
      </c>
      <c r="BU117" s="424">
        <v>8</v>
      </c>
      <c r="BV117" s="424" t="s">
        <v>758</v>
      </c>
      <c r="BW117" s="428">
        <v>0.01</v>
      </c>
      <c r="BX117" s="428">
        <v>0.31</v>
      </c>
      <c r="BY117" s="428">
        <v>0.62</v>
      </c>
      <c r="BZ117" s="428">
        <v>0.06</v>
      </c>
      <c r="CA117" s="428">
        <v>0.37</v>
      </c>
      <c r="CB117" s="428">
        <v>0.47</v>
      </c>
      <c r="CC117" s="428">
        <v>0.51</v>
      </c>
      <c r="CD117" s="654">
        <v>55</v>
      </c>
      <c r="CE117" s="654" t="s">
        <v>758</v>
      </c>
      <c r="CF117" s="654">
        <v>8</v>
      </c>
      <c r="CG117" s="654" t="s">
        <v>758</v>
      </c>
      <c r="CH117" s="655">
        <v>0.02</v>
      </c>
      <c r="CI117" s="655">
        <v>0.26</v>
      </c>
      <c r="CJ117" s="655">
        <v>0.62</v>
      </c>
      <c r="CK117" s="655">
        <v>0.1</v>
      </c>
      <c r="CL117" s="655">
        <v>0.44</v>
      </c>
      <c r="CM117" s="655">
        <v>0.44</v>
      </c>
      <c r="CN117" s="655">
        <v>0.33</v>
      </c>
      <c r="CO117" s="902">
        <v>54</v>
      </c>
      <c r="CP117" s="902" t="s">
        <v>758</v>
      </c>
      <c r="CQ117" s="902">
        <v>9</v>
      </c>
      <c r="CR117" s="902" t="s">
        <v>758</v>
      </c>
      <c r="CS117" s="949">
        <v>0.01</v>
      </c>
      <c r="CT117" s="949">
        <v>0.37</v>
      </c>
      <c r="CU117" s="949">
        <v>0.49</v>
      </c>
      <c r="CV117" s="949">
        <v>0.12</v>
      </c>
      <c r="CW117" s="949">
        <v>0.34</v>
      </c>
      <c r="CX117" s="949">
        <v>0.47</v>
      </c>
      <c r="CY117" s="949">
        <v>0.54</v>
      </c>
      <c r="CZ117" s="26">
        <v>125754001035</v>
      </c>
      <c r="DA117" s="803" t="s">
        <v>53</v>
      </c>
    </row>
    <row r="118" spans="1:105" ht="24.95" customHeight="1" x14ac:dyDescent="0.2">
      <c r="A118" s="803" t="s">
        <v>953</v>
      </c>
      <c r="B118" s="1" t="s">
        <v>121</v>
      </c>
      <c r="C118" s="2">
        <v>4</v>
      </c>
      <c r="D118" s="12">
        <v>54</v>
      </c>
      <c r="E118" s="12">
        <v>8</v>
      </c>
      <c r="F118" s="63">
        <v>0.01</v>
      </c>
      <c r="G118" s="63">
        <v>0.3</v>
      </c>
      <c r="H118" s="63">
        <v>0.63</v>
      </c>
      <c r="I118" s="63">
        <v>0.05</v>
      </c>
      <c r="J118" s="63">
        <v>0.41</v>
      </c>
      <c r="K118" s="63">
        <v>0.44</v>
      </c>
      <c r="L118" s="63">
        <v>0.51</v>
      </c>
      <c r="M118" s="25">
        <v>57</v>
      </c>
      <c r="N118" s="25">
        <v>9</v>
      </c>
      <c r="O118" s="61">
        <v>0</v>
      </c>
      <c r="P118" s="61">
        <v>0.24</v>
      </c>
      <c r="Q118" s="61">
        <v>0.59</v>
      </c>
      <c r="R118" s="61">
        <v>0.17</v>
      </c>
      <c r="S118" s="61">
        <v>0.41</v>
      </c>
      <c r="T118" s="61">
        <v>0.43</v>
      </c>
      <c r="U118" s="61">
        <v>0.44</v>
      </c>
      <c r="V118" s="25">
        <v>53</v>
      </c>
      <c r="W118" s="25">
        <v>8</v>
      </c>
      <c r="X118" s="66">
        <v>0</v>
      </c>
      <c r="Y118" s="66">
        <v>0.39</v>
      </c>
      <c r="Z118" s="66">
        <v>0.55000000000000004</v>
      </c>
      <c r="AA118" s="66">
        <v>0.06</v>
      </c>
      <c r="AB118" s="66">
        <v>0.43</v>
      </c>
      <c r="AC118" s="66">
        <v>0.48</v>
      </c>
      <c r="AD118" s="66">
        <v>0.53</v>
      </c>
      <c r="AE118" s="12">
        <v>53</v>
      </c>
      <c r="AF118" s="12">
        <v>9</v>
      </c>
      <c r="AG118" s="63">
        <v>0.03</v>
      </c>
      <c r="AH118" s="63">
        <v>0.34</v>
      </c>
      <c r="AI118" s="63">
        <v>0.51</v>
      </c>
      <c r="AJ118" s="63">
        <v>0.12</v>
      </c>
      <c r="AK118" s="63">
        <v>0.43</v>
      </c>
      <c r="AL118" s="63">
        <v>0.36</v>
      </c>
      <c r="AM118" s="63">
        <v>0.44</v>
      </c>
      <c r="AN118" s="35">
        <v>53</v>
      </c>
      <c r="AO118" s="35">
        <v>8</v>
      </c>
      <c r="AP118" s="40">
        <v>0.01</v>
      </c>
      <c r="AQ118" s="40">
        <v>0.32</v>
      </c>
      <c r="AR118" s="40">
        <v>0.57999999999999996</v>
      </c>
      <c r="AS118" s="40">
        <v>0.09</v>
      </c>
      <c r="AT118" s="40">
        <v>0.46</v>
      </c>
      <c r="AU118" s="40">
        <v>0.38</v>
      </c>
      <c r="AV118" s="40">
        <v>0.43</v>
      </c>
      <c r="AW118" s="246">
        <v>53</v>
      </c>
      <c r="AX118" s="246" t="s">
        <v>758</v>
      </c>
      <c r="AY118" s="246">
        <v>9</v>
      </c>
      <c r="AZ118" s="246" t="s">
        <v>758</v>
      </c>
      <c r="BA118" s="263">
        <v>0.02</v>
      </c>
      <c r="BB118" s="263">
        <v>0.33</v>
      </c>
      <c r="BC118" s="263">
        <v>0.56999999999999995</v>
      </c>
      <c r="BD118" s="263">
        <v>0.08</v>
      </c>
      <c r="BE118" s="263">
        <v>0.46</v>
      </c>
      <c r="BF118" s="263">
        <v>0.36</v>
      </c>
      <c r="BG118" s="263">
        <v>0.53</v>
      </c>
      <c r="BH118" s="309">
        <v>52</v>
      </c>
      <c r="BI118" s="309" t="s">
        <v>758</v>
      </c>
      <c r="BJ118" s="309">
        <v>9</v>
      </c>
      <c r="BK118" s="309" t="s">
        <v>758</v>
      </c>
      <c r="BL118" s="327">
        <v>0.01</v>
      </c>
      <c r="BM118" s="327">
        <v>0.4</v>
      </c>
      <c r="BN118" s="327">
        <v>0.51</v>
      </c>
      <c r="BO118" s="327">
        <v>0.08</v>
      </c>
      <c r="BP118" s="327">
        <v>0.5</v>
      </c>
      <c r="BQ118" s="327">
        <v>0.4</v>
      </c>
      <c r="BR118" s="327">
        <v>0.49</v>
      </c>
      <c r="BS118" s="424">
        <v>53</v>
      </c>
      <c r="BT118" s="424" t="s">
        <v>758</v>
      </c>
      <c r="BU118" s="424">
        <v>9</v>
      </c>
      <c r="BV118" s="424" t="s">
        <v>758</v>
      </c>
      <c r="BW118" s="428">
        <v>0.02</v>
      </c>
      <c r="BX118" s="428">
        <v>0.35</v>
      </c>
      <c r="BY118" s="428">
        <v>0.54</v>
      </c>
      <c r="BZ118" s="428">
        <v>0.08</v>
      </c>
      <c r="CA118" s="428">
        <v>0.38</v>
      </c>
      <c r="CB118" s="428">
        <v>0.5</v>
      </c>
      <c r="CC118" s="428">
        <v>0.51</v>
      </c>
      <c r="CD118" s="464">
        <v>54</v>
      </c>
      <c r="CE118" s="464" t="s">
        <v>758</v>
      </c>
      <c r="CF118" s="464">
        <v>9</v>
      </c>
      <c r="CG118" s="464" t="s">
        <v>758</v>
      </c>
      <c r="CH118" s="476">
        <v>0.02</v>
      </c>
      <c r="CI118" s="476">
        <v>0.34</v>
      </c>
      <c r="CJ118" s="476">
        <v>0.56000000000000005</v>
      </c>
      <c r="CK118" s="476">
        <v>0.08</v>
      </c>
      <c r="CL118" s="476">
        <v>0.47</v>
      </c>
      <c r="CM118" s="476">
        <v>0.45</v>
      </c>
      <c r="CN118" s="476">
        <v>0.38</v>
      </c>
      <c r="CO118" s="902">
        <v>54</v>
      </c>
      <c r="CP118" s="902" t="s">
        <v>758</v>
      </c>
      <c r="CQ118" s="902">
        <v>8</v>
      </c>
      <c r="CR118" s="902" t="s">
        <v>758</v>
      </c>
      <c r="CS118" s="949">
        <v>0.01</v>
      </c>
      <c r="CT118" s="949">
        <v>0.3</v>
      </c>
      <c r="CU118" s="949">
        <v>0.64</v>
      </c>
      <c r="CV118" s="949">
        <v>0.04</v>
      </c>
      <c r="CW118" s="949">
        <v>0.35</v>
      </c>
      <c r="CX118" s="949">
        <v>0.46</v>
      </c>
      <c r="CY118" s="949">
        <v>0.54</v>
      </c>
      <c r="CZ118" s="26">
        <v>125754001159</v>
      </c>
      <c r="DA118" s="803" t="s">
        <v>953</v>
      </c>
    </row>
    <row r="119" spans="1:105" ht="24.95" customHeight="1" x14ac:dyDescent="0.2">
      <c r="A119" s="803" t="s">
        <v>954</v>
      </c>
      <c r="B119" s="1" t="s">
        <v>123</v>
      </c>
      <c r="C119" s="2">
        <v>1</v>
      </c>
      <c r="D119" s="12">
        <v>50</v>
      </c>
      <c r="E119" s="12">
        <v>9</v>
      </c>
      <c r="F119" s="63">
        <v>0</v>
      </c>
      <c r="G119" s="63">
        <v>0.6</v>
      </c>
      <c r="H119" s="63">
        <v>0.36</v>
      </c>
      <c r="I119" s="63">
        <v>0.05</v>
      </c>
      <c r="J119" s="63">
        <v>0.52</v>
      </c>
      <c r="K119" s="63">
        <v>0.47</v>
      </c>
      <c r="L119" s="63">
        <v>0.56999999999999995</v>
      </c>
      <c r="M119" s="25">
        <v>50</v>
      </c>
      <c r="N119" s="25">
        <v>9</v>
      </c>
      <c r="O119" s="61">
        <v>0.06</v>
      </c>
      <c r="P119" s="61">
        <v>0.41</v>
      </c>
      <c r="Q119" s="61">
        <v>0.53</v>
      </c>
      <c r="R119" s="61">
        <v>0</v>
      </c>
      <c r="S119" s="61">
        <v>0.55000000000000004</v>
      </c>
      <c r="T119" s="61">
        <v>0.51</v>
      </c>
      <c r="U119" s="61">
        <v>0.54</v>
      </c>
      <c r="V119" s="25">
        <v>48</v>
      </c>
      <c r="W119" s="25">
        <v>7</v>
      </c>
      <c r="X119" s="66">
        <v>7.0000000000000007E-2</v>
      </c>
      <c r="Y119" s="66">
        <v>0.64</v>
      </c>
      <c r="Z119" s="66">
        <v>0.28999999999999998</v>
      </c>
      <c r="AA119" s="66">
        <v>0</v>
      </c>
      <c r="AB119" s="66">
        <v>0.56999999999999995</v>
      </c>
      <c r="AC119" s="66">
        <v>0.51</v>
      </c>
      <c r="AD119" s="66">
        <v>0.59</v>
      </c>
      <c r="AE119" s="12">
        <v>51</v>
      </c>
      <c r="AF119" s="12">
        <v>8</v>
      </c>
      <c r="AG119" s="63">
        <v>0.04</v>
      </c>
      <c r="AH119" s="63">
        <v>0.43</v>
      </c>
      <c r="AI119" s="63">
        <v>0.52</v>
      </c>
      <c r="AJ119" s="63">
        <v>0</v>
      </c>
      <c r="AK119" s="63">
        <v>0.44</v>
      </c>
      <c r="AL119" s="63">
        <v>0.43</v>
      </c>
      <c r="AM119" s="63">
        <v>0.42</v>
      </c>
      <c r="AN119" s="35">
        <v>54</v>
      </c>
      <c r="AO119" s="35">
        <v>8</v>
      </c>
      <c r="AP119" s="40">
        <v>0</v>
      </c>
      <c r="AQ119" s="40">
        <v>0.38</v>
      </c>
      <c r="AR119" s="40">
        <v>0.57999999999999996</v>
      </c>
      <c r="AS119" s="40">
        <v>0.04</v>
      </c>
      <c r="AT119" s="40">
        <v>0.48</v>
      </c>
      <c r="AU119" s="40">
        <v>0.36</v>
      </c>
      <c r="AV119" s="40">
        <v>0.45</v>
      </c>
      <c r="AW119" s="246">
        <v>55</v>
      </c>
      <c r="AX119" s="246" t="s">
        <v>758</v>
      </c>
      <c r="AY119" s="246">
        <v>9</v>
      </c>
      <c r="AZ119" s="246" t="s">
        <v>758</v>
      </c>
      <c r="BA119" s="263">
        <v>0</v>
      </c>
      <c r="BB119" s="263">
        <v>0.33</v>
      </c>
      <c r="BC119" s="263">
        <v>0.52</v>
      </c>
      <c r="BD119" s="263">
        <v>0.14000000000000001</v>
      </c>
      <c r="BE119" s="263">
        <v>0.39</v>
      </c>
      <c r="BF119" s="263">
        <v>0.32</v>
      </c>
      <c r="BG119" s="263">
        <v>0.56000000000000005</v>
      </c>
      <c r="BH119" s="309">
        <v>54</v>
      </c>
      <c r="BI119" s="309" t="s">
        <v>758</v>
      </c>
      <c r="BJ119" s="309">
        <v>10</v>
      </c>
      <c r="BK119" s="309" t="s">
        <v>758</v>
      </c>
      <c r="BL119" s="327">
        <v>0.05</v>
      </c>
      <c r="BM119" s="327">
        <v>0.24</v>
      </c>
      <c r="BN119" s="327">
        <v>0.56999999999999995</v>
      </c>
      <c r="BO119" s="327">
        <v>0.14000000000000001</v>
      </c>
      <c r="BP119" s="327">
        <v>0.46</v>
      </c>
      <c r="BQ119" s="327">
        <v>0.31</v>
      </c>
      <c r="BR119" s="327">
        <v>0.48</v>
      </c>
      <c r="BS119" s="424">
        <v>54</v>
      </c>
      <c r="BT119" s="424" t="s">
        <v>758</v>
      </c>
      <c r="BU119" s="424">
        <v>9</v>
      </c>
      <c r="BV119" s="424" t="s">
        <v>758</v>
      </c>
      <c r="BW119" s="428">
        <v>0.04</v>
      </c>
      <c r="BX119" s="428">
        <v>0.28000000000000003</v>
      </c>
      <c r="BY119" s="428">
        <v>0.64</v>
      </c>
      <c r="BZ119" s="428">
        <v>0.04</v>
      </c>
      <c r="CA119" s="428">
        <v>0.39</v>
      </c>
      <c r="CB119" s="428">
        <v>0.48</v>
      </c>
      <c r="CC119" s="428">
        <v>0.47</v>
      </c>
      <c r="CD119" s="464">
        <v>57</v>
      </c>
      <c r="CE119" s="464" t="s">
        <v>758</v>
      </c>
      <c r="CF119" s="464">
        <v>7</v>
      </c>
      <c r="CG119" s="464" t="s">
        <v>758</v>
      </c>
      <c r="CH119" s="476">
        <v>0</v>
      </c>
      <c r="CI119" s="476">
        <v>0.21</v>
      </c>
      <c r="CJ119" s="476">
        <v>0.63</v>
      </c>
      <c r="CK119" s="476">
        <v>0.16</v>
      </c>
      <c r="CL119" s="476">
        <v>0.43</v>
      </c>
      <c r="CM119" s="476">
        <v>0.43</v>
      </c>
      <c r="CN119" s="476">
        <v>0.26</v>
      </c>
      <c r="CO119" s="902">
        <v>55</v>
      </c>
      <c r="CP119" s="902" t="s">
        <v>758</v>
      </c>
      <c r="CQ119" s="902">
        <v>8</v>
      </c>
      <c r="CR119" s="902" t="s">
        <v>758</v>
      </c>
      <c r="CS119" s="949">
        <v>0.03</v>
      </c>
      <c r="CT119" s="949">
        <v>0.32</v>
      </c>
      <c r="CU119" s="949">
        <v>0.53</v>
      </c>
      <c r="CV119" s="949">
        <v>0.12</v>
      </c>
      <c r="CW119" s="949">
        <v>0.31</v>
      </c>
      <c r="CX119" s="949">
        <v>0.47</v>
      </c>
      <c r="CY119" s="949">
        <v>0.53</v>
      </c>
      <c r="CZ119" s="26">
        <v>325754002596</v>
      </c>
      <c r="DA119" s="803" t="s">
        <v>954</v>
      </c>
    </row>
    <row r="120" spans="1:105" ht="24.95" customHeight="1" x14ac:dyDescent="0.2">
      <c r="A120" s="803" t="s">
        <v>96</v>
      </c>
      <c r="B120" s="1" t="s">
        <v>121</v>
      </c>
      <c r="C120" s="2">
        <v>3</v>
      </c>
      <c r="D120" s="12">
        <v>52</v>
      </c>
      <c r="E120" s="12">
        <v>9</v>
      </c>
      <c r="F120" s="63">
        <v>0.04</v>
      </c>
      <c r="G120" s="63">
        <v>0.45</v>
      </c>
      <c r="H120" s="63">
        <v>0.46</v>
      </c>
      <c r="I120" s="63">
        <v>0.05</v>
      </c>
      <c r="J120" s="63">
        <v>0.48</v>
      </c>
      <c r="K120" s="63">
        <v>0.5</v>
      </c>
      <c r="L120" s="63">
        <v>0.56000000000000005</v>
      </c>
      <c r="M120" s="25">
        <v>53</v>
      </c>
      <c r="N120" s="25">
        <v>8</v>
      </c>
      <c r="O120" s="61">
        <v>0.02</v>
      </c>
      <c r="P120" s="61">
        <v>0.36</v>
      </c>
      <c r="Q120" s="61">
        <v>0.59</v>
      </c>
      <c r="R120" s="61">
        <v>0.03</v>
      </c>
      <c r="S120" s="61">
        <v>0.44</v>
      </c>
      <c r="T120" s="61">
        <v>0.51</v>
      </c>
      <c r="U120" s="61">
        <v>0.48</v>
      </c>
      <c r="V120" s="12">
        <v>54</v>
      </c>
      <c r="W120" s="12">
        <v>9</v>
      </c>
      <c r="X120" s="66">
        <v>0.01</v>
      </c>
      <c r="Y120" s="66">
        <v>0.31</v>
      </c>
      <c r="Z120" s="66">
        <v>0.56000000000000005</v>
      </c>
      <c r="AA120" s="66">
        <v>0.12</v>
      </c>
      <c r="AB120" s="66">
        <v>0.42</v>
      </c>
      <c r="AC120" s="66">
        <v>0.46</v>
      </c>
      <c r="AD120" s="66">
        <v>0.5</v>
      </c>
      <c r="AE120" s="12">
        <v>54</v>
      </c>
      <c r="AF120" s="12">
        <v>8</v>
      </c>
      <c r="AG120" s="63">
        <v>0.01</v>
      </c>
      <c r="AH120" s="63">
        <v>0.33</v>
      </c>
      <c r="AI120" s="63">
        <v>0.59</v>
      </c>
      <c r="AJ120" s="63">
        <v>0.06</v>
      </c>
      <c r="AK120" s="63">
        <v>0.44</v>
      </c>
      <c r="AL120" s="63">
        <v>0.37</v>
      </c>
      <c r="AM120" s="63">
        <v>0.42</v>
      </c>
      <c r="AN120" s="35">
        <v>52</v>
      </c>
      <c r="AO120" s="35">
        <v>8</v>
      </c>
      <c r="AP120" s="40">
        <v>0.03</v>
      </c>
      <c r="AQ120" s="40">
        <v>0.38</v>
      </c>
      <c r="AR120" s="40">
        <v>0.56000000000000005</v>
      </c>
      <c r="AS120" s="40">
        <v>0.03</v>
      </c>
      <c r="AT120" s="40">
        <v>0.5</v>
      </c>
      <c r="AU120" s="40">
        <v>0.41</v>
      </c>
      <c r="AV120" s="40">
        <v>0.47</v>
      </c>
      <c r="AW120" s="246">
        <v>53</v>
      </c>
      <c r="AX120" s="246" t="s">
        <v>758</v>
      </c>
      <c r="AY120" s="246">
        <v>8</v>
      </c>
      <c r="AZ120" s="246" t="s">
        <v>758</v>
      </c>
      <c r="BA120" s="263">
        <v>0.01</v>
      </c>
      <c r="BB120" s="263">
        <v>0.4</v>
      </c>
      <c r="BC120" s="263">
        <v>0.51</v>
      </c>
      <c r="BD120" s="263">
        <v>0.08</v>
      </c>
      <c r="BE120" s="263">
        <v>0.47</v>
      </c>
      <c r="BF120" s="263">
        <v>0.36</v>
      </c>
      <c r="BG120" s="263">
        <v>0.56000000000000005</v>
      </c>
      <c r="BH120" s="309">
        <v>53</v>
      </c>
      <c r="BI120" s="309" t="s">
        <v>758</v>
      </c>
      <c r="BJ120" s="309">
        <v>8</v>
      </c>
      <c r="BK120" s="309" t="s">
        <v>758</v>
      </c>
      <c r="BL120" s="327">
        <v>0</v>
      </c>
      <c r="BM120" s="327">
        <v>0.36</v>
      </c>
      <c r="BN120" s="327">
        <v>0.56999999999999995</v>
      </c>
      <c r="BO120" s="327">
        <v>0.08</v>
      </c>
      <c r="BP120" s="327">
        <v>0.49</v>
      </c>
      <c r="BQ120" s="327">
        <v>0.38</v>
      </c>
      <c r="BR120" s="327">
        <v>0.46</v>
      </c>
      <c r="BS120" s="424">
        <v>52</v>
      </c>
      <c r="BT120" s="424" t="s">
        <v>758</v>
      </c>
      <c r="BU120" s="424">
        <v>8</v>
      </c>
      <c r="BV120" s="424" t="s">
        <v>758</v>
      </c>
      <c r="BW120" s="428">
        <v>0.02</v>
      </c>
      <c r="BX120" s="428">
        <v>0.38</v>
      </c>
      <c r="BY120" s="428">
        <v>0.55000000000000004</v>
      </c>
      <c r="BZ120" s="428">
        <v>0.05</v>
      </c>
      <c r="CA120" s="428">
        <v>0.39</v>
      </c>
      <c r="CB120" s="428">
        <v>0.51</v>
      </c>
      <c r="CC120" s="428">
        <v>0.54</v>
      </c>
      <c r="CD120" s="464">
        <v>52</v>
      </c>
      <c r="CE120" s="464" t="s">
        <v>758</v>
      </c>
      <c r="CF120" s="464">
        <v>9</v>
      </c>
      <c r="CG120" s="464" t="s">
        <v>758</v>
      </c>
      <c r="CH120" s="476">
        <v>0.02</v>
      </c>
      <c r="CI120" s="476">
        <v>0.41</v>
      </c>
      <c r="CJ120" s="476">
        <v>0.5</v>
      </c>
      <c r="CK120" s="476">
        <v>7.0000000000000007E-2</v>
      </c>
      <c r="CL120" s="476">
        <v>0.48</v>
      </c>
      <c r="CM120" s="476">
        <v>0.48</v>
      </c>
      <c r="CN120" s="476">
        <v>0.39</v>
      </c>
      <c r="CO120" s="902">
        <v>52</v>
      </c>
      <c r="CP120" s="902" t="s">
        <v>758</v>
      </c>
      <c r="CQ120" s="902">
        <v>8</v>
      </c>
      <c r="CR120" s="902" t="s">
        <v>758</v>
      </c>
      <c r="CS120" s="949">
        <v>0.03</v>
      </c>
      <c r="CT120" s="949">
        <v>0.39</v>
      </c>
      <c r="CU120" s="949">
        <v>0.52</v>
      </c>
      <c r="CV120" s="949">
        <v>0.06</v>
      </c>
      <c r="CW120" s="949">
        <v>0.38</v>
      </c>
      <c r="CX120" s="949">
        <v>0.5</v>
      </c>
      <c r="CY120" s="949">
        <v>0.56999999999999995</v>
      </c>
      <c r="CZ120" s="26">
        <v>125754000713</v>
      </c>
      <c r="DA120" s="803" t="s">
        <v>96</v>
      </c>
    </row>
    <row r="121" spans="1:105" ht="24.95" customHeight="1" x14ac:dyDescent="0.2">
      <c r="A121" s="803" t="s">
        <v>25</v>
      </c>
      <c r="B121" s="1" t="s">
        <v>121</v>
      </c>
      <c r="C121" s="2">
        <v>6</v>
      </c>
      <c r="D121" s="12">
        <v>53</v>
      </c>
      <c r="E121" s="12">
        <v>8</v>
      </c>
      <c r="F121" s="63">
        <v>0</v>
      </c>
      <c r="G121" s="63">
        <v>0.41</v>
      </c>
      <c r="H121" s="63">
        <v>0.55000000000000004</v>
      </c>
      <c r="I121" s="63">
        <v>0.04</v>
      </c>
      <c r="J121" s="63">
        <v>0.45</v>
      </c>
      <c r="K121" s="63">
        <v>0.5</v>
      </c>
      <c r="L121" s="63">
        <v>0.56999999999999995</v>
      </c>
      <c r="M121" s="25">
        <v>53</v>
      </c>
      <c r="N121" s="25">
        <v>8</v>
      </c>
      <c r="O121" s="61">
        <v>0.01</v>
      </c>
      <c r="P121" s="61">
        <v>0.36</v>
      </c>
      <c r="Q121" s="61">
        <v>0.57999999999999996</v>
      </c>
      <c r="R121" s="61">
        <v>0.06</v>
      </c>
      <c r="S121" s="61">
        <v>0.44</v>
      </c>
      <c r="T121" s="61">
        <v>0.49</v>
      </c>
      <c r="U121" s="61">
        <v>0.51</v>
      </c>
      <c r="V121" s="12">
        <v>55</v>
      </c>
      <c r="W121" s="12">
        <v>9</v>
      </c>
      <c r="X121" s="66">
        <v>0.01</v>
      </c>
      <c r="Y121" s="66">
        <v>0.35</v>
      </c>
      <c r="Z121" s="66">
        <v>0.52</v>
      </c>
      <c r="AA121" s="66">
        <v>0.13</v>
      </c>
      <c r="AB121" s="66">
        <v>0.44</v>
      </c>
      <c r="AC121" s="66">
        <v>0.45</v>
      </c>
      <c r="AD121" s="66">
        <v>0.47</v>
      </c>
      <c r="AE121" s="12">
        <v>53</v>
      </c>
      <c r="AF121" s="12">
        <v>9</v>
      </c>
      <c r="AG121" s="63">
        <v>0.04</v>
      </c>
      <c r="AH121" s="63">
        <v>0.36</v>
      </c>
      <c r="AI121" s="63">
        <v>0.53</v>
      </c>
      <c r="AJ121" s="63">
        <v>0.08</v>
      </c>
      <c r="AK121" s="63">
        <v>0.43</v>
      </c>
      <c r="AL121" s="63">
        <v>0.38</v>
      </c>
      <c r="AM121" s="63">
        <v>0.44</v>
      </c>
      <c r="AN121" s="35">
        <v>54</v>
      </c>
      <c r="AO121" s="35">
        <v>8</v>
      </c>
      <c r="AP121" s="40">
        <v>0.02</v>
      </c>
      <c r="AQ121" s="40">
        <v>0.33</v>
      </c>
      <c r="AR121" s="40">
        <v>0.59</v>
      </c>
      <c r="AS121" s="40">
        <v>7.0000000000000007E-2</v>
      </c>
      <c r="AT121" s="40">
        <v>0.45</v>
      </c>
      <c r="AU121" s="40">
        <v>0.36</v>
      </c>
      <c r="AV121" s="40">
        <v>0.44</v>
      </c>
      <c r="AW121" s="246">
        <v>52</v>
      </c>
      <c r="AX121" s="246" t="s">
        <v>758</v>
      </c>
      <c r="AY121" s="246">
        <v>8</v>
      </c>
      <c r="AZ121" s="246" t="s">
        <v>758</v>
      </c>
      <c r="BA121" s="263">
        <v>0.03</v>
      </c>
      <c r="BB121" s="263">
        <v>0.38</v>
      </c>
      <c r="BC121" s="263">
        <v>0.54</v>
      </c>
      <c r="BD121" s="263">
        <v>0.06</v>
      </c>
      <c r="BE121" s="263">
        <v>0.48</v>
      </c>
      <c r="BF121" s="263">
        <v>0.38</v>
      </c>
      <c r="BG121" s="263">
        <v>0.56000000000000005</v>
      </c>
      <c r="BH121" s="309">
        <v>53</v>
      </c>
      <c r="BI121" s="309" t="s">
        <v>758</v>
      </c>
      <c r="BJ121" s="309">
        <v>9</v>
      </c>
      <c r="BK121" s="309" t="s">
        <v>758</v>
      </c>
      <c r="BL121" s="327">
        <v>0.04</v>
      </c>
      <c r="BM121" s="327">
        <v>0.35</v>
      </c>
      <c r="BN121" s="327">
        <v>0.48</v>
      </c>
      <c r="BO121" s="327">
        <v>0.12</v>
      </c>
      <c r="BP121" s="327">
        <v>0.5</v>
      </c>
      <c r="BQ121" s="327">
        <v>0.36</v>
      </c>
      <c r="BR121" s="327">
        <v>0.47</v>
      </c>
      <c r="BS121" s="424">
        <v>52</v>
      </c>
      <c r="BT121" s="424" t="s">
        <v>758</v>
      </c>
      <c r="BU121" s="424">
        <v>9</v>
      </c>
      <c r="BV121" s="424" t="s">
        <v>758</v>
      </c>
      <c r="BW121" s="428">
        <v>0.03</v>
      </c>
      <c r="BX121" s="428">
        <v>0.39</v>
      </c>
      <c r="BY121" s="428">
        <v>0.52</v>
      </c>
      <c r="BZ121" s="428">
        <v>0.06</v>
      </c>
      <c r="CA121" s="428">
        <v>0.39</v>
      </c>
      <c r="CB121" s="428">
        <v>0.51</v>
      </c>
      <c r="CC121" s="428">
        <v>0.53</v>
      </c>
      <c r="CD121" s="464">
        <v>52</v>
      </c>
      <c r="CE121" s="464" t="s">
        <v>758</v>
      </c>
      <c r="CF121" s="464">
        <v>9</v>
      </c>
      <c r="CG121" s="464" t="s">
        <v>758</v>
      </c>
      <c r="CH121" s="476">
        <v>0.04</v>
      </c>
      <c r="CI121" s="476">
        <v>0.38</v>
      </c>
      <c r="CJ121" s="476">
        <v>0.51</v>
      </c>
      <c r="CK121" s="476">
        <v>7.0000000000000007E-2</v>
      </c>
      <c r="CL121" s="476">
        <v>0.48</v>
      </c>
      <c r="CM121" s="476">
        <v>0.48</v>
      </c>
      <c r="CN121" s="476">
        <v>0.39</v>
      </c>
      <c r="CO121" s="902">
        <v>54</v>
      </c>
      <c r="CP121" s="902" t="s">
        <v>758</v>
      </c>
      <c r="CQ121" s="902">
        <v>9</v>
      </c>
      <c r="CR121" s="902" t="s">
        <v>758</v>
      </c>
      <c r="CS121" s="949">
        <v>0.01</v>
      </c>
      <c r="CT121" s="949">
        <v>0.35</v>
      </c>
      <c r="CU121" s="949">
        <v>0.52</v>
      </c>
      <c r="CV121" s="949">
        <v>0.12</v>
      </c>
      <c r="CW121" s="949">
        <v>0.34</v>
      </c>
      <c r="CX121" s="949">
        <v>0.45</v>
      </c>
      <c r="CY121" s="949">
        <v>0.53</v>
      </c>
      <c r="CZ121" s="26">
        <v>125754001019</v>
      </c>
      <c r="DA121" s="803" t="s">
        <v>25</v>
      </c>
    </row>
    <row r="122" spans="1:105" ht="24.95" customHeight="1" x14ac:dyDescent="0.2">
      <c r="A122" s="803" t="s">
        <v>41</v>
      </c>
      <c r="B122" s="1" t="s">
        <v>121</v>
      </c>
      <c r="C122" s="2">
        <v>3</v>
      </c>
      <c r="D122" s="12">
        <v>54</v>
      </c>
      <c r="E122" s="12">
        <v>8</v>
      </c>
      <c r="F122" s="63">
        <v>0.02</v>
      </c>
      <c r="G122" s="63">
        <v>0.33</v>
      </c>
      <c r="H122" s="63">
        <v>0.61</v>
      </c>
      <c r="I122" s="63">
        <v>0.05</v>
      </c>
      <c r="J122" s="63">
        <v>0.49</v>
      </c>
      <c r="K122" s="63">
        <v>0.49</v>
      </c>
      <c r="L122" s="63">
        <v>0.53</v>
      </c>
      <c r="M122" s="25">
        <v>54</v>
      </c>
      <c r="N122" s="25">
        <v>9</v>
      </c>
      <c r="O122" s="61">
        <v>0.02</v>
      </c>
      <c r="P122" s="61">
        <v>0.3</v>
      </c>
      <c r="Q122" s="61">
        <v>0.59</v>
      </c>
      <c r="R122" s="61">
        <v>0.09</v>
      </c>
      <c r="S122" s="61">
        <v>0.42</v>
      </c>
      <c r="T122" s="61">
        <v>0.47</v>
      </c>
      <c r="U122" s="61">
        <v>0.46</v>
      </c>
      <c r="V122" s="12">
        <v>54</v>
      </c>
      <c r="W122" s="12">
        <v>8</v>
      </c>
      <c r="X122" s="66">
        <v>0</v>
      </c>
      <c r="Y122" s="66">
        <v>0.31</v>
      </c>
      <c r="Z122" s="66">
        <v>0.61</v>
      </c>
      <c r="AA122" s="66">
        <v>0.08</v>
      </c>
      <c r="AB122" s="66">
        <v>0.42</v>
      </c>
      <c r="AC122" s="66">
        <v>0.49</v>
      </c>
      <c r="AD122" s="66">
        <v>0.51</v>
      </c>
      <c r="AE122" s="12">
        <v>54</v>
      </c>
      <c r="AF122" s="12">
        <v>9</v>
      </c>
      <c r="AG122" s="63">
        <v>0</v>
      </c>
      <c r="AH122" s="63">
        <v>0.33</v>
      </c>
      <c r="AI122" s="63">
        <v>0.56999999999999995</v>
      </c>
      <c r="AJ122" s="63">
        <v>0.09</v>
      </c>
      <c r="AK122" s="63">
        <v>0.42</v>
      </c>
      <c r="AL122" s="63">
        <v>0.35</v>
      </c>
      <c r="AM122" s="63">
        <v>0.43</v>
      </c>
      <c r="AN122" s="35">
        <v>54</v>
      </c>
      <c r="AO122" s="35">
        <v>8</v>
      </c>
      <c r="AP122" s="40">
        <v>0.02</v>
      </c>
      <c r="AQ122" s="40">
        <v>0.28000000000000003</v>
      </c>
      <c r="AR122" s="40">
        <v>0.62</v>
      </c>
      <c r="AS122" s="40">
        <v>0.08</v>
      </c>
      <c r="AT122" s="40">
        <v>0.46</v>
      </c>
      <c r="AU122" s="40">
        <v>0.37</v>
      </c>
      <c r="AV122" s="40">
        <v>0.43</v>
      </c>
      <c r="AW122" s="246">
        <v>53</v>
      </c>
      <c r="AX122" s="246" t="s">
        <v>758</v>
      </c>
      <c r="AY122" s="246">
        <v>9</v>
      </c>
      <c r="AZ122" s="246" t="s">
        <v>758</v>
      </c>
      <c r="BA122" s="263">
        <v>0.01</v>
      </c>
      <c r="BB122" s="263">
        <v>0.36</v>
      </c>
      <c r="BC122" s="263">
        <v>0.56000000000000005</v>
      </c>
      <c r="BD122" s="263">
        <v>7.0000000000000007E-2</v>
      </c>
      <c r="BE122" s="263">
        <v>0.45</v>
      </c>
      <c r="BF122" s="263">
        <v>0.35</v>
      </c>
      <c r="BG122" s="263">
        <v>0.56000000000000005</v>
      </c>
      <c r="BH122" s="309">
        <v>53</v>
      </c>
      <c r="BI122" s="309" t="s">
        <v>758</v>
      </c>
      <c r="BJ122" s="309">
        <v>9</v>
      </c>
      <c r="BK122" s="309" t="s">
        <v>758</v>
      </c>
      <c r="BL122" s="327">
        <v>0.02</v>
      </c>
      <c r="BM122" s="327">
        <v>0.35</v>
      </c>
      <c r="BN122" s="327">
        <v>0.56999999999999995</v>
      </c>
      <c r="BO122" s="327">
        <v>0.06</v>
      </c>
      <c r="BP122" s="327">
        <v>0.5</v>
      </c>
      <c r="BQ122" s="327">
        <v>0.38</v>
      </c>
      <c r="BR122" s="327">
        <v>0.47</v>
      </c>
      <c r="BS122" s="424">
        <v>52</v>
      </c>
      <c r="BT122" s="424" t="s">
        <v>758</v>
      </c>
      <c r="BU122" s="424">
        <v>9</v>
      </c>
      <c r="BV122" s="424" t="s">
        <v>758</v>
      </c>
      <c r="BW122" s="428">
        <v>0.03</v>
      </c>
      <c r="BX122" s="428">
        <v>0.36</v>
      </c>
      <c r="BY122" s="428">
        <v>0.54</v>
      </c>
      <c r="BZ122" s="428">
        <v>7.0000000000000007E-2</v>
      </c>
      <c r="CA122" s="428">
        <v>0.4</v>
      </c>
      <c r="CB122" s="428">
        <v>0.5</v>
      </c>
      <c r="CC122" s="428">
        <v>0.54</v>
      </c>
      <c r="CD122" s="464">
        <v>55</v>
      </c>
      <c r="CE122" s="464" t="s">
        <v>758</v>
      </c>
      <c r="CF122" s="464">
        <v>9</v>
      </c>
      <c r="CG122" s="464" t="s">
        <v>758</v>
      </c>
      <c r="CH122" s="476">
        <v>0.03</v>
      </c>
      <c r="CI122" s="476">
        <v>0.28000000000000003</v>
      </c>
      <c r="CJ122" s="476">
        <v>0.55000000000000004</v>
      </c>
      <c r="CK122" s="476">
        <v>0.15</v>
      </c>
      <c r="CL122" s="476">
        <v>0.45</v>
      </c>
      <c r="CM122" s="476">
        <v>0.42</v>
      </c>
      <c r="CN122" s="476">
        <v>0.35</v>
      </c>
      <c r="CO122" s="902">
        <v>53</v>
      </c>
      <c r="CP122" s="902" t="s">
        <v>758</v>
      </c>
      <c r="CQ122" s="902">
        <v>9</v>
      </c>
      <c r="CR122" s="902" t="s">
        <v>758</v>
      </c>
      <c r="CS122" s="949">
        <v>0.04</v>
      </c>
      <c r="CT122" s="949">
        <v>0.34</v>
      </c>
      <c r="CU122" s="949">
        <v>0.56000000000000005</v>
      </c>
      <c r="CV122" s="949">
        <v>0.06</v>
      </c>
      <c r="CW122" s="949">
        <v>0.37</v>
      </c>
      <c r="CX122" s="949">
        <v>0.48</v>
      </c>
      <c r="CY122" s="949">
        <v>0.54</v>
      </c>
      <c r="CZ122" s="26">
        <v>125754003291</v>
      </c>
      <c r="DA122" s="803" t="s">
        <v>41</v>
      </c>
    </row>
    <row r="123" spans="1:105" ht="24.95" customHeight="1" x14ac:dyDescent="0.2">
      <c r="A123" s="803" t="s">
        <v>62</v>
      </c>
      <c r="B123" s="1" t="s">
        <v>123</v>
      </c>
      <c r="C123" s="2">
        <v>1</v>
      </c>
      <c r="D123" s="12">
        <v>57</v>
      </c>
      <c r="E123" s="12">
        <v>8</v>
      </c>
      <c r="F123" s="63">
        <v>0</v>
      </c>
      <c r="G123" s="63">
        <v>0.28999999999999998</v>
      </c>
      <c r="H123" s="63">
        <v>0.61</v>
      </c>
      <c r="I123" s="63">
        <v>0.1</v>
      </c>
      <c r="J123" s="63">
        <v>0.35</v>
      </c>
      <c r="K123" s="63">
        <v>0.45</v>
      </c>
      <c r="L123" s="63">
        <v>0.47</v>
      </c>
      <c r="M123" s="25">
        <v>57</v>
      </c>
      <c r="N123" s="25">
        <v>9</v>
      </c>
      <c r="O123" s="61">
        <v>0.03</v>
      </c>
      <c r="P123" s="61">
        <v>0.21</v>
      </c>
      <c r="Q123" s="61">
        <v>0.61</v>
      </c>
      <c r="R123" s="61">
        <v>0.16</v>
      </c>
      <c r="S123" s="61">
        <v>0.39</v>
      </c>
      <c r="T123" s="61">
        <v>0.41</v>
      </c>
      <c r="U123" s="61">
        <v>0.39</v>
      </c>
      <c r="V123" s="12">
        <v>55</v>
      </c>
      <c r="W123" s="12">
        <v>10</v>
      </c>
      <c r="X123" s="66">
        <v>0</v>
      </c>
      <c r="Y123" s="66">
        <v>0.39</v>
      </c>
      <c r="Z123" s="66">
        <v>0.37</v>
      </c>
      <c r="AA123" s="66">
        <v>0.24</v>
      </c>
      <c r="AB123" s="66">
        <v>0.41</v>
      </c>
      <c r="AC123" s="66">
        <v>0.47</v>
      </c>
      <c r="AD123" s="66">
        <v>0.47</v>
      </c>
      <c r="AE123" s="12">
        <v>53</v>
      </c>
      <c r="AF123" s="12">
        <v>10</v>
      </c>
      <c r="AG123" s="63">
        <v>0</v>
      </c>
      <c r="AH123" s="63">
        <v>0.35</v>
      </c>
      <c r="AI123" s="63">
        <v>0.54</v>
      </c>
      <c r="AJ123" s="63">
        <v>0.11</v>
      </c>
      <c r="AK123" s="63">
        <v>0.39</v>
      </c>
      <c r="AL123" s="63">
        <v>0.4</v>
      </c>
      <c r="AM123" s="63">
        <v>0.44</v>
      </c>
      <c r="AN123" s="35">
        <v>55</v>
      </c>
      <c r="AO123" s="35">
        <v>8</v>
      </c>
      <c r="AP123" s="40">
        <v>0.05</v>
      </c>
      <c r="AQ123" s="40">
        <v>0.14000000000000001</v>
      </c>
      <c r="AR123" s="40">
        <v>0.73</v>
      </c>
      <c r="AS123" s="40">
        <v>0.09</v>
      </c>
      <c r="AT123" s="40">
        <v>0.42</v>
      </c>
      <c r="AU123" s="40">
        <v>0.35</v>
      </c>
      <c r="AV123" s="40">
        <v>0.41</v>
      </c>
      <c r="AW123" s="246">
        <v>54</v>
      </c>
      <c r="AX123" s="246" t="s">
        <v>758</v>
      </c>
      <c r="AY123" s="246">
        <v>8</v>
      </c>
      <c r="AZ123" s="246" t="s">
        <v>758</v>
      </c>
      <c r="BA123" s="263">
        <v>0</v>
      </c>
      <c r="BB123" s="263">
        <v>0.38</v>
      </c>
      <c r="BC123" s="263">
        <v>0.56999999999999995</v>
      </c>
      <c r="BD123" s="263">
        <v>0.05</v>
      </c>
      <c r="BE123" s="263">
        <v>0.45</v>
      </c>
      <c r="BF123" s="263">
        <v>0.3</v>
      </c>
      <c r="BG123" s="263">
        <v>0.55000000000000004</v>
      </c>
      <c r="BH123" s="309">
        <v>58</v>
      </c>
      <c r="BI123" s="309" t="s">
        <v>758</v>
      </c>
      <c r="BJ123" s="309">
        <v>7</v>
      </c>
      <c r="BK123" s="309" t="s">
        <v>758</v>
      </c>
      <c r="BL123" s="327">
        <v>0</v>
      </c>
      <c r="BM123" s="327">
        <v>0.15</v>
      </c>
      <c r="BN123" s="327">
        <v>0.68</v>
      </c>
      <c r="BO123" s="327">
        <v>0.18</v>
      </c>
      <c r="BP123" s="327">
        <v>0.38</v>
      </c>
      <c r="BQ123" s="327">
        <v>0.3</v>
      </c>
      <c r="BR123" s="327">
        <v>0.37</v>
      </c>
      <c r="BS123" s="424">
        <v>59</v>
      </c>
      <c r="BT123" s="424" t="s">
        <v>758</v>
      </c>
      <c r="BU123" s="424">
        <v>8</v>
      </c>
      <c r="BV123" s="424" t="s">
        <v>758</v>
      </c>
      <c r="BW123" s="428">
        <v>0</v>
      </c>
      <c r="BX123" s="428">
        <v>0.12</v>
      </c>
      <c r="BY123" s="428">
        <v>0.66</v>
      </c>
      <c r="BZ123" s="428">
        <v>0.22</v>
      </c>
      <c r="CA123" s="428">
        <v>0.27</v>
      </c>
      <c r="CB123" s="428">
        <v>0.39</v>
      </c>
      <c r="CC123" s="428">
        <v>0.39</v>
      </c>
      <c r="CD123" s="464">
        <v>57</v>
      </c>
      <c r="CE123" s="464" t="s">
        <v>758</v>
      </c>
      <c r="CF123" s="464">
        <v>8</v>
      </c>
      <c r="CG123" s="464" t="s">
        <v>758</v>
      </c>
      <c r="CH123" s="476">
        <v>0</v>
      </c>
      <c r="CI123" s="476">
        <v>0.23</v>
      </c>
      <c r="CJ123" s="476">
        <v>0.63</v>
      </c>
      <c r="CK123" s="476">
        <v>0.15</v>
      </c>
      <c r="CL123" s="476">
        <v>0.43</v>
      </c>
      <c r="CM123" s="476">
        <v>0.42</v>
      </c>
      <c r="CN123" s="476">
        <v>0.28999999999999998</v>
      </c>
      <c r="CO123" s="902">
        <v>61</v>
      </c>
      <c r="CP123" s="902" t="s">
        <v>758</v>
      </c>
      <c r="CQ123" s="902">
        <v>9</v>
      </c>
      <c r="CR123" s="902" t="s">
        <v>758</v>
      </c>
      <c r="CS123" s="949">
        <v>0</v>
      </c>
      <c r="CT123" s="949">
        <v>0.12</v>
      </c>
      <c r="CU123" s="949">
        <v>0.46</v>
      </c>
      <c r="CV123" s="949">
        <v>0.41</v>
      </c>
      <c r="CW123" s="949">
        <v>0.2</v>
      </c>
      <c r="CX123" s="949">
        <v>0.36</v>
      </c>
      <c r="CY123" s="949">
        <v>0.39</v>
      </c>
      <c r="CZ123" s="26">
        <v>325754004076</v>
      </c>
      <c r="DA123" s="803" t="s">
        <v>62</v>
      </c>
    </row>
    <row r="124" spans="1:105" ht="24.95" customHeight="1" x14ac:dyDescent="0.2">
      <c r="A124" s="803" t="s">
        <v>103</v>
      </c>
      <c r="B124" s="1" t="s">
        <v>121</v>
      </c>
      <c r="C124" s="2">
        <v>4</v>
      </c>
      <c r="D124" s="12">
        <v>49</v>
      </c>
      <c r="E124" s="12">
        <v>9</v>
      </c>
      <c r="F124" s="63">
        <v>0.03</v>
      </c>
      <c r="G124" s="63">
        <v>0.63</v>
      </c>
      <c r="H124" s="63">
        <v>0.31</v>
      </c>
      <c r="I124" s="63">
        <v>0.03</v>
      </c>
      <c r="J124" s="63">
        <v>0.49</v>
      </c>
      <c r="K124" s="63">
        <v>0.52</v>
      </c>
      <c r="L124" s="63">
        <v>0.63</v>
      </c>
      <c r="M124" s="25">
        <v>52</v>
      </c>
      <c r="N124" s="25">
        <v>7</v>
      </c>
      <c r="O124" s="61">
        <v>0</v>
      </c>
      <c r="P124" s="61">
        <v>0.41</v>
      </c>
      <c r="Q124" s="61">
        <v>0.59</v>
      </c>
      <c r="R124" s="61">
        <v>0</v>
      </c>
      <c r="S124" s="61">
        <v>0.47</v>
      </c>
      <c r="T124" s="61">
        <v>0.51</v>
      </c>
      <c r="U124" s="61">
        <v>0.53</v>
      </c>
      <c r="V124" s="12">
        <v>50</v>
      </c>
      <c r="W124" s="12">
        <v>8</v>
      </c>
      <c r="X124" s="66">
        <v>0</v>
      </c>
      <c r="Y124" s="66">
        <v>0.61</v>
      </c>
      <c r="Z124" s="66">
        <v>0.36</v>
      </c>
      <c r="AA124" s="66">
        <v>0.03</v>
      </c>
      <c r="AB124" s="66">
        <v>0.52</v>
      </c>
      <c r="AC124" s="66">
        <v>0.56999999999999995</v>
      </c>
      <c r="AD124" s="66">
        <v>0.56000000000000005</v>
      </c>
      <c r="AE124" s="12">
        <v>51</v>
      </c>
      <c r="AF124" s="12">
        <v>9</v>
      </c>
      <c r="AG124" s="63">
        <v>0.02</v>
      </c>
      <c r="AH124" s="63">
        <v>0.54</v>
      </c>
      <c r="AI124" s="63">
        <v>0.37</v>
      </c>
      <c r="AJ124" s="63">
        <v>7.0000000000000007E-2</v>
      </c>
      <c r="AK124" s="63">
        <v>0.47</v>
      </c>
      <c r="AL124" s="63">
        <v>0.43</v>
      </c>
      <c r="AM124" s="63">
        <v>0.47</v>
      </c>
      <c r="AN124" s="35">
        <v>49</v>
      </c>
      <c r="AO124" s="35">
        <v>9</v>
      </c>
      <c r="AP124" s="40">
        <v>0.09</v>
      </c>
      <c r="AQ124" s="40">
        <v>0.5</v>
      </c>
      <c r="AR124" s="40">
        <v>0.41</v>
      </c>
      <c r="AS124" s="40">
        <v>0</v>
      </c>
      <c r="AT124" s="40">
        <v>0.56000000000000005</v>
      </c>
      <c r="AU124" s="40">
        <v>0.43</v>
      </c>
      <c r="AV124" s="40">
        <v>0.5</v>
      </c>
      <c r="AW124" s="246">
        <v>50</v>
      </c>
      <c r="AX124" s="246" t="s">
        <v>758</v>
      </c>
      <c r="AY124" s="246">
        <v>9</v>
      </c>
      <c r="AZ124" s="246" t="s">
        <v>758</v>
      </c>
      <c r="BA124" s="263">
        <v>0.03</v>
      </c>
      <c r="BB124" s="263">
        <v>0.53</v>
      </c>
      <c r="BC124" s="263">
        <v>0.37</v>
      </c>
      <c r="BD124" s="263">
        <v>7.0000000000000007E-2</v>
      </c>
      <c r="BE124" s="263">
        <v>0.5</v>
      </c>
      <c r="BF124" s="263">
        <v>0.44</v>
      </c>
      <c r="BG124" s="263">
        <v>0.6</v>
      </c>
      <c r="BH124" s="309">
        <v>49</v>
      </c>
      <c r="BI124" s="309" t="s">
        <v>758</v>
      </c>
      <c r="BJ124" s="309">
        <v>9</v>
      </c>
      <c r="BK124" s="309" t="s">
        <v>758</v>
      </c>
      <c r="BL124" s="327">
        <v>0.08</v>
      </c>
      <c r="BM124" s="327">
        <v>0.47</v>
      </c>
      <c r="BN124" s="327">
        <v>0.44</v>
      </c>
      <c r="BO124" s="327">
        <v>0</v>
      </c>
      <c r="BP124" s="327">
        <v>0.56000000000000005</v>
      </c>
      <c r="BQ124" s="327">
        <v>0.43</v>
      </c>
      <c r="BR124" s="327">
        <v>0.57999999999999996</v>
      </c>
      <c r="BS124" s="424">
        <v>49</v>
      </c>
      <c r="BT124" s="424" t="s">
        <v>758</v>
      </c>
      <c r="BU124" s="424">
        <v>9</v>
      </c>
      <c r="BV124" s="424" t="s">
        <v>758</v>
      </c>
      <c r="BW124" s="428">
        <v>0.03</v>
      </c>
      <c r="BX124" s="428">
        <v>0.5</v>
      </c>
      <c r="BY124" s="428">
        <v>0.41</v>
      </c>
      <c r="BZ124" s="428">
        <v>0.06</v>
      </c>
      <c r="CA124" s="428">
        <v>0.44</v>
      </c>
      <c r="CB124" s="428">
        <v>0.54</v>
      </c>
      <c r="CC124" s="428">
        <v>0.57999999999999996</v>
      </c>
      <c r="CD124" s="464">
        <v>49</v>
      </c>
      <c r="CE124" s="464" t="s">
        <v>758</v>
      </c>
      <c r="CF124" s="464">
        <v>10</v>
      </c>
      <c r="CG124" s="464" t="s">
        <v>758</v>
      </c>
      <c r="CH124" s="476">
        <v>0.1</v>
      </c>
      <c r="CI124" s="476">
        <v>0.47</v>
      </c>
      <c r="CJ124" s="476">
        <v>0.37</v>
      </c>
      <c r="CK124" s="476">
        <v>7.0000000000000007E-2</v>
      </c>
      <c r="CL124" s="476">
        <v>0.49</v>
      </c>
      <c r="CM124" s="476">
        <v>0.54</v>
      </c>
      <c r="CN124" s="476">
        <v>0.46</v>
      </c>
      <c r="CO124" s="902">
        <v>52</v>
      </c>
      <c r="CP124" s="902" t="s">
        <v>758</v>
      </c>
      <c r="CQ124" s="902">
        <v>10</v>
      </c>
      <c r="CR124" s="902" t="s">
        <v>758</v>
      </c>
      <c r="CS124" s="949">
        <v>0.05</v>
      </c>
      <c r="CT124" s="949">
        <v>0.46</v>
      </c>
      <c r="CU124" s="949">
        <v>0.43</v>
      </c>
      <c r="CV124" s="949">
        <v>0.05</v>
      </c>
      <c r="CW124" s="949">
        <v>0.39</v>
      </c>
      <c r="CX124" s="949">
        <v>0.48</v>
      </c>
      <c r="CY124" s="949">
        <v>0.56999999999999995</v>
      </c>
      <c r="CZ124" s="26">
        <v>125754000934</v>
      </c>
      <c r="DA124" s="803" t="s">
        <v>103</v>
      </c>
    </row>
    <row r="125" spans="1:105" ht="24.95" customHeight="1" x14ac:dyDescent="0.2">
      <c r="A125" s="803" t="s">
        <v>802</v>
      </c>
      <c r="B125" s="1" t="s">
        <v>121</v>
      </c>
      <c r="C125" s="2">
        <v>2</v>
      </c>
      <c r="D125" s="12"/>
      <c r="E125" s="12"/>
      <c r="F125" s="63"/>
      <c r="G125" s="63"/>
      <c r="H125" s="63"/>
      <c r="I125" s="63"/>
      <c r="J125" s="63"/>
      <c r="K125" s="63"/>
      <c r="L125" s="63"/>
      <c r="M125" s="25"/>
      <c r="N125" s="25"/>
      <c r="O125" s="61"/>
      <c r="P125" s="61"/>
      <c r="Q125" s="61"/>
      <c r="R125" s="61"/>
      <c r="S125" s="61"/>
      <c r="T125" s="61"/>
      <c r="U125" s="61"/>
      <c r="V125" s="12"/>
      <c r="W125" s="12"/>
      <c r="X125" s="66"/>
      <c r="Y125" s="66"/>
      <c r="Z125" s="66"/>
      <c r="AA125" s="66"/>
      <c r="AB125" s="66"/>
      <c r="AC125" s="66"/>
      <c r="AD125" s="66"/>
      <c r="AE125" s="12"/>
      <c r="AF125" s="12"/>
      <c r="AG125" s="63"/>
      <c r="AH125" s="63"/>
      <c r="AI125" s="63"/>
      <c r="AJ125" s="63"/>
      <c r="AK125" s="63"/>
      <c r="AL125" s="63"/>
      <c r="AM125" s="63"/>
      <c r="AN125" s="35"/>
      <c r="AO125" s="35"/>
      <c r="AP125" s="40"/>
      <c r="AQ125" s="40"/>
      <c r="AR125" s="40"/>
      <c r="AS125" s="40"/>
      <c r="AT125" s="40"/>
      <c r="AU125" s="40"/>
      <c r="AV125" s="40"/>
      <c r="AW125" s="246"/>
      <c r="AX125" s="246"/>
      <c r="AY125" s="246"/>
      <c r="AZ125" s="246"/>
      <c r="BA125" s="263"/>
      <c r="BB125" s="263"/>
      <c r="BC125" s="263"/>
      <c r="BD125" s="263"/>
      <c r="BE125" s="263"/>
      <c r="BF125" s="263"/>
      <c r="BG125" s="263"/>
      <c r="BH125" s="309">
        <v>55</v>
      </c>
      <c r="BI125" s="309" t="s">
        <v>758</v>
      </c>
      <c r="BJ125" s="309">
        <v>9</v>
      </c>
      <c r="BK125" s="309" t="s">
        <v>758</v>
      </c>
      <c r="BL125" s="327">
        <v>0</v>
      </c>
      <c r="BM125" s="327">
        <v>0.28999999999999998</v>
      </c>
      <c r="BN125" s="327">
        <v>0.61</v>
      </c>
      <c r="BO125" s="327">
        <v>0.11</v>
      </c>
      <c r="BP125" s="327">
        <v>0.45</v>
      </c>
      <c r="BQ125" s="327">
        <v>0.33</v>
      </c>
      <c r="BR125" s="327">
        <v>0.44</v>
      </c>
      <c r="BS125" s="424">
        <v>54</v>
      </c>
      <c r="BT125" s="424" t="s">
        <v>758</v>
      </c>
      <c r="BU125" s="424">
        <v>9</v>
      </c>
      <c r="BV125" s="424" t="s">
        <v>758</v>
      </c>
      <c r="BW125" s="428">
        <v>0.06</v>
      </c>
      <c r="BX125" s="428">
        <v>0.23</v>
      </c>
      <c r="BY125" s="428">
        <v>0.62</v>
      </c>
      <c r="BZ125" s="428">
        <v>0.08</v>
      </c>
      <c r="CA125" s="428">
        <v>0.36</v>
      </c>
      <c r="CB125" s="428">
        <v>0.48</v>
      </c>
      <c r="CC125" s="428">
        <v>0.5</v>
      </c>
      <c r="CD125" s="464">
        <v>53</v>
      </c>
      <c r="CE125" s="464" t="s">
        <v>758</v>
      </c>
      <c r="CF125" s="464">
        <v>8</v>
      </c>
      <c r="CG125" s="464" t="s">
        <v>758</v>
      </c>
      <c r="CH125" s="476">
        <v>0.01</v>
      </c>
      <c r="CI125" s="476">
        <v>0.4</v>
      </c>
      <c r="CJ125" s="476">
        <v>0.55000000000000004</v>
      </c>
      <c r="CK125" s="476">
        <v>0.04</v>
      </c>
      <c r="CL125" s="476">
        <v>0.49</v>
      </c>
      <c r="CM125" s="476">
        <v>0.47</v>
      </c>
      <c r="CN125" s="476">
        <v>0.35</v>
      </c>
      <c r="CO125" s="902">
        <v>55</v>
      </c>
      <c r="CP125" s="902" t="s">
        <v>758</v>
      </c>
      <c r="CQ125" s="902">
        <v>8</v>
      </c>
      <c r="CR125" s="902" t="s">
        <v>758</v>
      </c>
      <c r="CS125" s="949">
        <v>0</v>
      </c>
      <c r="CT125" s="949">
        <v>0.3</v>
      </c>
      <c r="CU125" s="949">
        <v>0.61</v>
      </c>
      <c r="CV125" s="949">
        <v>0.1</v>
      </c>
      <c r="CW125" s="949">
        <v>0.3</v>
      </c>
      <c r="CX125" s="949">
        <v>0.45</v>
      </c>
      <c r="CY125" s="949">
        <v>0.5</v>
      </c>
      <c r="CZ125" s="26">
        <v>125754800141</v>
      </c>
      <c r="DA125" s="803" t="s">
        <v>802</v>
      </c>
    </row>
    <row r="126" spans="1:105" ht="24.95" customHeight="1" x14ac:dyDescent="0.2">
      <c r="A126" s="804" t="s">
        <v>74</v>
      </c>
      <c r="B126" s="1" t="s">
        <v>121</v>
      </c>
      <c r="C126" s="309">
        <v>3</v>
      </c>
      <c r="D126" s="328">
        <v>54</v>
      </c>
      <c r="E126" s="328">
        <v>9</v>
      </c>
      <c r="F126" s="327">
        <v>0</v>
      </c>
      <c r="G126" s="327">
        <v>0.35</v>
      </c>
      <c r="H126" s="327">
        <v>0.55000000000000004</v>
      </c>
      <c r="I126" s="327">
        <v>0.11</v>
      </c>
      <c r="J126" s="327">
        <v>0.43</v>
      </c>
      <c r="K126" s="327">
        <v>0.44</v>
      </c>
      <c r="L126" s="327">
        <v>0.51</v>
      </c>
      <c r="M126" s="329">
        <v>55</v>
      </c>
      <c r="N126" s="329">
        <v>9</v>
      </c>
      <c r="O126" s="330">
        <v>0</v>
      </c>
      <c r="P126" s="330">
        <v>0.3</v>
      </c>
      <c r="Q126" s="330">
        <v>0.57999999999999996</v>
      </c>
      <c r="R126" s="330">
        <v>0.13</v>
      </c>
      <c r="S126" s="330">
        <v>0.41</v>
      </c>
      <c r="T126" s="330">
        <v>0.46</v>
      </c>
      <c r="U126" s="330">
        <v>0.45</v>
      </c>
      <c r="V126" s="328">
        <v>54</v>
      </c>
      <c r="W126" s="328">
        <v>9</v>
      </c>
      <c r="X126" s="333">
        <v>0.03</v>
      </c>
      <c r="Y126" s="333">
        <v>0.3</v>
      </c>
      <c r="Z126" s="333">
        <v>0.56999999999999995</v>
      </c>
      <c r="AA126" s="333">
        <v>0.1</v>
      </c>
      <c r="AB126" s="333">
        <v>0.44</v>
      </c>
      <c r="AC126" s="333">
        <v>0.48</v>
      </c>
      <c r="AD126" s="333">
        <v>0.5</v>
      </c>
      <c r="AE126" s="328">
        <v>52</v>
      </c>
      <c r="AF126" s="328">
        <v>8</v>
      </c>
      <c r="AG126" s="327">
        <v>0.02</v>
      </c>
      <c r="AH126" s="327">
        <v>0.39</v>
      </c>
      <c r="AI126" s="327">
        <v>0.53</v>
      </c>
      <c r="AJ126" s="327">
        <v>0.06</v>
      </c>
      <c r="AK126" s="327">
        <v>0.45</v>
      </c>
      <c r="AL126" s="327">
        <v>0.42</v>
      </c>
      <c r="AM126" s="327">
        <v>0.43</v>
      </c>
      <c r="AN126" s="311">
        <v>51</v>
      </c>
      <c r="AO126" s="311">
        <v>9</v>
      </c>
      <c r="AP126" s="331">
        <v>7.0000000000000007E-2</v>
      </c>
      <c r="AQ126" s="331">
        <v>0.41</v>
      </c>
      <c r="AR126" s="331">
        <v>0.5</v>
      </c>
      <c r="AS126" s="331">
        <v>0.03</v>
      </c>
      <c r="AT126" s="331">
        <v>0.53</v>
      </c>
      <c r="AU126" s="331">
        <v>0.4</v>
      </c>
      <c r="AV126" s="331">
        <v>0.45</v>
      </c>
      <c r="AW126" s="312">
        <v>53</v>
      </c>
      <c r="AX126" s="312" t="s">
        <v>758</v>
      </c>
      <c r="AY126" s="312">
        <v>9</v>
      </c>
      <c r="AZ126" s="312" t="s">
        <v>758</v>
      </c>
      <c r="BA126" s="332">
        <v>0.03</v>
      </c>
      <c r="BB126" s="332">
        <v>0.37</v>
      </c>
      <c r="BC126" s="332">
        <v>0.54</v>
      </c>
      <c r="BD126" s="332">
        <v>0.06</v>
      </c>
      <c r="BE126" s="332">
        <v>0.46</v>
      </c>
      <c r="BF126" s="332">
        <v>0.36</v>
      </c>
      <c r="BG126" s="332">
        <v>0.55000000000000004</v>
      </c>
      <c r="BH126" s="309">
        <v>55</v>
      </c>
      <c r="BI126" s="309" t="s">
        <v>758</v>
      </c>
      <c r="BJ126" s="309">
        <v>9</v>
      </c>
      <c r="BK126" s="309" t="s">
        <v>758</v>
      </c>
      <c r="BL126" s="327">
        <v>0.02</v>
      </c>
      <c r="BM126" s="327">
        <v>0.27</v>
      </c>
      <c r="BN126" s="327">
        <v>0.6</v>
      </c>
      <c r="BO126" s="327">
        <v>0.11</v>
      </c>
      <c r="BP126" s="327">
        <v>0.48</v>
      </c>
      <c r="BQ126" s="327">
        <v>0.33</v>
      </c>
      <c r="BR126" s="327">
        <v>0.43</v>
      </c>
      <c r="BS126" s="424">
        <v>54</v>
      </c>
      <c r="BT126" s="424" t="s">
        <v>758</v>
      </c>
      <c r="BU126" s="424">
        <v>8</v>
      </c>
      <c r="BV126" s="424" t="s">
        <v>758</v>
      </c>
      <c r="BW126" s="428">
        <v>0.02</v>
      </c>
      <c r="BX126" s="428">
        <v>0.28000000000000003</v>
      </c>
      <c r="BY126" s="428">
        <v>0.64</v>
      </c>
      <c r="BZ126" s="428">
        <v>0.06</v>
      </c>
      <c r="CA126" s="428">
        <v>0.37</v>
      </c>
      <c r="CB126" s="428">
        <v>0.47</v>
      </c>
      <c r="CC126" s="428">
        <v>0.5</v>
      </c>
      <c r="CD126" s="464">
        <v>53</v>
      </c>
      <c r="CE126" s="464" t="s">
        <v>758</v>
      </c>
      <c r="CF126" s="464">
        <v>9</v>
      </c>
      <c r="CG126" s="464" t="s">
        <v>758</v>
      </c>
      <c r="CH126" s="476">
        <v>0.01</v>
      </c>
      <c r="CI126" s="476">
        <v>0.33</v>
      </c>
      <c r="CJ126" s="476">
        <v>0.59</v>
      </c>
      <c r="CK126" s="476">
        <v>7.0000000000000007E-2</v>
      </c>
      <c r="CL126" s="476">
        <v>0.48</v>
      </c>
      <c r="CM126" s="476">
        <v>0.46</v>
      </c>
      <c r="CN126" s="476">
        <v>0.37</v>
      </c>
      <c r="CO126" s="902">
        <v>53</v>
      </c>
      <c r="CP126" s="902" t="s">
        <v>758</v>
      </c>
      <c r="CQ126" s="902">
        <v>9</v>
      </c>
      <c r="CR126" s="902" t="s">
        <v>758</v>
      </c>
      <c r="CS126" s="949">
        <v>0.01</v>
      </c>
      <c r="CT126" s="949">
        <v>0.43</v>
      </c>
      <c r="CU126" s="949">
        <v>0.48</v>
      </c>
      <c r="CV126" s="949">
        <v>0.08</v>
      </c>
      <c r="CW126" s="949">
        <v>0.36</v>
      </c>
      <c r="CX126" s="949">
        <v>0.5</v>
      </c>
      <c r="CY126" s="949">
        <v>0.52</v>
      </c>
      <c r="CZ126" s="26">
        <v>225754000238</v>
      </c>
      <c r="DA126" s="804" t="s">
        <v>74</v>
      </c>
    </row>
    <row r="127" spans="1:105" ht="24.95" customHeight="1" x14ac:dyDescent="0.2">
      <c r="A127" s="803" t="s">
        <v>803</v>
      </c>
      <c r="B127" s="1" t="s">
        <v>121</v>
      </c>
      <c r="C127" s="2">
        <v>1</v>
      </c>
      <c r="D127" s="12"/>
      <c r="E127" s="12"/>
      <c r="F127" s="63"/>
      <c r="G127" s="63"/>
      <c r="H127" s="63"/>
      <c r="I127" s="63"/>
      <c r="J127" s="63"/>
      <c r="K127" s="63"/>
      <c r="L127" s="63"/>
      <c r="M127" s="25"/>
      <c r="N127" s="25"/>
      <c r="O127" s="61"/>
      <c r="P127" s="61"/>
      <c r="Q127" s="61"/>
      <c r="R127" s="61"/>
      <c r="S127" s="61"/>
      <c r="T127" s="61"/>
      <c r="U127" s="61"/>
      <c r="V127" s="12"/>
      <c r="W127" s="12"/>
      <c r="X127" s="66"/>
      <c r="Y127" s="66"/>
      <c r="Z127" s="66"/>
      <c r="AA127" s="66"/>
      <c r="AB127" s="66"/>
      <c r="AC127" s="66"/>
      <c r="AD127" s="66"/>
      <c r="AE127" s="12"/>
      <c r="AF127" s="12"/>
      <c r="AG127" s="63"/>
      <c r="AH127" s="63"/>
      <c r="AI127" s="63"/>
      <c r="AJ127" s="63"/>
      <c r="AK127" s="63"/>
      <c r="AL127" s="63"/>
      <c r="AM127" s="63"/>
      <c r="AN127" s="35"/>
      <c r="AO127" s="35"/>
      <c r="AP127" s="40"/>
      <c r="AQ127" s="40"/>
      <c r="AR127" s="40"/>
      <c r="AS127" s="40"/>
      <c r="AT127" s="40"/>
      <c r="AU127" s="40"/>
      <c r="AV127" s="40"/>
      <c r="AW127" s="246"/>
      <c r="AX127" s="246"/>
      <c r="AY127" s="246"/>
      <c r="AZ127" s="246"/>
      <c r="BA127" s="263"/>
      <c r="BB127" s="263"/>
      <c r="BC127" s="263"/>
      <c r="BD127" s="263"/>
      <c r="BE127" s="263"/>
      <c r="BF127" s="263"/>
      <c r="BG127" s="263"/>
      <c r="BH127" s="309">
        <v>54</v>
      </c>
      <c r="BI127" s="309" t="s">
        <v>758</v>
      </c>
      <c r="BJ127" s="309">
        <v>8</v>
      </c>
      <c r="BK127" s="309" t="s">
        <v>758</v>
      </c>
      <c r="BL127" s="327">
        <v>0</v>
      </c>
      <c r="BM127" s="327">
        <v>0.32</v>
      </c>
      <c r="BN127" s="327">
        <v>0.59</v>
      </c>
      <c r="BO127" s="327">
        <v>0.08</v>
      </c>
      <c r="BP127" s="327">
        <v>0.45</v>
      </c>
      <c r="BQ127" s="327">
        <v>0.36</v>
      </c>
      <c r="BR127" s="327">
        <v>0.45</v>
      </c>
      <c r="BS127" s="424">
        <v>54</v>
      </c>
      <c r="BT127" s="424" t="s">
        <v>758</v>
      </c>
      <c r="BU127" s="424">
        <v>8</v>
      </c>
      <c r="BV127" s="424" t="s">
        <v>758</v>
      </c>
      <c r="BW127" s="428">
        <v>0</v>
      </c>
      <c r="BX127" s="428">
        <v>0.26</v>
      </c>
      <c r="BY127" s="428">
        <v>0.67</v>
      </c>
      <c r="BZ127" s="428">
        <v>7.0000000000000007E-2</v>
      </c>
      <c r="CA127" s="428">
        <v>0.35</v>
      </c>
      <c r="CB127" s="428">
        <v>0.48</v>
      </c>
      <c r="CC127" s="428">
        <v>0.49</v>
      </c>
      <c r="CD127" s="464">
        <v>53</v>
      </c>
      <c r="CE127" s="464" t="s">
        <v>758</v>
      </c>
      <c r="CF127" s="464">
        <v>11</v>
      </c>
      <c r="CG127" s="464" t="s">
        <v>758</v>
      </c>
      <c r="CH127" s="476">
        <v>0.09</v>
      </c>
      <c r="CI127" s="476">
        <v>0.25</v>
      </c>
      <c r="CJ127" s="476">
        <v>0.55000000000000004</v>
      </c>
      <c r="CK127" s="476">
        <v>0.11</v>
      </c>
      <c r="CL127" s="476">
        <v>0.48</v>
      </c>
      <c r="CM127" s="476">
        <v>0.46</v>
      </c>
      <c r="CN127" s="476">
        <v>0.38</v>
      </c>
      <c r="CO127" s="902">
        <v>54</v>
      </c>
      <c r="CP127" s="902" t="s">
        <v>758</v>
      </c>
      <c r="CQ127" s="902">
        <v>10</v>
      </c>
      <c r="CR127" s="902" t="s">
        <v>758</v>
      </c>
      <c r="CS127" s="949">
        <v>0.04</v>
      </c>
      <c r="CT127" s="949">
        <v>0.37</v>
      </c>
      <c r="CU127" s="949">
        <v>0.46</v>
      </c>
      <c r="CV127" s="949">
        <v>0.13</v>
      </c>
      <c r="CW127" s="949">
        <v>0.33</v>
      </c>
      <c r="CX127" s="949">
        <v>0.46</v>
      </c>
      <c r="CY127" s="949">
        <v>0.51</v>
      </c>
      <c r="CZ127" s="26">
        <v>125754800132</v>
      </c>
      <c r="DA127" s="803" t="s">
        <v>803</v>
      </c>
    </row>
    <row r="128" spans="1:105" ht="24.95" customHeight="1" x14ac:dyDescent="0.2">
      <c r="A128" s="804" t="s">
        <v>54</v>
      </c>
      <c r="B128" s="1" t="s">
        <v>121</v>
      </c>
      <c r="C128" s="309">
        <v>1</v>
      </c>
      <c r="D128" s="328">
        <v>55</v>
      </c>
      <c r="E128" s="328">
        <v>6</v>
      </c>
      <c r="F128" s="327">
        <v>0</v>
      </c>
      <c r="G128" s="327">
        <v>0.25</v>
      </c>
      <c r="H128" s="327">
        <v>0.72</v>
      </c>
      <c r="I128" s="327">
        <v>0.02</v>
      </c>
      <c r="J128" s="327">
        <v>0.4</v>
      </c>
      <c r="K128" s="327">
        <v>0.45</v>
      </c>
      <c r="L128" s="327">
        <v>0.53</v>
      </c>
      <c r="M128" s="329">
        <v>58</v>
      </c>
      <c r="N128" s="329">
        <v>6</v>
      </c>
      <c r="O128" s="330">
        <v>0</v>
      </c>
      <c r="P128" s="330">
        <v>0.13</v>
      </c>
      <c r="Q128" s="330">
        <v>0.78</v>
      </c>
      <c r="R128" s="330">
        <v>0.09</v>
      </c>
      <c r="S128" s="330">
        <v>0.38</v>
      </c>
      <c r="T128" s="330">
        <v>0.41</v>
      </c>
      <c r="U128" s="330">
        <v>0.41</v>
      </c>
      <c r="V128" s="328">
        <v>56</v>
      </c>
      <c r="W128" s="328">
        <v>8</v>
      </c>
      <c r="X128" s="333">
        <v>0</v>
      </c>
      <c r="Y128" s="333">
        <v>0.28000000000000003</v>
      </c>
      <c r="Z128" s="333">
        <v>0.59</v>
      </c>
      <c r="AA128" s="333">
        <v>0.13</v>
      </c>
      <c r="AB128" s="333">
        <v>0.39</v>
      </c>
      <c r="AC128" s="333">
        <v>0.44</v>
      </c>
      <c r="AD128" s="333">
        <v>0.46</v>
      </c>
      <c r="AE128" s="328">
        <v>56</v>
      </c>
      <c r="AF128" s="328">
        <v>8</v>
      </c>
      <c r="AG128" s="327">
        <v>0.03</v>
      </c>
      <c r="AH128" s="327">
        <v>0.23</v>
      </c>
      <c r="AI128" s="327">
        <v>0.61</v>
      </c>
      <c r="AJ128" s="327">
        <v>0.13</v>
      </c>
      <c r="AK128" s="327">
        <v>0.39</v>
      </c>
      <c r="AL128" s="327">
        <v>0.33</v>
      </c>
      <c r="AM128" s="327">
        <v>0.39</v>
      </c>
      <c r="AN128" s="311">
        <v>57</v>
      </c>
      <c r="AO128" s="311">
        <v>8</v>
      </c>
      <c r="AP128" s="331">
        <v>0.01</v>
      </c>
      <c r="AQ128" s="331">
        <v>0.23</v>
      </c>
      <c r="AR128" s="331">
        <v>0.61</v>
      </c>
      <c r="AS128" s="331">
        <v>0.15</v>
      </c>
      <c r="AT128" s="331">
        <v>0.41</v>
      </c>
      <c r="AU128" s="331">
        <v>0.31</v>
      </c>
      <c r="AV128" s="331">
        <v>0.37</v>
      </c>
      <c r="AW128" s="312">
        <v>55</v>
      </c>
      <c r="AX128" s="312" t="s">
        <v>758</v>
      </c>
      <c r="AY128" s="312">
        <v>10</v>
      </c>
      <c r="AZ128" s="312" t="s">
        <v>758</v>
      </c>
      <c r="BA128" s="332">
        <v>0.03</v>
      </c>
      <c r="BB128" s="332">
        <v>0.28000000000000003</v>
      </c>
      <c r="BC128" s="332">
        <v>0.53</v>
      </c>
      <c r="BD128" s="332">
        <v>0.16</v>
      </c>
      <c r="BE128" s="332">
        <v>0.43</v>
      </c>
      <c r="BF128" s="332">
        <v>0.33</v>
      </c>
      <c r="BG128" s="332">
        <v>0.54</v>
      </c>
      <c r="BH128" s="309">
        <v>54</v>
      </c>
      <c r="BI128" s="309" t="s">
        <v>758</v>
      </c>
      <c r="BJ128" s="309">
        <v>8</v>
      </c>
      <c r="BK128" s="309" t="s">
        <v>758</v>
      </c>
      <c r="BL128" s="327">
        <v>0.01</v>
      </c>
      <c r="BM128" s="327">
        <v>0.33</v>
      </c>
      <c r="BN128" s="327">
        <v>0.6</v>
      </c>
      <c r="BO128" s="327">
        <v>0.06</v>
      </c>
      <c r="BP128" s="327">
        <v>0.48</v>
      </c>
      <c r="BQ128" s="327">
        <v>0.33</v>
      </c>
      <c r="BR128" s="327">
        <v>0.47</v>
      </c>
      <c r="BS128" s="424">
        <v>53</v>
      </c>
      <c r="BT128" s="424" t="s">
        <v>758</v>
      </c>
      <c r="BU128" s="424">
        <v>8</v>
      </c>
      <c r="BV128" s="424" t="s">
        <v>758</v>
      </c>
      <c r="BW128" s="428">
        <v>0.02</v>
      </c>
      <c r="BX128" s="428">
        <v>0.35</v>
      </c>
      <c r="BY128" s="428">
        <v>0.59</v>
      </c>
      <c r="BZ128" s="428">
        <v>0.04</v>
      </c>
      <c r="CA128" s="428">
        <v>0.36</v>
      </c>
      <c r="CB128" s="428">
        <v>0.49</v>
      </c>
      <c r="CC128" s="428">
        <v>0.51</v>
      </c>
      <c r="CD128" s="464">
        <v>55</v>
      </c>
      <c r="CE128" s="464" t="s">
        <v>758</v>
      </c>
      <c r="CF128" s="464">
        <v>9</v>
      </c>
      <c r="CG128" s="464" t="s">
        <v>758</v>
      </c>
      <c r="CH128" s="476">
        <v>0.03</v>
      </c>
      <c r="CI128" s="476">
        <v>0.24</v>
      </c>
      <c r="CJ128" s="476">
        <v>0.61</v>
      </c>
      <c r="CK128" s="476">
        <v>0.12</v>
      </c>
      <c r="CL128" s="476">
        <v>0.42</v>
      </c>
      <c r="CM128" s="476">
        <v>0.45</v>
      </c>
      <c r="CN128" s="476">
        <v>0.33</v>
      </c>
      <c r="CO128" s="902">
        <v>55</v>
      </c>
      <c r="CP128" s="902" t="s">
        <v>758</v>
      </c>
      <c r="CQ128" s="902">
        <v>9</v>
      </c>
      <c r="CR128" s="902" t="s">
        <v>758</v>
      </c>
      <c r="CS128" s="949">
        <v>0.02</v>
      </c>
      <c r="CT128" s="949">
        <v>0.32</v>
      </c>
      <c r="CU128" s="949">
        <v>0.55000000000000004</v>
      </c>
      <c r="CV128" s="949">
        <v>0.11</v>
      </c>
      <c r="CW128" s="949">
        <v>0.32</v>
      </c>
      <c r="CX128" s="949">
        <v>0.44</v>
      </c>
      <c r="CY128" s="949">
        <v>0.54</v>
      </c>
      <c r="CZ128" s="26">
        <v>125754000250</v>
      </c>
      <c r="DA128" s="804" t="s">
        <v>54</v>
      </c>
    </row>
    <row r="129" spans="1:105" ht="24.95" customHeight="1" x14ac:dyDescent="0.2">
      <c r="A129" s="803" t="s">
        <v>34</v>
      </c>
      <c r="B129" s="1" t="s">
        <v>123</v>
      </c>
      <c r="C129" s="2">
        <v>1</v>
      </c>
      <c r="D129" s="12">
        <v>55</v>
      </c>
      <c r="E129" s="12">
        <v>8</v>
      </c>
      <c r="F129" s="63">
        <v>0</v>
      </c>
      <c r="G129" s="63">
        <v>0.31</v>
      </c>
      <c r="H129" s="63">
        <v>0.6</v>
      </c>
      <c r="I129" s="63">
        <v>0.1</v>
      </c>
      <c r="J129" s="63">
        <v>0.41</v>
      </c>
      <c r="K129" s="63">
        <v>0.48</v>
      </c>
      <c r="L129" s="63">
        <v>0.51</v>
      </c>
      <c r="M129" s="25">
        <v>53</v>
      </c>
      <c r="N129" s="25">
        <v>8</v>
      </c>
      <c r="O129" s="61">
        <v>0.01</v>
      </c>
      <c r="P129" s="61">
        <v>0.36</v>
      </c>
      <c r="Q129" s="61">
        <v>0.57999999999999996</v>
      </c>
      <c r="R129" s="61">
        <v>0.05</v>
      </c>
      <c r="S129" s="61">
        <v>0.46</v>
      </c>
      <c r="T129" s="61">
        <v>0.5</v>
      </c>
      <c r="U129" s="61">
        <v>0.48</v>
      </c>
      <c r="V129" s="12">
        <v>55</v>
      </c>
      <c r="W129" s="12">
        <v>8</v>
      </c>
      <c r="X129" s="66">
        <v>0</v>
      </c>
      <c r="Y129" s="66">
        <v>0.3</v>
      </c>
      <c r="Z129" s="66">
        <v>0.56999999999999995</v>
      </c>
      <c r="AA129" s="66">
        <v>0.13</v>
      </c>
      <c r="AB129" s="66">
        <v>0.42</v>
      </c>
      <c r="AC129" s="66">
        <v>0.48</v>
      </c>
      <c r="AD129" s="66">
        <v>0.5</v>
      </c>
      <c r="AE129" s="12">
        <v>54</v>
      </c>
      <c r="AF129" s="12">
        <v>7</v>
      </c>
      <c r="AG129" s="63">
        <v>0</v>
      </c>
      <c r="AH129" s="63">
        <v>0.33</v>
      </c>
      <c r="AI129" s="63">
        <v>0.61</v>
      </c>
      <c r="AJ129" s="63">
        <v>0.05</v>
      </c>
      <c r="AK129" s="63">
        <v>0.44</v>
      </c>
      <c r="AL129" s="63">
        <v>0.37</v>
      </c>
      <c r="AM129" s="63">
        <v>0.4</v>
      </c>
      <c r="AN129" s="35">
        <v>55</v>
      </c>
      <c r="AO129" s="35">
        <v>8</v>
      </c>
      <c r="AP129" s="40">
        <v>0</v>
      </c>
      <c r="AQ129" s="40">
        <v>0.25</v>
      </c>
      <c r="AR129" s="40">
        <v>0.65</v>
      </c>
      <c r="AS129" s="40">
        <v>0.1</v>
      </c>
      <c r="AT129" s="40">
        <v>0.46</v>
      </c>
      <c r="AU129" s="40">
        <v>0.35</v>
      </c>
      <c r="AV129" s="40">
        <v>0.44</v>
      </c>
      <c r="AW129" s="246">
        <v>53</v>
      </c>
      <c r="AX129" s="246" t="s">
        <v>758</v>
      </c>
      <c r="AY129" s="246">
        <v>10</v>
      </c>
      <c r="AZ129" s="246" t="s">
        <v>758</v>
      </c>
      <c r="BA129" s="263">
        <v>0.03</v>
      </c>
      <c r="BB129" s="263">
        <v>0.38</v>
      </c>
      <c r="BC129" s="263">
        <v>0.49</v>
      </c>
      <c r="BD129" s="263">
        <v>0.1</v>
      </c>
      <c r="BE129" s="263">
        <v>0.47</v>
      </c>
      <c r="BF129" s="263">
        <v>0.37</v>
      </c>
      <c r="BG129" s="263">
        <v>0.54</v>
      </c>
      <c r="BH129" s="309">
        <v>57</v>
      </c>
      <c r="BI129" s="309" t="s">
        <v>758</v>
      </c>
      <c r="BJ129" s="309">
        <v>9</v>
      </c>
      <c r="BK129" s="309" t="s">
        <v>758</v>
      </c>
      <c r="BL129" s="327">
        <v>0.02</v>
      </c>
      <c r="BM129" s="327">
        <v>0.21</v>
      </c>
      <c r="BN129" s="327">
        <v>0.64</v>
      </c>
      <c r="BO129" s="327">
        <v>0.14000000000000001</v>
      </c>
      <c r="BP129" s="327">
        <v>0.44</v>
      </c>
      <c r="BQ129" s="327">
        <v>0.28999999999999998</v>
      </c>
      <c r="BR129" s="327">
        <v>0.37</v>
      </c>
      <c r="BS129" s="651"/>
      <c r="BT129" s="651"/>
      <c r="BU129" s="651"/>
      <c r="BV129" s="651"/>
      <c r="BW129" s="651"/>
      <c r="BX129" s="651"/>
      <c r="BY129" s="651"/>
      <c r="BZ129" s="651"/>
      <c r="CA129" s="651"/>
      <c r="CB129" s="651"/>
      <c r="CC129" s="651"/>
      <c r="CD129" s="650"/>
      <c r="CE129" s="650"/>
      <c r="CF129" s="650"/>
      <c r="CG129" s="650"/>
      <c r="CH129" s="650"/>
      <c r="CI129" s="650"/>
      <c r="CJ129" s="650"/>
      <c r="CK129" s="650"/>
      <c r="CL129" s="650"/>
      <c r="CM129" s="650"/>
      <c r="CN129" s="650"/>
      <c r="CS129" s="949"/>
      <c r="CT129" s="949"/>
      <c r="CU129" s="949"/>
      <c r="CV129" s="949"/>
      <c r="CW129" s="949"/>
      <c r="CX129" s="949"/>
      <c r="CY129" s="949"/>
      <c r="CZ129" s="26"/>
      <c r="DA129" s="803" t="s">
        <v>34</v>
      </c>
    </row>
    <row r="130" spans="1:105" ht="24.95" customHeight="1" x14ac:dyDescent="0.2">
      <c r="A130" s="803" t="s">
        <v>804</v>
      </c>
      <c r="B130" s="1" t="s">
        <v>121</v>
      </c>
      <c r="C130" s="2">
        <v>3</v>
      </c>
      <c r="D130" s="12"/>
      <c r="E130" s="12"/>
      <c r="F130" s="63"/>
      <c r="G130" s="63"/>
      <c r="H130" s="63"/>
      <c r="I130" s="63"/>
      <c r="J130" s="63"/>
      <c r="K130" s="63"/>
      <c r="L130" s="63"/>
      <c r="M130" s="25"/>
      <c r="N130" s="25"/>
      <c r="O130" s="61"/>
      <c r="P130" s="61"/>
      <c r="Q130" s="61"/>
      <c r="R130" s="61"/>
      <c r="S130" s="61"/>
      <c r="T130" s="61"/>
      <c r="U130" s="61"/>
      <c r="V130" s="12"/>
      <c r="W130" s="12"/>
      <c r="X130" s="66"/>
      <c r="Y130" s="66"/>
      <c r="Z130" s="66"/>
      <c r="AA130" s="66"/>
      <c r="AB130" s="66"/>
      <c r="AC130" s="66"/>
      <c r="AD130" s="66"/>
      <c r="AE130" s="12"/>
      <c r="AF130" s="12"/>
      <c r="AG130" s="63"/>
      <c r="AH130" s="63"/>
      <c r="AI130" s="63"/>
      <c r="AJ130" s="63"/>
      <c r="AK130" s="63"/>
      <c r="AL130" s="63"/>
      <c r="AM130" s="63"/>
      <c r="AN130" s="35"/>
      <c r="AO130" s="35"/>
      <c r="AP130" s="40"/>
      <c r="AQ130" s="40"/>
      <c r="AR130" s="40"/>
      <c r="AS130" s="40"/>
      <c r="AT130" s="40"/>
      <c r="AU130" s="40"/>
      <c r="AV130" s="40"/>
      <c r="AW130" s="246"/>
      <c r="AX130" s="246"/>
      <c r="AY130" s="246"/>
      <c r="AZ130" s="246"/>
      <c r="BA130" s="263"/>
      <c r="BB130" s="263"/>
      <c r="BC130" s="263"/>
      <c r="BD130" s="263"/>
      <c r="BE130" s="263"/>
      <c r="BF130" s="263"/>
      <c r="BG130" s="263"/>
      <c r="BH130" s="309">
        <v>54</v>
      </c>
      <c r="BI130" s="309" t="s">
        <v>758</v>
      </c>
      <c r="BJ130" s="309">
        <v>9</v>
      </c>
      <c r="BK130" s="309" t="s">
        <v>758</v>
      </c>
      <c r="BL130" s="327">
        <v>0.01</v>
      </c>
      <c r="BM130" s="327">
        <v>0.35</v>
      </c>
      <c r="BN130" s="327">
        <v>0.57999999999999996</v>
      </c>
      <c r="BO130" s="327">
        <v>0.06</v>
      </c>
      <c r="BP130" s="327">
        <v>0.49</v>
      </c>
      <c r="BQ130" s="327">
        <v>0.36</v>
      </c>
      <c r="BR130" s="327">
        <v>0.45</v>
      </c>
      <c r="BS130" s="652">
        <v>54</v>
      </c>
      <c r="BT130" s="652" t="s">
        <v>758</v>
      </c>
      <c r="BU130" s="652">
        <v>9</v>
      </c>
      <c r="BV130" s="652" t="s">
        <v>758</v>
      </c>
      <c r="BW130" s="653">
        <v>0.04</v>
      </c>
      <c r="BX130" s="653">
        <v>0.31</v>
      </c>
      <c r="BY130" s="653">
        <v>0.56000000000000005</v>
      </c>
      <c r="BZ130" s="653">
        <v>0.08</v>
      </c>
      <c r="CA130" s="653">
        <v>0.37</v>
      </c>
      <c r="CB130" s="653">
        <v>0.46</v>
      </c>
      <c r="CC130" s="653">
        <v>0.48</v>
      </c>
      <c r="CD130" s="74">
        <v>56</v>
      </c>
      <c r="CE130" s="74" t="s">
        <v>758</v>
      </c>
      <c r="CF130" s="74">
        <v>9</v>
      </c>
      <c r="CG130" s="74" t="s">
        <v>758</v>
      </c>
      <c r="CH130" s="96">
        <v>0.03</v>
      </c>
      <c r="CI130" s="96">
        <v>0.19</v>
      </c>
      <c r="CJ130" s="96">
        <v>0.64</v>
      </c>
      <c r="CK130" s="96">
        <v>0.14000000000000001</v>
      </c>
      <c r="CL130" s="96">
        <v>0.43</v>
      </c>
      <c r="CM130" s="96">
        <v>0.43</v>
      </c>
      <c r="CN130" s="96">
        <v>0.3</v>
      </c>
      <c r="CO130" s="902">
        <v>57</v>
      </c>
      <c r="CP130" s="902" t="s">
        <v>758</v>
      </c>
      <c r="CQ130" s="902">
        <v>9</v>
      </c>
      <c r="CR130" s="902" t="s">
        <v>758</v>
      </c>
      <c r="CS130" s="949">
        <v>0.01</v>
      </c>
      <c r="CT130" s="949">
        <v>0.23</v>
      </c>
      <c r="CU130" s="949">
        <v>0.59</v>
      </c>
      <c r="CV130" s="949">
        <v>0.18</v>
      </c>
      <c r="CW130" s="949">
        <v>0.28999999999999998</v>
      </c>
      <c r="CX130" s="949">
        <v>0.41</v>
      </c>
      <c r="CY130" s="949">
        <v>0.46</v>
      </c>
      <c r="CZ130" s="26">
        <v>125754800329</v>
      </c>
      <c r="DA130" s="803" t="s">
        <v>804</v>
      </c>
    </row>
    <row r="131" spans="1:105" ht="24.95" customHeight="1" x14ac:dyDescent="0.2">
      <c r="A131" s="805" t="s">
        <v>176</v>
      </c>
      <c r="B131" s="1" t="s">
        <v>121</v>
      </c>
      <c r="C131" s="309">
        <v>6</v>
      </c>
      <c r="D131" s="328">
        <v>54</v>
      </c>
      <c r="E131" s="328">
        <v>8</v>
      </c>
      <c r="F131" s="327">
        <v>0.02</v>
      </c>
      <c r="G131" s="327">
        <v>0.32</v>
      </c>
      <c r="H131" s="327">
        <v>0.61</v>
      </c>
      <c r="I131" s="327">
        <v>0.05</v>
      </c>
      <c r="J131" s="327">
        <v>0.44</v>
      </c>
      <c r="K131" s="327">
        <v>0.45</v>
      </c>
      <c r="L131" s="327">
        <v>0.56000000000000005</v>
      </c>
      <c r="M131" s="329">
        <v>53</v>
      </c>
      <c r="N131" s="329">
        <v>9</v>
      </c>
      <c r="O131" s="330">
        <v>0.04</v>
      </c>
      <c r="P131" s="330">
        <v>0.34</v>
      </c>
      <c r="Q131" s="330">
        <v>0.54</v>
      </c>
      <c r="R131" s="330">
        <v>0.08</v>
      </c>
      <c r="S131" s="330">
        <v>0.45</v>
      </c>
      <c r="T131" s="330">
        <v>0.49</v>
      </c>
      <c r="U131" s="330">
        <v>0.49</v>
      </c>
      <c r="V131" s="329">
        <v>53</v>
      </c>
      <c r="W131" s="329">
        <v>7</v>
      </c>
      <c r="X131" s="333">
        <v>0.01</v>
      </c>
      <c r="Y131" s="333">
        <v>0.35</v>
      </c>
      <c r="Z131" s="333">
        <v>0.59</v>
      </c>
      <c r="AA131" s="333">
        <v>0.06</v>
      </c>
      <c r="AB131" s="333">
        <v>0.44</v>
      </c>
      <c r="AC131" s="333">
        <v>0.51</v>
      </c>
      <c r="AD131" s="333">
        <v>0.52</v>
      </c>
      <c r="AE131" s="328">
        <v>53</v>
      </c>
      <c r="AF131" s="328">
        <v>7</v>
      </c>
      <c r="AG131" s="327">
        <v>0.01</v>
      </c>
      <c r="AH131" s="327">
        <v>0.37</v>
      </c>
      <c r="AI131" s="327">
        <v>0.59</v>
      </c>
      <c r="AJ131" s="327">
        <v>0.03</v>
      </c>
      <c r="AK131" s="327">
        <v>0.44</v>
      </c>
      <c r="AL131" s="327">
        <v>0.39</v>
      </c>
      <c r="AM131" s="327">
        <v>0.47</v>
      </c>
      <c r="AN131" s="311">
        <v>53</v>
      </c>
      <c r="AO131" s="311">
        <v>8</v>
      </c>
      <c r="AP131" s="331">
        <v>0</v>
      </c>
      <c r="AQ131" s="331">
        <v>0.34</v>
      </c>
      <c r="AR131" s="331">
        <v>0.59</v>
      </c>
      <c r="AS131" s="331">
        <v>7.0000000000000007E-2</v>
      </c>
      <c r="AT131" s="331">
        <v>0.47</v>
      </c>
      <c r="AU131" s="331">
        <v>0.39</v>
      </c>
      <c r="AV131" s="331">
        <v>0.45</v>
      </c>
      <c r="AW131" s="312">
        <v>53</v>
      </c>
      <c r="AX131" s="312" t="s">
        <v>758</v>
      </c>
      <c r="AY131" s="312">
        <v>9</v>
      </c>
      <c r="AZ131" s="312" t="s">
        <v>758</v>
      </c>
      <c r="BA131" s="332">
        <v>0.03</v>
      </c>
      <c r="BB131" s="332">
        <v>0.35</v>
      </c>
      <c r="BC131" s="332">
        <v>0.54</v>
      </c>
      <c r="BD131" s="332">
        <v>0.09</v>
      </c>
      <c r="BE131" s="332">
        <v>0.47</v>
      </c>
      <c r="BF131" s="332">
        <v>0.36</v>
      </c>
      <c r="BG131" s="332">
        <v>0.55000000000000004</v>
      </c>
      <c r="BH131" s="309">
        <v>52</v>
      </c>
      <c r="BI131" s="309" t="s">
        <v>758</v>
      </c>
      <c r="BJ131" s="309">
        <v>9</v>
      </c>
      <c r="BK131" s="309" t="s">
        <v>758</v>
      </c>
      <c r="BL131" s="327">
        <v>0.04</v>
      </c>
      <c r="BM131" s="327">
        <v>0.41</v>
      </c>
      <c r="BN131" s="327">
        <v>0.53</v>
      </c>
      <c r="BO131" s="327">
        <v>0.03</v>
      </c>
      <c r="BP131" s="327">
        <v>0.54</v>
      </c>
      <c r="BQ131" s="327">
        <v>0.39</v>
      </c>
      <c r="BR131" s="327">
        <v>0.49</v>
      </c>
      <c r="BS131" s="424">
        <v>53</v>
      </c>
      <c r="BT131" s="424" t="s">
        <v>758</v>
      </c>
      <c r="BU131" s="424">
        <v>9</v>
      </c>
      <c r="BV131" s="424" t="s">
        <v>758</v>
      </c>
      <c r="BW131" s="428">
        <v>0.03</v>
      </c>
      <c r="BX131" s="428">
        <v>0.38</v>
      </c>
      <c r="BY131" s="428">
        <v>0.55000000000000004</v>
      </c>
      <c r="BZ131" s="428">
        <v>0.05</v>
      </c>
      <c r="CA131" s="428">
        <v>0.4</v>
      </c>
      <c r="CB131" s="428">
        <v>0.49</v>
      </c>
      <c r="CC131" s="428">
        <v>0.51</v>
      </c>
      <c r="CD131" s="464">
        <v>56</v>
      </c>
      <c r="CE131" s="464" t="s">
        <v>758</v>
      </c>
      <c r="CF131" s="464">
        <v>8</v>
      </c>
      <c r="CG131" s="464" t="s">
        <v>758</v>
      </c>
      <c r="CH131" s="476">
        <v>0.01</v>
      </c>
      <c r="CI131" s="476">
        <v>0.19</v>
      </c>
      <c r="CJ131" s="476">
        <v>0.67</v>
      </c>
      <c r="CK131" s="476">
        <v>0.12</v>
      </c>
      <c r="CL131" s="476">
        <v>0.44</v>
      </c>
      <c r="CM131" s="476">
        <v>0.42</v>
      </c>
      <c r="CN131" s="476">
        <v>0.32</v>
      </c>
      <c r="CO131" s="902">
        <v>55</v>
      </c>
      <c r="CP131" s="902" t="s">
        <v>758</v>
      </c>
      <c r="CQ131" s="902">
        <v>9</v>
      </c>
      <c r="CR131" s="902" t="s">
        <v>758</v>
      </c>
      <c r="CS131" s="949">
        <v>0.01</v>
      </c>
      <c r="CT131" s="949">
        <v>0.28000000000000003</v>
      </c>
      <c r="CU131" s="949">
        <v>0.61</v>
      </c>
      <c r="CV131" s="949">
        <v>0.1</v>
      </c>
      <c r="CW131" s="949">
        <v>0.31</v>
      </c>
      <c r="CX131" s="949">
        <v>0.45</v>
      </c>
      <c r="CY131" s="949">
        <v>0.51</v>
      </c>
      <c r="CZ131" s="26">
        <v>325754005404</v>
      </c>
      <c r="DA131" s="805" t="s">
        <v>176</v>
      </c>
    </row>
    <row r="132" spans="1:105" ht="24.95" customHeight="1" x14ac:dyDescent="0.2">
      <c r="A132" s="803" t="s">
        <v>805</v>
      </c>
      <c r="B132" s="1" t="s">
        <v>121</v>
      </c>
      <c r="C132" s="2">
        <v>2</v>
      </c>
      <c r="D132" s="12"/>
      <c r="E132" s="12"/>
      <c r="F132" s="63"/>
      <c r="G132" s="63"/>
      <c r="H132" s="63"/>
      <c r="I132" s="63"/>
      <c r="J132" s="63"/>
      <c r="K132" s="63"/>
      <c r="L132" s="63"/>
      <c r="M132" s="25"/>
      <c r="N132" s="25"/>
      <c r="O132" s="61"/>
      <c r="P132" s="61"/>
      <c r="Q132" s="61"/>
      <c r="R132" s="61"/>
      <c r="S132" s="61"/>
      <c r="T132" s="61"/>
      <c r="U132" s="61"/>
      <c r="V132" s="25"/>
      <c r="W132" s="25"/>
      <c r="X132" s="66"/>
      <c r="Y132" s="66"/>
      <c r="Z132" s="66"/>
      <c r="AA132" s="66"/>
      <c r="AB132" s="66"/>
      <c r="AC132" s="66"/>
      <c r="AD132" s="66"/>
      <c r="AE132" s="12"/>
      <c r="AF132" s="12"/>
      <c r="AG132" s="63"/>
      <c r="AH132" s="63"/>
      <c r="AI132" s="63"/>
      <c r="AJ132" s="63"/>
      <c r="AK132" s="63"/>
      <c r="AL132" s="63"/>
      <c r="AM132" s="63"/>
      <c r="AN132" s="35"/>
      <c r="AO132" s="35"/>
      <c r="AP132" s="40"/>
      <c r="AQ132" s="40"/>
      <c r="AR132" s="40"/>
      <c r="AS132" s="40"/>
      <c r="AT132" s="40"/>
      <c r="AU132" s="40"/>
      <c r="AV132" s="40"/>
      <c r="AW132" s="246"/>
      <c r="AX132" s="246"/>
      <c r="AY132" s="246"/>
      <c r="AZ132" s="246"/>
      <c r="BA132" s="263"/>
      <c r="BB132" s="263"/>
      <c r="BC132" s="263"/>
      <c r="BD132" s="263"/>
      <c r="BE132" s="263"/>
      <c r="BF132" s="263"/>
      <c r="BG132" s="263"/>
      <c r="BH132" s="309">
        <v>53</v>
      </c>
      <c r="BI132" s="309" t="s">
        <v>758</v>
      </c>
      <c r="BJ132" s="309">
        <v>8</v>
      </c>
      <c r="BK132" s="309" t="s">
        <v>758</v>
      </c>
      <c r="BL132" s="327">
        <v>0.02</v>
      </c>
      <c r="BM132" s="327">
        <v>0.28999999999999998</v>
      </c>
      <c r="BN132" s="327">
        <v>0.59</v>
      </c>
      <c r="BO132" s="327">
        <v>0.1</v>
      </c>
      <c r="BP132" s="327">
        <v>0.46</v>
      </c>
      <c r="BQ132" s="327">
        <v>0.39</v>
      </c>
      <c r="BR132" s="327">
        <v>0.46</v>
      </c>
      <c r="BS132" s="424">
        <v>54</v>
      </c>
      <c r="BT132" s="424" t="s">
        <v>758</v>
      </c>
      <c r="BU132" s="424">
        <v>8</v>
      </c>
      <c r="BV132" s="424" t="s">
        <v>758</v>
      </c>
      <c r="BW132" s="428">
        <v>0</v>
      </c>
      <c r="BX132" s="428">
        <v>0.33</v>
      </c>
      <c r="BY132" s="428">
        <v>0.61</v>
      </c>
      <c r="BZ132" s="428">
        <v>0.06</v>
      </c>
      <c r="CA132" s="428">
        <v>0.38</v>
      </c>
      <c r="CB132" s="428">
        <v>0.47</v>
      </c>
      <c r="CC132" s="428">
        <v>0.51</v>
      </c>
      <c r="CD132" s="464">
        <v>57</v>
      </c>
      <c r="CE132" s="464" t="s">
        <v>758</v>
      </c>
      <c r="CF132" s="464">
        <v>9</v>
      </c>
      <c r="CG132" s="464" t="s">
        <v>758</v>
      </c>
      <c r="CH132" s="476">
        <v>0.01</v>
      </c>
      <c r="CI132" s="476">
        <v>0.24</v>
      </c>
      <c r="CJ132" s="476">
        <v>0.59</v>
      </c>
      <c r="CK132" s="476">
        <v>0.16</v>
      </c>
      <c r="CL132" s="476">
        <v>0.42</v>
      </c>
      <c r="CM132" s="476">
        <v>0.42</v>
      </c>
      <c r="CN132" s="476">
        <v>0.31</v>
      </c>
      <c r="CO132" s="902">
        <v>56</v>
      </c>
      <c r="CP132" s="902" t="s">
        <v>758</v>
      </c>
      <c r="CQ132" s="902">
        <v>9</v>
      </c>
      <c r="CR132" s="902" t="s">
        <v>758</v>
      </c>
      <c r="CS132" s="949">
        <v>0.02</v>
      </c>
      <c r="CT132" s="949">
        <v>0.2</v>
      </c>
      <c r="CU132" s="949">
        <v>0.62</v>
      </c>
      <c r="CV132" s="949">
        <v>0.16</v>
      </c>
      <c r="CW132" s="949">
        <v>0.28000000000000003</v>
      </c>
      <c r="CX132" s="949">
        <v>0.4</v>
      </c>
      <c r="CY132" s="949">
        <v>0.51</v>
      </c>
      <c r="CZ132" s="26">
        <v>125754800256</v>
      </c>
      <c r="DA132" s="803" t="s">
        <v>805</v>
      </c>
    </row>
    <row r="133" spans="1:105" ht="24.95" customHeight="1" x14ac:dyDescent="0.2">
      <c r="A133" s="804" t="s">
        <v>106</v>
      </c>
      <c r="B133" s="1" t="s">
        <v>123</v>
      </c>
      <c r="C133" s="309">
        <v>2</v>
      </c>
      <c r="D133" s="328">
        <v>49</v>
      </c>
      <c r="E133" s="328">
        <v>4</v>
      </c>
      <c r="F133" s="327">
        <v>0</v>
      </c>
      <c r="G133" s="327">
        <v>1</v>
      </c>
      <c r="H133" s="327">
        <v>0</v>
      </c>
      <c r="I133" s="327">
        <v>0</v>
      </c>
      <c r="J133" s="327">
        <v>0.42</v>
      </c>
      <c r="K133" s="327">
        <v>0.46</v>
      </c>
      <c r="L133" s="327">
        <v>0.69</v>
      </c>
      <c r="M133" s="328" t="s">
        <v>126</v>
      </c>
      <c r="N133" s="328" t="s">
        <v>126</v>
      </c>
      <c r="O133" s="330"/>
      <c r="P133" s="330"/>
      <c r="Q133" s="330"/>
      <c r="R133" s="330"/>
      <c r="S133" s="330"/>
      <c r="T133" s="330"/>
      <c r="U133" s="330"/>
      <c r="V133" s="328" t="s">
        <v>126</v>
      </c>
      <c r="W133" s="328" t="s">
        <v>126</v>
      </c>
      <c r="X133" s="328"/>
      <c r="Y133" s="328"/>
      <c r="Z133" s="328"/>
      <c r="AA133" s="328"/>
      <c r="AB133" s="328"/>
      <c r="AC133" s="328"/>
      <c r="AD133" s="328"/>
      <c r="AE133" s="328" t="s">
        <v>126</v>
      </c>
      <c r="AF133" s="328" t="s">
        <v>126</v>
      </c>
      <c r="AG133" s="309"/>
      <c r="AH133" s="309"/>
      <c r="AI133" s="309"/>
      <c r="AJ133" s="309"/>
      <c r="AK133" s="309"/>
      <c r="AL133" s="309"/>
      <c r="AM133" s="309"/>
      <c r="AN133" s="311">
        <v>50</v>
      </c>
      <c r="AO133" s="311">
        <v>8</v>
      </c>
      <c r="AP133" s="331">
        <v>0.03</v>
      </c>
      <c r="AQ133" s="331">
        <v>0.48</v>
      </c>
      <c r="AR133" s="331">
        <v>0.45</v>
      </c>
      <c r="AS133" s="331">
        <v>0.04</v>
      </c>
      <c r="AT133" s="331">
        <v>0.53</v>
      </c>
      <c r="AU133" s="331">
        <v>0.42</v>
      </c>
      <c r="AV133" s="331">
        <v>0.47</v>
      </c>
      <c r="AW133" s="312">
        <v>39</v>
      </c>
      <c r="AX133" s="312" t="s">
        <v>760</v>
      </c>
      <c r="AY133" s="312">
        <v>6</v>
      </c>
      <c r="AZ133" s="312" t="s">
        <v>758</v>
      </c>
      <c r="BA133" s="332">
        <v>0.22</v>
      </c>
      <c r="BB133" s="332">
        <v>0.67</v>
      </c>
      <c r="BC133" s="332">
        <v>0.11</v>
      </c>
      <c r="BD133" s="332">
        <v>0</v>
      </c>
      <c r="BE133" s="332">
        <v>0.67</v>
      </c>
      <c r="BF133" s="332">
        <v>0.57999999999999996</v>
      </c>
      <c r="BG133" s="332">
        <v>0.79</v>
      </c>
      <c r="BH133" s="649"/>
      <c r="BI133" s="649"/>
      <c r="BJ133" s="649"/>
      <c r="BK133" s="649"/>
      <c r="BL133" s="649"/>
      <c r="BM133" s="649"/>
      <c r="BN133" s="649"/>
      <c r="BO133" s="649"/>
      <c r="BP133" s="649"/>
      <c r="BQ133" s="649"/>
      <c r="BR133" s="649"/>
      <c r="BS133" s="651"/>
      <c r="BT133" s="651"/>
      <c r="BU133" s="651"/>
      <c r="BV133" s="651"/>
      <c r="BW133" s="651"/>
      <c r="BX133" s="651"/>
      <c r="BY133" s="651"/>
      <c r="BZ133" s="651"/>
      <c r="CA133" s="651"/>
      <c r="CB133" s="651"/>
      <c r="CC133" s="651"/>
      <c r="CD133" s="464">
        <v>63</v>
      </c>
      <c r="CE133" s="464" t="s">
        <v>758</v>
      </c>
      <c r="CF133" s="464">
        <v>17</v>
      </c>
      <c r="CG133" s="464" t="s">
        <v>759</v>
      </c>
      <c r="CH133" s="476">
        <v>0</v>
      </c>
      <c r="CI133" s="476">
        <v>0</v>
      </c>
      <c r="CJ133" s="476">
        <v>0.5</v>
      </c>
      <c r="CK133" s="476">
        <v>0.5</v>
      </c>
      <c r="CL133" s="476">
        <v>0.25</v>
      </c>
      <c r="CM133" s="476">
        <v>0.32</v>
      </c>
      <c r="CN133" s="476">
        <v>0.28999999999999998</v>
      </c>
      <c r="CO133" s="902">
        <v>51</v>
      </c>
      <c r="CP133" s="902" t="s">
        <v>758</v>
      </c>
      <c r="CQ133" s="902">
        <v>10</v>
      </c>
      <c r="CR133" s="902" t="s">
        <v>758</v>
      </c>
      <c r="CS133" s="949">
        <v>0.09</v>
      </c>
      <c r="CT133" s="949">
        <v>0.35</v>
      </c>
      <c r="CU133" s="949">
        <v>0.5</v>
      </c>
      <c r="CV133" s="949">
        <v>0.06</v>
      </c>
      <c r="CW133" s="949">
        <v>0.4</v>
      </c>
      <c r="CX133" s="949">
        <v>0.53</v>
      </c>
      <c r="CY133" s="949">
        <v>0.53</v>
      </c>
      <c r="CZ133" s="26">
        <v>325754005366</v>
      </c>
      <c r="DA133" s="804" t="s">
        <v>106</v>
      </c>
    </row>
    <row r="134" spans="1:105" ht="24.6" customHeight="1" x14ac:dyDescent="0.2">
      <c r="A134" s="803" t="s">
        <v>133</v>
      </c>
      <c r="B134" s="1" t="s">
        <v>123</v>
      </c>
      <c r="C134" s="2">
        <v>4</v>
      </c>
      <c r="D134" s="12"/>
      <c r="E134" s="12"/>
      <c r="F134" s="12"/>
      <c r="G134" s="12"/>
      <c r="H134" s="12"/>
      <c r="I134" s="12"/>
      <c r="J134" s="12"/>
      <c r="K134" s="12"/>
      <c r="L134" s="12"/>
      <c r="M134" s="12" t="s">
        <v>126</v>
      </c>
      <c r="N134" s="12" t="s">
        <v>126</v>
      </c>
      <c r="O134" s="61"/>
      <c r="P134" s="61"/>
      <c r="Q134" s="61"/>
      <c r="R134" s="61"/>
      <c r="S134" s="61"/>
      <c r="T134" s="61"/>
      <c r="U134" s="61"/>
      <c r="V134" s="12">
        <v>61</v>
      </c>
      <c r="W134" s="12">
        <v>6</v>
      </c>
      <c r="X134" s="66">
        <v>0</v>
      </c>
      <c r="Y134" s="66">
        <v>0</v>
      </c>
      <c r="Z134" s="66">
        <v>1</v>
      </c>
      <c r="AA134" s="66">
        <v>0</v>
      </c>
      <c r="AB134" s="66">
        <v>0.31</v>
      </c>
      <c r="AC134" s="66">
        <v>0.5</v>
      </c>
      <c r="AD134" s="66">
        <v>0.28000000000000003</v>
      </c>
      <c r="AE134" s="12" t="s">
        <v>126</v>
      </c>
      <c r="AF134" s="12" t="s">
        <v>126</v>
      </c>
      <c r="AG134" s="2"/>
      <c r="AH134" s="2"/>
      <c r="AI134" s="2"/>
      <c r="AJ134" s="2"/>
      <c r="AK134" s="2"/>
      <c r="AL134" s="2"/>
      <c r="AM134" s="2"/>
      <c r="AN134" s="41"/>
      <c r="AO134" s="41"/>
      <c r="AP134" s="41"/>
      <c r="AQ134" s="41"/>
      <c r="AR134" s="41"/>
      <c r="AS134" s="41"/>
      <c r="AT134" s="41"/>
      <c r="AU134" s="41"/>
      <c r="AV134" s="41"/>
      <c r="AW134" s="646"/>
      <c r="AX134" s="646"/>
      <c r="AY134" s="646"/>
      <c r="AZ134" s="646"/>
      <c r="BA134" s="646"/>
      <c r="BB134" s="646"/>
      <c r="BC134" s="646"/>
      <c r="BD134" s="646"/>
      <c r="BE134" s="646"/>
      <c r="BF134" s="646"/>
      <c r="BG134" s="646"/>
      <c r="CD134" s="650"/>
      <c r="CE134" s="650"/>
      <c r="CF134" s="650"/>
      <c r="CG134" s="650"/>
      <c r="CH134" s="650"/>
      <c r="CI134" s="650"/>
      <c r="CJ134" s="650"/>
      <c r="CK134" s="650"/>
      <c r="CL134" s="650"/>
      <c r="CM134" s="650"/>
      <c r="CN134" s="650"/>
      <c r="CS134" s="949"/>
      <c r="CT134" s="949"/>
      <c r="CU134" s="949"/>
      <c r="CV134" s="949"/>
      <c r="CW134" s="949"/>
      <c r="CX134" s="949"/>
      <c r="CY134" s="949"/>
      <c r="CZ134" s="26"/>
      <c r="DA134" s="803" t="s">
        <v>133</v>
      </c>
    </row>
    <row r="135" spans="1:105" ht="24.95" customHeight="1" x14ac:dyDescent="0.2">
      <c r="A135" s="803" t="s">
        <v>955</v>
      </c>
      <c r="B135" s="1" t="s">
        <v>123</v>
      </c>
      <c r="C135" s="2">
        <v>5</v>
      </c>
      <c r="D135" s="12">
        <v>56</v>
      </c>
      <c r="E135" s="12">
        <v>7</v>
      </c>
      <c r="F135" s="63">
        <v>0</v>
      </c>
      <c r="G135" s="63">
        <v>0.3</v>
      </c>
      <c r="H135" s="63">
        <v>0.63</v>
      </c>
      <c r="I135" s="63">
        <v>7.0000000000000007E-2</v>
      </c>
      <c r="J135" s="63">
        <v>0.37</v>
      </c>
      <c r="K135" s="63">
        <v>0.42</v>
      </c>
      <c r="L135" s="63">
        <v>0.52</v>
      </c>
      <c r="M135" s="12">
        <v>57</v>
      </c>
      <c r="N135" s="12">
        <v>8</v>
      </c>
      <c r="O135" s="61">
        <v>0.02</v>
      </c>
      <c r="P135" s="61">
        <v>0.09</v>
      </c>
      <c r="Q135" s="61">
        <v>0.74</v>
      </c>
      <c r="R135" s="61">
        <v>0.14000000000000001</v>
      </c>
      <c r="S135" s="61">
        <v>0.37</v>
      </c>
      <c r="T135" s="61">
        <v>0.43</v>
      </c>
      <c r="U135" s="61">
        <v>0.41</v>
      </c>
      <c r="V135" s="12">
        <v>54</v>
      </c>
      <c r="W135" s="12">
        <v>8</v>
      </c>
      <c r="X135" s="66">
        <v>0.02</v>
      </c>
      <c r="Y135" s="66">
        <v>0.28999999999999998</v>
      </c>
      <c r="Z135" s="66">
        <v>0.64</v>
      </c>
      <c r="AA135" s="66">
        <v>0.05</v>
      </c>
      <c r="AB135" s="66">
        <v>0.43</v>
      </c>
      <c r="AC135" s="66">
        <v>0.48</v>
      </c>
      <c r="AD135" s="66">
        <v>0.49</v>
      </c>
      <c r="AE135" s="12">
        <v>54</v>
      </c>
      <c r="AF135" s="12">
        <v>8</v>
      </c>
      <c r="AG135" s="63">
        <v>0.03</v>
      </c>
      <c r="AH135" s="63">
        <v>0.22</v>
      </c>
      <c r="AI135" s="63">
        <v>0.67</v>
      </c>
      <c r="AJ135" s="63">
        <v>7.0000000000000007E-2</v>
      </c>
      <c r="AK135" s="63">
        <v>0.4</v>
      </c>
      <c r="AL135" s="63">
        <v>0.37</v>
      </c>
      <c r="AM135" s="63">
        <v>0.4</v>
      </c>
      <c r="AN135" s="35">
        <v>57</v>
      </c>
      <c r="AO135" s="35">
        <v>8</v>
      </c>
      <c r="AP135" s="40">
        <v>0</v>
      </c>
      <c r="AQ135" s="40">
        <v>0.2</v>
      </c>
      <c r="AR135" s="40">
        <v>0.64</v>
      </c>
      <c r="AS135" s="40">
        <v>0.16</v>
      </c>
      <c r="AT135" s="40">
        <v>0.42</v>
      </c>
      <c r="AU135" s="40">
        <v>0.28000000000000003</v>
      </c>
      <c r="AV135" s="40">
        <v>0.37</v>
      </c>
      <c r="AW135" s="647">
        <v>56</v>
      </c>
      <c r="AX135" s="647" t="s">
        <v>758</v>
      </c>
      <c r="AY135" s="647">
        <v>9</v>
      </c>
      <c r="AZ135" s="647" t="s">
        <v>758</v>
      </c>
      <c r="BA135" s="648">
        <v>0.02</v>
      </c>
      <c r="BB135" s="648">
        <v>0.26</v>
      </c>
      <c r="BC135" s="648">
        <v>0.57999999999999996</v>
      </c>
      <c r="BD135" s="648">
        <v>0.14000000000000001</v>
      </c>
      <c r="BE135" s="648">
        <v>0.41</v>
      </c>
      <c r="BF135" s="648">
        <v>0.31</v>
      </c>
      <c r="BG135" s="648">
        <v>0.49</v>
      </c>
      <c r="BH135" s="74">
        <v>55</v>
      </c>
      <c r="BI135" s="74" t="s">
        <v>758</v>
      </c>
      <c r="BJ135" s="74">
        <v>9</v>
      </c>
      <c r="BK135" s="74" t="s">
        <v>758</v>
      </c>
      <c r="BL135" s="96">
        <v>0.06</v>
      </c>
      <c r="BM135" s="96">
        <v>0.2</v>
      </c>
      <c r="BN135" s="96">
        <v>0.63</v>
      </c>
      <c r="BO135" s="96">
        <v>0.12</v>
      </c>
      <c r="BP135" s="96">
        <v>0.45</v>
      </c>
      <c r="BQ135" s="96">
        <v>0.36</v>
      </c>
      <c r="BR135" s="96">
        <v>0.45</v>
      </c>
      <c r="BS135" s="652">
        <v>58</v>
      </c>
      <c r="BT135" s="652" t="s">
        <v>758</v>
      </c>
      <c r="BU135" s="652">
        <v>8</v>
      </c>
      <c r="BV135" s="652" t="s">
        <v>758</v>
      </c>
      <c r="BW135" s="653">
        <v>0.02</v>
      </c>
      <c r="BX135" s="653">
        <v>0.15</v>
      </c>
      <c r="BY135" s="653">
        <v>0.59</v>
      </c>
      <c r="BZ135" s="653">
        <v>0.24</v>
      </c>
      <c r="CA135" s="653">
        <v>0.27</v>
      </c>
      <c r="CB135" s="653">
        <v>0.42</v>
      </c>
      <c r="CC135" s="653">
        <v>0.43</v>
      </c>
      <c r="CD135" s="74">
        <v>56</v>
      </c>
      <c r="CE135" s="74" t="s">
        <v>758</v>
      </c>
      <c r="CF135" s="74">
        <v>8</v>
      </c>
      <c r="CG135" s="74" t="s">
        <v>758</v>
      </c>
      <c r="CH135" s="96">
        <v>0.02</v>
      </c>
      <c r="CI135" s="96">
        <v>0.26</v>
      </c>
      <c r="CJ135" s="96">
        <v>0.6</v>
      </c>
      <c r="CK135" s="96">
        <v>0.11</v>
      </c>
      <c r="CL135" s="96">
        <v>0.43</v>
      </c>
      <c r="CM135" s="96">
        <v>0.43</v>
      </c>
      <c r="CN135" s="96">
        <v>0.32</v>
      </c>
      <c r="CO135" s="902">
        <v>57</v>
      </c>
      <c r="CP135" s="902" t="s">
        <v>758</v>
      </c>
      <c r="CQ135" s="902">
        <v>8</v>
      </c>
      <c r="CR135" s="902" t="s">
        <v>758</v>
      </c>
      <c r="CS135" s="949">
        <v>0.01</v>
      </c>
      <c r="CT135" s="949">
        <v>0.19</v>
      </c>
      <c r="CU135" s="949">
        <v>0.69</v>
      </c>
      <c r="CV135" s="949">
        <v>0.1</v>
      </c>
      <c r="CW135" s="949">
        <v>0.28999999999999998</v>
      </c>
      <c r="CX135" s="949">
        <v>0.4</v>
      </c>
      <c r="CY135" s="949">
        <v>0.48</v>
      </c>
      <c r="CZ135" s="26">
        <v>325754005196</v>
      </c>
      <c r="DA135" s="803" t="s">
        <v>955</v>
      </c>
    </row>
    <row r="136" spans="1:105" ht="24.95" customHeight="1" x14ac:dyDescent="0.2">
      <c r="A136" s="803" t="s">
        <v>117</v>
      </c>
      <c r="B136" s="1" t="s">
        <v>123</v>
      </c>
      <c r="C136" s="2">
        <v>6</v>
      </c>
      <c r="D136" s="12">
        <v>48</v>
      </c>
      <c r="E136" s="12">
        <v>0</v>
      </c>
      <c r="F136" s="63">
        <v>0</v>
      </c>
      <c r="G136" s="63">
        <v>1</v>
      </c>
      <c r="H136" s="63">
        <v>0</v>
      </c>
      <c r="I136" s="63">
        <v>0</v>
      </c>
      <c r="J136" s="63">
        <v>0.5</v>
      </c>
      <c r="K136" s="63">
        <v>0.67</v>
      </c>
      <c r="L136" s="63">
        <v>0.54</v>
      </c>
      <c r="M136" s="12" t="s">
        <v>128</v>
      </c>
      <c r="N136" s="12" t="s">
        <v>128</v>
      </c>
      <c r="O136" s="61"/>
      <c r="P136" s="61"/>
      <c r="Q136" s="61"/>
      <c r="R136" s="61"/>
      <c r="S136" s="61"/>
      <c r="T136" s="61"/>
      <c r="U136" s="61"/>
      <c r="V136" s="12" t="s">
        <v>126</v>
      </c>
      <c r="W136" s="12" t="s">
        <v>126</v>
      </c>
      <c r="X136" s="12"/>
      <c r="Y136" s="12"/>
      <c r="Z136" s="12"/>
      <c r="AA136" s="12"/>
      <c r="AB136" s="12"/>
      <c r="AC136" s="12"/>
      <c r="AD136" s="12"/>
      <c r="AE136" s="12" t="s">
        <v>126</v>
      </c>
      <c r="AF136" s="12" t="s">
        <v>126</v>
      </c>
      <c r="AG136" s="2"/>
      <c r="AH136" s="2"/>
      <c r="AI136" s="2"/>
      <c r="AJ136" s="2"/>
      <c r="AK136" s="2"/>
      <c r="AL136" s="2"/>
      <c r="AM136" s="2"/>
      <c r="AW136" s="246">
        <v>48</v>
      </c>
      <c r="AX136" s="246" t="s">
        <v>758</v>
      </c>
      <c r="AY136" s="246">
        <v>0</v>
      </c>
      <c r="AZ136" s="246" t="s">
        <v>760</v>
      </c>
      <c r="BA136" s="263">
        <v>0</v>
      </c>
      <c r="BB136" s="263">
        <v>1</v>
      </c>
      <c r="BC136" s="263">
        <v>0</v>
      </c>
      <c r="BD136" s="263">
        <v>0</v>
      </c>
      <c r="BE136" s="263">
        <v>0.69</v>
      </c>
      <c r="BF136" s="263">
        <v>0.56000000000000005</v>
      </c>
      <c r="BG136" s="263">
        <v>0.55000000000000004</v>
      </c>
      <c r="BH136" s="649"/>
      <c r="BI136" s="649"/>
      <c r="BJ136" s="649"/>
      <c r="BK136" s="649"/>
      <c r="BL136" s="649"/>
      <c r="BM136" s="649"/>
      <c r="BN136" s="649"/>
      <c r="BO136" s="649"/>
      <c r="BP136" s="649"/>
      <c r="BQ136" s="649"/>
      <c r="BR136" s="649"/>
      <c r="BS136" s="651"/>
      <c r="BT136" s="651"/>
      <c r="BU136" s="651"/>
      <c r="BV136" s="651"/>
      <c r="BW136" s="651"/>
      <c r="BX136" s="651"/>
      <c r="BY136" s="651"/>
      <c r="BZ136" s="651"/>
      <c r="CA136" s="651"/>
      <c r="CB136" s="651"/>
      <c r="CC136" s="651"/>
      <c r="CD136" s="650"/>
      <c r="CE136" s="650"/>
      <c r="CF136" s="650"/>
      <c r="CG136" s="650"/>
      <c r="CH136" s="650"/>
      <c r="CI136" s="650"/>
      <c r="CJ136" s="650"/>
      <c r="CK136" s="650"/>
      <c r="CL136" s="650"/>
      <c r="CM136" s="650"/>
      <c r="CN136" s="650"/>
      <c r="CS136" s="949"/>
      <c r="CT136" s="949"/>
      <c r="CU136" s="949"/>
      <c r="CV136" s="949"/>
      <c r="CW136" s="949"/>
      <c r="CX136" s="949"/>
      <c r="CY136" s="949"/>
      <c r="CZ136" s="26"/>
      <c r="DA136" s="803" t="s">
        <v>117</v>
      </c>
    </row>
    <row r="137" spans="1:105" ht="24.95" customHeight="1" x14ac:dyDescent="0.2">
      <c r="A137" s="803" t="s">
        <v>69</v>
      </c>
      <c r="B137" s="1" t="s">
        <v>123</v>
      </c>
      <c r="C137" s="2">
        <v>4</v>
      </c>
      <c r="D137" s="12">
        <v>56</v>
      </c>
      <c r="E137" s="12">
        <v>7</v>
      </c>
      <c r="F137" s="63">
        <v>0.06</v>
      </c>
      <c r="G137" s="63">
        <v>0.13</v>
      </c>
      <c r="H137" s="63">
        <v>0.81</v>
      </c>
      <c r="I137" s="63">
        <v>0</v>
      </c>
      <c r="J137" s="63">
        <v>0.4</v>
      </c>
      <c r="K137" s="63">
        <v>0.41</v>
      </c>
      <c r="L137" s="63">
        <v>0.51</v>
      </c>
      <c r="M137" s="25">
        <v>56</v>
      </c>
      <c r="N137" s="25">
        <v>7</v>
      </c>
      <c r="O137" s="61">
        <v>0</v>
      </c>
      <c r="P137" s="61">
        <v>0.15</v>
      </c>
      <c r="Q137" s="61">
        <v>0.75</v>
      </c>
      <c r="R137" s="61">
        <v>0.1</v>
      </c>
      <c r="S137" s="61">
        <v>0.36</v>
      </c>
      <c r="T137" s="61">
        <v>0.47</v>
      </c>
      <c r="U137" s="61">
        <v>0.44</v>
      </c>
      <c r="V137" s="12">
        <v>59</v>
      </c>
      <c r="W137" s="12">
        <v>6</v>
      </c>
      <c r="X137" s="66">
        <v>0</v>
      </c>
      <c r="Y137" s="66">
        <v>0.09</v>
      </c>
      <c r="Z137" s="66">
        <v>0.91</v>
      </c>
      <c r="AA137" s="66">
        <v>0</v>
      </c>
      <c r="AB137" s="66">
        <v>0.35</v>
      </c>
      <c r="AC137" s="66">
        <v>0.4</v>
      </c>
      <c r="AD137" s="66">
        <v>0.41</v>
      </c>
      <c r="AE137" s="12">
        <v>58</v>
      </c>
      <c r="AF137" s="12">
        <v>7</v>
      </c>
      <c r="AG137" s="63">
        <v>0</v>
      </c>
      <c r="AH137" s="63">
        <v>0.15</v>
      </c>
      <c r="AI137" s="63">
        <v>0.77</v>
      </c>
      <c r="AJ137" s="63">
        <v>0.08</v>
      </c>
      <c r="AK137" s="63">
        <v>0.34</v>
      </c>
      <c r="AL137" s="63">
        <v>0.26</v>
      </c>
      <c r="AM137" s="63">
        <v>0.28999999999999998</v>
      </c>
      <c r="AN137" s="35">
        <v>57</v>
      </c>
      <c r="AO137" s="35">
        <v>6</v>
      </c>
      <c r="AP137" s="40">
        <v>0</v>
      </c>
      <c r="AQ137" s="40">
        <v>0.08</v>
      </c>
      <c r="AR137" s="40">
        <v>0.83</v>
      </c>
      <c r="AS137" s="40">
        <v>0.08</v>
      </c>
      <c r="AT137" s="40">
        <v>0.41</v>
      </c>
      <c r="AU137" s="40">
        <v>0.37</v>
      </c>
      <c r="AV137" s="40">
        <v>0.26</v>
      </c>
      <c r="AW137" s="246">
        <v>53</v>
      </c>
      <c r="AX137" s="246" t="s">
        <v>758</v>
      </c>
      <c r="AY137" s="246">
        <v>9</v>
      </c>
      <c r="AZ137" s="246" t="s">
        <v>758</v>
      </c>
      <c r="BA137" s="263">
        <v>0</v>
      </c>
      <c r="BB137" s="263">
        <v>0.32</v>
      </c>
      <c r="BC137" s="263">
        <v>0.64</v>
      </c>
      <c r="BD137" s="263">
        <v>0.05</v>
      </c>
      <c r="BE137" s="263">
        <v>0.45</v>
      </c>
      <c r="BF137" s="263">
        <v>0.38</v>
      </c>
      <c r="BG137" s="263">
        <v>0.56999999999999995</v>
      </c>
      <c r="BH137" s="74">
        <v>62</v>
      </c>
      <c r="BI137" s="74" t="s">
        <v>758</v>
      </c>
      <c r="BJ137" s="74">
        <v>7</v>
      </c>
      <c r="BK137" s="74" t="s">
        <v>758</v>
      </c>
      <c r="BL137" s="96">
        <v>0</v>
      </c>
      <c r="BM137" s="96">
        <v>0.12</v>
      </c>
      <c r="BN137" s="96">
        <v>0.53</v>
      </c>
      <c r="BO137" s="96">
        <v>0.35</v>
      </c>
      <c r="BP137" s="96">
        <v>0.33</v>
      </c>
      <c r="BQ137" s="96">
        <v>0.25</v>
      </c>
      <c r="BR137" s="96">
        <v>0.28000000000000003</v>
      </c>
      <c r="BS137" s="652">
        <v>52</v>
      </c>
      <c r="BT137" s="652" t="s">
        <v>758</v>
      </c>
      <c r="BU137" s="652">
        <v>7</v>
      </c>
      <c r="BV137" s="652" t="s">
        <v>758</v>
      </c>
      <c r="BW137" s="653">
        <v>0</v>
      </c>
      <c r="BX137" s="653">
        <v>0.41</v>
      </c>
      <c r="BY137" s="653">
        <v>0.59</v>
      </c>
      <c r="BZ137" s="653">
        <v>0</v>
      </c>
      <c r="CA137" s="653">
        <v>0.48</v>
      </c>
      <c r="CB137" s="653">
        <v>0.48</v>
      </c>
      <c r="CC137" s="653">
        <v>0.53</v>
      </c>
      <c r="CD137" s="74">
        <v>58</v>
      </c>
      <c r="CE137" s="74" t="s">
        <v>758</v>
      </c>
      <c r="CF137" s="74">
        <v>7</v>
      </c>
      <c r="CG137" s="74" t="s">
        <v>758</v>
      </c>
      <c r="CH137" s="96">
        <v>0</v>
      </c>
      <c r="CI137" s="96">
        <v>0.12</v>
      </c>
      <c r="CJ137" s="96">
        <v>0.7</v>
      </c>
      <c r="CK137" s="96">
        <v>0.18</v>
      </c>
      <c r="CL137" s="96">
        <v>0.37</v>
      </c>
      <c r="CM137" s="96">
        <v>0.4</v>
      </c>
      <c r="CN137" s="96">
        <v>0.28999999999999998</v>
      </c>
      <c r="CO137" s="902">
        <v>57</v>
      </c>
      <c r="CP137" s="902" t="s">
        <v>758</v>
      </c>
      <c r="CQ137" s="902">
        <v>11</v>
      </c>
      <c r="CR137" s="902" t="s">
        <v>758</v>
      </c>
      <c r="CS137" s="949">
        <v>0.03</v>
      </c>
      <c r="CT137" s="949">
        <v>0.26</v>
      </c>
      <c r="CU137" s="949">
        <v>0.5</v>
      </c>
      <c r="CV137" s="949">
        <v>0.21</v>
      </c>
      <c r="CW137" s="949">
        <v>0.26</v>
      </c>
      <c r="CX137" s="949">
        <v>0.4</v>
      </c>
      <c r="CY137" s="949">
        <v>0.51</v>
      </c>
      <c r="CZ137" s="26">
        <v>325754004629</v>
      </c>
      <c r="DA137" s="803" t="s">
        <v>69</v>
      </c>
    </row>
    <row r="138" spans="1:105" ht="24.95" customHeight="1" x14ac:dyDescent="0.2">
      <c r="A138" s="803" t="s">
        <v>35</v>
      </c>
      <c r="B138" s="1" t="s">
        <v>123</v>
      </c>
      <c r="C138" s="2">
        <v>6</v>
      </c>
      <c r="D138" s="12">
        <v>55</v>
      </c>
      <c r="E138" s="12">
        <v>8</v>
      </c>
      <c r="F138" s="63">
        <v>0</v>
      </c>
      <c r="G138" s="63">
        <v>0.32</v>
      </c>
      <c r="H138" s="63">
        <v>0.59</v>
      </c>
      <c r="I138" s="63">
        <v>0.09</v>
      </c>
      <c r="J138" s="63">
        <v>0.44</v>
      </c>
      <c r="K138" s="63">
        <v>0.47</v>
      </c>
      <c r="L138" s="63">
        <v>0.56000000000000005</v>
      </c>
      <c r="M138" s="25">
        <v>56</v>
      </c>
      <c r="N138" s="25">
        <v>8</v>
      </c>
      <c r="O138" s="61">
        <v>0.01</v>
      </c>
      <c r="P138" s="61">
        <v>0.28000000000000003</v>
      </c>
      <c r="Q138" s="61">
        <v>0.64</v>
      </c>
      <c r="R138" s="61">
        <v>7.0000000000000007E-2</v>
      </c>
      <c r="S138" s="61">
        <v>0.39</v>
      </c>
      <c r="T138" s="61">
        <v>0.46</v>
      </c>
      <c r="U138" s="61">
        <v>0.42</v>
      </c>
      <c r="V138" s="12">
        <v>56</v>
      </c>
      <c r="W138" s="12">
        <v>8</v>
      </c>
      <c r="X138" s="66">
        <v>0</v>
      </c>
      <c r="Y138" s="66">
        <v>0.28999999999999998</v>
      </c>
      <c r="Z138" s="66">
        <v>0.63</v>
      </c>
      <c r="AA138" s="66">
        <v>0.08</v>
      </c>
      <c r="AB138" s="66">
        <v>0.39</v>
      </c>
      <c r="AC138" s="66">
        <v>0.47</v>
      </c>
      <c r="AD138" s="66">
        <v>0.46</v>
      </c>
      <c r="AE138" s="12">
        <v>56</v>
      </c>
      <c r="AF138" s="12">
        <v>11</v>
      </c>
      <c r="AG138" s="63">
        <v>0.03</v>
      </c>
      <c r="AH138" s="63">
        <v>0.27</v>
      </c>
      <c r="AI138" s="63">
        <v>0.47</v>
      </c>
      <c r="AJ138" s="63">
        <v>0.23</v>
      </c>
      <c r="AK138" s="63">
        <v>0.38</v>
      </c>
      <c r="AL138" s="63">
        <v>0.31</v>
      </c>
      <c r="AM138" s="63">
        <v>0.38</v>
      </c>
      <c r="AN138" s="45">
        <v>55</v>
      </c>
      <c r="AO138" s="45">
        <v>8</v>
      </c>
      <c r="AP138" s="46">
        <v>0.01</v>
      </c>
      <c r="AQ138" s="46">
        <v>0.28000000000000003</v>
      </c>
      <c r="AR138" s="46">
        <v>0.61</v>
      </c>
      <c r="AS138" s="46">
        <v>0.1</v>
      </c>
      <c r="AT138" s="46">
        <v>0.45</v>
      </c>
      <c r="AU138" s="46">
        <v>0.33</v>
      </c>
      <c r="AV138" s="46">
        <v>0.41</v>
      </c>
      <c r="AW138" s="246">
        <v>56</v>
      </c>
      <c r="AX138" s="246" t="s">
        <v>758</v>
      </c>
      <c r="AY138" s="246">
        <v>9</v>
      </c>
      <c r="AZ138" s="246" t="s">
        <v>758</v>
      </c>
      <c r="BA138" s="263">
        <v>0</v>
      </c>
      <c r="BB138" s="263">
        <v>0.38</v>
      </c>
      <c r="BC138" s="263">
        <v>0.44</v>
      </c>
      <c r="BD138" s="263">
        <v>0.19</v>
      </c>
      <c r="BE138" s="263">
        <v>0.41</v>
      </c>
      <c r="BF138" s="263">
        <v>0.34</v>
      </c>
      <c r="BG138" s="263">
        <v>0.5</v>
      </c>
      <c r="BH138" s="309">
        <v>58</v>
      </c>
      <c r="BI138" s="309" t="s">
        <v>758</v>
      </c>
      <c r="BJ138" s="309">
        <v>8</v>
      </c>
      <c r="BK138" s="309" t="s">
        <v>758</v>
      </c>
      <c r="BL138" s="327">
        <v>0</v>
      </c>
      <c r="BM138" s="327">
        <v>0.2</v>
      </c>
      <c r="BN138" s="327">
        <v>0.62</v>
      </c>
      <c r="BO138" s="327">
        <v>0.18</v>
      </c>
      <c r="BP138" s="327">
        <v>0.41</v>
      </c>
      <c r="BQ138" s="327">
        <v>0.27</v>
      </c>
      <c r="BR138" s="327">
        <v>0.4</v>
      </c>
      <c r="BS138" s="424">
        <v>55</v>
      </c>
      <c r="BT138" s="424" t="s">
        <v>758</v>
      </c>
      <c r="BU138" s="424">
        <v>8</v>
      </c>
      <c r="BV138" s="424" t="s">
        <v>758</v>
      </c>
      <c r="BW138" s="428">
        <v>0</v>
      </c>
      <c r="BX138" s="428">
        <v>0.34</v>
      </c>
      <c r="BY138" s="428">
        <v>0.56000000000000005</v>
      </c>
      <c r="BZ138" s="428">
        <v>0.1</v>
      </c>
      <c r="CA138" s="428">
        <v>0.34</v>
      </c>
      <c r="CB138" s="428">
        <v>0.47</v>
      </c>
      <c r="CC138" s="428">
        <v>0.47</v>
      </c>
      <c r="CD138" s="464">
        <v>59</v>
      </c>
      <c r="CE138" s="464" t="s">
        <v>758</v>
      </c>
      <c r="CF138" s="464">
        <v>8</v>
      </c>
      <c r="CG138" s="464" t="s">
        <v>758</v>
      </c>
      <c r="CH138" s="476">
        <v>0</v>
      </c>
      <c r="CI138" s="476">
        <v>0.12</v>
      </c>
      <c r="CJ138" s="476">
        <v>0.69</v>
      </c>
      <c r="CK138" s="476">
        <v>0.19</v>
      </c>
      <c r="CL138" s="476">
        <v>0.37</v>
      </c>
      <c r="CM138" s="476">
        <v>0.4</v>
      </c>
      <c r="CN138" s="476">
        <v>0.24</v>
      </c>
      <c r="CO138" s="902">
        <v>60</v>
      </c>
      <c r="CP138" s="902" t="s">
        <v>758</v>
      </c>
      <c r="CQ138" s="902">
        <v>8</v>
      </c>
      <c r="CR138" s="902" t="s">
        <v>758</v>
      </c>
      <c r="CS138" s="949">
        <v>0</v>
      </c>
      <c r="CT138" s="949">
        <v>0.14000000000000001</v>
      </c>
      <c r="CU138" s="949">
        <v>0.69</v>
      </c>
      <c r="CV138" s="949">
        <v>0.17</v>
      </c>
      <c r="CW138" s="949">
        <v>0.24</v>
      </c>
      <c r="CX138" s="949">
        <v>0.35</v>
      </c>
      <c r="CY138" s="949">
        <v>0.43</v>
      </c>
      <c r="CZ138" s="26">
        <v>325754003592</v>
      </c>
      <c r="DA138" s="803" t="s">
        <v>35</v>
      </c>
    </row>
    <row r="139" spans="1:105" ht="24.95" customHeight="1" x14ac:dyDescent="0.2">
      <c r="A139" s="803" t="s">
        <v>29</v>
      </c>
      <c r="B139" s="1" t="s">
        <v>123</v>
      </c>
      <c r="C139" s="2">
        <v>2</v>
      </c>
      <c r="D139" s="12">
        <v>53</v>
      </c>
      <c r="E139" s="12">
        <v>7</v>
      </c>
      <c r="F139" s="63">
        <v>0</v>
      </c>
      <c r="G139" s="63">
        <v>0.38</v>
      </c>
      <c r="H139" s="63">
        <v>0.62</v>
      </c>
      <c r="I139" s="63">
        <v>0</v>
      </c>
      <c r="J139" s="63">
        <v>0.43</v>
      </c>
      <c r="K139" s="63">
        <v>0.49</v>
      </c>
      <c r="L139" s="63">
        <v>0.55000000000000004</v>
      </c>
      <c r="M139" s="25">
        <v>54</v>
      </c>
      <c r="N139" s="25">
        <v>8</v>
      </c>
      <c r="O139" s="61">
        <v>0.02</v>
      </c>
      <c r="P139" s="61">
        <v>0.3</v>
      </c>
      <c r="Q139" s="61">
        <v>0.61</v>
      </c>
      <c r="R139" s="61">
        <v>0.08</v>
      </c>
      <c r="S139" s="61">
        <v>0.44</v>
      </c>
      <c r="T139" s="61">
        <v>0.46</v>
      </c>
      <c r="U139" s="61">
        <v>0.48</v>
      </c>
      <c r="V139" s="12">
        <v>53</v>
      </c>
      <c r="W139" s="12">
        <v>7</v>
      </c>
      <c r="X139" s="66">
        <v>0</v>
      </c>
      <c r="Y139" s="66">
        <v>0.39</v>
      </c>
      <c r="Z139" s="66">
        <v>0.56999999999999995</v>
      </c>
      <c r="AA139" s="66">
        <v>0.03</v>
      </c>
      <c r="AB139" s="66">
        <v>0.46</v>
      </c>
      <c r="AC139" s="66">
        <v>0.49</v>
      </c>
      <c r="AD139" s="66">
        <v>0.49</v>
      </c>
      <c r="AE139" s="12">
        <v>55</v>
      </c>
      <c r="AF139" s="12">
        <v>9</v>
      </c>
      <c r="AG139" s="63">
        <v>0</v>
      </c>
      <c r="AH139" s="63">
        <v>0.3</v>
      </c>
      <c r="AI139" s="63">
        <v>0.55000000000000004</v>
      </c>
      <c r="AJ139" s="63">
        <v>0.15</v>
      </c>
      <c r="AK139" s="63">
        <v>0.38</v>
      </c>
      <c r="AL139" s="63">
        <v>0.34</v>
      </c>
      <c r="AM139" s="63">
        <v>0.41</v>
      </c>
      <c r="AN139" s="35">
        <v>55</v>
      </c>
      <c r="AO139" s="35">
        <v>8</v>
      </c>
      <c r="AP139" s="40">
        <v>0</v>
      </c>
      <c r="AQ139" s="40">
        <v>0.31</v>
      </c>
      <c r="AR139" s="40">
        <v>0.59</v>
      </c>
      <c r="AS139" s="40">
        <v>0.1</v>
      </c>
      <c r="AT139" s="40">
        <v>0.45</v>
      </c>
      <c r="AU139" s="40">
        <v>0.38</v>
      </c>
      <c r="AV139" s="40">
        <v>0.41</v>
      </c>
      <c r="AW139" s="246">
        <v>54</v>
      </c>
      <c r="AX139" s="246" t="s">
        <v>758</v>
      </c>
      <c r="AY139" s="246">
        <v>8</v>
      </c>
      <c r="AZ139" s="246" t="s">
        <v>758</v>
      </c>
      <c r="BA139" s="263">
        <v>0</v>
      </c>
      <c r="BB139" s="263">
        <v>0.39</v>
      </c>
      <c r="BC139" s="263">
        <v>0.51</v>
      </c>
      <c r="BD139" s="263">
        <v>0.1</v>
      </c>
      <c r="BE139" s="263">
        <v>0.43</v>
      </c>
      <c r="BF139" s="263">
        <v>0.33</v>
      </c>
      <c r="BG139" s="263">
        <v>0.55000000000000004</v>
      </c>
      <c r="BH139" s="309">
        <v>53</v>
      </c>
      <c r="BI139" s="309" t="s">
        <v>758</v>
      </c>
      <c r="BJ139" s="309">
        <v>9</v>
      </c>
      <c r="BK139" s="309" t="s">
        <v>758</v>
      </c>
      <c r="BL139" s="327">
        <v>0.04</v>
      </c>
      <c r="BM139" s="327">
        <v>0.26</v>
      </c>
      <c r="BN139" s="327">
        <v>0.61</v>
      </c>
      <c r="BO139" s="327">
        <v>0.08</v>
      </c>
      <c r="BP139" s="327">
        <v>0.49</v>
      </c>
      <c r="BQ139" s="327">
        <v>0.39</v>
      </c>
      <c r="BR139" s="327">
        <v>0.45</v>
      </c>
      <c r="BS139" s="424">
        <v>55</v>
      </c>
      <c r="BT139" s="424" t="s">
        <v>758</v>
      </c>
      <c r="BU139" s="424">
        <v>9</v>
      </c>
      <c r="BV139" s="424" t="s">
        <v>758</v>
      </c>
      <c r="BW139" s="428">
        <v>0</v>
      </c>
      <c r="BX139" s="428">
        <v>0.36</v>
      </c>
      <c r="BY139" s="428">
        <v>0.48</v>
      </c>
      <c r="BZ139" s="428">
        <v>0.16</v>
      </c>
      <c r="CA139" s="428">
        <v>0.37</v>
      </c>
      <c r="CB139" s="428">
        <v>0.46</v>
      </c>
      <c r="CC139" s="428">
        <v>0.46</v>
      </c>
      <c r="CD139" s="464">
        <v>56</v>
      </c>
      <c r="CE139" s="464" t="s">
        <v>758</v>
      </c>
      <c r="CF139" s="464">
        <v>9</v>
      </c>
      <c r="CG139" s="464" t="s">
        <v>758</v>
      </c>
      <c r="CH139" s="476">
        <v>0.03</v>
      </c>
      <c r="CI139" s="476">
        <v>0.15</v>
      </c>
      <c r="CJ139" s="476">
        <v>0.68</v>
      </c>
      <c r="CK139" s="476">
        <v>0.15</v>
      </c>
      <c r="CL139" s="476">
        <v>0.39</v>
      </c>
      <c r="CM139" s="476">
        <v>0.41</v>
      </c>
      <c r="CN139" s="476">
        <v>0.31</v>
      </c>
      <c r="CO139" s="902">
        <v>57</v>
      </c>
      <c r="CP139" s="902" t="s">
        <v>758</v>
      </c>
      <c r="CQ139" s="902">
        <v>9</v>
      </c>
      <c r="CR139" s="902" t="s">
        <v>758</v>
      </c>
      <c r="CS139" s="949">
        <v>0</v>
      </c>
      <c r="CT139" s="949">
        <v>0.26</v>
      </c>
      <c r="CU139" s="949">
        <v>0.54</v>
      </c>
      <c r="CV139" s="949">
        <v>0.2</v>
      </c>
      <c r="CW139" s="949">
        <v>0.3</v>
      </c>
      <c r="CX139" s="949">
        <v>0.39</v>
      </c>
      <c r="CY139" s="949">
        <v>0.49</v>
      </c>
      <c r="CZ139" s="26">
        <v>325754003606</v>
      </c>
      <c r="DA139" s="803" t="s">
        <v>29</v>
      </c>
    </row>
    <row r="140" spans="1:105" ht="24.95" customHeight="1" x14ac:dyDescent="0.2">
      <c r="A140" s="803" t="s">
        <v>129</v>
      </c>
      <c r="B140" s="1" t="s">
        <v>123</v>
      </c>
      <c r="C140" s="2">
        <v>2</v>
      </c>
      <c r="D140" s="12"/>
      <c r="E140" s="12"/>
      <c r="F140" s="12"/>
      <c r="G140" s="12"/>
      <c r="H140" s="12"/>
      <c r="I140" s="12"/>
      <c r="J140" s="12"/>
      <c r="K140" s="12"/>
      <c r="L140" s="12"/>
      <c r="M140" s="25">
        <v>47</v>
      </c>
      <c r="N140" s="25">
        <v>11</v>
      </c>
      <c r="O140" s="61">
        <v>0.17</v>
      </c>
      <c r="P140" s="61">
        <v>0.5</v>
      </c>
      <c r="Q140" s="61">
        <v>0.22</v>
      </c>
      <c r="R140" s="61">
        <v>0.11</v>
      </c>
      <c r="S140" s="61">
        <v>0.52</v>
      </c>
      <c r="T140" s="61">
        <v>0.61</v>
      </c>
      <c r="U140" s="61">
        <v>0.59</v>
      </c>
      <c r="V140" s="12" t="s">
        <v>126</v>
      </c>
      <c r="W140" s="12" t="s">
        <v>126</v>
      </c>
      <c r="X140" s="12"/>
      <c r="Y140" s="12"/>
      <c r="Z140" s="12"/>
      <c r="AA140" s="12"/>
      <c r="AB140" s="12"/>
      <c r="AC140" s="12"/>
      <c r="AD140" s="12"/>
      <c r="AE140" s="12" t="s">
        <v>126</v>
      </c>
      <c r="AF140" s="12" t="s">
        <v>126</v>
      </c>
      <c r="AG140" s="2"/>
      <c r="AH140" s="2"/>
      <c r="AI140" s="2"/>
      <c r="AJ140" s="2"/>
      <c r="AK140" s="2"/>
      <c r="AL140" s="2"/>
      <c r="AM140" s="2"/>
      <c r="AN140" s="41"/>
      <c r="AO140" s="41"/>
      <c r="AP140" s="41"/>
      <c r="AQ140" s="41"/>
      <c r="AR140" s="41"/>
      <c r="AS140" s="41"/>
      <c r="AT140" s="41"/>
      <c r="AU140" s="41"/>
      <c r="AV140" s="41"/>
      <c r="AW140" s="646"/>
      <c r="AX140" s="646"/>
      <c r="AY140" s="646"/>
      <c r="AZ140" s="646"/>
      <c r="BA140" s="646"/>
      <c r="BB140" s="646"/>
      <c r="BC140" s="646"/>
      <c r="BD140" s="646"/>
      <c r="BE140" s="646"/>
      <c r="BF140" s="646"/>
      <c r="BG140" s="646"/>
      <c r="BH140" s="309">
        <v>60</v>
      </c>
      <c r="BI140" s="309" t="s">
        <v>758</v>
      </c>
      <c r="BJ140" s="309">
        <v>0</v>
      </c>
      <c r="BK140" s="309" t="s">
        <v>760</v>
      </c>
      <c r="BL140" s="327">
        <v>0</v>
      </c>
      <c r="BM140" s="327">
        <v>0</v>
      </c>
      <c r="BN140" s="327">
        <v>1</v>
      </c>
      <c r="BO140" s="327">
        <v>0</v>
      </c>
      <c r="BP140" s="327">
        <v>0.41</v>
      </c>
      <c r="BQ140" s="327">
        <v>0.13</v>
      </c>
      <c r="BR140" s="327">
        <v>0.33</v>
      </c>
      <c r="BS140" s="424">
        <v>47</v>
      </c>
      <c r="BT140" s="424" t="s">
        <v>760</v>
      </c>
      <c r="BU140" s="424">
        <v>9</v>
      </c>
      <c r="BV140" s="424" t="s">
        <v>758</v>
      </c>
      <c r="BW140" s="428">
        <v>0</v>
      </c>
      <c r="BX140" s="428">
        <v>0.69</v>
      </c>
      <c r="BY140" s="428">
        <v>0.23</v>
      </c>
      <c r="BZ140" s="428">
        <v>0.08</v>
      </c>
      <c r="CA140" s="428">
        <v>0.4</v>
      </c>
      <c r="CB140" s="428">
        <v>0.63</v>
      </c>
      <c r="CC140" s="428">
        <v>0.62</v>
      </c>
      <c r="CD140" s="641"/>
      <c r="CE140" s="641"/>
      <c r="CF140" s="641"/>
      <c r="CG140" s="641"/>
      <c r="CH140" s="642"/>
      <c r="CI140" s="642"/>
      <c r="CJ140" s="642"/>
      <c r="CK140" s="642"/>
      <c r="CL140" s="642"/>
      <c r="CM140" s="642"/>
      <c r="CN140" s="642"/>
      <c r="CZ140" s="26"/>
      <c r="DA140" s="803" t="s">
        <v>129</v>
      </c>
    </row>
    <row r="141" spans="1:105" ht="24.95" customHeight="1" x14ac:dyDescent="0.2">
      <c r="A141" s="803" t="s">
        <v>806</v>
      </c>
      <c r="B141" s="1" t="s">
        <v>123</v>
      </c>
      <c r="C141" s="2">
        <v>4</v>
      </c>
      <c r="D141" s="12"/>
      <c r="E141" s="12"/>
      <c r="F141" s="12"/>
      <c r="G141" s="12"/>
      <c r="H141" s="12"/>
      <c r="I141" s="12"/>
      <c r="J141" s="12"/>
      <c r="K141" s="12"/>
      <c r="L141" s="12"/>
      <c r="M141" s="25"/>
      <c r="N141" s="25"/>
      <c r="O141" s="61"/>
      <c r="P141" s="61"/>
      <c r="Q141" s="61"/>
      <c r="R141" s="61"/>
      <c r="S141" s="61"/>
      <c r="T141" s="61"/>
      <c r="U141" s="61"/>
      <c r="V141" s="12"/>
      <c r="W141" s="12"/>
      <c r="X141" s="12"/>
      <c r="Y141" s="12"/>
      <c r="Z141" s="12"/>
      <c r="AA141" s="12"/>
      <c r="AB141" s="12"/>
      <c r="AC141" s="12"/>
      <c r="AD141" s="12"/>
      <c r="AE141" s="12"/>
      <c r="AF141" s="12"/>
      <c r="AG141" s="2"/>
      <c r="AH141" s="2"/>
      <c r="AI141" s="2"/>
      <c r="AJ141" s="2"/>
      <c r="AK141" s="2"/>
      <c r="AL141" s="2"/>
      <c r="AM141" s="2"/>
      <c r="AN141" s="41"/>
      <c r="AO141" s="41"/>
      <c r="AP141" s="41"/>
      <c r="AQ141" s="41"/>
      <c r="AR141" s="41"/>
      <c r="AS141" s="41"/>
      <c r="AT141" s="41"/>
      <c r="AU141" s="41"/>
      <c r="AV141" s="41"/>
      <c r="BH141" s="309">
        <v>51</v>
      </c>
      <c r="BI141" s="309" t="s">
        <v>758</v>
      </c>
      <c r="BJ141" s="309">
        <v>8</v>
      </c>
      <c r="BK141" s="309" t="s">
        <v>758</v>
      </c>
      <c r="BL141" s="327">
        <v>0</v>
      </c>
      <c r="BM141" s="327">
        <v>0.4</v>
      </c>
      <c r="BN141" s="327">
        <v>0.6</v>
      </c>
      <c r="BO141" s="327">
        <v>0</v>
      </c>
      <c r="BP141" s="327">
        <v>0.46</v>
      </c>
      <c r="BQ141" s="327">
        <v>0.37</v>
      </c>
      <c r="BR141" s="327">
        <v>0.56000000000000005</v>
      </c>
      <c r="BS141" s="424">
        <v>45</v>
      </c>
      <c r="BT141" s="424" t="s">
        <v>760</v>
      </c>
      <c r="BU141" s="424">
        <v>7</v>
      </c>
      <c r="BV141" s="424" t="s">
        <v>758</v>
      </c>
      <c r="BW141" s="428">
        <v>0.08</v>
      </c>
      <c r="BX141" s="428">
        <v>0.77</v>
      </c>
      <c r="BY141" s="428">
        <v>0.15</v>
      </c>
      <c r="BZ141" s="428">
        <v>0</v>
      </c>
      <c r="CA141" s="428">
        <v>0.51</v>
      </c>
      <c r="CB141" s="428">
        <v>0.66</v>
      </c>
      <c r="CC141" s="428">
        <v>0.66</v>
      </c>
      <c r="CD141" s="424"/>
      <c r="CE141" s="424"/>
      <c r="CF141" s="424"/>
      <c r="CG141" s="424"/>
      <c r="CH141" s="428"/>
      <c r="CI141" s="428"/>
      <c r="CJ141" s="428"/>
      <c r="CK141" s="428"/>
      <c r="CL141" s="428"/>
      <c r="CM141" s="428"/>
      <c r="CN141" s="428"/>
      <c r="CZ141" s="26"/>
      <c r="DA141" s="803" t="s">
        <v>806</v>
      </c>
    </row>
    <row r="142" spans="1:105" ht="24.95" customHeight="1" x14ac:dyDescent="0.2">
      <c r="A142" s="804" t="s">
        <v>87</v>
      </c>
      <c r="B142" s="1" t="s">
        <v>123</v>
      </c>
      <c r="C142" s="309">
        <v>5</v>
      </c>
      <c r="D142" s="328">
        <v>53</v>
      </c>
      <c r="E142" s="328">
        <v>11</v>
      </c>
      <c r="F142" s="327">
        <v>0</v>
      </c>
      <c r="G142" s="327">
        <v>0.33</v>
      </c>
      <c r="H142" s="327">
        <v>0.67</v>
      </c>
      <c r="I142" s="327">
        <v>0</v>
      </c>
      <c r="J142" s="327">
        <v>0.56000000000000005</v>
      </c>
      <c r="K142" s="327">
        <v>0.36</v>
      </c>
      <c r="L142" s="327">
        <v>0.62</v>
      </c>
      <c r="M142" s="329">
        <v>56</v>
      </c>
      <c r="N142" s="329">
        <v>9</v>
      </c>
      <c r="O142" s="330">
        <v>0</v>
      </c>
      <c r="P142" s="330">
        <v>0.33</v>
      </c>
      <c r="Q142" s="330">
        <v>0.57999999999999996</v>
      </c>
      <c r="R142" s="330">
        <v>0.08</v>
      </c>
      <c r="S142" s="330">
        <v>0.38</v>
      </c>
      <c r="T142" s="330">
        <v>0.43</v>
      </c>
      <c r="U142" s="330">
        <v>0.48</v>
      </c>
      <c r="V142" s="328">
        <v>52</v>
      </c>
      <c r="W142" s="328">
        <v>4</v>
      </c>
      <c r="X142" s="333">
        <v>0</v>
      </c>
      <c r="Y142" s="333">
        <v>0.5</v>
      </c>
      <c r="Z142" s="333">
        <v>0.5</v>
      </c>
      <c r="AA142" s="333">
        <v>0</v>
      </c>
      <c r="AB142" s="333">
        <v>0.45</v>
      </c>
      <c r="AC142" s="333">
        <v>0.56000000000000005</v>
      </c>
      <c r="AD142" s="333">
        <v>0.52</v>
      </c>
      <c r="AE142" s="328">
        <v>49</v>
      </c>
      <c r="AF142" s="328">
        <v>8</v>
      </c>
      <c r="AG142" s="327">
        <v>0</v>
      </c>
      <c r="AH142" s="327">
        <v>0.8</v>
      </c>
      <c r="AI142" s="327">
        <v>0.2</v>
      </c>
      <c r="AJ142" s="327">
        <v>0</v>
      </c>
      <c r="AK142" s="327">
        <v>0.53</v>
      </c>
      <c r="AL142" s="327">
        <v>0.4</v>
      </c>
      <c r="AM142" s="327">
        <v>0.5</v>
      </c>
      <c r="AN142" s="45">
        <v>55</v>
      </c>
      <c r="AO142" s="45">
        <v>9</v>
      </c>
      <c r="AP142" s="46">
        <v>0</v>
      </c>
      <c r="AQ142" s="46">
        <v>0.33</v>
      </c>
      <c r="AR142" s="46">
        <v>0.67</v>
      </c>
      <c r="AS142" s="46">
        <v>0</v>
      </c>
      <c r="AT142" s="46">
        <v>0.5</v>
      </c>
      <c r="AU142" s="46">
        <v>0.2</v>
      </c>
      <c r="AV142" s="46">
        <v>0.55000000000000004</v>
      </c>
      <c r="AW142" s="647">
        <v>56</v>
      </c>
      <c r="AX142" s="647" t="s">
        <v>758</v>
      </c>
      <c r="AY142" s="647">
        <v>6</v>
      </c>
      <c r="AZ142" s="647" t="s">
        <v>758</v>
      </c>
      <c r="BA142" s="648">
        <v>0</v>
      </c>
      <c r="BB142" s="648">
        <v>0.17</v>
      </c>
      <c r="BC142" s="648">
        <v>0.83</v>
      </c>
      <c r="BD142" s="648">
        <v>0</v>
      </c>
      <c r="BE142" s="648">
        <v>0.42</v>
      </c>
      <c r="BF142" s="648">
        <v>0.36</v>
      </c>
      <c r="BG142" s="648">
        <v>0.41</v>
      </c>
      <c r="BH142" s="309">
        <v>52</v>
      </c>
      <c r="BI142" s="309" t="s">
        <v>758</v>
      </c>
      <c r="BJ142" s="309">
        <v>4</v>
      </c>
      <c r="BK142" s="309" t="s">
        <v>760</v>
      </c>
      <c r="BL142" s="327">
        <v>0</v>
      </c>
      <c r="BM142" s="327">
        <v>0.5</v>
      </c>
      <c r="BN142" s="327">
        <v>0.5</v>
      </c>
      <c r="BO142" s="327">
        <v>0</v>
      </c>
      <c r="BP142" s="327">
        <v>0.56000000000000005</v>
      </c>
      <c r="BQ142" s="327">
        <v>0.31</v>
      </c>
      <c r="BR142" s="327">
        <v>0.5</v>
      </c>
      <c r="BS142" s="424">
        <v>57</v>
      </c>
      <c r="BT142" s="424" t="s">
        <v>758</v>
      </c>
      <c r="BU142" s="424">
        <v>8</v>
      </c>
      <c r="BV142" s="424" t="s">
        <v>758</v>
      </c>
      <c r="BW142" s="428">
        <v>0</v>
      </c>
      <c r="BX142" s="428">
        <v>0.25</v>
      </c>
      <c r="BY142" s="428">
        <v>0.5</v>
      </c>
      <c r="BZ142" s="428">
        <v>0.25</v>
      </c>
      <c r="CA142" s="428">
        <v>0.35</v>
      </c>
      <c r="CB142" s="428">
        <v>0.54</v>
      </c>
      <c r="CC142" s="428">
        <v>0.31</v>
      </c>
      <c r="CD142" s="654">
        <v>53</v>
      </c>
      <c r="CE142" s="654" t="s">
        <v>758</v>
      </c>
      <c r="CF142" s="654">
        <v>6</v>
      </c>
      <c r="CG142" s="654" t="s">
        <v>758</v>
      </c>
      <c r="CH142" s="655">
        <v>0</v>
      </c>
      <c r="CI142" s="655">
        <v>0.28999999999999998</v>
      </c>
      <c r="CJ142" s="655">
        <v>0.71</v>
      </c>
      <c r="CK142" s="655">
        <v>0</v>
      </c>
      <c r="CL142" s="655">
        <v>0.51</v>
      </c>
      <c r="CM142" s="655">
        <v>0.49</v>
      </c>
      <c r="CN142" s="655">
        <v>0.21</v>
      </c>
      <c r="CO142" s="902">
        <v>58</v>
      </c>
      <c r="CP142" s="902" t="s">
        <v>758</v>
      </c>
      <c r="CQ142" s="902">
        <v>7</v>
      </c>
      <c r="CR142" s="902" t="s">
        <v>758</v>
      </c>
      <c r="CS142" s="949">
        <v>0</v>
      </c>
      <c r="CT142" s="949">
        <v>0.2</v>
      </c>
      <c r="CU142" s="949">
        <v>0.7</v>
      </c>
      <c r="CV142" s="949">
        <v>0.1</v>
      </c>
      <c r="CW142" s="949">
        <v>0.3</v>
      </c>
      <c r="CX142" s="949">
        <v>0.42</v>
      </c>
      <c r="CY142" s="949">
        <v>0.46</v>
      </c>
      <c r="CZ142" s="26">
        <v>325754004173</v>
      </c>
      <c r="DA142" s="804" t="s">
        <v>87</v>
      </c>
    </row>
    <row r="143" spans="1:105" ht="24.95" customHeight="1" x14ac:dyDescent="0.2">
      <c r="A143" s="803" t="s">
        <v>135</v>
      </c>
      <c r="B143" s="1" t="s">
        <v>123</v>
      </c>
      <c r="C143" s="2">
        <v>2</v>
      </c>
      <c r="D143" s="12"/>
      <c r="E143" s="12"/>
      <c r="F143" s="12"/>
      <c r="G143" s="12"/>
      <c r="H143" s="12"/>
      <c r="I143" s="12"/>
      <c r="J143" s="12"/>
      <c r="K143" s="12"/>
      <c r="L143" s="12"/>
      <c r="M143" s="12" t="s">
        <v>126</v>
      </c>
      <c r="N143" s="12" t="s">
        <v>126</v>
      </c>
      <c r="O143" s="61"/>
      <c r="P143" s="61"/>
      <c r="Q143" s="61"/>
      <c r="R143" s="61"/>
      <c r="S143" s="61"/>
      <c r="T143" s="61"/>
      <c r="U143" s="61"/>
      <c r="V143" s="12" t="s">
        <v>126</v>
      </c>
      <c r="W143" s="12" t="s">
        <v>126</v>
      </c>
      <c r="X143" s="12"/>
      <c r="Y143" s="12"/>
      <c r="Z143" s="12"/>
      <c r="AA143" s="12"/>
      <c r="AB143" s="12"/>
      <c r="AC143" s="12"/>
      <c r="AD143" s="12"/>
      <c r="AE143" s="12">
        <v>55</v>
      </c>
      <c r="AF143" s="12">
        <v>10</v>
      </c>
      <c r="AG143" s="63">
        <v>0</v>
      </c>
      <c r="AH143" s="63">
        <v>0.17</v>
      </c>
      <c r="AI143" s="63">
        <v>0.83</v>
      </c>
      <c r="AJ143" s="63">
        <v>0</v>
      </c>
      <c r="AK143" s="63">
        <v>0.44</v>
      </c>
      <c r="AL143" s="63">
        <v>0.28000000000000003</v>
      </c>
      <c r="AM143" s="63">
        <v>0.36</v>
      </c>
      <c r="AN143" s="45">
        <v>54</v>
      </c>
      <c r="AO143" s="45">
        <v>3</v>
      </c>
      <c r="AP143" s="46">
        <v>0</v>
      </c>
      <c r="AQ143" s="46">
        <v>0</v>
      </c>
      <c r="AR143" s="46">
        <v>1</v>
      </c>
      <c r="AS143" s="46">
        <v>0</v>
      </c>
      <c r="AT143" s="46">
        <v>0.42</v>
      </c>
      <c r="AU143" s="46">
        <v>0.35</v>
      </c>
      <c r="AV143" s="46">
        <v>0.55000000000000004</v>
      </c>
      <c r="AW143" s="246">
        <v>53</v>
      </c>
      <c r="AX143" s="246" t="s">
        <v>758</v>
      </c>
      <c r="AY143" s="246">
        <v>12</v>
      </c>
      <c r="AZ143" s="246" t="s">
        <v>758</v>
      </c>
      <c r="BA143" s="263">
        <v>7.0000000000000007E-2</v>
      </c>
      <c r="BB143" s="263">
        <v>0.43</v>
      </c>
      <c r="BC143" s="263">
        <v>0.36</v>
      </c>
      <c r="BD143" s="263">
        <v>0.14000000000000001</v>
      </c>
      <c r="BE143" s="263">
        <v>0.48</v>
      </c>
      <c r="BF143" s="263">
        <v>0.36</v>
      </c>
      <c r="BG143" s="263">
        <v>0.55000000000000004</v>
      </c>
      <c r="BH143" s="309">
        <v>53</v>
      </c>
      <c r="BI143" s="309" t="s">
        <v>758</v>
      </c>
      <c r="BJ143" s="309">
        <v>7</v>
      </c>
      <c r="BK143" s="309" t="s">
        <v>758</v>
      </c>
      <c r="BL143" s="327">
        <v>0.05</v>
      </c>
      <c r="BM143" s="327">
        <v>0.33</v>
      </c>
      <c r="BN143" s="327">
        <v>0.62</v>
      </c>
      <c r="BO143" s="327">
        <v>0</v>
      </c>
      <c r="BP143" s="327">
        <v>0.5</v>
      </c>
      <c r="BQ143" s="327">
        <v>0.38</v>
      </c>
      <c r="BR143" s="327">
        <v>0.51</v>
      </c>
      <c r="BS143" s="424">
        <v>51</v>
      </c>
      <c r="BT143" s="424" t="s">
        <v>758</v>
      </c>
      <c r="BU143" s="424">
        <v>9</v>
      </c>
      <c r="BV143" s="424" t="s">
        <v>758</v>
      </c>
      <c r="BW143" s="428">
        <v>0.05</v>
      </c>
      <c r="BX143" s="428">
        <v>0.47</v>
      </c>
      <c r="BY143" s="428">
        <v>0.47</v>
      </c>
      <c r="BZ143" s="428">
        <v>0</v>
      </c>
      <c r="CA143" s="428">
        <v>0.45</v>
      </c>
      <c r="CB143" s="428">
        <v>0.52</v>
      </c>
      <c r="CC143" s="428">
        <v>0.5</v>
      </c>
      <c r="CD143" s="464">
        <v>50</v>
      </c>
      <c r="CE143" s="464" t="s">
        <v>758</v>
      </c>
      <c r="CF143" s="464">
        <v>7</v>
      </c>
      <c r="CG143" s="464" t="s">
        <v>758</v>
      </c>
      <c r="CH143" s="476">
        <v>0</v>
      </c>
      <c r="CI143" s="476">
        <v>0.67</v>
      </c>
      <c r="CJ143" s="476">
        <v>0.33</v>
      </c>
      <c r="CK143" s="476">
        <v>0</v>
      </c>
      <c r="CL143" s="476">
        <v>0.51</v>
      </c>
      <c r="CM143" s="476">
        <v>0.53</v>
      </c>
      <c r="CN143" s="476">
        <v>0.36</v>
      </c>
      <c r="CO143" s="902">
        <v>48</v>
      </c>
      <c r="CP143" s="902" t="s">
        <v>760</v>
      </c>
      <c r="CQ143" s="902">
        <v>8</v>
      </c>
      <c r="CR143" s="902" t="s">
        <v>758</v>
      </c>
      <c r="CS143" s="949">
        <v>0</v>
      </c>
      <c r="CT143" s="949">
        <v>0.63</v>
      </c>
      <c r="CU143" s="949">
        <v>0.38</v>
      </c>
      <c r="CV143" s="949">
        <v>0</v>
      </c>
      <c r="CW143" s="949">
        <v>0.48</v>
      </c>
      <c r="CX143" s="949">
        <v>0.55000000000000004</v>
      </c>
      <c r="CY143" s="949">
        <v>0.67</v>
      </c>
      <c r="CZ143" s="26">
        <v>325754000968</v>
      </c>
      <c r="DA143" s="803" t="s">
        <v>135</v>
      </c>
    </row>
    <row r="144" spans="1:105" ht="24.95" customHeight="1" x14ac:dyDescent="0.2">
      <c r="A144" s="803" t="s">
        <v>81</v>
      </c>
      <c r="B144" s="1" t="s">
        <v>123</v>
      </c>
      <c r="C144" s="2">
        <v>2</v>
      </c>
      <c r="D144" s="12">
        <v>53</v>
      </c>
      <c r="E144" s="12">
        <v>9</v>
      </c>
      <c r="F144" s="63">
        <v>7.0000000000000007E-2</v>
      </c>
      <c r="G144" s="63">
        <v>0.38</v>
      </c>
      <c r="H144" s="63">
        <v>0.48</v>
      </c>
      <c r="I144" s="63">
        <v>7.0000000000000007E-2</v>
      </c>
      <c r="J144" s="63">
        <v>0.49</v>
      </c>
      <c r="K144" s="63">
        <v>0.48</v>
      </c>
      <c r="L144" s="63">
        <v>0.52</v>
      </c>
      <c r="M144" s="25">
        <v>58</v>
      </c>
      <c r="N144" s="25">
        <v>7</v>
      </c>
      <c r="O144" s="61">
        <v>0</v>
      </c>
      <c r="P144" s="61">
        <v>0.15</v>
      </c>
      <c r="Q144" s="61">
        <v>0.77</v>
      </c>
      <c r="R144" s="61">
        <v>0.08</v>
      </c>
      <c r="S144" s="61">
        <v>0.41</v>
      </c>
      <c r="T144" s="61">
        <v>0.42</v>
      </c>
      <c r="U144" s="61">
        <v>0.38</v>
      </c>
      <c r="V144" s="12">
        <v>56</v>
      </c>
      <c r="W144" s="12">
        <v>9</v>
      </c>
      <c r="X144" s="66">
        <v>0</v>
      </c>
      <c r="Y144" s="66">
        <v>0.37</v>
      </c>
      <c r="Z144" s="66">
        <v>0.41</v>
      </c>
      <c r="AA144" s="66">
        <v>0.22</v>
      </c>
      <c r="AB144" s="66">
        <v>0.39</v>
      </c>
      <c r="AC144" s="66">
        <v>0.44</v>
      </c>
      <c r="AD144" s="66">
        <v>0.48</v>
      </c>
      <c r="AE144" s="12">
        <v>57</v>
      </c>
      <c r="AF144" s="12">
        <v>7</v>
      </c>
      <c r="AG144" s="63">
        <v>0</v>
      </c>
      <c r="AH144" s="63">
        <v>0.18</v>
      </c>
      <c r="AI144" s="63">
        <v>0.66</v>
      </c>
      <c r="AJ144" s="63">
        <v>0.16</v>
      </c>
      <c r="AK144" s="63">
        <v>0.37</v>
      </c>
      <c r="AL144" s="63">
        <v>0.3</v>
      </c>
      <c r="AM144" s="63">
        <v>0.37</v>
      </c>
      <c r="AN144" s="35">
        <v>58</v>
      </c>
      <c r="AO144" s="35">
        <v>9</v>
      </c>
      <c r="AP144" s="40">
        <v>0.02</v>
      </c>
      <c r="AQ144" s="40">
        <v>0.27</v>
      </c>
      <c r="AR144" s="40">
        <v>0.46</v>
      </c>
      <c r="AS144" s="40">
        <v>0.25</v>
      </c>
      <c r="AT144" s="40">
        <v>0.38</v>
      </c>
      <c r="AU144" s="40">
        <v>0.3</v>
      </c>
      <c r="AV144" s="40">
        <v>0.34</v>
      </c>
      <c r="AW144" s="246">
        <v>57</v>
      </c>
      <c r="AX144" s="246" t="s">
        <v>758</v>
      </c>
      <c r="AY144" s="246">
        <v>8</v>
      </c>
      <c r="AZ144" s="246" t="s">
        <v>758</v>
      </c>
      <c r="BA144" s="263">
        <v>0</v>
      </c>
      <c r="BB144" s="263">
        <v>0.22</v>
      </c>
      <c r="BC144" s="263">
        <v>0.61</v>
      </c>
      <c r="BD144" s="263">
        <v>0.17</v>
      </c>
      <c r="BE144" s="263">
        <v>0.38</v>
      </c>
      <c r="BF144" s="263">
        <v>0.31</v>
      </c>
      <c r="BG144" s="263">
        <v>0.46</v>
      </c>
      <c r="BH144" s="309">
        <v>56</v>
      </c>
      <c r="BI144" s="309" t="s">
        <v>758</v>
      </c>
      <c r="BJ144" s="309">
        <v>8</v>
      </c>
      <c r="BK144" s="309" t="s">
        <v>758</v>
      </c>
      <c r="BL144" s="327">
        <v>0</v>
      </c>
      <c r="BM144" s="327">
        <v>0.23</v>
      </c>
      <c r="BN144" s="327">
        <v>0.7</v>
      </c>
      <c r="BO144" s="327">
        <v>0.08</v>
      </c>
      <c r="BP144" s="327">
        <v>0.42</v>
      </c>
      <c r="BQ144" s="327">
        <v>0.28999999999999998</v>
      </c>
      <c r="BR144" s="327">
        <v>0.44</v>
      </c>
      <c r="BS144" s="424">
        <v>56</v>
      </c>
      <c r="BT144" s="424" t="s">
        <v>758</v>
      </c>
      <c r="BU144" s="424">
        <v>9</v>
      </c>
      <c r="BV144" s="424" t="s">
        <v>758</v>
      </c>
      <c r="BW144" s="428">
        <v>0.01</v>
      </c>
      <c r="BX144" s="428">
        <v>0.25</v>
      </c>
      <c r="BY144" s="428">
        <v>0.65</v>
      </c>
      <c r="BZ144" s="428">
        <v>0.09</v>
      </c>
      <c r="CA144" s="428">
        <v>0.36</v>
      </c>
      <c r="CB144" s="428">
        <v>0.43</v>
      </c>
      <c r="CC144" s="428">
        <v>0.46</v>
      </c>
      <c r="CD144" s="464">
        <v>56</v>
      </c>
      <c r="CE144" s="464" t="s">
        <v>758</v>
      </c>
      <c r="CF144" s="464">
        <v>9</v>
      </c>
      <c r="CG144" s="464" t="s">
        <v>758</v>
      </c>
      <c r="CH144" s="476">
        <v>0.02</v>
      </c>
      <c r="CI144" s="476">
        <v>0.22</v>
      </c>
      <c r="CJ144" s="476">
        <v>0.59</v>
      </c>
      <c r="CK144" s="476">
        <v>0.17</v>
      </c>
      <c r="CL144" s="476">
        <v>0.42</v>
      </c>
      <c r="CM144" s="476">
        <v>0.43</v>
      </c>
      <c r="CN144" s="476">
        <v>0.3</v>
      </c>
      <c r="CO144" s="902">
        <v>58</v>
      </c>
      <c r="CP144" s="902" t="s">
        <v>758</v>
      </c>
      <c r="CQ144" s="902">
        <v>9</v>
      </c>
      <c r="CR144" s="902" t="s">
        <v>758</v>
      </c>
      <c r="CS144" s="949">
        <v>0.02</v>
      </c>
      <c r="CT144" s="949">
        <v>0.17</v>
      </c>
      <c r="CU144" s="949">
        <v>0.59</v>
      </c>
      <c r="CV144" s="949">
        <v>0.22</v>
      </c>
      <c r="CW144" s="949">
        <v>0.27</v>
      </c>
      <c r="CX144" s="949">
        <v>0.38</v>
      </c>
      <c r="CY144" s="949">
        <v>0.46</v>
      </c>
      <c r="CZ144" s="26">
        <v>325754004530</v>
      </c>
      <c r="DA144" s="803" t="s">
        <v>81</v>
      </c>
    </row>
    <row r="145" spans="1:105" ht="24.95" customHeight="1" x14ac:dyDescent="0.2">
      <c r="A145" s="803" t="s">
        <v>114</v>
      </c>
      <c r="B145" s="1" t="s">
        <v>123</v>
      </c>
      <c r="C145" s="2">
        <v>1</v>
      </c>
      <c r="D145" s="12">
        <v>54</v>
      </c>
      <c r="E145" s="12">
        <v>5</v>
      </c>
      <c r="F145" s="63">
        <v>0</v>
      </c>
      <c r="G145" s="63">
        <v>0.36</v>
      </c>
      <c r="H145" s="63">
        <v>0.64</v>
      </c>
      <c r="I145" s="63">
        <v>0</v>
      </c>
      <c r="J145" s="63">
        <v>0.32</v>
      </c>
      <c r="K145" s="63">
        <v>0.39</v>
      </c>
      <c r="L145" s="63">
        <v>0.64</v>
      </c>
      <c r="M145" s="25">
        <v>56</v>
      </c>
      <c r="N145" s="25">
        <v>8</v>
      </c>
      <c r="O145" s="61">
        <v>0</v>
      </c>
      <c r="P145" s="61">
        <v>0.24</v>
      </c>
      <c r="Q145" s="61">
        <v>0.67</v>
      </c>
      <c r="R145" s="61">
        <v>0.1</v>
      </c>
      <c r="S145" s="61">
        <v>0.38</v>
      </c>
      <c r="T145" s="61">
        <v>0.48</v>
      </c>
      <c r="U145" s="61">
        <v>0.46</v>
      </c>
      <c r="V145" s="12">
        <v>57</v>
      </c>
      <c r="W145" s="12">
        <v>7</v>
      </c>
      <c r="X145" s="66">
        <v>0</v>
      </c>
      <c r="Y145" s="66">
        <v>0.13</v>
      </c>
      <c r="Z145" s="66">
        <v>0.63</v>
      </c>
      <c r="AA145" s="66">
        <v>0.25</v>
      </c>
      <c r="AB145" s="66">
        <v>0.34</v>
      </c>
      <c r="AC145" s="66">
        <v>0.43</v>
      </c>
      <c r="AD145" s="66">
        <v>0.49</v>
      </c>
      <c r="AE145" s="12">
        <v>56</v>
      </c>
      <c r="AF145" s="12">
        <v>7</v>
      </c>
      <c r="AG145" s="63">
        <v>0</v>
      </c>
      <c r="AH145" s="63">
        <v>0.28000000000000003</v>
      </c>
      <c r="AI145" s="63">
        <v>0.61</v>
      </c>
      <c r="AJ145" s="63">
        <v>0.11</v>
      </c>
      <c r="AK145" s="63">
        <v>0.35</v>
      </c>
      <c r="AL145" s="63">
        <v>0.35</v>
      </c>
      <c r="AM145" s="63">
        <v>0.34</v>
      </c>
      <c r="AN145" s="35">
        <v>57</v>
      </c>
      <c r="AO145" s="35">
        <v>8</v>
      </c>
      <c r="AP145" s="40">
        <v>0</v>
      </c>
      <c r="AQ145" s="40">
        <v>0.16</v>
      </c>
      <c r="AR145" s="40">
        <v>0.64</v>
      </c>
      <c r="AS145" s="40">
        <v>0.2</v>
      </c>
      <c r="AT145" s="40">
        <v>0.39</v>
      </c>
      <c r="AU145" s="40">
        <v>0.27</v>
      </c>
      <c r="AV145" s="40">
        <v>0.44</v>
      </c>
      <c r="AW145" s="246">
        <v>54</v>
      </c>
      <c r="AX145" s="246" t="s">
        <v>758</v>
      </c>
      <c r="AY145" s="246">
        <v>8</v>
      </c>
      <c r="AZ145" s="246" t="s">
        <v>758</v>
      </c>
      <c r="BA145" s="263">
        <v>0</v>
      </c>
      <c r="BB145" s="263">
        <v>0.33</v>
      </c>
      <c r="BC145" s="263">
        <v>0.57999999999999996</v>
      </c>
      <c r="BD145" s="263">
        <v>0.08</v>
      </c>
      <c r="BE145" s="263">
        <v>0.45</v>
      </c>
      <c r="BF145" s="263">
        <v>0.32</v>
      </c>
      <c r="BG145" s="263">
        <v>0.56000000000000005</v>
      </c>
      <c r="BH145" s="309">
        <v>58</v>
      </c>
      <c r="BI145" s="309" t="s">
        <v>758</v>
      </c>
      <c r="BJ145" s="309">
        <v>9</v>
      </c>
      <c r="BK145" s="309" t="s">
        <v>758</v>
      </c>
      <c r="BL145" s="327">
        <v>0.03</v>
      </c>
      <c r="BM145" s="327">
        <v>0.14000000000000001</v>
      </c>
      <c r="BN145" s="327">
        <v>0.66</v>
      </c>
      <c r="BO145" s="327">
        <v>0.17</v>
      </c>
      <c r="BP145" s="327">
        <v>0.42</v>
      </c>
      <c r="BQ145" s="327">
        <v>0.28999999999999998</v>
      </c>
      <c r="BR145" s="327">
        <v>0.36</v>
      </c>
      <c r="BS145" s="424">
        <v>56</v>
      </c>
      <c r="BT145" s="424" t="s">
        <v>758</v>
      </c>
      <c r="BU145" s="424">
        <v>9</v>
      </c>
      <c r="BV145" s="424" t="s">
        <v>758</v>
      </c>
      <c r="BW145" s="428">
        <v>0.04</v>
      </c>
      <c r="BX145" s="428">
        <v>0.15</v>
      </c>
      <c r="BY145" s="428">
        <v>0.74</v>
      </c>
      <c r="BZ145" s="428">
        <v>0.06</v>
      </c>
      <c r="CA145" s="428">
        <v>0.36</v>
      </c>
      <c r="CB145" s="428">
        <v>0.45</v>
      </c>
      <c r="CC145" s="428">
        <v>0.46</v>
      </c>
      <c r="CD145" s="464">
        <v>57</v>
      </c>
      <c r="CE145" s="464" t="s">
        <v>758</v>
      </c>
      <c r="CF145" s="464">
        <v>7</v>
      </c>
      <c r="CG145" s="464" t="s">
        <v>758</v>
      </c>
      <c r="CH145" s="476">
        <v>0</v>
      </c>
      <c r="CI145" s="476">
        <v>0.24</v>
      </c>
      <c r="CJ145" s="476">
        <v>0.67</v>
      </c>
      <c r="CK145" s="476">
        <v>0.1</v>
      </c>
      <c r="CL145" s="476">
        <v>0.42</v>
      </c>
      <c r="CM145" s="476">
        <v>0.41</v>
      </c>
      <c r="CN145" s="476">
        <v>0.28999999999999998</v>
      </c>
      <c r="CO145" s="902">
        <v>57</v>
      </c>
      <c r="CP145" s="902" t="s">
        <v>758</v>
      </c>
      <c r="CQ145" s="902">
        <v>7</v>
      </c>
      <c r="CR145" s="902" t="s">
        <v>758</v>
      </c>
      <c r="CS145" s="949">
        <v>0</v>
      </c>
      <c r="CT145" s="949">
        <v>0.17</v>
      </c>
      <c r="CU145" s="949">
        <v>0.73</v>
      </c>
      <c r="CV145" s="949">
        <v>0.1</v>
      </c>
      <c r="CW145" s="949">
        <v>0.26</v>
      </c>
      <c r="CX145" s="949">
        <v>0.43</v>
      </c>
      <c r="CY145" s="949">
        <v>0.5</v>
      </c>
      <c r="CZ145" s="26">
        <v>325754003134</v>
      </c>
      <c r="DA145" s="803" t="s">
        <v>114</v>
      </c>
    </row>
    <row r="146" spans="1:105" ht="24.95" customHeight="1" x14ac:dyDescent="0.2">
      <c r="A146" s="803" t="s">
        <v>42</v>
      </c>
      <c r="B146" s="1" t="s">
        <v>123</v>
      </c>
      <c r="C146" s="2">
        <v>1</v>
      </c>
      <c r="D146" s="12">
        <v>54</v>
      </c>
      <c r="E146" s="12">
        <v>7</v>
      </c>
      <c r="F146" s="63">
        <v>0.01</v>
      </c>
      <c r="G146" s="63">
        <v>0.32</v>
      </c>
      <c r="H146" s="63">
        <v>0.64</v>
      </c>
      <c r="I146" s="63">
        <v>0.04</v>
      </c>
      <c r="J146" s="63">
        <v>0.41</v>
      </c>
      <c r="K146" s="63">
        <v>0.47</v>
      </c>
      <c r="L146" s="63">
        <v>0.52</v>
      </c>
      <c r="M146" s="25">
        <v>58</v>
      </c>
      <c r="N146" s="25">
        <v>8</v>
      </c>
      <c r="O146" s="61">
        <v>0</v>
      </c>
      <c r="P146" s="61">
        <v>0.16</v>
      </c>
      <c r="Q146" s="61">
        <v>0.66</v>
      </c>
      <c r="R146" s="61">
        <v>0.18</v>
      </c>
      <c r="S146" s="61">
        <v>0.34</v>
      </c>
      <c r="T146" s="61">
        <v>0.42</v>
      </c>
      <c r="U146" s="61">
        <v>0.39</v>
      </c>
      <c r="V146" s="12">
        <v>56</v>
      </c>
      <c r="W146" s="12">
        <v>8</v>
      </c>
      <c r="X146" s="66">
        <v>0.01</v>
      </c>
      <c r="Y146" s="66">
        <v>0.24</v>
      </c>
      <c r="Z146" s="66">
        <v>0.62</v>
      </c>
      <c r="AA146" s="66">
        <v>0.13</v>
      </c>
      <c r="AB146" s="66">
        <v>0.42</v>
      </c>
      <c r="AC146" s="66">
        <v>0.44</v>
      </c>
      <c r="AD146" s="66">
        <v>0.45</v>
      </c>
      <c r="AE146" s="12">
        <v>57</v>
      </c>
      <c r="AF146" s="12">
        <v>8</v>
      </c>
      <c r="AG146" s="63">
        <v>0.01</v>
      </c>
      <c r="AH146" s="63">
        <v>0.17</v>
      </c>
      <c r="AI146" s="63">
        <v>0.66</v>
      </c>
      <c r="AJ146" s="63">
        <v>0.17</v>
      </c>
      <c r="AK146" s="63">
        <v>0.36</v>
      </c>
      <c r="AL146" s="63">
        <v>0.31</v>
      </c>
      <c r="AM146" s="63">
        <v>0.38</v>
      </c>
      <c r="AN146" s="35">
        <v>58</v>
      </c>
      <c r="AO146" s="35">
        <v>8</v>
      </c>
      <c r="AP146" s="40">
        <v>0.01</v>
      </c>
      <c r="AQ146" s="40">
        <v>0.17</v>
      </c>
      <c r="AR146" s="40">
        <v>0.66</v>
      </c>
      <c r="AS146" s="40">
        <v>0.15</v>
      </c>
      <c r="AT146" s="40">
        <v>0.41</v>
      </c>
      <c r="AU146" s="40">
        <v>0.3</v>
      </c>
      <c r="AV146" s="40">
        <v>0.35</v>
      </c>
      <c r="AW146" s="246">
        <v>58</v>
      </c>
      <c r="AX146" s="246" t="s">
        <v>758</v>
      </c>
      <c r="AY146" s="246">
        <v>9</v>
      </c>
      <c r="AZ146" s="246" t="s">
        <v>758</v>
      </c>
      <c r="BA146" s="263">
        <v>0</v>
      </c>
      <c r="BB146" s="263">
        <v>0.24</v>
      </c>
      <c r="BC146" s="263">
        <v>0.54</v>
      </c>
      <c r="BD146" s="263">
        <v>0.22</v>
      </c>
      <c r="BE146" s="263">
        <v>0.37</v>
      </c>
      <c r="BF146" s="263">
        <v>0.27</v>
      </c>
      <c r="BG146" s="263">
        <v>0.49</v>
      </c>
      <c r="BH146" s="309">
        <v>59</v>
      </c>
      <c r="BI146" s="309" t="s">
        <v>758</v>
      </c>
      <c r="BJ146" s="309">
        <v>9</v>
      </c>
      <c r="BK146" s="309" t="s">
        <v>758</v>
      </c>
      <c r="BL146" s="327">
        <v>0</v>
      </c>
      <c r="BM146" s="327">
        <v>0.17</v>
      </c>
      <c r="BN146" s="327">
        <v>0.65</v>
      </c>
      <c r="BO146" s="327">
        <v>0.18</v>
      </c>
      <c r="BP146" s="327">
        <v>0.39</v>
      </c>
      <c r="BQ146" s="327">
        <v>0.27</v>
      </c>
      <c r="BR146" s="327">
        <v>0.38</v>
      </c>
      <c r="BS146" s="424">
        <v>59</v>
      </c>
      <c r="BT146" s="424" t="s">
        <v>758</v>
      </c>
      <c r="BU146" s="424">
        <v>9</v>
      </c>
      <c r="BV146" s="424" t="s">
        <v>758</v>
      </c>
      <c r="BW146" s="428">
        <v>0</v>
      </c>
      <c r="BX146" s="428">
        <v>0.17</v>
      </c>
      <c r="BY146" s="428">
        <v>0.55000000000000004</v>
      </c>
      <c r="BZ146" s="428">
        <v>0.28000000000000003</v>
      </c>
      <c r="CA146" s="428">
        <v>0.27</v>
      </c>
      <c r="CB146" s="428">
        <v>0.38</v>
      </c>
      <c r="CC146" s="428">
        <v>0.4</v>
      </c>
      <c r="CD146" s="464">
        <v>57</v>
      </c>
      <c r="CE146" s="464" t="s">
        <v>758</v>
      </c>
      <c r="CF146" s="464">
        <v>9</v>
      </c>
      <c r="CG146" s="464" t="s">
        <v>758</v>
      </c>
      <c r="CH146" s="476">
        <v>0.02</v>
      </c>
      <c r="CI146" s="476">
        <v>0.15</v>
      </c>
      <c r="CJ146" s="476">
        <v>0.69</v>
      </c>
      <c r="CK146" s="476">
        <v>0.15</v>
      </c>
      <c r="CL146" s="476">
        <v>0.39</v>
      </c>
      <c r="CM146" s="476">
        <v>0.4</v>
      </c>
      <c r="CN146" s="476">
        <v>0.28999999999999998</v>
      </c>
      <c r="CO146" s="902">
        <v>60</v>
      </c>
      <c r="CP146" s="902" t="s">
        <v>758</v>
      </c>
      <c r="CQ146" s="902">
        <v>9</v>
      </c>
      <c r="CR146" s="902" t="s">
        <v>758</v>
      </c>
      <c r="CS146" s="949">
        <v>0</v>
      </c>
      <c r="CT146" s="949">
        <v>0.12</v>
      </c>
      <c r="CU146" s="949">
        <v>0.68</v>
      </c>
      <c r="CV146" s="949">
        <v>0.2</v>
      </c>
      <c r="CW146" s="949">
        <v>0.24</v>
      </c>
      <c r="CX146" s="949">
        <v>0.35</v>
      </c>
      <c r="CY146" s="949">
        <v>0.42</v>
      </c>
      <c r="CZ146" s="26">
        <v>325754003410</v>
      </c>
      <c r="DA146" s="803" t="s">
        <v>42</v>
      </c>
    </row>
    <row r="147" spans="1:105" ht="24.95" customHeight="1" x14ac:dyDescent="0.2">
      <c r="A147" s="803" t="s">
        <v>774</v>
      </c>
      <c r="B147" s="1" t="s">
        <v>123</v>
      </c>
      <c r="C147" s="2">
        <v>6</v>
      </c>
      <c r="D147" s="12"/>
      <c r="E147" s="12"/>
      <c r="F147" s="63"/>
      <c r="G147" s="63"/>
      <c r="H147" s="63"/>
      <c r="I147" s="63"/>
      <c r="J147" s="63"/>
      <c r="K147" s="63"/>
      <c r="L147" s="63"/>
      <c r="M147" s="25"/>
      <c r="N147" s="25"/>
      <c r="O147" s="61"/>
      <c r="P147" s="61"/>
      <c r="Q147" s="61"/>
      <c r="R147" s="61"/>
      <c r="S147" s="61"/>
      <c r="T147" s="61"/>
      <c r="U147" s="61"/>
      <c r="V147" s="12"/>
      <c r="W147" s="12"/>
      <c r="X147" s="66"/>
      <c r="Y147" s="66"/>
      <c r="Z147" s="66"/>
      <c r="AA147" s="66"/>
      <c r="AB147" s="66"/>
      <c r="AC147" s="66"/>
      <c r="AD147" s="66"/>
      <c r="AE147" s="12"/>
      <c r="AF147" s="12"/>
      <c r="AG147" s="63"/>
      <c r="AH147" s="63"/>
      <c r="AI147" s="63"/>
      <c r="AJ147" s="63"/>
      <c r="AK147" s="63"/>
      <c r="AL147" s="63"/>
      <c r="AM147" s="63"/>
      <c r="AN147" s="35"/>
      <c r="AO147" s="35"/>
      <c r="AP147" s="40"/>
      <c r="AQ147" s="40"/>
      <c r="AR147" s="40"/>
      <c r="AS147" s="40"/>
      <c r="AT147" s="40"/>
      <c r="AU147" s="40"/>
      <c r="AV147" s="40"/>
      <c r="AW147" s="246"/>
      <c r="AX147" s="246"/>
      <c r="AY147" s="246"/>
      <c r="AZ147" s="246"/>
      <c r="BA147" s="263"/>
      <c r="BB147" s="263"/>
      <c r="BC147" s="263"/>
      <c r="BD147" s="263"/>
      <c r="BE147" s="263"/>
      <c r="BF147" s="263"/>
      <c r="BG147" s="263"/>
      <c r="BH147" s="309">
        <v>49</v>
      </c>
      <c r="BI147" s="309" t="s">
        <v>758</v>
      </c>
      <c r="BJ147" s="309">
        <v>10</v>
      </c>
      <c r="BK147" s="309" t="s">
        <v>758</v>
      </c>
      <c r="BL147" s="327">
        <v>0.14000000000000001</v>
      </c>
      <c r="BM147" s="327">
        <v>0.43</v>
      </c>
      <c r="BN147" s="327">
        <v>0.43</v>
      </c>
      <c r="BO147" s="327">
        <v>0</v>
      </c>
      <c r="BP147" s="327">
        <v>0.54</v>
      </c>
      <c r="BQ147" s="327">
        <v>0.43</v>
      </c>
      <c r="BR147" s="327">
        <v>0.52</v>
      </c>
      <c r="BS147" s="424">
        <v>45</v>
      </c>
      <c r="BT147" s="424" t="s">
        <v>760</v>
      </c>
      <c r="BU147" s="424">
        <v>7</v>
      </c>
      <c r="BV147" s="424" t="s">
        <v>758</v>
      </c>
      <c r="BW147" s="428">
        <v>0</v>
      </c>
      <c r="BX147" s="428">
        <v>0.83</v>
      </c>
      <c r="BY147" s="428">
        <v>0.17</v>
      </c>
      <c r="BZ147" s="428">
        <v>0</v>
      </c>
      <c r="CA147" s="428">
        <v>0.52</v>
      </c>
      <c r="CB147" s="428">
        <v>0.67</v>
      </c>
      <c r="CC147" s="428">
        <v>0.63</v>
      </c>
      <c r="CD147" s="464">
        <v>45</v>
      </c>
      <c r="CE147" s="464" t="s">
        <v>760</v>
      </c>
      <c r="CF147" s="464">
        <v>14</v>
      </c>
      <c r="CG147" s="464" t="s">
        <v>759</v>
      </c>
      <c r="CH147" s="476">
        <v>0.25</v>
      </c>
      <c r="CI147" s="476">
        <v>0.25</v>
      </c>
      <c r="CJ147" s="476">
        <v>0.5</v>
      </c>
      <c r="CK147" s="476">
        <v>0</v>
      </c>
      <c r="CL147" s="476">
        <v>0.54</v>
      </c>
      <c r="CM147" s="476">
        <v>0.61</v>
      </c>
      <c r="CN147" s="476">
        <v>0.42</v>
      </c>
      <c r="CO147" s="902">
        <v>50</v>
      </c>
      <c r="CP147" s="902" t="s">
        <v>758</v>
      </c>
      <c r="CQ147" s="902">
        <v>8</v>
      </c>
      <c r="CR147" s="902" t="s">
        <v>758</v>
      </c>
      <c r="CS147" s="949">
        <v>0.02</v>
      </c>
      <c r="CT147" s="949">
        <v>0.51</v>
      </c>
      <c r="CU147" s="949">
        <v>0.44</v>
      </c>
      <c r="CV147" s="949">
        <v>0.02</v>
      </c>
      <c r="CW147" s="949">
        <v>0.43</v>
      </c>
      <c r="CX147" s="949">
        <v>0.51</v>
      </c>
      <c r="CY147" s="949">
        <v>0.61</v>
      </c>
      <c r="CZ147" s="26">
        <v>325754005498</v>
      </c>
      <c r="DA147" s="803" t="s">
        <v>774</v>
      </c>
    </row>
    <row r="148" spans="1:105" ht="24.95" customHeight="1" x14ac:dyDescent="0.2">
      <c r="A148" s="804" t="s">
        <v>24</v>
      </c>
      <c r="B148" s="1" t="s">
        <v>123</v>
      </c>
      <c r="C148" s="309">
        <v>6</v>
      </c>
      <c r="D148" s="328">
        <v>56</v>
      </c>
      <c r="E148" s="328">
        <v>9</v>
      </c>
      <c r="F148" s="327">
        <v>0</v>
      </c>
      <c r="G148" s="327">
        <v>0.36</v>
      </c>
      <c r="H148" s="327">
        <v>0.55000000000000004</v>
      </c>
      <c r="I148" s="327">
        <v>0.09</v>
      </c>
      <c r="J148" s="327">
        <v>0.31</v>
      </c>
      <c r="K148" s="327">
        <v>0.4</v>
      </c>
      <c r="L148" s="327">
        <v>0.55000000000000004</v>
      </c>
      <c r="M148" s="329">
        <v>51</v>
      </c>
      <c r="N148" s="329">
        <v>8</v>
      </c>
      <c r="O148" s="330">
        <v>0.08</v>
      </c>
      <c r="P148" s="330">
        <v>0.33</v>
      </c>
      <c r="Q148" s="330">
        <v>0.57999999999999996</v>
      </c>
      <c r="R148" s="330">
        <v>0</v>
      </c>
      <c r="S148" s="330">
        <v>0.54</v>
      </c>
      <c r="T148" s="330">
        <v>0.45</v>
      </c>
      <c r="U148" s="330">
        <v>0.57999999999999996</v>
      </c>
      <c r="V148" s="328">
        <v>54</v>
      </c>
      <c r="W148" s="328">
        <v>11</v>
      </c>
      <c r="X148" s="333">
        <v>0</v>
      </c>
      <c r="Y148" s="333">
        <v>0.63</v>
      </c>
      <c r="Z148" s="333">
        <v>0.13</v>
      </c>
      <c r="AA148" s="333">
        <v>0.25</v>
      </c>
      <c r="AB148" s="333">
        <v>0.48</v>
      </c>
      <c r="AC148" s="333">
        <v>0.55000000000000004</v>
      </c>
      <c r="AD148" s="333">
        <v>0.47</v>
      </c>
      <c r="AE148" s="328">
        <v>53</v>
      </c>
      <c r="AF148" s="328">
        <v>8</v>
      </c>
      <c r="AG148" s="327">
        <v>0</v>
      </c>
      <c r="AH148" s="327">
        <v>0.5</v>
      </c>
      <c r="AI148" s="327">
        <v>0.5</v>
      </c>
      <c r="AJ148" s="327">
        <v>0</v>
      </c>
      <c r="AK148" s="327">
        <v>0.55000000000000004</v>
      </c>
      <c r="AL148" s="327">
        <v>0.33</v>
      </c>
      <c r="AM148" s="327">
        <v>0.31</v>
      </c>
      <c r="AN148" s="311">
        <v>52</v>
      </c>
      <c r="AO148" s="311">
        <v>4</v>
      </c>
      <c r="AP148" s="331">
        <v>0</v>
      </c>
      <c r="AQ148" s="331">
        <v>0.5</v>
      </c>
      <c r="AR148" s="331">
        <v>0.5</v>
      </c>
      <c r="AS148" s="331">
        <v>0</v>
      </c>
      <c r="AT148" s="331">
        <v>0.48</v>
      </c>
      <c r="AU148" s="331">
        <v>0.4</v>
      </c>
      <c r="AV148" s="331">
        <v>0.55000000000000004</v>
      </c>
      <c r="AW148" s="312">
        <v>59</v>
      </c>
      <c r="AX148" s="312" t="s">
        <v>758</v>
      </c>
      <c r="AY148" s="312">
        <v>8</v>
      </c>
      <c r="AZ148" s="312" t="s">
        <v>758</v>
      </c>
      <c r="BA148" s="332">
        <v>0</v>
      </c>
      <c r="BB148" s="332">
        <v>0.2</v>
      </c>
      <c r="BC148" s="332">
        <v>0.8</v>
      </c>
      <c r="BD148" s="332">
        <v>0</v>
      </c>
      <c r="BE148" s="332">
        <v>0.38</v>
      </c>
      <c r="BF148" s="332">
        <v>0.23</v>
      </c>
      <c r="BG148" s="332">
        <v>0.5</v>
      </c>
      <c r="BH148" s="309">
        <v>52</v>
      </c>
      <c r="BI148" s="309" t="s">
        <v>758</v>
      </c>
      <c r="BJ148" s="309">
        <v>5</v>
      </c>
      <c r="BK148" s="309" t="s">
        <v>760</v>
      </c>
      <c r="BL148" s="327">
        <v>0</v>
      </c>
      <c r="BM148" s="327">
        <v>0.3</v>
      </c>
      <c r="BN148" s="327">
        <v>0.7</v>
      </c>
      <c r="BO148" s="327">
        <v>0</v>
      </c>
      <c r="BP148" s="327">
        <v>0.53</v>
      </c>
      <c r="BQ148" s="327">
        <v>0.43</v>
      </c>
      <c r="BR148" s="327">
        <v>0.43</v>
      </c>
      <c r="BS148" s="424">
        <v>54</v>
      </c>
      <c r="BT148" s="424" t="s">
        <v>758</v>
      </c>
      <c r="BU148" s="424">
        <v>6</v>
      </c>
      <c r="BV148" s="424" t="s">
        <v>758</v>
      </c>
      <c r="BW148" s="428">
        <v>0</v>
      </c>
      <c r="BX148" s="428">
        <v>0.43</v>
      </c>
      <c r="BY148" s="428">
        <v>0.56999999999999995</v>
      </c>
      <c r="BZ148" s="428">
        <v>0</v>
      </c>
      <c r="CA148" s="428">
        <v>0.37</v>
      </c>
      <c r="CB148" s="428">
        <v>0.43</v>
      </c>
      <c r="CC148" s="428">
        <v>0.52</v>
      </c>
      <c r="CD148" s="464">
        <v>53</v>
      </c>
      <c r="CE148" s="464" t="s">
        <v>758</v>
      </c>
      <c r="CF148" s="464">
        <v>6</v>
      </c>
      <c r="CG148" s="464" t="s">
        <v>758</v>
      </c>
      <c r="CH148" s="476">
        <v>0</v>
      </c>
      <c r="CI148" s="476">
        <v>0.3</v>
      </c>
      <c r="CJ148" s="476">
        <v>0.7</v>
      </c>
      <c r="CK148" s="476">
        <v>0</v>
      </c>
      <c r="CL148" s="476">
        <v>0.46</v>
      </c>
      <c r="CM148" s="476">
        <v>0.47</v>
      </c>
      <c r="CN148" s="476">
        <v>0.36</v>
      </c>
      <c r="CO148" s="902">
        <v>55</v>
      </c>
      <c r="CP148" s="902" t="s">
        <v>758</v>
      </c>
      <c r="CQ148" s="902">
        <v>8</v>
      </c>
      <c r="CR148" s="902" t="s">
        <v>758</v>
      </c>
      <c r="CS148" s="949">
        <v>0</v>
      </c>
      <c r="CT148" s="949">
        <v>0.24</v>
      </c>
      <c r="CU148" s="949">
        <v>0.62</v>
      </c>
      <c r="CV148" s="949">
        <v>0.14000000000000001</v>
      </c>
      <c r="CW148" s="949">
        <v>0.33</v>
      </c>
      <c r="CX148" s="949">
        <v>0.41</v>
      </c>
      <c r="CY148" s="949">
        <v>0.5</v>
      </c>
      <c r="CZ148" s="26">
        <v>325754004050</v>
      </c>
      <c r="DA148" s="804" t="s">
        <v>24</v>
      </c>
    </row>
    <row r="149" spans="1:105" ht="24.95" customHeight="1" x14ac:dyDescent="0.2">
      <c r="A149" s="803" t="s">
        <v>36</v>
      </c>
      <c r="B149" s="1" t="s">
        <v>123</v>
      </c>
      <c r="C149" s="2">
        <v>6</v>
      </c>
      <c r="D149" s="12">
        <v>57</v>
      </c>
      <c r="E149" s="12">
        <v>7</v>
      </c>
      <c r="F149" s="63">
        <v>0</v>
      </c>
      <c r="G149" s="63">
        <v>0.28000000000000003</v>
      </c>
      <c r="H149" s="63">
        <v>0.61</v>
      </c>
      <c r="I149" s="63">
        <v>0.11</v>
      </c>
      <c r="J149" s="63">
        <v>0.41</v>
      </c>
      <c r="K149" s="63">
        <v>0.4</v>
      </c>
      <c r="L149" s="63">
        <v>0.51</v>
      </c>
      <c r="M149" s="25">
        <v>59</v>
      </c>
      <c r="N149" s="25">
        <v>8</v>
      </c>
      <c r="O149" s="61">
        <v>0</v>
      </c>
      <c r="P149" s="61">
        <v>0.14000000000000001</v>
      </c>
      <c r="Q149" s="61">
        <v>0.6</v>
      </c>
      <c r="R149" s="61">
        <v>0.26</v>
      </c>
      <c r="S149" s="61">
        <v>0.36</v>
      </c>
      <c r="T149" s="61">
        <v>0.41</v>
      </c>
      <c r="U149" s="61">
        <v>0.34</v>
      </c>
      <c r="V149" s="12">
        <v>58</v>
      </c>
      <c r="W149" s="12">
        <v>7</v>
      </c>
      <c r="X149" s="66">
        <v>0</v>
      </c>
      <c r="Y149" s="66">
        <v>0.12</v>
      </c>
      <c r="Z149" s="66">
        <v>0.76</v>
      </c>
      <c r="AA149" s="66">
        <v>0.12</v>
      </c>
      <c r="AB149" s="66">
        <v>0.34</v>
      </c>
      <c r="AC149" s="66">
        <v>0.41</v>
      </c>
      <c r="AD149" s="66">
        <v>0.46</v>
      </c>
      <c r="AE149" s="12">
        <v>59</v>
      </c>
      <c r="AF149" s="12">
        <v>9</v>
      </c>
      <c r="AG149" s="63">
        <v>0</v>
      </c>
      <c r="AH149" s="63">
        <v>0.17</v>
      </c>
      <c r="AI149" s="63">
        <v>0.6</v>
      </c>
      <c r="AJ149" s="63">
        <v>0.23</v>
      </c>
      <c r="AK149" s="63">
        <v>0.31</v>
      </c>
      <c r="AL149" s="63">
        <v>0.33</v>
      </c>
      <c r="AM149" s="63">
        <v>0.32</v>
      </c>
      <c r="AN149" s="35">
        <v>57</v>
      </c>
      <c r="AO149" s="35">
        <v>8</v>
      </c>
      <c r="AP149" s="40">
        <v>0</v>
      </c>
      <c r="AQ149" s="40">
        <v>0.24</v>
      </c>
      <c r="AR149" s="40">
        <v>0.6</v>
      </c>
      <c r="AS149" s="40">
        <v>0.16</v>
      </c>
      <c r="AT149" s="40">
        <v>0.37</v>
      </c>
      <c r="AU149" s="40">
        <v>0.28999999999999998</v>
      </c>
      <c r="AV149" s="40">
        <v>0.39</v>
      </c>
      <c r="AW149" s="246">
        <v>61</v>
      </c>
      <c r="AX149" s="246" t="s">
        <v>758</v>
      </c>
      <c r="AY149" s="246">
        <v>6</v>
      </c>
      <c r="AZ149" s="246" t="s">
        <v>758</v>
      </c>
      <c r="BA149" s="263">
        <v>0</v>
      </c>
      <c r="BB149" s="263">
        <v>0.03</v>
      </c>
      <c r="BC149" s="263">
        <v>0.71</v>
      </c>
      <c r="BD149" s="263">
        <v>0.26</v>
      </c>
      <c r="BE149" s="263">
        <v>0.32</v>
      </c>
      <c r="BF149" s="263">
        <v>0.25</v>
      </c>
      <c r="BG149" s="263">
        <v>0.42</v>
      </c>
      <c r="BH149" s="309">
        <v>61</v>
      </c>
      <c r="BI149" s="309" t="s">
        <v>758</v>
      </c>
      <c r="BJ149" s="309">
        <v>7</v>
      </c>
      <c r="BK149" s="309" t="s">
        <v>758</v>
      </c>
      <c r="BL149" s="327">
        <v>0</v>
      </c>
      <c r="BM149" s="327">
        <v>0.08</v>
      </c>
      <c r="BN149" s="327">
        <v>0.65</v>
      </c>
      <c r="BO149" s="327">
        <v>0.27</v>
      </c>
      <c r="BP149" s="327">
        <v>0.34</v>
      </c>
      <c r="BQ149" s="327">
        <v>0.2</v>
      </c>
      <c r="BR149" s="327">
        <v>0.33</v>
      </c>
      <c r="BS149" s="424">
        <v>65</v>
      </c>
      <c r="BT149" s="424" t="s">
        <v>759</v>
      </c>
      <c r="BU149" s="424">
        <v>8</v>
      </c>
      <c r="BV149" s="424" t="s">
        <v>758</v>
      </c>
      <c r="BW149" s="428">
        <v>0</v>
      </c>
      <c r="BX149" s="428">
        <v>0.04</v>
      </c>
      <c r="BY149" s="428">
        <v>0.56999999999999995</v>
      </c>
      <c r="BZ149" s="428">
        <v>0.39</v>
      </c>
      <c r="CA149" s="428">
        <v>0.22</v>
      </c>
      <c r="CB149" s="428">
        <v>0.28999999999999998</v>
      </c>
      <c r="CC149" s="428">
        <v>0.28000000000000003</v>
      </c>
      <c r="CD149" s="464">
        <v>62</v>
      </c>
      <c r="CE149" s="464" t="s">
        <v>758</v>
      </c>
      <c r="CF149" s="464">
        <v>6</v>
      </c>
      <c r="CG149" s="464" t="s">
        <v>758</v>
      </c>
      <c r="CH149" s="476">
        <v>0</v>
      </c>
      <c r="CI149" s="476">
        <v>0.05</v>
      </c>
      <c r="CJ149" s="476">
        <v>0.76</v>
      </c>
      <c r="CK149" s="476">
        <v>0.19</v>
      </c>
      <c r="CL149" s="476">
        <v>0.37</v>
      </c>
      <c r="CM149" s="476">
        <v>0.32</v>
      </c>
      <c r="CN149" s="476">
        <v>0.2</v>
      </c>
      <c r="CO149" s="902">
        <v>61</v>
      </c>
      <c r="CP149" s="902" t="s">
        <v>758</v>
      </c>
      <c r="CQ149" s="902">
        <v>8</v>
      </c>
      <c r="CR149" s="902" t="s">
        <v>758</v>
      </c>
      <c r="CS149" s="949">
        <v>0</v>
      </c>
      <c r="CT149" s="949">
        <v>0.04</v>
      </c>
      <c r="CU149" s="949">
        <v>0.65</v>
      </c>
      <c r="CV149" s="949">
        <v>0.31</v>
      </c>
      <c r="CW149" s="949">
        <v>0.21</v>
      </c>
      <c r="CX149" s="949">
        <v>0.33</v>
      </c>
      <c r="CY149" s="949">
        <v>0.4</v>
      </c>
      <c r="CZ149" s="26">
        <v>425754001551</v>
      </c>
      <c r="DA149" s="803" t="s">
        <v>36</v>
      </c>
    </row>
    <row r="150" spans="1:105" ht="24.95" customHeight="1" x14ac:dyDescent="0.2">
      <c r="A150" s="803" t="s">
        <v>728</v>
      </c>
      <c r="B150" s="1" t="s">
        <v>123</v>
      </c>
      <c r="C150" s="2">
        <v>4</v>
      </c>
      <c r="D150" s="12"/>
      <c r="E150" s="12"/>
      <c r="F150" s="63"/>
      <c r="G150" s="63"/>
      <c r="H150" s="63"/>
      <c r="I150" s="63"/>
      <c r="J150" s="63"/>
      <c r="K150" s="63"/>
      <c r="L150" s="63"/>
      <c r="M150" s="25"/>
      <c r="N150" s="25"/>
      <c r="O150" s="61"/>
      <c r="P150" s="61"/>
      <c r="Q150" s="61"/>
      <c r="R150" s="61"/>
      <c r="S150" s="61"/>
      <c r="T150" s="61"/>
      <c r="U150" s="61"/>
      <c r="V150" s="12"/>
      <c r="W150" s="12"/>
      <c r="X150" s="66"/>
      <c r="Y150" s="66"/>
      <c r="Z150" s="66"/>
      <c r="AA150" s="66"/>
      <c r="AB150" s="66"/>
      <c r="AC150" s="66"/>
      <c r="AD150" s="66"/>
      <c r="AE150" s="12"/>
      <c r="AF150" s="12"/>
      <c r="AG150" s="63"/>
      <c r="AH150" s="63"/>
      <c r="AI150" s="63"/>
      <c r="AJ150" s="63"/>
      <c r="AK150" s="63"/>
      <c r="AL150" s="63"/>
      <c r="AM150" s="63"/>
      <c r="AN150" s="35"/>
      <c r="AO150" s="35"/>
      <c r="AP150" s="40"/>
      <c r="AQ150" s="40"/>
      <c r="AR150" s="40"/>
      <c r="AS150" s="40"/>
      <c r="AT150" s="40"/>
      <c r="AU150" s="40"/>
      <c r="AV150" s="40"/>
      <c r="AW150" s="646"/>
      <c r="AX150" s="646"/>
      <c r="AY150" s="646"/>
      <c r="AZ150" s="646"/>
      <c r="BA150" s="646"/>
      <c r="BB150" s="646"/>
      <c r="BC150" s="646"/>
      <c r="BD150" s="646"/>
      <c r="BE150" s="646"/>
      <c r="BF150" s="646"/>
      <c r="BG150" s="646"/>
      <c r="BH150" s="649"/>
      <c r="BI150" s="649"/>
      <c r="BJ150" s="649"/>
      <c r="BK150" s="649"/>
      <c r="BL150" s="649"/>
      <c r="BM150" s="649"/>
      <c r="BN150" s="649"/>
      <c r="BO150" s="649"/>
      <c r="BP150" s="649"/>
      <c r="BQ150" s="649"/>
      <c r="BR150" s="649"/>
      <c r="BS150" s="424">
        <v>56</v>
      </c>
      <c r="BT150" s="424" t="s">
        <v>758</v>
      </c>
      <c r="BU150" s="424">
        <v>6</v>
      </c>
      <c r="BV150" s="424" t="s">
        <v>758</v>
      </c>
      <c r="BW150" s="428">
        <v>0</v>
      </c>
      <c r="BX150" s="428">
        <v>0.13</v>
      </c>
      <c r="BY150" s="428">
        <v>0.88</v>
      </c>
      <c r="BZ150" s="428">
        <v>0</v>
      </c>
      <c r="CA150" s="428">
        <v>0.33</v>
      </c>
      <c r="CB150" s="428">
        <v>0.44</v>
      </c>
      <c r="CC150" s="428">
        <v>0.46</v>
      </c>
      <c r="CD150" s="641"/>
      <c r="CE150" s="641"/>
      <c r="CF150" s="641"/>
      <c r="CG150" s="641"/>
      <c r="CH150" s="642"/>
      <c r="CI150" s="642"/>
      <c r="CJ150" s="642"/>
      <c r="CK150" s="642"/>
      <c r="CL150" s="642"/>
      <c r="CM150" s="642"/>
      <c r="CN150" s="642"/>
      <c r="CO150" s="902">
        <v>57</v>
      </c>
      <c r="CP150" s="902" t="s">
        <v>758</v>
      </c>
      <c r="CQ150" s="902">
        <v>11</v>
      </c>
      <c r="CR150" s="902" t="s">
        <v>758</v>
      </c>
      <c r="CS150" s="949">
        <v>0</v>
      </c>
      <c r="CT150" s="949">
        <v>0.33</v>
      </c>
      <c r="CU150" s="949">
        <v>0.5</v>
      </c>
      <c r="CV150" s="949">
        <v>0.17</v>
      </c>
      <c r="CW150" s="949">
        <v>0.32</v>
      </c>
      <c r="CX150" s="949">
        <v>0.44</v>
      </c>
      <c r="CY150" s="949">
        <v>0.43</v>
      </c>
      <c r="CZ150" s="26">
        <v>325754004203</v>
      </c>
      <c r="DA150" s="803" t="s">
        <v>728</v>
      </c>
    </row>
    <row r="151" spans="1:105" ht="24.95" customHeight="1" x14ac:dyDescent="0.2">
      <c r="A151" s="803" t="s">
        <v>80</v>
      </c>
      <c r="B151" s="1" t="s">
        <v>123</v>
      </c>
      <c r="C151" s="2">
        <v>2</v>
      </c>
      <c r="D151" s="12">
        <v>49</v>
      </c>
      <c r="E151" s="12">
        <v>8</v>
      </c>
      <c r="F151" s="63">
        <v>0.06</v>
      </c>
      <c r="G151" s="63">
        <v>0.63</v>
      </c>
      <c r="H151" s="63">
        <v>0.31</v>
      </c>
      <c r="I151" s="63">
        <v>0</v>
      </c>
      <c r="J151" s="63">
        <v>0.5</v>
      </c>
      <c r="K151" s="63">
        <v>0.54</v>
      </c>
      <c r="L151" s="63">
        <v>0.64</v>
      </c>
      <c r="M151" s="25">
        <v>58</v>
      </c>
      <c r="N151" s="25">
        <v>10</v>
      </c>
      <c r="O151" s="61">
        <v>0</v>
      </c>
      <c r="P151" s="61">
        <v>0.11</v>
      </c>
      <c r="Q151" s="61">
        <v>0.67</v>
      </c>
      <c r="R151" s="61">
        <v>0.22</v>
      </c>
      <c r="S151" s="61">
        <v>0.36</v>
      </c>
      <c r="T151" s="61">
        <v>0.43</v>
      </c>
      <c r="U151" s="61">
        <v>0.43</v>
      </c>
      <c r="V151" s="12">
        <v>53</v>
      </c>
      <c r="W151" s="12">
        <v>7</v>
      </c>
      <c r="X151" s="66">
        <v>0</v>
      </c>
      <c r="Y151" s="66">
        <v>0.47</v>
      </c>
      <c r="Z151" s="66">
        <v>0.47</v>
      </c>
      <c r="AA151" s="66">
        <v>7.0000000000000007E-2</v>
      </c>
      <c r="AB151" s="66">
        <v>0.51</v>
      </c>
      <c r="AC151" s="66">
        <v>0.44</v>
      </c>
      <c r="AD151" s="66">
        <v>0.44</v>
      </c>
      <c r="AE151" s="12">
        <v>48</v>
      </c>
      <c r="AF151" s="12">
        <v>10</v>
      </c>
      <c r="AG151" s="63">
        <v>0</v>
      </c>
      <c r="AH151" s="63">
        <v>0.64</v>
      </c>
      <c r="AI151" s="63">
        <v>0.27</v>
      </c>
      <c r="AJ151" s="63">
        <v>0.09</v>
      </c>
      <c r="AK151" s="63">
        <v>0.5</v>
      </c>
      <c r="AL151" s="63">
        <v>0.51</v>
      </c>
      <c r="AM151" s="63">
        <v>0.52</v>
      </c>
      <c r="AN151" s="35">
        <v>52</v>
      </c>
      <c r="AO151" s="35">
        <v>11</v>
      </c>
      <c r="AP151" s="40">
        <v>0</v>
      </c>
      <c r="AQ151" s="40">
        <v>0.43</v>
      </c>
      <c r="AR151" s="40">
        <v>0.5</v>
      </c>
      <c r="AS151" s="40">
        <v>7.0000000000000007E-2</v>
      </c>
      <c r="AT151" s="40">
        <v>0.5</v>
      </c>
      <c r="AU151" s="40">
        <v>0.43</v>
      </c>
      <c r="AV151" s="40">
        <v>0.45</v>
      </c>
      <c r="AW151" s="647">
        <v>55</v>
      </c>
      <c r="AX151" s="647" t="s">
        <v>758</v>
      </c>
      <c r="AY151" s="647">
        <v>5</v>
      </c>
      <c r="AZ151" s="647" t="s">
        <v>760</v>
      </c>
      <c r="BA151" s="648">
        <v>0</v>
      </c>
      <c r="BB151" s="648">
        <v>0.31</v>
      </c>
      <c r="BC151" s="648">
        <v>0.62</v>
      </c>
      <c r="BD151" s="648">
        <v>0.08</v>
      </c>
      <c r="BE151" s="648">
        <v>0.46</v>
      </c>
      <c r="BF151" s="648">
        <v>0.28999999999999998</v>
      </c>
      <c r="BG151" s="648">
        <v>0.54</v>
      </c>
      <c r="BH151" s="74">
        <v>58</v>
      </c>
      <c r="BI151" s="74" t="s">
        <v>758</v>
      </c>
      <c r="BJ151" s="74">
        <v>4</v>
      </c>
      <c r="BK151" s="74" t="s">
        <v>760</v>
      </c>
      <c r="BL151" s="96">
        <v>0</v>
      </c>
      <c r="BM151" s="96">
        <v>7.0000000000000007E-2</v>
      </c>
      <c r="BN151" s="96">
        <v>0.93</v>
      </c>
      <c r="BO151" s="96">
        <v>0</v>
      </c>
      <c r="BP151" s="96">
        <v>0.41</v>
      </c>
      <c r="BQ151" s="96">
        <v>0.34</v>
      </c>
      <c r="BR151" s="96">
        <v>0.34</v>
      </c>
      <c r="BS151" s="424">
        <v>56</v>
      </c>
      <c r="BT151" s="424" t="s">
        <v>758</v>
      </c>
      <c r="BU151" s="424">
        <v>7</v>
      </c>
      <c r="BV151" s="424" t="s">
        <v>758</v>
      </c>
      <c r="BW151" s="428">
        <v>0</v>
      </c>
      <c r="BX151" s="428">
        <v>0.26</v>
      </c>
      <c r="BY151" s="428">
        <v>0.63</v>
      </c>
      <c r="BZ151" s="428">
        <v>0.11</v>
      </c>
      <c r="CA151" s="428">
        <v>0.33</v>
      </c>
      <c r="CB151" s="428">
        <v>0.45</v>
      </c>
      <c r="CC151" s="428">
        <v>0.47</v>
      </c>
      <c r="CD151" s="654">
        <v>58</v>
      </c>
      <c r="CE151" s="654" t="s">
        <v>758</v>
      </c>
      <c r="CF151" s="654">
        <v>10</v>
      </c>
      <c r="CG151" s="654" t="s">
        <v>758</v>
      </c>
      <c r="CH151" s="655">
        <v>0.05</v>
      </c>
      <c r="CI151" s="655">
        <v>0.16</v>
      </c>
      <c r="CJ151" s="655">
        <v>0.57999999999999996</v>
      </c>
      <c r="CK151" s="655">
        <v>0.21</v>
      </c>
      <c r="CL151" s="655">
        <v>0.42</v>
      </c>
      <c r="CM151" s="655">
        <v>0.38</v>
      </c>
      <c r="CN151" s="655">
        <v>0.28999999999999998</v>
      </c>
      <c r="CS151" s="949"/>
      <c r="CT151" s="949"/>
      <c r="CU151" s="949"/>
      <c r="CV151" s="949"/>
      <c r="CW151" s="949"/>
      <c r="CX151" s="949"/>
      <c r="CY151" s="949"/>
      <c r="CZ151" s="26"/>
      <c r="DA151" s="803" t="s">
        <v>80</v>
      </c>
    </row>
    <row r="152" spans="1:105" ht="24.95" customHeight="1" x14ac:dyDescent="0.2">
      <c r="A152" s="803" t="s">
        <v>84</v>
      </c>
      <c r="B152" s="1" t="s">
        <v>123</v>
      </c>
      <c r="C152" s="2">
        <v>5</v>
      </c>
      <c r="D152" s="12">
        <v>52</v>
      </c>
      <c r="E152" s="12">
        <v>7</v>
      </c>
      <c r="F152" s="63">
        <v>0.05</v>
      </c>
      <c r="G152" s="63">
        <v>0.43</v>
      </c>
      <c r="H152" s="63">
        <v>0.52</v>
      </c>
      <c r="I152" s="63">
        <v>0</v>
      </c>
      <c r="J152" s="63">
        <v>0.47</v>
      </c>
      <c r="K152" s="63">
        <v>0.49</v>
      </c>
      <c r="L152" s="63">
        <v>0.61</v>
      </c>
      <c r="M152" s="25">
        <v>52</v>
      </c>
      <c r="N152" s="25">
        <v>9</v>
      </c>
      <c r="O152" s="61">
        <v>0.05</v>
      </c>
      <c r="P152" s="61">
        <v>0.37</v>
      </c>
      <c r="Q152" s="61">
        <v>0.51</v>
      </c>
      <c r="R152" s="61">
        <v>7.0000000000000007E-2</v>
      </c>
      <c r="S152" s="61">
        <v>0.44</v>
      </c>
      <c r="T152" s="61">
        <v>0.49</v>
      </c>
      <c r="U152" s="61">
        <v>0.56000000000000005</v>
      </c>
      <c r="V152" s="12">
        <v>51</v>
      </c>
      <c r="W152" s="12">
        <v>9</v>
      </c>
      <c r="X152" s="66">
        <v>0.03</v>
      </c>
      <c r="Y152" s="66">
        <v>0.44</v>
      </c>
      <c r="Z152" s="66">
        <v>0.53</v>
      </c>
      <c r="AA152" s="66">
        <v>0</v>
      </c>
      <c r="AB152" s="66">
        <v>0.5</v>
      </c>
      <c r="AC152" s="66">
        <v>0.56000000000000005</v>
      </c>
      <c r="AD152" s="66">
        <v>0.5</v>
      </c>
      <c r="AE152" s="12">
        <v>55</v>
      </c>
      <c r="AF152" s="12">
        <v>8</v>
      </c>
      <c r="AG152" s="63">
        <v>0</v>
      </c>
      <c r="AH152" s="63">
        <v>0.33</v>
      </c>
      <c r="AI152" s="63">
        <v>0.54</v>
      </c>
      <c r="AJ152" s="63">
        <v>0.13</v>
      </c>
      <c r="AK152" s="63">
        <v>0.37</v>
      </c>
      <c r="AL152" s="63">
        <v>0.35</v>
      </c>
      <c r="AM152" s="63">
        <v>0.41</v>
      </c>
      <c r="AN152" s="35">
        <v>53</v>
      </c>
      <c r="AO152" s="35">
        <v>9</v>
      </c>
      <c r="AP152" s="40">
        <v>0</v>
      </c>
      <c r="AQ152" s="40">
        <v>0.48</v>
      </c>
      <c r="AR152" s="40">
        <v>0.39</v>
      </c>
      <c r="AS152" s="40">
        <v>0.13</v>
      </c>
      <c r="AT152" s="40">
        <v>0.5</v>
      </c>
      <c r="AU152" s="40">
        <v>0.36</v>
      </c>
      <c r="AV152" s="40">
        <v>0.44</v>
      </c>
      <c r="AW152" s="246">
        <v>52</v>
      </c>
      <c r="AX152" s="246" t="s">
        <v>758</v>
      </c>
      <c r="AY152" s="246">
        <v>7</v>
      </c>
      <c r="AZ152" s="246" t="s">
        <v>758</v>
      </c>
      <c r="BA152" s="263">
        <v>0</v>
      </c>
      <c r="BB152" s="263">
        <v>0.34</v>
      </c>
      <c r="BC152" s="263">
        <v>0.62</v>
      </c>
      <c r="BD152" s="263">
        <v>0.03</v>
      </c>
      <c r="BE152" s="263">
        <v>0.47</v>
      </c>
      <c r="BF152" s="263">
        <v>0.36</v>
      </c>
      <c r="BG152" s="263">
        <v>0.57999999999999996</v>
      </c>
      <c r="BH152" s="309">
        <v>53</v>
      </c>
      <c r="BI152" s="309" t="s">
        <v>758</v>
      </c>
      <c r="BJ152" s="309">
        <v>9</v>
      </c>
      <c r="BK152" s="309" t="s">
        <v>758</v>
      </c>
      <c r="BL152" s="327">
        <v>0.04</v>
      </c>
      <c r="BM152" s="327">
        <v>0.23</v>
      </c>
      <c r="BN152" s="327">
        <v>0.73</v>
      </c>
      <c r="BO152" s="327">
        <v>0</v>
      </c>
      <c r="BP152" s="327">
        <v>0.49</v>
      </c>
      <c r="BQ152" s="327">
        <v>0.33</v>
      </c>
      <c r="BR152" s="327">
        <v>0.49</v>
      </c>
      <c r="BS152" s="424">
        <v>53</v>
      </c>
      <c r="BT152" s="424" t="s">
        <v>758</v>
      </c>
      <c r="BU152" s="424">
        <v>8</v>
      </c>
      <c r="BV152" s="424" t="s">
        <v>758</v>
      </c>
      <c r="BW152" s="428">
        <v>0</v>
      </c>
      <c r="BX152" s="428">
        <v>0.4</v>
      </c>
      <c r="BY152" s="428">
        <v>0.56999999999999995</v>
      </c>
      <c r="BZ152" s="428">
        <v>0.03</v>
      </c>
      <c r="CA152" s="428">
        <v>0.35</v>
      </c>
      <c r="CB152" s="428">
        <v>0.5</v>
      </c>
      <c r="CC152" s="428">
        <v>0.55000000000000004</v>
      </c>
      <c r="CD152" s="464">
        <v>55</v>
      </c>
      <c r="CE152" s="464" t="s">
        <v>758</v>
      </c>
      <c r="CF152" s="464">
        <v>7</v>
      </c>
      <c r="CG152" s="464" t="s">
        <v>758</v>
      </c>
      <c r="CH152" s="476">
        <v>0.02</v>
      </c>
      <c r="CI152" s="476">
        <v>0.16</v>
      </c>
      <c r="CJ152" s="476">
        <v>0.8</v>
      </c>
      <c r="CK152" s="476">
        <v>0.02</v>
      </c>
      <c r="CL152" s="476">
        <v>0.42</v>
      </c>
      <c r="CM152" s="476">
        <v>0.46</v>
      </c>
      <c r="CN152" s="476">
        <v>0.36</v>
      </c>
      <c r="CO152" s="902">
        <v>53</v>
      </c>
      <c r="CP152" s="902" t="s">
        <v>758</v>
      </c>
      <c r="CQ152" s="902">
        <v>9</v>
      </c>
      <c r="CR152" s="902" t="s">
        <v>758</v>
      </c>
      <c r="CS152" s="949">
        <v>0</v>
      </c>
      <c r="CT152" s="949">
        <v>0.36</v>
      </c>
      <c r="CU152" s="949">
        <v>0.56999999999999995</v>
      </c>
      <c r="CV152" s="949">
        <v>7.0000000000000007E-2</v>
      </c>
      <c r="CW152" s="949">
        <v>0.34</v>
      </c>
      <c r="CX152" s="949">
        <v>0.46</v>
      </c>
      <c r="CY152" s="949">
        <v>0.56000000000000005</v>
      </c>
      <c r="CZ152" s="26">
        <v>325754003860</v>
      </c>
      <c r="DA152" s="803" t="s">
        <v>84</v>
      </c>
    </row>
    <row r="153" spans="1:105" ht="24.95" customHeight="1" x14ac:dyDescent="0.2">
      <c r="A153" s="803" t="s">
        <v>79</v>
      </c>
      <c r="B153" s="1" t="s">
        <v>123</v>
      </c>
      <c r="C153" s="2">
        <v>2</v>
      </c>
      <c r="D153" s="12">
        <v>53</v>
      </c>
      <c r="E153" s="12">
        <v>10</v>
      </c>
      <c r="F153" s="63">
        <v>0</v>
      </c>
      <c r="G153" s="63">
        <v>0.38</v>
      </c>
      <c r="H153" s="63">
        <v>0.63</v>
      </c>
      <c r="I153" s="63">
        <v>0</v>
      </c>
      <c r="J153" s="63">
        <v>0.35</v>
      </c>
      <c r="K153" s="63">
        <v>0.55000000000000004</v>
      </c>
      <c r="L153" s="63">
        <v>0.53</v>
      </c>
      <c r="M153" s="25">
        <v>59</v>
      </c>
      <c r="N153" s="25">
        <v>9</v>
      </c>
      <c r="O153" s="61">
        <v>0</v>
      </c>
      <c r="P153" s="61">
        <v>0.15</v>
      </c>
      <c r="Q153" s="61">
        <v>0.55000000000000004</v>
      </c>
      <c r="R153" s="61">
        <v>0.3</v>
      </c>
      <c r="S153" s="61">
        <v>0.39</v>
      </c>
      <c r="T153" s="61">
        <v>0.36</v>
      </c>
      <c r="U153" s="61">
        <v>0.37</v>
      </c>
      <c r="V153" s="12">
        <v>57</v>
      </c>
      <c r="W153" s="12">
        <v>8</v>
      </c>
      <c r="X153" s="66">
        <v>0</v>
      </c>
      <c r="Y153" s="66">
        <v>0.17</v>
      </c>
      <c r="Z153" s="66">
        <v>0.7</v>
      </c>
      <c r="AA153" s="66">
        <v>0.13</v>
      </c>
      <c r="AB153" s="66">
        <v>0.35</v>
      </c>
      <c r="AC153" s="66">
        <v>0.41</v>
      </c>
      <c r="AD153" s="66">
        <v>0.53</v>
      </c>
      <c r="AE153" s="12">
        <v>55</v>
      </c>
      <c r="AF153" s="12">
        <v>8</v>
      </c>
      <c r="AG153" s="63">
        <v>0</v>
      </c>
      <c r="AH153" s="63">
        <v>0.24</v>
      </c>
      <c r="AI153" s="63">
        <v>0.67</v>
      </c>
      <c r="AJ153" s="63">
        <v>0.09</v>
      </c>
      <c r="AK153" s="63">
        <v>0.42</v>
      </c>
      <c r="AL153" s="63">
        <v>0.33</v>
      </c>
      <c r="AM153" s="63">
        <v>0.4</v>
      </c>
      <c r="AN153" s="35">
        <v>55</v>
      </c>
      <c r="AO153" s="35">
        <v>8</v>
      </c>
      <c r="AP153" s="40">
        <v>0</v>
      </c>
      <c r="AQ153" s="40">
        <v>0.35</v>
      </c>
      <c r="AR153" s="40">
        <v>0.57999999999999996</v>
      </c>
      <c r="AS153" s="40">
        <v>0.06</v>
      </c>
      <c r="AT153" s="40">
        <v>0.43</v>
      </c>
      <c r="AU153" s="40">
        <v>0.33</v>
      </c>
      <c r="AV153" s="40">
        <v>0.4</v>
      </c>
      <c r="AW153" s="246">
        <v>53</v>
      </c>
      <c r="AX153" s="246" t="s">
        <v>758</v>
      </c>
      <c r="AY153" s="246">
        <v>6</v>
      </c>
      <c r="AZ153" s="246" t="s">
        <v>758</v>
      </c>
      <c r="BA153" s="263">
        <v>0</v>
      </c>
      <c r="BB153" s="263">
        <v>0.44</v>
      </c>
      <c r="BC153" s="263">
        <v>0.5</v>
      </c>
      <c r="BD153" s="263">
        <v>0.06</v>
      </c>
      <c r="BE153" s="263">
        <v>0.49</v>
      </c>
      <c r="BF153" s="263">
        <v>0.32</v>
      </c>
      <c r="BG153" s="263">
        <v>0.56999999999999995</v>
      </c>
      <c r="BH153" s="309">
        <v>55</v>
      </c>
      <c r="BI153" s="309" t="s">
        <v>758</v>
      </c>
      <c r="BJ153" s="309">
        <v>9</v>
      </c>
      <c r="BK153" s="309" t="s">
        <v>758</v>
      </c>
      <c r="BL153" s="327">
        <v>0</v>
      </c>
      <c r="BM153" s="327">
        <v>0.33</v>
      </c>
      <c r="BN153" s="327">
        <v>0.53</v>
      </c>
      <c r="BO153" s="327">
        <v>0.15</v>
      </c>
      <c r="BP153" s="327">
        <v>0.46</v>
      </c>
      <c r="BQ153" s="327">
        <v>0.35</v>
      </c>
      <c r="BR153" s="327">
        <v>0.44</v>
      </c>
      <c r="BS153" s="424">
        <v>54</v>
      </c>
      <c r="BT153" s="424" t="s">
        <v>758</v>
      </c>
      <c r="BU153" s="424">
        <v>10</v>
      </c>
      <c r="BV153" s="424" t="s">
        <v>758</v>
      </c>
      <c r="BW153" s="428">
        <v>0.05</v>
      </c>
      <c r="BX153" s="428">
        <v>0.22</v>
      </c>
      <c r="BY153" s="428">
        <v>0.59</v>
      </c>
      <c r="BZ153" s="428">
        <v>0.15</v>
      </c>
      <c r="CA153" s="428">
        <v>0.38</v>
      </c>
      <c r="CB153" s="428">
        <v>0.45</v>
      </c>
      <c r="CC153" s="428">
        <v>0.51</v>
      </c>
      <c r="CD153" s="464">
        <v>53</v>
      </c>
      <c r="CE153" s="464" t="s">
        <v>758</v>
      </c>
      <c r="CF153" s="464">
        <v>8</v>
      </c>
      <c r="CG153" s="464" t="s">
        <v>758</v>
      </c>
      <c r="CH153" s="476">
        <v>0</v>
      </c>
      <c r="CI153" s="476">
        <v>0.42</v>
      </c>
      <c r="CJ153" s="476">
        <v>0.53</v>
      </c>
      <c r="CK153" s="476">
        <v>0.05</v>
      </c>
      <c r="CL153" s="476">
        <v>0.49</v>
      </c>
      <c r="CM153" s="476">
        <v>0.48</v>
      </c>
      <c r="CN153" s="476">
        <v>0.33</v>
      </c>
      <c r="CO153" s="902">
        <v>58</v>
      </c>
      <c r="CP153" s="902" t="s">
        <v>758</v>
      </c>
      <c r="CQ153" s="902">
        <v>8</v>
      </c>
      <c r="CR153" s="902" t="s">
        <v>758</v>
      </c>
      <c r="CS153" s="949">
        <v>0</v>
      </c>
      <c r="CT153" s="949">
        <v>0.19</v>
      </c>
      <c r="CU153" s="949">
        <v>0.62</v>
      </c>
      <c r="CV153" s="949">
        <v>0.19</v>
      </c>
      <c r="CW153" s="949">
        <v>0.26</v>
      </c>
      <c r="CX153" s="949">
        <v>0.4</v>
      </c>
      <c r="CY153" s="949">
        <v>0.45</v>
      </c>
      <c r="CZ153" s="26">
        <v>325754001883</v>
      </c>
      <c r="DA153" s="803" t="s">
        <v>79</v>
      </c>
    </row>
    <row r="154" spans="1:105" ht="24.95" customHeight="1" x14ac:dyDescent="0.2">
      <c r="A154" s="803" t="s">
        <v>70</v>
      </c>
      <c r="B154" s="1" t="s">
        <v>123</v>
      </c>
      <c r="C154" s="2">
        <v>6</v>
      </c>
      <c r="D154" s="12">
        <v>57</v>
      </c>
      <c r="E154" s="12">
        <v>7</v>
      </c>
      <c r="F154" s="63">
        <v>0</v>
      </c>
      <c r="G154" s="63">
        <v>0.19</v>
      </c>
      <c r="H154" s="63">
        <v>0.72</v>
      </c>
      <c r="I154" s="63">
        <v>0.09</v>
      </c>
      <c r="J154" s="63">
        <v>0.38</v>
      </c>
      <c r="K154" s="63">
        <v>0.45</v>
      </c>
      <c r="L154" s="63">
        <v>0.51</v>
      </c>
      <c r="M154" s="25">
        <v>57</v>
      </c>
      <c r="N154" s="25">
        <v>8</v>
      </c>
      <c r="O154" s="61">
        <v>0</v>
      </c>
      <c r="P154" s="61">
        <v>0.2</v>
      </c>
      <c r="Q154" s="61">
        <v>0.65</v>
      </c>
      <c r="R154" s="61">
        <v>0.15</v>
      </c>
      <c r="S154" s="61">
        <v>0.36</v>
      </c>
      <c r="T154" s="61">
        <v>0.43</v>
      </c>
      <c r="U154" s="61">
        <v>0.45</v>
      </c>
      <c r="V154" s="12">
        <v>58</v>
      </c>
      <c r="W154" s="12">
        <v>9</v>
      </c>
      <c r="X154" s="66">
        <v>0.01</v>
      </c>
      <c r="Y154" s="66">
        <v>0.22</v>
      </c>
      <c r="Z154" s="66">
        <v>0.54</v>
      </c>
      <c r="AA154" s="66">
        <v>0.24</v>
      </c>
      <c r="AB154" s="66">
        <v>0.37</v>
      </c>
      <c r="AC154" s="66">
        <v>0.42</v>
      </c>
      <c r="AD154" s="66">
        <v>0.44</v>
      </c>
      <c r="AE154" s="12">
        <v>57</v>
      </c>
      <c r="AF154" s="12">
        <v>9</v>
      </c>
      <c r="AG154" s="63">
        <v>0</v>
      </c>
      <c r="AH154" s="63">
        <v>0.25</v>
      </c>
      <c r="AI154" s="63">
        <v>0.56999999999999995</v>
      </c>
      <c r="AJ154" s="63">
        <v>0.18</v>
      </c>
      <c r="AK154" s="63">
        <v>0.36</v>
      </c>
      <c r="AL154" s="63">
        <v>0.32</v>
      </c>
      <c r="AM154" s="63">
        <v>0.36</v>
      </c>
      <c r="AN154" s="35">
        <v>55</v>
      </c>
      <c r="AO154" s="35">
        <v>10</v>
      </c>
      <c r="AP154" s="40">
        <v>0.02</v>
      </c>
      <c r="AQ154" s="40">
        <v>0.28000000000000003</v>
      </c>
      <c r="AR154" s="40">
        <v>0.59</v>
      </c>
      <c r="AS154" s="40">
        <v>0.11</v>
      </c>
      <c r="AT154" s="40">
        <v>0.46</v>
      </c>
      <c r="AU154" s="40">
        <v>0.35</v>
      </c>
      <c r="AV154" s="40">
        <v>0.41</v>
      </c>
      <c r="AW154" s="246">
        <v>56</v>
      </c>
      <c r="AX154" s="246" t="s">
        <v>758</v>
      </c>
      <c r="AY154" s="246">
        <v>10</v>
      </c>
      <c r="AZ154" s="246" t="s">
        <v>758</v>
      </c>
      <c r="BA154" s="263">
        <v>0.02</v>
      </c>
      <c r="BB154" s="263">
        <v>0.26</v>
      </c>
      <c r="BC154" s="263">
        <v>0.53</v>
      </c>
      <c r="BD154" s="263">
        <v>0.19</v>
      </c>
      <c r="BE154" s="263">
        <v>0.42</v>
      </c>
      <c r="BF154" s="263">
        <v>0.3</v>
      </c>
      <c r="BG154" s="263">
        <v>0.47</v>
      </c>
      <c r="BH154" s="309">
        <v>57</v>
      </c>
      <c r="BI154" s="309" t="s">
        <v>758</v>
      </c>
      <c r="BJ154" s="309">
        <v>9</v>
      </c>
      <c r="BK154" s="309" t="s">
        <v>758</v>
      </c>
      <c r="BL154" s="327">
        <v>0.01</v>
      </c>
      <c r="BM154" s="327">
        <v>0.28000000000000003</v>
      </c>
      <c r="BN154" s="327">
        <v>0.53</v>
      </c>
      <c r="BO154" s="327">
        <v>0.19</v>
      </c>
      <c r="BP154" s="327">
        <v>0.42</v>
      </c>
      <c r="BQ154" s="327">
        <v>0.3</v>
      </c>
      <c r="BR154" s="327">
        <v>0.42</v>
      </c>
      <c r="BS154" s="424">
        <v>57</v>
      </c>
      <c r="BT154" s="424" t="s">
        <v>758</v>
      </c>
      <c r="BU154" s="424">
        <v>9</v>
      </c>
      <c r="BV154" s="424" t="s">
        <v>758</v>
      </c>
      <c r="BW154" s="428">
        <v>0.01</v>
      </c>
      <c r="BX154" s="428">
        <v>0.23</v>
      </c>
      <c r="BY154" s="428">
        <v>0.57999999999999996</v>
      </c>
      <c r="BZ154" s="428">
        <v>0.18</v>
      </c>
      <c r="CA154" s="428">
        <v>0.31</v>
      </c>
      <c r="CB154" s="428">
        <v>0.41</v>
      </c>
      <c r="CC154" s="428">
        <v>0.45</v>
      </c>
      <c r="CD154" s="464">
        <v>57</v>
      </c>
      <c r="CE154" s="464" t="s">
        <v>758</v>
      </c>
      <c r="CF154" s="464">
        <v>9</v>
      </c>
      <c r="CG154" s="464" t="s">
        <v>758</v>
      </c>
      <c r="CH154" s="476">
        <v>0.01</v>
      </c>
      <c r="CI154" s="476">
        <v>0.24</v>
      </c>
      <c r="CJ154" s="476">
        <v>0.57999999999999996</v>
      </c>
      <c r="CK154" s="476">
        <v>0.17</v>
      </c>
      <c r="CL154" s="476">
        <v>0.42</v>
      </c>
      <c r="CM154" s="476">
        <v>0.41</v>
      </c>
      <c r="CN154" s="476">
        <v>0.3</v>
      </c>
      <c r="CO154" s="902">
        <v>59</v>
      </c>
      <c r="CP154" s="902" t="s">
        <v>758</v>
      </c>
      <c r="CQ154" s="902">
        <v>10</v>
      </c>
      <c r="CR154" s="902" t="s">
        <v>758</v>
      </c>
      <c r="CS154" s="949">
        <v>0.01</v>
      </c>
      <c r="CT154" s="949">
        <v>0.24</v>
      </c>
      <c r="CU154" s="949">
        <v>0.49</v>
      </c>
      <c r="CV154" s="949">
        <v>0.26</v>
      </c>
      <c r="CW154" s="949">
        <v>0.27</v>
      </c>
      <c r="CX154" s="949">
        <v>0.38</v>
      </c>
      <c r="CY154" s="949">
        <v>0.43</v>
      </c>
      <c r="CZ154" s="26">
        <v>325754004238</v>
      </c>
      <c r="DA154" s="803" t="s">
        <v>70</v>
      </c>
    </row>
    <row r="155" spans="1:105" ht="24.95" customHeight="1" x14ac:dyDescent="0.2">
      <c r="A155" s="803" t="s">
        <v>108</v>
      </c>
      <c r="B155" s="1" t="s">
        <v>123</v>
      </c>
      <c r="C155" s="2">
        <v>5</v>
      </c>
      <c r="D155" s="12">
        <v>59</v>
      </c>
      <c r="E155" s="12">
        <v>8</v>
      </c>
      <c r="F155" s="63">
        <v>0</v>
      </c>
      <c r="G155" s="63">
        <v>0.2</v>
      </c>
      <c r="H155" s="63">
        <v>0.56999999999999995</v>
      </c>
      <c r="I155" s="63">
        <v>0.23</v>
      </c>
      <c r="J155" s="63">
        <v>0.41</v>
      </c>
      <c r="K155" s="63">
        <v>0.34</v>
      </c>
      <c r="L155" s="63">
        <v>0.5</v>
      </c>
      <c r="M155" s="25">
        <v>58</v>
      </c>
      <c r="N155" s="25">
        <v>6</v>
      </c>
      <c r="O155" s="61">
        <v>0</v>
      </c>
      <c r="P155" s="61">
        <v>0.13</v>
      </c>
      <c r="Q155" s="61">
        <v>0.83</v>
      </c>
      <c r="R155" s="61">
        <v>0.04</v>
      </c>
      <c r="S155" s="61">
        <v>0.34</v>
      </c>
      <c r="T155" s="61">
        <v>0.4</v>
      </c>
      <c r="U155" s="61">
        <v>0.43</v>
      </c>
      <c r="V155" s="12">
        <v>60</v>
      </c>
      <c r="W155" s="12">
        <v>8</v>
      </c>
      <c r="X155" s="66">
        <v>0</v>
      </c>
      <c r="Y155" s="66">
        <v>0.13</v>
      </c>
      <c r="Z155" s="66">
        <v>0.61</v>
      </c>
      <c r="AA155" s="66">
        <v>0.26</v>
      </c>
      <c r="AB155" s="66">
        <v>0.33</v>
      </c>
      <c r="AC155" s="66">
        <v>0.4</v>
      </c>
      <c r="AD155" s="66">
        <v>0.37</v>
      </c>
      <c r="AE155" s="12">
        <v>58</v>
      </c>
      <c r="AF155" s="12">
        <v>9</v>
      </c>
      <c r="AG155" s="63">
        <v>0</v>
      </c>
      <c r="AH155" s="63">
        <v>0.24</v>
      </c>
      <c r="AI155" s="63">
        <v>0.56999999999999995</v>
      </c>
      <c r="AJ155" s="63">
        <v>0.2</v>
      </c>
      <c r="AK155" s="63">
        <v>0.35</v>
      </c>
      <c r="AL155" s="63">
        <v>0.28999999999999998</v>
      </c>
      <c r="AM155" s="63">
        <v>0.38</v>
      </c>
      <c r="AN155" s="35">
        <v>58</v>
      </c>
      <c r="AO155" s="35">
        <v>8</v>
      </c>
      <c r="AP155" s="40">
        <v>0</v>
      </c>
      <c r="AQ155" s="40">
        <v>0.21</v>
      </c>
      <c r="AR155" s="40">
        <v>0.62</v>
      </c>
      <c r="AS155" s="40">
        <v>0.17</v>
      </c>
      <c r="AT155" s="40">
        <v>0.43</v>
      </c>
      <c r="AU155" s="40">
        <v>0.32</v>
      </c>
      <c r="AV155" s="40">
        <v>0.32</v>
      </c>
      <c r="AW155" s="246">
        <v>58</v>
      </c>
      <c r="AX155" s="246" t="s">
        <v>758</v>
      </c>
      <c r="AY155" s="246">
        <v>10</v>
      </c>
      <c r="AZ155" s="246" t="s">
        <v>758</v>
      </c>
      <c r="BA155" s="263">
        <v>0.02</v>
      </c>
      <c r="BB155" s="263">
        <v>0.19</v>
      </c>
      <c r="BC155" s="263">
        <v>0.56000000000000005</v>
      </c>
      <c r="BD155" s="263">
        <v>0.23</v>
      </c>
      <c r="BE155" s="263">
        <v>0.4</v>
      </c>
      <c r="BF155" s="263">
        <v>0.25</v>
      </c>
      <c r="BG155" s="263">
        <v>0.44</v>
      </c>
      <c r="BH155" s="309">
        <v>61</v>
      </c>
      <c r="BI155" s="309" t="s">
        <v>758</v>
      </c>
      <c r="BJ155" s="309">
        <v>7</v>
      </c>
      <c r="BK155" s="309" t="s">
        <v>758</v>
      </c>
      <c r="BL155" s="327">
        <v>0</v>
      </c>
      <c r="BM155" s="327">
        <v>0.09</v>
      </c>
      <c r="BN155" s="327">
        <v>0.62</v>
      </c>
      <c r="BO155" s="327">
        <v>0.3</v>
      </c>
      <c r="BP155" s="327">
        <v>0.38</v>
      </c>
      <c r="BQ155" s="327">
        <v>0.25</v>
      </c>
      <c r="BR155" s="327">
        <v>0.28999999999999998</v>
      </c>
      <c r="BS155" s="424">
        <v>61</v>
      </c>
      <c r="BT155" s="424" t="s">
        <v>758</v>
      </c>
      <c r="BU155" s="424">
        <v>9</v>
      </c>
      <c r="BV155" s="424" t="s">
        <v>758</v>
      </c>
      <c r="BW155" s="428">
        <v>0</v>
      </c>
      <c r="BX155" s="428">
        <v>0.16</v>
      </c>
      <c r="BY155" s="428">
        <v>0.51</v>
      </c>
      <c r="BZ155" s="428">
        <v>0.33</v>
      </c>
      <c r="CA155" s="428">
        <v>0.26</v>
      </c>
      <c r="CB155" s="428">
        <v>0.34</v>
      </c>
      <c r="CC155" s="428">
        <v>0.36</v>
      </c>
      <c r="CD155" s="464">
        <v>63</v>
      </c>
      <c r="CE155" s="464" t="s">
        <v>758</v>
      </c>
      <c r="CF155" s="464">
        <v>9</v>
      </c>
      <c r="CG155" s="464" t="s">
        <v>758</v>
      </c>
      <c r="CH155" s="476">
        <v>0</v>
      </c>
      <c r="CI155" s="476">
        <v>7.0000000000000007E-2</v>
      </c>
      <c r="CJ155" s="476">
        <v>0.62</v>
      </c>
      <c r="CK155" s="476">
        <v>0.31</v>
      </c>
      <c r="CL155" s="476">
        <v>0.33</v>
      </c>
      <c r="CM155" s="476">
        <v>0.32</v>
      </c>
      <c r="CN155" s="476">
        <v>0.22</v>
      </c>
      <c r="CO155" s="902">
        <v>61</v>
      </c>
      <c r="CP155" s="902" t="s">
        <v>758</v>
      </c>
      <c r="CQ155" s="902">
        <v>8</v>
      </c>
      <c r="CR155" s="902" t="s">
        <v>758</v>
      </c>
      <c r="CS155" s="949">
        <v>0</v>
      </c>
      <c r="CT155" s="949">
        <v>0.09</v>
      </c>
      <c r="CU155" s="949">
        <v>0.73</v>
      </c>
      <c r="CV155" s="949">
        <v>0.18</v>
      </c>
      <c r="CW155" s="949">
        <v>0.23</v>
      </c>
      <c r="CX155" s="949">
        <v>0.33</v>
      </c>
      <c r="CY155" s="949">
        <v>0.43</v>
      </c>
      <c r="CZ155" s="26">
        <v>325754005099</v>
      </c>
      <c r="DA155" s="803" t="s">
        <v>108</v>
      </c>
    </row>
    <row r="156" spans="1:105" ht="24.95" customHeight="1" x14ac:dyDescent="0.2">
      <c r="A156" s="803" t="s">
        <v>92</v>
      </c>
      <c r="B156" s="1" t="s">
        <v>123</v>
      </c>
      <c r="C156" s="2">
        <v>1</v>
      </c>
      <c r="D156" s="12">
        <v>52</v>
      </c>
      <c r="E156" s="12">
        <v>8</v>
      </c>
      <c r="F156" s="63">
        <v>0.03</v>
      </c>
      <c r="G156" s="63">
        <v>0.39</v>
      </c>
      <c r="H156" s="63">
        <v>0.57999999999999996</v>
      </c>
      <c r="I156" s="63">
        <v>0</v>
      </c>
      <c r="J156" s="63">
        <v>0.47</v>
      </c>
      <c r="K156" s="63">
        <v>0.5</v>
      </c>
      <c r="L156" s="63">
        <v>0.59</v>
      </c>
      <c r="M156" s="25">
        <v>51</v>
      </c>
      <c r="N156" s="25">
        <v>8</v>
      </c>
      <c r="O156" s="61">
        <v>0.03</v>
      </c>
      <c r="P156" s="61">
        <v>0.42</v>
      </c>
      <c r="Q156" s="61">
        <v>0.52</v>
      </c>
      <c r="R156" s="61">
        <v>0.03</v>
      </c>
      <c r="S156" s="61">
        <v>0.48</v>
      </c>
      <c r="T156" s="61">
        <v>0.53</v>
      </c>
      <c r="U156" s="61">
        <v>0.52</v>
      </c>
      <c r="V156" s="12">
        <v>51</v>
      </c>
      <c r="W156" s="12">
        <v>10</v>
      </c>
      <c r="X156" s="66">
        <v>0</v>
      </c>
      <c r="Y156" s="66">
        <v>0.4</v>
      </c>
      <c r="Z156" s="66">
        <v>0.55000000000000004</v>
      </c>
      <c r="AA156" s="66">
        <v>0.05</v>
      </c>
      <c r="AB156" s="66">
        <v>0.48</v>
      </c>
      <c r="AC156" s="66">
        <v>0.51</v>
      </c>
      <c r="AD156" s="66">
        <v>0.54</v>
      </c>
      <c r="AE156" s="12">
        <v>54</v>
      </c>
      <c r="AF156" s="12">
        <v>8</v>
      </c>
      <c r="AG156" s="63">
        <v>0</v>
      </c>
      <c r="AH156" s="63">
        <v>0.32</v>
      </c>
      <c r="AI156" s="63">
        <v>0.6</v>
      </c>
      <c r="AJ156" s="63">
        <v>0.08</v>
      </c>
      <c r="AK156" s="63">
        <v>0.43</v>
      </c>
      <c r="AL156" s="63">
        <v>0.36</v>
      </c>
      <c r="AM156" s="63">
        <v>0.42</v>
      </c>
      <c r="AN156" s="35">
        <v>53</v>
      </c>
      <c r="AO156" s="35">
        <v>10</v>
      </c>
      <c r="AP156" s="40">
        <v>0.09</v>
      </c>
      <c r="AQ156" s="40">
        <v>0.23</v>
      </c>
      <c r="AR156" s="40">
        <v>0.59</v>
      </c>
      <c r="AS156" s="40">
        <v>0.09</v>
      </c>
      <c r="AT156" s="40">
        <v>0.5</v>
      </c>
      <c r="AU156" s="40">
        <v>0.37</v>
      </c>
      <c r="AV156" s="40">
        <v>0.44</v>
      </c>
      <c r="AW156" s="246">
        <v>52</v>
      </c>
      <c r="AX156" s="246" t="s">
        <v>758</v>
      </c>
      <c r="AY156" s="246">
        <v>11</v>
      </c>
      <c r="AZ156" s="246" t="s">
        <v>758</v>
      </c>
      <c r="BA156" s="263">
        <v>0.05</v>
      </c>
      <c r="BB156" s="263">
        <v>0.39</v>
      </c>
      <c r="BC156" s="263">
        <v>0.45</v>
      </c>
      <c r="BD156" s="263">
        <v>0.11</v>
      </c>
      <c r="BE156" s="263">
        <v>0.49</v>
      </c>
      <c r="BF156" s="263">
        <v>0.38</v>
      </c>
      <c r="BG156" s="263">
        <v>0.54</v>
      </c>
      <c r="BH156" s="309">
        <v>53</v>
      </c>
      <c r="BI156" s="309" t="s">
        <v>758</v>
      </c>
      <c r="BJ156" s="309">
        <v>9</v>
      </c>
      <c r="BK156" s="309" t="s">
        <v>758</v>
      </c>
      <c r="BL156" s="327">
        <v>0.02</v>
      </c>
      <c r="BM156" s="327">
        <v>0.35</v>
      </c>
      <c r="BN156" s="327">
        <v>0.6</v>
      </c>
      <c r="BO156" s="327">
        <v>0.04</v>
      </c>
      <c r="BP156" s="327">
        <v>0.51</v>
      </c>
      <c r="BQ156" s="327">
        <v>0.37</v>
      </c>
      <c r="BR156" s="327">
        <v>0.45</v>
      </c>
      <c r="BS156" s="424">
        <v>52</v>
      </c>
      <c r="BT156" s="424" t="s">
        <v>758</v>
      </c>
      <c r="BU156" s="424">
        <v>9</v>
      </c>
      <c r="BV156" s="424" t="s">
        <v>758</v>
      </c>
      <c r="BW156" s="428">
        <v>0.04</v>
      </c>
      <c r="BX156" s="428">
        <v>0.4</v>
      </c>
      <c r="BY156" s="428">
        <v>0.52</v>
      </c>
      <c r="BZ156" s="428">
        <v>0.04</v>
      </c>
      <c r="CA156" s="428">
        <v>0.4</v>
      </c>
      <c r="CB156" s="428">
        <v>0.52</v>
      </c>
      <c r="CC156" s="428">
        <v>0.53</v>
      </c>
      <c r="CD156" s="464">
        <v>55</v>
      </c>
      <c r="CE156" s="464" t="s">
        <v>758</v>
      </c>
      <c r="CF156" s="464">
        <v>8</v>
      </c>
      <c r="CG156" s="464" t="s">
        <v>758</v>
      </c>
      <c r="CH156" s="476">
        <v>0.02</v>
      </c>
      <c r="CI156" s="476">
        <v>0.24</v>
      </c>
      <c r="CJ156" s="476">
        <v>0.67</v>
      </c>
      <c r="CK156" s="476">
        <v>0.08</v>
      </c>
      <c r="CL156" s="476">
        <v>0.45</v>
      </c>
      <c r="CM156" s="476">
        <v>0.45</v>
      </c>
      <c r="CN156" s="476">
        <v>0.32</v>
      </c>
      <c r="CO156" s="902">
        <v>55</v>
      </c>
      <c r="CP156" s="902" t="s">
        <v>758</v>
      </c>
      <c r="CQ156" s="902">
        <v>9</v>
      </c>
      <c r="CR156" s="902" t="s">
        <v>758</v>
      </c>
      <c r="CS156" s="949">
        <v>0.03</v>
      </c>
      <c r="CT156" s="949">
        <v>0.32</v>
      </c>
      <c r="CU156" s="949">
        <v>0.55000000000000004</v>
      </c>
      <c r="CV156" s="949">
        <v>0.11</v>
      </c>
      <c r="CW156" s="949">
        <v>0.35</v>
      </c>
      <c r="CX156" s="949">
        <v>0.44</v>
      </c>
      <c r="CY156" s="949">
        <v>0.52</v>
      </c>
      <c r="CZ156" s="26">
        <v>325754001905</v>
      </c>
      <c r="DA156" s="803" t="s">
        <v>92</v>
      </c>
    </row>
    <row r="157" spans="1:105" ht="24.95" customHeight="1" x14ac:dyDescent="0.2">
      <c r="A157" s="803" t="s">
        <v>130</v>
      </c>
      <c r="B157" s="1" t="s">
        <v>123</v>
      </c>
      <c r="C157" s="2">
        <v>6</v>
      </c>
      <c r="D157" s="12"/>
      <c r="E157" s="12"/>
      <c r="F157" s="12"/>
      <c r="G157" s="12"/>
      <c r="H157" s="12"/>
      <c r="I157" s="12"/>
      <c r="J157" s="12"/>
      <c r="K157" s="12"/>
      <c r="L157" s="12"/>
      <c r="M157" s="25">
        <v>50</v>
      </c>
      <c r="N157" s="25">
        <v>11</v>
      </c>
      <c r="O157" s="61">
        <v>0.17</v>
      </c>
      <c r="P157" s="61">
        <v>0.33</v>
      </c>
      <c r="Q157" s="61">
        <v>0.5</v>
      </c>
      <c r="R157" s="61">
        <v>0</v>
      </c>
      <c r="S157" s="61">
        <v>0.59</v>
      </c>
      <c r="T157" s="61">
        <v>0.49</v>
      </c>
      <c r="U157" s="61">
        <v>0.56000000000000005</v>
      </c>
      <c r="V157" s="12">
        <v>50</v>
      </c>
      <c r="W157" s="12">
        <v>10</v>
      </c>
      <c r="X157" s="66">
        <v>0</v>
      </c>
      <c r="Y157" s="66">
        <v>0.5</v>
      </c>
      <c r="Z157" s="66">
        <v>0.5</v>
      </c>
      <c r="AA157" s="66">
        <v>0</v>
      </c>
      <c r="AB157" s="66">
        <v>0.49</v>
      </c>
      <c r="AC157" s="66">
        <v>0.47</v>
      </c>
      <c r="AD157" s="66">
        <v>0.59</v>
      </c>
      <c r="AE157" s="12">
        <v>51</v>
      </c>
      <c r="AF157" s="12">
        <v>10</v>
      </c>
      <c r="AG157" s="63">
        <v>0</v>
      </c>
      <c r="AH157" s="63">
        <v>0.5</v>
      </c>
      <c r="AI157" s="63">
        <v>0.5</v>
      </c>
      <c r="AJ157" s="63">
        <v>0</v>
      </c>
      <c r="AK157" s="63">
        <v>0.52</v>
      </c>
      <c r="AL157" s="63">
        <v>0.5</v>
      </c>
      <c r="AM157" s="63">
        <v>0.28999999999999998</v>
      </c>
      <c r="AN157" s="35">
        <v>36</v>
      </c>
      <c r="AO157" s="35">
        <v>7</v>
      </c>
      <c r="AP157" s="40">
        <v>0.5</v>
      </c>
      <c r="AQ157" s="40">
        <v>0.5</v>
      </c>
      <c r="AR157" s="40">
        <v>0</v>
      </c>
      <c r="AS157" s="40">
        <v>0</v>
      </c>
      <c r="AT157" s="40">
        <v>0.7</v>
      </c>
      <c r="AU157" s="40">
        <v>0.65</v>
      </c>
      <c r="AV157" s="40">
        <v>0.79</v>
      </c>
      <c r="AW157" s="646"/>
      <c r="AX157" s="646"/>
      <c r="AY157" s="646"/>
      <c r="AZ157" s="646"/>
      <c r="BA157" s="646"/>
      <c r="BB157" s="646"/>
      <c r="BC157" s="646"/>
      <c r="BD157" s="646"/>
      <c r="BE157" s="646"/>
      <c r="BF157" s="646"/>
      <c r="BG157" s="646"/>
      <c r="BH157" s="649"/>
      <c r="BI157" s="649"/>
      <c r="BJ157" s="649"/>
      <c r="BK157" s="649"/>
      <c r="BL157" s="649"/>
      <c r="BM157" s="649"/>
      <c r="BN157" s="649"/>
      <c r="BO157" s="649"/>
      <c r="BP157" s="649"/>
      <c r="BQ157" s="649"/>
      <c r="BR157" s="649"/>
      <c r="BS157" s="651"/>
      <c r="BT157" s="651"/>
      <c r="BU157" s="651"/>
      <c r="BV157" s="651"/>
      <c r="BW157" s="651"/>
      <c r="BX157" s="651"/>
      <c r="BY157" s="651"/>
      <c r="BZ157" s="651"/>
      <c r="CA157" s="651"/>
      <c r="CB157" s="651"/>
      <c r="CC157" s="651"/>
      <c r="CD157" s="650"/>
      <c r="CE157" s="650"/>
      <c r="CF157" s="650"/>
      <c r="CG157" s="650"/>
      <c r="CH157" s="650"/>
      <c r="CI157" s="650"/>
      <c r="CJ157" s="650"/>
      <c r="CK157" s="650"/>
      <c r="CL157" s="650"/>
      <c r="CM157" s="650"/>
      <c r="CN157" s="650"/>
      <c r="CS157" s="949"/>
      <c r="CT157" s="949"/>
      <c r="CU157" s="949"/>
      <c r="CV157" s="949"/>
      <c r="CW157" s="949"/>
      <c r="CX157" s="949"/>
      <c r="CY157" s="949"/>
      <c r="CZ157" s="26"/>
      <c r="DA157" s="803" t="s">
        <v>130</v>
      </c>
    </row>
    <row r="158" spans="1:105" ht="24.95" customHeight="1" x14ac:dyDescent="0.2">
      <c r="A158" s="803" t="s">
        <v>115</v>
      </c>
      <c r="B158" s="1" t="s">
        <v>123</v>
      </c>
      <c r="C158" s="2">
        <v>3</v>
      </c>
      <c r="D158" s="12">
        <v>58</v>
      </c>
      <c r="E158" s="12">
        <v>8</v>
      </c>
      <c r="F158" s="63">
        <v>0</v>
      </c>
      <c r="G158" s="63">
        <v>0.19</v>
      </c>
      <c r="H158" s="63">
        <v>0.63</v>
      </c>
      <c r="I158" s="63">
        <v>0.19</v>
      </c>
      <c r="J158" s="63">
        <v>0.35</v>
      </c>
      <c r="K158" s="63">
        <v>0.49</v>
      </c>
      <c r="L158" s="63">
        <v>0.45</v>
      </c>
      <c r="M158" s="25">
        <v>53</v>
      </c>
      <c r="N158" s="25">
        <v>5</v>
      </c>
      <c r="O158" s="61">
        <v>0</v>
      </c>
      <c r="P158" s="61">
        <v>0.33</v>
      </c>
      <c r="Q158" s="61">
        <v>0.67</v>
      </c>
      <c r="R158" s="61">
        <v>0</v>
      </c>
      <c r="S158" s="61">
        <v>0.44</v>
      </c>
      <c r="T158" s="61">
        <v>0.54</v>
      </c>
      <c r="U158" s="61">
        <v>0.48</v>
      </c>
      <c r="V158" s="12">
        <v>56</v>
      </c>
      <c r="W158" s="12">
        <v>8</v>
      </c>
      <c r="X158" s="66">
        <v>0</v>
      </c>
      <c r="Y158" s="66">
        <v>0.25</v>
      </c>
      <c r="Z158" s="66">
        <v>0.69</v>
      </c>
      <c r="AA158" s="66">
        <v>0.06</v>
      </c>
      <c r="AB158" s="66">
        <v>0.41</v>
      </c>
      <c r="AC158" s="66">
        <v>0.49</v>
      </c>
      <c r="AD158" s="66">
        <v>0.49</v>
      </c>
      <c r="AE158" s="12">
        <v>55</v>
      </c>
      <c r="AF158" s="12">
        <v>9</v>
      </c>
      <c r="AG158" s="63">
        <v>0</v>
      </c>
      <c r="AH158" s="63">
        <v>0.35</v>
      </c>
      <c r="AI158" s="63">
        <v>0.45</v>
      </c>
      <c r="AJ158" s="63">
        <v>0.2</v>
      </c>
      <c r="AK158" s="63">
        <v>0.37</v>
      </c>
      <c r="AL158" s="63">
        <v>0.36</v>
      </c>
      <c r="AM158" s="63">
        <v>0.37</v>
      </c>
      <c r="AN158" s="35">
        <v>54</v>
      </c>
      <c r="AO158" s="35">
        <v>8</v>
      </c>
      <c r="AP158" s="40">
        <v>0</v>
      </c>
      <c r="AQ158" s="40">
        <v>0.38</v>
      </c>
      <c r="AR158" s="40">
        <v>0.62</v>
      </c>
      <c r="AS158" s="40">
        <v>0</v>
      </c>
      <c r="AT158" s="40">
        <v>0.47</v>
      </c>
      <c r="AU158" s="40">
        <v>0.35</v>
      </c>
      <c r="AV158" s="40">
        <v>0.43</v>
      </c>
      <c r="AW158" s="647">
        <v>54</v>
      </c>
      <c r="AX158" s="647" t="s">
        <v>758</v>
      </c>
      <c r="AY158" s="647">
        <v>9</v>
      </c>
      <c r="AZ158" s="647" t="s">
        <v>758</v>
      </c>
      <c r="BA158" s="648">
        <v>0</v>
      </c>
      <c r="BB158" s="648">
        <v>0.48</v>
      </c>
      <c r="BC158" s="648">
        <v>0.36</v>
      </c>
      <c r="BD158" s="648">
        <v>0.16</v>
      </c>
      <c r="BE158" s="648">
        <v>0.46</v>
      </c>
      <c r="BF158" s="648">
        <v>0.34</v>
      </c>
      <c r="BG158" s="648">
        <v>0.53</v>
      </c>
      <c r="BH158" s="74">
        <v>50</v>
      </c>
      <c r="BI158" s="74" t="s">
        <v>758</v>
      </c>
      <c r="BJ158" s="74">
        <v>9</v>
      </c>
      <c r="BK158" s="74" t="s">
        <v>758</v>
      </c>
      <c r="BL158" s="96">
        <v>0.04</v>
      </c>
      <c r="BM158" s="96">
        <v>0.43</v>
      </c>
      <c r="BN158" s="96">
        <v>0.46</v>
      </c>
      <c r="BO158" s="96">
        <v>7.0000000000000007E-2</v>
      </c>
      <c r="BP158" s="96">
        <v>0.52</v>
      </c>
      <c r="BQ158" s="96">
        <v>0.41</v>
      </c>
      <c r="BR158" s="96">
        <v>0.55000000000000004</v>
      </c>
      <c r="BS158" s="652">
        <v>55</v>
      </c>
      <c r="BT158" s="652" t="s">
        <v>758</v>
      </c>
      <c r="BU158" s="652">
        <v>8</v>
      </c>
      <c r="BV158" s="652" t="s">
        <v>758</v>
      </c>
      <c r="BW158" s="653">
        <v>0.04</v>
      </c>
      <c r="BX158" s="653">
        <v>0.19</v>
      </c>
      <c r="BY158" s="653">
        <v>0.69</v>
      </c>
      <c r="BZ158" s="653">
        <v>0.08</v>
      </c>
      <c r="CA158" s="653">
        <v>0.37</v>
      </c>
      <c r="CB158" s="653">
        <v>0.44</v>
      </c>
      <c r="CC158" s="653">
        <v>0.48</v>
      </c>
      <c r="CD158" s="74">
        <v>56</v>
      </c>
      <c r="CE158" s="74" t="s">
        <v>758</v>
      </c>
      <c r="CF158" s="74">
        <v>8</v>
      </c>
      <c r="CG158" s="74" t="s">
        <v>758</v>
      </c>
      <c r="CH158" s="96">
        <v>0</v>
      </c>
      <c r="CI158" s="96">
        <v>0.28000000000000003</v>
      </c>
      <c r="CJ158" s="96">
        <v>0.59</v>
      </c>
      <c r="CK158" s="96">
        <v>0.14000000000000001</v>
      </c>
      <c r="CL158" s="96">
        <v>0.44</v>
      </c>
      <c r="CM158" s="96">
        <v>0.42</v>
      </c>
      <c r="CN158" s="96">
        <v>0.28999999999999998</v>
      </c>
      <c r="CO158" s="902">
        <v>57</v>
      </c>
      <c r="CP158" s="902" t="s">
        <v>758</v>
      </c>
      <c r="CQ158" s="902">
        <v>8</v>
      </c>
      <c r="CR158" s="902" t="s">
        <v>758</v>
      </c>
      <c r="CS158" s="949">
        <v>0</v>
      </c>
      <c r="CT158" s="949">
        <v>0.24</v>
      </c>
      <c r="CU158" s="949">
        <v>0.62</v>
      </c>
      <c r="CV158" s="949">
        <v>0.14000000000000001</v>
      </c>
      <c r="CW158" s="949">
        <v>0.28000000000000003</v>
      </c>
      <c r="CX158" s="949">
        <v>0.44</v>
      </c>
      <c r="CY158" s="949">
        <v>0.49</v>
      </c>
      <c r="CZ158" s="26">
        <v>325754004033</v>
      </c>
      <c r="DA158" s="803" t="s">
        <v>115</v>
      </c>
    </row>
    <row r="159" spans="1:105" ht="24.95" customHeight="1" x14ac:dyDescent="0.2">
      <c r="A159" s="803" t="s">
        <v>37</v>
      </c>
      <c r="B159" s="1" t="s">
        <v>123</v>
      </c>
      <c r="C159" s="2">
        <v>3</v>
      </c>
      <c r="D159" s="12">
        <v>52</v>
      </c>
      <c r="E159" s="12">
        <v>8</v>
      </c>
      <c r="F159" s="63">
        <v>0.02</v>
      </c>
      <c r="G159" s="63">
        <v>0.44</v>
      </c>
      <c r="H159" s="63">
        <v>0.52</v>
      </c>
      <c r="I159" s="63">
        <v>0.02</v>
      </c>
      <c r="J159" s="63">
        <v>0.41</v>
      </c>
      <c r="K159" s="63">
        <v>0.51</v>
      </c>
      <c r="L159" s="63">
        <v>0.57999999999999996</v>
      </c>
      <c r="M159" s="25">
        <v>55</v>
      </c>
      <c r="N159" s="25">
        <v>8</v>
      </c>
      <c r="O159" s="61">
        <v>0.04</v>
      </c>
      <c r="P159" s="61">
        <v>0.21</v>
      </c>
      <c r="Q159" s="61">
        <v>0.71</v>
      </c>
      <c r="R159" s="61">
        <v>0.04</v>
      </c>
      <c r="S159" s="61">
        <v>0.42</v>
      </c>
      <c r="T159" s="61">
        <v>0.47</v>
      </c>
      <c r="U159" s="61">
        <v>0.46</v>
      </c>
      <c r="V159" s="12">
        <v>53</v>
      </c>
      <c r="W159" s="12">
        <v>10</v>
      </c>
      <c r="X159" s="66">
        <v>0.03</v>
      </c>
      <c r="Y159" s="66">
        <v>0.38</v>
      </c>
      <c r="Z159" s="66">
        <v>0.47</v>
      </c>
      <c r="AA159" s="66">
        <v>0.12</v>
      </c>
      <c r="AB159" s="66">
        <v>0.45</v>
      </c>
      <c r="AC159" s="66">
        <v>0.53</v>
      </c>
      <c r="AD159" s="66">
        <v>0.51</v>
      </c>
      <c r="AE159" s="12">
        <v>54</v>
      </c>
      <c r="AF159" s="12">
        <v>9</v>
      </c>
      <c r="AG159" s="63">
        <v>0</v>
      </c>
      <c r="AH159" s="63">
        <v>0.39</v>
      </c>
      <c r="AI159" s="63">
        <v>0.47</v>
      </c>
      <c r="AJ159" s="63">
        <v>0.14000000000000001</v>
      </c>
      <c r="AK159" s="63">
        <v>0.42</v>
      </c>
      <c r="AL159" s="63">
        <v>0.37</v>
      </c>
      <c r="AM159" s="63">
        <v>0.41</v>
      </c>
      <c r="AN159" s="35">
        <v>54</v>
      </c>
      <c r="AO159" s="35">
        <v>8</v>
      </c>
      <c r="AP159" s="40">
        <v>0</v>
      </c>
      <c r="AQ159" s="40">
        <v>0.38</v>
      </c>
      <c r="AR159" s="40">
        <v>0.5</v>
      </c>
      <c r="AS159" s="40">
        <v>0.13</v>
      </c>
      <c r="AT159" s="40">
        <v>0.44</v>
      </c>
      <c r="AU159" s="40">
        <v>0.36</v>
      </c>
      <c r="AV159" s="40">
        <v>0.46</v>
      </c>
      <c r="AW159" s="246">
        <v>52</v>
      </c>
      <c r="AX159" s="246" t="s">
        <v>758</v>
      </c>
      <c r="AY159" s="246">
        <v>10</v>
      </c>
      <c r="AZ159" s="246" t="s">
        <v>758</v>
      </c>
      <c r="BA159" s="263">
        <v>0.04</v>
      </c>
      <c r="BB159" s="263">
        <v>0.36</v>
      </c>
      <c r="BC159" s="263">
        <v>0.5</v>
      </c>
      <c r="BD159" s="263">
        <v>0.11</v>
      </c>
      <c r="BE159" s="263">
        <v>0.45</v>
      </c>
      <c r="BF159" s="263">
        <v>0.35</v>
      </c>
      <c r="BG159" s="263">
        <v>0.56999999999999995</v>
      </c>
      <c r="BH159" s="309">
        <v>55</v>
      </c>
      <c r="BI159" s="309" t="s">
        <v>758</v>
      </c>
      <c r="BJ159" s="309">
        <v>8</v>
      </c>
      <c r="BK159" s="309" t="s">
        <v>758</v>
      </c>
      <c r="BL159" s="327">
        <v>0</v>
      </c>
      <c r="BM159" s="327">
        <v>0.32</v>
      </c>
      <c r="BN159" s="327">
        <v>0.61</v>
      </c>
      <c r="BO159" s="327">
        <v>7.0000000000000007E-2</v>
      </c>
      <c r="BP159" s="327">
        <v>0.46</v>
      </c>
      <c r="BQ159" s="327">
        <v>0.31</v>
      </c>
      <c r="BR159" s="327">
        <v>0.46</v>
      </c>
      <c r="BS159" s="424">
        <v>54</v>
      </c>
      <c r="BT159" s="424" t="s">
        <v>758</v>
      </c>
      <c r="BU159" s="424">
        <v>9</v>
      </c>
      <c r="BV159" s="424" t="s">
        <v>758</v>
      </c>
      <c r="BW159" s="428">
        <v>0.03</v>
      </c>
      <c r="BX159" s="428">
        <v>0.32</v>
      </c>
      <c r="BY159" s="428">
        <v>0.56000000000000005</v>
      </c>
      <c r="BZ159" s="428">
        <v>0.09</v>
      </c>
      <c r="CA159" s="428">
        <v>0.39</v>
      </c>
      <c r="CB159" s="428">
        <v>0.47</v>
      </c>
      <c r="CC159" s="428">
        <v>0.48</v>
      </c>
      <c r="CD159" s="464">
        <v>54</v>
      </c>
      <c r="CE159" s="464" t="s">
        <v>758</v>
      </c>
      <c r="CF159" s="464">
        <v>8</v>
      </c>
      <c r="CG159" s="464" t="s">
        <v>758</v>
      </c>
      <c r="CH159" s="476">
        <v>0.04</v>
      </c>
      <c r="CI159" s="476">
        <v>0.23</v>
      </c>
      <c r="CJ159" s="476">
        <v>0.65</v>
      </c>
      <c r="CK159" s="476">
        <v>0.08</v>
      </c>
      <c r="CL159" s="476">
        <v>0.46</v>
      </c>
      <c r="CM159" s="476">
        <v>0.49</v>
      </c>
      <c r="CN159" s="476">
        <v>0.33</v>
      </c>
      <c r="CO159" s="902">
        <v>55</v>
      </c>
      <c r="CP159" s="902" t="s">
        <v>758</v>
      </c>
      <c r="CQ159" s="902">
        <v>9</v>
      </c>
      <c r="CR159" s="902" t="s">
        <v>758</v>
      </c>
      <c r="CS159" s="949">
        <v>7.0000000000000007E-2</v>
      </c>
      <c r="CT159" s="949">
        <v>0.2</v>
      </c>
      <c r="CU159" s="949">
        <v>0.6</v>
      </c>
      <c r="CV159" s="949">
        <v>0.13</v>
      </c>
      <c r="CW159" s="949">
        <v>0.32</v>
      </c>
      <c r="CX159" s="949">
        <v>0.43</v>
      </c>
      <c r="CY159" s="949">
        <v>0.55000000000000004</v>
      </c>
      <c r="CZ159" s="26">
        <v>325754004211</v>
      </c>
      <c r="DA159" s="803" t="s">
        <v>37</v>
      </c>
    </row>
    <row r="160" spans="1:105" ht="24.95" customHeight="1" x14ac:dyDescent="0.2">
      <c r="A160" s="803" t="s">
        <v>107</v>
      </c>
      <c r="B160" s="1" t="s">
        <v>123</v>
      </c>
      <c r="C160" s="2">
        <v>5</v>
      </c>
      <c r="D160" s="12">
        <v>58</v>
      </c>
      <c r="E160" s="12">
        <v>6</v>
      </c>
      <c r="F160" s="63">
        <v>0</v>
      </c>
      <c r="G160" s="63">
        <v>0.13</v>
      </c>
      <c r="H160" s="63">
        <v>0.8</v>
      </c>
      <c r="I160" s="63">
        <v>7.0000000000000007E-2</v>
      </c>
      <c r="J160" s="63">
        <v>0.35</v>
      </c>
      <c r="K160" s="63">
        <v>0.43</v>
      </c>
      <c r="L160" s="63">
        <v>0.52</v>
      </c>
      <c r="M160" s="25">
        <v>59</v>
      </c>
      <c r="N160" s="25">
        <v>6</v>
      </c>
      <c r="O160" s="61">
        <v>0</v>
      </c>
      <c r="P160" s="61">
        <v>0.06</v>
      </c>
      <c r="Q160" s="61">
        <v>0.76</v>
      </c>
      <c r="R160" s="61">
        <v>0.18</v>
      </c>
      <c r="S160" s="61">
        <v>0.33</v>
      </c>
      <c r="T160" s="61">
        <v>0.4</v>
      </c>
      <c r="U160" s="61">
        <v>0.38</v>
      </c>
      <c r="V160" s="12">
        <v>61</v>
      </c>
      <c r="W160" s="12">
        <v>7</v>
      </c>
      <c r="X160" s="66">
        <v>0</v>
      </c>
      <c r="Y160" s="66">
        <v>0.11</v>
      </c>
      <c r="Z160" s="66">
        <v>0.68</v>
      </c>
      <c r="AA160" s="66">
        <v>0.21</v>
      </c>
      <c r="AB160" s="66">
        <v>0.3</v>
      </c>
      <c r="AC160" s="66">
        <v>0.36</v>
      </c>
      <c r="AD160" s="66">
        <v>0.37</v>
      </c>
      <c r="AE160" s="12">
        <v>61</v>
      </c>
      <c r="AF160" s="12">
        <v>6</v>
      </c>
      <c r="AG160" s="63">
        <v>0</v>
      </c>
      <c r="AH160" s="63">
        <v>0.04</v>
      </c>
      <c r="AI160" s="63">
        <v>0.75</v>
      </c>
      <c r="AJ160" s="63">
        <v>0.21</v>
      </c>
      <c r="AK160" s="63">
        <v>0.31</v>
      </c>
      <c r="AL160" s="63">
        <v>0.25</v>
      </c>
      <c r="AM160" s="63">
        <v>0.28000000000000003</v>
      </c>
      <c r="AN160" s="35">
        <v>60</v>
      </c>
      <c r="AO160" s="35">
        <v>6</v>
      </c>
      <c r="AP160" s="40">
        <v>0</v>
      </c>
      <c r="AQ160" s="40">
        <v>0.03</v>
      </c>
      <c r="AR160" s="40">
        <v>0.81</v>
      </c>
      <c r="AS160" s="40">
        <v>0.16</v>
      </c>
      <c r="AT160" s="40">
        <v>0.36</v>
      </c>
      <c r="AU160" s="40">
        <v>0.19</v>
      </c>
      <c r="AV160" s="40">
        <v>0.36</v>
      </c>
      <c r="AW160" s="246">
        <v>62</v>
      </c>
      <c r="AX160" s="246" t="s">
        <v>758</v>
      </c>
      <c r="AY160" s="246">
        <v>7</v>
      </c>
      <c r="AZ160" s="246" t="s">
        <v>758</v>
      </c>
      <c r="BA160" s="263">
        <v>0</v>
      </c>
      <c r="BB160" s="263">
        <v>0.03</v>
      </c>
      <c r="BC160" s="263">
        <v>0.59</v>
      </c>
      <c r="BD160" s="263">
        <v>0.38</v>
      </c>
      <c r="BE160" s="263">
        <v>0.32</v>
      </c>
      <c r="BF160" s="263">
        <v>0.19</v>
      </c>
      <c r="BG160" s="263">
        <v>0.39</v>
      </c>
      <c r="BH160" s="309">
        <v>62</v>
      </c>
      <c r="BI160" s="309" t="s">
        <v>758</v>
      </c>
      <c r="BJ160" s="309">
        <v>10</v>
      </c>
      <c r="BK160" s="309" t="s">
        <v>758</v>
      </c>
      <c r="BL160" s="327">
        <v>0</v>
      </c>
      <c r="BM160" s="327">
        <v>0.18</v>
      </c>
      <c r="BN160" s="327">
        <v>0.41</v>
      </c>
      <c r="BO160" s="327">
        <v>0.41</v>
      </c>
      <c r="BP160" s="327">
        <v>0.34</v>
      </c>
      <c r="BQ160" s="327">
        <v>0.19</v>
      </c>
      <c r="BR160" s="327">
        <v>0.34</v>
      </c>
      <c r="BS160" s="424">
        <v>64</v>
      </c>
      <c r="BT160" s="424" t="s">
        <v>759</v>
      </c>
      <c r="BU160" s="424">
        <v>7</v>
      </c>
      <c r="BV160" s="424" t="s">
        <v>758</v>
      </c>
      <c r="BW160" s="428">
        <v>0</v>
      </c>
      <c r="BX160" s="428">
        <v>0</v>
      </c>
      <c r="BY160" s="428">
        <v>0.65</v>
      </c>
      <c r="BZ160" s="428">
        <v>0.35</v>
      </c>
      <c r="CA160" s="428">
        <v>0.22</v>
      </c>
      <c r="CB160" s="428">
        <v>0.28000000000000003</v>
      </c>
      <c r="CC160" s="428">
        <v>0.31</v>
      </c>
      <c r="CD160" s="464">
        <v>65</v>
      </c>
      <c r="CE160" s="464" t="s">
        <v>759</v>
      </c>
      <c r="CF160" s="464">
        <v>7</v>
      </c>
      <c r="CG160" s="464" t="s">
        <v>758</v>
      </c>
      <c r="CH160" s="476">
        <v>0</v>
      </c>
      <c r="CI160" s="476">
        <v>0.03</v>
      </c>
      <c r="CJ160" s="476">
        <v>0.42</v>
      </c>
      <c r="CK160" s="476">
        <v>0.55000000000000004</v>
      </c>
      <c r="CL160" s="476">
        <v>0.28000000000000003</v>
      </c>
      <c r="CM160" s="476">
        <v>0.28000000000000003</v>
      </c>
      <c r="CN160" s="476">
        <v>0.18</v>
      </c>
      <c r="CO160" s="902">
        <v>63</v>
      </c>
      <c r="CP160" s="902" t="s">
        <v>758</v>
      </c>
      <c r="CQ160" s="902">
        <v>9</v>
      </c>
      <c r="CR160" s="902" t="s">
        <v>758</v>
      </c>
      <c r="CS160" s="949">
        <v>0.03</v>
      </c>
      <c r="CT160" s="949">
        <v>0.03</v>
      </c>
      <c r="CU160" s="949">
        <v>0.62</v>
      </c>
      <c r="CV160" s="949">
        <v>0.32</v>
      </c>
      <c r="CW160" s="949">
        <v>0.21</v>
      </c>
      <c r="CX160" s="949">
        <v>0.32</v>
      </c>
      <c r="CY160" s="949">
        <v>0.36</v>
      </c>
      <c r="CZ160" s="26">
        <v>325754003517</v>
      </c>
      <c r="DA160" s="803" t="s">
        <v>107</v>
      </c>
    </row>
    <row r="161" spans="1:105" ht="24.95" customHeight="1" x14ac:dyDescent="0.2">
      <c r="A161" s="803" t="s">
        <v>18</v>
      </c>
      <c r="B161" s="1" t="s">
        <v>123</v>
      </c>
      <c r="C161" s="2">
        <v>5</v>
      </c>
      <c r="D161" s="12">
        <v>58</v>
      </c>
      <c r="E161" s="12">
        <v>7</v>
      </c>
      <c r="F161" s="63">
        <v>0</v>
      </c>
      <c r="G161" s="63">
        <v>0.14000000000000001</v>
      </c>
      <c r="H161" s="63">
        <v>0.74</v>
      </c>
      <c r="I161" s="63">
        <v>0.12</v>
      </c>
      <c r="J161" s="63">
        <v>0.34</v>
      </c>
      <c r="K161" s="63">
        <v>0.34</v>
      </c>
      <c r="L161" s="63">
        <v>0.46</v>
      </c>
      <c r="M161" s="25">
        <v>60</v>
      </c>
      <c r="N161" s="25">
        <v>8</v>
      </c>
      <c r="O161" s="61">
        <v>0</v>
      </c>
      <c r="P161" s="61">
        <v>0.14000000000000001</v>
      </c>
      <c r="Q161" s="61">
        <v>0.66</v>
      </c>
      <c r="R161" s="61">
        <v>0.2</v>
      </c>
      <c r="S161" s="61">
        <v>0.31</v>
      </c>
      <c r="T161" s="61">
        <v>0.39</v>
      </c>
      <c r="U161" s="61">
        <v>0.37</v>
      </c>
      <c r="V161" s="12">
        <v>59</v>
      </c>
      <c r="W161" s="12">
        <v>9</v>
      </c>
      <c r="X161" s="66">
        <v>0.02</v>
      </c>
      <c r="Y161" s="66">
        <v>0.14000000000000001</v>
      </c>
      <c r="Z161" s="66">
        <v>0.57999999999999996</v>
      </c>
      <c r="AA161" s="66">
        <v>0.27</v>
      </c>
      <c r="AB161" s="66">
        <v>0.33</v>
      </c>
      <c r="AC161" s="66">
        <v>0.39</v>
      </c>
      <c r="AD161" s="66">
        <v>0.4</v>
      </c>
      <c r="AE161" s="12">
        <v>61</v>
      </c>
      <c r="AF161" s="12">
        <v>7</v>
      </c>
      <c r="AG161" s="63">
        <v>0</v>
      </c>
      <c r="AH161" s="63">
        <v>0.04</v>
      </c>
      <c r="AI161" s="63">
        <v>0.7</v>
      </c>
      <c r="AJ161" s="63">
        <v>0.27</v>
      </c>
      <c r="AK161" s="63">
        <v>0.31</v>
      </c>
      <c r="AL161" s="63">
        <v>0.24</v>
      </c>
      <c r="AM161" s="63">
        <v>0.28999999999999998</v>
      </c>
      <c r="AN161" s="35">
        <v>59</v>
      </c>
      <c r="AO161" s="35">
        <v>7</v>
      </c>
      <c r="AP161" s="40">
        <v>0</v>
      </c>
      <c r="AQ161" s="40">
        <v>0.14000000000000001</v>
      </c>
      <c r="AR161" s="40">
        <v>0.65</v>
      </c>
      <c r="AS161" s="40">
        <v>0.22</v>
      </c>
      <c r="AT161" s="40">
        <v>0.38</v>
      </c>
      <c r="AU161" s="40">
        <v>0.27</v>
      </c>
      <c r="AV161" s="40">
        <v>0.34</v>
      </c>
      <c r="AW161" s="246">
        <v>58</v>
      </c>
      <c r="AX161" s="246" t="s">
        <v>758</v>
      </c>
      <c r="AY161" s="246">
        <v>8</v>
      </c>
      <c r="AZ161" s="246" t="s">
        <v>758</v>
      </c>
      <c r="BA161" s="263">
        <v>0</v>
      </c>
      <c r="BB161" s="263">
        <v>0.17</v>
      </c>
      <c r="BC161" s="263">
        <v>0.7</v>
      </c>
      <c r="BD161" s="263">
        <v>0.13</v>
      </c>
      <c r="BE161" s="263">
        <v>0.35</v>
      </c>
      <c r="BF161" s="263">
        <v>0.28000000000000003</v>
      </c>
      <c r="BG161" s="263">
        <v>0.5</v>
      </c>
      <c r="BH161" s="309">
        <v>59</v>
      </c>
      <c r="BI161" s="309" t="s">
        <v>758</v>
      </c>
      <c r="BJ161" s="309">
        <v>9</v>
      </c>
      <c r="BK161" s="309" t="s">
        <v>758</v>
      </c>
      <c r="BL161" s="327">
        <v>0.01</v>
      </c>
      <c r="BM161" s="327">
        <v>0.15</v>
      </c>
      <c r="BN161" s="327">
        <v>0.55000000000000004</v>
      </c>
      <c r="BO161" s="327">
        <v>0.28999999999999998</v>
      </c>
      <c r="BP161" s="327">
        <v>0.38</v>
      </c>
      <c r="BQ161" s="327">
        <v>0.26</v>
      </c>
      <c r="BR161" s="327">
        <v>0.35</v>
      </c>
      <c r="BS161" s="424">
        <v>60</v>
      </c>
      <c r="BT161" s="424" t="s">
        <v>758</v>
      </c>
      <c r="BU161" s="424">
        <v>8</v>
      </c>
      <c r="BV161" s="424" t="s">
        <v>758</v>
      </c>
      <c r="BW161" s="428">
        <v>0</v>
      </c>
      <c r="BX161" s="428">
        <v>0.13</v>
      </c>
      <c r="BY161" s="428">
        <v>0.67</v>
      </c>
      <c r="BZ161" s="428">
        <v>0.2</v>
      </c>
      <c r="CA161" s="428">
        <v>0.28999999999999998</v>
      </c>
      <c r="CB161" s="428">
        <v>0.37</v>
      </c>
      <c r="CC161" s="428">
        <v>0.39</v>
      </c>
      <c r="CD161" s="464">
        <v>61</v>
      </c>
      <c r="CE161" s="464" t="s">
        <v>758</v>
      </c>
      <c r="CF161" s="464">
        <v>8</v>
      </c>
      <c r="CG161" s="464" t="s">
        <v>758</v>
      </c>
      <c r="CH161" s="476">
        <v>0</v>
      </c>
      <c r="CI161" s="476">
        <v>0.14000000000000001</v>
      </c>
      <c r="CJ161" s="476">
        <v>0.51</v>
      </c>
      <c r="CK161" s="476">
        <v>0.35</v>
      </c>
      <c r="CL161" s="476">
        <v>0.34</v>
      </c>
      <c r="CM161" s="476">
        <v>0.36</v>
      </c>
      <c r="CN161" s="476">
        <v>0.24</v>
      </c>
      <c r="CO161" s="902">
        <v>59</v>
      </c>
      <c r="CP161" s="902" t="s">
        <v>758</v>
      </c>
      <c r="CQ161" s="902">
        <v>8</v>
      </c>
      <c r="CR161" s="902" t="s">
        <v>758</v>
      </c>
      <c r="CS161" s="949">
        <v>0.01</v>
      </c>
      <c r="CT161" s="949">
        <v>0.14000000000000001</v>
      </c>
      <c r="CU161" s="949">
        <v>0.56000000000000005</v>
      </c>
      <c r="CV161" s="949">
        <v>0.28999999999999998</v>
      </c>
      <c r="CW161" s="949">
        <v>0.27</v>
      </c>
      <c r="CX161" s="949">
        <v>0.35</v>
      </c>
      <c r="CY161" s="949">
        <v>0.44</v>
      </c>
      <c r="CZ161" s="26">
        <v>325754002901</v>
      </c>
      <c r="DA161" s="803" t="s">
        <v>18</v>
      </c>
    </row>
    <row r="162" spans="1:105" ht="24.95" customHeight="1" x14ac:dyDescent="0.2">
      <c r="A162" s="803" t="s">
        <v>68</v>
      </c>
      <c r="B162" s="1" t="s">
        <v>123</v>
      </c>
      <c r="C162" s="2">
        <v>3</v>
      </c>
      <c r="D162" s="12">
        <v>55</v>
      </c>
      <c r="E162" s="12">
        <v>8</v>
      </c>
      <c r="F162" s="63">
        <v>0</v>
      </c>
      <c r="G162" s="63">
        <v>0.27</v>
      </c>
      <c r="H162" s="63">
        <v>0.67</v>
      </c>
      <c r="I162" s="63">
        <v>7.0000000000000007E-2</v>
      </c>
      <c r="J162" s="63">
        <v>0.4</v>
      </c>
      <c r="K162" s="63">
        <v>0.49</v>
      </c>
      <c r="L162" s="63">
        <v>0.54</v>
      </c>
      <c r="M162" s="25">
        <v>54</v>
      </c>
      <c r="N162" s="25">
        <v>7</v>
      </c>
      <c r="O162" s="61">
        <v>0</v>
      </c>
      <c r="P162" s="61">
        <v>0.32</v>
      </c>
      <c r="Q162" s="61">
        <v>0.64</v>
      </c>
      <c r="R162" s="61">
        <v>0.04</v>
      </c>
      <c r="S162" s="61">
        <v>0.38</v>
      </c>
      <c r="T162" s="61">
        <v>0.48</v>
      </c>
      <c r="U162" s="61">
        <v>0.53</v>
      </c>
      <c r="V162" s="12">
        <v>54</v>
      </c>
      <c r="W162" s="12">
        <v>8</v>
      </c>
      <c r="X162" s="66">
        <v>0.04</v>
      </c>
      <c r="Y162" s="66">
        <v>0.18</v>
      </c>
      <c r="Z162" s="66">
        <v>0.75</v>
      </c>
      <c r="AA162" s="66">
        <v>0.04</v>
      </c>
      <c r="AB162" s="66">
        <v>0.44</v>
      </c>
      <c r="AC162" s="66">
        <v>0.46</v>
      </c>
      <c r="AD162" s="66">
        <v>0.45</v>
      </c>
      <c r="AE162" s="12">
        <v>56</v>
      </c>
      <c r="AF162" s="12">
        <v>10</v>
      </c>
      <c r="AG162" s="63">
        <v>0</v>
      </c>
      <c r="AH162" s="63">
        <v>0.38</v>
      </c>
      <c r="AI162" s="63">
        <v>0.38</v>
      </c>
      <c r="AJ162" s="63">
        <v>0.24</v>
      </c>
      <c r="AK162" s="63">
        <v>0.38</v>
      </c>
      <c r="AL162" s="63">
        <v>0.36</v>
      </c>
      <c r="AM162" s="63">
        <v>0.41</v>
      </c>
      <c r="AN162" s="35">
        <v>49</v>
      </c>
      <c r="AO162" s="35">
        <v>8</v>
      </c>
      <c r="AP162" s="40">
        <v>0.03</v>
      </c>
      <c r="AQ162" s="40">
        <v>0.41</v>
      </c>
      <c r="AR162" s="40">
        <v>0.52</v>
      </c>
      <c r="AS162" s="40">
        <v>0.03</v>
      </c>
      <c r="AT162" s="40">
        <v>0.56999999999999995</v>
      </c>
      <c r="AU162" s="40">
        <v>0.45</v>
      </c>
      <c r="AV162" s="40">
        <v>0.48</v>
      </c>
      <c r="AW162" s="246">
        <v>57</v>
      </c>
      <c r="AX162" s="246" t="s">
        <v>758</v>
      </c>
      <c r="AY162" s="246">
        <v>8</v>
      </c>
      <c r="AZ162" s="246" t="s">
        <v>758</v>
      </c>
      <c r="BA162" s="263">
        <v>0</v>
      </c>
      <c r="BB162" s="263">
        <v>0.3</v>
      </c>
      <c r="BC162" s="263">
        <v>0.56999999999999995</v>
      </c>
      <c r="BD162" s="263">
        <v>0.14000000000000001</v>
      </c>
      <c r="BE162" s="263">
        <v>0.41</v>
      </c>
      <c r="BF162" s="263">
        <v>0.31</v>
      </c>
      <c r="BG162" s="263">
        <v>0.51</v>
      </c>
      <c r="BH162" s="309">
        <v>56</v>
      </c>
      <c r="BI162" s="309" t="s">
        <v>758</v>
      </c>
      <c r="BJ162" s="309">
        <v>10</v>
      </c>
      <c r="BK162" s="309" t="s">
        <v>758</v>
      </c>
      <c r="BL162" s="327">
        <v>0</v>
      </c>
      <c r="BM162" s="327">
        <v>0.33</v>
      </c>
      <c r="BN162" s="327">
        <v>0.53</v>
      </c>
      <c r="BO162" s="327">
        <v>0.15</v>
      </c>
      <c r="BP162" s="327">
        <v>0.44</v>
      </c>
      <c r="BQ162" s="327">
        <v>0.33</v>
      </c>
      <c r="BR162" s="327">
        <v>0.42</v>
      </c>
      <c r="BS162" s="424">
        <v>55</v>
      </c>
      <c r="BT162" s="424" t="s">
        <v>758</v>
      </c>
      <c r="BU162" s="424">
        <v>9</v>
      </c>
      <c r="BV162" s="424" t="s">
        <v>758</v>
      </c>
      <c r="BW162" s="428">
        <v>0</v>
      </c>
      <c r="BX162" s="428">
        <v>0.33</v>
      </c>
      <c r="BY162" s="428">
        <v>0.53</v>
      </c>
      <c r="BZ162" s="428">
        <v>0.13</v>
      </c>
      <c r="CA162" s="428">
        <v>0.35</v>
      </c>
      <c r="CB162" s="428">
        <v>0.49</v>
      </c>
      <c r="CC162" s="428">
        <v>0.44</v>
      </c>
      <c r="CD162" s="464">
        <v>51</v>
      </c>
      <c r="CE162" s="464" t="s">
        <v>758</v>
      </c>
      <c r="CF162" s="464">
        <v>8</v>
      </c>
      <c r="CG162" s="464" t="s">
        <v>758</v>
      </c>
      <c r="CH162" s="476">
        <v>0.09</v>
      </c>
      <c r="CI162" s="476">
        <v>0.36</v>
      </c>
      <c r="CJ162" s="476">
        <v>0.55000000000000004</v>
      </c>
      <c r="CK162" s="476">
        <v>0</v>
      </c>
      <c r="CL162" s="476">
        <v>0.5</v>
      </c>
      <c r="CM162" s="476">
        <v>0.46</v>
      </c>
      <c r="CN162" s="476">
        <v>0.4</v>
      </c>
      <c r="CO162" s="902">
        <v>55</v>
      </c>
      <c r="CP162" s="902" t="s">
        <v>758</v>
      </c>
      <c r="CQ162" s="902">
        <v>13</v>
      </c>
      <c r="CR162" s="902" t="s">
        <v>759</v>
      </c>
      <c r="CS162" s="949">
        <v>0.05</v>
      </c>
      <c r="CT162" s="949">
        <v>0.32</v>
      </c>
      <c r="CU162" s="949">
        <v>0.45</v>
      </c>
      <c r="CV162" s="949">
        <v>0.18</v>
      </c>
      <c r="CW162" s="949">
        <v>0.33</v>
      </c>
      <c r="CX162" s="949">
        <v>0.47</v>
      </c>
      <c r="CY162" s="949">
        <v>0.46</v>
      </c>
      <c r="CZ162" s="26">
        <v>325754004661</v>
      </c>
      <c r="DA162" s="803" t="s">
        <v>68</v>
      </c>
    </row>
    <row r="163" spans="1:105" ht="24.95" customHeight="1" x14ac:dyDescent="0.2">
      <c r="A163" s="803" t="s">
        <v>112</v>
      </c>
      <c r="B163" s="1" t="s">
        <v>123</v>
      </c>
      <c r="C163" s="2">
        <v>5</v>
      </c>
      <c r="D163" s="12">
        <v>53</v>
      </c>
      <c r="E163" s="12">
        <v>9</v>
      </c>
      <c r="F163" s="63">
        <v>0.03</v>
      </c>
      <c r="G163" s="63">
        <v>0.38</v>
      </c>
      <c r="H163" s="63">
        <v>0.5</v>
      </c>
      <c r="I163" s="63">
        <v>0.09</v>
      </c>
      <c r="J163" s="63">
        <v>0.44</v>
      </c>
      <c r="K163" s="63">
        <v>0.53</v>
      </c>
      <c r="L163" s="63">
        <v>0.56000000000000005</v>
      </c>
      <c r="M163" s="25">
        <v>58</v>
      </c>
      <c r="N163" s="25">
        <v>9</v>
      </c>
      <c r="O163" s="61">
        <v>0.05</v>
      </c>
      <c r="P163" s="61">
        <v>0.13</v>
      </c>
      <c r="Q163" s="61">
        <v>0.68</v>
      </c>
      <c r="R163" s="61">
        <v>0.15</v>
      </c>
      <c r="S163" s="61">
        <v>0.35</v>
      </c>
      <c r="T163" s="61">
        <v>0.43</v>
      </c>
      <c r="U163" s="61">
        <v>0.42</v>
      </c>
      <c r="V163" s="12">
        <v>56</v>
      </c>
      <c r="W163" s="12">
        <v>8</v>
      </c>
      <c r="X163" s="66">
        <v>0.02</v>
      </c>
      <c r="Y163" s="66">
        <v>0.28999999999999998</v>
      </c>
      <c r="Z163" s="66">
        <v>0.55000000000000004</v>
      </c>
      <c r="AA163" s="66">
        <v>0.14000000000000001</v>
      </c>
      <c r="AB163" s="66">
        <v>0.4</v>
      </c>
      <c r="AC163" s="66">
        <v>0.47</v>
      </c>
      <c r="AD163" s="66">
        <v>0.46</v>
      </c>
      <c r="AE163" s="12">
        <v>57</v>
      </c>
      <c r="AF163" s="12">
        <v>9</v>
      </c>
      <c r="AG163" s="63">
        <v>0.02</v>
      </c>
      <c r="AH163" s="63">
        <v>0.24</v>
      </c>
      <c r="AI163" s="63">
        <v>0.55000000000000004</v>
      </c>
      <c r="AJ163" s="63">
        <v>0.2</v>
      </c>
      <c r="AK163" s="63">
        <v>0.38</v>
      </c>
      <c r="AL163" s="63">
        <v>0.33</v>
      </c>
      <c r="AM163" s="63">
        <v>0.37</v>
      </c>
      <c r="AN163" s="35">
        <v>58</v>
      </c>
      <c r="AO163" s="35">
        <v>7</v>
      </c>
      <c r="AP163" s="40">
        <v>0</v>
      </c>
      <c r="AQ163" s="40">
        <v>0.14000000000000001</v>
      </c>
      <c r="AR163" s="40">
        <v>0.7</v>
      </c>
      <c r="AS163" s="40">
        <v>0.16</v>
      </c>
      <c r="AT163" s="40">
        <v>0.39</v>
      </c>
      <c r="AU163" s="40">
        <v>0.28000000000000003</v>
      </c>
      <c r="AV163" s="40">
        <v>0.38</v>
      </c>
      <c r="AW163" s="246">
        <v>57</v>
      </c>
      <c r="AX163" s="246" t="s">
        <v>758</v>
      </c>
      <c r="AY163" s="246">
        <v>8</v>
      </c>
      <c r="AZ163" s="246" t="s">
        <v>758</v>
      </c>
      <c r="BA163" s="263">
        <v>0</v>
      </c>
      <c r="BB163" s="263">
        <v>0.21</v>
      </c>
      <c r="BC163" s="263">
        <v>0.69</v>
      </c>
      <c r="BD163" s="263">
        <v>0.1</v>
      </c>
      <c r="BE163" s="263">
        <v>0.36</v>
      </c>
      <c r="BF163" s="263">
        <v>0.3</v>
      </c>
      <c r="BG163" s="263">
        <v>0.53</v>
      </c>
      <c r="BH163" s="309">
        <v>60</v>
      </c>
      <c r="BI163" s="309" t="s">
        <v>758</v>
      </c>
      <c r="BJ163" s="309">
        <v>7</v>
      </c>
      <c r="BK163" s="309" t="s">
        <v>758</v>
      </c>
      <c r="BL163" s="327">
        <v>0</v>
      </c>
      <c r="BM163" s="327">
        <v>0.13</v>
      </c>
      <c r="BN163" s="327">
        <v>0.66</v>
      </c>
      <c r="BO163" s="327">
        <v>0.21</v>
      </c>
      <c r="BP163" s="327">
        <v>0.43</v>
      </c>
      <c r="BQ163" s="327">
        <v>0.26</v>
      </c>
      <c r="BR163" s="327">
        <v>0.3</v>
      </c>
      <c r="BS163" s="424">
        <v>58</v>
      </c>
      <c r="BT163" s="424" t="s">
        <v>758</v>
      </c>
      <c r="BU163" s="424">
        <v>9</v>
      </c>
      <c r="BV163" s="424" t="s">
        <v>758</v>
      </c>
      <c r="BW163" s="428">
        <v>0.02</v>
      </c>
      <c r="BX163" s="428">
        <v>0.18</v>
      </c>
      <c r="BY163" s="428">
        <v>0.62</v>
      </c>
      <c r="BZ163" s="428">
        <v>0.18</v>
      </c>
      <c r="CA163" s="428">
        <v>0.31</v>
      </c>
      <c r="CB163" s="428">
        <v>0.39</v>
      </c>
      <c r="CC163" s="428">
        <v>0.42</v>
      </c>
      <c r="CD163" s="464">
        <v>58</v>
      </c>
      <c r="CE163" s="464" t="s">
        <v>758</v>
      </c>
      <c r="CF163" s="464">
        <v>7</v>
      </c>
      <c r="CG163" s="464" t="s">
        <v>758</v>
      </c>
      <c r="CH163" s="476">
        <v>0</v>
      </c>
      <c r="CI163" s="476">
        <v>0.14000000000000001</v>
      </c>
      <c r="CJ163" s="476">
        <v>0.69</v>
      </c>
      <c r="CK163" s="476">
        <v>0.17</v>
      </c>
      <c r="CL163" s="476">
        <v>0.4</v>
      </c>
      <c r="CM163" s="476">
        <v>0.38</v>
      </c>
      <c r="CN163" s="476">
        <v>0.28999999999999998</v>
      </c>
      <c r="CO163" s="902">
        <v>58</v>
      </c>
      <c r="CP163" s="902" t="s">
        <v>758</v>
      </c>
      <c r="CQ163" s="902">
        <v>9</v>
      </c>
      <c r="CR163" s="902" t="s">
        <v>758</v>
      </c>
      <c r="CS163" s="949">
        <v>0</v>
      </c>
      <c r="CT163" s="949">
        <v>0.18</v>
      </c>
      <c r="CU163" s="949">
        <v>0.7</v>
      </c>
      <c r="CV163" s="949">
        <v>0.12</v>
      </c>
      <c r="CW163" s="949">
        <v>0.3</v>
      </c>
      <c r="CX163" s="949">
        <v>0.4</v>
      </c>
      <c r="CY163" s="949">
        <v>0.44</v>
      </c>
      <c r="CZ163" s="26">
        <v>325754004441</v>
      </c>
      <c r="DA163" s="803" t="s">
        <v>112</v>
      </c>
    </row>
    <row r="164" spans="1:105" ht="24.95" customHeight="1" x14ac:dyDescent="0.2">
      <c r="A164" s="805" t="s">
        <v>110</v>
      </c>
      <c r="B164" s="1" t="s">
        <v>121</v>
      </c>
      <c r="C164" s="2">
        <v>5</v>
      </c>
      <c r="D164" s="12">
        <v>56</v>
      </c>
      <c r="E164" s="12">
        <v>8</v>
      </c>
      <c r="F164" s="63">
        <v>0.01</v>
      </c>
      <c r="G164" s="63">
        <v>0.25</v>
      </c>
      <c r="H164" s="63">
        <v>0.64</v>
      </c>
      <c r="I164" s="63">
        <v>0.1</v>
      </c>
      <c r="J164" s="63">
        <v>0.41</v>
      </c>
      <c r="K164" s="63">
        <v>0.42</v>
      </c>
      <c r="L164" s="63">
        <v>0.53</v>
      </c>
      <c r="M164" s="25">
        <v>59</v>
      </c>
      <c r="N164" s="25">
        <v>7</v>
      </c>
      <c r="O164" s="61">
        <v>0</v>
      </c>
      <c r="P164" s="61">
        <v>0.16</v>
      </c>
      <c r="Q164" s="61">
        <v>0.63</v>
      </c>
      <c r="R164" s="61">
        <v>0.21</v>
      </c>
      <c r="S164" s="61">
        <v>0.34</v>
      </c>
      <c r="T164" s="61">
        <v>0.38</v>
      </c>
      <c r="U164" s="61">
        <v>0.39</v>
      </c>
      <c r="V164" s="12">
        <v>57</v>
      </c>
      <c r="W164" s="12">
        <v>8</v>
      </c>
      <c r="X164" s="66">
        <v>0.01</v>
      </c>
      <c r="Y164" s="66">
        <v>0.15</v>
      </c>
      <c r="Z164" s="66">
        <v>0.66</v>
      </c>
      <c r="AA164" s="66">
        <v>0.18</v>
      </c>
      <c r="AB164" s="66">
        <v>0.37</v>
      </c>
      <c r="AC164" s="66">
        <v>0.43</v>
      </c>
      <c r="AD164" s="66">
        <v>0.44</v>
      </c>
      <c r="AE164" s="12">
        <v>59</v>
      </c>
      <c r="AF164" s="12">
        <v>7</v>
      </c>
      <c r="AG164" s="63">
        <v>0</v>
      </c>
      <c r="AH164" s="63">
        <v>0.16</v>
      </c>
      <c r="AI164" s="63">
        <v>0.63</v>
      </c>
      <c r="AJ164" s="63">
        <v>0.21</v>
      </c>
      <c r="AK164" s="63">
        <v>0.34</v>
      </c>
      <c r="AL164" s="63">
        <v>0.26</v>
      </c>
      <c r="AM164" s="63">
        <v>0.35</v>
      </c>
      <c r="AN164" s="35">
        <v>60</v>
      </c>
      <c r="AO164" s="35">
        <v>7</v>
      </c>
      <c r="AP164" s="40">
        <v>0</v>
      </c>
      <c r="AQ164" s="40">
        <v>0.08</v>
      </c>
      <c r="AR164" s="40">
        <v>0.76</v>
      </c>
      <c r="AS164" s="40">
        <v>0.16</v>
      </c>
      <c r="AT164" s="40">
        <v>0.36</v>
      </c>
      <c r="AU164" s="40">
        <v>0.25</v>
      </c>
      <c r="AV164" s="40">
        <v>0.35</v>
      </c>
      <c r="AW164" s="246">
        <v>59</v>
      </c>
      <c r="AX164" s="246" t="s">
        <v>758</v>
      </c>
      <c r="AY164" s="246">
        <v>8</v>
      </c>
      <c r="AZ164" s="246" t="s">
        <v>758</v>
      </c>
      <c r="BA164" s="263">
        <v>0</v>
      </c>
      <c r="BB164" s="263">
        <v>0.15</v>
      </c>
      <c r="BC164" s="263">
        <v>0.67</v>
      </c>
      <c r="BD164" s="263">
        <v>0.19</v>
      </c>
      <c r="BE164" s="263">
        <v>0.33</v>
      </c>
      <c r="BF164" s="263">
        <v>0.3</v>
      </c>
      <c r="BG164" s="263">
        <v>0.47</v>
      </c>
      <c r="BH164" s="309">
        <v>60</v>
      </c>
      <c r="BI164" s="309" t="s">
        <v>758</v>
      </c>
      <c r="BJ164" s="309">
        <v>7</v>
      </c>
      <c r="BK164" s="309" t="s">
        <v>758</v>
      </c>
      <c r="BL164" s="327">
        <v>0.01</v>
      </c>
      <c r="BM164" s="327">
        <v>7.0000000000000007E-2</v>
      </c>
      <c r="BN164" s="327">
        <v>0.67</v>
      </c>
      <c r="BO164" s="327">
        <v>0.25</v>
      </c>
      <c r="BP164" s="327">
        <v>0.35</v>
      </c>
      <c r="BQ164" s="327">
        <v>0.25</v>
      </c>
      <c r="BR164" s="327">
        <v>0.32</v>
      </c>
      <c r="BS164" s="424">
        <v>59</v>
      </c>
      <c r="BT164" s="424" t="s">
        <v>758</v>
      </c>
      <c r="BU164" s="424">
        <v>8</v>
      </c>
      <c r="BV164" s="424" t="s">
        <v>758</v>
      </c>
      <c r="BW164" s="428">
        <v>0</v>
      </c>
      <c r="BX164" s="428">
        <v>0.14000000000000001</v>
      </c>
      <c r="BY164" s="428">
        <v>0.68</v>
      </c>
      <c r="BZ164" s="428">
        <v>0.18</v>
      </c>
      <c r="CA164" s="428">
        <v>0.28000000000000003</v>
      </c>
      <c r="CB164" s="428">
        <v>0.38</v>
      </c>
      <c r="CC164" s="428">
        <v>0.44</v>
      </c>
      <c r="CD164" s="464">
        <v>59</v>
      </c>
      <c r="CE164" s="464" t="s">
        <v>758</v>
      </c>
      <c r="CF164" s="464">
        <v>8</v>
      </c>
      <c r="CG164" s="464" t="s">
        <v>758</v>
      </c>
      <c r="CH164" s="476">
        <v>0.01</v>
      </c>
      <c r="CI164" s="476">
        <v>0.1</v>
      </c>
      <c r="CJ164" s="476">
        <v>0.64</v>
      </c>
      <c r="CK164" s="476">
        <v>0.26</v>
      </c>
      <c r="CL164" s="476">
        <v>0.39</v>
      </c>
      <c r="CM164" s="476">
        <v>0.37</v>
      </c>
      <c r="CN164" s="476">
        <v>0.25</v>
      </c>
      <c r="CO164" s="902">
        <v>60</v>
      </c>
      <c r="CP164" s="902" t="s">
        <v>758</v>
      </c>
      <c r="CQ164" s="902">
        <v>9</v>
      </c>
      <c r="CR164" s="902" t="s">
        <v>758</v>
      </c>
      <c r="CS164" s="949">
        <v>0</v>
      </c>
      <c r="CT164" s="949">
        <v>0.18</v>
      </c>
      <c r="CU164" s="949">
        <v>0.51</v>
      </c>
      <c r="CV164" s="949">
        <v>0.31</v>
      </c>
      <c r="CW164" s="949">
        <v>0.23</v>
      </c>
      <c r="CX164" s="949">
        <v>0.36</v>
      </c>
      <c r="CY164" s="949">
        <v>0.4</v>
      </c>
      <c r="CZ164" s="26">
        <v>325754005471</v>
      </c>
      <c r="DA164" s="805" t="s">
        <v>110</v>
      </c>
    </row>
    <row r="165" spans="1:105" ht="24.95" customHeight="1" x14ac:dyDescent="0.2">
      <c r="A165" s="803" t="s">
        <v>116</v>
      </c>
      <c r="B165" s="1" t="s">
        <v>123</v>
      </c>
      <c r="C165" s="2">
        <v>5</v>
      </c>
      <c r="D165" s="12">
        <v>58</v>
      </c>
      <c r="E165" s="12">
        <v>5</v>
      </c>
      <c r="F165" s="63">
        <v>0</v>
      </c>
      <c r="G165" s="63">
        <v>0.05</v>
      </c>
      <c r="H165" s="63">
        <v>0.95</v>
      </c>
      <c r="I165" s="63">
        <v>0</v>
      </c>
      <c r="J165" s="63">
        <v>0.42</v>
      </c>
      <c r="K165" s="63">
        <v>0.38</v>
      </c>
      <c r="L165" s="63">
        <v>0.5</v>
      </c>
      <c r="M165" s="25">
        <v>61</v>
      </c>
      <c r="N165" s="25">
        <v>6</v>
      </c>
      <c r="O165" s="61">
        <v>0</v>
      </c>
      <c r="P165" s="61">
        <v>7.0000000000000007E-2</v>
      </c>
      <c r="Q165" s="61">
        <v>0.71</v>
      </c>
      <c r="R165" s="61">
        <v>0.21</v>
      </c>
      <c r="S165" s="61">
        <v>0.27</v>
      </c>
      <c r="T165" s="61">
        <v>0.39</v>
      </c>
      <c r="U165" s="61">
        <v>0.34</v>
      </c>
      <c r="V165" s="12">
        <v>61</v>
      </c>
      <c r="W165" s="12">
        <v>8</v>
      </c>
      <c r="X165" s="66">
        <v>0</v>
      </c>
      <c r="Y165" s="66">
        <v>0.14000000000000001</v>
      </c>
      <c r="Z165" s="66">
        <v>0.56999999999999995</v>
      </c>
      <c r="AA165" s="66">
        <v>0.28999999999999998</v>
      </c>
      <c r="AB165" s="66">
        <v>0.31</v>
      </c>
      <c r="AC165" s="66">
        <v>0.35</v>
      </c>
      <c r="AD165" s="66">
        <v>0.41</v>
      </c>
      <c r="AE165" s="12">
        <v>59</v>
      </c>
      <c r="AF165" s="12">
        <v>7</v>
      </c>
      <c r="AG165" s="63">
        <v>0</v>
      </c>
      <c r="AH165" s="63">
        <v>0.15</v>
      </c>
      <c r="AI165" s="63">
        <v>0.7</v>
      </c>
      <c r="AJ165" s="63">
        <v>0.15</v>
      </c>
      <c r="AK165" s="63">
        <v>0.35</v>
      </c>
      <c r="AL165" s="63">
        <v>0.32</v>
      </c>
      <c r="AM165" s="63">
        <v>0.32</v>
      </c>
      <c r="AN165" s="35">
        <v>58</v>
      </c>
      <c r="AO165" s="35">
        <v>7</v>
      </c>
      <c r="AP165" s="40">
        <v>0</v>
      </c>
      <c r="AQ165" s="40">
        <v>0.12</v>
      </c>
      <c r="AR165" s="40">
        <v>0.77</v>
      </c>
      <c r="AS165" s="40">
        <v>0.12</v>
      </c>
      <c r="AT165" s="40">
        <v>0.41</v>
      </c>
      <c r="AU165" s="40">
        <v>0.3</v>
      </c>
      <c r="AV165" s="40">
        <v>0.37</v>
      </c>
      <c r="AW165" s="246">
        <v>59</v>
      </c>
      <c r="AX165" s="246" t="s">
        <v>758</v>
      </c>
      <c r="AY165" s="246">
        <v>9</v>
      </c>
      <c r="AZ165" s="246" t="s">
        <v>758</v>
      </c>
      <c r="BA165" s="263">
        <v>0</v>
      </c>
      <c r="BB165" s="263">
        <v>0.12</v>
      </c>
      <c r="BC165" s="263">
        <v>0.6</v>
      </c>
      <c r="BD165" s="263">
        <v>0.28000000000000003</v>
      </c>
      <c r="BE165" s="263">
        <v>0.37</v>
      </c>
      <c r="BF165" s="263">
        <v>0.28000000000000003</v>
      </c>
      <c r="BG165" s="263">
        <v>0.47</v>
      </c>
      <c r="BH165" s="309">
        <v>59</v>
      </c>
      <c r="BI165" s="309" t="s">
        <v>758</v>
      </c>
      <c r="BJ165" s="309">
        <v>8</v>
      </c>
      <c r="BK165" s="309" t="s">
        <v>758</v>
      </c>
      <c r="BL165" s="327">
        <v>0</v>
      </c>
      <c r="BM165" s="327">
        <v>0.16</v>
      </c>
      <c r="BN165" s="327">
        <v>0.63</v>
      </c>
      <c r="BO165" s="327">
        <v>0.21</v>
      </c>
      <c r="BP165" s="327">
        <v>0.4</v>
      </c>
      <c r="BQ165" s="327">
        <v>0.25</v>
      </c>
      <c r="BR165" s="327">
        <v>0.35</v>
      </c>
      <c r="BS165" s="424">
        <v>60</v>
      </c>
      <c r="BT165" s="424" t="s">
        <v>758</v>
      </c>
      <c r="BU165" s="424">
        <v>7</v>
      </c>
      <c r="BV165" s="424" t="s">
        <v>758</v>
      </c>
      <c r="BW165" s="428">
        <v>0</v>
      </c>
      <c r="BX165" s="428">
        <v>0.09</v>
      </c>
      <c r="BY165" s="428">
        <v>0.64</v>
      </c>
      <c r="BZ165" s="428">
        <v>0.27</v>
      </c>
      <c r="CA165" s="428">
        <v>0.27</v>
      </c>
      <c r="CB165" s="428">
        <v>0.38</v>
      </c>
      <c r="CC165" s="428">
        <v>0.37</v>
      </c>
      <c r="CD165" s="464">
        <v>60</v>
      </c>
      <c r="CE165" s="464" t="s">
        <v>758</v>
      </c>
      <c r="CF165" s="464">
        <v>8</v>
      </c>
      <c r="CG165" s="464" t="s">
        <v>758</v>
      </c>
      <c r="CH165" s="476">
        <v>0.01</v>
      </c>
      <c r="CI165" s="476">
        <v>0.08</v>
      </c>
      <c r="CJ165" s="476">
        <v>0.63</v>
      </c>
      <c r="CK165" s="476">
        <v>0.28000000000000003</v>
      </c>
      <c r="CL165" s="476">
        <v>0.38</v>
      </c>
      <c r="CM165" s="476">
        <v>0.35</v>
      </c>
      <c r="CN165" s="476">
        <v>0.25</v>
      </c>
      <c r="CO165" s="902">
        <v>62</v>
      </c>
      <c r="CP165" s="902" t="s">
        <v>758</v>
      </c>
      <c r="CQ165" s="902">
        <v>8</v>
      </c>
      <c r="CR165" s="902" t="s">
        <v>758</v>
      </c>
      <c r="CS165" s="949">
        <v>0</v>
      </c>
      <c r="CT165" s="949">
        <v>0.08</v>
      </c>
      <c r="CU165" s="949">
        <v>0.56000000000000005</v>
      </c>
      <c r="CV165" s="949">
        <v>0.35</v>
      </c>
      <c r="CW165" s="949">
        <v>0.18</v>
      </c>
      <c r="CX165" s="949">
        <v>0.3</v>
      </c>
      <c r="CY165" s="949">
        <v>0.4</v>
      </c>
      <c r="CZ165" s="26">
        <v>325754003878</v>
      </c>
      <c r="DA165" s="803" t="s">
        <v>116</v>
      </c>
    </row>
    <row r="166" spans="1:105" ht="24.95" customHeight="1" x14ac:dyDescent="0.2">
      <c r="A166" s="803" t="s">
        <v>98</v>
      </c>
      <c r="B166" s="1" t="s">
        <v>123</v>
      </c>
      <c r="C166" s="2">
        <v>5</v>
      </c>
      <c r="D166" s="12">
        <v>56</v>
      </c>
      <c r="E166" s="12">
        <v>8</v>
      </c>
      <c r="F166" s="63">
        <v>0</v>
      </c>
      <c r="G166" s="63">
        <v>0.3</v>
      </c>
      <c r="H166" s="63">
        <v>0.6</v>
      </c>
      <c r="I166" s="63">
        <v>0.1</v>
      </c>
      <c r="J166" s="63">
        <v>0.41</v>
      </c>
      <c r="K166" s="63">
        <v>0.44</v>
      </c>
      <c r="L166" s="63">
        <v>0.53</v>
      </c>
      <c r="M166" s="25">
        <v>58</v>
      </c>
      <c r="N166" s="25">
        <v>7</v>
      </c>
      <c r="O166" s="61">
        <v>0</v>
      </c>
      <c r="P166" s="61">
        <v>0.17</v>
      </c>
      <c r="Q166" s="61">
        <v>0.69</v>
      </c>
      <c r="R166" s="61">
        <v>0.14000000000000001</v>
      </c>
      <c r="S166" s="61">
        <v>0.38</v>
      </c>
      <c r="T166" s="61">
        <v>0.38</v>
      </c>
      <c r="U166" s="61">
        <v>0.44</v>
      </c>
      <c r="V166" s="12">
        <v>61</v>
      </c>
      <c r="W166" s="12">
        <v>6</v>
      </c>
      <c r="X166" s="66">
        <v>0</v>
      </c>
      <c r="Y166" s="66">
        <v>0.06</v>
      </c>
      <c r="Z166" s="66">
        <v>0.78</v>
      </c>
      <c r="AA166" s="66">
        <v>0.17</v>
      </c>
      <c r="AB166" s="66">
        <v>0.32</v>
      </c>
      <c r="AC166" s="66">
        <v>0.4</v>
      </c>
      <c r="AD166" s="66">
        <v>0.38</v>
      </c>
      <c r="AE166" s="12">
        <v>58</v>
      </c>
      <c r="AF166" s="12">
        <v>8</v>
      </c>
      <c r="AG166" s="63">
        <v>0</v>
      </c>
      <c r="AH166" s="63">
        <v>0.15</v>
      </c>
      <c r="AI166" s="63">
        <v>0.65</v>
      </c>
      <c r="AJ166" s="63">
        <v>0.2</v>
      </c>
      <c r="AK166" s="63">
        <v>0.34</v>
      </c>
      <c r="AL166" s="63">
        <v>0.31</v>
      </c>
      <c r="AM166" s="63">
        <v>0.33</v>
      </c>
      <c r="AN166" s="35">
        <v>56</v>
      </c>
      <c r="AO166" s="35">
        <v>5</v>
      </c>
      <c r="AP166" s="40">
        <v>0</v>
      </c>
      <c r="AQ166" s="40">
        <v>0.05</v>
      </c>
      <c r="AR166" s="40">
        <v>0.95</v>
      </c>
      <c r="AS166" s="40">
        <v>0</v>
      </c>
      <c r="AT166" s="40">
        <v>0.44</v>
      </c>
      <c r="AU166" s="40">
        <v>0.28999999999999998</v>
      </c>
      <c r="AV166" s="40">
        <v>0.37</v>
      </c>
      <c r="AW166" s="246">
        <v>56</v>
      </c>
      <c r="AX166" s="246" t="s">
        <v>758</v>
      </c>
      <c r="AY166" s="246">
        <v>7</v>
      </c>
      <c r="AZ166" s="246" t="s">
        <v>758</v>
      </c>
      <c r="BA166" s="263">
        <v>0</v>
      </c>
      <c r="BB166" s="263">
        <v>0.28999999999999998</v>
      </c>
      <c r="BC166" s="263">
        <v>0.64</v>
      </c>
      <c r="BD166" s="263">
        <v>7.0000000000000007E-2</v>
      </c>
      <c r="BE166" s="263">
        <v>0.37</v>
      </c>
      <c r="BF166" s="263">
        <v>0.35</v>
      </c>
      <c r="BG166" s="263">
        <v>0.54</v>
      </c>
      <c r="BH166" s="309">
        <v>63</v>
      </c>
      <c r="BI166" s="309" t="s">
        <v>759</v>
      </c>
      <c r="BJ166" s="309">
        <v>7</v>
      </c>
      <c r="BK166" s="309" t="s">
        <v>758</v>
      </c>
      <c r="BL166" s="327">
        <v>0</v>
      </c>
      <c r="BM166" s="327">
        <v>0.03</v>
      </c>
      <c r="BN166" s="327">
        <v>0.52</v>
      </c>
      <c r="BO166" s="327">
        <v>0.45</v>
      </c>
      <c r="BP166" s="327">
        <v>0.28999999999999998</v>
      </c>
      <c r="BQ166" s="327">
        <v>0.24</v>
      </c>
      <c r="BR166" s="327">
        <v>0.28000000000000003</v>
      </c>
      <c r="BS166" s="424">
        <v>59</v>
      </c>
      <c r="BT166" s="424" t="s">
        <v>758</v>
      </c>
      <c r="BU166" s="424">
        <v>9</v>
      </c>
      <c r="BV166" s="424" t="s">
        <v>758</v>
      </c>
      <c r="BW166" s="428">
        <v>0</v>
      </c>
      <c r="BX166" s="428">
        <v>0.17</v>
      </c>
      <c r="BY166" s="428">
        <v>0.64</v>
      </c>
      <c r="BZ166" s="428">
        <v>0.19</v>
      </c>
      <c r="CA166" s="428">
        <v>0.34</v>
      </c>
      <c r="CB166" s="428">
        <v>0.41</v>
      </c>
      <c r="CC166" s="428">
        <v>0.38</v>
      </c>
      <c r="CD166" s="464">
        <v>60</v>
      </c>
      <c r="CE166" s="464" t="s">
        <v>758</v>
      </c>
      <c r="CF166" s="464">
        <v>7</v>
      </c>
      <c r="CG166" s="464" t="s">
        <v>758</v>
      </c>
      <c r="CH166" s="476">
        <v>0</v>
      </c>
      <c r="CI166" s="476">
        <v>0.09</v>
      </c>
      <c r="CJ166" s="476">
        <v>0.64</v>
      </c>
      <c r="CK166" s="476">
        <v>0.27</v>
      </c>
      <c r="CL166" s="476">
        <v>0.37</v>
      </c>
      <c r="CM166" s="476">
        <v>0.37</v>
      </c>
      <c r="CN166" s="476">
        <v>0.25</v>
      </c>
      <c r="CO166" s="902">
        <v>60</v>
      </c>
      <c r="CP166" s="902" t="s">
        <v>758</v>
      </c>
      <c r="CQ166" s="902">
        <v>7</v>
      </c>
      <c r="CR166" s="902" t="s">
        <v>758</v>
      </c>
      <c r="CS166" s="949">
        <v>0</v>
      </c>
      <c r="CT166" s="949">
        <v>0.1</v>
      </c>
      <c r="CU166" s="949">
        <v>0.76</v>
      </c>
      <c r="CV166" s="949">
        <v>0.14000000000000001</v>
      </c>
      <c r="CW166" s="949">
        <v>0.23</v>
      </c>
      <c r="CX166" s="949">
        <v>0.35</v>
      </c>
      <c r="CY166" s="949">
        <v>0.41</v>
      </c>
      <c r="CZ166" s="26">
        <v>325754004262</v>
      </c>
      <c r="DA166" s="803" t="s">
        <v>98</v>
      </c>
    </row>
    <row r="167" spans="1:105" ht="24.95" customHeight="1" x14ac:dyDescent="0.2">
      <c r="A167" s="803" t="s">
        <v>175</v>
      </c>
      <c r="B167" s="1" t="s">
        <v>123</v>
      </c>
      <c r="C167" s="2">
        <v>4</v>
      </c>
      <c r="D167" s="12">
        <v>44</v>
      </c>
      <c r="E167" s="12">
        <v>4</v>
      </c>
      <c r="F167" s="63">
        <v>0</v>
      </c>
      <c r="G167" s="63">
        <v>1</v>
      </c>
      <c r="H167" s="63">
        <v>0</v>
      </c>
      <c r="I167" s="63">
        <v>0</v>
      </c>
      <c r="J167" s="63">
        <v>0.67</v>
      </c>
      <c r="K167" s="63">
        <v>0.71</v>
      </c>
      <c r="L167" s="63">
        <v>0.69</v>
      </c>
      <c r="M167" s="25">
        <v>46</v>
      </c>
      <c r="N167" s="25">
        <v>6</v>
      </c>
      <c r="O167" s="61">
        <v>0</v>
      </c>
      <c r="P167" s="61">
        <v>0.8</v>
      </c>
      <c r="Q167" s="61">
        <v>0.2</v>
      </c>
      <c r="R167" s="61">
        <v>0</v>
      </c>
      <c r="S167" s="61">
        <v>0.53</v>
      </c>
      <c r="T167" s="61">
        <v>0.57999999999999996</v>
      </c>
      <c r="U167" s="61">
        <v>0.71</v>
      </c>
      <c r="V167" s="25">
        <v>47</v>
      </c>
      <c r="W167" s="25">
        <v>6</v>
      </c>
      <c r="X167" s="66">
        <v>0</v>
      </c>
      <c r="Y167" s="66">
        <v>0.75</v>
      </c>
      <c r="Z167" s="66">
        <v>0.25</v>
      </c>
      <c r="AA167" s="66">
        <v>0</v>
      </c>
      <c r="AB167" s="66">
        <v>0.55000000000000004</v>
      </c>
      <c r="AC167" s="66">
        <v>0.55000000000000004</v>
      </c>
      <c r="AD167" s="66">
        <v>0.69</v>
      </c>
      <c r="AE167" s="12">
        <v>47</v>
      </c>
      <c r="AF167" s="12">
        <v>6</v>
      </c>
      <c r="AG167" s="63">
        <v>0</v>
      </c>
      <c r="AH167" s="63">
        <v>0.75</v>
      </c>
      <c r="AI167" s="63">
        <v>0.25</v>
      </c>
      <c r="AJ167" s="63">
        <v>0</v>
      </c>
      <c r="AK167" s="63">
        <v>0.48</v>
      </c>
      <c r="AL167" s="63">
        <v>0.54</v>
      </c>
      <c r="AM167" s="63">
        <v>0.5</v>
      </c>
      <c r="AN167" s="35">
        <v>44</v>
      </c>
      <c r="AO167" s="35">
        <v>5</v>
      </c>
      <c r="AP167" s="40">
        <v>0</v>
      </c>
      <c r="AQ167" s="40">
        <v>0.83</v>
      </c>
      <c r="AR167" s="40">
        <v>0.17</v>
      </c>
      <c r="AS167" s="40">
        <v>0</v>
      </c>
      <c r="AT167" s="40">
        <v>0.57999999999999996</v>
      </c>
      <c r="AU167" s="40">
        <v>0.56000000000000005</v>
      </c>
      <c r="AV167" s="40">
        <v>0.57999999999999996</v>
      </c>
      <c r="AW167" s="246">
        <v>50</v>
      </c>
      <c r="AX167" s="246" t="s">
        <v>758</v>
      </c>
      <c r="AY167" s="246">
        <v>6</v>
      </c>
      <c r="AZ167" s="246" t="s">
        <v>758</v>
      </c>
      <c r="BA167" s="263">
        <v>0</v>
      </c>
      <c r="BB167" s="263">
        <v>0.73</v>
      </c>
      <c r="BC167" s="263">
        <v>0.27</v>
      </c>
      <c r="BD167" s="263">
        <v>0</v>
      </c>
      <c r="BE167" s="263">
        <v>0.54</v>
      </c>
      <c r="BF167" s="263">
        <v>0.41</v>
      </c>
      <c r="BG167" s="263">
        <v>0.61</v>
      </c>
      <c r="BH167" s="309">
        <v>51</v>
      </c>
      <c r="BI167" s="309" t="s">
        <v>758</v>
      </c>
      <c r="BJ167" s="309">
        <v>8</v>
      </c>
      <c r="BK167" s="309" t="s">
        <v>758</v>
      </c>
      <c r="BL167" s="327">
        <v>0.09</v>
      </c>
      <c r="BM167" s="327">
        <v>0.36</v>
      </c>
      <c r="BN167" s="327">
        <v>0.55000000000000004</v>
      </c>
      <c r="BO167" s="327">
        <v>0</v>
      </c>
      <c r="BP167" s="327">
        <v>0.51</v>
      </c>
      <c r="BQ167" s="327">
        <v>0.4</v>
      </c>
      <c r="BR167" s="327">
        <v>0.53</v>
      </c>
      <c r="BS167" s="424">
        <v>49</v>
      </c>
      <c r="BT167" s="424" t="s">
        <v>758</v>
      </c>
      <c r="BU167" s="424">
        <v>11</v>
      </c>
      <c r="BV167" s="424" t="s">
        <v>758</v>
      </c>
      <c r="BW167" s="428">
        <v>0</v>
      </c>
      <c r="BX167" s="428">
        <v>0.8</v>
      </c>
      <c r="BY167" s="428">
        <v>0</v>
      </c>
      <c r="BZ167" s="428">
        <v>0.2</v>
      </c>
      <c r="CA167" s="428">
        <v>0.52</v>
      </c>
      <c r="CB167" s="428">
        <v>0.51</v>
      </c>
      <c r="CC167" s="428">
        <v>0.67</v>
      </c>
      <c r="CD167" s="464">
        <v>52</v>
      </c>
      <c r="CE167" s="464" t="s">
        <v>758</v>
      </c>
      <c r="CF167" s="464">
        <v>7</v>
      </c>
      <c r="CG167" s="464" t="s">
        <v>758</v>
      </c>
      <c r="CH167" s="476">
        <v>0</v>
      </c>
      <c r="CI167" s="476">
        <v>0.38</v>
      </c>
      <c r="CJ167" s="476">
        <v>0.63</v>
      </c>
      <c r="CK167" s="476">
        <v>0</v>
      </c>
      <c r="CL167" s="476">
        <v>0.47</v>
      </c>
      <c r="CM167" s="476">
        <v>0.5</v>
      </c>
      <c r="CN167" s="476">
        <v>0.37</v>
      </c>
      <c r="CO167" s="902">
        <v>56</v>
      </c>
      <c r="CP167" s="902" t="s">
        <v>758</v>
      </c>
      <c r="CQ167" s="902">
        <v>8</v>
      </c>
      <c r="CR167" s="902" t="s">
        <v>758</v>
      </c>
      <c r="CS167" s="949">
        <v>0</v>
      </c>
      <c r="CT167" s="949">
        <v>0.22</v>
      </c>
      <c r="CU167" s="949">
        <v>0.61</v>
      </c>
      <c r="CV167" s="949">
        <v>0.17</v>
      </c>
      <c r="CW167" s="949">
        <v>0.3</v>
      </c>
      <c r="CX167" s="949">
        <v>0.42</v>
      </c>
      <c r="CY167" s="949">
        <v>0.5</v>
      </c>
      <c r="CZ167" s="26">
        <v>325754005048</v>
      </c>
      <c r="DA167" s="803" t="s">
        <v>175</v>
      </c>
    </row>
    <row r="168" spans="1:105" ht="24.95" customHeight="1" x14ac:dyDescent="0.2">
      <c r="A168" s="803" t="s">
        <v>44</v>
      </c>
      <c r="B168" s="1" t="s">
        <v>123</v>
      </c>
      <c r="C168" s="2">
        <v>6</v>
      </c>
      <c r="D168" s="12">
        <v>55</v>
      </c>
      <c r="E168" s="12">
        <v>7</v>
      </c>
      <c r="F168" s="63">
        <v>0</v>
      </c>
      <c r="G168" s="63">
        <v>0.26</v>
      </c>
      <c r="H168" s="63">
        <v>0.67</v>
      </c>
      <c r="I168" s="63">
        <v>7.0000000000000007E-2</v>
      </c>
      <c r="J168" s="63">
        <v>0.36</v>
      </c>
      <c r="K168" s="63">
        <v>0.41</v>
      </c>
      <c r="L168" s="63">
        <v>0.54</v>
      </c>
      <c r="M168" s="25">
        <v>57</v>
      </c>
      <c r="N168" s="25">
        <v>7</v>
      </c>
      <c r="O168" s="61">
        <v>0</v>
      </c>
      <c r="P168" s="61">
        <v>0.22</v>
      </c>
      <c r="Q168" s="61">
        <v>0.7</v>
      </c>
      <c r="R168" s="61">
        <v>0.08</v>
      </c>
      <c r="S168" s="61">
        <v>0.4</v>
      </c>
      <c r="T168" s="61">
        <v>0.44</v>
      </c>
      <c r="U168" s="61">
        <v>0.4</v>
      </c>
      <c r="V168" s="12">
        <v>57</v>
      </c>
      <c r="W168" s="12">
        <v>9</v>
      </c>
      <c r="X168" s="66">
        <v>0</v>
      </c>
      <c r="Y168" s="66">
        <v>0.24</v>
      </c>
      <c r="Z168" s="66">
        <v>0.6</v>
      </c>
      <c r="AA168" s="66">
        <v>0.16</v>
      </c>
      <c r="AB168" s="66">
        <v>0.37</v>
      </c>
      <c r="AC168" s="66">
        <v>0.43</v>
      </c>
      <c r="AD168" s="66">
        <v>0.47</v>
      </c>
      <c r="AE168" s="12">
        <v>57</v>
      </c>
      <c r="AF168" s="12">
        <v>8</v>
      </c>
      <c r="AG168" s="63">
        <v>0.01</v>
      </c>
      <c r="AH168" s="63">
        <v>0.24</v>
      </c>
      <c r="AI168" s="63">
        <v>0.61</v>
      </c>
      <c r="AJ168" s="63">
        <v>0.14000000000000001</v>
      </c>
      <c r="AK168" s="63">
        <v>0.39</v>
      </c>
      <c r="AL168" s="63">
        <v>0.33</v>
      </c>
      <c r="AM168" s="63">
        <v>0.36</v>
      </c>
      <c r="AN168" s="35">
        <v>55</v>
      </c>
      <c r="AO168" s="35">
        <v>8</v>
      </c>
      <c r="AP168" s="40">
        <v>0.01</v>
      </c>
      <c r="AQ168" s="40">
        <v>0.27</v>
      </c>
      <c r="AR168" s="40">
        <v>0.57999999999999996</v>
      </c>
      <c r="AS168" s="40">
        <v>0.14000000000000001</v>
      </c>
      <c r="AT168" s="40">
        <v>0.46</v>
      </c>
      <c r="AU168" s="40">
        <v>0.32</v>
      </c>
      <c r="AV168" s="40">
        <v>0.39</v>
      </c>
      <c r="AW168" s="246">
        <v>56</v>
      </c>
      <c r="AX168" s="246" t="s">
        <v>758</v>
      </c>
      <c r="AY168" s="246">
        <v>8</v>
      </c>
      <c r="AZ168" s="246" t="s">
        <v>758</v>
      </c>
      <c r="BA168" s="263">
        <v>0.01</v>
      </c>
      <c r="BB168" s="263">
        <v>0.23</v>
      </c>
      <c r="BC168" s="263">
        <v>0.61</v>
      </c>
      <c r="BD168" s="263">
        <v>0.15</v>
      </c>
      <c r="BE168" s="263">
        <v>0.42</v>
      </c>
      <c r="BF168" s="263">
        <v>0.3</v>
      </c>
      <c r="BG168" s="263">
        <v>0.51</v>
      </c>
      <c r="BH168" s="309">
        <v>57</v>
      </c>
      <c r="BI168" s="309" t="s">
        <v>758</v>
      </c>
      <c r="BJ168" s="309">
        <v>7</v>
      </c>
      <c r="BK168" s="309" t="s">
        <v>758</v>
      </c>
      <c r="BL168" s="327">
        <v>0</v>
      </c>
      <c r="BM168" s="327">
        <v>0.19</v>
      </c>
      <c r="BN168" s="327">
        <v>0.74</v>
      </c>
      <c r="BO168" s="327">
        <v>7.0000000000000007E-2</v>
      </c>
      <c r="BP168" s="327">
        <v>0.45</v>
      </c>
      <c r="BQ168" s="327">
        <v>0.3</v>
      </c>
      <c r="BR168" s="327">
        <v>0.4</v>
      </c>
      <c r="BS168" s="424">
        <v>57</v>
      </c>
      <c r="BT168" s="424" t="s">
        <v>758</v>
      </c>
      <c r="BU168" s="424">
        <v>9</v>
      </c>
      <c r="BV168" s="424" t="s">
        <v>758</v>
      </c>
      <c r="BW168" s="428">
        <v>0.04</v>
      </c>
      <c r="BX168" s="428">
        <v>0.19</v>
      </c>
      <c r="BY168" s="428">
        <v>0.56999999999999995</v>
      </c>
      <c r="BZ168" s="428">
        <v>0.21</v>
      </c>
      <c r="CA168" s="428">
        <v>0.3</v>
      </c>
      <c r="CB168" s="428">
        <v>0.41</v>
      </c>
      <c r="CC168" s="428">
        <v>0.44</v>
      </c>
      <c r="CD168" s="464">
        <v>59</v>
      </c>
      <c r="CE168" s="464" t="s">
        <v>758</v>
      </c>
      <c r="CF168" s="464">
        <v>8</v>
      </c>
      <c r="CG168" s="464" t="s">
        <v>758</v>
      </c>
      <c r="CH168" s="476">
        <v>0</v>
      </c>
      <c r="CI168" s="476">
        <v>0.18</v>
      </c>
      <c r="CJ168" s="476">
        <v>0.59</v>
      </c>
      <c r="CK168" s="476">
        <v>0.23</v>
      </c>
      <c r="CL168" s="476">
        <v>0.39</v>
      </c>
      <c r="CM168" s="476">
        <v>0.36</v>
      </c>
      <c r="CN168" s="476">
        <v>0.27</v>
      </c>
      <c r="CO168" s="902">
        <v>59</v>
      </c>
      <c r="CP168" s="902" t="s">
        <v>758</v>
      </c>
      <c r="CQ168" s="902">
        <v>8</v>
      </c>
      <c r="CR168" s="902" t="s">
        <v>758</v>
      </c>
      <c r="CS168" s="949">
        <v>0</v>
      </c>
      <c r="CT168" s="949">
        <v>0.18</v>
      </c>
      <c r="CU168" s="949">
        <v>0.61</v>
      </c>
      <c r="CV168" s="949">
        <v>0.22</v>
      </c>
      <c r="CW168" s="949">
        <v>0.25</v>
      </c>
      <c r="CX168" s="949">
        <v>0.35</v>
      </c>
      <c r="CY168" s="949">
        <v>0.44</v>
      </c>
      <c r="CZ168" s="26">
        <v>325754001841</v>
      </c>
      <c r="DA168" s="803" t="s">
        <v>44</v>
      </c>
    </row>
    <row r="169" spans="1:105" s="892" customFormat="1" ht="24.95" customHeight="1" x14ac:dyDescent="0.2">
      <c r="A169" s="905" t="s">
        <v>961</v>
      </c>
      <c r="B169" s="1" t="s">
        <v>123</v>
      </c>
      <c r="C169" s="867">
        <v>5</v>
      </c>
      <c r="D169" s="868"/>
      <c r="E169" s="868"/>
      <c r="F169" s="906"/>
      <c r="G169" s="906"/>
      <c r="H169" s="906"/>
      <c r="I169" s="906"/>
      <c r="J169" s="906"/>
      <c r="K169" s="906"/>
      <c r="L169" s="906"/>
      <c r="M169" s="869"/>
      <c r="N169" s="869"/>
      <c r="O169" s="907"/>
      <c r="P169" s="907"/>
      <c r="Q169" s="907"/>
      <c r="R169" s="907"/>
      <c r="S169" s="907"/>
      <c r="T169" s="907"/>
      <c r="U169" s="907"/>
      <c r="V169" s="868"/>
      <c r="W169" s="868"/>
      <c r="X169" s="908"/>
      <c r="Y169" s="908"/>
      <c r="Z169" s="908"/>
      <c r="AA169" s="908"/>
      <c r="AB169" s="908"/>
      <c r="AC169" s="908"/>
      <c r="AD169" s="908"/>
      <c r="AE169" s="868"/>
      <c r="AF169" s="868"/>
      <c r="AG169" s="906"/>
      <c r="AH169" s="906"/>
      <c r="AI169" s="906"/>
      <c r="AJ169" s="906"/>
      <c r="AK169" s="906"/>
      <c r="AL169" s="906"/>
      <c r="AM169" s="906"/>
      <c r="AN169" s="909"/>
      <c r="AO169" s="909"/>
      <c r="AP169" s="910"/>
      <c r="AQ169" s="910"/>
      <c r="AR169" s="910"/>
      <c r="AS169" s="910"/>
      <c r="AT169" s="910"/>
      <c r="AU169" s="910"/>
      <c r="AV169" s="910"/>
      <c r="AW169" s="911"/>
      <c r="AX169" s="911"/>
      <c r="AY169" s="911"/>
      <c r="AZ169" s="911"/>
      <c r="BA169" s="912"/>
      <c r="BB169" s="912"/>
      <c r="BC169" s="912"/>
      <c r="BD169" s="912"/>
      <c r="BE169" s="912"/>
      <c r="BF169" s="912"/>
      <c r="BG169" s="912"/>
      <c r="BH169" s="867"/>
      <c r="BI169" s="867"/>
      <c r="BJ169" s="867"/>
      <c r="BK169" s="867"/>
      <c r="BL169" s="906"/>
      <c r="BM169" s="906"/>
      <c r="BN169" s="906"/>
      <c r="BO169" s="906"/>
      <c r="BP169" s="906"/>
      <c r="BQ169" s="906"/>
      <c r="BR169" s="906"/>
      <c r="BS169" s="913"/>
      <c r="BT169" s="913"/>
      <c r="BU169" s="913"/>
      <c r="BV169" s="913"/>
      <c r="BW169" s="914"/>
      <c r="BX169" s="914"/>
      <c r="BY169" s="914"/>
      <c r="BZ169" s="914"/>
      <c r="CA169" s="914"/>
      <c r="CB169" s="914"/>
      <c r="CC169" s="914"/>
      <c r="CD169" s="867"/>
      <c r="CE169" s="867"/>
      <c r="CF169" s="867"/>
      <c r="CG169" s="867"/>
      <c r="CH169" s="906"/>
      <c r="CI169" s="906"/>
      <c r="CJ169" s="906"/>
      <c r="CK169" s="906"/>
      <c r="CL169" s="906"/>
      <c r="CM169" s="906"/>
      <c r="CN169" s="906"/>
      <c r="CO169" s="902">
        <v>57</v>
      </c>
      <c r="CP169" s="902" t="s">
        <v>758</v>
      </c>
      <c r="CQ169" s="902">
        <v>7</v>
      </c>
      <c r="CR169" s="902" t="s">
        <v>758</v>
      </c>
      <c r="CS169" s="949">
        <v>0</v>
      </c>
      <c r="CT169" s="949">
        <v>0.13</v>
      </c>
      <c r="CU169" s="949">
        <v>0.75</v>
      </c>
      <c r="CV169" s="949">
        <v>0.13</v>
      </c>
      <c r="CW169" s="949">
        <v>0.28000000000000003</v>
      </c>
      <c r="CX169" s="949">
        <v>0.46</v>
      </c>
      <c r="CY169" s="949">
        <v>0.45</v>
      </c>
      <c r="CZ169" s="26">
        <v>325754800107</v>
      </c>
      <c r="DA169" s="905" t="s">
        <v>961</v>
      </c>
    </row>
    <row r="170" spans="1:105" ht="24.95" customHeight="1" x14ac:dyDescent="0.2">
      <c r="A170" s="803" t="s">
        <v>113</v>
      </c>
      <c r="B170" s="1" t="s">
        <v>123</v>
      </c>
      <c r="C170" s="2">
        <v>4</v>
      </c>
      <c r="D170" s="12">
        <v>55</v>
      </c>
      <c r="E170" s="12">
        <v>7</v>
      </c>
      <c r="F170" s="63">
        <v>0</v>
      </c>
      <c r="G170" s="63">
        <v>0.17</v>
      </c>
      <c r="H170" s="63">
        <v>0.75</v>
      </c>
      <c r="I170" s="63">
        <v>0.08</v>
      </c>
      <c r="J170" s="63">
        <v>0.39</v>
      </c>
      <c r="K170" s="63">
        <v>0.45</v>
      </c>
      <c r="L170" s="63">
        <v>0.51</v>
      </c>
      <c r="M170" s="25">
        <v>59</v>
      </c>
      <c r="N170" s="25">
        <v>8</v>
      </c>
      <c r="O170" s="61">
        <v>0</v>
      </c>
      <c r="P170" s="61">
        <v>0.13</v>
      </c>
      <c r="Q170" s="61">
        <v>0.69</v>
      </c>
      <c r="R170" s="61">
        <v>0.19</v>
      </c>
      <c r="S170" s="61">
        <v>0.34</v>
      </c>
      <c r="T170" s="61">
        <v>0.36</v>
      </c>
      <c r="U170" s="61">
        <v>0.41</v>
      </c>
      <c r="V170" s="12">
        <v>56</v>
      </c>
      <c r="W170" s="12">
        <v>4</v>
      </c>
      <c r="X170" s="66">
        <v>0</v>
      </c>
      <c r="Y170" s="66">
        <v>7.0000000000000007E-2</v>
      </c>
      <c r="Z170" s="66">
        <v>0.93</v>
      </c>
      <c r="AA170" s="66">
        <v>0</v>
      </c>
      <c r="AB170" s="66">
        <v>0.4</v>
      </c>
      <c r="AC170" s="66">
        <v>0.42</v>
      </c>
      <c r="AD170" s="66">
        <v>0.44</v>
      </c>
      <c r="AE170" s="12">
        <v>59</v>
      </c>
      <c r="AF170" s="12">
        <v>8</v>
      </c>
      <c r="AG170" s="63">
        <v>0</v>
      </c>
      <c r="AH170" s="63">
        <v>0.11</v>
      </c>
      <c r="AI170" s="63">
        <v>0.72</v>
      </c>
      <c r="AJ170" s="63">
        <v>0.17</v>
      </c>
      <c r="AK170" s="63">
        <v>0.32</v>
      </c>
      <c r="AL170" s="63">
        <v>0.26</v>
      </c>
      <c r="AM170" s="63">
        <v>0.39</v>
      </c>
      <c r="AN170" s="35">
        <v>54</v>
      </c>
      <c r="AO170" s="35">
        <v>9</v>
      </c>
      <c r="AP170" s="40">
        <v>0</v>
      </c>
      <c r="AQ170" s="40">
        <v>0.31</v>
      </c>
      <c r="AR170" s="40">
        <v>0.56000000000000005</v>
      </c>
      <c r="AS170" s="40">
        <v>0.13</v>
      </c>
      <c r="AT170" s="40">
        <v>0.47</v>
      </c>
      <c r="AU170" s="40">
        <v>0.34</v>
      </c>
      <c r="AV170" s="40">
        <v>0.5</v>
      </c>
      <c r="AW170" s="246">
        <v>55</v>
      </c>
      <c r="AX170" s="246" t="s">
        <v>758</v>
      </c>
      <c r="AY170" s="246">
        <v>9</v>
      </c>
      <c r="AZ170" s="246" t="s">
        <v>758</v>
      </c>
      <c r="BA170" s="263">
        <v>0.06</v>
      </c>
      <c r="BB170" s="263">
        <v>0.13</v>
      </c>
      <c r="BC170" s="263">
        <v>0.69</v>
      </c>
      <c r="BD170" s="263">
        <v>0.13</v>
      </c>
      <c r="BE170" s="263">
        <v>0.38</v>
      </c>
      <c r="BF170" s="263">
        <v>0.33</v>
      </c>
      <c r="BG170" s="263">
        <v>0.53</v>
      </c>
      <c r="BH170" s="309">
        <v>58</v>
      </c>
      <c r="BI170" s="309" t="s">
        <v>758</v>
      </c>
      <c r="BJ170" s="309">
        <v>10</v>
      </c>
      <c r="BK170" s="309" t="s">
        <v>758</v>
      </c>
      <c r="BL170" s="327">
        <v>0.05</v>
      </c>
      <c r="BM170" s="327">
        <v>0.16</v>
      </c>
      <c r="BN170" s="327">
        <v>0.53</v>
      </c>
      <c r="BO170" s="327">
        <v>0.26</v>
      </c>
      <c r="BP170" s="327">
        <v>0.43</v>
      </c>
      <c r="BQ170" s="327">
        <v>0.27</v>
      </c>
      <c r="BR170" s="327">
        <v>0.33</v>
      </c>
      <c r="BS170" s="424">
        <v>58</v>
      </c>
      <c r="BT170" s="424" t="s">
        <v>758</v>
      </c>
      <c r="BU170" s="424">
        <v>10</v>
      </c>
      <c r="BV170" s="424" t="s">
        <v>758</v>
      </c>
      <c r="BW170" s="428">
        <v>0</v>
      </c>
      <c r="BX170" s="428">
        <v>0.26</v>
      </c>
      <c r="BY170" s="428">
        <v>0.52</v>
      </c>
      <c r="BZ170" s="428">
        <v>0.22</v>
      </c>
      <c r="CA170" s="428">
        <v>0.25</v>
      </c>
      <c r="CB170" s="428">
        <v>0.44</v>
      </c>
      <c r="CC170" s="428">
        <v>0.41</v>
      </c>
      <c r="CD170" s="464">
        <v>62</v>
      </c>
      <c r="CE170" s="464" t="s">
        <v>758</v>
      </c>
      <c r="CF170" s="464">
        <v>8</v>
      </c>
      <c r="CG170" s="464" t="s">
        <v>758</v>
      </c>
      <c r="CH170" s="476">
        <v>0</v>
      </c>
      <c r="CI170" s="476">
        <v>0.08</v>
      </c>
      <c r="CJ170" s="476">
        <v>0.54</v>
      </c>
      <c r="CK170" s="476">
        <v>0.38</v>
      </c>
      <c r="CL170" s="476">
        <v>0.34</v>
      </c>
      <c r="CM170" s="476">
        <v>0.32</v>
      </c>
      <c r="CN170" s="476">
        <v>0.24</v>
      </c>
      <c r="CO170" s="902">
        <v>67</v>
      </c>
      <c r="CP170" s="902" t="s">
        <v>759</v>
      </c>
      <c r="CQ170" s="902">
        <v>6</v>
      </c>
      <c r="CR170" s="902" t="s">
        <v>758</v>
      </c>
      <c r="CS170" s="949">
        <v>0</v>
      </c>
      <c r="CT170" s="949">
        <v>0</v>
      </c>
      <c r="CU170" s="949">
        <v>0.4</v>
      </c>
      <c r="CV170" s="949">
        <v>0.6</v>
      </c>
      <c r="CW170" s="949">
        <v>0.15</v>
      </c>
      <c r="CX170" s="949">
        <v>0.2</v>
      </c>
      <c r="CY170" s="949">
        <v>0.33</v>
      </c>
      <c r="CZ170" s="26">
        <v>325754003771</v>
      </c>
      <c r="DA170" s="803" t="s">
        <v>113</v>
      </c>
    </row>
    <row r="171" spans="1:105" ht="24.95" customHeight="1" x14ac:dyDescent="0.2">
      <c r="A171" s="126" t="s">
        <v>59</v>
      </c>
      <c r="B171" s="1" t="s">
        <v>123</v>
      </c>
      <c r="C171" s="2">
        <v>5</v>
      </c>
      <c r="D171" s="12">
        <v>56</v>
      </c>
      <c r="E171" s="12">
        <v>11</v>
      </c>
      <c r="F171" s="63">
        <v>0.05</v>
      </c>
      <c r="G171" s="63">
        <v>0.21</v>
      </c>
      <c r="H171" s="63">
        <v>0.57999999999999996</v>
      </c>
      <c r="I171" s="63">
        <v>0.16</v>
      </c>
      <c r="J171" s="63">
        <v>0.43</v>
      </c>
      <c r="K171" s="63">
        <v>0.5</v>
      </c>
      <c r="L171" s="63">
        <v>0.56999999999999995</v>
      </c>
      <c r="M171" s="25">
        <v>57</v>
      </c>
      <c r="N171" s="25">
        <v>8</v>
      </c>
      <c r="O171" s="61">
        <v>0</v>
      </c>
      <c r="P171" s="61">
        <v>0.21</v>
      </c>
      <c r="Q171" s="61">
        <v>0.75</v>
      </c>
      <c r="R171" s="61">
        <v>0.04</v>
      </c>
      <c r="S171" s="61">
        <v>0.36</v>
      </c>
      <c r="T171" s="61">
        <v>0.46</v>
      </c>
      <c r="U171" s="61">
        <v>0.41</v>
      </c>
      <c r="V171" s="12">
        <v>55</v>
      </c>
      <c r="W171" s="12">
        <v>7</v>
      </c>
      <c r="X171" s="66">
        <v>0.06</v>
      </c>
      <c r="Y171" s="66">
        <v>0.18</v>
      </c>
      <c r="Z171" s="66">
        <v>0.76</v>
      </c>
      <c r="AA171" s="66">
        <v>0</v>
      </c>
      <c r="AB171" s="66">
        <v>0.43</v>
      </c>
      <c r="AC171" s="66">
        <v>0.44</v>
      </c>
      <c r="AD171" s="66">
        <v>0.5</v>
      </c>
      <c r="AE171" s="12">
        <v>57</v>
      </c>
      <c r="AF171" s="12">
        <v>10</v>
      </c>
      <c r="AG171" s="63">
        <v>0</v>
      </c>
      <c r="AH171" s="63">
        <v>0.24</v>
      </c>
      <c r="AI171" s="63">
        <v>0.56999999999999995</v>
      </c>
      <c r="AJ171" s="63">
        <v>0.19</v>
      </c>
      <c r="AK171" s="63">
        <v>0.38</v>
      </c>
      <c r="AL171" s="63">
        <v>0.3</v>
      </c>
      <c r="AM171" s="63">
        <v>0.37</v>
      </c>
      <c r="AN171" s="35">
        <v>60</v>
      </c>
      <c r="AO171" s="35">
        <v>8</v>
      </c>
      <c r="AP171" s="40">
        <v>0</v>
      </c>
      <c r="AQ171" s="40">
        <v>0.16</v>
      </c>
      <c r="AR171" s="40">
        <v>0.57999999999999996</v>
      </c>
      <c r="AS171" s="40">
        <v>0.26</v>
      </c>
      <c r="AT171" s="40">
        <v>0.32</v>
      </c>
      <c r="AU171" s="40">
        <v>0.3</v>
      </c>
      <c r="AV171" s="40">
        <v>0.3</v>
      </c>
      <c r="AW171" s="246">
        <v>56</v>
      </c>
      <c r="AX171" s="246" t="s">
        <v>758</v>
      </c>
      <c r="AY171" s="246">
        <v>7</v>
      </c>
      <c r="AZ171" s="246" t="s">
        <v>758</v>
      </c>
      <c r="BA171" s="263">
        <v>0</v>
      </c>
      <c r="BB171" s="263">
        <v>0.15</v>
      </c>
      <c r="BC171" s="263">
        <v>0.69</v>
      </c>
      <c r="BD171" s="263">
        <v>0.15</v>
      </c>
      <c r="BE171" s="263">
        <v>0.41</v>
      </c>
      <c r="BF171" s="263">
        <v>0.3</v>
      </c>
      <c r="BG171" s="263">
        <v>0.51</v>
      </c>
      <c r="BH171" s="309">
        <v>62</v>
      </c>
      <c r="BI171" s="309" t="s">
        <v>758</v>
      </c>
      <c r="BJ171" s="309">
        <v>6</v>
      </c>
      <c r="BK171" s="309" t="s">
        <v>758</v>
      </c>
      <c r="BL171" s="327">
        <v>0</v>
      </c>
      <c r="BM171" s="327">
        <v>0.04</v>
      </c>
      <c r="BN171" s="327">
        <v>0.65</v>
      </c>
      <c r="BO171" s="327">
        <v>0.3</v>
      </c>
      <c r="BP171" s="327">
        <v>0.34</v>
      </c>
      <c r="BQ171" s="327">
        <v>0.26</v>
      </c>
      <c r="BR171" s="327">
        <v>0.27</v>
      </c>
      <c r="BS171" s="424">
        <v>59</v>
      </c>
      <c r="BT171" s="424" t="s">
        <v>758</v>
      </c>
      <c r="BU171" s="424">
        <v>9</v>
      </c>
      <c r="BV171" s="424" t="s">
        <v>758</v>
      </c>
      <c r="BW171" s="428">
        <v>0</v>
      </c>
      <c r="BX171" s="428">
        <v>0.14000000000000001</v>
      </c>
      <c r="BY171" s="428">
        <v>0.71</v>
      </c>
      <c r="BZ171" s="428">
        <v>0.14000000000000001</v>
      </c>
      <c r="CA171" s="428">
        <v>0.37</v>
      </c>
      <c r="CB171" s="428">
        <v>0.38</v>
      </c>
      <c r="CC171" s="428">
        <v>0.39</v>
      </c>
      <c r="CD171" s="464">
        <v>57</v>
      </c>
      <c r="CE171" s="464" t="s">
        <v>758</v>
      </c>
      <c r="CF171" s="464">
        <v>11</v>
      </c>
      <c r="CG171" s="464" t="s">
        <v>758</v>
      </c>
      <c r="CH171" s="476">
        <v>0.04</v>
      </c>
      <c r="CI171" s="476">
        <v>0.21</v>
      </c>
      <c r="CJ171" s="476">
        <v>0.56999999999999995</v>
      </c>
      <c r="CK171" s="476">
        <v>0.18</v>
      </c>
      <c r="CL171" s="476">
        <v>0.41</v>
      </c>
      <c r="CM171" s="476">
        <v>0.42</v>
      </c>
      <c r="CN171" s="476">
        <v>0.28000000000000003</v>
      </c>
      <c r="CO171" s="902">
        <v>58</v>
      </c>
      <c r="CP171" s="902" t="s">
        <v>758</v>
      </c>
      <c r="CQ171" s="902">
        <v>8</v>
      </c>
      <c r="CR171" s="902" t="s">
        <v>758</v>
      </c>
      <c r="CS171" s="949">
        <v>0</v>
      </c>
      <c r="CT171" s="949">
        <v>0.21</v>
      </c>
      <c r="CU171" s="949">
        <v>0.63</v>
      </c>
      <c r="CV171" s="949">
        <v>0.16</v>
      </c>
      <c r="CW171" s="949">
        <v>0.27</v>
      </c>
      <c r="CX171" s="949">
        <v>0.36</v>
      </c>
      <c r="CY171" s="949">
        <v>0.46</v>
      </c>
      <c r="CZ171" s="26">
        <v>325754001123</v>
      </c>
      <c r="DA171" s="126" t="s">
        <v>59</v>
      </c>
    </row>
    <row r="172" spans="1:105" ht="24.95" customHeight="1" x14ac:dyDescent="0.2">
      <c r="A172" s="126" t="s">
        <v>45</v>
      </c>
      <c r="B172" s="1" t="s">
        <v>123</v>
      </c>
      <c r="C172" s="2">
        <v>2</v>
      </c>
      <c r="D172" s="12">
        <v>52</v>
      </c>
      <c r="E172" s="12">
        <v>7</v>
      </c>
      <c r="F172" s="63">
        <v>0</v>
      </c>
      <c r="G172" s="63">
        <v>0.36</v>
      </c>
      <c r="H172" s="63">
        <v>0.64</v>
      </c>
      <c r="I172" s="63">
        <v>0</v>
      </c>
      <c r="J172" s="63">
        <v>0.45</v>
      </c>
      <c r="K172" s="63">
        <v>0.47</v>
      </c>
      <c r="L172" s="63">
        <v>0.56999999999999995</v>
      </c>
      <c r="M172" s="25">
        <v>55</v>
      </c>
      <c r="N172" s="25">
        <v>9</v>
      </c>
      <c r="O172" s="61">
        <v>0</v>
      </c>
      <c r="P172" s="61">
        <v>0.37</v>
      </c>
      <c r="Q172" s="61">
        <v>0.53</v>
      </c>
      <c r="R172" s="61">
        <v>0.09</v>
      </c>
      <c r="S172" s="61">
        <v>0.49</v>
      </c>
      <c r="T172" s="61">
        <v>0.43</v>
      </c>
      <c r="U172" s="61">
        <v>0.44</v>
      </c>
      <c r="V172" s="12">
        <v>53</v>
      </c>
      <c r="W172" s="12">
        <v>8</v>
      </c>
      <c r="X172" s="66">
        <v>0</v>
      </c>
      <c r="Y172" s="66">
        <v>0.47</v>
      </c>
      <c r="Z172" s="66">
        <v>0.39</v>
      </c>
      <c r="AA172" s="66">
        <v>0.14000000000000001</v>
      </c>
      <c r="AB172" s="66">
        <v>0.43</v>
      </c>
      <c r="AC172" s="66">
        <v>0.5</v>
      </c>
      <c r="AD172" s="66">
        <v>0.53</v>
      </c>
      <c r="AE172" s="12">
        <v>55</v>
      </c>
      <c r="AF172" s="12">
        <v>7</v>
      </c>
      <c r="AG172" s="63">
        <v>0</v>
      </c>
      <c r="AH172" s="63">
        <v>0.33</v>
      </c>
      <c r="AI172" s="63">
        <v>0.61</v>
      </c>
      <c r="AJ172" s="63">
        <v>0.06</v>
      </c>
      <c r="AK172" s="63">
        <v>0.37</v>
      </c>
      <c r="AL172" s="63">
        <v>0.39</v>
      </c>
      <c r="AM172" s="63">
        <v>0.38</v>
      </c>
      <c r="AN172" s="35">
        <v>52</v>
      </c>
      <c r="AO172" s="35">
        <v>6</v>
      </c>
      <c r="AP172" s="40">
        <v>0</v>
      </c>
      <c r="AQ172" s="40">
        <v>0.4</v>
      </c>
      <c r="AR172" s="40">
        <v>0.6</v>
      </c>
      <c r="AS172" s="40">
        <v>0</v>
      </c>
      <c r="AT172" s="40">
        <v>0.49</v>
      </c>
      <c r="AU172" s="40">
        <v>0.4</v>
      </c>
      <c r="AV172" s="40">
        <v>0.47</v>
      </c>
      <c r="AW172" s="246">
        <v>53</v>
      </c>
      <c r="AX172" s="246" t="s">
        <v>758</v>
      </c>
      <c r="AY172" s="246">
        <v>8</v>
      </c>
      <c r="AZ172" s="246" t="s">
        <v>758</v>
      </c>
      <c r="BA172" s="263">
        <v>0</v>
      </c>
      <c r="BB172" s="263">
        <v>0.37</v>
      </c>
      <c r="BC172" s="263">
        <v>0.56999999999999995</v>
      </c>
      <c r="BD172" s="263">
        <v>0.06</v>
      </c>
      <c r="BE172" s="263">
        <v>0.46</v>
      </c>
      <c r="BF172" s="263">
        <v>0.39</v>
      </c>
      <c r="BG172" s="263">
        <v>0.51</v>
      </c>
      <c r="BH172" s="309">
        <v>58</v>
      </c>
      <c r="BI172" s="309" t="s">
        <v>758</v>
      </c>
      <c r="BJ172" s="309">
        <v>8</v>
      </c>
      <c r="BK172" s="309" t="s">
        <v>758</v>
      </c>
      <c r="BL172" s="327">
        <v>0</v>
      </c>
      <c r="BM172" s="327">
        <v>0.14000000000000001</v>
      </c>
      <c r="BN172" s="327">
        <v>0.62</v>
      </c>
      <c r="BO172" s="327">
        <v>0.24</v>
      </c>
      <c r="BP172" s="327">
        <v>0.37</v>
      </c>
      <c r="BQ172" s="327">
        <v>0.25</v>
      </c>
      <c r="BR172" s="327">
        <v>0.42</v>
      </c>
      <c r="BS172" s="424">
        <v>58</v>
      </c>
      <c r="BT172" s="424" t="s">
        <v>758</v>
      </c>
      <c r="BU172" s="424">
        <v>10</v>
      </c>
      <c r="BV172" s="424" t="s">
        <v>758</v>
      </c>
      <c r="BW172" s="428">
        <v>0.05</v>
      </c>
      <c r="BX172" s="428">
        <v>0.16</v>
      </c>
      <c r="BY172" s="428">
        <v>0.61</v>
      </c>
      <c r="BZ172" s="428">
        <v>0.18</v>
      </c>
      <c r="CA172" s="428">
        <v>0.3</v>
      </c>
      <c r="CB172" s="428">
        <v>0.4</v>
      </c>
      <c r="CC172" s="428">
        <v>0.43</v>
      </c>
      <c r="CD172" s="464">
        <v>57</v>
      </c>
      <c r="CE172" s="464" t="s">
        <v>758</v>
      </c>
      <c r="CF172" s="464">
        <v>8</v>
      </c>
      <c r="CG172" s="464" t="s">
        <v>758</v>
      </c>
      <c r="CH172" s="476">
        <v>0</v>
      </c>
      <c r="CI172" s="476">
        <v>0.22</v>
      </c>
      <c r="CJ172" s="476">
        <v>0.64</v>
      </c>
      <c r="CK172" s="476">
        <v>0.13</v>
      </c>
      <c r="CL172" s="476">
        <v>0.4</v>
      </c>
      <c r="CM172" s="476">
        <v>0.41</v>
      </c>
      <c r="CN172" s="476">
        <v>0.3</v>
      </c>
      <c r="CO172" s="902">
        <v>57</v>
      </c>
      <c r="CP172" s="902" t="s">
        <v>758</v>
      </c>
      <c r="CQ172" s="902">
        <v>8</v>
      </c>
      <c r="CR172" s="902" t="s">
        <v>758</v>
      </c>
      <c r="CS172" s="949">
        <v>0</v>
      </c>
      <c r="CT172" s="949">
        <v>0.26</v>
      </c>
      <c r="CU172" s="949">
        <v>0.54</v>
      </c>
      <c r="CV172" s="949">
        <v>0.2</v>
      </c>
      <c r="CW172" s="949">
        <v>0.28000000000000003</v>
      </c>
      <c r="CX172" s="949">
        <v>0.39</v>
      </c>
      <c r="CY172" s="949">
        <v>0.5</v>
      </c>
      <c r="CZ172" s="26">
        <v>325754003886</v>
      </c>
      <c r="DA172" s="126" t="s">
        <v>45</v>
      </c>
    </row>
    <row r="173" spans="1:105" ht="24.95" customHeight="1" x14ac:dyDescent="0.2">
      <c r="A173" s="126" t="s">
        <v>950</v>
      </c>
      <c r="B173" s="43" t="s">
        <v>123</v>
      </c>
      <c r="C173" s="44">
        <v>1</v>
      </c>
      <c r="D173" s="12"/>
      <c r="E173" s="12"/>
      <c r="F173" s="63"/>
      <c r="G173" s="63"/>
      <c r="H173" s="63"/>
      <c r="I173" s="63"/>
      <c r="J173" s="63"/>
      <c r="K173" s="63"/>
      <c r="L173" s="63"/>
      <c r="M173" s="25"/>
      <c r="N173" s="25"/>
      <c r="O173" s="61"/>
      <c r="P173" s="61"/>
      <c r="Q173" s="61"/>
      <c r="R173" s="61"/>
      <c r="S173" s="61"/>
      <c r="T173" s="61"/>
      <c r="U173" s="61"/>
      <c r="V173" s="25"/>
      <c r="W173" s="25"/>
      <c r="X173" s="66"/>
      <c r="Y173" s="66"/>
      <c r="Z173" s="66"/>
      <c r="AA173" s="66"/>
      <c r="AB173" s="66"/>
      <c r="AC173" s="66"/>
      <c r="AD173" s="66"/>
      <c r="AE173" s="12"/>
      <c r="AF173" s="12"/>
      <c r="AG173" s="63"/>
      <c r="AH173" s="63"/>
      <c r="AI173" s="63"/>
      <c r="AJ173" s="63"/>
      <c r="AK173" s="63"/>
      <c r="AL173" s="63"/>
      <c r="AM173" s="63"/>
      <c r="AN173" s="35"/>
      <c r="AO173" s="35"/>
      <c r="AP173" s="40"/>
      <c r="AQ173" s="40"/>
      <c r="AR173" s="40"/>
      <c r="AS173" s="40"/>
      <c r="AT173" s="40"/>
      <c r="AU173" s="40"/>
      <c r="AV173" s="40"/>
      <c r="AW173" s="246"/>
      <c r="AX173" s="246"/>
      <c r="AY173" s="246"/>
      <c r="AZ173" s="246"/>
      <c r="BA173" s="263"/>
      <c r="BB173" s="263"/>
      <c r="BC173" s="263"/>
      <c r="BD173" s="263"/>
      <c r="BE173" s="263"/>
      <c r="BF173" s="263"/>
      <c r="BG173" s="263"/>
      <c r="BH173" s="309"/>
      <c r="BI173" s="309"/>
      <c r="BJ173" s="309"/>
      <c r="BK173" s="309"/>
      <c r="BL173" s="327"/>
      <c r="BM173" s="327"/>
      <c r="BN173" s="327"/>
      <c r="BO173" s="327"/>
      <c r="BP173" s="327"/>
      <c r="BQ173" s="327"/>
      <c r="BR173" s="327"/>
      <c r="BS173" s="424"/>
      <c r="BT173" s="424"/>
      <c r="BU173" s="424"/>
      <c r="BV173" s="424"/>
      <c r="BW173" s="428"/>
      <c r="BX173" s="428"/>
      <c r="BY173" s="428"/>
      <c r="BZ173" s="428"/>
      <c r="CA173" s="428"/>
      <c r="CB173" s="428"/>
      <c r="CC173" s="428"/>
      <c r="CD173" s="464">
        <v>58</v>
      </c>
      <c r="CE173" s="464" t="s">
        <v>758</v>
      </c>
      <c r="CF173" s="464">
        <v>8</v>
      </c>
      <c r="CG173" s="464" t="s">
        <v>758</v>
      </c>
      <c r="CH173" s="476">
        <v>0</v>
      </c>
      <c r="CI173" s="476">
        <v>0.19</v>
      </c>
      <c r="CJ173" s="476">
        <v>0.67</v>
      </c>
      <c r="CK173" s="476">
        <v>0.14000000000000001</v>
      </c>
      <c r="CL173" s="476">
        <v>0.39</v>
      </c>
      <c r="CM173" s="476">
        <v>0.39</v>
      </c>
      <c r="CN173" s="476">
        <v>0.32</v>
      </c>
      <c r="CO173" s="902">
        <v>54</v>
      </c>
      <c r="CP173" s="902" t="s">
        <v>758</v>
      </c>
      <c r="CQ173" s="902">
        <v>11</v>
      </c>
      <c r="CR173" s="902" t="s">
        <v>758</v>
      </c>
      <c r="CS173" s="949">
        <v>0.06</v>
      </c>
      <c r="CT173" s="949">
        <v>0.31</v>
      </c>
      <c r="CU173" s="949">
        <v>0.47</v>
      </c>
      <c r="CV173" s="949">
        <v>0.16</v>
      </c>
      <c r="CW173" s="949">
        <v>0.36</v>
      </c>
      <c r="CX173" s="949">
        <v>0.48</v>
      </c>
      <c r="CY173" s="949">
        <v>0.51</v>
      </c>
      <c r="CZ173" s="26">
        <v>325754800115</v>
      </c>
      <c r="DA173" s="126" t="s">
        <v>950</v>
      </c>
    </row>
    <row r="174" spans="1:105" x14ac:dyDescent="0.2">
      <c r="A174" s="239" t="s">
        <v>755</v>
      </c>
    </row>
    <row r="176" spans="1:105" x14ac:dyDescent="0.2">
      <c r="D176" s="15"/>
      <c r="E176" s="15"/>
      <c r="F176" s="15"/>
      <c r="G176" s="15"/>
      <c r="H176" s="15"/>
      <c r="I176" s="15"/>
      <c r="J176" s="15"/>
      <c r="K176" s="15"/>
      <c r="L176" s="15"/>
      <c r="M176" s="15"/>
      <c r="N176" s="15"/>
      <c r="O176" s="15"/>
      <c r="P176" s="15"/>
      <c r="Q176" s="15"/>
      <c r="R176" s="15"/>
      <c r="S176" s="15"/>
      <c r="T176" s="15"/>
      <c r="U176" s="15"/>
      <c r="V176" s="15"/>
      <c r="W176" s="15"/>
      <c r="X176" s="68"/>
      <c r="Y176" s="68"/>
      <c r="Z176" s="68"/>
      <c r="AA176" s="68"/>
      <c r="AB176" s="68"/>
      <c r="AC176" s="68"/>
      <c r="AD176" s="68"/>
      <c r="AE176" s="15"/>
      <c r="AF176" s="15"/>
      <c r="AG176" s="15"/>
      <c r="AH176" s="15"/>
      <c r="AI176" s="15"/>
      <c r="AJ176" s="15"/>
      <c r="AK176" s="15"/>
      <c r="AL176" s="15"/>
      <c r="AM176" s="15"/>
    </row>
    <row r="179" spans="2:61" ht="12.75" customHeight="1" x14ac:dyDescent="0.2">
      <c r="B179" s="1213" t="s">
        <v>151</v>
      </c>
      <c r="C179" s="1214"/>
      <c r="D179" s="1214"/>
      <c r="E179" s="1214"/>
      <c r="F179" s="1214"/>
      <c r="G179" s="1214"/>
      <c r="H179" s="1214"/>
      <c r="I179" s="1214"/>
      <c r="J179" s="1214"/>
      <c r="K179" s="1214"/>
      <c r="L179" s="1214"/>
      <c r="M179" s="1214"/>
      <c r="N179" s="1214"/>
      <c r="O179" s="1214"/>
      <c r="P179" s="1214"/>
      <c r="Q179" s="1214"/>
      <c r="R179" s="1214"/>
      <c r="S179" s="1214"/>
      <c r="T179" s="1214"/>
      <c r="AC179" s="1053" t="s">
        <v>151</v>
      </c>
      <c r="AD179" s="1054"/>
      <c r="AE179" s="1054"/>
      <c r="AF179" s="1054"/>
      <c r="AG179" s="1054"/>
      <c r="AH179" s="1054"/>
      <c r="AI179" s="1054"/>
      <c r="AJ179" s="1054"/>
      <c r="AK179" s="1054"/>
      <c r="AL179" s="1054"/>
      <c r="AQ179" s="1053" t="s">
        <v>207</v>
      </c>
      <c r="AR179" s="1054"/>
      <c r="AS179" s="1054"/>
      <c r="AT179" s="1054"/>
      <c r="AU179" s="1054"/>
      <c r="AV179" s="1054"/>
      <c r="AW179" s="1054"/>
      <c r="AX179" s="1054"/>
      <c r="AY179" s="1054"/>
      <c r="AZ179" s="1054"/>
      <c r="BA179" s="1054"/>
      <c r="BB179" s="1054"/>
      <c r="BC179" s="1054"/>
      <c r="BD179" s="1054"/>
      <c r="BE179" s="1054"/>
      <c r="BF179" s="1054"/>
      <c r="BG179" s="1054"/>
      <c r="BH179" s="1054"/>
      <c r="BI179" s="1054"/>
    </row>
    <row r="180" spans="2:61" x14ac:dyDescent="0.2">
      <c r="B180" s="1201"/>
      <c r="C180" s="1203">
        <v>2016</v>
      </c>
      <c r="D180" s="1204"/>
      <c r="E180" s="1205">
        <v>2017</v>
      </c>
      <c r="F180" s="1206"/>
      <c r="G180" s="1206">
        <v>2018</v>
      </c>
      <c r="H180" s="1206"/>
      <c r="I180" s="1206">
        <v>2019</v>
      </c>
      <c r="J180" s="1206"/>
      <c r="K180" s="1206">
        <v>2020</v>
      </c>
      <c r="L180" s="1206"/>
      <c r="M180" s="1206">
        <v>2021</v>
      </c>
      <c r="N180" s="1206"/>
      <c r="O180" s="1206">
        <v>2022</v>
      </c>
      <c r="P180" s="1206"/>
      <c r="Q180" s="1206">
        <v>2023</v>
      </c>
      <c r="R180" s="1206"/>
      <c r="S180" s="1206">
        <v>2024</v>
      </c>
      <c r="T180" s="1206"/>
      <c r="AC180" s="28"/>
      <c r="AD180" s="28">
        <v>2016</v>
      </c>
      <c r="AE180" s="29">
        <v>2017</v>
      </c>
      <c r="AF180" s="28">
        <v>2018</v>
      </c>
      <c r="AG180" s="28">
        <v>2019</v>
      </c>
      <c r="AH180" s="28">
        <v>2020</v>
      </c>
      <c r="AI180" s="28">
        <v>2021</v>
      </c>
      <c r="AJ180" s="28">
        <v>2022</v>
      </c>
      <c r="AK180" s="28">
        <v>2023</v>
      </c>
      <c r="AL180" s="28">
        <v>2024</v>
      </c>
      <c r="AQ180" s="28"/>
      <c r="AR180" s="203">
        <v>2016</v>
      </c>
      <c r="AS180" s="479"/>
      <c r="AT180" s="203">
        <v>2017</v>
      </c>
      <c r="AU180" s="479"/>
      <c r="AV180" s="203">
        <v>2018</v>
      </c>
      <c r="AW180" s="479"/>
      <c r="AX180" s="203">
        <v>2019</v>
      </c>
      <c r="AY180" s="479"/>
      <c r="AZ180" s="203">
        <v>2020</v>
      </c>
      <c r="BA180" s="204"/>
      <c r="BB180" s="203">
        <v>2021</v>
      </c>
      <c r="BC180" s="204"/>
      <c r="BD180" s="203">
        <v>2022</v>
      </c>
      <c r="BE180" s="204"/>
      <c r="BF180" s="203">
        <v>2023</v>
      </c>
      <c r="BG180" s="204"/>
      <c r="BH180" s="203">
        <v>2024</v>
      </c>
      <c r="BI180" s="204"/>
    </row>
    <row r="181" spans="2:61" ht="15.75" customHeight="1" x14ac:dyDescent="0.2">
      <c r="B181" s="1202"/>
      <c r="C181" s="77" t="s">
        <v>120</v>
      </c>
      <c r="D181" s="77" t="s">
        <v>147</v>
      </c>
      <c r="E181" s="77" t="s">
        <v>120</v>
      </c>
      <c r="F181" s="77" t="s">
        <v>147</v>
      </c>
      <c r="G181" s="77" t="s">
        <v>120</v>
      </c>
      <c r="H181" s="77" t="s">
        <v>147</v>
      </c>
      <c r="I181" s="77" t="s">
        <v>120</v>
      </c>
      <c r="J181" s="77" t="s">
        <v>147</v>
      </c>
      <c r="K181" s="77" t="s">
        <v>120</v>
      </c>
      <c r="L181" s="78" t="s">
        <v>147</v>
      </c>
      <c r="M181" s="77" t="s">
        <v>120</v>
      </c>
      <c r="N181" s="78" t="s">
        <v>147</v>
      </c>
      <c r="O181" s="488" t="s">
        <v>120</v>
      </c>
      <c r="P181" s="489" t="s">
        <v>147</v>
      </c>
      <c r="Q181" s="488" t="s">
        <v>120</v>
      </c>
      <c r="R181" s="489" t="s">
        <v>147</v>
      </c>
      <c r="S181" s="488" t="s">
        <v>120</v>
      </c>
      <c r="T181" s="489" t="s">
        <v>147</v>
      </c>
      <c r="AC181" s="27" t="s">
        <v>140</v>
      </c>
      <c r="AD181" s="81">
        <v>53.117647058823529</v>
      </c>
      <c r="AE181" s="81">
        <v>53.75</v>
      </c>
      <c r="AF181" s="81">
        <v>53.823529411764703</v>
      </c>
      <c r="AG181" s="81">
        <v>53.705882352941174</v>
      </c>
      <c r="AH181" s="81">
        <v>53.823529411764703</v>
      </c>
      <c r="AI181" s="81">
        <v>54.588235294117645</v>
      </c>
      <c r="AJ181" s="81">
        <v>54.722222222222221</v>
      </c>
      <c r="AK181" s="81">
        <v>54.529411764705884</v>
      </c>
      <c r="AL181" s="81">
        <v>55.333333333333336</v>
      </c>
      <c r="AR181" t="s">
        <v>0</v>
      </c>
      <c r="AS181" s="67" t="s">
        <v>10</v>
      </c>
      <c r="AT181" s="67" t="s">
        <v>0</v>
      </c>
      <c r="AU181" s="67" t="s">
        <v>10</v>
      </c>
      <c r="AV181" s="67" t="s">
        <v>0</v>
      </c>
      <c r="AW181" s="67" t="s">
        <v>10</v>
      </c>
      <c r="AX181" s="67" t="s">
        <v>0</v>
      </c>
      <c r="AY181" s="67" t="s">
        <v>10</v>
      </c>
      <c r="AZ181" s="67" t="s">
        <v>0</v>
      </c>
      <c r="BA181" s="67" t="s">
        <v>10</v>
      </c>
      <c r="BB181" s="67" t="s">
        <v>0</v>
      </c>
      <c r="BC181" s="67" t="s">
        <v>10</v>
      </c>
      <c r="BD181" s="67" t="s">
        <v>0</v>
      </c>
      <c r="BE181" s="67" t="s">
        <v>10</v>
      </c>
      <c r="BF181" s="67" t="s">
        <v>0</v>
      </c>
      <c r="BG181" s="67" t="s">
        <v>10</v>
      </c>
      <c r="BH181" s="67" t="s">
        <v>0</v>
      </c>
      <c r="BI181" s="67" t="s">
        <v>10</v>
      </c>
    </row>
    <row r="182" spans="2:61" x14ac:dyDescent="0.2">
      <c r="B182" s="79" t="s">
        <v>0</v>
      </c>
      <c r="C182" s="80">
        <v>54</v>
      </c>
      <c r="D182" s="80">
        <v>8</v>
      </c>
      <c r="E182" s="80">
        <v>55</v>
      </c>
      <c r="F182" s="80">
        <v>8</v>
      </c>
      <c r="G182" s="80">
        <v>54</v>
      </c>
      <c r="H182" s="80">
        <v>9</v>
      </c>
      <c r="I182" s="80">
        <v>54</v>
      </c>
      <c r="J182" s="80">
        <v>9</v>
      </c>
      <c r="K182" s="80">
        <v>54</v>
      </c>
      <c r="L182" s="80">
        <v>9</v>
      </c>
      <c r="M182" s="80">
        <v>55</v>
      </c>
      <c r="N182" s="80">
        <v>9</v>
      </c>
      <c r="O182" s="80">
        <v>55</v>
      </c>
      <c r="P182" s="80">
        <v>9</v>
      </c>
      <c r="Q182" s="80">
        <v>55</v>
      </c>
      <c r="R182" s="80">
        <v>9</v>
      </c>
      <c r="S182" s="80">
        <v>56</v>
      </c>
      <c r="T182" s="80">
        <v>9</v>
      </c>
      <c r="AC182" s="27" t="s">
        <v>141</v>
      </c>
      <c r="AD182" s="81">
        <v>54.75</v>
      </c>
      <c r="AE182" s="81">
        <v>55.578947368421055</v>
      </c>
      <c r="AF182" s="81">
        <v>54.684210526315788</v>
      </c>
      <c r="AG182" s="81">
        <v>55.3</v>
      </c>
      <c r="AH182" s="81">
        <v>54.791666666666664</v>
      </c>
      <c r="AI182" s="81">
        <v>54.545454545454547</v>
      </c>
      <c r="AJ182" s="81">
        <v>56.44</v>
      </c>
      <c r="AK182" s="81">
        <v>55.96153846153846</v>
      </c>
      <c r="AL182" s="81">
        <v>57.208333333333336</v>
      </c>
      <c r="AQ182" s="26">
        <v>1</v>
      </c>
      <c r="AR182" s="38">
        <v>0.01</v>
      </c>
      <c r="AS182" s="37">
        <v>0.02</v>
      </c>
      <c r="AT182" s="59">
        <v>0.01</v>
      </c>
      <c r="AU182" s="58">
        <v>0.02</v>
      </c>
      <c r="AV182" s="62">
        <v>0.01</v>
      </c>
      <c r="AW182" s="64">
        <v>0.03</v>
      </c>
      <c r="AX182" s="38">
        <v>0.02</v>
      </c>
      <c r="AY182" s="37">
        <v>0.04</v>
      </c>
      <c r="AZ182" s="38">
        <v>0.02</v>
      </c>
      <c r="BA182" s="37">
        <v>0.04</v>
      </c>
      <c r="BB182" s="286">
        <v>0.02</v>
      </c>
      <c r="BC182" s="285">
        <v>0.04</v>
      </c>
      <c r="BD182" s="287">
        <v>0.05</v>
      </c>
      <c r="BE182" s="288">
        <v>0.02</v>
      </c>
      <c r="BF182" s="425">
        <v>0.04</v>
      </c>
      <c r="BG182" s="426">
        <v>0.02</v>
      </c>
      <c r="BH182" s="425">
        <v>0.02</v>
      </c>
      <c r="BI182" s="426">
        <v>0.04</v>
      </c>
    </row>
    <row r="183" spans="2:61" x14ac:dyDescent="0.2">
      <c r="B183" s="81" t="s">
        <v>140</v>
      </c>
      <c r="C183" s="81">
        <f>AVERAGEIF(C36:C173,"=1",D36:D173)</f>
        <v>53.117647058823529</v>
      </c>
      <c r="D183" s="81">
        <f>AVERAGEIF(C36:C173,"=1",E36:E173)</f>
        <v>7.4117647058823533</v>
      </c>
      <c r="E183" s="81">
        <f>AVERAGEIF(C36:C173,"=1",M36:M173)</f>
        <v>53.75</v>
      </c>
      <c r="F183" s="81">
        <f>AVERAGEIF(C36:C173,"=1",N36:N173)</f>
        <v>7.6875</v>
      </c>
      <c r="G183" s="81">
        <f>AVERAGEIF(C36:C173,"=1",V36:V173)</f>
        <v>53.823529411764703</v>
      </c>
      <c r="H183" s="81">
        <f>AVERAGEIF(C36:C173,"=1",W36:W173)</f>
        <v>8.2941176470588243</v>
      </c>
      <c r="I183" s="81">
        <f>AVERAGEIF(C36:C173,"=1",AE36:AE173)</f>
        <v>53.705882352941174</v>
      </c>
      <c r="J183" s="81">
        <f>AVERAGEIF(C36:C173,"=1",AF36:AF173)</f>
        <v>8.4117647058823533</v>
      </c>
      <c r="K183" s="81">
        <f>AVERAGEIF($C$36:$C$173,"=1",$AN$36:$AN$173)</f>
        <v>53.823529411764703</v>
      </c>
      <c r="L183" s="81">
        <f>AVERAGEIF($C$36:$C$173,"=1",$AO$36:$AO$173)</f>
        <v>8.0588235294117645</v>
      </c>
      <c r="M183" s="81">
        <f>AVERAGEIF($C$36:$C$173,"=1",$AW$36:$AW$173)</f>
        <v>54.588235294117645</v>
      </c>
      <c r="N183" s="81">
        <f>AVERAGEIF($C$36:$C$173,"=1",$AY$36:$AY$173)</f>
        <v>8.4705882352941178</v>
      </c>
      <c r="O183" s="81">
        <v>54.722222222222221</v>
      </c>
      <c r="P183" s="81">
        <v>8.5555555555555554</v>
      </c>
      <c r="Q183" s="81">
        <v>54.529411764705884</v>
      </c>
      <c r="R183" s="81">
        <v>8.2941176470588243</v>
      </c>
      <c r="S183" s="81">
        <v>55.333333333333336</v>
      </c>
      <c r="T183" s="81">
        <v>8.4444444444444446</v>
      </c>
      <c r="AC183" s="27" t="s">
        <v>142</v>
      </c>
      <c r="AD183" s="81">
        <v>54.8125</v>
      </c>
      <c r="AE183" s="81">
        <v>55.411764705882355</v>
      </c>
      <c r="AF183" s="81">
        <v>55.823529411764703</v>
      </c>
      <c r="AG183" s="81">
        <v>55.352941176470587</v>
      </c>
      <c r="AH183" s="81">
        <v>54.89473684210526</v>
      </c>
      <c r="AI183" s="81">
        <v>55.6</v>
      </c>
      <c r="AJ183" s="81">
        <v>56.272727272727273</v>
      </c>
      <c r="AK183" s="81">
        <v>55.909090909090907</v>
      </c>
      <c r="AL183" s="81">
        <v>56.5</v>
      </c>
      <c r="AQ183" s="26">
        <v>2</v>
      </c>
      <c r="AR183" s="38">
        <v>0.34</v>
      </c>
      <c r="AS183" s="37">
        <v>0.37</v>
      </c>
      <c r="AT183" s="59">
        <v>0.28999999999999998</v>
      </c>
      <c r="AU183" s="58">
        <v>0.33</v>
      </c>
      <c r="AV183" s="62">
        <v>0.32</v>
      </c>
      <c r="AW183" s="64">
        <v>0.35</v>
      </c>
      <c r="AX183" s="38">
        <v>0.3</v>
      </c>
      <c r="AY183" s="37">
        <v>0.34</v>
      </c>
      <c r="AZ183" s="38">
        <v>0.31</v>
      </c>
      <c r="BA183" s="37">
        <v>0.36</v>
      </c>
      <c r="BB183" s="286">
        <v>0.32</v>
      </c>
      <c r="BC183" s="285">
        <v>0.37</v>
      </c>
      <c r="BD183" s="287">
        <v>0.34</v>
      </c>
      <c r="BE183" s="288">
        <v>0.27</v>
      </c>
      <c r="BF183" s="425">
        <v>0.35</v>
      </c>
      <c r="BG183" s="426">
        <v>0.28999999999999998</v>
      </c>
      <c r="BH183" s="425">
        <v>0.25</v>
      </c>
      <c r="BI183" s="426">
        <v>0.31</v>
      </c>
    </row>
    <row r="184" spans="2:61" x14ac:dyDescent="0.2">
      <c r="B184" s="81" t="s">
        <v>141</v>
      </c>
      <c r="C184" s="81">
        <f>AVERAGEIF(C36:C173,"=2",D36:D173)</f>
        <v>54.75</v>
      </c>
      <c r="D184" s="81">
        <f>AVERAGEIF(C36:C173,"=2",E36:E173)</f>
        <v>7.15</v>
      </c>
      <c r="E184" s="81">
        <f>AVERAGEIF(C36:C173,"=2",M36:M173)</f>
        <v>55.578947368421055</v>
      </c>
      <c r="F184" s="81">
        <f>AVERAGEIF(C36:C173,"=2",N36:N173)</f>
        <v>7.8947368421052628</v>
      </c>
      <c r="G184" s="81">
        <f>AVERAGEIF(C36:C173,"=2",V36:V173)</f>
        <v>54.684210526315788</v>
      </c>
      <c r="H184" s="81">
        <f>AVERAGEIF(C36:C173,"=2",W36:W173)</f>
        <v>8.3684210526315788</v>
      </c>
      <c r="I184" s="81">
        <f>AVERAGEIF(C36:C173,"=2",AE36:AE173)</f>
        <v>55.3</v>
      </c>
      <c r="J184" s="81">
        <f>AVERAGEIF(C36:C173,"=2",AF36:AF173)</f>
        <v>8.35</v>
      </c>
      <c r="K184" s="81">
        <f>AVERAGEIF($C$36:$C$173,"=2",$AN$36:$AN$173)</f>
        <v>54.791666666666664</v>
      </c>
      <c r="L184" s="81">
        <f>AVERAGEIF($C$36:$C$173,"=2",$AO$36:$AO$173)</f>
        <v>7.041666666666667</v>
      </c>
      <c r="M184" s="81">
        <f>AVERAGEIF($C$36:$C$173,"2",$AW$36:$AW$173)</f>
        <v>54.545454545454547</v>
      </c>
      <c r="N184" s="81">
        <f>AVERAGEIF($C$36:$C$173,"=2",$AY$36:$AY$173)</f>
        <v>8</v>
      </c>
      <c r="O184" s="81">
        <v>56.44</v>
      </c>
      <c r="P184" s="81">
        <v>7.84</v>
      </c>
      <c r="Q184" s="81">
        <v>55.96153846153846</v>
      </c>
      <c r="R184" s="81">
        <v>8.3076923076923084</v>
      </c>
      <c r="S184" s="81">
        <v>57.208333333333336</v>
      </c>
      <c r="T184" s="81">
        <v>8.2083333333333339</v>
      </c>
      <c r="AC184" s="27" t="s">
        <v>143</v>
      </c>
      <c r="AD184" s="81">
        <v>50.714285714285715</v>
      </c>
      <c r="AE184" s="81">
        <v>53.6</v>
      </c>
      <c r="AF184" s="81">
        <v>52.93333333333333</v>
      </c>
      <c r="AG184" s="81">
        <v>52.5</v>
      </c>
      <c r="AH184" s="81">
        <v>51.153846153846153</v>
      </c>
      <c r="AI184" s="81">
        <v>52.357142857142854</v>
      </c>
      <c r="AJ184" s="81">
        <v>53.285714285714285</v>
      </c>
      <c r="AK184" s="81">
        <v>51.466666666666669</v>
      </c>
      <c r="AL184" s="81">
        <v>53.384615384615387</v>
      </c>
      <c r="AQ184" s="26">
        <v>3</v>
      </c>
      <c r="AR184" s="38">
        <v>0.57999999999999996</v>
      </c>
      <c r="AS184" s="37">
        <v>0.5</v>
      </c>
      <c r="AT184" s="59">
        <v>0.6</v>
      </c>
      <c r="AU184" s="58">
        <v>0.52</v>
      </c>
      <c r="AV184" s="62">
        <v>0.56000000000000005</v>
      </c>
      <c r="AW184" s="64">
        <v>0.49</v>
      </c>
      <c r="AX184" s="38">
        <v>0.56999999999999995</v>
      </c>
      <c r="AY184" s="37">
        <v>0.49</v>
      </c>
      <c r="AZ184" s="38">
        <v>0.59</v>
      </c>
      <c r="BA184" s="37">
        <v>0.49</v>
      </c>
      <c r="BB184" s="286">
        <v>0.54</v>
      </c>
      <c r="BC184" s="285">
        <v>0.45</v>
      </c>
      <c r="BD184" s="287">
        <v>0.47</v>
      </c>
      <c r="BE184" s="288">
        <v>0.57999999999999996</v>
      </c>
      <c r="BF184" s="425">
        <v>0.48</v>
      </c>
      <c r="BG184" s="426">
        <v>0.56999999999999995</v>
      </c>
      <c r="BH184" s="425">
        <v>0.59</v>
      </c>
      <c r="BI184" s="426">
        <v>0.5</v>
      </c>
    </row>
    <row r="185" spans="2:61" x14ac:dyDescent="0.2">
      <c r="B185" s="81" t="s">
        <v>142</v>
      </c>
      <c r="C185" s="81">
        <f>AVERAGEIF(C36:C173,"=3",D36:D173)</f>
        <v>54.555555555555557</v>
      </c>
      <c r="D185" s="81">
        <f>AVERAGEIF(C36:C173,"=3",E36:E173)</f>
        <v>8.0555555555555554</v>
      </c>
      <c r="E185" s="81">
        <f>AVERAGEIF(C36:C173,"=3",M36:M173)</f>
        <v>55.368421052631582</v>
      </c>
      <c r="F185" s="81">
        <f>AVERAGEIF(C36:C173,"=3",N36:N173)</f>
        <v>7.8947368421052628</v>
      </c>
      <c r="G185" s="81">
        <f>AVERAGEIF(C36:C173,"=3",V36:V173)</f>
        <v>55.684210526315788</v>
      </c>
      <c r="H185" s="81">
        <f>AVERAGEIF(C36:C173,"=3",W36:W173)</f>
        <v>8.3157894736842106</v>
      </c>
      <c r="I185" s="81">
        <f>AVERAGEIF(C36:C173,"=3",AE36:AE173)</f>
        <v>55.210526315789473</v>
      </c>
      <c r="J185" s="81">
        <f>AVERAGEIF(C36:C173,"=3",AF36:AF173)</f>
        <v>8.4210526315789469</v>
      </c>
      <c r="K185" s="81">
        <f>AVERAGEIF($C$36:$C$173,"=3",$AN$36:$AN$173)</f>
        <v>54.9</v>
      </c>
      <c r="L185" s="81">
        <f>AVERAGEIF($C$36:$C$173,"=3",$AO$36:$AO$173)</f>
        <v>7.8</v>
      </c>
      <c r="M185" s="81">
        <f>AVERAGEIF($C$36:$C$173,"=3",$AW$36:$AW$173)</f>
        <v>55.6</v>
      </c>
      <c r="N185" s="81">
        <f>AVERAGEIF($C$36:$C$173,"=3",$AY$36:$AY$173)</f>
        <v>8.5500000000000007</v>
      </c>
      <c r="O185" s="81">
        <v>56.272727272727273</v>
      </c>
      <c r="P185" s="81">
        <v>8.4090909090909083</v>
      </c>
      <c r="Q185" s="81">
        <v>55.909090909090907</v>
      </c>
      <c r="R185" s="81">
        <v>8.1363636363636367</v>
      </c>
      <c r="S185" s="81">
        <v>56.5</v>
      </c>
      <c r="T185" s="81">
        <v>8.5</v>
      </c>
      <c r="AC185" s="27" t="s">
        <v>144</v>
      </c>
      <c r="AD185" s="81">
        <v>55.529411764705884</v>
      </c>
      <c r="AE185" s="81">
        <v>56.941176470588232</v>
      </c>
      <c r="AF185" s="81">
        <v>55.888888888888886</v>
      </c>
      <c r="AG185" s="81">
        <v>56.368421052631582</v>
      </c>
      <c r="AH185" s="81">
        <v>56.5</v>
      </c>
      <c r="AI185" s="81">
        <v>56.944444444444443</v>
      </c>
      <c r="AJ185" s="81">
        <v>57.882352941176471</v>
      </c>
      <c r="AK185" s="81">
        <v>57.823529411764703</v>
      </c>
      <c r="AL185" s="81">
        <v>57.5</v>
      </c>
      <c r="AQ185" s="26">
        <v>4</v>
      </c>
      <c r="AR185" s="38">
        <v>7.0000000000000007E-2</v>
      </c>
      <c r="AS185" s="37">
        <v>0.1</v>
      </c>
      <c r="AT185" s="59">
        <v>0.09</v>
      </c>
      <c r="AU185" s="58">
        <v>0.13</v>
      </c>
      <c r="AV185" s="62">
        <v>0.11</v>
      </c>
      <c r="AW185" s="64">
        <v>0.13</v>
      </c>
      <c r="AX185" s="38">
        <v>0.11</v>
      </c>
      <c r="AY185" s="37">
        <v>0.12</v>
      </c>
      <c r="AZ185" s="38">
        <v>0.09</v>
      </c>
      <c r="BA185" s="37">
        <v>0.1</v>
      </c>
      <c r="BB185" s="286">
        <v>0.12</v>
      </c>
      <c r="BC185" s="285">
        <v>0.13</v>
      </c>
      <c r="BD185" s="287">
        <v>0.14000000000000001</v>
      </c>
      <c r="BE185" s="288">
        <v>0.13</v>
      </c>
      <c r="BF185" s="425">
        <v>0.13</v>
      </c>
      <c r="BG185" s="426">
        <v>0.12</v>
      </c>
      <c r="BH185" s="425">
        <v>0.14000000000000001</v>
      </c>
      <c r="BI185" s="426">
        <v>0.15</v>
      </c>
    </row>
    <row r="186" spans="2:61" x14ac:dyDescent="0.2">
      <c r="B186" s="81" t="s">
        <v>143</v>
      </c>
      <c r="C186" s="81">
        <f>AVERAGEIF(C36:C173,"=4",D36:D173)</f>
        <v>50.714285714285715</v>
      </c>
      <c r="D186" s="81">
        <f>AVERAGEIF(C36:C173,"=4",E36:E173)</f>
        <v>7.5</v>
      </c>
      <c r="E186" s="81">
        <f>AVERAGEIF(C36:C173,"=4",M36:M173)</f>
        <v>53.6</v>
      </c>
      <c r="F186" s="81">
        <f>AVERAGEIF(C36:C173,"=4",N36:N173)</f>
        <v>7.2666666666666666</v>
      </c>
      <c r="G186" s="81">
        <f>AVERAGEIF(C36:C173,"=4",V36:V173)</f>
        <v>52.93333333333333</v>
      </c>
      <c r="H186" s="81">
        <f>AVERAGEIF(C36:C173,"=4",W36:W173)</f>
        <v>7.6</v>
      </c>
      <c r="I186" s="81">
        <f>AVERAGEIF(C36:C173,"=4",AE36:AE173)</f>
        <v>52.5</v>
      </c>
      <c r="J186" s="81">
        <f>AVERAGEIF(C36:C173,"=4",AF36:AF173)</f>
        <v>8.5</v>
      </c>
      <c r="K186" s="81">
        <f>AVERAGEIF($C$36:$C$173,"=4",$AN$36:$AN$173)</f>
        <v>51.153846153846153</v>
      </c>
      <c r="L186" s="81">
        <f>AVERAGEIF($C$36:$C$173,"=4",$AO$36:$AO$173)</f>
        <v>8.0769230769230766</v>
      </c>
      <c r="M186" s="81">
        <f>AVERAGEIF($C$36:$C$173,"=4",$AW$36:$AW$173)</f>
        <v>52.357142857142854</v>
      </c>
      <c r="N186" s="81">
        <f>AVERAGEIF($C$36:$C$173,"=4",$AY$36:$AY$173)</f>
        <v>8</v>
      </c>
      <c r="O186" s="81">
        <v>53.285714285714285</v>
      </c>
      <c r="P186" s="81">
        <v>8.5</v>
      </c>
      <c r="Q186" s="81">
        <v>51.466666666666669</v>
      </c>
      <c r="R186" s="81">
        <v>8.6</v>
      </c>
      <c r="S186" s="81">
        <v>53.384615384615387</v>
      </c>
      <c r="T186" s="81">
        <v>8.384615384615385</v>
      </c>
      <c r="AC186" s="27" t="s">
        <v>145</v>
      </c>
      <c r="AD186" s="81">
        <v>54.2</v>
      </c>
      <c r="AE186" s="81">
        <v>53.733333333333334</v>
      </c>
      <c r="AF186" s="81">
        <v>54.357142857142854</v>
      </c>
      <c r="AG186" s="81">
        <v>54.6</v>
      </c>
      <c r="AH186" s="81">
        <v>52.588235294117645</v>
      </c>
      <c r="AI186" s="81">
        <v>54.1875</v>
      </c>
      <c r="AJ186" s="81">
        <v>54.526315789473685</v>
      </c>
      <c r="AK186" s="81">
        <v>55.6</v>
      </c>
      <c r="AL186" s="81">
        <v>56</v>
      </c>
    </row>
    <row r="187" spans="2:61" x14ac:dyDescent="0.2">
      <c r="B187" s="81" t="s">
        <v>144</v>
      </c>
      <c r="C187" s="81">
        <f>AVERAGEIF(C36:C173,"=5",D36:D173)</f>
        <v>55.529411764705884</v>
      </c>
      <c r="D187" s="81">
        <f>AVERAGEIF(C36:C173,"=5",E36:E173)</f>
        <v>7.7058823529411766</v>
      </c>
      <c r="E187" s="81">
        <f>AVERAGEIF(C36:C173,"=5",M36:M173)</f>
        <v>56.941176470588232</v>
      </c>
      <c r="F187" s="81">
        <f>AVERAGEIF(C36:C173,"=5",N36:N173)</f>
        <v>7.5882352941176467</v>
      </c>
      <c r="G187" s="81">
        <f>AVERAGEIF(C36:C173,"=5",V36:V173)</f>
        <v>55.888888888888886</v>
      </c>
      <c r="H187" s="81">
        <f>AVERAGEIF(C36:C173,"=5",W36:W173)</f>
        <v>7.8888888888888893</v>
      </c>
      <c r="I187" s="81">
        <f>AVERAGEIF(C36:C173,"=5",AE36:AE173)</f>
        <v>56.368421052631582</v>
      </c>
      <c r="J187" s="81">
        <f>AVERAGEIF(C36:C173,"=5",AF36:AF173)</f>
        <v>7.9473684210526319</v>
      </c>
      <c r="K187" s="81">
        <f>AVERAGEIF($C$36:$C$173,"=5",$AN$36:$AN$173)</f>
        <v>56.5</v>
      </c>
      <c r="L187" s="81">
        <f>AVERAGEIF($C$36:$C$173,"=5",$AO$36:$AO$173)</f>
        <v>7.3888888888888893</v>
      </c>
      <c r="M187" s="81">
        <f>AVERAGEIF($C$36:$C$173,"=5",$AW$36:$AW$173)</f>
        <v>56.944444444444443</v>
      </c>
      <c r="N187" s="81">
        <f>AVERAGEIF($C$36:$C$173,"=5",$AY$36:$AY$173)</f>
        <v>8.4444444444444446</v>
      </c>
      <c r="O187" s="81">
        <v>57.882352941176471</v>
      </c>
      <c r="P187" s="81">
        <v>7.7058823529411766</v>
      </c>
      <c r="Q187" s="81">
        <v>57.823529411764703</v>
      </c>
      <c r="R187" s="81">
        <v>8.1764705882352935</v>
      </c>
      <c r="S187" s="81">
        <v>57.5</v>
      </c>
      <c r="T187" s="81">
        <v>7.5555555555555554</v>
      </c>
      <c r="U187" s="32"/>
      <c r="X187" s="69"/>
      <c r="Y187" s="69"/>
      <c r="Z187" s="69"/>
      <c r="AA187" s="69"/>
      <c r="AB187" s="69"/>
      <c r="AC187" s="69"/>
      <c r="AD187" s="69"/>
    </row>
    <row r="188" spans="2:61" x14ac:dyDescent="0.2">
      <c r="B188" s="81" t="s">
        <v>145</v>
      </c>
      <c r="C188" s="81">
        <f>AVERAGEIF(C36:C173,"=6",D36:D173)</f>
        <v>54.2</v>
      </c>
      <c r="D188" s="81">
        <f>AVERAGEIF(C36:C173,"=6",E36:E173)</f>
        <v>6.7333333333333334</v>
      </c>
      <c r="E188" s="81">
        <f>AVERAGEIF(C36:C173,"=6",M36:M173)</f>
        <v>53.733333333333334</v>
      </c>
      <c r="F188" s="81">
        <f>AVERAGEIF(C36:C173,"=6", N36:N173)</f>
        <v>8.3333333333333339</v>
      </c>
      <c r="G188" s="81">
        <f>AVERAGEIF(C36:C173,"=6",V36:V173)</f>
        <v>54.357142857142854</v>
      </c>
      <c r="H188" s="81">
        <f>AVERAGEIF(C36:C173,"=6",W36:W173)</f>
        <v>8.5714285714285712</v>
      </c>
      <c r="I188" s="81">
        <f>AVERAGEIF(C36:C173,"=6",AE36:AE173)</f>
        <v>54.6</v>
      </c>
      <c r="J188" s="81">
        <f>AVERAGEIF(C36:C173,"=6",AF36:AF173)</f>
        <v>8.6666666666666661</v>
      </c>
      <c r="K188" s="81">
        <f>AVERAGEIF($C$36:$C$173,"=6",$AN$36:$AN$173)</f>
        <v>52.588235294117645</v>
      </c>
      <c r="L188" s="81">
        <f>AVERAGEIF($C$36:$C$173,"=6",$AO$36:$AO$173)</f>
        <v>7.4705882352941178</v>
      </c>
      <c r="M188" s="81">
        <f>AVERAGEIF($C$36:$C$173,"=6",$AW$36:$AW$173)</f>
        <v>54.294117647058826</v>
      </c>
      <c r="N188" s="81">
        <f>AVERAGEIF($C$36:$C$173,"=6",$AY$36:$AY$173)</f>
        <v>7.7647058823529411</v>
      </c>
      <c r="O188" s="81">
        <v>54.526315789473685</v>
      </c>
      <c r="P188" s="81">
        <v>8.3157894736842106</v>
      </c>
      <c r="Q188" s="81">
        <v>55.6</v>
      </c>
      <c r="R188" s="81">
        <v>7.9</v>
      </c>
      <c r="S188" s="81">
        <v>56</v>
      </c>
      <c r="T188" s="81">
        <v>8.5555555555555554</v>
      </c>
      <c r="U188" s="32"/>
      <c r="X188" s="69"/>
      <c r="Y188" s="69"/>
      <c r="Z188" s="69"/>
      <c r="AA188" s="69"/>
      <c r="AB188" s="69"/>
      <c r="AC188" s="69"/>
      <c r="AD188" s="69"/>
    </row>
    <row r="189" spans="2:61" x14ac:dyDescent="0.2">
      <c r="D189" t="s">
        <v>152</v>
      </c>
    </row>
    <row r="191" spans="2:61" x14ac:dyDescent="0.2">
      <c r="B191" s="28"/>
      <c r="C191" s="1046">
        <v>2016</v>
      </c>
      <c r="D191" s="1050"/>
      <c r="E191" s="1050"/>
      <c r="F191" s="1050"/>
      <c r="G191" s="1050">
        <v>2017</v>
      </c>
      <c r="H191" s="1050"/>
      <c r="I191" s="1050"/>
      <c r="J191" s="1050"/>
      <c r="K191" s="1050">
        <v>2018</v>
      </c>
      <c r="L191" s="1050"/>
      <c r="M191" s="1050"/>
      <c r="N191" s="1047"/>
      <c r="O191" s="1046">
        <v>2019</v>
      </c>
      <c r="P191" s="1050"/>
      <c r="Q191" s="1050"/>
      <c r="R191" s="1050"/>
      <c r="S191" s="1046">
        <v>2020</v>
      </c>
      <c r="T191" s="1050"/>
      <c r="U191" s="1050"/>
      <c r="V191" s="1050"/>
      <c r="W191" s="1046">
        <v>2021</v>
      </c>
      <c r="X191" s="1050"/>
      <c r="Y191" s="1050"/>
      <c r="Z191" s="1050"/>
      <c r="AA191" s="1046">
        <v>2022</v>
      </c>
      <c r="AB191" s="1050"/>
      <c r="AC191" s="1050"/>
      <c r="AD191" s="1050"/>
      <c r="AE191" s="1046">
        <v>2023</v>
      </c>
      <c r="AF191" s="1050"/>
      <c r="AG191" s="1050"/>
      <c r="AH191" s="1050"/>
      <c r="AI191" s="1046">
        <v>2024</v>
      </c>
      <c r="AJ191" s="1050"/>
      <c r="AK191" s="1050"/>
      <c r="AL191" s="1050"/>
      <c r="AR191" s="89">
        <v>2016</v>
      </c>
      <c r="AS191" s="90"/>
      <c r="AT191" s="469">
        <v>2017</v>
      </c>
      <c r="AU191" s="470"/>
      <c r="AV191" s="469">
        <v>2018</v>
      </c>
      <c r="AW191" s="470"/>
      <c r="AX191" s="469">
        <v>2019</v>
      </c>
      <c r="AY191" s="470"/>
      <c r="AZ191" s="469">
        <v>2020</v>
      </c>
      <c r="BA191" s="470"/>
      <c r="BB191" s="469">
        <v>2021</v>
      </c>
      <c r="BC191" s="470"/>
      <c r="BD191" s="469">
        <v>2022</v>
      </c>
      <c r="BE191" s="470"/>
      <c r="BF191" s="469">
        <v>2023</v>
      </c>
      <c r="BG191" s="470"/>
      <c r="BH191" s="469">
        <v>2024</v>
      </c>
      <c r="BI191" s="470"/>
    </row>
    <row r="192" spans="2:61" ht="12.75" customHeight="1" x14ac:dyDescent="0.2">
      <c r="B192" s="28"/>
      <c r="C192" s="1046" t="s">
        <v>148</v>
      </c>
      <c r="D192" s="1047"/>
      <c r="E192" s="1046" t="s">
        <v>149</v>
      </c>
      <c r="F192" s="1050"/>
      <c r="G192" s="1046" t="s">
        <v>148</v>
      </c>
      <c r="H192" s="1047"/>
      <c r="I192" s="1046" t="s">
        <v>149</v>
      </c>
      <c r="J192" s="1050"/>
      <c r="K192" s="1046" t="s">
        <v>148</v>
      </c>
      <c r="L192" s="1047"/>
      <c r="M192" s="1046" t="s">
        <v>149</v>
      </c>
      <c r="N192" s="1047"/>
      <c r="O192" s="1046" t="s">
        <v>148</v>
      </c>
      <c r="P192" s="1047"/>
      <c r="Q192" s="1046" t="s">
        <v>149</v>
      </c>
      <c r="R192" s="1050"/>
      <c r="S192" s="1046" t="s">
        <v>148</v>
      </c>
      <c r="T192" s="1047"/>
      <c r="U192" s="1046" t="s">
        <v>149</v>
      </c>
      <c r="V192" s="1050"/>
      <c r="W192" s="1046" t="s">
        <v>148</v>
      </c>
      <c r="X192" s="1047"/>
      <c r="Y192" s="1046" t="s">
        <v>149</v>
      </c>
      <c r="Z192" s="1050"/>
      <c r="AA192" s="1046" t="s">
        <v>148</v>
      </c>
      <c r="AB192" s="1047"/>
      <c r="AC192" s="1046" t="s">
        <v>149</v>
      </c>
      <c r="AD192" s="1050"/>
      <c r="AE192" s="1046" t="s">
        <v>148</v>
      </c>
      <c r="AF192" s="1047"/>
      <c r="AG192" s="1046" t="s">
        <v>149</v>
      </c>
      <c r="AH192" s="1050"/>
      <c r="AI192" s="1046" t="s">
        <v>148</v>
      </c>
      <c r="AJ192" s="1047"/>
      <c r="AK192" s="1046" t="s">
        <v>149</v>
      </c>
      <c r="AL192" s="1050"/>
      <c r="AM192" s="26"/>
      <c r="AN192" s="26"/>
      <c r="AO192" s="26"/>
      <c r="AR192" s="7" t="s">
        <v>121</v>
      </c>
      <c r="AS192" s="7" t="s">
        <v>123</v>
      </c>
      <c r="AT192" s="7" t="s">
        <v>121</v>
      </c>
      <c r="AU192" s="7" t="s">
        <v>123</v>
      </c>
      <c r="AV192" s="7" t="s">
        <v>121</v>
      </c>
      <c r="AW192" s="7" t="s">
        <v>123</v>
      </c>
      <c r="AX192" s="7" t="s">
        <v>121</v>
      </c>
      <c r="AY192" s="7" t="s">
        <v>123</v>
      </c>
      <c r="AZ192" s="7" t="s">
        <v>121</v>
      </c>
      <c r="BA192" s="7" t="s">
        <v>123</v>
      </c>
      <c r="BB192" s="7" t="s">
        <v>121</v>
      </c>
      <c r="BC192" s="7" t="s">
        <v>123</v>
      </c>
      <c r="BD192" s="7" t="s">
        <v>121</v>
      </c>
      <c r="BE192" s="7" t="s">
        <v>123</v>
      </c>
      <c r="BF192" s="7" t="s">
        <v>121</v>
      </c>
      <c r="BG192" s="7" t="s">
        <v>123</v>
      </c>
      <c r="BH192" s="7" t="s">
        <v>121</v>
      </c>
      <c r="BI192" s="7" t="s">
        <v>123</v>
      </c>
    </row>
    <row r="193" spans="2:76" ht="18" customHeight="1" x14ac:dyDescent="0.2">
      <c r="B193" s="28"/>
      <c r="C193" s="7" t="s">
        <v>120</v>
      </c>
      <c r="D193" s="7" t="s">
        <v>147</v>
      </c>
      <c r="E193" s="7" t="s">
        <v>120</v>
      </c>
      <c r="F193" s="7" t="s">
        <v>147</v>
      </c>
      <c r="G193" s="7" t="s">
        <v>120</v>
      </c>
      <c r="H193" s="7" t="s">
        <v>147</v>
      </c>
      <c r="I193" s="7" t="s">
        <v>120</v>
      </c>
      <c r="J193" s="7" t="s">
        <v>147</v>
      </c>
      <c r="K193" s="7" t="s">
        <v>120</v>
      </c>
      <c r="L193" s="7" t="s">
        <v>147</v>
      </c>
      <c r="M193" s="7" t="s">
        <v>120</v>
      </c>
      <c r="N193" s="7" t="s">
        <v>147</v>
      </c>
      <c r="O193" s="7" t="s">
        <v>120</v>
      </c>
      <c r="P193" s="7" t="s">
        <v>147</v>
      </c>
      <c r="Q193" s="7" t="s">
        <v>120</v>
      </c>
      <c r="R193" s="34" t="s">
        <v>147</v>
      </c>
      <c r="S193" s="7" t="s">
        <v>120</v>
      </c>
      <c r="T193" s="7" t="s">
        <v>147</v>
      </c>
      <c r="U193" s="7" t="s">
        <v>120</v>
      </c>
      <c r="V193" s="34" t="s">
        <v>147</v>
      </c>
      <c r="W193" s="7" t="s">
        <v>120</v>
      </c>
      <c r="X193" s="7" t="s">
        <v>147</v>
      </c>
      <c r="Y193" s="7" t="s">
        <v>120</v>
      </c>
      <c r="Z193" s="34" t="s">
        <v>147</v>
      </c>
      <c r="AA193" s="7" t="s">
        <v>120</v>
      </c>
      <c r="AB193" s="7" t="s">
        <v>147</v>
      </c>
      <c r="AC193" s="7" t="s">
        <v>120</v>
      </c>
      <c r="AD193" s="34" t="s">
        <v>147</v>
      </c>
      <c r="AE193" s="7" t="s">
        <v>120</v>
      </c>
      <c r="AF193" s="7" t="s">
        <v>147</v>
      </c>
      <c r="AG193" s="7" t="s">
        <v>120</v>
      </c>
      <c r="AH193" s="34" t="s">
        <v>147</v>
      </c>
      <c r="AI193" s="7" t="s">
        <v>120</v>
      </c>
      <c r="AJ193" s="7" t="s">
        <v>147</v>
      </c>
      <c r="AK193" s="7" t="s">
        <v>120</v>
      </c>
      <c r="AL193" s="34" t="s">
        <v>147</v>
      </c>
      <c r="AM193" s="26"/>
      <c r="AN193" s="26"/>
      <c r="AO193" s="26"/>
      <c r="AQ193" s="477">
        <v>1</v>
      </c>
      <c r="AR193" s="39">
        <f>$F$12</f>
        <v>0.01</v>
      </c>
      <c r="AS193" s="39">
        <f>$F$14</f>
        <v>0.01</v>
      </c>
      <c r="AT193" s="39">
        <f>$O$12</f>
        <v>0.01</v>
      </c>
      <c r="AU193" s="39">
        <f>$O$14</f>
        <v>0.01</v>
      </c>
      <c r="AV193" s="39">
        <f>$X$12</f>
        <v>0.02</v>
      </c>
      <c r="AW193" s="39">
        <f>$X$14</f>
        <v>0.01</v>
      </c>
      <c r="AX193" s="39">
        <f>$AG$12</f>
        <v>0.02</v>
      </c>
      <c r="AY193" s="39">
        <f>$AG$14</f>
        <v>0.01</v>
      </c>
      <c r="AZ193" s="39">
        <f>$AP$12</f>
        <v>0.02</v>
      </c>
      <c r="BA193" s="39">
        <f>$AP$14</f>
        <v>0.01</v>
      </c>
      <c r="BB193" s="39">
        <f>$BA$12</f>
        <v>0.02</v>
      </c>
      <c r="BC193" s="39">
        <f>$BA$14</f>
        <v>0.01</v>
      </c>
      <c r="BD193" s="291">
        <v>0.02</v>
      </c>
      <c r="BE193" s="325">
        <v>0.01</v>
      </c>
      <c r="BF193" s="486">
        <v>0.02</v>
      </c>
      <c r="BG193" s="486">
        <v>0.01</v>
      </c>
      <c r="BH193" s="487">
        <v>0.03</v>
      </c>
      <c r="BI193" s="487">
        <v>0.01</v>
      </c>
    </row>
    <row r="194" spans="2:76" x14ac:dyDescent="0.2">
      <c r="B194" s="5" t="s">
        <v>0</v>
      </c>
      <c r="C194" s="10">
        <v>53</v>
      </c>
      <c r="D194" s="10">
        <v>8</v>
      </c>
      <c r="E194" s="10">
        <v>55</v>
      </c>
      <c r="F194" s="10">
        <v>8</v>
      </c>
      <c r="G194" s="10">
        <v>52</v>
      </c>
      <c r="H194" s="10">
        <v>8</v>
      </c>
      <c r="I194" s="10">
        <v>56</v>
      </c>
      <c r="J194" s="10">
        <v>9</v>
      </c>
      <c r="K194" s="30">
        <v>52</v>
      </c>
      <c r="L194" s="30">
        <v>9</v>
      </c>
      <c r="M194" s="30">
        <v>56</v>
      </c>
      <c r="N194" s="30">
        <v>9</v>
      </c>
      <c r="O194" s="30">
        <v>52</v>
      </c>
      <c r="P194" s="30">
        <v>9</v>
      </c>
      <c r="Q194" s="30">
        <v>56</v>
      </c>
      <c r="R194" s="30">
        <v>9</v>
      </c>
      <c r="S194" s="30">
        <v>52</v>
      </c>
      <c r="T194" s="30">
        <v>9</v>
      </c>
      <c r="U194" s="30">
        <v>56</v>
      </c>
      <c r="V194" s="30">
        <v>9</v>
      </c>
      <c r="W194" s="30">
        <v>53</v>
      </c>
      <c r="X194" s="30">
        <v>9</v>
      </c>
      <c r="Y194" s="30">
        <v>56</v>
      </c>
      <c r="Z194" s="30">
        <v>9</v>
      </c>
      <c r="AA194" s="30">
        <v>53</v>
      </c>
      <c r="AB194" s="30">
        <v>9</v>
      </c>
      <c r="AC194" s="30">
        <v>56</v>
      </c>
      <c r="AD194" s="30">
        <v>9</v>
      </c>
      <c r="AE194" s="30">
        <v>53</v>
      </c>
      <c r="AF194" s="30">
        <v>9</v>
      </c>
      <c r="AG194" s="30">
        <v>56</v>
      </c>
      <c r="AH194" s="30">
        <v>9</v>
      </c>
      <c r="AI194" s="30">
        <v>54</v>
      </c>
      <c r="AJ194" s="30">
        <v>9</v>
      </c>
      <c r="AK194" s="30">
        <v>58</v>
      </c>
      <c r="AL194" s="30">
        <v>9</v>
      </c>
      <c r="AM194" s="26"/>
      <c r="AN194" s="26"/>
      <c r="AO194" s="26"/>
      <c r="AQ194" s="477">
        <v>2</v>
      </c>
      <c r="AR194" s="39">
        <f>$G$12</f>
        <v>0.39</v>
      </c>
      <c r="AS194" s="39">
        <f>$G$14</f>
        <v>0.28999999999999998</v>
      </c>
      <c r="AT194" s="39">
        <f>$P$12</f>
        <v>0.34</v>
      </c>
      <c r="AU194" s="39">
        <f>$P$14</f>
        <v>0.23</v>
      </c>
      <c r="AV194" s="39">
        <f>$Y$12</f>
        <v>0.37</v>
      </c>
      <c r="AW194" s="39">
        <f>$Y$14</f>
        <v>0.26</v>
      </c>
      <c r="AX194" s="39">
        <f>$AH$12</f>
        <v>0.35</v>
      </c>
      <c r="AY194" s="39">
        <f>$AH$14</f>
        <v>0.25</v>
      </c>
      <c r="AZ194" s="39">
        <f>$AQ$12</f>
        <v>0.35</v>
      </c>
      <c r="BA194" s="39">
        <f>$AQ$14</f>
        <v>0.26</v>
      </c>
      <c r="BB194" s="39">
        <f>$BB$12</f>
        <v>0.37</v>
      </c>
      <c r="BC194" s="39">
        <f>$BB$14</f>
        <v>0.26</v>
      </c>
      <c r="BD194" s="291">
        <v>0.34</v>
      </c>
      <c r="BE194" s="325">
        <v>0.21</v>
      </c>
      <c r="BF194" s="486">
        <v>0.35</v>
      </c>
      <c r="BG194" s="486">
        <v>0.22</v>
      </c>
      <c r="BH194" s="487">
        <v>0.31</v>
      </c>
      <c r="BI194" s="487">
        <v>0.18</v>
      </c>
    </row>
    <row r="195" spans="2:76" x14ac:dyDescent="0.2">
      <c r="B195" s="27" t="s">
        <v>140</v>
      </c>
      <c r="C195" s="27">
        <f>AVERAGEIFS($D$36:$D$173,$C$36:$C$173,"=1", $B$36:$B$173,"OFICIAL")</f>
        <v>53</v>
      </c>
      <c r="D195" s="27">
        <f>AVERAGEIFS($E$36:$E$173,$C$36:$C$173,"=1", $B$36:$B$173,"OFICIAL")</f>
        <v>7.25</v>
      </c>
      <c r="E195" s="27">
        <f>AVERAGEIFS($D$36:$D$173,$C$36:$C$173,"=1", $B$36:$B$173,"NO OFICIAL")</f>
        <v>53.153846153846153</v>
      </c>
      <c r="F195" s="27">
        <f>AVERAGEIFS($E$36:$E$173,$C$36:$C$173,"=1", $B$36:$B$173,"NO OFICIAL")</f>
        <v>7.4615384615384617</v>
      </c>
      <c r="G195" s="27">
        <f>AVERAGEIFS($M$36:$M$173,$C$36:$C$173,"=1",$B$36:$B$173,"OFICIAL")</f>
        <v>55</v>
      </c>
      <c r="H195" s="27">
        <f>AVERAGEIFS(N36:N173,C36:C173,"=1", B36:B173,"OFICIAL")</f>
        <v>7.25</v>
      </c>
      <c r="I195" s="27">
        <f>AVERAGEIFS(M36:M173,C36:C173,"=1", B36:B173,"NO OFICIAL")</f>
        <v>53.333333333333336</v>
      </c>
      <c r="J195" s="27">
        <f>AVERAGEIFS(N36:N173,C36:C173,"=1", B36:B173,"NO OFICIAL")</f>
        <v>7.833333333333333</v>
      </c>
      <c r="K195" s="27">
        <f>AVERAGEIFS(V36:V173,C36:C173,"=1", B36:B173,"OFICIAL")</f>
        <v>53.75</v>
      </c>
      <c r="L195" s="27">
        <f>AVERAGEIFS(W36:W173,C36:C173,"=1", B36:B173,"OFICIAL")</f>
        <v>8.5</v>
      </c>
      <c r="M195" s="27">
        <f>AVERAGEIFS(V36:V173,C36:C173,"=1", B36:B173,"NO OFICIAL")</f>
        <v>53.846153846153847</v>
      </c>
      <c r="N195" s="27">
        <f>AVERAGEIFS(W36:W173,C36:C173,"=1", B36:B173,"NO OFICIAL")</f>
        <v>8.2307692307692299</v>
      </c>
      <c r="O195" s="27">
        <f>AVERAGEIFS(AE36:AE173,C36:C173,"=1", B36:B173,"OFICIAL")</f>
        <v>54.25</v>
      </c>
      <c r="P195" s="27">
        <f>AVERAGEIFS(AF36:AF173,C36:C173,"=1", B36:B173,"OFICIAL")</f>
        <v>8.75</v>
      </c>
      <c r="Q195" s="27">
        <f>AVERAGEIFS(AE36:AE173,C36:C173,"=1", B36:B173,"NO OFICIAL")</f>
        <v>53.53846153846154</v>
      </c>
      <c r="R195" s="27">
        <f>AVERAGEIFS(AF36:AF173,C36:C173,"=1", B36:B173,"NO OFICIAL")</f>
        <v>8.3076923076923084</v>
      </c>
      <c r="S195" s="27">
        <f>AVERAGEIFS($AN$36:$AN$173,$C$36:$C$173,"=1", $B$36:$B$173,"OFICIAL")</f>
        <v>54.25</v>
      </c>
      <c r="T195" s="27">
        <f>AVERAGEIFS($AO$36:$AO$173,$C$36:$C$173,"=1", $B$36:$B$173,"OFICIAL")</f>
        <v>8</v>
      </c>
      <c r="U195" s="27">
        <f>AVERAGEIFS($AN$36:$AN$173,$C$36:$C$173,"=1", $B$36:$B$173,"NO OFICIAL")</f>
        <v>53.692307692307693</v>
      </c>
      <c r="V195" s="27">
        <f>AVERAGEIFS($AO$36:$AO$173,$C$36:$C$173,"=1", $B$36:$B$173,"NO OFICIAL")</f>
        <v>8.0769230769230766</v>
      </c>
      <c r="W195" s="27">
        <f>AVERAGEIFS($AW$36:$AW$173,$C$36:$C$173,"=1", $B$36:$B$173,"OFICIAL")</f>
        <v>53.75</v>
      </c>
      <c r="X195" s="27">
        <f>AVERAGEIFS($AY$36:$AY$173,$C$36:$C$173,"=1", $B$36:$B$173,"OFICIAL")</f>
        <v>9.5</v>
      </c>
      <c r="Y195" s="27">
        <f>AVERAGEIFS($AW$36:$AW$173,$C$36:$C$173,"=1", $B$36:$B$173,"NO OFICIAL")</f>
        <v>54.846153846153847</v>
      </c>
      <c r="Z195" s="27">
        <f>AVERAGEIFS($AY$36:$AY$173,$C$36:$C$173,"=1", $B$36:$B$173,"NO OFICIAL")</f>
        <v>8.1538461538461533</v>
      </c>
      <c r="AA195" s="27">
        <f>AVERAGEIFS($BH$36:$BH$173,$C$36:$C$173,"=1", $B$36:$B$173,"OFICIAL")</f>
        <v>54</v>
      </c>
      <c r="AB195" s="27">
        <f>AVERAGEIFS($BJ$36:$BJ$173,$C$36:$C$173,"=1", $B$36:$B$173,"OFICIAL")</f>
        <v>8.6</v>
      </c>
      <c r="AC195" s="27">
        <f>AVERAGEIFS($BH$36:$BH$173,$C$36:$C$173,"=1", $B$36:$B$173,"NO OFICIAL")</f>
        <v>55</v>
      </c>
      <c r="AD195" s="27">
        <f>AVERAGEIFS($BJ$36:$BJ$173,$C$36:$C$173,"=1", $B$36:$B$173,"NO OFICIAL")</f>
        <v>8.5384615384615383</v>
      </c>
      <c r="AE195" s="27">
        <f>AVERAGEIFS($BS$36:$BS$173,$C$36:$C$173,"=1", $B$36:$B$173,"OFICIAL")</f>
        <v>52.8</v>
      </c>
      <c r="AF195" s="27">
        <f>AVERAGEIFS($BU$36:$BU$173,$C$36:$C$173,"=1", $B$36:$B$173,"OFICIAL")</f>
        <v>8.1999999999999993</v>
      </c>
      <c r="AG195" s="27">
        <f>AVERAGEIFS($BS$36:$BS$173,$C$36:$C$173,"=1", $B$36:$B$173,"NO OFICIAL")</f>
        <v>55.25</v>
      </c>
      <c r="AH195" s="27">
        <f>AVERAGEIFS($BU$36:$BU$173,$C$36:$C$173,"=1", $B$36:$B$173,"NO OFICIAL")</f>
        <v>8.3333333333333339</v>
      </c>
      <c r="AI195" s="27">
        <v>54</v>
      </c>
      <c r="AJ195" s="27">
        <v>9.4</v>
      </c>
      <c r="AK195" s="82">
        <v>55.636363636363633</v>
      </c>
      <c r="AL195" s="27">
        <v>8.1818181818181817</v>
      </c>
      <c r="AM195" s="26"/>
      <c r="AN195" s="26"/>
      <c r="AO195" s="26"/>
      <c r="AQ195" s="478">
        <v>3</v>
      </c>
      <c r="AR195" s="39">
        <f>$H$12</f>
        <v>0.54</v>
      </c>
      <c r="AS195" s="39">
        <f>$H$14</f>
        <v>0.62</v>
      </c>
      <c r="AT195" s="39">
        <f>$Q$12</f>
        <v>0.56999999999999995</v>
      </c>
      <c r="AU195" s="39">
        <f>$Q$14</f>
        <v>0.64</v>
      </c>
      <c r="AV195" s="39">
        <f>$Z$12</f>
        <v>0.53</v>
      </c>
      <c r="AW195" s="39">
        <f>$Z$14</f>
        <v>0.59</v>
      </c>
      <c r="AX195" s="39">
        <f>$AI$12</f>
        <v>0.55000000000000004</v>
      </c>
      <c r="AY195" s="39">
        <f>$AI$14</f>
        <v>0.6</v>
      </c>
      <c r="AZ195" s="39">
        <f>$AR$12</f>
        <v>0.56000000000000005</v>
      </c>
      <c r="BA195" s="39">
        <f>$AR$14</f>
        <v>0.61</v>
      </c>
      <c r="BB195" s="39">
        <f>$BC$12</f>
        <v>0.52</v>
      </c>
      <c r="BC195" s="39">
        <f>$BC$14</f>
        <v>0.56999999999999995</v>
      </c>
      <c r="BD195" s="291">
        <v>0.56000000000000005</v>
      </c>
      <c r="BE195" s="325">
        <v>0.61</v>
      </c>
      <c r="BF195" s="486">
        <v>0.55000000000000004</v>
      </c>
      <c r="BG195" s="486">
        <v>0.6</v>
      </c>
      <c r="BH195" s="487">
        <v>0.56000000000000005</v>
      </c>
      <c r="BI195" s="487">
        <v>0.63</v>
      </c>
    </row>
    <row r="196" spans="2:76" x14ac:dyDescent="0.2">
      <c r="B196" s="27" t="s">
        <v>141</v>
      </c>
      <c r="C196" s="27">
        <f>AVERAGEIFS(D36:D173,C36:C173,"=2", B36:B173,"OFICIAL")</f>
        <v>53.5</v>
      </c>
      <c r="D196" s="27">
        <f>AVERAGEIFS(E36:E173,C36:C173,"=2", B36:B173,"OFICIAL")</f>
        <v>7.5</v>
      </c>
      <c r="E196" s="27">
        <f>AVERAGEIFS(D36:D173,C36:C173,"=2", B36:B173,"NO OFICIAL")</f>
        <v>54.888888888888886</v>
      </c>
      <c r="F196" s="27">
        <f>AVERAGEIFS(E36:E173,C36:C173,"=2", B36:B173,"NO OFICIAL")</f>
        <v>7.1111111111111107</v>
      </c>
      <c r="G196" s="27">
        <f>AVERAGEIFS(M36:M173,C36:C173,"=2", B36:B173,"OFICIAL")</f>
        <v>54.5</v>
      </c>
      <c r="H196" s="27">
        <f>AVERAGEIFS(N36:N173,C36:C173,"=2", B36:B173,"OFICIAL")</f>
        <v>8</v>
      </c>
      <c r="I196" s="27">
        <f>AVERAGEIFS(M36:M173,C36:C173,"=2", B36:B173,"NO OFICIAL")</f>
        <v>55.705882352941174</v>
      </c>
      <c r="J196" s="27">
        <f>AVERAGEIFS(N36:N173,C36:C173,"=2", B36:B173,"NO OFICIAL")</f>
        <v>7.882352941176471</v>
      </c>
      <c r="K196" s="27">
        <f>AVERAGEIFS(V36:V173,C36:C173,"=2", B36:B173,"OFICIAL")</f>
        <v>53.5</v>
      </c>
      <c r="L196" s="27">
        <f>AVERAGEIFS(W36:W173,C36:C173,"=2", B36:B173,"OFICIAL")</f>
        <v>9</v>
      </c>
      <c r="M196" s="27">
        <f>AVERAGEIFS(V36:V173,C36:C173,"=2", B36:B173,"NO OFICIAL")</f>
        <v>54.823529411764703</v>
      </c>
      <c r="N196" s="27">
        <f>AVERAGEIFS(W36:W173,C36:C173,"=2", B36:B173,"NO OFICIAL")</f>
        <v>8.2941176470588243</v>
      </c>
      <c r="O196" s="27">
        <f>AVERAGEIFS(AE36:AE173,C36:C173,"=2", B36:B173,"OFICIAL")</f>
        <v>54</v>
      </c>
      <c r="P196" s="27">
        <f>AVERAGEIFS(AF36:AF173,C36:C173,"=2", B36:B173,"OFICIAL")</f>
        <v>9</v>
      </c>
      <c r="Q196" s="27">
        <f>AVERAGEIFS(AE36:AE173,C36:C173,"=2", B36:B173,"NO OFICIAL")</f>
        <v>55.444444444444443</v>
      </c>
      <c r="R196" s="27">
        <f>AVERAGEIFS(AF36:AF173,C36:C173,"=2", B36:B173,"NO OFICIAL")</f>
        <v>8.2777777777777786</v>
      </c>
      <c r="S196" s="27">
        <f>AVERAGEIFS($AN$36:$AN$173,$C$36:$C$173,"=2", $B$36:$B$173,"OFICIAL")</f>
        <v>54</v>
      </c>
      <c r="T196" s="27">
        <f>AVERAGEIFS($AO$36:$AO$173,$C$36:$C$173,"=2", $B$36:$B$173,"OFICIAL")</f>
        <v>8.5</v>
      </c>
      <c r="U196" s="27">
        <f>AVERAGEIFS($AN$36:$AN$173,$C$36:$C$173,"=2", $B$36:$B$173,"NO OFICIAL")</f>
        <v>54.863636363636367</v>
      </c>
      <c r="V196" s="27">
        <f>AVERAGEIFS($AO$36:$AO$173,$C$36:$C$173,"=2", $B$36:$B$173,"NO OFICIAL")</f>
        <v>6.9090909090909092</v>
      </c>
      <c r="W196" s="27">
        <f>AVERAGEIFS($AW$36:$AW$173,$C$36:$C$173,"=2", $B$36:$B$173,"OFICIAL")</f>
        <v>53.5</v>
      </c>
      <c r="X196" s="27">
        <f>AVERAGEIFS($AY$36:$AY$173,$C$36:$C$173,"=2", $B$36:$B$173,"OFICIAL")</f>
        <v>9</v>
      </c>
      <c r="Y196" s="27">
        <f>AVERAGEIFS($AW$36:$AW$173,$C$36:$C$173,"=2", $B$36:$B$173,"NO OFICIAL")</f>
        <v>54.65</v>
      </c>
      <c r="Z196" s="27">
        <f>AVERAGEIFS($AY$36:$AY$173,$C$36:$C$173,"=2", $B$36:$B$173,"NO OFICIAL")</f>
        <v>7.9</v>
      </c>
      <c r="AA196" s="27">
        <f>AVERAGEIFS($BH$36:$BH$173,$C$36:$C$173,"=2", $B$36:$B$173,"OFICIAL")</f>
        <v>53.75</v>
      </c>
      <c r="AB196" s="27">
        <f>AVERAGEIFS($BJ$36:$BJ$173,$C$36:$C$173,"=2", $B$36:$B$173,"OFICIAL")</f>
        <v>8.75</v>
      </c>
      <c r="AC196" s="27">
        <f>AVERAGEIFS($BH$36:$BH$173,$C$36:$C$173,"=2", $B$36:$B$173,"NO OFICIAL")</f>
        <v>56.952380952380949</v>
      </c>
      <c r="AD196" s="27">
        <f>AVERAGEIFS($BJ$36:$BJ$173,$C$36:$C$173,"=2", $B$36:$B$173,"NO OFICIAL")</f>
        <v>7.666666666666667</v>
      </c>
      <c r="AE196" s="27">
        <f>AVERAGEIFS($BS$36:$BS$173,$C$36:$C$173,"=2", $B$36:$B$173,"OFICIAL")</f>
        <v>54.25</v>
      </c>
      <c r="AF196" s="27">
        <f>AVERAGEIFS($BU$36:$BU$173,$C$36:$C$173,"=2", $B$36:$B$173,"OFICIAL")</f>
        <v>8.5</v>
      </c>
      <c r="AG196" s="27">
        <f>AVERAGEIFS($BS$36:$BS$173,$C$36:$C$173,"=2", $B$36:$B$173,"NO OFICIAL")</f>
        <v>56.272727272727273</v>
      </c>
      <c r="AH196" s="27">
        <f>AVERAGEIFS($BU$36:$BU$173,$C$36:$C$173,"=2", $B$36:$B$173,"NO OFICIAL")</f>
        <v>8.2727272727272734</v>
      </c>
      <c r="AI196" s="27">
        <v>54.75</v>
      </c>
      <c r="AJ196" s="27">
        <v>8.5</v>
      </c>
      <c r="AK196" s="82">
        <v>58.421052631578945</v>
      </c>
      <c r="AL196" s="27">
        <v>8.2105263157894743</v>
      </c>
      <c r="AQ196" s="478">
        <v>4</v>
      </c>
      <c r="AR196" s="39">
        <f>$I$12</f>
        <v>0.05</v>
      </c>
      <c r="AS196" s="39">
        <f>$I$14</f>
        <v>0.08</v>
      </c>
      <c r="AT196" s="39">
        <f>$R$12</f>
        <v>7.0000000000000007E-2</v>
      </c>
      <c r="AU196" s="39">
        <f>$R$14</f>
        <v>0.12</v>
      </c>
      <c r="AV196" s="39">
        <f>$AA$12</f>
        <v>0.08</v>
      </c>
      <c r="AW196" s="39">
        <f>$AA$14</f>
        <v>0.14000000000000001</v>
      </c>
      <c r="AX196" s="39">
        <f>$AJ$12</f>
        <v>0.08</v>
      </c>
      <c r="AY196" s="39">
        <f>$AJ$14</f>
        <v>0.14000000000000001</v>
      </c>
      <c r="AZ196" s="39">
        <f>$AS$12</f>
        <v>7.0000000000000007E-2</v>
      </c>
      <c r="BA196" s="39">
        <f>$AS$14</f>
        <v>0.11</v>
      </c>
      <c r="BB196" s="39">
        <f>$BD$12</f>
        <v>0.09</v>
      </c>
      <c r="BC196" s="39">
        <f>$BD$14</f>
        <v>0.16</v>
      </c>
      <c r="BD196" s="291">
        <v>0.09</v>
      </c>
      <c r="BE196" s="325">
        <v>0.16</v>
      </c>
      <c r="BF196" s="486">
        <v>0.08</v>
      </c>
      <c r="BG196" s="486">
        <v>0.17</v>
      </c>
      <c r="BH196" s="487">
        <v>0.1</v>
      </c>
      <c r="BI196" s="487">
        <v>0.18</v>
      </c>
    </row>
    <row r="197" spans="2:76" x14ac:dyDescent="0.2">
      <c r="B197" s="27" t="s">
        <v>142</v>
      </c>
      <c r="C197" s="27">
        <f>AVERAGEIFS(D36:D173,C36:C173,"=3", B36:B173,"OFICIAL")</f>
        <v>53</v>
      </c>
      <c r="D197" s="27">
        <f>AVERAGEIFS(E36:E173,C36:C173,"=3", B36:B173,"OFICIAL")</f>
        <v>8.6</v>
      </c>
      <c r="E197" s="27">
        <f>AVERAGEIFS(D36:D173,C36:C173,"=3", B36:B173,"NO OFICIAL")</f>
        <v>55.153846153846153</v>
      </c>
      <c r="F197" s="27">
        <f>AVERAGEIFS(E36:E173,C36:C173,"=3", B36:B173,"NO OFICIAL")</f>
        <v>7.8461538461538458</v>
      </c>
      <c r="G197" s="27">
        <f>AVERAGEIFS(M36:M173,C36:C173,"=3", B36:B173,"OFICIAL")</f>
        <v>54.4</v>
      </c>
      <c r="H197" s="27">
        <f>AVERAGEIFS(N36:N173,C36:C173,"=3", B36:B173,"OFICIAL")</f>
        <v>8.6</v>
      </c>
      <c r="I197" s="27">
        <f>AVERAGEIFS(M36:M173,C36:C173,"=3", B36:B173,"NO OFICIAL")</f>
        <v>55.714285714285715</v>
      </c>
      <c r="J197" s="27">
        <f>AVERAGEIFS(N36:N173,C36:C173,"=3", B36:B173,"NO OFICIAL")</f>
        <v>7.6428571428571432</v>
      </c>
      <c r="K197" s="27">
        <f>AVERAGEIFS(V36:V173,C36:C173,"=3", B36:B173,"OFICIAL")</f>
        <v>54.2</v>
      </c>
      <c r="L197" s="27">
        <f>AVERAGEIFS(W36:W173,C36:C173,"=3", B36:B173,"OFICIAL")</f>
        <v>8.6</v>
      </c>
      <c r="M197" s="27">
        <f>AVERAGEIFS(V36:V173,C36:C173,"=3", B36:B173,"NO OFICIAL")</f>
        <v>56.214285714285715</v>
      </c>
      <c r="N197" s="27">
        <f>AVERAGEIFS(W36:W173,C36:C173,"=3", B36:B173,"NO OFICIAL")</f>
        <v>8.2142857142857135</v>
      </c>
      <c r="O197" s="27">
        <f>AVERAGEIFS(AE36:AE173,C36:C173,"=3", B36:B173,"OFICIAL")</f>
        <v>53.6</v>
      </c>
      <c r="P197" s="27">
        <f>AVERAGEIFS(AF36:AF173,C36:C173,"=3", B36:B173,"OFICIAL")</f>
        <v>8.4</v>
      </c>
      <c r="Q197" s="27">
        <f>AVERAGEIFS(AE36:AE173,C36:C173,"=3", B36:B173,"NO OFICIAL")</f>
        <v>55.785714285714285</v>
      </c>
      <c r="R197" s="27">
        <f>AVERAGEIFS(AF36:AF173,C36:C173,"=3", B36:B173,"NO OFICIAL")</f>
        <v>8.4285714285714288</v>
      </c>
      <c r="S197" s="27">
        <f>AVERAGEIFS($AN$36:$AN$173,$C$36:$C$173,"=3", $B$36:$B$173,"OFICIAL")</f>
        <v>53.6</v>
      </c>
      <c r="T197" s="27">
        <f>AVERAGEIFS($AO$36:$AO$173,$C$36:$C$173,"=3", $B$36:$B$173,"OFICIAL")</f>
        <v>8.4</v>
      </c>
      <c r="U197" s="27">
        <f>AVERAGEIFS($AN$36:$AN$173,$C$36:$C$173,"=3", $B$36:$B$173,"NO OFICIAL")</f>
        <v>55.333333333333336</v>
      </c>
      <c r="V197" s="27">
        <f>AVERAGEIFS($AO$36:$AO$173,$C$36:$C$173,"=3", $B$36:$B$173,"NO OFICIAL")</f>
        <v>7.6</v>
      </c>
      <c r="W197" s="27">
        <f>AVERAGEIFS($AW$36:$AW$173,$C$36:$C$173,"=3", $B$36:$B$173,"OFICIAL")</f>
        <v>53.8</v>
      </c>
      <c r="X197" s="27">
        <f>AVERAGEIFS($AY$36:$AY$173,$C$36:$C$173,"=3", $B$36:$B$173,"OFICIAL")</f>
        <v>8.6</v>
      </c>
      <c r="Y197" s="27">
        <f>AVERAGEIFS($AW$36:$AW$173,$C$36:$C$173,"=3", $B$36:$B$173,"NO OFICIAL")</f>
        <v>56.2</v>
      </c>
      <c r="Z197" s="27">
        <f>AVERAGEIFS($AY$36:$AY$173,$C$36:$C$173,"=3", $B$36:$B$173,"NO OFICIAL")</f>
        <v>8.5333333333333332</v>
      </c>
      <c r="AA197" s="27">
        <f>AVERAGEIFS($BH$36:$BH$173,$C$36:$C$173,"=3", $B$36:$B$173,"OFICIAL")</f>
        <v>54.333333333333336</v>
      </c>
      <c r="AB197" s="27">
        <f>AVERAGEIFS($BJ$36:$BJ$173,$C$36:$C$173,"=3", $B$36:$B$173,"OFICIAL")</f>
        <v>8.8333333333333339</v>
      </c>
      <c r="AC197" s="27">
        <f>AVERAGEIFS($BH$36:$BH$173,$C$36:$C$173,"=3", $B$36:$B$173,"NO OFICIAL")</f>
        <v>57</v>
      </c>
      <c r="AD197" s="27">
        <f>AVERAGEIFS($BJ$36:$BJ$173,$C$36:$C$173,"=3", $B$36:$B$173,"NO OFICIAL")</f>
        <v>8.25</v>
      </c>
      <c r="AE197" s="27">
        <f>AVERAGEIFS($BS$36:$BS$173,$C$36:$C$173,"=3", $B$36:$B$173,"OFICIAL")</f>
        <v>54</v>
      </c>
      <c r="AF197" s="27">
        <f>AVERAGEIFS($BU$36:$BU$173,$C$36:$C$173,"=3", $B$36:$B$173,"OFICIAL")</f>
        <v>8.6666666666666661</v>
      </c>
      <c r="AG197" s="27">
        <f>AVERAGEIFS($BS$36:$BS$173,$C$36:$C$173,"=3", $B$36:$B$173,"NO OFICIAL")</f>
        <v>56.625</v>
      </c>
      <c r="AH197" s="27">
        <f>AVERAGEIFS($BU$36:$BU$173,$C$36:$C$173,"=3", $B$36:$B$173,"NO OFICIAL")</f>
        <v>7.9375</v>
      </c>
      <c r="AI197" s="27">
        <v>54.5</v>
      </c>
      <c r="AJ197" s="27">
        <v>9</v>
      </c>
      <c r="AK197" s="82">
        <v>57.25</v>
      </c>
      <c r="AL197" s="27">
        <v>8.3125</v>
      </c>
      <c r="AM197" s="32"/>
    </row>
    <row r="198" spans="2:76" x14ac:dyDescent="0.2">
      <c r="B198" s="27" t="s">
        <v>143</v>
      </c>
      <c r="C198" s="27">
        <f>AVERAGEIFS(D36:D173,C36:C173,"=4", B36:B173,"OFICIAL")</f>
        <v>49.666666666666664</v>
      </c>
      <c r="D198" s="27">
        <f>AVERAGEIFS(E36:E173,C36:C173,"=4", B36:B173,"OFICIAL")</f>
        <v>7.666666666666667</v>
      </c>
      <c r="E198" s="27">
        <f>AVERAGEIFS(D36:D173,C36:C173,"=4", B36:B173,"NO OFICIAL")</f>
        <v>51.5</v>
      </c>
      <c r="F198" s="27">
        <f>AVERAGEIFS(E36:E173,C36:C173,"=4", B36:B173,"NO OFICIAL")</f>
        <v>7.375</v>
      </c>
      <c r="G198" s="27">
        <f>AVERAGEIFS(M36:M173,C36:C173,"=4", B36:B173,"OFICIAL")</f>
        <v>51.333333333333336</v>
      </c>
      <c r="H198" s="27">
        <f>AVERAGEIFS(N36:N173,C36:C173,"=4", B36:B173,"OFICIAL")</f>
        <v>8.1666666666666661</v>
      </c>
      <c r="I198" s="27">
        <f>AVERAGEIFS(M36:M173,C36:C173,"=4", B36:B173,"NO OFICIAL")</f>
        <v>55.111111111111114</v>
      </c>
      <c r="J198" s="27">
        <f>AVERAGEIFS(N36:N173,C36:C173,"=4", B36:B173,"NO OFICIAL")</f>
        <v>6.666666666666667</v>
      </c>
      <c r="K198" s="27">
        <f>AVERAGEIFS(V36:V173,C36:C173,"=4", B36:B173,"OFICIAL")</f>
        <v>50.333333333333336</v>
      </c>
      <c r="L198" s="27">
        <f>AVERAGEIFS(W36:W173,C36:C173,"=4", B36:B173,"OFICIAL")</f>
        <v>8.6666666666666661</v>
      </c>
      <c r="M198" s="27">
        <f>AVERAGEIFS(V36:V173,C36:C173,"=4", B36:B173,"NO OFICIAL")</f>
        <v>54.666666666666664</v>
      </c>
      <c r="N198" s="27">
        <f>AVERAGEIFS(W36:W173,C36:C173,"=4", B36:B173,"NO OFICIAL")</f>
        <v>6.8888888888888893</v>
      </c>
      <c r="O198" s="27">
        <f>AVERAGEIFS(AE36:AE173,C36:C173,"=4", B36:B173,"OFICIAL")</f>
        <v>50</v>
      </c>
      <c r="P198" s="27">
        <f>AVERAGEIFS(AF36:AF173,C36:C173,"=4", B36:B173,"OFICIAL")</f>
        <v>8.8333333333333339</v>
      </c>
      <c r="Q198" s="27">
        <f>AVERAGEIFS(AE36:AE173,C36:C173,"=4", B36:B173,"NO OFICIAL")</f>
        <v>54.375</v>
      </c>
      <c r="R198" s="27">
        <f>AVERAGEIFS(AF36:AF173,C36:C173,"=4", B36:B173,"NO OFICIAL")</f>
        <v>8.25</v>
      </c>
      <c r="S198" s="27">
        <f>AVERAGEIFS($AN$36:$AN$173,$C$36:$C$173,"=4", $B$36:$B$173,"OFICIAL")</f>
        <v>50</v>
      </c>
      <c r="T198" s="27">
        <f>AVERAGEIFS($AO$36:$AO$173,$C$36:$C$173,"=4", $B$36:$B$173,"OFICIAL")</f>
        <v>8.5</v>
      </c>
      <c r="U198" s="27">
        <f>AVERAGEIFS($AN$36:$AN$173,$C$36:$C$173,"=4", $B$36:$B$173,"NO OFICIAL")</f>
        <v>52.142857142857146</v>
      </c>
      <c r="V198" s="27">
        <f>AVERAGEIFS($AO$36:$AO$173,$C$36:$C$173,"=4", $B$36:$B$173,"NO OFICIAL")</f>
        <v>7.7142857142857144</v>
      </c>
      <c r="W198" s="27">
        <f>AVERAGEIFS($AW$36:$AW$173,$C$36:$C$173,"=4", $B$36:$B$173,"OFICIAL")</f>
        <v>50.333333333333336</v>
      </c>
      <c r="X198" s="27">
        <f>AVERAGEIFS($AY$36:$AY$173,$C$36:$C$173,"=4", $B$36:$B$173,"OFICIAL")</f>
        <v>8.5</v>
      </c>
      <c r="Y198" s="27">
        <f>AVERAGEIFS($AW$36:$AW$173,$C$36:$C$173,"=4", $B$36:$B$173,"NO OFICIAL")</f>
        <v>53.875</v>
      </c>
      <c r="Z198" s="27">
        <f>AVERAGEIFS($AY$36:$AY$173,$C$36:$C$173,"=4", $B$36:$B$173,"NO OFICIAL")</f>
        <v>7.625</v>
      </c>
      <c r="AA198" s="27">
        <f>AVERAGEIFS($BH$36:$BH$173,$C$36:$C$173,"=4", $B$36:$B$173,"OFICIAL")</f>
        <v>51</v>
      </c>
      <c r="AB198" s="27">
        <f>AVERAGEIFS($BJ$36:$BJ$173,$C$36:$C$173,"=4", $B$36:$B$173,"OFICIAL")</f>
        <v>8.6666666666666661</v>
      </c>
      <c r="AC198" s="27">
        <f>AVERAGEIFS($BH$36:$BH$173,$C$36:$C$173,"=4", $B$36:$B$173,"NO OFICIAL")</f>
        <v>55</v>
      </c>
      <c r="AD198" s="27">
        <f>AVERAGEIFS($BJ$36:$BJ$173,$C$36:$C$173,"=4", $B$36:$B$173,"NO OFICIAL")</f>
        <v>8.375</v>
      </c>
      <c r="AE198" s="27">
        <f>AVERAGEIFS($BS$36:$BS$173,$C$36:$C$173,"=4", $B$36:$B$173,"OFICIAL")</f>
        <v>49.833333333333336</v>
      </c>
      <c r="AF198" s="27">
        <f>AVERAGEIFS($BU$36:$BU$173,$C$36:$C$173,"=4", $B$36:$B$173,"OFICIAL")</f>
        <v>8.8333333333333339</v>
      </c>
      <c r="AG198" s="27">
        <f>AVERAGEIFS($BS$36:$BS$173,$C$36:$C$173,"=4", $B$36:$B$173,"NO OFICIAL")</f>
        <v>52.555555555555557</v>
      </c>
      <c r="AH198" s="27">
        <f>AVERAGEIFS($BU$36:$BU$173,$C$36:$C$173,"=4", $B$36:$B$173,"NO OFICIAL")</f>
        <v>8.4444444444444446</v>
      </c>
      <c r="AI198" s="27">
        <v>50.666666666666664</v>
      </c>
      <c r="AJ198" s="27">
        <v>9.1666666666666661</v>
      </c>
      <c r="AK198" s="82">
        <v>55.714285714285715</v>
      </c>
      <c r="AL198" s="27">
        <v>7.7142857142857144</v>
      </c>
      <c r="AM198" s="32"/>
    </row>
    <row r="199" spans="2:76" x14ac:dyDescent="0.2">
      <c r="B199" s="27" t="s">
        <v>144</v>
      </c>
      <c r="C199" s="27">
        <f>AVERAGEIFS(D36:D173,C36:C173,"=5", B36:B173,"OFICIAL")</f>
        <v>54.333333333333336</v>
      </c>
      <c r="D199" s="27">
        <f>AVERAGEIFS(E36:E173,C36:C173,"=5", B36:B173,"OFICIAL")</f>
        <v>7.666666666666667</v>
      </c>
      <c r="E199" s="27">
        <f>AVERAGEIFS(D36:D173,C36:C173,"=5", B36:B173,"NO OFICIAL")</f>
        <v>55.785714285714285</v>
      </c>
      <c r="F199" s="27">
        <f>AVERAGEIFS(E36:E173,C36:C173,"=5", B36:B173,"NO OFICIAL")</f>
        <v>7.7142857142857144</v>
      </c>
      <c r="G199" s="27">
        <f>AVERAGEIFS(M36:M173,C36:C173,"=5", B36:B173,"OFICIAL")</f>
        <v>55.666666666666664</v>
      </c>
      <c r="H199" s="27">
        <f>AVERAGEIFS(N36:N173,C36:C173,"=5", B36:B173,"OFICIAL")</f>
        <v>8</v>
      </c>
      <c r="I199" s="27">
        <f>AVERAGEIFS(M36:M173,C36:C173,"=5", B36:B173,"NO OFICIAL")</f>
        <v>57.214285714285715</v>
      </c>
      <c r="J199" s="27">
        <f>AVERAGEIFS(N36:N173,C36:C173,"=5", B36:B173,"NO OFICIAL")</f>
        <v>7.5</v>
      </c>
      <c r="K199" s="27">
        <f>AVERAGEIFS(V36:V173,C36:C173,"=5", B36:B173,"OFICIAL")</f>
        <v>54</v>
      </c>
      <c r="L199" s="27">
        <f>AVERAGEIFS(W36:W173,C36:C173,"=5", B36:B173,"OFICIAL")</f>
        <v>8</v>
      </c>
      <c r="M199" s="27">
        <f>AVERAGEIFS(V36:V173,C36:C173,"=5", B36:B173,"NO OFICIAL")</f>
        <v>56.266666666666666</v>
      </c>
      <c r="N199" s="27">
        <f>AVERAGEIFS(W36:W173,C36:C173,"=5", B36:B173,"NO OFICIAL")</f>
        <v>7.8666666666666663</v>
      </c>
      <c r="O199" s="27">
        <f>AVERAGEIFS(AE36:AE173,C36:C173,"=5", B36:B173,"OFICIAL")</f>
        <v>55.333333333333336</v>
      </c>
      <c r="P199" s="27">
        <f>AVERAGEIFS(AF36:AF173,C36:C173,"=5", B36:B173,"OFICIAL")</f>
        <v>7.666666666666667</v>
      </c>
      <c r="Q199" s="27">
        <f>AVERAGEIFS(AE36:AE173,C36:C173,"=5", B36:B173,"NO OFICIAL")</f>
        <v>56.5625</v>
      </c>
      <c r="R199" s="27">
        <f>AVERAGEIFS(AF36:AF173,C36:C173,"=5", B36:B173,"NO OFICIAL")</f>
        <v>8</v>
      </c>
      <c r="S199" s="27">
        <f>AVERAGEIFS($AN$36:$AN$173,$C$36:$C$173,"=5", $B$36:$B$173,"OFICIAL")</f>
        <v>55.666666666666664</v>
      </c>
      <c r="T199" s="27">
        <f>AVERAGEIFS($AO$36:$AO$173,$C$36:$C$173,"=5", $B$36:$B$173,"OFICIAL")</f>
        <v>7.666666666666667</v>
      </c>
      <c r="U199" s="27">
        <f>AVERAGEIFS($AN$36:$AN$173,$C$36:$C$173,"=5", $B$36:$B$173,"NO OFICIAL")</f>
        <v>56.666666666666664</v>
      </c>
      <c r="V199" s="27">
        <f>AVERAGEIFS($AO$36:$AO$173,$C$36:$C$173,"=5", $B$36:$B$173,"NO OFICIAL")</f>
        <v>7.333333333333333</v>
      </c>
      <c r="W199" s="27">
        <f>AVERAGEIFS($AW$36:$AW$173,$C$36:$C$173,"=5", $B$36:$B$173,"OFICIAL")</f>
        <v>55.666666666666664</v>
      </c>
      <c r="X199" s="27">
        <f>AVERAGEIFS($AY$36:$AY$173,$C$36:$C$173,"=5", $B$36:$B$173,"OFICIAL")</f>
        <v>8.6666666666666661</v>
      </c>
      <c r="Y199" s="27">
        <f>AVERAGEIFS($AW$36:$AW$173,$C$36:$C$173,"=5", $B$36:$B$173,"NO OFICIAL")</f>
        <v>57.2</v>
      </c>
      <c r="Z199" s="27">
        <f>AVERAGEIFS($AY$36:$AY$173,$C$36:$C$173,"=5", $B$36:$B$173,"NO OFICIAL")</f>
        <v>8.4</v>
      </c>
      <c r="AA199" s="27">
        <f>AVERAGEIFS($BH$36:$BH$173,$C$36:$C$173,"=5", $B$36:$B$173,"OFICIAL")</f>
        <v>56.666666666666664</v>
      </c>
      <c r="AB199" s="27">
        <f>AVERAGEIFS($BJ$36:$BJ$173,$C$36:$C$173,"=5", $B$36:$B$173,"OFICIAL")</f>
        <v>8</v>
      </c>
      <c r="AC199" s="27">
        <f>AVERAGEIFS($BH$36:$BH$173,$C$36:$C$173,"=5", $B$36:$B$173,"NO OFICIAL")</f>
        <v>58.142857142857146</v>
      </c>
      <c r="AD199" s="27">
        <f>AVERAGEIFS($BJ$36:$BJ$173,$C$36:$C$173,"=5", $B$36:$B$173,"NO OFICIAL")</f>
        <v>7.6428571428571432</v>
      </c>
      <c r="AE199" s="27">
        <f>AVERAGEIFS($BS$36:$BS$173,$C$36:$C$173,"=5", $B$36:$B$173,"OFICIAL")</f>
        <v>55.333333333333336</v>
      </c>
      <c r="AF199" s="27">
        <f>AVERAGEIFS($BU$36:$BU$173,$C$36:$C$173,"=5", $B$36:$B$173,"OFICIAL")</f>
        <v>9</v>
      </c>
      <c r="AG199" s="27">
        <f>AVERAGEIFS($BS$36:$BS$173,$C$36:$C$173,"=5", $B$36:$B$173,"NO OFICIAL")</f>
        <v>58.357142857142854</v>
      </c>
      <c r="AH199" s="27">
        <f>AVERAGEIFS($BU$36:$BU$173,$C$36:$C$173,"=5", $B$36:$B$173,"NO OFICIAL")</f>
        <v>8</v>
      </c>
      <c r="AI199" s="27">
        <v>56.333333333333336</v>
      </c>
      <c r="AJ199" s="27">
        <v>9</v>
      </c>
      <c r="AK199" s="82">
        <v>58.466666666666669</v>
      </c>
      <c r="AL199" s="27">
        <v>7.4666666666666668</v>
      </c>
      <c r="AM199" s="32"/>
    </row>
    <row r="200" spans="2:76" x14ac:dyDescent="0.2">
      <c r="B200" s="27" t="s">
        <v>145</v>
      </c>
      <c r="C200" s="27">
        <f>AVERAGEIFS(D36:D173,C36:C173,"=6", B36:B173,"OFICIAL")</f>
        <v>53</v>
      </c>
      <c r="D200" s="27">
        <f>AVERAGEIFS(E36:E173,C36:C173,"=6", B36:B173,"OFICIAL")</f>
        <v>8</v>
      </c>
      <c r="E200" s="27">
        <f>AVERAGEIFS(D36:D173,C36:C173,"=6", B36:B173,"NO OFICIAL")</f>
        <v>54.636363636363633</v>
      </c>
      <c r="F200" s="27">
        <f>AVERAGEIFS(E36:E173,C36:C173,"=6", B36:B173,"NO OFICIAL")</f>
        <v>6.2727272727272725</v>
      </c>
      <c r="G200" s="27">
        <f>AVERAGEIFS(M36:M173,C36:C173,"=6", B36:B173,"OFICIAL")</f>
        <v>52.75</v>
      </c>
      <c r="H200" s="27">
        <f>AVERAGEIFS(N36:N173,C36:C173,"=6", B36:B173,"OFICIAL")</f>
        <v>8</v>
      </c>
      <c r="I200" s="27">
        <f>AVERAGEIFS(M36:M173,C36:C173,"=6", B36:B173,"NO OFICIAL")</f>
        <v>54.090909090909093</v>
      </c>
      <c r="J200" s="27">
        <f>AVERAGEIFS(N36:N173,C36:C173,"=6", B36:B173,"NO OFICIAL")</f>
        <v>8.454545454545455</v>
      </c>
      <c r="K200" s="27">
        <f>AVERAGEIFS(V36:V173,C36:C173,"=6", B36:B173,"OFICIAL")</f>
        <v>52.75</v>
      </c>
      <c r="L200" s="27">
        <f>AVERAGEIFS(W36:W173,C36:C173,"=6", B36:B173,"OFICIAL")</f>
        <v>8.5</v>
      </c>
      <c r="M200" s="27">
        <f>AVERAGEIFS(V36:V173,C36:C173,"=6", B36:B173,"NO OFICIAL")</f>
        <v>55</v>
      </c>
      <c r="N200" s="27">
        <f>AVERAGEIFS(W36:W173,C36:C173,"=6", B36:B173,"NO OFICIAL")</f>
        <v>8.6</v>
      </c>
      <c r="O200" s="27">
        <f>AVERAGEIFS(AE36:AE173,C36:C173,"=6", B36:B173,"OFICIAL")</f>
        <v>52.75</v>
      </c>
      <c r="P200" s="27">
        <f>AVERAGEIFS(AF36:AF173,C36:C173,"=6", B36:B173,"OFICIAL")</f>
        <v>8.25</v>
      </c>
      <c r="Q200" s="27">
        <f>AVERAGEIFS(AE36:AE173,C36:C173,"=6", B36:B173,"NO OFICIAL")</f>
        <v>55.272727272727273</v>
      </c>
      <c r="R200" s="27">
        <f>AVERAGEIFS(AF36:AF173,C36:C173,"=6", B36:B173,"NO OFICIAL")</f>
        <v>8.8181818181818183</v>
      </c>
      <c r="S200" s="27">
        <f>AVERAGEIFS($AN$36:$AN$173,$C$36:$C$173,"=6", $B$36:$B$173,"OFICIAL")</f>
        <v>53</v>
      </c>
      <c r="T200" s="27">
        <f>AVERAGEIFS($AO$36:$AO$173,$C$36:$C$173,"=6", $B$36:$B$173,"OFICIAL")</f>
        <v>8.5</v>
      </c>
      <c r="U200" s="27">
        <f>AVERAGEIFS($AN$36:$AN$173,$C$36:$C$173,"=6", $B$36:$B$173,"NO OFICIAL")</f>
        <v>52.46153846153846</v>
      </c>
      <c r="V200" s="27">
        <f>AVERAGEIFS($AO$36:$AO$173,$C$36:$C$173,"=6", $B$36:$B$173,"NO OFICIAL")</f>
        <v>7.1538461538461542</v>
      </c>
      <c r="W200" s="27">
        <f>AVERAGEIFS($AW$36:$AW$173,$C$36:$C$173,"=6", $B$36:$B$173,"OFICIAL")</f>
        <v>52.5</v>
      </c>
      <c r="X200" s="27">
        <f>AVERAGEIFS($AY$36:$AY$173,$C$36:$C$173,"=6", $B$36:$B$173,"OFICIAL")</f>
        <v>8.75</v>
      </c>
      <c r="Y200" s="27">
        <f>AVERAGEIFS($AW$36:$AW$173,$C$36:$C$173,"=6", $B$36:$B$173,"NO OFICIAL")</f>
        <v>54.846153846153847</v>
      </c>
      <c r="Z200" s="27">
        <f>AVERAGEIFS($AY$36:$AY$173,$C$36:$C$173,"=6", $B$36:$B$173,"NO OFICIAL")</f>
        <v>7.4615384615384617</v>
      </c>
      <c r="AA200" s="27">
        <f>AVERAGEIFS($BH$36:$BH$173,$C$36:$C$173,"=6", $B$36:$B$173,"OFICIAL")</f>
        <v>52.75</v>
      </c>
      <c r="AB200" s="27">
        <f>AVERAGEIFS($BJ$36:$BJ$173,$C$36:$C$173,"=6", $B$36:$B$173,"OFICIAL")</f>
        <v>8.5</v>
      </c>
      <c r="AC200" s="27">
        <f>AVERAGEIFS($BH$36:$BH$173,$C$36:$C$173,"=6", $B$36:$B$173,"NO OFICIAL")</f>
        <v>55</v>
      </c>
      <c r="AD200" s="27">
        <f>AVERAGEIFS($BJ$36:$BJ$173,$C$36:$C$173,"=6", $B$36:$B$173,"NO OFICIAL")</f>
        <v>8.2666666666666675</v>
      </c>
      <c r="AE200" s="27">
        <f>AVERAGEIFS($BS$36:$BS$173,$C$36:$C$173,"=6", $B$36:$B$173,"OFICIAL")</f>
        <v>52.5</v>
      </c>
      <c r="AF200" s="27">
        <f>AVERAGEIFS($BU$36:$BU$173,$C$36:$C$173,"=6", $B$36:$B$173,"OFICIAL")</f>
        <v>8.5</v>
      </c>
      <c r="AG200" s="27">
        <f>AVERAGEIFS($BS$36:$BS$173,$C$36:$C$173,"=6", $B$36:$B$173,"NO OFICIAL")</f>
        <v>56.375</v>
      </c>
      <c r="AH200" s="27">
        <f>AVERAGEIFS($BU$36:$BU$173,$C$36:$C$173,"=6", $B$36:$B$173,"NO OFICIAL")</f>
        <v>7.75</v>
      </c>
      <c r="AI200" s="27">
        <v>54</v>
      </c>
      <c r="AJ200" s="27">
        <v>8.6666666666666661</v>
      </c>
      <c r="AK200" s="82">
        <v>56.533333333333331</v>
      </c>
      <c r="AL200" s="27">
        <v>8.5333333333333332</v>
      </c>
      <c r="AM200" s="32"/>
    </row>
    <row r="201" spans="2:76" x14ac:dyDescent="0.2">
      <c r="B201" s="32"/>
      <c r="C201" s="32"/>
      <c r="D201" s="32"/>
      <c r="E201" s="32"/>
      <c r="F201" s="32"/>
      <c r="G201" s="32"/>
      <c r="H201" s="32"/>
      <c r="I201" s="32"/>
      <c r="J201" s="32"/>
      <c r="K201" s="32"/>
      <c r="L201" s="32"/>
      <c r="M201" s="32"/>
      <c r="N201" s="32"/>
      <c r="O201" s="32"/>
      <c r="P201" s="32"/>
      <c r="Q201" s="32"/>
      <c r="R201" s="32"/>
      <c r="S201" s="32"/>
      <c r="T201" s="32"/>
      <c r="U201" s="32"/>
      <c r="V201" s="32"/>
      <c r="W201" s="32"/>
      <c r="X201" s="69"/>
      <c r="Y201" s="69"/>
      <c r="Z201" s="69"/>
      <c r="AA201" s="69"/>
      <c r="AB201" s="69"/>
      <c r="AC201" s="69"/>
      <c r="AD201" s="69"/>
      <c r="AE201" s="32"/>
      <c r="AF201" s="32"/>
      <c r="AG201" s="32"/>
      <c r="AH201" s="32"/>
      <c r="AI201" s="32"/>
      <c r="AJ201" s="32"/>
      <c r="AK201" s="32"/>
      <c r="AL201" s="32"/>
      <c r="AM201" s="32"/>
      <c r="AN201" s="32"/>
      <c r="AO201" s="32"/>
      <c r="AP201" s="32"/>
      <c r="AQ201" s="32"/>
      <c r="AR201" s="32"/>
      <c r="AS201" s="32"/>
      <c r="AT201" s="32"/>
    </row>
    <row r="202" spans="2:76" ht="12.75" customHeight="1" x14ac:dyDescent="0.2">
      <c r="C202" s="1054" t="s">
        <v>148</v>
      </c>
      <c r="D202" s="1054"/>
      <c r="E202" s="1054"/>
      <c r="F202" s="1054"/>
      <c r="G202" s="1054"/>
      <c r="H202" s="1054"/>
      <c r="I202" s="1054"/>
      <c r="J202" s="1054"/>
      <c r="K202" s="1054"/>
      <c r="L202" s="1054"/>
      <c r="N202" s="1054" t="s">
        <v>149</v>
      </c>
      <c r="O202" s="1054"/>
      <c r="P202" s="1054"/>
      <c r="Q202" s="1054"/>
      <c r="R202" s="1054"/>
      <c r="S202" s="1054"/>
      <c r="T202" s="1054"/>
      <c r="U202" s="1054"/>
      <c r="V202" s="1054"/>
      <c r="W202" s="1054"/>
      <c r="AC202" s="73"/>
      <c r="AD202" s="73"/>
      <c r="AE202" s="73"/>
      <c r="AF202" s="73"/>
      <c r="AG202" s="73"/>
      <c r="AH202" s="73"/>
      <c r="AI202" s="73"/>
      <c r="AJ202" s="73"/>
      <c r="AK202" s="73"/>
      <c r="AL202" s="73"/>
      <c r="AM202" s="73"/>
      <c r="AN202" s="73"/>
      <c r="AO202" s="73"/>
    </row>
    <row r="203" spans="2:76" ht="12.75" customHeight="1" x14ac:dyDescent="0.2">
      <c r="C203" s="28"/>
      <c r="D203" s="28">
        <v>2016</v>
      </c>
      <c r="E203" s="29">
        <v>2017</v>
      </c>
      <c r="F203" s="28">
        <v>2018</v>
      </c>
      <c r="G203" s="28">
        <v>2019</v>
      </c>
      <c r="H203" s="29">
        <v>2020</v>
      </c>
      <c r="I203" s="29">
        <v>2021</v>
      </c>
      <c r="J203" s="29">
        <v>2022</v>
      </c>
      <c r="K203" s="29">
        <v>2023</v>
      </c>
      <c r="L203" s="29">
        <v>2024</v>
      </c>
      <c r="N203" s="28"/>
      <c r="O203" s="28">
        <v>2016</v>
      </c>
      <c r="P203" s="29">
        <v>2017</v>
      </c>
      <c r="Q203" s="28">
        <v>2018</v>
      </c>
      <c r="R203" s="28">
        <v>2019</v>
      </c>
      <c r="S203" s="28">
        <v>2020</v>
      </c>
      <c r="T203" s="28">
        <v>2021</v>
      </c>
      <c r="U203" s="29">
        <v>2022</v>
      </c>
      <c r="V203" s="29">
        <v>2023</v>
      </c>
      <c r="W203" s="29">
        <v>2024</v>
      </c>
      <c r="AC203" s="72"/>
      <c r="AD203" s="72"/>
      <c r="AG203" s="72"/>
      <c r="AH203" s="72"/>
      <c r="AI203" s="72"/>
      <c r="AJ203" s="72"/>
      <c r="AK203" s="72"/>
      <c r="AL203" s="72"/>
      <c r="AM203" s="72"/>
      <c r="AN203" s="1053" t="s">
        <v>207</v>
      </c>
      <c r="AO203" s="1054"/>
      <c r="AP203" s="1054"/>
      <c r="AQ203" s="1054"/>
      <c r="AR203" s="1054"/>
      <c r="AS203" s="1054"/>
      <c r="AT203" s="1054"/>
      <c r="AU203" s="1054"/>
      <c r="AV203" s="1054"/>
      <c r="AW203" s="1054"/>
      <c r="AX203" s="1054"/>
      <c r="AY203" s="1054"/>
      <c r="AZ203" s="1054"/>
      <c r="BA203" s="1054"/>
      <c r="BB203" s="1054"/>
      <c r="BC203" s="1054"/>
      <c r="BD203" s="1054"/>
      <c r="BE203" s="1054"/>
      <c r="BF203" s="1054"/>
      <c r="BG203" s="1054"/>
      <c r="BH203" s="1054"/>
      <c r="BI203" s="1054"/>
      <c r="BJ203" s="1054"/>
      <c r="BK203" s="1054"/>
      <c r="BL203" s="1054"/>
      <c r="BM203" s="1054"/>
      <c r="BN203" s="1054"/>
      <c r="BO203" s="1054"/>
      <c r="BP203" s="1054"/>
      <c r="BQ203" s="1054"/>
      <c r="BR203" s="1054"/>
      <c r="BS203" s="1054"/>
      <c r="BT203" s="1054"/>
      <c r="BU203" s="1054"/>
      <c r="BV203" s="1054"/>
      <c r="BW203" s="1054"/>
      <c r="BX203" s="1054"/>
    </row>
    <row r="204" spans="2:76" x14ac:dyDescent="0.2">
      <c r="C204" s="27" t="s">
        <v>140</v>
      </c>
      <c r="D204" s="27">
        <v>53</v>
      </c>
      <c r="E204" s="27">
        <v>55</v>
      </c>
      <c r="F204" s="27">
        <v>53.75</v>
      </c>
      <c r="G204" s="27">
        <v>54.25</v>
      </c>
      <c r="H204" s="27">
        <v>54.25</v>
      </c>
      <c r="I204" s="27">
        <v>53.75</v>
      </c>
      <c r="J204" s="27">
        <v>54</v>
      </c>
      <c r="K204" s="27">
        <v>52.8</v>
      </c>
      <c r="L204" s="27">
        <v>54</v>
      </c>
      <c r="N204" s="27" t="s">
        <v>140</v>
      </c>
      <c r="O204" s="27">
        <v>53.153846153846153</v>
      </c>
      <c r="P204" s="27">
        <v>53.333333333333336</v>
      </c>
      <c r="Q204" s="27">
        <v>53.846153846153847</v>
      </c>
      <c r="R204" s="27">
        <v>53.53846153846154</v>
      </c>
      <c r="S204" s="82">
        <v>53.692307692307693</v>
      </c>
      <c r="T204" s="82">
        <v>54.846153846153847</v>
      </c>
      <c r="U204" s="82">
        <v>55</v>
      </c>
      <c r="V204" s="82">
        <v>55.25</v>
      </c>
      <c r="W204" s="82">
        <v>55.636363636363633</v>
      </c>
      <c r="AC204" s="69"/>
      <c r="AD204" s="69"/>
      <c r="AG204" s="32"/>
      <c r="AH204" s="32"/>
      <c r="AI204" s="32"/>
      <c r="AJ204" s="32"/>
      <c r="AK204" s="32"/>
      <c r="AL204" s="32"/>
      <c r="AM204" s="32"/>
      <c r="AN204" s="28"/>
      <c r="AO204" s="1053">
        <v>2016</v>
      </c>
      <c r="AP204" s="1054"/>
      <c r="AQ204" s="1054"/>
      <c r="AR204" s="1190"/>
      <c r="AS204" s="1053">
        <v>2017</v>
      </c>
      <c r="AT204" s="1054"/>
      <c r="AU204" s="1054"/>
      <c r="AV204" s="1190"/>
      <c r="AW204" s="1053">
        <v>2018</v>
      </c>
      <c r="AX204" s="1054"/>
      <c r="AY204" s="1054"/>
      <c r="AZ204" s="1054"/>
      <c r="BA204" s="1054">
        <v>2019</v>
      </c>
      <c r="BB204" s="1054"/>
      <c r="BC204" s="1054"/>
      <c r="BD204" s="1054"/>
      <c r="BE204" s="1054">
        <v>2020</v>
      </c>
      <c r="BF204" s="1054"/>
      <c r="BG204" s="1054"/>
      <c r="BH204" s="1054"/>
      <c r="BI204" s="1054">
        <v>2021</v>
      </c>
      <c r="BJ204" s="1054"/>
      <c r="BK204" s="1054"/>
      <c r="BL204" s="1054"/>
      <c r="BM204" s="1054">
        <v>2022</v>
      </c>
      <c r="BN204" s="1054"/>
      <c r="BO204" s="1054"/>
      <c r="BP204" s="1054"/>
      <c r="BQ204" s="1054">
        <v>2023</v>
      </c>
      <c r="BR204" s="1054"/>
      <c r="BS204" s="1054"/>
      <c r="BT204" s="1054"/>
      <c r="BU204" s="1054">
        <v>2024</v>
      </c>
      <c r="BV204" s="1054"/>
      <c r="BW204" s="1054"/>
      <c r="BX204" s="1054"/>
    </row>
    <row r="205" spans="2:76" x14ac:dyDescent="0.2">
      <c r="C205" s="27" t="s">
        <v>141</v>
      </c>
      <c r="D205" s="27">
        <v>53.5</v>
      </c>
      <c r="E205" s="27">
        <v>54.5</v>
      </c>
      <c r="F205" s="27">
        <v>53.5</v>
      </c>
      <c r="G205" s="27">
        <v>54</v>
      </c>
      <c r="H205" s="27">
        <v>54</v>
      </c>
      <c r="I205" s="27">
        <v>53.5</v>
      </c>
      <c r="J205" s="27">
        <v>53.75</v>
      </c>
      <c r="K205" s="27">
        <v>54.25</v>
      </c>
      <c r="L205" s="27">
        <v>54.75</v>
      </c>
      <c r="N205" s="27" t="s">
        <v>141</v>
      </c>
      <c r="O205" s="27">
        <v>54.888888888888886</v>
      </c>
      <c r="P205" s="27">
        <v>55.705882352941174</v>
      </c>
      <c r="Q205" s="27">
        <v>54.823529411764703</v>
      </c>
      <c r="R205" s="27">
        <v>55.444444444444443</v>
      </c>
      <c r="S205" s="82">
        <v>54.863636363636367</v>
      </c>
      <c r="T205" s="82">
        <v>54.65</v>
      </c>
      <c r="U205" s="82">
        <v>56.952380952380949</v>
      </c>
      <c r="V205" s="82">
        <v>56.272727272727273</v>
      </c>
      <c r="W205" s="82">
        <v>58.421052631578945</v>
      </c>
      <c r="AC205" s="69"/>
      <c r="AD205" s="69"/>
      <c r="AG205" s="32"/>
      <c r="AH205" s="32"/>
      <c r="AI205" s="32"/>
      <c r="AJ205" s="32"/>
      <c r="AK205" s="32"/>
      <c r="AL205" s="32"/>
      <c r="AM205" s="32"/>
      <c r="AO205" s="67" t="s">
        <v>10</v>
      </c>
      <c r="AP205" t="s">
        <v>0</v>
      </c>
      <c r="AQ205" t="s">
        <v>208</v>
      </c>
      <c r="AR205" t="s">
        <v>209</v>
      </c>
      <c r="AS205" s="67" t="s">
        <v>10</v>
      </c>
      <c r="AT205" s="67" t="s">
        <v>0</v>
      </c>
      <c r="AU205" t="s">
        <v>208</v>
      </c>
      <c r="AV205" t="s">
        <v>209</v>
      </c>
      <c r="AW205" s="67" t="s">
        <v>10</v>
      </c>
      <c r="AX205" s="67" t="s">
        <v>0</v>
      </c>
      <c r="AY205" t="s">
        <v>208</v>
      </c>
      <c r="AZ205" t="s">
        <v>209</v>
      </c>
      <c r="BA205" s="67" t="s">
        <v>10</v>
      </c>
      <c r="BB205" s="67" t="s">
        <v>0</v>
      </c>
      <c r="BC205" t="s">
        <v>208</v>
      </c>
      <c r="BD205" t="s">
        <v>209</v>
      </c>
      <c r="BE205" s="67" t="s">
        <v>10</v>
      </c>
      <c r="BF205" s="67" t="s">
        <v>0</v>
      </c>
      <c r="BG205" t="s">
        <v>208</v>
      </c>
      <c r="BH205" t="s">
        <v>209</v>
      </c>
      <c r="BI205" s="67" t="s">
        <v>10</v>
      </c>
      <c r="BJ205" s="67" t="s">
        <v>0</v>
      </c>
      <c r="BK205" t="s">
        <v>208</v>
      </c>
      <c r="BL205" t="s">
        <v>209</v>
      </c>
      <c r="BM205" s="67" t="s">
        <v>10</v>
      </c>
      <c r="BN205" s="67" t="s">
        <v>0</v>
      </c>
      <c r="BO205" t="s">
        <v>208</v>
      </c>
      <c r="BP205" t="s">
        <v>209</v>
      </c>
      <c r="BQ205" s="67" t="s">
        <v>10</v>
      </c>
      <c r="BR205" s="67" t="s">
        <v>0</v>
      </c>
      <c r="BS205" t="s">
        <v>208</v>
      </c>
      <c r="BT205" t="s">
        <v>209</v>
      </c>
      <c r="BU205" s="67" t="s">
        <v>10</v>
      </c>
      <c r="BV205" s="67" t="s">
        <v>0</v>
      </c>
      <c r="BW205" t="s">
        <v>208</v>
      </c>
      <c r="BX205" t="s">
        <v>209</v>
      </c>
    </row>
    <row r="206" spans="2:76" x14ac:dyDescent="0.2">
      <c r="C206" s="27" t="s">
        <v>142</v>
      </c>
      <c r="D206" s="27">
        <v>53.333333333333336</v>
      </c>
      <c r="E206" s="27">
        <v>54</v>
      </c>
      <c r="F206" s="27">
        <v>54</v>
      </c>
      <c r="G206" s="27">
        <v>53.333333333333336</v>
      </c>
      <c r="H206" s="27">
        <v>53.25</v>
      </c>
      <c r="I206" s="27">
        <v>53.8</v>
      </c>
      <c r="J206" s="27">
        <v>54.333333333333336</v>
      </c>
      <c r="K206" s="27">
        <v>54</v>
      </c>
      <c r="L206" s="27">
        <v>54.5</v>
      </c>
      <c r="N206" s="27" t="s">
        <v>142</v>
      </c>
      <c r="O206" s="27">
        <v>55.153846153846153</v>
      </c>
      <c r="P206" s="27">
        <v>55.714285714285715</v>
      </c>
      <c r="Q206" s="27">
        <v>56.214285714285715</v>
      </c>
      <c r="R206" s="27">
        <v>55.785714285714285</v>
      </c>
      <c r="S206" s="82">
        <v>55.333333333333336</v>
      </c>
      <c r="T206" s="82">
        <v>56.2</v>
      </c>
      <c r="U206" s="82">
        <v>57</v>
      </c>
      <c r="V206" s="82">
        <v>56.625</v>
      </c>
      <c r="W206" s="82">
        <v>57.25</v>
      </c>
      <c r="AC206" s="69"/>
      <c r="AD206" s="69"/>
      <c r="AG206" s="32"/>
      <c r="AH206" s="32"/>
      <c r="AI206" s="32"/>
      <c r="AJ206" s="32"/>
      <c r="AK206" s="32"/>
      <c r="AL206" s="32"/>
      <c r="AM206" s="32"/>
      <c r="AN206" s="26">
        <v>1</v>
      </c>
      <c r="AO206" s="287">
        <v>0.02</v>
      </c>
      <c r="AP206" s="288">
        <v>0.01</v>
      </c>
      <c r="AQ206" s="85">
        <v>0.01</v>
      </c>
      <c r="AR206" s="85">
        <v>0.01</v>
      </c>
      <c r="AS206" s="289">
        <v>0.02</v>
      </c>
      <c r="AT206" s="290">
        <v>0.01</v>
      </c>
      <c r="AU206" s="85">
        <v>0.01</v>
      </c>
      <c r="AV206" s="85">
        <v>0.01</v>
      </c>
      <c r="AW206" s="289">
        <v>0.03</v>
      </c>
      <c r="AX206" s="290">
        <v>0.01</v>
      </c>
      <c r="AY206" s="85">
        <v>0.02</v>
      </c>
      <c r="AZ206" s="85">
        <v>0.01</v>
      </c>
      <c r="BA206" s="287">
        <v>0.04</v>
      </c>
      <c r="BB206" s="288">
        <v>0.02</v>
      </c>
      <c r="BC206" s="85">
        <v>0.02</v>
      </c>
      <c r="BD206" s="85">
        <v>0.01</v>
      </c>
      <c r="BE206" s="287">
        <v>0.04</v>
      </c>
      <c r="BF206" s="288">
        <v>0.02</v>
      </c>
      <c r="BG206" s="85">
        <v>0.02</v>
      </c>
      <c r="BH206" s="85">
        <v>0.01</v>
      </c>
      <c r="BI206" s="287">
        <v>0.04</v>
      </c>
      <c r="BJ206" s="288">
        <v>0.02</v>
      </c>
      <c r="BK206" s="291">
        <v>0.02</v>
      </c>
      <c r="BL206" s="291">
        <v>0.01</v>
      </c>
      <c r="BM206" s="287">
        <v>0.05</v>
      </c>
      <c r="BN206" s="288">
        <v>0.02</v>
      </c>
      <c r="BO206" s="291">
        <v>0.02</v>
      </c>
      <c r="BP206" s="291">
        <v>0.01</v>
      </c>
      <c r="BQ206" s="425">
        <v>0.04</v>
      </c>
      <c r="BR206" s="426">
        <v>0.02</v>
      </c>
      <c r="BS206" s="427">
        <v>0.02</v>
      </c>
      <c r="BT206" s="427">
        <v>0.01</v>
      </c>
      <c r="BU206" s="425">
        <v>0.04</v>
      </c>
      <c r="BV206" s="426">
        <v>0.02</v>
      </c>
      <c r="BW206" s="487">
        <v>0.03</v>
      </c>
      <c r="BX206" s="487">
        <v>0.01</v>
      </c>
    </row>
    <row r="207" spans="2:76" x14ac:dyDescent="0.2">
      <c r="C207" s="27" t="s">
        <v>143</v>
      </c>
      <c r="D207" s="27">
        <v>49.666666666666664</v>
      </c>
      <c r="E207" s="27">
        <v>51.333333333333336</v>
      </c>
      <c r="F207" s="27">
        <v>50.333333333333336</v>
      </c>
      <c r="G207" s="27">
        <v>50</v>
      </c>
      <c r="H207" s="27">
        <v>50</v>
      </c>
      <c r="I207" s="27">
        <v>50.333333333333336</v>
      </c>
      <c r="J207" s="27">
        <v>51</v>
      </c>
      <c r="K207" s="27">
        <v>49.833333333333336</v>
      </c>
      <c r="L207" s="27">
        <v>50.666666666666664</v>
      </c>
      <c r="N207" s="27" t="s">
        <v>143</v>
      </c>
      <c r="O207" s="27">
        <v>51.5</v>
      </c>
      <c r="P207" s="27">
        <v>55.111111111111114</v>
      </c>
      <c r="Q207" s="27">
        <v>54.666666666666664</v>
      </c>
      <c r="R207" s="27">
        <v>54.375</v>
      </c>
      <c r="S207" s="82">
        <v>52.142857142857146</v>
      </c>
      <c r="T207" s="82">
        <v>53.875</v>
      </c>
      <c r="U207" s="82">
        <v>55</v>
      </c>
      <c r="V207" s="82">
        <v>52.555555555555557</v>
      </c>
      <c r="W207" s="82">
        <v>55.714285714285715</v>
      </c>
      <c r="AC207" s="69"/>
      <c r="AD207" s="69"/>
      <c r="AG207" s="32"/>
      <c r="AH207" s="32"/>
      <c r="AI207" s="32"/>
      <c r="AJ207" s="32"/>
      <c r="AK207" s="32"/>
      <c r="AL207" s="32"/>
      <c r="AM207" s="32"/>
      <c r="AN207" s="26">
        <v>2</v>
      </c>
      <c r="AO207" s="287">
        <v>0.37</v>
      </c>
      <c r="AP207" s="288">
        <v>0.34</v>
      </c>
      <c r="AQ207" s="85">
        <v>0.39</v>
      </c>
      <c r="AR207" s="85">
        <v>0.28999999999999998</v>
      </c>
      <c r="AS207" s="289">
        <v>0.33</v>
      </c>
      <c r="AT207" s="290">
        <v>0.28999999999999998</v>
      </c>
      <c r="AU207" s="85">
        <v>0.34</v>
      </c>
      <c r="AV207" s="85">
        <v>0.23</v>
      </c>
      <c r="AW207" s="289">
        <v>0.35</v>
      </c>
      <c r="AX207" s="290">
        <v>0.32</v>
      </c>
      <c r="AY207" s="85">
        <v>0.37</v>
      </c>
      <c r="AZ207" s="85">
        <v>0.26</v>
      </c>
      <c r="BA207" s="287">
        <v>0.34</v>
      </c>
      <c r="BB207" s="288">
        <v>0.3</v>
      </c>
      <c r="BC207" s="85">
        <v>0.35</v>
      </c>
      <c r="BD207" s="85">
        <v>0.25</v>
      </c>
      <c r="BE207" s="287">
        <v>0.36</v>
      </c>
      <c r="BF207" s="288">
        <v>0.31</v>
      </c>
      <c r="BG207" s="85">
        <v>0.35</v>
      </c>
      <c r="BH207" s="85">
        <v>0.26</v>
      </c>
      <c r="BI207" s="287">
        <v>0.37</v>
      </c>
      <c r="BJ207" s="288">
        <v>0.32</v>
      </c>
      <c r="BK207" s="291">
        <v>0.37</v>
      </c>
      <c r="BL207" s="291">
        <v>0.26</v>
      </c>
      <c r="BM207" s="287">
        <v>0.34</v>
      </c>
      <c r="BN207" s="288">
        <v>0.27</v>
      </c>
      <c r="BO207" s="291">
        <v>0.34</v>
      </c>
      <c r="BP207" s="291">
        <v>0.21</v>
      </c>
      <c r="BQ207" s="425">
        <v>0.35</v>
      </c>
      <c r="BR207" s="426">
        <v>0.28999999999999998</v>
      </c>
      <c r="BS207" s="427">
        <v>0.35</v>
      </c>
      <c r="BT207" s="427">
        <v>0.22</v>
      </c>
      <c r="BU207" s="425">
        <v>0.31</v>
      </c>
      <c r="BV207" s="426">
        <v>0.25</v>
      </c>
      <c r="BW207" s="487">
        <v>0.31</v>
      </c>
      <c r="BX207" s="487">
        <v>0.18</v>
      </c>
    </row>
    <row r="208" spans="2:76" x14ac:dyDescent="0.2">
      <c r="C208" s="27" t="s">
        <v>144</v>
      </c>
      <c r="D208" s="27">
        <v>53.5</v>
      </c>
      <c r="E208" s="27">
        <v>54</v>
      </c>
      <c r="F208" s="27">
        <v>52.5</v>
      </c>
      <c r="G208" s="27">
        <v>53.5</v>
      </c>
      <c r="H208" s="27">
        <v>53.5</v>
      </c>
      <c r="I208" s="27">
        <v>54</v>
      </c>
      <c r="J208" s="27">
        <v>55</v>
      </c>
      <c r="K208" s="27">
        <v>53.5</v>
      </c>
      <c r="L208" s="27">
        <v>56.333333333333336</v>
      </c>
      <c r="N208" s="27" t="s">
        <v>144</v>
      </c>
      <c r="O208" s="27">
        <v>55.8</v>
      </c>
      <c r="P208" s="27">
        <v>57.333333333333336</v>
      </c>
      <c r="Q208" s="27">
        <v>56.3125</v>
      </c>
      <c r="R208" s="27">
        <v>56.705882352941174</v>
      </c>
      <c r="S208" s="82">
        <v>56.875</v>
      </c>
      <c r="T208" s="82">
        <v>57.3125</v>
      </c>
      <c r="U208" s="82">
        <v>58.266666666666666</v>
      </c>
      <c r="V208" s="82">
        <v>58.4</v>
      </c>
      <c r="W208" s="82">
        <v>58.466666666666669</v>
      </c>
      <c r="AC208" s="69"/>
      <c r="AD208" s="69"/>
      <c r="AG208" s="32"/>
      <c r="AH208" s="32"/>
      <c r="AI208" s="32"/>
      <c r="AJ208" s="32"/>
      <c r="AK208" s="32"/>
      <c r="AL208" s="32"/>
      <c r="AM208" s="32"/>
      <c r="AN208" s="26">
        <v>3</v>
      </c>
      <c r="AO208" s="287">
        <v>0.5</v>
      </c>
      <c r="AP208" s="288">
        <v>0.57999999999999996</v>
      </c>
      <c r="AQ208" s="85">
        <v>0.54</v>
      </c>
      <c r="AR208" s="85">
        <v>0.62</v>
      </c>
      <c r="AS208" s="289">
        <v>0.52</v>
      </c>
      <c r="AT208" s="290">
        <v>0.6</v>
      </c>
      <c r="AU208" s="85">
        <v>0.56999999999999995</v>
      </c>
      <c r="AV208" s="85">
        <v>0.64</v>
      </c>
      <c r="AW208" s="289">
        <v>0.49</v>
      </c>
      <c r="AX208" s="290">
        <v>0.56000000000000005</v>
      </c>
      <c r="AY208" s="85">
        <v>0.53</v>
      </c>
      <c r="AZ208" s="85">
        <v>0.59</v>
      </c>
      <c r="BA208" s="287">
        <v>0.49</v>
      </c>
      <c r="BB208" s="288">
        <v>0.56999999999999995</v>
      </c>
      <c r="BC208" s="85">
        <v>0.55000000000000004</v>
      </c>
      <c r="BD208" s="85">
        <v>0.6</v>
      </c>
      <c r="BE208" s="287">
        <v>0.49</v>
      </c>
      <c r="BF208" s="288">
        <v>0.59</v>
      </c>
      <c r="BG208" s="85">
        <v>0.56000000000000005</v>
      </c>
      <c r="BH208" s="85">
        <v>0.61</v>
      </c>
      <c r="BI208" s="287">
        <v>0.45</v>
      </c>
      <c r="BJ208" s="288">
        <v>0.54</v>
      </c>
      <c r="BK208" s="291">
        <v>0.52</v>
      </c>
      <c r="BL208" s="291">
        <v>0.56999999999999995</v>
      </c>
      <c r="BM208" s="287">
        <v>0.47</v>
      </c>
      <c r="BN208" s="288">
        <v>0.57999999999999996</v>
      </c>
      <c r="BO208" s="291">
        <v>0.56000000000000005</v>
      </c>
      <c r="BP208" s="291">
        <v>0.61</v>
      </c>
      <c r="BQ208" s="425">
        <v>0.48</v>
      </c>
      <c r="BR208" s="426">
        <v>0.56999999999999995</v>
      </c>
      <c r="BS208" s="427">
        <v>0.55000000000000004</v>
      </c>
      <c r="BT208" s="427">
        <v>0.6</v>
      </c>
      <c r="BU208" s="425">
        <v>0.5</v>
      </c>
      <c r="BV208" s="426">
        <v>0.59</v>
      </c>
      <c r="BW208" s="487">
        <v>0.56000000000000005</v>
      </c>
      <c r="BX208" s="487">
        <v>0.63</v>
      </c>
    </row>
    <row r="209" spans="3:76" x14ac:dyDescent="0.2">
      <c r="C209" s="27" t="s">
        <v>145</v>
      </c>
      <c r="D209" s="27">
        <v>52.666666666666664</v>
      </c>
      <c r="E209" s="27">
        <v>52.666666666666664</v>
      </c>
      <c r="F209" s="27">
        <v>52.666666666666664</v>
      </c>
      <c r="G209" s="27">
        <v>52.666666666666664</v>
      </c>
      <c r="H209" s="27">
        <v>53</v>
      </c>
      <c r="I209" s="27">
        <v>52.333333333333336</v>
      </c>
      <c r="J209" s="27">
        <v>53</v>
      </c>
      <c r="K209" s="27">
        <v>52.333333333333336</v>
      </c>
      <c r="L209" s="27">
        <v>54</v>
      </c>
      <c r="N209" s="27" t="s">
        <v>145</v>
      </c>
      <c r="O209" s="27">
        <v>54.583333333333336</v>
      </c>
      <c r="P209" s="27">
        <v>54</v>
      </c>
      <c r="Q209" s="27">
        <v>54.81818181818182</v>
      </c>
      <c r="R209" s="27">
        <v>55.083333333333336</v>
      </c>
      <c r="S209" s="82">
        <v>52.5</v>
      </c>
      <c r="T209" s="82">
        <v>54.615384615384613</v>
      </c>
      <c r="U209" s="82">
        <v>54.8125</v>
      </c>
      <c r="V209" s="82">
        <v>56.176470588235297</v>
      </c>
      <c r="W209" s="82">
        <v>56.533333333333331</v>
      </c>
      <c r="AC209" s="69"/>
      <c r="AD209" s="69"/>
      <c r="AG209" s="32"/>
      <c r="AH209" s="32"/>
      <c r="AI209" s="32"/>
      <c r="AJ209" s="32"/>
      <c r="AK209" s="32"/>
      <c r="AL209" s="32"/>
      <c r="AM209" s="32"/>
      <c r="AN209" s="26">
        <v>4</v>
      </c>
      <c r="AO209" s="287">
        <v>0.1</v>
      </c>
      <c r="AP209" s="288">
        <v>7.0000000000000007E-2</v>
      </c>
      <c r="AQ209" s="85">
        <v>0.05</v>
      </c>
      <c r="AR209" s="85">
        <v>0.08</v>
      </c>
      <c r="AS209" s="289">
        <v>0.13</v>
      </c>
      <c r="AT209" s="290">
        <v>0.09</v>
      </c>
      <c r="AU209" s="85">
        <v>7.0000000000000007E-2</v>
      </c>
      <c r="AV209" s="85">
        <v>0.12</v>
      </c>
      <c r="AW209" s="289">
        <v>0.13</v>
      </c>
      <c r="AX209" s="290">
        <v>0.11</v>
      </c>
      <c r="AY209" s="85">
        <v>0.08</v>
      </c>
      <c r="AZ209" s="85">
        <v>0.14000000000000001</v>
      </c>
      <c r="BA209" s="287">
        <v>0.12</v>
      </c>
      <c r="BB209" s="288">
        <v>0.11</v>
      </c>
      <c r="BC209" s="85">
        <v>0.08</v>
      </c>
      <c r="BD209" s="85">
        <v>0.14000000000000001</v>
      </c>
      <c r="BE209" s="287">
        <v>0.1</v>
      </c>
      <c r="BF209" s="288">
        <v>0.09</v>
      </c>
      <c r="BG209" s="85">
        <v>7.0000000000000007E-2</v>
      </c>
      <c r="BH209" s="85">
        <v>0.11</v>
      </c>
      <c r="BI209" s="287">
        <v>0.13</v>
      </c>
      <c r="BJ209" s="288">
        <v>0.12</v>
      </c>
      <c r="BK209" s="291">
        <v>0.09</v>
      </c>
      <c r="BL209" s="291">
        <v>0.16</v>
      </c>
      <c r="BM209" s="287">
        <v>0.14000000000000001</v>
      </c>
      <c r="BN209" s="288">
        <v>0.13</v>
      </c>
      <c r="BO209" s="291">
        <v>0.09</v>
      </c>
      <c r="BP209" s="291">
        <v>0.16</v>
      </c>
      <c r="BQ209" s="425">
        <v>0.13</v>
      </c>
      <c r="BR209" s="426">
        <v>0.12</v>
      </c>
      <c r="BS209" s="427">
        <v>0.08</v>
      </c>
      <c r="BT209" s="427">
        <v>0.17</v>
      </c>
      <c r="BU209" s="425">
        <v>0.15</v>
      </c>
      <c r="BV209" s="426">
        <v>0.14000000000000001</v>
      </c>
      <c r="BW209" s="487">
        <v>0.1</v>
      </c>
      <c r="BX209" s="487">
        <v>0.18</v>
      </c>
    </row>
    <row r="210" spans="3:76" x14ac:dyDescent="0.2">
      <c r="I210" s="73"/>
      <c r="J210" s="73"/>
      <c r="K210" s="73"/>
      <c r="L210" s="73"/>
      <c r="M210" s="73"/>
      <c r="N210" s="73"/>
      <c r="O210" s="73"/>
      <c r="P210" s="73"/>
      <c r="Q210" s="73"/>
      <c r="R210" s="73"/>
      <c r="S210" s="73"/>
      <c r="T210" s="73"/>
      <c r="U210" s="73"/>
    </row>
    <row r="214" spans="3:76" x14ac:dyDescent="0.2">
      <c r="AP214" s="87"/>
      <c r="AQ214" s="88"/>
    </row>
    <row r="246" spans="5:77" x14ac:dyDescent="0.2">
      <c r="F246" s="1193">
        <v>2016</v>
      </c>
      <c r="G246" s="1193"/>
      <c r="H246" s="1193"/>
      <c r="I246" s="1193"/>
      <c r="J246" s="1193">
        <v>2017</v>
      </c>
      <c r="K246" s="1193"/>
      <c r="L246" s="1193"/>
      <c r="M246" s="1193"/>
      <c r="N246" s="1193">
        <v>2018</v>
      </c>
      <c r="O246" s="1193"/>
      <c r="P246" s="1193"/>
      <c r="Q246" s="1193"/>
      <c r="R246" s="1193">
        <v>2019</v>
      </c>
      <c r="S246" s="1193"/>
      <c r="T246" s="1193"/>
      <c r="U246" s="1193"/>
      <c r="V246" s="1193">
        <v>2020</v>
      </c>
      <c r="W246" s="1193"/>
      <c r="X246" s="1193"/>
      <c r="Y246" s="1193"/>
      <c r="Z246" s="1193">
        <v>2021</v>
      </c>
      <c r="AA246" s="1193"/>
      <c r="AB246" s="1193"/>
      <c r="AC246" s="1193"/>
      <c r="AD246" s="1193">
        <v>2022</v>
      </c>
      <c r="AE246" s="1193"/>
      <c r="AF246" s="1193"/>
      <c r="AG246" s="1193"/>
      <c r="AH246" s="1193">
        <v>2023</v>
      </c>
      <c r="AI246" s="1193"/>
      <c r="AJ246" s="1193"/>
      <c r="AK246" s="1193"/>
      <c r="AL246" s="1193">
        <v>2024</v>
      </c>
      <c r="AM246" s="1193"/>
      <c r="AN246" s="1193"/>
      <c r="AO246" s="1193"/>
    </row>
    <row r="247" spans="5:77" x14ac:dyDescent="0.2">
      <c r="F247">
        <v>1</v>
      </c>
      <c r="G247">
        <v>2</v>
      </c>
      <c r="H247">
        <v>3</v>
      </c>
      <c r="I247">
        <v>4</v>
      </c>
      <c r="J247">
        <v>1</v>
      </c>
      <c r="K247">
        <v>2</v>
      </c>
      <c r="L247">
        <v>3</v>
      </c>
      <c r="M247">
        <v>4</v>
      </c>
      <c r="N247">
        <v>1</v>
      </c>
      <c r="O247">
        <v>2</v>
      </c>
      <c r="P247">
        <v>3</v>
      </c>
      <c r="Q247">
        <v>4</v>
      </c>
      <c r="R247">
        <v>1</v>
      </c>
      <c r="S247">
        <v>2</v>
      </c>
      <c r="T247">
        <v>3</v>
      </c>
      <c r="U247">
        <v>4</v>
      </c>
      <c r="V247">
        <v>1</v>
      </c>
      <c r="W247">
        <v>2</v>
      </c>
      <c r="X247">
        <v>3</v>
      </c>
      <c r="Y247">
        <v>4</v>
      </c>
      <c r="Z247" s="495">
        <v>1</v>
      </c>
      <c r="AA247" s="495">
        <v>2</v>
      </c>
      <c r="AB247" s="495">
        <v>3</v>
      </c>
      <c r="AC247" s="495">
        <v>4</v>
      </c>
      <c r="AD247" s="495">
        <v>1</v>
      </c>
      <c r="AE247" s="495">
        <v>2</v>
      </c>
      <c r="AF247" s="495">
        <v>3</v>
      </c>
      <c r="AG247" s="495">
        <v>4</v>
      </c>
      <c r="AH247" s="495">
        <v>1</v>
      </c>
      <c r="AI247" s="495">
        <v>2</v>
      </c>
      <c r="AJ247" s="495">
        <v>3</v>
      </c>
      <c r="AK247" s="495">
        <v>4</v>
      </c>
      <c r="AL247" s="495">
        <v>1</v>
      </c>
      <c r="AM247" s="495">
        <v>2</v>
      </c>
      <c r="AN247" s="495">
        <v>3</v>
      </c>
      <c r="AO247" s="495">
        <v>4</v>
      </c>
    </row>
    <row r="248" spans="5:77" x14ac:dyDescent="0.2">
      <c r="E248" s="27" t="s">
        <v>140</v>
      </c>
      <c r="F248" s="39">
        <f>AVERAGEIF($C$36:$C$173,"=1",$F$36:$F$173)</f>
        <v>9.4117647058823539E-3</v>
      </c>
      <c r="G248" s="39">
        <f>AVERAGEIF($C$36:$C$173,"=1",$G$36:$G$173)</f>
        <v>0.39588235294117652</v>
      </c>
      <c r="H248" s="39">
        <f>AVERAGEIF($C$36:$C$173,"=1",$H$36:$H$173)</f>
        <v>0.56000000000000005</v>
      </c>
      <c r="I248" s="39">
        <f>AVERAGEIF($C$36:$C$173,"=1",$I$36:$I$173)</f>
        <v>3.7647058823529415E-2</v>
      </c>
      <c r="J248" s="39">
        <f>AVERAGEIF($C$36:$C$173,"=1",$O$36:$O$173)</f>
        <v>1.2500000000000001E-2</v>
      </c>
      <c r="K248" s="39">
        <f>AVERAGEIF($C$36:$C$173,"=1",$P$36:$P$173)</f>
        <v>0.32562500000000005</v>
      </c>
      <c r="L248" s="39">
        <f>AVERAGEIF($C$36:$C$173,"=1",$Q$36:$Q$173)</f>
        <v>0.59625000000000006</v>
      </c>
      <c r="M248" s="39">
        <f>AVERAGEIF($C$36:$C$173,"=1",$R$36:$R$173)</f>
        <v>6.6250000000000003E-2</v>
      </c>
      <c r="N248" s="39">
        <f>AVERAGEIF($C$36:$C$173,"=1",$X$36:$X$173)</f>
        <v>1.8823529411764711E-2</v>
      </c>
      <c r="O248" s="39">
        <f>AVERAGEIF($C$36:$C$173,"=1",$Y$36:$Y$173)</f>
        <v>0.33176470588235302</v>
      </c>
      <c r="P248" s="39">
        <f>AVERAGEIF($C$36:$C$173,"=1",$Z$36:$Z$173)</f>
        <v>0.54705882352941182</v>
      </c>
      <c r="Q248" s="39">
        <f>AVERAGEIF($C$36:$C$173,"=1",$AA$36:$AA$173)</f>
        <v>0.10588235294117644</v>
      </c>
      <c r="R248" s="39">
        <f>AVERAGEIF($C$36:$C$173,"=1",$AG$36:$AG$173)</f>
        <v>1.6470588235294119E-2</v>
      </c>
      <c r="S248" s="39">
        <f>AVERAGEIF($C$36:$C$173,"=1",$AH$36:$AH$173)</f>
        <v>0.35176470588235298</v>
      </c>
      <c r="T248" s="39">
        <f>AVERAGEIF($C$36:$C$173,"=1",$AI$36:$AI$173)</f>
        <v>0.54176470588235304</v>
      </c>
      <c r="U248" s="39">
        <f>AVERAGEIF($C$36:$C$173,"=1",$AJ$36:$AJ$173)</f>
        <v>0.09</v>
      </c>
      <c r="V248" s="39">
        <f>AVERAGEIF($C$36:$C$173,"=1",$AP$36:$AP$173)</f>
        <v>2.5882352941176474E-2</v>
      </c>
      <c r="W248" s="39">
        <f>AVERAGEIF($C$36:$C$173,"=1",$AQ$36:$AQ$173)</f>
        <v>0.29352941176470587</v>
      </c>
      <c r="X248" s="39">
        <f>AVERAGEIF($C$36:$C$173,"=1",$AR$36:$AR$173)</f>
        <v>0.6029411764705882</v>
      </c>
      <c r="Y248" s="39">
        <f>AVERAGEIF($C$36:$C$173,"=1",$AS$36:$AS$173)</f>
        <v>7.7647058823529416E-2</v>
      </c>
      <c r="Z248" s="39">
        <f>AVERAGEIF($C$36:$C$173,"=1",$BA$36:$BA$173)</f>
        <v>1.1764705882352941E-2</v>
      </c>
      <c r="AA248" s="39">
        <f>AVERAGEIF($C$36:$C$173,"=1",$BB$36:$BB$173)</f>
        <v>0.31294117647058828</v>
      </c>
      <c r="AB248" s="39">
        <f>AVERAGEIF($C$36:$C$173,"=1",$BC$36:$BC$173)</f>
        <v>0.56647058823529406</v>
      </c>
      <c r="AC248" s="39">
        <f>AVERAGEIF($C$36:$C$173,"=1",$BD$36:$BD$173)</f>
        <v>0.10705882352941178</v>
      </c>
      <c r="AD248" s="39">
        <v>2.0555555555555563E-2</v>
      </c>
      <c r="AE248" s="39">
        <v>0.28444444444444439</v>
      </c>
      <c r="AF248" s="39">
        <v>0.60222222222222221</v>
      </c>
      <c r="AG248" s="39">
        <v>9.3333333333333324E-2</v>
      </c>
      <c r="AH248" s="39">
        <v>1.8823529411764704E-2</v>
      </c>
      <c r="AI248" s="39">
        <v>0.28882352941176476</v>
      </c>
      <c r="AJ248" s="39">
        <v>0.59294117647058819</v>
      </c>
      <c r="AK248" s="39">
        <v>0.10058823529411766</v>
      </c>
      <c r="AL248" s="39">
        <v>2.375E-2</v>
      </c>
      <c r="AM248" s="39">
        <v>0.24374999999999997</v>
      </c>
      <c r="AN248" s="39">
        <v>0.62812499999999993</v>
      </c>
      <c r="AO248" s="39">
        <v>0.108125</v>
      </c>
    </row>
    <row r="249" spans="5:77" x14ac:dyDescent="0.2">
      <c r="E249" s="27" t="s">
        <v>141</v>
      </c>
      <c r="F249" s="39">
        <f>AVERAGEIF($C$36:$C$173,"=2",$F$36:$F$173)</f>
        <v>1.6E-2</v>
      </c>
      <c r="G249" s="39">
        <f>AVERAGEIF($C$36:$C$173,"=2",$G$36:$G$173)</f>
        <v>0.31900000000000001</v>
      </c>
      <c r="H249" s="39">
        <f>AVERAGEIF($C$36:$C$173,"=2",$H$36:$H$173)</f>
        <v>0.58300000000000007</v>
      </c>
      <c r="I249" s="39">
        <f>AVERAGEIF($C$36:$C$173,"=2",$I$36:$I$173)</f>
        <v>8.2500000000000004E-2</v>
      </c>
      <c r="J249" s="39">
        <f>AVERAGEIF($C$36:$C$173,"=2",$O$36:$O$173)</f>
        <v>1.578947368421053E-2</v>
      </c>
      <c r="K249" s="39">
        <f>AVERAGEIF($C$36:$C$173,"=2",$P$36:$P$173)</f>
        <v>0.26473684210526321</v>
      </c>
      <c r="L249" s="39">
        <f>AVERAGEIF($C$36:$C$173,"=2",$Q$36:$Q$173)</f>
        <v>0.59315789473684222</v>
      </c>
      <c r="M249" s="39">
        <f>AVERAGEIF($C$36:$C$173,"=2",$R$36:$R$173)</f>
        <v>0.12578947368421053</v>
      </c>
      <c r="N249" s="39">
        <f>AVERAGEIF($C$36:$C$173,"=2",$X$36:$X$173)</f>
        <v>1.4210526315789474E-2</v>
      </c>
      <c r="O249" s="39">
        <f>AVERAGEIF($C$36:$C$173,"=2",$Y$36:$Y$173)</f>
        <v>0.31473684210526309</v>
      </c>
      <c r="P249" s="39">
        <f>AVERAGEIF($C$36:$C$173,"=2",$Z$36:$Z$173)</f>
        <v>0.5457894736842106</v>
      </c>
      <c r="Q249" s="39">
        <f>AVERAGEIF($C$36:$C$173,"=2",$AA$36:$AA$173)</f>
        <v>0.12421052631578947</v>
      </c>
      <c r="R249" s="39">
        <f>AVERAGEIF($C$36:$C$173,"=2",$AG$36:$AG$173)</f>
        <v>1.0500000000000001E-2</v>
      </c>
      <c r="S249" s="39">
        <f>AVERAGEIF($C$36:$C$173,"=2",$AH$36:$AH$173)</f>
        <v>0.25950000000000001</v>
      </c>
      <c r="T249" s="39">
        <f>AVERAGEIF($C$36:$C$173,"=2",$AI$36:$AI$173)</f>
        <v>0.60349999999999993</v>
      </c>
      <c r="U249" s="39">
        <f>AVERAGEIF($C$36:$C$173,"=2",$AJ$36:$AJ$173)</f>
        <v>0.128</v>
      </c>
      <c r="V249" s="39">
        <f>AVERAGEIF($C$36:$C$173,"=2",$AP$36:$AP$173)</f>
        <v>7.4999999999999997E-3</v>
      </c>
      <c r="W249" s="39">
        <f>AVERAGEIF($C$36:$C$173,"=2",$AQ$36:$AQ$173)</f>
        <v>0.29416666666666663</v>
      </c>
      <c r="X249" s="39">
        <f>AVERAGEIF($C$36:$C$173,"=2",$AR$36:$AR$173)</f>
        <v>0.58833333333333326</v>
      </c>
      <c r="Y249" s="39">
        <f>AVERAGEIF($C$36:$C$173,"=2",$AS$36:$AS$173)</f>
        <v>0.11</v>
      </c>
      <c r="Z249" s="39">
        <f>AVERAGEIF($C$36:$C$173,"=2",$BA$36:$BA$173)</f>
        <v>3.0909090909090917E-2</v>
      </c>
      <c r="AA249" s="39">
        <f>AVERAGEIF($C$36:$C$173,"=2",$BB$36:$BB$173)</f>
        <v>0.33090909090909082</v>
      </c>
      <c r="AB249" s="39">
        <f>AVERAGEIF($C$36:$C$173,"=2",$BC$36:$BC$173)</f>
        <v>0.51045454545454538</v>
      </c>
      <c r="AC249" s="39">
        <f>AVERAGEIF($C$36:$C$173,"=2",$BD$36:$BD$173)</f>
        <v>0.1281818181818182</v>
      </c>
      <c r="AD249" s="39">
        <v>2.0400000000000001E-2</v>
      </c>
      <c r="AE249" s="39">
        <v>0.22400000000000003</v>
      </c>
      <c r="AF249" s="39">
        <v>0.58879999999999977</v>
      </c>
      <c r="AG249" s="39">
        <v>0.16799999999999998</v>
      </c>
      <c r="AH249" s="39">
        <v>2.5384615384615391E-2</v>
      </c>
      <c r="AI249" s="39">
        <v>0.25769230769230766</v>
      </c>
      <c r="AJ249" s="39">
        <v>0.55692307692307697</v>
      </c>
      <c r="AK249" s="39">
        <v>0.16038461538461538</v>
      </c>
      <c r="AL249" s="39">
        <v>1.2608695652173915E-2</v>
      </c>
      <c r="AM249" s="39">
        <v>0.18217391304347824</v>
      </c>
      <c r="AN249" s="39">
        <v>0.59999999999999987</v>
      </c>
      <c r="AO249" s="39">
        <v>0.2056521739130435</v>
      </c>
    </row>
    <row r="250" spans="5:77" x14ac:dyDescent="0.2">
      <c r="E250" s="27" t="s">
        <v>142</v>
      </c>
      <c r="F250" s="39">
        <f>AVERAGEIF($C$36:$C$173,"=3",$F$36:$F$173)</f>
        <v>1.9444444444444445E-2</v>
      </c>
      <c r="G250" s="39">
        <f>AVERAGEIF($C$36:$C$173,"=3",$G$36:$G$173)</f>
        <v>0.30944444444444447</v>
      </c>
      <c r="H250" s="39">
        <f>AVERAGEIF($C$36:$C$173,"=3",$H$36:$H$173)</f>
        <v>0.59777777777777785</v>
      </c>
      <c r="I250" s="39">
        <f>AVERAGEIF($C$36:$C$173,"=3",$I$36:$I$173)</f>
        <v>7.7222222222222248E-2</v>
      </c>
      <c r="J250" s="39">
        <f>AVERAGEIF($C$36:$C$173,"=3",$O$36:$O$173)</f>
        <v>1.2105263157894735E-2</v>
      </c>
      <c r="K250" s="39">
        <f>AVERAGEIF($C$36:$C$173,"=3",$P$36:$P$173)</f>
        <v>0.25368421052631573</v>
      </c>
      <c r="L250" s="39">
        <f>AVERAGEIF($C$36:$C$173,"=3",$Q$36:$Q$173)</f>
        <v>0.63473684210526304</v>
      </c>
      <c r="M250" s="39">
        <f>AVERAGEIF($C$36:$C$173,"=3",$R$36:$R$173)</f>
        <v>0.10052631578947369</v>
      </c>
      <c r="N250" s="39">
        <f>AVERAGEIF($C$36:$C$173,"=3",$X$36:$X$173)</f>
        <v>1.368421052631579E-2</v>
      </c>
      <c r="O250" s="39">
        <f>AVERAGEIF($C$36:$C$173,"=3",$Y$36:$Y$173)</f>
        <v>0.2636842105263158</v>
      </c>
      <c r="P250" s="39">
        <f>AVERAGEIF($C$36:$C$173,"=3",$Z$36:$Z$173)</f>
        <v>0.59052631578947368</v>
      </c>
      <c r="Q250" s="39">
        <f>AVERAGEIF($C$36:$C$173,"=3",$AA$36:$AA$173)</f>
        <v>0.13315789473684214</v>
      </c>
      <c r="R250" s="39">
        <f>AVERAGEIF($C$36:$C$173,"=3",$AG$36:$AG$173)</f>
        <v>8.4210526315789472E-3</v>
      </c>
      <c r="S250" s="39">
        <f>AVERAGEIF($C$36:$C$173,"=3",$AH$36:$AH$173)</f>
        <v>0.28526315789473677</v>
      </c>
      <c r="T250" s="39">
        <f>AVERAGEIF($C$36:$C$173,"=3",$AI$36:$AI$173)</f>
        <v>0.57315789473684209</v>
      </c>
      <c r="U250" s="39">
        <f>AVERAGEIF($C$36:$C$173,"=3",$AJ$36:$AJ$173)</f>
        <v>0.13315789473684211</v>
      </c>
      <c r="V250" s="39">
        <f>AVERAGEIF($C$36:$C$173,"=3",$AP$36:$AP$173)</f>
        <v>1.7499999999999998E-2</v>
      </c>
      <c r="W250" s="39">
        <f>AVERAGEIF($C$36:$C$173,"=3",$AQ$36:$AQ$173)</f>
        <v>0.26100000000000001</v>
      </c>
      <c r="X250" s="39">
        <f>AVERAGEIF($C$36:$C$173,"=3",$AR$36:$AR$173)</f>
        <v>0.64649999999999996</v>
      </c>
      <c r="Y250" s="39">
        <f>AVERAGEIF($C$36:$C$173,"=3",$AS$36:$AS$173)</f>
        <v>7.4499999999999997E-2</v>
      </c>
      <c r="Z250" s="39">
        <f>AVERAGEIF($C$36:$C$173,"=3",$BA$36:$BA$173)</f>
        <v>1.1500000000000002E-2</v>
      </c>
      <c r="AA250" s="39">
        <f>AVERAGEIF($C$36:$C$173,"=3",$BB$36:$BB$173)</f>
        <v>0.28799999999999998</v>
      </c>
      <c r="AB250" s="39">
        <f>AVERAGEIF($C$36:$C$173,"=3",$BC$36:$BC$173)</f>
        <v>0.55899999999999994</v>
      </c>
      <c r="AC250" s="39">
        <f>AVERAGEIF($C$36:$C$173,"=3",$BD$36:$BD$173)</f>
        <v>0.14399999999999999</v>
      </c>
      <c r="AD250" s="39">
        <v>1.2727272727272726E-2</v>
      </c>
      <c r="AE250" s="39">
        <v>0.23909090909090913</v>
      </c>
      <c r="AF250" s="39">
        <v>0.60272727272727267</v>
      </c>
      <c r="AG250" s="39">
        <v>0.14681818181818182</v>
      </c>
      <c r="AH250" s="39">
        <v>1.5454545454545453E-2</v>
      </c>
      <c r="AI250" s="39">
        <v>0.23181818181818184</v>
      </c>
      <c r="AJ250" s="39">
        <v>0.62</v>
      </c>
      <c r="AK250" s="39">
        <v>0.13409090909090909</v>
      </c>
      <c r="AL250" s="39">
        <v>2.0909090909090912E-2</v>
      </c>
      <c r="AM250" s="39">
        <v>0.2195454545454546</v>
      </c>
      <c r="AN250" s="39">
        <v>0.60090909090909106</v>
      </c>
      <c r="AO250" s="39">
        <v>0.16045454545454543</v>
      </c>
    </row>
    <row r="251" spans="5:77" x14ac:dyDescent="0.2">
      <c r="E251" s="27" t="s">
        <v>143</v>
      </c>
      <c r="F251" s="39">
        <f>AVERAGEIF($C$36:$C$173,"=4",$F$36:$F$173)</f>
        <v>2.6428571428571433E-2</v>
      </c>
      <c r="G251" s="39">
        <f>AVERAGEIF($C$36:$C$173,"=1",$G$36:$G$173)</f>
        <v>0.39588235294117652</v>
      </c>
      <c r="H251" s="39">
        <f>AVERAGEIF($C$36:$C$173,"=4",$H$36:$H$173)</f>
        <v>0.48285714285714282</v>
      </c>
      <c r="I251" s="39">
        <f>AVERAGEIF($C$36:$C$173,"=4",$I$36:$I$173)</f>
        <v>2.357142857142857E-2</v>
      </c>
      <c r="J251" s="39">
        <f>AVERAGEIF($C$36:$C$173,"=4",$O$36:$O$173)</f>
        <v>1.2857142857142857E-2</v>
      </c>
      <c r="K251" s="39">
        <f>AVERAGEIF($C$36:$C$173,"=4",$P$36:$P$173)</f>
        <v>0.33285714285714285</v>
      </c>
      <c r="L251" s="39">
        <f>AVERAGEIF($C$36:$C$173,"=4",$Q$36:$Q$173)</f>
        <v>0.57285714285714284</v>
      </c>
      <c r="M251" s="39">
        <f>AVERAGEIF($C$36:$C$173,"=4",$R$36:$R$173)</f>
        <v>8.1428571428571433E-2</v>
      </c>
      <c r="N251" s="39">
        <f>AVERAGEIF($C$36:$C$173,"=4",$X$36:$X$173)</f>
        <v>1.0666666666666666E-2</v>
      </c>
      <c r="O251" s="39">
        <f>AVERAGEIF($C$36:$C$173,"=4",$Y$36:$Y$173)</f>
        <v>0.36266666666666669</v>
      </c>
      <c r="P251" s="39">
        <f>AVERAGEIF($C$36:$C$173,"=4",$Z$36:$Z$173)</f>
        <v>0.57799999999999996</v>
      </c>
      <c r="Q251" s="39">
        <f>AVERAGEIF($C$36:$C$173,"=4",$AA$36:$AA$173)</f>
        <v>4.8000000000000015E-2</v>
      </c>
      <c r="R251" s="39">
        <f>AVERAGEIF($C$36:$C$173,"=4",$AG$36:$AG$173)</f>
        <v>3.3571428571428578E-2</v>
      </c>
      <c r="S251" s="39">
        <f>AVERAGEIF($C$36:$C$173,"=4",$AH$36:$AH$173)</f>
        <v>0.39357142857142863</v>
      </c>
      <c r="T251" s="39">
        <f>AVERAGEIF($C$36:$C$173,"=4",$AI$36:$AI$173)</f>
        <v>0.4921428571428571</v>
      </c>
      <c r="U251" s="39">
        <f>AVERAGEIF($C$36:$C$173,"=4",$AJ$36:$AJ$173)</f>
        <v>8.1428571428571433E-2</v>
      </c>
      <c r="V251" s="39">
        <f>AVERAGEIF($C$36:$C$173,"=4",$AP$36:$AP$173)</f>
        <v>3.1538461538461543E-2</v>
      </c>
      <c r="W251" s="39">
        <f>AVERAGEIF($C$36:$C$173,"=4",$AQ$36:$AQ$173)</f>
        <v>0.42</v>
      </c>
      <c r="X251" s="39">
        <f>AVERAGEIF($C$36:$C$173,"=4",$AR$36:$AR$173)</f>
        <v>0.49692307692307697</v>
      </c>
      <c r="Y251" s="39">
        <f>AVERAGEIF($C$36:$C$173,"=4",$AS$36:$AS$173)</f>
        <v>5.307692307692307E-2</v>
      </c>
      <c r="Z251" s="39">
        <f>AVERAGEIF($C$36:$C$173,"=4",$BA$36:$BA$173)</f>
        <v>1.9999999999999997E-2</v>
      </c>
      <c r="AA251" s="39">
        <f>AVERAGEIF($C$36:$C$173,"=4",$BB$36:$BB$173)</f>
        <v>0.3978571428571428</v>
      </c>
      <c r="AB251" s="39">
        <f>AVERAGEIF($C$36:$C$173,"=4",$BC$36:$BC$173)</f>
        <v>0.5278571428571428</v>
      </c>
      <c r="AC251" s="39">
        <f>AVERAGEIF($C$36:$C$173,"=4",$BD$36:$BD$173)</f>
        <v>5.5714285714285709E-2</v>
      </c>
      <c r="AD251" s="39">
        <v>3.3571428571428572E-2</v>
      </c>
      <c r="AE251" s="39">
        <v>0.34428571428571436</v>
      </c>
      <c r="AF251" s="39">
        <v>0.51857142857142857</v>
      </c>
      <c r="AG251" s="39">
        <v>0.10285714285714287</v>
      </c>
      <c r="AH251" s="39">
        <v>3.1333333333333338E-2</v>
      </c>
      <c r="AI251" s="39">
        <v>0.42866666666666664</v>
      </c>
      <c r="AJ251" s="39">
        <v>0.47600000000000003</v>
      </c>
      <c r="AK251" s="39">
        <v>6.3333333333333325E-2</v>
      </c>
      <c r="AL251" s="39">
        <v>2.769230769230769E-2</v>
      </c>
      <c r="AM251" s="39">
        <v>0.35</v>
      </c>
      <c r="AN251" s="39">
        <v>0.533076923076923</v>
      </c>
      <c r="AO251" s="39">
        <v>9.1538461538461541E-2</v>
      </c>
    </row>
    <row r="252" spans="5:77" x14ac:dyDescent="0.2">
      <c r="E252" s="27" t="s">
        <v>144</v>
      </c>
      <c r="F252" s="39">
        <f>AVERAGEIF($C$36:$C$173,"=5",$F$36:$F$173)</f>
        <v>1.1764705882352941E-2</v>
      </c>
      <c r="G252" s="39">
        <f>AVERAGEIF($C$36:$C$173,"=1",$G$36:$G$173)</f>
        <v>0.39588235294117652</v>
      </c>
      <c r="H252" s="39">
        <f>AVERAGEIF($C$36:$C$173,"=5",$H$36:$H$173)</f>
        <v>0.63764705882352946</v>
      </c>
      <c r="I252" s="39">
        <f>AVERAGEIF($C$36:$C$173,"=5",$I$36:$I$173)</f>
        <v>8.4705882352941186E-2</v>
      </c>
      <c r="J252" s="39">
        <f>AVERAGEIF($C$36:$C$173,"=5",$O$36:$O$173)</f>
        <v>1.0555555555555556E-2</v>
      </c>
      <c r="K252" s="39">
        <f>AVERAGEIF($C$36:$C$173,"=5",$P$36:$P$173)</f>
        <v>0.2122222222222222</v>
      </c>
      <c r="L252" s="39">
        <f>AVERAGEIF($C$36:$C$173,"=5",$Q$36:$Q$173)</f>
        <v>0.66055555555555545</v>
      </c>
      <c r="M252" s="39">
        <f>AVERAGEIF($C$36:$C$173,"=5",$R$36:$R$173)</f>
        <v>0.11444444444444445</v>
      </c>
      <c r="N252" s="39">
        <f>AVERAGEIF($C$36:$C$173,"=5",$X$36:$X$173)</f>
        <v>1.2222222222222223E-2</v>
      </c>
      <c r="O252" s="39">
        <f>AVERAGEIF($C$36:$C$173,"=5",$Y$36:$Y$173)</f>
        <v>0.26833333333333331</v>
      </c>
      <c r="P252" s="39">
        <f>AVERAGEIF($C$36:$C$173,"=5",$Z$36:$Z$173)</f>
        <v>0.59666666666666668</v>
      </c>
      <c r="Q252" s="39">
        <f>AVERAGEIF($C$36:$C$173,"=5",$AA$36:$AA$173)</f>
        <v>0.125</v>
      </c>
      <c r="R252" s="39">
        <f>AVERAGEIF($C$36:$C$173,"=5",$AG$36:$AG$173)</f>
        <v>6.842105263157895E-3</v>
      </c>
      <c r="S252" s="39">
        <f>AVERAGEIF($C$36:$C$173,"=5",$AH$36:$AH$173)</f>
        <v>0.25526315789473697</v>
      </c>
      <c r="T252" s="39">
        <f>AVERAGEIF($C$36:$C$173,"=5",$AI$36:$AI$173)</f>
        <v>0.5915789473684212</v>
      </c>
      <c r="U252" s="39">
        <f>AVERAGEIF($C$36:$C$173,"=5",$AJ$36:$AJ$173)</f>
        <v>0.14684210526315788</v>
      </c>
      <c r="V252" s="39">
        <f>AVERAGEIF($C$36:$C$173,"=5",$AP$36:$AP$173)</f>
        <v>2.2222222222222222E-3</v>
      </c>
      <c r="W252" s="39">
        <f>AVERAGEIF($C$36:$C$173,"=5",$AQ$36:$AQ$173)</f>
        <v>0.21777777777777779</v>
      </c>
      <c r="X252" s="39">
        <f>AVERAGEIF($C$36:$C$173,"=5",$AR$36:$AR$173)</f>
        <v>0.66388888888888875</v>
      </c>
      <c r="Y252" s="39">
        <f>AVERAGEIF($C$36:$C$173,"=5",$AS$36:$AS$173)</f>
        <v>0.11611111111111111</v>
      </c>
      <c r="Z252" s="39">
        <f>AVERAGEIF($C$36:$C$173,"=5",$BA$36:$BA$173)</f>
        <v>5.5555555555555558E-3</v>
      </c>
      <c r="AA252" s="39">
        <f>AVERAGEIF($C$36:$C$173,"=5",$BB$36:$BB$173)</f>
        <v>0.22166666666666662</v>
      </c>
      <c r="AB252" s="39">
        <f>AVERAGEIF($C$36:$C$173,"=5",$BC$36:$BC$173)</f>
        <v>0.59388888888888891</v>
      </c>
      <c r="AC252" s="39">
        <f>AVERAGEIF($C$36:$C$173,"=5",$BD$36:$BD$173)</f>
        <v>0.1772222222222222</v>
      </c>
      <c r="AD252" s="39">
        <v>1.2352941176470589E-2</v>
      </c>
      <c r="AE252" s="39">
        <v>0.17294117647058824</v>
      </c>
      <c r="AF252" s="39">
        <v>0.62588235294117656</v>
      </c>
      <c r="AG252" s="39">
        <v>0.19</v>
      </c>
      <c r="AH252" s="39">
        <v>6.4705882352941186E-3</v>
      </c>
      <c r="AI252" s="39">
        <v>0.18941176470588236</v>
      </c>
      <c r="AJ252" s="39">
        <v>0.62647058823529422</v>
      </c>
      <c r="AK252" s="39">
        <v>0.17882352941176474</v>
      </c>
      <c r="AL252" s="39">
        <v>8.2352941176470577E-3</v>
      </c>
      <c r="AM252" s="39">
        <v>0.16470588235294117</v>
      </c>
      <c r="AN252" s="39">
        <v>0.64058823529411779</v>
      </c>
      <c r="AO252" s="39">
        <v>0.18647058823529411</v>
      </c>
    </row>
    <row r="253" spans="5:77" x14ac:dyDescent="0.2">
      <c r="E253" s="27" t="s">
        <v>145</v>
      </c>
      <c r="F253" s="39">
        <f>AVERAGEIF($C$36:$C$173,"=6",$F$36:$F$173)</f>
        <v>7.3333333333333332E-3</v>
      </c>
      <c r="G253" s="39">
        <f>AVERAGEIF($C$36:$C$173,"=1",$G$36:$G$173)</f>
        <v>0.39588235294117652</v>
      </c>
      <c r="H253" s="39">
        <f>AVERAGEIF($C$36:$C$173,"=6",$H$36:$H$173)</f>
        <v>0.56000000000000005</v>
      </c>
      <c r="I253" s="39">
        <f>AVERAGEIF($C$36:$C$173,"=6",$I$36:$I$173)</f>
        <v>5.7999999999999989E-2</v>
      </c>
      <c r="J253" s="39">
        <f>AVERAGEIF($C$36:$C$173,"=6",$O$36:$O$173)</f>
        <v>2.8000000000000004E-2</v>
      </c>
      <c r="K253" s="39">
        <f>AVERAGEIF($C$36:$C$173,"=6",$P$36:$P$173)</f>
        <v>0.3193333333333333</v>
      </c>
      <c r="L253" s="39">
        <f>AVERAGEIF($C$36:$C$173,"=6",$Q$36:$Q$173)</f>
        <v>0.57533333333333325</v>
      </c>
      <c r="M253" s="39">
        <f>AVERAGEIF($C$36:$C$173,"=6",$R$36:$R$173)</f>
        <v>7.8E-2</v>
      </c>
      <c r="N253" s="39">
        <f>AVERAGEIF($C$36:$C$173,"=6",$X$36:$X$173)</f>
        <v>0.01</v>
      </c>
      <c r="O253" s="39">
        <f>AVERAGEIF($C$36:$C$173,"=6",$Y$36:$Y$173)</f>
        <v>0.3714285714285715</v>
      </c>
      <c r="P253" s="39">
        <f>AVERAGEIF($C$36:$C$173,"=6",$Z$36:$Z$173)</f>
        <v>0.51642857142857135</v>
      </c>
      <c r="Q253" s="39">
        <f>AVERAGEIF($C$36:$C$173,"=6",$AA$36:$AA$173)</f>
        <v>0.10571428571428572</v>
      </c>
      <c r="R253" s="39">
        <f>AVERAGEIF($C$36:$C$173,"=6",$AG$36:$AG$173)</f>
        <v>1.1333333333333334E-2</v>
      </c>
      <c r="S253" s="39">
        <f>AVERAGEIF($C$36:$C$173,"=6",$AH$36:$AH$173)</f>
        <v>0.32466666666666666</v>
      </c>
      <c r="T253" s="39">
        <f>AVERAGEIF($C$36:$C$173,"=6",$AI$36:$AI$173)</f>
        <v>0.55533333333333335</v>
      </c>
      <c r="U253" s="39">
        <f>AVERAGEIF($C$36:$C$173,"=6",$AJ$36:$AJ$173)</f>
        <v>0.10933333333333331</v>
      </c>
      <c r="V253" s="39">
        <f>AVERAGEIF($C$36:$C$173,"=6",$AP$36:$AP$173)</f>
        <v>3.9411764705882354E-2</v>
      </c>
      <c r="W253" s="39">
        <f>AVERAGEIF($C$36:$C$173,"=6",$AQ$36:$AQ$173)</f>
        <v>0.34176470588235297</v>
      </c>
      <c r="X253" s="39">
        <f>AVERAGEIF($C$36:$C$173,"=6",$AR$36:$AR$173)</f>
        <v>0.54941176470588238</v>
      </c>
      <c r="Y253" s="39">
        <f>AVERAGEIF($C$36:$C$173,"=6",$AS$36:$AS$173)</f>
        <v>6.9411764705882367E-2</v>
      </c>
      <c r="Z253" s="39">
        <f>AVERAGEIF($C$36:$C$173,"=6",$BA$36:$BA$173)</f>
        <v>1.5882352941176472E-2</v>
      </c>
      <c r="AA253" s="39">
        <f>AVERAGEIF($C$36:$C$173,"=6",$BB$36:$BB$173)</f>
        <v>0.37117647058823533</v>
      </c>
      <c r="AB253" s="39">
        <f>AVERAGEIF($C$36:$C$173,"=6",$BC$36:$BC$173)</f>
        <v>0.501764705882353</v>
      </c>
      <c r="AC253" s="39">
        <f>AVERAGEIF($C$36:$C$173,"=6",$BD$36:$BD$173)</f>
        <v>0.11352941176470588</v>
      </c>
      <c r="AD253" s="39">
        <v>2.4210526315789474E-2</v>
      </c>
      <c r="AE253" s="39">
        <v>0.31052631578947371</v>
      </c>
      <c r="AF253" s="39">
        <v>0.55736842105263151</v>
      </c>
      <c r="AG253" s="39">
        <v>0.10684210526315789</v>
      </c>
      <c r="AH253" s="39">
        <v>9.5000000000000015E-3</v>
      </c>
      <c r="AI253" s="39">
        <v>0.26700000000000002</v>
      </c>
      <c r="AJ253" s="39">
        <v>0.57150000000000012</v>
      </c>
      <c r="AK253" s="39">
        <v>0.15150000000000002</v>
      </c>
      <c r="AL253" s="39">
        <v>2.6666666666666668E-2</v>
      </c>
      <c r="AM253" s="39">
        <v>0.2316666666666666</v>
      </c>
      <c r="AN253" s="39">
        <v>0.5988888888888888</v>
      </c>
      <c r="AO253" s="39">
        <v>0.14333333333333334</v>
      </c>
    </row>
    <row r="254" spans="5:77" x14ac:dyDescent="0.2">
      <c r="V254" s="67"/>
      <c r="W254" s="67"/>
    </row>
    <row r="255" spans="5:77" x14ac:dyDescent="0.2">
      <c r="F255" s="1193">
        <v>2016</v>
      </c>
      <c r="G255" s="1193"/>
      <c r="H255" s="1193"/>
      <c r="I255" s="1193"/>
      <c r="J255" s="1193"/>
      <c r="K255" s="1193"/>
      <c r="L255" s="1193"/>
      <c r="M255" s="1193"/>
      <c r="N255" s="1193">
        <v>2017</v>
      </c>
      <c r="O255" s="1193"/>
      <c r="P255" s="1193"/>
      <c r="Q255" s="1193"/>
      <c r="R255" s="1193"/>
      <c r="S255" s="1193"/>
      <c r="T255" s="1193"/>
      <c r="U255" s="1193"/>
      <c r="V255" s="1193">
        <v>2018</v>
      </c>
      <c r="W255" s="1193"/>
      <c r="X255" s="1193"/>
      <c r="Y255" s="1193"/>
      <c r="Z255" s="1193"/>
      <c r="AA255" s="1193"/>
      <c r="AB255" s="1193"/>
      <c r="AC255" s="1193"/>
      <c r="AD255" s="1193">
        <v>2019</v>
      </c>
      <c r="AE255" s="1193"/>
      <c r="AF255" s="1193"/>
      <c r="AG255" s="1193"/>
      <c r="AH255" s="1193"/>
      <c r="AI255" s="1193"/>
      <c r="AJ255" s="1193"/>
      <c r="AK255" s="1193"/>
      <c r="AL255" s="1193">
        <v>2020</v>
      </c>
      <c r="AM255" s="1193"/>
      <c r="AN255" s="1193"/>
      <c r="AO255" s="1193"/>
      <c r="AP255" s="1193"/>
      <c r="AQ255" s="1193"/>
      <c r="AR255" s="1193"/>
      <c r="AS255" s="1193"/>
      <c r="AT255" s="1193">
        <v>2021</v>
      </c>
      <c r="AU255" s="1193"/>
      <c r="AV255" s="1193"/>
      <c r="AW255" s="1193"/>
      <c r="AX255" s="1193"/>
      <c r="AY255" s="1193"/>
      <c r="AZ255" s="1193"/>
      <c r="BA255" s="1193"/>
      <c r="BB255" s="1193">
        <v>2022</v>
      </c>
      <c r="BC255" s="1193"/>
      <c r="BD255" s="1193"/>
      <c r="BE255" s="1193"/>
      <c r="BF255" s="1193"/>
      <c r="BG255" s="1193"/>
      <c r="BH255" s="1193"/>
      <c r="BI255" s="1193"/>
      <c r="BJ255" s="1193">
        <v>2023</v>
      </c>
      <c r="BK255" s="1193"/>
      <c r="BL255" s="1193"/>
      <c r="BM255" s="1193"/>
      <c r="BN255" s="1193"/>
      <c r="BO255" s="1193"/>
      <c r="BP255" s="1193"/>
      <c r="BQ255" s="1193"/>
      <c r="BR255" s="1193">
        <v>2024</v>
      </c>
      <c r="BS255" s="1193"/>
      <c r="BT255" s="1193"/>
      <c r="BU255" s="1193"/>
      <c r="BV255" s="1193"/>
      <c r="BW255" s="1193"/>
      <c r="BX255" s="1193"/>
      <c r="BY255" s="1193"/>
    </row>
    <row r="256" spans="5:77" ht="12.75" customHeight="1" x14ac:dyDescent="0.2">
      <c r="F256" s="1193" t="s">
        <v>148</v>
      </c>
      <c r="G256" s="1193"/>
      <c r="H256" s="1193"/>
      <c r="I256" s="1193"/>
      <c r="J256" s="1193" t="s">
        <v>149</v>
      </c>
      <c r="K256" s="1193"/>
      <c r="L256" s="1193"/>
      <c r="M256" s="1193"/>
      <c r="N256" s="1193" t="s">
        <v>148</v>
      </c>
      <c r="O256" s="1193"/>
      <c r="P256" s="1193"/>
      <c r="Q256" s="1193"/>
      <c r="R256" s="1193" t="s">
        <v>149</v>
      </c>
      <c r="S256" s="1193"/>
      <c r="T256" s="1193"/>
      <c r="U256" s="1193"/>
      <c r="V256" s="1193" t="s">
        <v>148</v>
      </c>
      <c r="W256" s="1193"/>
      <c r="X256" s="1193"/>
      <c r="Y256" s="1193"/>
      <c r="Z256" s="1193" t="s">
        <v>149</v>
      </c>
      <c r="AA256" s="1193"/>
      <c r="AB256" s="1193"/>
      <c r="AC256" s="1193"/>
      <c r="AD256" s="1193" t="s">
        <v>148</v>
      </c>
      <c r="AE256" s="1193"/>
      <c r="AF256" s="1193"/>
      <c r="AG256" s="1193"/>
      <c r="AH256" s="1193" t="s">
        <v>149</v>
      </c>
      <c r="AI256" s="1193"/>
      <c r="AJ256" s="1193"/>
      <c r="AK256" s="1193"/>
      <c r="AL256" s="1193" t="s">
        <v>148</v>
      </c>
      <c r="AM256" s="1193"/>
      <c r="AN256" s="1193"/>
      <c r="AO256" s="1193"/>
      <c r="AP256" s="1193" t="s">
        <v>149</v>
      </c>
      <c r="AQ256" s="1193"/>
      <c r="AR256" s="1193"/>
      <c r="AS256" s="1193"/>
      <c r="AT256" s="1193" t="s">
        <v>148</v>
      </c>
      <c r="AU256" s="1193"/>
      <c r="AV256" s="1193"/>
      <c r="AW256" s="1193"/>
      <c r="AX256" s="1193" t="s">
        <v>149</v>
      </c>
      <c r="AY256" s="1193"/>
      <c r="AZ256" s="1193"/>
      <c r="BA256" s="1193"/>
      <c r="BB256" s="1193" t="s">
        <v>148</v>
      </c>
      <c r="BC256" s="1193"/>
      <c r="BD256" s="1193"/>
      <c r="BE256" s="1193"/>
      <c r="BF256" s="1193" t="s">
        <v>149</v>
      </c>
      <c r="BG256" s="1193"/>
      <c r="BH256" s="1193"/>
      <c r="BI256" s="1193"/>
      <c r="BJ256" s="1193" t="s">
        <v>148</v>
      </c>
      <c r="BK256" s="1193"/>
      <c r="BL256" s="1193"/>
      <c r="BM256" s="1193"/>
      <c r="BN256" s="1193" t="s">
        <v>149</v>
      </c>
      <c r="BO256" s="1193"/>
      <c r="BP256" s="1193"/>
      <c r="BQ256" s="1193"/>
      <c r="BR256" s="1193" t="s">
        <v>148</v>
      </c>
      <c r="BS256" s="1193"/>
      <c r="BT256" s="1193"/>
      <c r="BU256" s="1193"/>
      <c r="BV256" s="1193" t="s">
        <v>149</v>
      </c>
      <c r="BW256" s="1193"/>
      <c r="BX256" s="1193"/>
      <c r="BY256" s="1193"/>
    </row>
    <row r="257" spans="5:77" x14ac:dyDescent="0.2">
      <c r="F257">
        <v>1</v>
      </c>
      <c r="G257">
        <v>2</v>
      </c>
      <c r="H257">
        <v>3</v>
      </c>
      <c r="I257">
        <v>4</v>
      </c>
      <c r="J257">
        <v>1</v>
      </c>
      <c r="K257">
        <v>2</v>
      </c>
      <c r="L257">
        <v>3</v>
      </c>
      <c r="M257">
        <v>4</v>
      </c>
      <c r="N257">
        <v>1</v>
      </c>
      <c r="O257">
        <v>2</v>
      </c>
      <c r="P257">
        <v>3</v>
      </c>
      <c r="Q257">
        <v>4</v>
      </c>
      <c r="R257">
        <v>1</v>
      </c>
      <c r="S257">
        <v>2</v>
      </c>
      <c r="T257">
        <v>3</v>
      </c>
      <c r="U257">
        <v>4</v>
      </c>
      <c r="V257">
        <v>1</v>
      </c>
      <c r="W257">
        <v>2</v>
      </c>
      <c r="X257">
        <v>3</v>
      </c>
      <c r="Y257">
        <v>4</v>
      </c>
      <c r="Z257">
        <v>1</v>
      </c>
      <c r="AA257">
        <v>2</v>
      </c>
      <c r="AB257">
        <v>3</v>
      </c>
      <c r="AC257">
        <v>4</v>
      </c>
      <c r="AD257">
        <v>1</v>
      </c>
      <c r="AE257">
        <v>2</v>
      </c>
      <c r="AF257">
        <v>3</v>
      </c>
      <c r="AG257">
        <v>4</v>
      </c>
      <c r="AH257">
        <v>1</v>
      </c>
      <c r="AI257">
        <v>2</v>
      </c>
      <c r="AJ257">
        <v>3</v>
      </c>
      <c r="AK257">
        <v>4</v>
      </c>
      <c r="AL257">
        <v>1</v>
      </c>
      <c r="AM257">
        <v>2</v>
      </c>
      <c r="AN257">
        <v>3</v>
      </c>
      <c r="AO257">
        <v>4</v>
      </c>
      <c r="AP257">
        <v>1</v>
      </c>
      <c r="AQ257">
        <v>2</v>
      </c>
      <c r="AR257">
        <v>3</v>
      </c>
      <c r="AS257">
        <v>4</v>
      </c>
      <c r="AT257" s="495">
        <v>1</v>
      </c>
      <c r="AU257" s="495">
        <v>2</v>
      </c>
      <c r="AV257" s="495">
        <v>3</v>
      </c>
      <c r="AW257" s="495">
        <v>4</v>
      </c>
      <c r="AX257" s="495">
        <v>1</v>
      </c>
      <c r="AY257" s="495">
        <v>2</v>
      </c>
      <c r="AZ257" s="495">
        <v>3</v>
      </c>
      <c r="BA257" s="495">
        <v>4</v>
      </c>
      <c r="BB257" s="495">
        <v>1</v>
      </c>
      <c r="BC257" s="495">
        <v>2</v>
      </c>
      <c r="BD257" s="495">
        <v>3</v>
      </c>
      <c r="BE257" s="495">
        <v>4</v>
      </c>
      <c r="BF257" s="495">
        <v>1</v>
      </c>
      <c r="BG257" s="495">
        <v>2</v>
      </c>
      <c r="BH257" s="495">
        <v>3</v>
      </c>
      <c r="BI257" s="495">
        <v>4</v>
      </c>
      <c r="BJ257" s="495">
        <v>1</v>
      </c>
      <c r="BK257" s="495">
        <v>2</v>
      </c>
      <c r="BL257" s="495">
        <v>3</v>
      </c>
      <c r="BM257" s="495">
        <v>4</v>
      </c>
      <c r="BN257" s="495">
        <v>1</v>
      </c>
      <c r="BO257" s="495">
        <v>2</v>
      </c>
      <c r="BP257" s="495">
        <v>3</v>
      </c>
      <c r="BQ257" s="495">
        <v>4</v>
      </c>
      <c r="BR257" s="495">
        <v>1</v>
      </c>
      <c r="BS257" s="495">
        <v>2</v>
      </c>
      <c r="BT257" s="495">
        <v>3</v>
      </c>
      <c r="BU257" s="495">
        <v>4</v>
      </c>
      <c r="BV257" s="495">
        <v>1</v>
      </c>
      <c r="BW257" s="495">
        <v>2</v>
      </c>
      <c r="BX257" s="495">
        <v>3</v>
      </c>
      <c r="BY257" s="495">
        <v>4</v>
      </c>
    </row>
    <row r="258" spans="5:77" x14ac:dyDescent="0.2">
      <c r="E258" s="27" t="s">
        <v>140</v>
      </c>
      <c r="F258" s="39">
        <f>AVERAGEIFS($F$36:$F$173,$C$36:$C$173,"=1", $B$36:$B$173,"OFICIAL")</f>
        <v>7.4999999999999997E-3</v>
      </c>
      <c r="G258" s="39">
        <f>AVERAGEIFS($G$36:$G$173,$C$36:$C$173,"=1", $B$36:$B$173,"OFICIAL")</f>
        <v>0.36499999999999999</v>
      </c>
      <c r="H258" s="39">
        <f>AVERAGEIFS($H$36:$H$173,$C$36:$C$173,"=1", $B$36:$B$173,"OFICIAL")</f>
        <v>0.58749999999999991</v>
      </c>
      <c r="I258" s="39">
        <f>AVERAGEIFS($I$36:$I$173,$C$36:$C$173,"=1", $B$36:$B$173,"OFICIAL")</f>
        <v>3.7499999999999999E-2</v>
      </c>
      <c r="J258" s="39">
        <f>AVERAGEIFS($F$36:$F$173,$C$36:$C$173,"=1", $B$36:$B$173,"NO OFICIAL")</f>
        <v>0.01</v>
      </c>
      <c r="K258" s="39">
        <f>AVERAGEIFS($G$36:$G$173,$C$36:$C$173,"=1", $B$36:$B$173,"NO OFICIAL")</f>
        <v>0.4053846153846154</v>
      </c>
      <c r="L258" s="39">
        <f>AVERAGEIFS($H$36:$H$173,$C$36:$C$173,"=1", $B$36:$B$173,"NO OFICIAL")</f>
        <v>0.55153846153846153</v>
      </c>
      <c r="M258" s="39">
        <f>AVERAGEIFS($I$36:$I$173,$C$36:$C$173,"=1", $B$36:$B$173,"NO OFICIAL")</f>
        <v>3.7692307692307685E-2</v>
      </c>
      <c r="N258" s="39">
        <f>AVERAGEIFS($O$36:$O$173,$C$36:$C$173,"=1", $B$36:$B$173,"OFICIAL")</f>
        <v>0.01</v>
      </c>
      <c r="O258" s="39">
        <f>AVERAGEIFS($P$36:$P$173,$C$36:$C$173,"=1", $B$36:$B$173,"OFICIAL")</f>
        <v>0.27500000000000002</v>
      </c>
      <c r="P258" s="39">
        <f>AVERAGEIFS($Q$36:$Q$173,$C$36:$C$173,"=1", $B$36:$B$173,"OFICIAL")</f>
        <v>0.64749999999999996</v>
      </c>
      <c r="Q258" s="39">
        <f>AVERAGEIFS($R$36:$R$173,$C$36:$C$173,"=1", $B$36:$B$173,"OFICIAL")</f>
        <v>6.7500000000000004E-2</v>
      </c>
      <c r="R258" s="39">
        <f>AVERAGEIFS($O$36:$O$173,$C$36:$C$173,"=1", $B$36:$B$173,"NO OFICIAL")</f>
        <v>1.3333333333333334E-2</v>
      </c>
      <c r="S258" s="39">
        <f>AVERAGEIFS($P$36:$P$173,$C$36:$C$173,"=1", $B$36:$B$173,"NO OFICIAL")</f>
        <v>0.34250000000000003</v>
      </c>
      <c r="T258" s="39">
        <f>AVERAGEIFS($Q$36:$Q$173,$C$36:$C$173,"=1", $B$36:$B$173,"NO OFICIAL")</f>
        <v>0.57916666666666672</v>
      </c>
      <c r="U258" s="39">
        <f>AVERAGEIFS($R$36:$R$173,$C$36:$C$173,"=1", $B$36:$B$173,"NO OFICIAL")</f>
        <v>6.5833333333333341E-2</v>
      </c>
      <c r="V258" s="39">
        <f>AVERAGEIFS($X$36:$X$173,$C$36:$C$173,"=1", $B$36:$B$173,"OFICIAL")</f>
        <v>1.4999999999999999E-2</v>
      </c>
      <c r="W258" s="39">
        <f>AVERAGEIFS($Y$36:$Y$173,$C$36:$C$173,"=1", $B$36:$B$173,"OFICIAL")</f>
        <v>0.35749999999999998</v>
      </c>
      <c r="X258" s="39">
        <f>AVERAGEIFS($Z$36:$Z$173,$C$36:$C$173,"=1", $B$36:$B$173,"OFICIAL")</f>
        <v>0.53749999999999998</v>
      </c>
      <c r="Y258" s="39">
        <f>AVERAGEIFS($AA$36:$AA$173,$C$36:$C$173,"=1", $B$36:$B$173,"OFICIAL")</f>
        <v>0.09</v>
      </c>
      <c r="Z258" s="39">
        <f>AVERAGEIFS($X$36:$X$173,$C$36:$C$173,"=1", $B$36:$B$173,"NO OFICIAL")</f>
        <v>0.02</v>
      </c>
      <c r="AA258" s="39">
        <f>AVERAGEIFS($Y$36:$Y$173,$C$36:$C$173,"=1", $B$36:$B$173,"NO OFICIAL")</f>
        <v>0.32384615384615389</v>
      </c>
      <c r="AB258" s="39">
        <f>AVERAGEIFS($Z$36:$Z$173,$C$36:$C$173,"=1", $B$36:$B$173,"NO OFICIAL")</f>
        <v>0.55000000000000004</v>
      </c>
      <c r="AC258" s="39">
        <f>AVERAGEIFS($AA$36:$AA$173,$C$36:$C$173,"=1", $B$36:$B$173,"NO OFICIAL")</f>
        <v>0.11076923076923079</v>
      </c>
      <c r="AD258" s="39">
        <f>AVERAGEIFS($AG$36:$AG$173,$C$36:$C$173,"=1", $B$36:$B$173,"OFICIAL")</f>
        <v>2.75E-2</v>
      </c>
      <c r="AE258" s="39">
        <f>AVERAGEIFS($AH$36:$AH$173,$C$36:$C$173,"=1", $B$36:$B$173,"OFICIAL")</f>
        <v>0.3075</v>
      </c>
      <c r="AF258" s="39">
        <f>AVERAGEIFS($AI$36:$AI$173,$C$36:$C$173,"=1", $B$36:$B$173,"OFICIAL")</f>
        <v>0.56999999999999995</v>
      </c>
      <c r="AG258" s="39">
        <f>AVERAGEIFS($AJ$36:$AJ$173,$C$36:$C$173,"=1", $B$36:$B$173,"OFICIAL")</f>
        <v>9.5000000000000001E-2</v>
      </c>
      <c r="AH258" s="39">
        <f>AVERAGEIFS($AG$36:$AG$173,$C$36:$C$173,"=1", $B$36:$B$173,"NO OFICIAL")</f>
        <v>1.3076923076923078E-2</v>
      </c>
      <c r="AI258" s="39">
        <f>AVERAGEIFS($AH$36:$AH$173,$C$36:$C$173,"=1", $B$36:$B$173,"NO OFICIAL")</f>
        <v>0.36538461538461547</v>
      </c>
      <c r="AJ258" s="39">
        <f>AVERAGEIFS($AI$36:$AI$173,$C$36:$C$173,"=1", $B$36:$B$173,"NO OFICIAL")</f>
        <v>0.53307692307692311</v>
      </c>
      <c r="AK258" s="39">
        <f>AVERAGEIFS($AJ$36:$AJ$173,$C$36:$C$173,"=1", $B$36:$B$173,"NO OFICIAL")</f>
        <v>8.8461538461538453E-2</v>
      </c>
      <c r="AL258" s="39">
        <f>AVERAGEIFS($AP$36:$AP$173,$C$36:$C$173,"=1", $B$36:$B$173,"OFICIAL")</f>
        <v>1.7500000000000002E-2</v>
      </c>
      <c r="AM258" s="39">
        <f>AVERAGEIFS($AQ$36:$AQ$173,$C$36:$C$173,"=1", $B$36:$B$173,"OFICIAL")</f>
        <v>0.3175</v>
      </c>
      <c r="AN258" s="39">
        <f>AVERAGEIFS($AR$36:$AR$173,$C$36:$C$173,"=1", $B$36:$B$173,"OFICIAL")</f>
        <v>0.57999999999999996</v>
      </c>
      <c r="AO258" s="39">
        <f>AVERAGEIFS($AS$36:$AS$173,$C$36:$C$173,"=1", $B$36:$B$173,"OFICIAL")</f>
        <v>8.249999999999999E-2</v>
      </c>
      <c r="AP258" s="39">
        <f>AVERAGEIFS($AP$36:$AP$173,$C$36:$C$173,"=1", $B$36:$B$173,"NO OFICIAL")</f>
        <v>2.8461538461538462E-2</v>
      </c>
      <c r="AQ258" s="39">
        <f>AVERAGEIFS($AQ$36:$AQ$173,$C$36:$C$173,"=1", $B$36:$B$173,"NO OFICIAL")</f>
        <v>0.28615384615384615</v>
      </c>
      <c r="AR258" s="39">
        <f>AVERAGEIFS($AR$36:$AR$173,$C$36:$C$173,"=1", $B$36:$B$173,"NO OFICIAL")</f>
        <v>0.6100000000000001</v>
      </c>
      <c r="AS258" s="39">
        <f>AVERAGEIFS($AS$36:$AS$173,$C$36:$C$173,"=1", $B$36:$B$173,"NO OFICIAL")</f>
        <v>7.6153846153846155E-2</v>
      </c>
      <c r="AT258" s="39">
        <f>AVERAGEIFS($BA$36:$BA$173,$C$36:$C$173,"=1", $B$36:$B$173,"OFICIAL")</f>
        <v>2.5000000000000001E-2</v>
      </c>
      <c r="AU258" s="39">
        <f>AVERAGEIFS($BB$36:$BB$173,$C$36:$C$173,"=1", $B$36:$B$173,"OFICIAL")</f>
        <v>0.33749999999999997</v>
      </c>
      <c r="AV258" s="39">
        <f>AVERAGEIFS($BC$36:$BC$173,$C$36:$C$173,"=1", $B$36:$B$173,"OFICIAL")</f>
        <v>0.53</v>
      </c>
      <c r="AW258" s="39">
        <f>AVERAGEIFS($BD$36:$BD$173,$C$36:$C$173,"=1", $B$36:$B$173,"OFICIAL")</f>
        <v>0.10500000000000001</v>
      </c>
      <c r="AX258" s="39">
        <f>AVERAGEIFS($BA$36:$BA$173,$C$36:$C$173,"=1", $B$36:$B$173,"NO OFICIAL")</f>
        <v>7.6923076923076927E-3</v>
      </c>
      <c r="AY258" s="39">
        <f>AVERAGEIFS($BB$36:$BB$173,$C$36:$C$173,"=1", $B$36:$B$173,"NO OFICIAL")</f>
        <v>0.30538461538461542</v>
      </c>
      <c r="AZ258" s="39">
        <f>AVERAGEIFS($BC$36:$BC$173,$C$36:$C$173,"=1", $B$36:$B$173,"NO OFICIAL")</f>
        <v>0.57769230769230784</v>
      </c>
      <c r="BA258" s="39">
        <f>AVERAGEIFS($BD$36:$BD$173,$C$36:$C$173,"=1", $B$36:$B$173,"NO OFICIAL")</f>
        <v>0.1076923076923077</v>
      </c>
      <c r="BB258" s="39">
        <v>1.4000000000000002E-2</v>
      </c>
      <c r="BC258" s="39">
        <v>0.32200000000000001</v>
      </c>
      <c r="BD258" s="39">
        <v>0.57200000000000006</v>
      </c>
      <c r="BE258" s="39">
        <v>8.7999999999999995E-2</v>
      </c>
      <c r="BF258" s="39">
        <v>2.3076923076923082E-2</v>
      </c>
      <c r="BG258" s="39">
        <v>0.27</v>
      </c>
      <c r="BH258" s="39">
        <v>0.61384615384615393</v>
      </c>
      <c r="BI258" s="39">
        <v>9.5384615384615387E-2</v>
      </c>
      <c r="BJ258" s="39">
        <v>1.6E-2</v>
      </c>
      <c r="BK258" s="39">
        <v>0.36199999999999999</v>
      </c>
      <c r="BL258" s="39">
        <v>0.56799999999999995</v>
      </c>
      <c r="BM258" s="39">
        <v>5.7999999999999996E-2</v>
      </c>
      <c r="BN258" s="39">
        <v>0.02</v>
      </c>
      <c r="BO258" s="39">
        <v>0.2583333333333333</v>
      </c>
      <c r="BP258" s="39">
        <v>0.60333333333333339</v>
      </c>
      <c r="BQ258" s="39">
        <v>0.11833333333333335</v>
      </c>
      <c r="BR258" s="39">
        <v>3.5999999999999997E-2</v>
      </c>
      <c r="BS258" s="39">
        <v>0.29199999999999998</v>
      </c>
      <c r="BT258" s="39">
        <v>0.57399999999999995</v>
      </c>
      <c r="BU258" s="39">
        <v>9.8000000000000004E-2</v>
      </c>
      <c r="BV258" s="39">
        <v>1.8181818181818181E-2</v>
      </c>
      <c r="BW258" s="39">
        <v>0.22181818181818178</v>
      </c>
      <c r="BX258" s="39">
        <v>0.65272727272727271</v>
      </c>
      <c r="BY258" s="39">
        <v>0.11272727272727273</v>
      </c>
    </row>
    <row r="259" spans="5:77" x14ac:dyDescent="0.2">
      <c r="E259" s="27" t="s">
        <v>141</v>
      </c>
      <c r="F259" s="39">
        <f>AVERAGEIFS($F$36:$F$173,$C$36:$C$173,"=2", $B$36:$B$173,"OFICIAL")</f>
        <v>5.0000000000000001E-3</v>
      </c>
      <c r="G259" s="39">
        <f>AVERAGEIFS($G$36:$G$173,$C$36:$C$173,"=2", $B$36:$B$173,"OFICIAL")</f>
        <v>0.36</v>
      </c>
      <c r="H259" s="39">
        <f>AVERAGEIFS($H$36:$H$173,$C$36:$C$173,"=2", $B$36:$B$173,"OFICIAL")</f>
        <v>0.56499999999999995</v>
      </c>
      <c r="I259" s="39">
        <f>AVERAGEIFS($I$36:$I$173,$C$36:$C$173,"=2", $B$36:$B$173,"OFICIAL")</f>
        <v>6.5000000000000002E-2</v>
      </c>
      <c r="J259" s="39">
        <f>AVERAGEIFS($F$36:$F$173,$C$36:$C$173,"=2", $B$36:$B$173,"NO OFICIAL")</f>
        <v>1.7222222222222222E-2</v>
      </c>
      <c r="K259" s="39">
        <f>AVERAGEIFS($G$36:$G$173,$C$36:$C$173,"=2", $B$36:$B$173,"NO OFICIAL")</f>
        <v>0.31444444444444447</v>
      </c>
      <c r="L259" s="39">
        <f>AVERAGEIFS($H$36:$H$173,$C$36:$C$173,"=2", $B$36:$B$173,"NO OFICIAL")</f>
        <v>0.58500000000000008</v>
      </c>
      <c r="M259" s="39">
        <f>AVERAGEIFS($I$36:$I$173,$C$36:$C$173,"=2", $B$36:$B$173,"NO OFICIAL")</f>
        <v>8.4444444444444447E-2</v>
      </c>
      <c r="N259" s="39">
        <f>AVERAGEIFS($O$36:$O$173,$C$36:$C$173,"=2", $B$36:$B$173,"OFICIAL")</f>
        <v>1.4999999999999999E-2</v>
      </c>
      <c r="O259" s="39">
        <f>AVERAGEIFS($P$36:$P$173,$C$36:$C$173,"=2", $B$36:$B$173,"OFICIAL")</f>
        <v>0.29500000000000004</v>
      </c>
      <c r="P259" s="39">
        <f>AVERAGEIFS($Q$36:$Q$173,$C$36:$C$173,"=2", $B$36:$B$173,"OFICIAL")</f>
        <v>0.61499999999999999</v>
      </c>
      <c r="Q259" s="39">
        <f>AVERAGEIFS($R$36:$R$173,$C$36:$C$173,"=2", $B$36:$B$173,"OFICIAL")</f>
        <v>7.0000000000000007E-2</v>
      </c>
      <c r="R259" s="39">
        <f>AVERAGEIFS($O$36:$O$173,$C$36:$C$173,"=2", $B$36:$B$173,"NO OFICIAL")</f>
        <v>1.5882352941176472E-2</v>
      </c>
      <c r="S259" s="39">
        <f>AVERAGEIFS($P$36:$P$173,$C$36:$C$173,"=2", $B$36:$B$173,"NO OFICIAL")</f>
        <v>0.26117647058823534</v>
      </c>
      <c r="T259" s="39">
        <f>AVERAGEIFS($Q$36:$Q$173,$C$36:$C$173,"=2", $B$36:$B$173,"NO OFICIAL")</f>
        <v>0.59058823529411775</v>
      </c>
      <c r="U259" s="39">
        <f>AVERAGEIFS($R$36:$R$173,$C$36:$C$173,"=2", $B$36:$B$173,"NO OFICIAL")</f>
        <v>0.13235294117647059</v>
      </c>
      <c r="V259" s="39">
        <f>AVERAGEIFS($X$36:$X$173,$C$36:$C$173,"=2", $B$36:$B$173,"OFICIAL")</f>
        <v>0.01</v>
      </c>
      <c r="W259" s="39">
        <f>AVERAGEIFS($Y$36:$Y$173,$C$36:$C$173,"=2", $B$36:$B$173,"OFICIAL")</f>
        <v>0.33499999999999996</v>
      </c>
      <c r="X259" s="39">
        <f>AVERAGEIFS($Z$36:$Z$173,$C$36:$C$173,"=2", $B$36:$B$173,"OFICIAL")</f>
        <v>0.54</v>
      </c>
      <c r="Y259" s="39">
        <f>AVERAGEIFS($AA$36:$AA$173,$C$36:$C$173,"=2", $B$36:$B$173,"OFICIAL")</f>
        <v>0.11</v>
      </c>
      <c r="Z259" s="39">
        <f>AVERAGEIFS($X$36:$X$173,$C$36:$C$173,"=2", $B$36:$B$173,"NO OFICIAL")</f>
        <v>1.4705882352941176E-2</v>
      </c>
      <c r="AA259" s="39">
        <f>AVERAGEIFS($Y$36:$Y$173,$C$36:$C$173,"=2", $B$36:$B$173,"NO OFICIAL")</f>
        <v>0.3123529411764705</v>
      </c>
      <c r="AB259" s="39">
        <f>AVERAGEIFS($Z$36:$Z$173,$C$36:$C$173,"=2", $B$36:$B$173,"NO OFICIAL")</f>
        <v>0.54647058823529415</v>
      </c>
      <c r="AC259" s="39">
        <f>AVERAGEIFS($AA$36:$AA$173,$C$36:$C$173,"=2", $B$36:$B$173,"NO OFICIAL")</f>
        <v>0.12588235294117647</v>
      </c>
      <c r="AD259" s="39">
        <f>AVERAGEIFS($AG$36:$AG$173,$C$36:$C$173,"=2", $B$36:$B$173,"OFICIAL")</f>
        <v>2.5000000000000001E-2</v>
      </c>
      <c r="AE259" s="39">
        <f>AVERAGEIFS($AH$36:$AH$173,$C$36:$C$173,"=2", $B$36:$B$173,"OFICIAL")</f>
        <v>0.30499999999999999</v>
      </c>
      <c r="AF259" s="39">
        <f>AVERAGEIFS($AI$36:$AI$173,$C$36:$C$173,"=2", $B$36:$B$173,"OFICIAL")</f>
        <v>0.57999999999999996</v>
      </c>
      <c r="AG259" s="39">
        <f>AVERAGEIFS($AJ$36:$AJ$173,$C$36:$C$173,"=2", $B$36:$B$173,"OFICIAL")</f>
        <v>0.09</v>
      </c>
      <c r="AH259" s="39">
        <f>AVERAGEIFS($AG$36:$AG$173,$C$36:$C$173,"=2", $B$36:$B$173,"NO OFICIAL")</f>
        <v>8.8888888888888906E-3</v>
      </c>
      <c r="AI259" s="39">
        <f>AVERAGEIFS($AH$36:$AH$173,$C$36:$C$173,"=2", $B$36:$B$173,"NO OFICIAL")</f>
        <v>0.25444444444444447</v>
      </c>
      <c r="AJ259" s="39">
        <f>AVERAGEIFS($AI$36:$AI$173,$C$36:$C$173,"=2", $B$36:$B$173,"NO OFICIAL")</f>
        <v>0.60611111111111104</v>
      </c>
      <c r="AK259" s="39">
        <f>AVERAGEIFS($AJ$36:$AJ$173,$C$36:$C$173,"=2", $B$36:$B$173,"NO OFICIAL")</f>
        <v>0.13222222222222221</v>
      </c>
      <c r="AL259" s="39">
        <f>AVERAGEIFS($AP$36:$AP$173,$C$36:$C$173,"=2", $B$36:$B$173,"OFICIAL")</f>
        <v>5.0000000000000001E-3</v>
      </c>
      <c r="AM259" s="39">
        <f>AVERAGEIFS($AQ$36:$AQ$173,$C$36:$C$173,"=2", $B$36:$B$173,"OFICIAL")</f>
        <v>0.33</v>
      </c>
      <c r="AN259" s="39">
        <f>AVERAGEIFS($AR$36:$AR$173,$C$36:$C$173,"=2", $B$36:$B$173,"OFICIAL")</f>
        <v>0.57499999999999996</v>
      </c>
      <c r="AO259" s="39">
        <f>AVERAGEIFS($AS$36:$AS$173,$C$36:$C$173,"=2", $B$36:$B$173,"OFICIAL")</f>
        <v>8.5000000000000006E-2</v>
      </c>
      <c r="AP259" s="39">
        <f>AVERAGEIFS($AP$36:$AP$173,$C$36:$C$173,"=2", $B$36:$B$173,"NO OFICIAL")</f>
        <v>7.7272727272727267E-3</v>
      </c>
      <c r="AQ259" s="39">
        <f>AVERAGEIFS($AQ$36:$AQ$173,$C$36:$C$173,"=2", $B$36:$B$173,"NO OFICIAL")</f>
        <v>0.29090909090909084</v>
      </c>
      <c r="AR259" s="39">
        <f>AVERAGEIFS($AR$36:$AR$173,$C$36:$C$173,"=2", $B$36:$B$173,"NO OFICIAL")</f>
        <v>0.58954545454545448</v>
      </c>
      <c r="AS259" s="39">
        <f>AVERAGEIFS($AS$36:$AS$173,$C$36:$C$173,"=2", $B$36:$B$173,"NO OFICIAL")</f>
        <v>0.11227272727272729</v>
      </c>
      <c r="AT259" s="39">
        <f>AVERAGEIFS($BA$36:$BA$173,$C$36:$C$173,"=2", $B$36:$B$173,"OFICIAL")</f>
        <v>0.02</v>
      </c>
      <c r="AU259" s="39">
        <f>AVERAGEIFS($BB$36:$BB$173,$C$36:$C$173,"=2", $B$36:$B$173,"OFICIAL")</f>
        <v>0.38</v>
      </c>
      <c r="AV259" s="39">
        <f>AVERAGEIFS($BC$36:$BC$173,$C$36:$C$173,"=2", $B$36:$B$173,"OFICIAL")</f>
        <v>0.5</v>
      </c>
      <c r="AW259" s="39">
        <f>AVERAGEIFS($BD$36:$BD$173,$C$36:$C$173,"=2", $B$36:$B$173,"OFICIAL")</f>
        <v>0.1</v>
      </c>
      <c r="AX259" s="39">
        <f>AVERAGEIFS($BA$36:$BA$173,$C$36:$C$173,"=2", $B$36:$B$173,"NO OFICIAL")</f>
        <v>3.2000000000000008E-2</v>
      </c>
      <c r="AY259" s="39">
        <f>AVERAGEIFS($BB$36:$BB$173,$C$36:$C$173,"=2", $B$36:$B$173,"NO OFICIAL")</f>
        <v>0.32599999999999996</v>
      </c>
      <c r="AZ259" s="39">
        <f>AVERAGEIFS($BC$36:$BC$173,$C$36:$C$173,"=2", $B$36:$B$173,"NO OFICIAL")</f>
        <v>0.51150000000000007</v>
      </c>
      <c r="BA259" s="39">
        <f>AVERAGEIFS($BD$36:$BD$173,$C$36:$C$173,"=2", $B$36:$B$173,"NO OFICIAL")</f>
        <v>0.13100000000000003</v>
      </c>
      <c r="BB259" s="39">
        <v>1.4999999999999999E-2</v>
      </c>
      <c r="BC259" s="39">
        <v>0.32</v>
      </c>
      <c r="BD259" s="39">
        <v>0.57250000000000001</v>
      </c>
      <c r="BE259" s="39">
        <v>9.7500000000000003E-2</v>
      </c>
      <c r="BF259" s="39">
        <v>2.1428571428571429E-2</v>
      </c>
      <c r="BG259" s="39">
        <v>0.20571428571428568</v>
      </c>
      <c r="BH259" s="39">
        <v>0.59190476190476171</v>
      </c>
      <c r="BI259" s="39">
        <v>0.18142857142857141</v>
      </c>
      <c r="BJ259" s="39">
        <v>0.02</v>
      </c>
      <c r="BK259" s="39">
        <v>0.3</v>
      </c>
      <c r="BL259" s="39">
        <v>0.59750000000000003</v>
      </c>
      <c r="BM259" s="39">
        <v>0.08</v>
      </c>
      <c r="BN259" s="39">
        <v>2.6363636363636367E-2</v>
      </c>
      <c r="BO259" s="39">
        <v>0.24999999999999992</v>
      </c>
      <c r="BP259" s="39">
        <v>0.54954545454545467</v>
      </c>
      <c r="BQ259" s="39">
        <v>0.17500000000000002</v>
      </c>
      <c r="BR259" s="39">
        <v>1.2500000000000001E-2</v>
      </c>
      <c r="BS259" s="39">
        <v>0.30500000000000005</v>
      </c>
      <c r="BT259" s="39">
        <v>0.58499999999999996</v>
      </c>
      <c r="BU259" s="39">
        <v>9.7500000000000003E-2</v>
      </c>
      <c r="BV259" s="39">
        <v>1.2631578947368421E-2</v>
      </c>
      <c r="BW259" s="39">
        <v>0.15631578947368421</v>
      </c>
      <c r="BX259" s="39">
        <v>0.603157894736842</v>
      </c>
      <c r="BY259" s="39">
        <v>0.22842105263157894</v>
      </c>
    </row>
    <row r="260" spans="5:77" x14ac:dyDescent="0.2">
      <c r="E260" s="27" t="s">
        <v>142</v>
      </c>
      <c r="F260" s="39">
        <f>AVERAGEIFS($F$36:$F$173,$C$36:$C$173,"=3", $B$36:$B$173,"OFICIAL")</f>
        <v>2.4E-2</v>
      </c>
      <c r="G260" s="39">
        <f>AVERAGEIFS($G$36:$G$173,$C$36:$C$173,"=3", $B$36:$B$173,"OFICIAL")</f>
        <v>0.38400000000000001</v>
      </c>
      <c r="H260" s="39">
        <f>AVERAGEIFS($H$36:$H$173,$C$36:$C$173,"=3", $B$36:$B$173,"OFICIAL")</f>
        <v>0.53599999999999992</v>
      </c>
      <c r="I260" s="39">
        <f>AVERAGEIFS($I$36:$I$173,$C$36:$C$173,"=3", $B$36:$B$173,"OFICIAL")</f>
        <v>0.06</v>
      </c>
      <c r="J260" s="39">
        <f>AVERAGEIFS($F$36:$F$173,$C$36:$C$173,"=3", $B$36:$B$173,"NO OFICIAL")</f>
        <v>1.7692307692307691E-2</v>
      </c>
      <c r="K260" s="39">
        <f>AVERAGEIFS($G$36:$G$173,$C$36:$C$173,"=3", $B$36:$B$173,"NO OFICIAL")</f>
        <v>0.28076923076923077</v>
      </c>
      <c r="L260" s="39">
        <f>AVERAGEIFS($H$36:$H$173,$C$36:$C$173,"=3", $B$36:$B$173,"NO OFICIAL")</f>
        <v>0.62153846153846171</v>
      </c>
      <c r="M260" s="39">
        <f>AVERAGEIFS($I$36:$I$173,$C$36:$C$173,"=3", $B$36:$B$173,"NO OFICIAL")</f>
        <v>8.3846153846153876E-2</v>
      </c>
      <c r="N260" s="39">
        <f>AVERAGEIFS($O$36:$O$173,$C$36:$C$173,"=3", $B$36:$B$173,"OFICIAL")</f>
        <v>1.4000000000000002E-2</v>
      </c>
      <c r="O260" s="39">
        <f>AVERAGEIFS($P$36:$P$173,$C$36:$C$173,"=3", $B$36:$B$173,"OFICIAL")</f>
        <v>0.30199999999999999</v>
      </c>
      <c r="P260" s="39">
        <f>AVERAGEIFS($Q$36:$Q$173,$C$36:$C$173,"=3", $B$36:$B$173,"OFICIAL")</f>
        <v>0.60199999999999998</v>
      </c>
      <c r="Q260" s="39">
        <f>AVERAGEIFS($R$36:$R$173,$C$36:$C$173,"=3", $B$36:$B$173,"OFICIAL")</f>
        <v>8.2000000000000003E-2</v>
      </c>
      <c r="R260" s="39">
        <f>AVERAGEIFS($O$36:$O$173,$C$36:$C$173,"=3", $B$36:$B$173,"NO OFICIAL")</f>
        <v>1.1428571428571429E-2</v>
      </c>
      <c r="S260" s="39">
        <f>AVERAGEIFS($P$36:$P$173,$C$36:$C$173,"=3", $B$36:$B$173,"NO OFICIAL")</f>
        <v>0.2364285714285714</v>
      </c>
      <c r="T260" s="39">
        <f>AVERAGEIFS($Q$36:$Q$173,$C$36:$C$173,"=3", $B$36:$B$173,"NO OFICIAL")</f>
        <v>0.64642857142857146</v>
      </c>
      <c r="U260" s="39">
        <f>AVERAGEIFS($R$36:$R$173,$C$36:$C$173,"=3", $B$36:$B$173,"NO OFICIAL")</f>
        <v>0.10714285714285714</v>
      </c>
      <c r="V260" s="39">
        <f>AVERAGEIFS($X$36:$X$173,$C$36:$C$173,"=3", $B$36:$B$173,"OFICIAL")</f>
        <v>1.4000000000000002E-2</v>
      </c>
      <c r="W260" s="39">
        <f>AVERAGEIFS($Y$36:$Y$173,$C$36:$C$173,"=3", $B$36:$B$173,"OFICIAL")</f>
        <v>0.29000000000000004</v>
      </c>
      <c r="X260" s="39">
        <f>AVERAGEIFS($Z$36:$Z$173,$C$36:$C$173,"=3", $B$36:$B$173,"OFICIAL")</f>
        <v>0.59</v>
      </c>
      <c r="Y260" s="39">
        <f>AVERAGEIFS($AA$36:$AA$173,$C$36:$C$173,"=3", $B$36:$B$173,"OFICIAL")</f>
        <v>0.10400000000000001</v>
      </c>
      <c r="Z260" s="39">
        <f>AVERAGEIFS($X$36:$X$173,$C$36:$C$173,"=3", $B$36:$B$173,"NO OFICIAL")</f>
        <v>1.3571428571428571E-2</v>
      </c>
      <c r="AA260" s="39">
        <f>AVERAGEIFS($Y$36:$Y$173,$C$36:$C$173,"=3", $B$36:$B$173,"NO OFICIAL")</f>
        <v>0.25428571428571434</v>
      </c>
      <c r="AB260" s="39">
        <f>AVERAGEIFS($Z$36:$Z$173,$C$36:$C$173,"=3", $B$36:$B$173,"NO OFICIAL")</f>
        <v>0.59071428571428564</v>
      </c>
      <c r="AC260" s="39">
        <f>AVERAGEIFS($AA$36:$AA$173,$C$36:$C$173,"=3", $B$36:$B$173,"NO OFICIAL")</f>
        <v>0.1435714285714286</v>
      </c>
      <c r="AD260" s="39">
        <f>AVERAGEIFS($AG$36:$AG$173,$C$36:$C$173,"=3", $B$36:$B$173,"OFICIAL")</f>
        <v>0.01</v>
      </c>
      <c r="AE260" s="39">
        <f>AVERAGEIFS($AH$36:$AH$173,$C$36:$C$173,"=3", $B$36:$B$173,"OFICIAL")</f>
        <v>0.35</v>
      </c>
      <c r="AF260" s="39">
        <f>AVERAGEIFS($AI$36:$AI$173,$C$36:$C$173,"=3", $B$36:$B$173,"OFICIAL")</f>
        <v>0.55800000000000005</v>
      </c>
      <c r="AG260" s="39">
        <f>AVERAGEIFS($AJ$36:$AJ$173,$C$36:$C$173,"=3", $B$36:$B$173,"OFICIAL")</f>
        <v>7.7999999999999986E-2</v>
      </c>
      <c r="AH260" s="39">
        <f>AVERAGEIFS($AG$36:$AG$173,$C$36:$C$173,"=3", $B$36:$B$173,"NO OFICIAL")</f>
        <v>7.8571428571428577E-3</v>
      </c>
      <c r="AI260" s="39">
        <f>AVERAGEIFS($AH$36:$AH$173,$C$36:$C$173,"=3", $B$36:$B$173,"NO OFICIAL")</f>
        <v>0.26214285714285718</v>
      </c>
      <c r="AJ260" s="39">
        <f>AVERAGEIFS($AI$36:$AI$173,$C$36:$C$173,"=3", $B$36:$B$173,"NO OFICIAL")</f>
        <v>0.57857142857142863</v>
      </c>
      <c r="AK260" s="39">
        <f>AVERAGEIFS($AJ$36:$AJ$173,$C$36:$C$173,"=3", $B$36:$B$173,"NO OFICIAL")</f>
        <v>0.15285714285714283</v>
      </c>
      <c r="AL260" s="39">
        <f>AVERAGEIFS($AP$36:$AP$173,$C$36:$C$173,"=3", $B$36:$B$173,"OFICIAL")</f>
        <v>3.4000000000000002E-2</v>
      </c>
      <c r="AM260" s="39">
        <f>AVERAGEIFS($AQ$36:$AQ$173,$C$36:$C$173,"=3", $B$36:$B$173,"OFICIAL")</f>
        <v>0.30399999999999999</v>
      </c>
      <c r="AN260" s="39">
        <f>AVERAGEIFS($AR$36:$AR$173,$C$36:$C$173,"=3", $B$36:$B$173,"OFICIAL")</f>
        <v>0.59400000000000008</v>
      </c>
      <c r="AO260" s="39">
        <f>AVERAGEIFS($AS$36:$AS$173,$C$36:$C$173,"=3", $B$36:$B$173,"OFICIAL")</f>
        <v>7.1999999999999995E-2</v>
      </c>
      <c r="AP260" s="39">
        <f>AVERAGEIFS($AP$36:$AP$173,$C$36:$C$173,"=3", $B$36:$B$173,"NO OFICIAL")</f>
        <v>1.2000000000000002E-2</v>
      </c>
      <c r="AQ260" s="39">
        <f>AVERAGEIFS($AQ$36:$AQ$173,$C$36:$C$173,"=3", $B$36:$B$173,"NO OFICIAL")</f>
        <v>0.24666666666666667</v>
      </c>
      <c r="AR260" s="39">
        <f>AVERAGEIFS($AR$36:$AR$173,$C$36:$C$173,"=3", $B$36:$B$173,"NO OFICIAL")</f>
        <v>0.66399999999999992</v>
      </c>
      <c r="AS260" s="39">
        <f>AVERAGEIFS($AS$36:$AS$173,$C$36:$C$173,"=3", $B$36:$B$173,"NO OFICIAL")</f>
        <v>7.5333333333333335E-2</v>
      </c>
      <c r="AT260" s="39">
        <f>AVERAGEIFS($BA$36:$BA$173,$C$36:$C$173,"=3", $B$36:$B$173,"OFICIAL")</f>
        <v>1.6E-2</v>
      </c>
      <c r="AU260" s="39">
        <f>AVERAGEIFS($BB$36:$BB$173,$C$36:$C$173,"=3", $B$36:$B$173,"OFICIAL")</f>
        <v>0.34199999999999997</v>
      </c>
      <c r="AV260" s="39">
        <f>AVERAGEIFS($BC$36:$BC$173,$C$36:$C$173,"=3", $B$36:$B$173,"OFICIAL")</f>
        <v>0.55600000000000005</v>
      </c>
      <c r="AW260" s="39">
        <f>AVERAGEIFS($BD$36:$BD$173,$C$36:$C$173,"=3", $B$36:$B$173,"OFICIAL")</f>
        <v>8.7999999999999995E-2</v>
      </c>
      <c r="AX260" s="39">
        <f>AVERAGEIFS($BA$36:$BA$173,$C$36:$C$173,"=3", $B$36:$B$173,"NO OFICIAL")</f>
        <v>0.01</v>
      </c>
      <c r="AY260" s="39">
        <f>AVERAGEIFS($BB$36:$BB$173,$C$36:$C$173,"=3", $B$36:$B$173,"NO OFICIAL")</f>
        <v>0.26999999999999996</v>
      </c>
      <c r="AZ260" s="39">
        <f>AVERAGEIFS($BC$36:$BC$173,$C$36:$C$173,"=3", $B$36:$B$173,"NO OFICIAL")</f>
        <v>0.56000000000000005</v>
      </c>
      <c r="BA260" s="39">
        <f>AVERAGEIFS($BD$36:$BD$173,$C$36:$C$173,"=3", $B$36:$B$173,"NO OFICIAL")</f>
        <v>0.16266666666666665</v>
      </c>
      <c r="BB260" s="39">
        <v>0.01</v>
      </c>
      <c r="BC260" s="39">
        <v>0.31</v>
      </c>
      <c r="BD260" s="39">
        <v>0.58499999999999996</v>
      </c>
      <c r="BE260" s="39">
        <v>9.6666666666666679E-2</v>
      </c>
      <c r="BF260" s="39">
        <v>1.375E-2</v>
      </c>
      <c r="BG260" s="39">
        <v>0.21250000000000002</v>
      </c>
      <c r="BH260" s="39">
        <v>0.609375</v>
      </c>
      <c r="BI260" s="39">
        <v>0.16562499999999999</v>
      </c>
      <c r="BJ260" s="39">
        <v>2.3333333333333334E-2</v>
      </c>
      <c r="BK260" s="39">
        <v>0.30333333333333334</v>
      </c>
      <c r="BL260" s="39">
        <v>0.58166666666666667</v>
      </c>
      <c r="BM260" s="39">
        <v>9.1666666666666674E-2</v>
      </c>
      <c r="BN260" s="39">
        <v>1.2500000000000001E-2</v>
      </c>
      <c r="BO260" s="39">
        <v>0.20500000000000002</v>
      </c>
      <c r="BP260" s="39">
        <v>0.63437500000000002</v>
      </c>
      <c r="BQ260" s="39">
        <v>0.15000000000000002</v>
      </c>
      <c r="BR260" s="39">
        <v>2.1666666666666667E-2</v>
      </c>
      <c r="BS260" s="39">
        <v>0.28999999999999998</v>
      </c>
      <c r="BT260" s="39">
        <v>0.57833333333333337</v>
      </c>
      <c r="BU260" s="39">
        <v>0.11333333333333334</v>
      </c>
      <c r="BV260" s="39">
        <v>2.0625000000000001E-2</v>
      </c>
      <c r="BW260" s="39">
        <v>0.19312499999999999</v>
      </c>
      <c r="BX260" s="39">
        <v>0.60937500000000011</v>
      </c>
      <c r="BY260" s="39">
        <v>0.17812500000000001</v>
      </c>
    </row>
    <row r="261" spans="5:77" x14ac:dyDescent="0.2">
      <c r="E261" s="27" t="s">
        <v>143</v>
      </c>
      <c r="F261" s="39">
        <f>AVERAGEIFS($F$36:$F$173,$C$36:$C$173,"=4", $B$36:$B$173,"OFICIAL")</f>
        <v>3.1666666666666669E-2</v>
      </c>
      <c r="G261" s="39">
        <f>AVERAGEIFS($G$36:$G$173,$C$36:$C$173,"=4", $B$36:$B$173,"OFICIAL")</f>
        <v>0.53833333333333322</v>
      </c>
      <c r="H261" s="39">
        <f>AVERAGEIFS($H$36:$H$173,$C$36:$C$173,"=4", $B$36:$B$173,"OFICIAL")</f>
        <v>0.40833333333333338</v>
      </c>
      <c r="I261" s="39">
        <f>AVERAGEIFS($I$36:$I$173,$C$36:$C$173,"=4", $B$36:$B$173,"OFICIAL")</f>
        <v>1.8333333333333333E-2</v>
      </c>
      <c r="J261" s="39">
        <f>AVERAGEIFS($F$36:$F$173,$C$36:$C$173,"=4", $B$36:$B$173,"NO OFICIAL")</f>
        <v>2.2499999999999999E-2</v>
      </c>
      <c r="K261" s="39">
        <f>AVERAGEIFS($G$36:$G$173,$C$36:$C$173,"=4", $B$36:$B$173,"NO OFICIAL")</f>
        <v>0.41125</v>
      </c>
      <c r="L261" s="39">
        <f>AVERAGEIFS($H$36:$H$173,$C$36:$C$173,"=4", $B$36:$B$173,"NO OFICIAL")</f>
        <v>0.53875000000000006</v>
      </c>
      <c r="M261" s="39">
        <f>AVERAGEIFS($I$36:$I$173,$C$36:$C$173,"=4", $B$36:$B$173,"NO OFICIAL")</f>
        <v>2.7499999999999997E-2</v>
      </c>
      <c r="N261" s="39">
        <f>AVERAGEIFS($O$36:$O$173,$C$36:$C$173,"=4", $B$36:$B$173,"OFICIAL")</f>
        <v>1.6666666666666666E-2</v>
      </c>
      <c r="O261" s="39">
        <f>AVERAGEIFS($P$36:$P$173,$C$36:$C$173,"=4", $B$36:$B$173,"OFICIAL")</f>
        <v>0.47000000000000003</v>
      </c>
      <c r="P261" s="39">
        <f>AVERAGEIFS($Q$36:$Q$173,$C$36:$C$173,"=4", $B$36:$B$173,"OFICIAL")</f>
        <v>0.45666666666666661</v>
      </c>
      <c r="Q261" s="39">
        <f>AVERAGEIFS($R$36:$R$173,$C$36:$C$173,"=4", $B$36:$B$173,"OFICIAL")</f>
        <v>5.5E-2</v>
      </c>
      <c r="R261" s="39">
        <f>AVERAGEIFS($O$36:$O$173,$C$36:$C$173,"=4", $B$36:$B$173,"NO OFICIAL")</f>
        <v>0.01</v>
      </c>
      <c r="S261" s="39">
        <f>AVERAGEIFS($P$36:$P$173,$C$36:$C$173,"=4", $B$36:$B$173,"NO OFICIAL")</f>
        <v>0.22999999999999998</v>
      </c>
      <c r="T261" s="39">
        <f>AVERAGEIFS($Q$36:$Q$173,$C$36:$C$173,"=4", $B$36:$B$173,"NO OFICIAL")</f>
        <v>0.65999999999999992</v>
      </c>
      <c r="U261" s="39">
        <f>AVERAGEIFS($R$36:$R$173,$C$36:$C$173,"=4", $B$36:$B$173,"NO OFICIAL")</f>
        <v>0.10125000000000001</v>
      </c>
      <c r="V261" s="39">
        <f>AVERAGEIFS($X$36:$X$173,$C$36:$C$173,"=4", $B$36:$B$173,"OFICIAL")</f>
        <v>2.6666666666666668E-2</v>
      </c>
      <c r="W261" s="39">
        <f>AVERAGEIFS($Y$36:$Y$173,$C$36:$C$173,"=4", $B$36:$B$173,"OFICIAL")</f>
        <v>0.5083333333333333</v>
      </c>
      <c r="X261" s="39">
        <f>AVERAGEIFS($Z$36:$Z$173,$C$36:$C$173,"=4", $B$36:$B$173,"OFICIAL")</f>
        <v>0.42</v>
      </c>
      <c r="Y261" s="39">
        <f>AVERAGEIFS($AA$36:$AA$173,$C$36:$C$173,"=4", $B$36:$B$173,"OFICIAL")</f>
        <v>4.1666666666666664E-2</v>
      </c>
      <c r="Z261" s="39">
        <f>AVERAGEIFS($X$36:$X$173,$C$36:$C$173,"=4", $B$36:$B$173,"NO OFICIAL")</f>
        <v>0</v>
      </c>
      <c r="AA261" s="39">
        <f>AVERAGEIFS($Y$36:$Y$173,$C$36:$C$173,"=4", $B$36:$B$173,"NO OFICIAL")</f>
        <v>0.26555555555555554</v>
      </c>
      <c r="AB261" s="39">
        <f>AVERAGEIFS($Z$36:$Z$173,$C$36:$C$173,"=4", $B$36:$B$173,"NO OFICIAL")</f>
        <v>0.68333333333333335</v>
      </c>
      <c r="AC261" s="39">
        <f>AVERAGEIFS($AA$36:$AA$173,$C$36:$C$173,"=4", $B$36:$B$173,"NO OFICIAL")</f>
        <v>5.2222222222222218E-2</v>
      </c>
      <c r="AD261" s="39">
        <f>AVERAGEIFS($AG$36:$AG$173,$C$36:$C$173,"=4", $B$36:$B$173,"OFICIAL")</f>
        <v>4.8333333333333339E-2</v>
      </c>
      <c r="AE261" s="39">
        <f>AVERAGEIFS($AH$36:$AH$173,$C$36:$C$173,"=4", $B$36:$B$173,"OFICIAL")</f>
        <v>0.49333333333333335</v>
      </c>
      <c r="AF261" s="39">
        <f>AVERAGEIFS($AI$36:$AI$173,$C$36:$C$173,"=4", $B$36:$B$173,"OFICIAL")</f>
        <v>0.40833333333333338</v>
      </c>
      <c r="AG261" s="39">
        <f>AVERAGEIFS($AJ$36:$AJ$173,$C$36:$C$173,"=4", $B$36:$B$173,"OFICIAL")</f>
        <v>5.1666666666666666E-2</v>
      </c>
      <c r="AH261" s="39">
        <f>AVERAGEIFS($AG$36:$AG$173,$C$36:$C$173,"=4", $B$36:$B$173,"NO OFICIAL")</f>
        <v>2.2500000000000003E-2</v>
      </c>
      <c r="AI261" s="39">
        <f>AVERAGEIFS($AH$36:$AH$173,$C$36:$C$173,"=4", $B$36:$B$173,"NO OFICIAL")</f>
        <v>0.31874999999999992</v>
      </c>
      <c r="AJ261" s="39">
        <f>AVERAGEIFS($AI$36:$AI$173,$C$36:$C$173,"=4", $B$36:$B$173,"NO OFICIAL")</f>
        <v>0.55500000000000005</v>
      </c>
      <c r="AK261" s="39">
        <f>AVERAGEIFS($AJ$36:$AJ$173,$C$36:$C$173,"=4", $B$36:$B$173,"NO OFICIAL")</f>
        <v>0.10375</v>
      </c>
      <c r="AL261" s="39">
        <f>AVERAGEIFS($AP$36:$AP$173,$C$36:$C$173,"=4", $B$36:$B$173,"OFICIAL")</f>
        <v>3.8333333333333337E-2</v>
      </c>
      <c r="AM261" s="39">
        <f>AVERAGEIFS($AQ$36:$AQ$173,$C$36:$C$173,"=4", $B$36:$B$173,"OFICIAL")</f>
        <v>0.48</v>
      </c>
      <c r="AN261" s="39">
        <f>AVERAGEIFS($AR$36:$AR$173,$C$36:$C$173,"=4", $B$36:$B$173,"OFICIAL")</f>
        <v>0.44666666666666671</v>
      </c>
      <c r="AO261" s="39">
        <f>AVERAGEIFS($AS$36:$AS$173,$C$36:$C$173,"=4", $B$36:$B$173,"OFICIAL")</f>
        <v>3.8333333333333337E-2</v>
      </c>
      <c r="AP261" s="39">
        <f>AVERAGEIFS($AP$36:$AP$173,$C$36:$C$173,"=4", $B$36:$B$173,"NO OFICIAL")</f>
        <v>2.5714285714285714E-2</v>
      </c>
      <c r="AQ261" s="39">
        <f>AVERAGEIFS($AQ$36:$AQ$173,$C$36:$C$173,"=4", $B$36:$B$173,"NO OFICIAL")</f>
        <v>0.36857142857142861</v>
      </c>
      <c r="AR261" s="39">
        <f>AVERAGEIFS($AR$36:$AR$173,$C$36:$C$173,"=4", $B$36:$B$173,"NO OFICIAL")</f>
        <v>0.53999999999999992</v>
      </c>
      <c r="AS261" s="39">
        <f>AVERAGEIFS($AS$36:$AS$173,$C$36:$C$173,"=4", $B$36:$B$173,"NO OFICIAL")</f>
        <v>6.5714285714285711E-2</v>
      </c>
      <c r="AT261" s="39">
        <f>AVERAGEIFS($BA$36:$BA$173,$C$36:$C$173,"=4", $B$36:$B$173,"OFICIAL")</f>
        <v>3.666666666666666E-2</v>
      </c>
      <c r="AU261" s="39">
        <f>AVERAGEIFS($BB$36:$BB$173,$C$36:$C$173,"=4", $B$36:$B$173,"OFICIAL")</f>
        <v>0.47333333333333333</v>
      </c>
      <c r="AV261" s="39">
        <f>AVERAGEIFS($BC$36:$BC$173,$C$36:$C$173,"=4", $B$36:$B$173,"OFICIAL")</f>
        <v>0.45</v>
      </c>
      <c r="AW261" s="39">
        <f>AVERAGEIFS($BD$36:$BD$173,$C$36:$C$173,"=4", $B$36:$B$173,"OFICIAL")</f>
        <v>0.04</v>
      </c>
      <c r="AX261" s="39">
        <f>AVERAGEIFS($BA$36:$BA$173,$C$36:$C$173,"=4", $B$36:$B$173,"NO OFICIAL")</f>
        <v>7.4999999999999997E-3</v>
      </c>
      <c r="AY261" s="39">
        <f>AVERAGEIFS($BB$36:$BB$173,$C$36:$C$173,"=4", $B$36:$B$173,"NO OFICIAL")</f>
        <v>0.34124999999999994</v>
      </c>
      <c r="AZ261" s="39">
        <f>AVERAGEIFS($BC$36:$BC$173,$C$36:$C$173,"=4", $B$36:$B$173,"NO OFICIAL")</f>
        <v>0.58624999999999994</v>
      </c>
      <c r="BA261" s="39">
        <f>AVERAGEIFS($BD$36:$BD$173,$C$36:$C$173,"=4", $B$36:$B$173,"NO OFICIAL")</f>
        <v>6.7500000000000004E-2</v>
      </c>
      <c r="BB261" s="39">
        <v>3.8333333333333337E-2</v>
      </c>
      <c r="BC261" s="39">
        <v>0.43500000000000005</v>
      </c>
      <c r="BD261" s="39">
        <v>0.47333333333333333</v>
      </c>
      <c r="BE261" s="39">
        <v>4.9999999999999996E-2</v>
      </c>
      <c r="BF261" s="39">
        <v>0.03</v>
      </c>
      <c r="BG261" s="39">
        <v>0.27625</v>
      </c>
      <c r="BH261" s="39">
        <v>0.5525000000000001</v>
      </c>
      <c r="BI261" s="39">
        <v>0.14250000000000002</v>
      </c>
      <c r="BJ261" s="39">
        <v>5.000000000000001E-2</v>
      </c>
      <c r="BK261" s="39">
        <v>0.44999999999999996</v>
      </c>
      <c r="BL261" s="39">
        <v>0.45</v>
      </c>
      <c r="BM261" s="39">
        <v>4.6666666666666669E-2</v>
      </c>
      <c r="BN261" s="39">
        <v>1.8888888888888886E-2</v>
      </c>
      <c r="BO261" s="39">
        <v>0.41444444444444439</v>
      </c>
      <c r="BP261" s="39">
        <v>0.49333333333333329</v>
      </c>
      <c r="BQ261" s="39">
        <v>7.4444444444444452E-2</v>
      </c>
      <c r="BR261" s="39">
        <v>5.8333333333333327E-2</v>
      </c>
      <c r="BS261" s="39">
        <v>0.44333333333333336</v>
      </c>
      <c r="BT261" s="39">
        <v>0.45500000000000002</v>
      </c>
      <c r="BU261" s="39">
        <v>4.5000000000000005E-2</v>
      </c>
      <c r="BV261" s="39">
        <v>1.4285714285714286E-3</v>
      </c>
      <c r="BW261" s="39">
        <v>0.27</v>
      </c>
      <c r="BX261" s="39">
        <v>0.6</v>
      </c>
      <c r="BY261" s="39">
        <v>0.13142857142857142</v>
      </c>
    </row>
    <row r="262" spans="5:77" x14ac:dyDescent="0.2">
      <c r="E262" s="27" t="s">
        <v>144</v>
      </c>
      <c r="F262" s="39">
        <f>AVERAGEIFS($F$36:$F$173,$C$36:$C$173,"=5", $B$36:$B$173,"OFICIAL")</f>
        <v>0.01</v>
      </c>
      <c r="G262" s="39">
        <f>AVERAGEIFS($G$36:$G$173,$C$36:$C$173,"=5", $B$36:$B$173,"OFICIAL")</f>
        <v>0.32</v>
      </c>
      <c r="H262" s="39">
        <f>AVERAGEIFS($H$36:$H$173,$C$36:$C$173,"=5", $B$36:$B$173,"OFICIAL")</f>
        <v>0.59666666666666668</v>
      </c>
      <c r="I262" s="39">
        <f>AVERAGEIFS($I$36:$I$173,$C$36:$C$173,"=5", $B$36:$B$173,"OFICIAL")</f>
        <v>7.3333333333333334E-2</v>
      </c>
      <c r="J262" s="39">
        <f>AVERAGEIFS($F$36:$F$173,$C$36:$C$173,"=5", $B$36:$B$173,"NO OFICIAL")</f>
        <v>1.2142857142857141E-2</v>
      </c>
      <c r="K262" s="39">
        <f>AVERAGEIFS($G$36:$G$173,$C$36:$C$173,"=5", $B$36:$B$173,"NO OFICIAL")</f>
        <v>0.255</v>
      </c>
      <c r="L262" s="39">
        <f>AVERAGEIFS($H$36:$H$173,$C$36:$C$173,"=5", $B$36:$B$173,"NO OFICIAL")</f>
        <v>0.64642857142857146</v>
      </c>
      <c r="M262" s="39">
        <f>AVERAGEIFS($I$36:$I$173,$C$36:$C$173,"=5", $B$36:$B$173,"NO OFICIAL")</f>
        <v>8.7142857142857147E-2</v>
      </c>
      <c r="N262" s="39">
        <f>AVERAGEIFS($O$36:$O$173,$C$36:$C$173,"=5", $B$36:$B$173,"OFICIAL")</f>
        <v>0.01</v>
      </c>
      <c r="O262" s="39">
        <f>AVERAGEIFS($P$36:$P$173,$C$36:$C$173,"=5", $B$36:$B$173,"OFICIAL")</f>
        <v>0.27666666666666667</v>
      </c>
      <c r="P262" s="39">
        <f>AVERAGEIFS($Q$36:$Q$173,$C$36:$C$173,"=5", $B$36:$B$173,"OFICIAL")</f>
        <v>0.58666666666666656</v>
      </c>
      <c r="Q262" s="39">
        <f>AVERAGEIFS($R$36:$R$173,$C$36:$C$173,"=5", $B$36:$B$173,"OFICIAL")</f>
        <v>0.12333333333333334</v>
      </c>
      <c r="R262" s="39">
        <f>AVERAGEIFS($O$36:$O$173,$C$36:$C$173,"=5", $B$36:$B$173,"NO OFICIAL")</f>
        <v>1.0666666666666666E-2</v>
      </c>
      <c r="S262" s="39">
        <f>AVERAGEIFS($P$36:$P$173,$C$36:$C$173,"=5", $B$36:$B$173,"NO OFICIAL")</f>
        <v>0.19933333333333331</v>
      </c>
      <c r="T262" s="39">
        <f>AVERAGEIFS($Q$36:$Q$173,$C$36:$C$173,"=5", $B$36:$B$173,"NO OFICIAL")</f>
        <v>0.67533333333333323</v>
      </c>
      <c r="U262" s="39">
        <f>AVERAGEIFS($R$36:$R$173,$C$36:$C$173,"=5", $B$36:$B$173,"NO OFICIAL")</f>
        <v>0.11266666666666666</v>
      </c>
      <c r="V262" s="39">
        <f>AVERAGEIFS($X$36:$X$173,$C$36:$C$173,"=5", $B$36:$B$173,"OFICIAL")</f>
        <v>0.01</v>
      </c>
      <c r="W262" s="39">
        <f>AVERAGEIFS($Y$36:$Y$173,$C$36:$C$173,"=5", $B$36:$B$173,"OFICIAL")</f>
        <v>0.31666666666666671</v>
      </c>
      <c r="X262" s="39">
        <f>AVERAGEIFS($Z$36:$Z$173,$C$36:$C$173,"=5", $B$36:$B$173,"OFICIAL")</f>
        <v>0.57333333333333336</v>
      </c>
      <c r="Y262" s="39">
        <f>AVERAGEIFS($AA$36:$AA$173,$C$36:$C$173,"=5", $B$36:$B$173,"OFICIAL")</f>
        <v>0.10333333333333333</v>
      </c>
      <c r="Z262" s="39">
        <f>AVERAGEIFS($X$36:$X$173,$C$36:$C$173,"=5", $B$36:$B$173,"NO OFICIAL")</f>
        <v>1.2666666666666666E-2</v>
      </c>
      <c r="AA262" s="39">
        <f>AVERAGEIFS($Y$36:$Y$173,$C$36:$C$173,"=5", $B$36:$B$173,"NO OFICIAL")</f>
        <v>0.25866666666666671</v>
      </c>
      <c r="AB262" s="39">
        <f>AVERAGEIFS($Z$36:$Z$173,$C$36:$C$173,"=5", $B$36:$B$173,"NO OFICIAL")</f>
        <v>0.60133333333333328</v>
      </c>
      <c r="AC262" s="39">
        <f>AVERAGEIFS($AA$36:$AA$173,$C$36:$C$173,"=5", $B$36:$B$173,"NO OFICIAL")</f>
        <v>0.12933333333333333</v>
      </c>
      <c r="AD262" s="39">
        <f>AVERAGEIFS($AG$36:$AG$173,$C$36:$C$173,"=5", $B$36:$B$173,"OFICIAL")</f>
        <v>1.3333333333333334E-2</v>
      </c>
      <c r="AE262" s="39">
        <f>AVERAGEIFS($AH$36:$AH$173,$C$36:$C$173,"=5", $B$36:$B$173,"OFICIAL")</f>
        <v>0.25666666666666671</v>
      </c>
      <c r="AF262" s="39">
        <f>AVERAGEIFS($AI$36:$AI$173,$C$36:$C$173,"=5", $B$36:$B$173,"OFICIAL")</f>
        <v>0.61</v>
      </c>
      <c r="AG262" s="39">
        <f>AVERAGEIFS($AJ$36:$AJ$173,$C$36:$C$173,"=5", $B$36:$B$173,"OFICIAL")</f>
        <v>0.11666666666666665</v>
      </c>
      <c r="AH262" s="39">
        <f>AVERAGEIFS($AG$36:$AG$173,$C$36:$C$173,"=5", $B$36:$B$173,"NO OFICIAL")</f>
        <v>5.6250000000000007E-3</v>
      </c>
      <c r="AI262" s="39">
        <f>AVERAGEIFS($AH$36:$AH$173,$C$36:$C$173,"=5", $B$36:$B$173,"NO OFICIAL")</f>
        <v>0.25500000000000006</v>
      </c>
      <c r="AJ262" s="39">
        <f>AVERAGEIFS($AI$36:$AI$173,$C$36:$C$173,"=5", $B$36:$B$173,"NO OFICIAL")</f>
        <v>0.58812500000000001</v>
      </c>
      <c r="AK262" s="39">
        <f>AVERAGEIFS($AJ$36:$AJ$173,$C$36:$C$173,"=5", $B$36:$B$173,"NO OFICIAL")</f>
        <v>0.1525</v>
      </c>
      <c r="AL262" s="39">
        <f>AVERAGEIFS($AP$36:$AP$173,$C$36:$C$173,"=5", $B$36:$B$173,"OFICIAL")</f>
        <v>1.3333333333333334E-2</v>
      </c>
      <c r="AM262" s="39">
        <f>AVERAGEIFS($AQ$36:$AQ$173,$C$36:$C$173,"=5", $B$36:$B$173,"OFICIAL")</f>
        <v>0.24999999999999997</v>
      </c>
      <c r="AN262" s="39">
        <f>AVERAGEIFS($AR$36:$AR$173,$C$36:$C$173,"=5", $B$36:$B$173,"OFICIAL")</f>
        <v>0.63333333333333341</v>
      </c>
      <c r="AO262" s="39">
        <f>AVERAGEIFS($AS$36:$AS$173,$C$36:$C$173,"=5", $B$36:$B$173,"OFICIAL")</f>
        <v>0.10333333333333335</v>
      </c>
      <c r="AP262" s="39">
        <f>AVERAGEIFS($AP$36:$AP$173,$C$36:$C$173,"=5", $B$36:$B$173,"NO OFICIAL")</f>
        <v>0</v>
      </c>
      <c r="AQ262" s="39">
        <f>AVERAGEIFS($AQ$36:$AQ$173,$C$36:$C$173,"=5", $B$36:$B$173,"NO OFICIAL")</f>
        <v>0.21133333333333335</v>
      </c>
      <c r="AR262" s="39">
        <f>AVERAGEIFS($AR$36:$AR$173,$C$36:$C$173,"=5", $B$36:$B$173,"NO OFICIAL")</f>
        <v>0.67</v>
      </c>
      <c r="AS262" s="39">
        <f>AVERAGEIFS($AS$36:$AS$173,$C$36:$C$173,"=5", $B$36:$B$173,"NO OFICIAL")</f>
        <v>0.11866666666666667</v>
      </c>
      <c r="AT262" s="39">
        <f>AVERAGEIFS($BA$36:$BA$173,$C$36:$C$173,"=5", $B$36:$B$173,"OFICIAL")</f>
        <v>1.6666666666666666E-2</v>
      </c>
      <c r="AU262" s="39">
        <f>AVERAGEIFS($BB$36:$BB$173,$C$36:$C$173,"=5", $B$36:$B$173,"OFICIAL")</f>
        <v>0.27999999999999997</v>
      </c>
      <c r="AV262" s="39">
        <f>AVERAGEIFS($BC$36:$BC$173,$C$36:$C$173,"=5", $B$36:$B$173,"OFICIAL")</f>
        <v>0.56333333333333335</v>
      </c>
      <c r="AW262" s="39">
        <f>AVERAGEIFS($BD$36:$BD$173,$C$36:$C$173,"=5", $B$36:$B$173,"OFICIAL")</f>
        <v>0.14000000000000001</v>
      </c>
      <c r="AX262" s="39">
        <f>AVERAGEIFS($BA$36:$BA$173,$C$36:$C$173,"=5", $B$36:$B$173,"NO OFICIAL")</f>
        <v>3.3333333333333335E-3</v>
      </c>
      <c r="AY262" s="39">
        <f>AVERAGEIFS($BB$36:$BB$173,$C$36:$C$173,"=5", $B$36:$B$173,"NO OFICIAL")</f>
        <v>0.21</v>
      </c>
      <c r="AZ262" s="39">
        <f>AVERAGEIFS($BC$36:$BC$173,$C$36:$C$173,"=5", $B$36:$B$173,"NO OFICIAL")</f>
        <v>0.6</v>
      </c>
      <c r="BA262" s="39">
        <f>AVERAGEIFS($BD$36:$BD$173,$C$36:$C$173,"=5", $B$36:$B$173,"NO OFICIAL")</f>
        <v>0.18466666666666665</v>
      </c>
      <c r="BB262" s="39">
        <v>1.4999999999999999E-2</v>
      </c>
      <c r="BC262" s="39">
        <v>0.27500000000000002</v>
      </c>
      <c r="BD262" s="39">
        <v>0.61</v>
      </c>
      <c r="BE262" s="39">
        <v>0.1</v>
      </c>
      <c r="BF262" s="39">
        <v>1.2000000000000002E-2</v>
      </c>
      <c r="BG262" s="39">
        <v>0.1593333333333333</v>
      </c>
      <c r="BH262" s="39">
        <v>0.628</v>
      </c>
      <c r="BI262" s="39">
        <v>0.20199999999999999</v>
      </c>
      <c r="BJ262" s="39">
        <v>0.03</v>
      </c>
      <c r="BK262" s="39">
        <v>0.375</v>
      </c>
      <c r="BL262" s="39">
        <v>0.52</v>
      </c>
      <c r="BM262" s="39">
        <v>8.5000000000000006E-2</v>
      </c>
      <c r="BN262" s="39">
        <v>3.3333333333333335E-3</v>
      </c>
      <c r="BO262" s="39">
        <v>0.16466666666666666</v>
      </c>
      <c r="BP262" s="39">
        <v>0.64066666666666661</v>
      </c>
      <c r="BQ262" s="39">
        <v>0.19133333333333333</v>
      </c>
      <c r="BR262" s="39">
        <v>1.3333333333333334E-2</v>
      </c>
      <c r="BS262" s="39">
        <v>0.22999999999999998</v>
      </c>
      <c r="BT262" s="39">
        <v>0.58333333333333337</v>
      </c>
      <c r="BU262" s="39">
        <v>0.17666666666666667</v>
      </c>
      <c r="BV262" s="39">
        <v>6.6666666666666671E-3</v>
      </c>
      <c r="BW262" s="39">
        <v>0.18533333333333332</v>
      </c>
      <c r="BX262" s="39">
        <v>0.63133333333333341</v>
      </c>
      <c r="BY262" s="39">
        <v>0.17600000000000005</v>
      </c>
    </row>
    <row r="263" spans="5:77" x14ac:dyDescent="0.2">
      <c r="E263" s="27" t="s">
        <v>145</v>
      </c>
      <c r="F263" s="39">
        <f>AVERAGEIFS($F$36:$F$173,$C$36:$C$173,"=6", $B$36:$B$173,"OFICIAL")</f>
        <v>0.01</v>
      </c>
      <c r="G263" s="39">
        <f>AVERAGEIFS($G$36:$G$173,$C$36:$C$173,"=6", $B$36:$B$173,"OFICIAL")</f>
        <v>0.38750000000000001</v>
      </c>
      <c r="H263" s="39">
        <f>AVERAGEIFS($H$36:$H$173,$C$36:$C$173,"=6", $B$36:$B$173,"OFICIAL")</f>
        <v>0.5575</v>
      </c>
      <c r="I263" s="39">
        <f>AVERAGEIFS($I$36:$I$173,$C$36:$C$173,"=6", $B$36:$B$173,"OFICIAL")</f>
        <v>4.4999999999999998E-2</v>
      </c>
      <c r="J263" s="39">
        <f>AVERAGEIFS($F$36:$F$173,$C$36:$C$173,"=6", $B$36:$B$173,"NO OFICIAL")</f>
        <v>6.3636363636363638E-3</v>
      </c>
      <c r="K263" s="39">
        <f>AVERAGEIFS($G$36:$G$173,$C$36:$C$173,"=6", $B$36:$B$173,"NO OFICIAL")</f>
        <v>0.37090909090909091</v>
      </c>
      <c r="L263" s="39">
        <f>AVERAGEIFS($H$36:$H$173,$C$36:$C$173,"=6", $B$36:$B$173,"NO OFICIAL")</f>
        <v>0.56090909090909091</v>
      </c>
      <c r="M263" s="39">
        <f>AVERAGEIFS($I$36:$I$173,$C$36:$C$173,"=6", $B$36:$B$173,"NO OFICIAL")</f>
        <v>6.2727272727272729E-2</v>
      </c>
      <c r="N263" s="39">
        <f>AVERAGEIFS($O$36:$O$173,$C$36:$C$173,"=6", $B$36:$B$173,"OFICIAL")</f>
        <v>1.4999999999999999E-2</v>
      </c>
      <c r="O263" s="39">
        <f>AVERAGEIFS($P$36:$P$173,$C$36:$C$173,"=6", $B$36:$B$173,"OFICIAL")</f>
        <v>0.38500000000000001</v>
      </c>
      <c r="P263" s="39">
        <f>AVERAGEIFS($Q$36:$Q$173,$C$36:$C$173,"=6", $B$36:$B$173,"OFICIAL")</f>
        <v>0.54500000000000004</v>
      </c>
      <c r="Q263" s="39">
        <f>AVERAGEIFS($R$36:$R$173,$C$36:$C$173,"=6", $B$36:$B$173,"OFICIAL")</f>
        <v>5.5000000000000007E-2</v>
      </c>
      <c r="R263" s="39">
        <f>AVERAGEIFS($O$36:$O$173,$C$36:$C$173,"=6", $B$36:$B$173,"NO OFICIAL")</f>
        <v>3.2727272727272723E-2</v>
      </c>
      <c r="S263" s="39">
        <f>AVERAGEIFS($P$36:$P$173,$C$36:$C$173,"=6", $B$36:$B$173,"NO OFICIAL")</f>
        <v>0.29545454545454553</v>
      </c>
      <c r="T263" s="39">
        <f>AVERAGEIFS($Q$36:$Q$173,$C$36:$C$173,"=6", $B$36:$B$173,"NO OFICIAL")</f>
        <v>0.58636363636363642</v>
      </c>
      <c r="U263" s="39">
        <f>AVERAGEIFS($R$36:$R$173,$C$36:$C$173,"=6", $B$36:$B$173,"NO OFICIAL")</f>
        <v>8.6363636363636365E-2</v>
      </c>
      <c r="V263" s="39">
        <f>AVERAGEIFS($X$36:$X$173,$C$36:$C$173,"=6", $B$36:$B$173,"OFICIAL")</f>
        <v>2.2499999999999996E-2</v>
      </c>
      <c r="W263" s="39">
        <f>AVERAGEIFS($Y$36:$Y$173,$C$36:$C$173,"=6", $B$36:$B$173,"OFICIAL")</f>
        <v>0.39500000000000002</v>
      </c>
      <c r="X263" s="39">
        <f>AVERAGEIFS($Z$36:$Z$173,$C$36:$C$173,"=6", $B$36:$B$173,"OFICIAL")</f>
        <v>0.505</v>
      </c>
      <c r="Y263" s="39">
        <f>AVERAGEIFS($AA$36:$AA$173,$C$36:$C$173,"=6", $B$36:$B$173,"OFICIAL")</f>
        <v>0.08</v>
      </c>
      <c r="Z263" s="39">
        <f>AVERAGEIFS($X$36:$X$173,$C$36:$C$173,"=6", $B$36:$B$173,"NO OFICIAL")</f>
        <v>5.0000000000000001E-3</v>
      </c>
      <c r="AA263" s="39">
        <f>AVERAGEIFS($Y$36:$Y$173,$C$36:$C$173,"=6", $B$36:$B$173,"NO OFICIAL")</f>
        <v>0.36199999999999999</v>
      </c>
      <c r="AB263" s="39">
        <f>AVERAGEIFS($Z$36:$Z$173,$C$36:$C$173,"=6", $B$36:$B$173,"NO OFICIAL")</f>
        <v>0.52099999999999991</v>
      </c>
      <c r="AC263" s="39">
        <f>AVERAGEIFS($AA$36:$AA$173,$C$36:$C$173,"=6", $B$36:$B$173,"NO OFICIAL")</f>
        <v>0.11599999999999999</v>
      </c>
      <c r="AD263" s="39">
        <f>AVERAGEIFS($AG$36:$AG$173,$C$36:$C$173,"=6", $B$36:$B$173,"OFICIAL")</f>
        <v>0.02</v>
      </c>
      <c r="AE263" s="39">
        <f>AVERAGEIFS($AH$36:$AH$173,$C$36:$C$173,"=6", $B$36:$B$173,"OFICIAL")</f>
        <v>0.36</v>
      </c>
      <c r="AF263" s="39">
        <f>AVERAGEIFS($AI$36:$AI$173,$C$36:$C$173,"=6", $B$36:$B$173,"OFICIAL")</f>
        <v>0.56000000000000005</v>
      </c>
      <c r="AG263" s="39">
        <f>AVERAGEIFS($AJ$36:$AJ$173,$C$36:$C$173,"=6", $B$36:$B$173,"OFICIAL")</f>
        <v>6.25E-2</v>
      </c>
      <c r="AH263" s="39">
        <f>AVERAGEIFS($AG$36:$AG$173,$C$36:$C$173,"=6", $B$36:$B$173,"NO OFICIAL")</f>
        <v>8.1818181818181807E-3</v>
      </c>
      <c r="AI263" s="39">
        <f>AVERAGEIFS($AH$36:$AH$173,$C$36:$C$173,"=6", $B$36:$B$173,"NO OFICIAL")</f>
        <v>0.31181818181818177</v>
      </c>
      <c r="AJ263" s="39">
        <f>AVERAGEIFS($AI$36:$AI$173,$C$36:$C$173,"=6", $B$36:$B$173,"NO OFICIAL")</f>
        <v>0.5536363636363637</v>
      </c>
      <c r="AK263" s="39">
        <f>AVERAGEIFS($AJ$36:$AJ$173,$C$36:$C$173,"=6", $B$36:$B$173,"NO OFICIAL")</f>
        <v>0.12636363636363637</v>
      </c>
      <c r="AL263" s="39">
        <f>AVERAGEIFS($AP$36:$AP$173,$C$36:$C$173,"=6", $B$36:$B$173,"OFICIAL")</f>
        <v>2.2499999999999999E-2</v>
      </c>
      <c r="AM263" s="39">
        <f>AVERAGEIFS($AQ$36:$AQ$173,$C$36:$C$173,"=6", $B$36:$B$173,"OFICIAL")</f>
        <v>0.35500000000000004</v>
      </c>
      <c r="AN263" s="39">
        <f>AVERAGEIFS($AR$36:$AR$173,$C$36:$C$173,"=6", $B$36:$B$173,"OFICIAL")</f>
        <v>0.54999999999999993</v>
      </c>
      <c r="AO263" s="39">
        <f>AVERAGEIFS($AS$36:$AS$173,$C$36:$C$173,"=6", $B$36:$B$173,"OFICIAL")</f>
        <v>7.5000000000000011E-2</v>
      </c>
      <c r="AP263" s="39">
        <f>AVERAGEIFS($AP$36:$AP$173,$C$36:$C$173,"=6", $B$36:$B$173,"NO OFICIAL")</f>
        <v>4.4615384615384619E-2</v>
      </c>
      <c r="AQ263" s="39">
        <f>AVERAGEIFS($AQ$36:$AQ$173,$C$36:$C$173,"=6", $B$36:$B$173,"NO OFICIAL")</f>
        <v>0.33769230769230774</v>
      </c>
      <c r="AR263" s="39">
        <f>AVERAGEIFS($AR$36:$AR$173,$C$36:$C$173,"=6", $B$36:$B$173,"NO OFICIAL")</f>
        <v>0.54923076923076919</v>
      </c>
      <c r="AS263" s="39">
        <f>AVERAGEIFS($AS$36:$AS$173,$C$36:$C$173,"=6", $B$36:$B$173,"NO OFICIAL")</f>
        <v>6.7692307692307691E-2</v>
      </c>
      <c r="AT263" s="39">
        <f>AVERAGEIFS($BA$36:$BA$173,$C$36:$C$173,"=6", $B$36:$B$173,"OFICIAL")</f>
        <v>3.2500000000000001E-2</v>
      </c>
      <c r="AU263" s="39">
        <f>AVERAGEIFS($BB$36:$BB$173,$C$36:$C$173,"=6", $B$36:$B$173,"OFICIAL")</f>
        <v>0.38500000000000001</v>
      </c>
      <c r="AV263" s="39">
        <f>AVERAGEIFS($BC$36:$BC$173,$C$36:$C$173,"=6", $B$36:$B$173,"OFICIAL")</f>
        <v>0.51249999999999996</v>
      </c>
      <c r="AW263" s="39">
        <f>AVERAGEIFS($BD$36:$BD$173,$C$36:$C$173,"=6", $B$36:$B$173,"OFICIAL")</f>
        <v>7.7499999999999999E-2</v>
      </c>
      <c r="AX263" s="39">
        <f>AVERAGEIFS($BA$36:$BA$173,$C$36:$C$173,"=6", $B$36:$B$173,"NO OFICIAL")</f>
        <v>1.0769230769230771E-2</v>
      </c>
      <c r="AY263" s="39">
        <f>AVERAGEIFS($BB$36:$BB$173,$C$36:$C$173,"=6", $B$36:$B$173,"NO OFICIAL")</f>
        <v>0.36692307692307696</v>
      </c>
      <c r="AZ263" s="39">
        <f>AVERAGEIFS($BC$36:$BC$173,$C$36:$C$173,"=6", $B$36:$B$173,"NO OFICIAL")</f>
        <v>0.49846153846153857</v>
      </c>
      <c r="BA263" s="39">
        <f>AVERAGEIFS($BD$36:$BD$173,$C$36:$C$173,"=6", $B$36:$B$173,"NO OFICIAL")</f>
        <v>0.1246153846153846</v>
      </c>
      <c r="BB263" s="39">
        <v>2.3333333333333334E-2</v>
      </c>
      <c r="BC263" s="39">
        <v>0.35666666666666663</v>
      </c>
      <c r="BD263" s="39">
        <v>0.54</v>
      </c>
      <c r="BE263" s="39">
        <v>7.3333333333333334E-2</v>
      </c>
      <c r="BF263" s="39">
        <v>2.4375000000000001E-2</v>
      </c>
      <c r="BG263" s="39">
        <v>0.30187500000000006</v>
      </c>
      <c r="BH263" s="39">
        <v>0.56062500000000004</v>
      </c>
      <c r="BI263" s="39">
        <v>0.113125</v>
      </c>
      <c r="BJ263" s="39">
        <v>2.3333333333333334E-2</v>
      </c>
      <c r="BK263" s="39">
        <v>0.38999999999999996</v>
      </c>
      <c r="BL263" s="39">
        <v>0.53333333333333333</v>
      </c>
      <c r="BM263" s="39">
        <v>4.9999999999999996E-2</v>
      </c>
      <c r="BN263" s="39">
        <v>7.0588235294117641E-3</v>
      </c>
      <c r="BO263" s="39">
        <v>0.24529411764705888</v>
      </c>
      <c r="BP263" s="39">
        <v>0.57823529411764707</v>
      </c>
      <c r="BQ263" s="39">
        <v>0.16941176470588237</v>
      </c>
      <c r="BR263" s="39">
        <v>1.7499999999999998E-2</v>
      </c>
      <c r="BS263" s="39">
        <v>0.3125</v>
      </c>
      <c r="BT263" s="39">
        <v>0.57500000000000007</v>
      </c>
      <c r="BU263" s="39">
        <v>0.09</v>
      </c>
      <c r="BV263" s="39">
        <v>2.9285714285714286E-2</v>
      </c>
      <c r="BW263" s="39">
        <v>0.20857142857142855</v>
      </c>
      <c r="BX263" s="39">
        <v>0.60571428571428576</v>
      </c>
      <c r="BY263" s="39">
        <v>0.15857142857142859</v>
      </c>
    </row>
    <row r="265" spans="5:77" x14ac:dyDescent="0.2">
      <c r="F265" s="1193">
        <v>2016</v>
      </c>
      <c r="G265" s="1193"/>
      <c r="H265" s="1193"/>
      <c r="I265" s="1193">
        <v>2017</v>
      </c>
      <c r="J265" s="1193">
        <v>2017</v>
      </c>
      <c r="K265" s="1193"/>
      <c r="L265" s="1193">
        <v>2018</v>
      </c>
      <c r="M265" s="1193"/>
      <c r="N265" s="1193">
        <v>2018</v>
      </c>
      <c r="O265" s="1193">
        <v>2019</v>
      </c>
      <c r="P265" s="1193"/>
      <c r="Q265" s="1193"/>
      <c r="R265" s="1193">
        <v>2020</v>
      </c>
      <c r="S265" s="1193"/>
      <c r="T265" s="1193"/>
      <c r="U265" s="1193">
        <v>2021</v>
      </c>
      <c r="V265" s="1193">
        <v>2020</v>
      </c>
      <c r="W265" s="1193"/>
      <c r="X265" s="1193">
        <v>2022</v>
      </c>
      <c r="Y265" s="1193">
        <v>2020</v>
      </c>
      <c r="Z265" s="1193"/>
      <c r="AA265" s="1193">
        <v>2023</v>
      </c>
      <c r="AB265" s="1193">
        <v>2020</v>
      </c>
      <c r="AC265" s="1193"/>
      <c r="AD265" s="1193">
        <v>2024</v>
      </c>
      <c r="AE265" s="1193">
        <v>2020</v>
      </c>
      <c r="AF265" s="1193"/>
    </row>
    <row r="266" spans="5:77" x14ac:dyDescent="0.2">
      <c r="F266" s="201" t="s">
        <v>788</v>
      </c>
      <c r="G266" s="201" t="s">
        <v>789</v>
      </c>
      <c r="H266" s="201" t="s">
        <v>790</v>
      </c>
      <c r="I266" s="201" t="s">
        <v>788</v>
      </c>
      <c r="J266" s="201" t="s">
        <v>789</v>
      </c>
      <c r="K266" s="201" t="s">
        <v>790</v>
      </c>
      <c r="L266" s="201" t="s">
        <v>788</v>
      </c>
      <c r="M266" s="201" t="s">
        <v>789</v>
      </c>
      <c r="N266" s="201" t="s">
        <v>790</v>
      </c>
      <c r="O266" s="201" t="s">
        <v>788</v>
      </c>
      <c r="P266" s="201" t="s">
        <v>789</v>
      </c>
      <c r="Q266" s="201" t="s">
        <v>790</v>
      </c>
      <c r="R266" s="201" t="s">
        <v>788</v>
      </c>
      <c r="S266" s="201" t="s">
        <v>789</v>
      </c>
      <c r="T266" s="201" t="s">
        <v>790</v>
      </c>
      <c r="U266" s="201" t="s">
        <v>788</v>
      </c>
      <c r="V266" s="201" t="s">
        <v>789</v>
      </c>
      <c r="W266" s="498" t="s">
        <v>790</v>
      </c>
      <c r="X266" s="201" t="s">
        <v>788</v>
      </c>
      <c r="Y266" s="201" t="s">
        <v>789</v>
      </c>
      <c r="Z266" s="498" t="s">
        <v>790</v>
      </c>
      <c r="AA266" s="201" t="s">
        <v>788</v>
      </c>
      <c r="AB266" s="201" t="s">
        <v>789</v>
      </c>
      <c r="AC266" s="498" t="s">
        <v>790</v>
      </c>
      <c r="AD266" s="201" t="s">
        <v>788</v>
      </c>
      <c r="AE266" s="201" t="s">
        <v>789</v>
      </c>
      <c r="AF266" s="201" t="s">
        <v>790</v>
      </c>
    </row>
    <row r="267" spans="5:77" x14ac:dyDescent="0.2">
      <c r="E267" s="27" t="s">
        <v>140</v>
      </c>
      <c r="F267" s="39">
        <f>AVERAGEIF($C$36:$C$173,"=1",$K$36:$K$173)</f>
        <v>0.48176470588235293</v>
      </c>
      <c r="G267" s="39">
        <f>AVERAGEIF($C$36:$C$173,"=1",$J$36:$J$173)</f>
        <v>0.43470588235294116</v>
      </c>
      <c r="H267" s="39">
        <f>AVERAGEIF($C$36:$C$173,"=1",$L$36:$L$173)</f>
        <v>0.55941176470588239</v>
      </c>
      <c r="I267" s="39">
        <f>AVERAGEIF($C$36:$C$173,"=1",$T$36:$T$173)</f>
        <v>0.48000000000000004</v>
      </c>
      <c r="J267" s="39">
        <f>AVERAGEIF($C$36:$C$173,"=1",$S$36:$S$173)</f>
        <v>0.44624999999999992</v>
      </c>
      <c r="K267" s="39">
        <f>AVERAGEIF($C$36:$C$173,"=1",$U$36:$U$173)</f>
        <v>0.46562499999999996</v>
      </c>
      <c r="L267" s="39">
        <f>AVERAGEIF($C$36:$C$173,"=1",$AB$36:$AB$173)</f>
        <v>0.44058823529411767</v>
      </c>
      <c r="M267" s="39">
        <f>AVERAGEIF($C$36:$C$173,"=1",$AC$36:$AC$173)</f>
        <v>0.47352941176470592</v>
      </c>
      <c r="N267" s="39">
        <f>AVERAGEIF($C$36:$C$173,"=1",$AD$36:$AD$173)</f>
        <v>0.49941176470588228</v>
      </c>
      <c r="O267" s="39">
        <f>AVERAGEIF($C$36:$C$173,"=1",$AK$36:$AK$173)</f>
        <v>0.4205882352941176</v>
      </c>
      <c r="P267" s="39">
        <f>AVERAGEIF($C$36:$C$173,"=1",$AL$36:$AL$173)</f>
        <v>0.36588235294117644</v>
      </c>
      <c r="Q267" s="39">
        <f>AVERAGEIF($C$36:$C$173,"=1",$AM$36:$AM$173)</f>
        <v>0.42529411764705882</v>
      </c>
      <c r="R267" s="39">
        <f>AVERAGEIF($C$36:$C$173,"=1",$AT$36:$AT$173)</f>
        <v>0.46411764705882358</v>
      </c>
      <c r="S267" s="39">
        <f>AVERAGEIF($C$36:$C$173,"=1",$AV$36:$AV$173)</f>
        <v>0.43588235294117661</v>
      </c>
      <c r="T267" s="39">
        <f>AVERAGEIF($C$36:$C$173,"=1",$AU$36:$AU$173)</f>
        <v>0.3605882352941176</v>
      </c>
      <c r="U267" s="39">
        <f>AVERAGEIF($C$36:$C$173,"=1",$BE$36:$BE$173)</f>
        <v>0.43176470588235294</v>
      </c>
      <c r="V267" s="39">
        <f>AVERAGEIF($C$36:$C$173,"=1",$BF$36:$BF$173)</f>
        <v>0.32117647058823529</v>
      </c>
      <c r="W267" s="497">
        <f>AVERAGEIF($C$36:$C$173,"=1",$BG$36:$BG$173)</f>
        <v>0.53647058823529414</v>
      </c>
      <c r="X267" s="496">
        <v>0.45944444444444443</v>
      </c>
      <c r="Y267" s="39">
        <v>0.33666666666666673</v>
      </c>
      <c r="Z267" s="497">
        <v>0.44500000000000001</v>
      </c>
      <c r="AA267" s="496">
        <v>0.35470588235294126</v>
      </c>
      <c r="AB267" s="39">
        <v>0.46470588235294108</v>
      </c>
      <c r="AC267" s="497">
        <v>0.48941176470588227</v>
      </c>
      <c r="AD267" s="496">
        <v>0.4375</v>
      </c>
      <c r="AE267" s="39">
        <v>0.44062500000000004</v>
      </c>
      <c r="AF267" s="39">
        <v>0.32937500000000003</v>
      </c>
    </row>
    <row r="268" spans="5:77" x14ac:dyDescent="0.2">
      <c r="E268" s="27" t="s">
        <v>141</v>
      </c>
      <c r="F268" s="39">
        <f>AVERAGEIF($C$36:$C$173,"=2",$K$36:$K$173)</f>
        <v>0.45600000000000013</v>
      </c>
      <c r="G268" s="39">
        <f>AVERAGEIF($C$36:$C$173,"=2",$J$36:$J$173)</f>
        <v>0.41249999999999992</v>
      </c>
      <c r="H268" s="39">
        <f>AVERAGEIF($C$36:$C$173,"=2",$L$36:$L$173)</f>
        <v>0.51300000000000001</v>
      </c>
      <c r="I268" s="39">
        <f>AVERAGEIF($C$36:$C$173,"=2",$T$36:$T$173)</f>
        <v>0.44789473684210523</v>
      </c>
      <c r="J268" s="39">
        <f>AVERAGEIF($C$36:$C$173,"=2",$S$36:$S$173)</f>
        <v>0.40842105263157902</v>
      </c>
      <c r="K268" s="39">
        <f>AVERAGEIF($C$36:$C$173,"=2",$U$36:$U$173)</f>
        <v>0.44263157894736832</v>
      </c>
      <c r="L268" s="39">
        <f>AVERAGEIF($C$36:$C$173,"=2",$AB$36:$AB$173)</f>
        <v>0.41526315789473683</v>
      </c>
      <c r="M268" s="39">
        <f>AVERAGEIF($C$36:$C$173,"=2",$AC$36:$AC$173)</f>
        <v>0.46631578947368429</v>
      </c>
      <c r="N268" s="39">
        <f>AVERAGEIF($C$36:$C$173,"=2",$AD$36:$AD$173)</f>
        <v>0.48052631578947363</v>
      </c>
      <c r="O268" s="39">
        <f>AVERAGEIF($C$36:$C$173,"=2",$AK$36:$AK$173)</f>
        <v>0.39000000000000007</v>
      </c>
      <c r="P268" s="39">
        <f>AVERAGEIF($C$36:$C$173,"=2",$AL$36:$AL$173)</f>
        <v>0.33999999999999997</v>
      </c>
      <c r="Q268" s="39">
        <f>AVERAGEIF($C$36:$C$173,"=2",$AM$36:$AM$173)</f>
        <v>0.39500000000000007</v>
      </c>
      <c r="R268" s="39">
        <f>AVERAGEIF($C$36:$C$173,"=2",$AT$36:$AT$173)</f>
        <v>0.43458333333333332</v>
      </c>
      <c r="S268" s="39">
        <f>AVERAGEIF($C$36:$C$173,"=2",$AV$36:$AV$173)</f>
        <v>0.41708333333333331</v>
      </c>
      <c r="T268" s="39">
        <f>AVERAGEIF($C$36:$C$173,"=2",$AU$36:$AU$173)</f>
        <v>0.36166666666666664</v>
      </c>
      <c r="U268" s="39">
        <f>AVERAGEIF($C$36:$C$173,"=2",$BE$36:$BE$173)</f>
        <v>0.43545454545454554</v>
      </c>
      <c r="V268" s="39">
        <f>AVERAGEIF($C$36:$C$173,"=2",$BF$36:$BF$173)</f>
        <v>0.33636363636363636</v>
      </c>
      <c r="W268" s="497">
        <f>AVERAGEIF($C$36:$C$173,"=2",$BG$36:$BG$173)</f>
        <v>0.52727272727272745</v>
      </c>
      <c r="X268" s="496">
        <v>0.43520000000000003</v>
      </c>
      <c r="Y268" s="39">
        <v>0.31199999999999994</v>
      </c>
      <c r="Z268" s="497">
        <v>0.39760000000000006</v>
      </c>
      <c r="AA268" s="496">
        <v>0.341923076923077</v>
      </c>
      <c r="AB268" s="39">
        <v>0.44423076923076926</v>
      </c>
      <c r="AC268" s="497">
        <v>0.45000000000000007</v>
      </c>
      <c r="AD268" s="496">
        <v>0.39</v>
      </c>
      <c r="AE268" s="39">
        <v>0.40086956521739142</v>
      </c>
      <c r="AF268" s="39">
        <v>0.29043478260869565</v>
      </c>
      <c r="BR268" s="85"/>
      <c r="BS268" s="85"/>
      <c r="BT268" s="85"/>
      <c r="BU268" s="85"/>
    </row>
    <row r="269" spans="5:77" x14ac:dyDescent="0.2">
      <c r="E269" s="27" t="s">
        <v>142</v>
      </c>
      <c r="F269" s="39">
        <f>AVERAGEIF($C$36:$C$173,"=3",$K$36:$K$173)</f>
        <v>0.4694444444444445</v>
      </c>
      <c r="G269" s="39">
        <f>AVERAGEIF($C$36:$C$173,"=3",$J$36:$J$173)</f>
        <v>0.40444444444444438</v>
      </c>
      <c r="H269" s="39">
        <f>AVERAGEIF($C$36:$C$173,"=3",$L$36:$L$173)</f>
        <v>0.51888888888888884</v>
      </c>
      <c r="I269" s="39">
        <f>AVERAGEIF($C$36:$C$173,"=3",$T$36:$T$173)</f>
        <v>0.45789473684210524</v>
      </c>
      <c r="J269" s="39">
        <f>AVERAGEIF($C$36:$C$173,"=3",$S$36:$S$173)</f>
        <v>0.42000000000000004</v>
      </c>
      <c r="K269" s="39">
        <f>AVERAGEIF($C$36:$C$173,"=3",$U$36:$U$173)</f>
        <v>0.44631578947368422</v>
      </c>
      <c r="L269" s="39">
        <f>AVERAGEIF($C$36:$C$173,"=3",$AB$36:$AB$173)</f>
        <v>0.40473684210526323</v>
      </c>
      <c r="M269" s="39">
        <f>AVERAGEIF($C$36:$C$173,"=3",$AC$36:$AC$173)</f>
        <v>0.45631578947368423</v>
      </c>
      <c r="N269" s="39">
        <f>AVERAGEIF($C$36:$C$173,"=3",$AD$36:$AD$173)</f>
        <v>0.47842105263157886</v>
      </c>
      <c r="O269" s="39">
        <f>AVERAGEIF($C$36:$C$173,"=3",$AK$36:$AK$173)</f>
        <v>0.40052631578947373</v>
      </c>
      <c r="P269" s="39">
        <f>AVERAGEIF($C$36:$C$173,"=3",$AL$36:$AL$173)</f>
        <v>0.34894736842105267</v>
      </c>
      <c r="Q269" s="39">
        <f>AVERAGEIF($C$36:$C$173,"=3",$AM$36:$AM$173)</f>
        <v>0.39368421052631569</v>
      </c>
      <c r="R269" s="39">
        <f>AVERAGEIF($C$36:$C$173,"=3",$AT$36:$AT$173)</f>
        <v>0.44800000000000006</v>
      </c>
      <c r="S269" s="39">
        <f>AVERAGEIF($C$36:$C$173,"=3",$AV$36:$AV$173)</f>
        <v>0.40499999999999997</v>
      </c>
      <c r="T269" s="39">
        <f>AVERAGEIF($C$36:$C$173,"=3",$AU$36:$AU$173)</f>
        <v>0.34550000000000003</v>
      </c>
      <c r="U269" s="39">
        <f>AVERAGEIF($C$36:$C$173,"=3",$BE$36:$BE$173)</f>
        <v>0.41200000000000003</v>
      </c>
      <c r="V269" s="39">
        <f>AVERAGEIF($C$36:$C$173,"=3",$BF$36:$BF$173)</f>
        <v>0.32050000000000001</v>
      </c>
      <c r="W269" s="497">
        <f>AVERAGEIF($C$36:$C$173,"=3",$BG$36:$BG$173)</f>
        <v>0.51100000000000012</v>
      </c>
      <c r="X269" s="496">
        <v>0.43545454545454548</v>
      </c>
      <c r="Y269" s="39">
        <v>0.31909090909090909</v>
      </c>
      <c r="Z269" s="497">
        <v>0.40045454545454545</v>
      </c>
      <c r="AA269" s="496">
        <v>0.34136363636363637</v>
      </c>
      <c r="AB269" s="39">
        <v>0.44136363636363635</v>
      </c>
      <c r="AC269" s="497">
        <v>0.4540909090909091</v>
      </c>
      <c r="AD269" s="496">
        <v>0.4186363636363637</v>
      </c>
      <c r="AE269" s="39">
        <v>0.4095454545454546</v>
      </c>
      <c r="AF269" s="39">
        <v>0.30909090909090908</v>
      </c>
      <c r="BR269" s="85"/>
      <c r="BS269" s="85"/>
      <c r="BT269" s="85"/>
      <c r="BU269" s="85"/>
    </row>
    <row r="270" spans="5:77" x14ac:dyDescent="0.2">
      <c r="E270" s="27" t="s">
        <v>143</v>
      </c>
      <c r="F270" s="39">
        <f>AVERAGEIF($C$36:$C$173,"=4",$K$36:$K$173)</f>
        <v>0.52357142857142858</v>
      </c>
      <c r="G270" s="39">
        <f>AVERAGEIF($C$36:$C$173,"=4",$J$36:$J$173)</f>
        <v>0.47857142857142859</v>
      </c>
      <c r="H270" s="39">
        <f>AVERAGEIF($C$36:$C$173,"=4",$L$36:$L$173)</f>
        <v>0.59214285714285708</v>
      </c>
      <c r="I270" s="39">
        <f>AVERAGEIF($C$36:$C$173,"=4",$T$36:$T$173)</f>
        <v>0.47500000000000003</v>
      </c>
      <c r="J270" s="39">
        <f>AVERAGEIF($C$36:$C$173,"=4",$S$36:$S$173)</f>
        <v>0.43571428571428567</v>
      </c>
      <c r="K270" s="39">
        <f>AVERAGEIF($C$36:$C$173,"=4",$U$36:$U$173)</f>
        <v>0.49071428571428577</v>
      </c>
      <c r="L270" s="39">
        <f>AVERAGEIF($C$36:$C$173,"=4",$AB$36:$AB$173)</f>
        <v>0.44333333333333325</v>
      </c>
      <c r="M270" s="39">
        <f>AVERAGEIF($C$36:$C$173,"=4",$AC$36:$AC$173)</f>
        <v>0.4966666666666667</v>
      </c>
      <c r="N270" s="39">
        <f>AVERAGEIF($C$36:$C$173,"=4",$AD$36:$AD$173)</f>
        <v>0.51733333333333342</v>
      </c>
      <c r="O270" s="39">
        <f>AVERAGEIF($C$36:$C$173,"=4",$AK$36:$AK$173)</f>
        <v>0.43785714285714289</v>
      </c>
      <c r="P270" s="39">
        <f>AVERAGEIF($C$36:$C$173,"=4",$AL$36:$AL$173)</f>
        <v>0.39857142857142858</v>
      </c>
      <c r="Q270" s="39">
        <f>AVERAGEIF($C$36:$C$173,"=4",$AM$36:$AM$173)</f>
        <v>0.43857142857142856</v>
      </c>
      <c r="R270" s="39">
        <f>AVERAGEIF($C$36:$C$173,"=4",$AT$36:$AT$173)</f>
        <v>0.50692307692307703</v>
      </c>
      <c r="S270" s="39">
        <f>AVERAGEIF($C$36:$C$173,"=4",$AV$36:$AV$173)</f>
        <v>0.46153846153846145</v>
      </c>
      <c r="T270" s="39">
        <f>AVERAGEIF($C$36:$C$173,"=4",$AU$36:$AU$173)</f>
        <v>0.41923076923076918</v>
      </c>
      <c r="U270" s="39">
        <f>AVERAGEIF($C$36:$C$173,"=4",$BE$36:$BE$173)</f>
        <v>0.46142857142857147</v>
      </c>
      <c r="V270" s="39">
        <f>AVERAGEIF($C$36:$C$173,"=4",$BF$36:$BF$173)</f>
        <v>0.38214285714285717</v>
      </c>
      <c r="W270" s="497">
        <f>AVERAGEIF($C$36:$C$173,"=4",$BG$36:$BG$173)</f>
        <v>0.56857142857142873</v>
      </c>
      <c r="X270" s="496">
        <v>0.47857142857142859</v>
      </c>
      <c r="Y270" s="39">
        <v>0.35500000000000004</v>
      </c>
      <c r="Z270" s="497">
        <v>0.47500000000000009</v>
      </c>
      <c r="AA270" s="496">
        <v>0.41399999999999992</v>
      </c>
      <c r="AB270" s="39">
        <v>0.51533333333333331</v>
      </c>
      <c r="AC270" s="497">
        <v>0.54599999999999993</v>
      </c>
      <c r="AD270" s="496">
        <v>0.45999999999999996</v>
      </c>
      <c r="AE270" s="39">
        <v>0.46230769230769236</v>
      </c>
      <c r="AF270" s="39">
        <v>0.37692307692307697</v>
      </c>
      <c r="BR270" s="85"/>
      <c r="BS270" s="85"/>
      <c r="BT270" s="85"/>
      <c r="BU270" s="85"/>
    </row>
    <row r="271" spans="5:77" x14ac:dyDescent="0.2">
      <c r="E271" s="27" t="s">
        <v>144</v>
      </c>
      <c r="F271" s="39">
        <f>AVERAGEIF($C$36:$C$173,"=5",$K$36:$K$173)</f>
        <v>0.43588235294117644</v>
      </c>
      <c r="G271" s="39">
        <f>AVERAGEIF($C$36:$C$173,"=5",$J$36:$J$173)</f>
        <v>0.40941176470588236</v>
      </c>
      <c r="H271" s="39">
        <f>AVERAGEIF($C$36:$C$173,"=5",$L$36:$L$173)</f>
        <v>0.53117647058823536</v>
      </c>
      <c r="I271" s="39">
        <f>AVERAGEIF($C$36:$C$173,"=5",$T$36:$T$173)</f>
        <v>0.43111111111111111</v>
      </c>
      <c r="J271" s="39">
        <f>AVERAGEIF($C$36:$C$173,"=5",$S$36:$S$173)</f>
        <v>0.37388888888888883</v>
      </c>
      <c r="K271" s="39">
        <f>AVERAGEIF($C$36:$C$173,"=5",$U$36:$U$173)</f>
        <v>0.435</v>
      </c>
      <c r="L271" s="39">
        <f>AVERAGEIF($C$36:$C$173,"=5",$AB$36:$AB$173)</f>
        <v>0.39500000000000002</v>
      </c>
      <c r="M271" s="39">
        <f>AVERAGEIF($C$36:$C$173,"=5",$AC$36:$AC$173)</f>
        <v>0.4538888888888889</v>
      </c>
      <c r="N271" s="39">
        <f>AVERAGEIF($C$36:$C$173,"=5",$AD$36:$AD$173)</f>
        <v>0.46444444444444444</v>
      </c>
      <c r="O271" s="39">
        <f>AVERAGEIF($C$36:$C$173,"=5",$AK$36:$AK$173)</f>
        <v>0.37526315789473674</v>
      </c>
      <c r="P271" s="39">
        <f>AVERAGEIF($C$36:$C$173,"=5",$AL$36:$AL$173)</f>
        <v>0.32526315789473681</v>
      </c>
      <c r="Q271" s="39">
        <f>AVERAGEIF($C$36:$C$173,"=5",$AM$36:$AM$173)</f>
        <v>0.37894736842105264</v>
      </c>
      <c r="R271" s="39">
        <f>AVERAGEIF($C$36:$C$173,"=5",$AT$36:$AT$173)</f>
        <v>0.42777777777777781</v>
      </c>
      <c r="S271" s="39">
        <f>AVERAGEIF($C$36:$C$173,"=5",$AV$36:$AV$173)</f>
        <v>0.39166666666666672</v>
      </c>
      <c r="T271" s="39">
        <f>AVERAGEIF($C$36:$C$173,"=5",$AU$36:$AU$173)</f>
        <v>0.30444444444444441</v>
      </c>
      <c r="U271" s="39">
        <f>AVERAGEIF($C$36:$C$173,"=5",$BE$36:$BE$173)</f>
        <v>0.39111111111111119</v>
      </c>
      <c r="V271" s="39">
        <f>AVERAGEIF($C$36:$C$173,"=5",$BF$36:$BF$173)</f>
        <v>0.30111111111111105</v>
      </c>
      <c r="W271" s="497">
        <f>AVERAGEIF($C$36:$C$173,"=5",$BG$36:$BG$173)</f>
        <v>0.48444444444444446</v>
      </c>
      <c r="X271" s="496">
        <v>0.41235294117647059</v>
      </c>
      <c r="Y271" s="39">
        <v>0.28176470588235292</v>
      </c>
      <c r="Z271" s="497">
        <v>0.37823529411764706</v>
      </c>
      <c r="AA271" s="496">
        <v>0.30941176470588239</v>
      </c>
      <c r="AB271" s="39">
        <v>0.4129411764705882</v>
      </c>
      <c r="AC271" s="497">
        <v>0.4205882352941176</v>
      </c>
      <c r="AD271" s="496">
        <v>0.39411764705882352</v>
      </c>
      <c r="AE271" s="39">
        <v>0.39588235294117657</v>
      </c>
      <c r="AF271" s="39">
        <v>0.27294117647058824</v>
      </c>
      <c r="BR271" s="85"/>
      <c r="BS271" s="85"/>
      <c r="BT271" s="85"/>
      <c r="BU271" s="85"/>
    </row>
    <row r="272" spans="5:77" x14ac:dyDescent="0.2">
      <c r="E272" s="27" t="s">
        <v>145</v>
      </c>
      <c r="F272" s="39">
        <f>AVERAGEIF($C$36:$C$173,"=6",$K$36:$K$173)</f>
        <v>0.47866666666666668</v>
      </c>
      <c r="G272" s="39">
        <f>AVERAGEIF($C$36:$C$173,"=6",$J$36:$J$173)</f>
        <v>0.4273333333333334</v>
      </c>
      <c r="H272" s="39">
        <f>AVERAGEIF($C$36:$C$173,"=6",$L$36:$L$173)</f>
        <v>0.53599999999999992</v>
      </c>
      <c r="I272" s="39">
        <f>AVERAGEIF($C$36:$C$173,"=6",$T$36:$T$173)</f>
        <v>0.47800000000000004</v>
      </c>
      <c r="J272" s="39">
        <f>AVERAGEIF($C$36:$C$173,"=6",$S$36:$S$173)</f>
        <v>0.44200000000000006</v>
      </c>
      <c r="K272" s="39">
        <f>AVERAGEIF($C$36:$C$173,"=6",$U$36:$U$173)</f>
        <v>0.47666666666666668</v>
      </c>
      <c r="L272" s="39">
        <f>AVERAGEIF($C$36:$C$173,"=6",$AB$36:$AB$173)</f>
        <v>0.42642857142857149</v>
      </c>
      <c r="M272" s="39">
        <f>AVERAGEIF($C$36:$C$173,"=6",$AC$36:$AC$173)</f>
        <v>0.46642857142857136</v>
      </c>
      <c r="N272" s="39">
        <f>AVERAGEIF($C$36:$C$173,"=6",$AD$36:$AD$173)</f>
        <v>0.50357142857142856</v>
      </c>
      <c r="O272" s="39">
        <f>AVERAGEIF($C$36:$C$173,"=6",$AK$36:$AK$173)</f>
        <v>0.41399999999999998</v>
      </c>
      <c r="P272" s="39">
        <f>AVERAGEIF($C$36:$C$173,"=6",$AL$36:$AL$173)</f>
        <v>0.36333333333333334</v>
      </c>
      <c r="Q272" s="39">
        <f>AVERAGEIF($C$36:$C$173,"=6",$AM$36:$AM$173)</f>
        <v>0.38933333333333336</v>
      </c>
      <c r="R272" s="39">
        <f>AVERAGEIF($C$36:$C$173,"=6",$AT$36:$AT$173)</f>
        <v>0.48529411764705882</v>
      </c>
      <c r="S272" s="39">
        <f>AVERAGEIF($C$36:$C$173,"=6",$AV$36:$AV$173)</f>
        <v>0.45294117647058824</v>
      </c>
      <c r="T272" s="39">
        <f>AVERAGEIF($C$36:$C$173,"=6",$AU$36:$AU$173)</f>
        <v>0.37882352941176473</v>
      </c>
      <c r="U272" s="39">
        <f>AVERAGEIF($C$36:$C$173,"=6",$BE$36:$BE$173)</f>
        <v>0.45058823529411773</v>
      </c>
      <c r="V272" s="39">
        <f>AVERAGEIF($C$36:$C$173,"=6",$BF$36:$BF$173)</f>
        <v>0.33588235294117647</v>
      </c>
      <c r="W272" s="497">
        <f>AVERAGEIF($C$36:$C$173,"=6",$BG$36:$BG$173)</f>
        <v>0.53117647058823536</v>
      </c>
      <c r="X272" s="496">
        <v>0.46736842105263154</v>
      </c>
      <c r="Y272" s="39">
        <v>0.3436842105263157</v>
      </c>
      <c r="Z272" s="497">
        <v>0.44210526315789478</v>
      </c>
      <c r="AA272" s="496">
        <v>0.34649999999999997</v>
      </c>
      <c r="AB272" s="39">
        <v>0.44449999999999995</v>
      </c>
      <c r="AC272" s="497">
        <v>0.46149999999999991</v>
      </c>
      <c r="AD272" s="496">
        <v>0.43833333333333335</v>
      </c>
      <c r="AE272" s="39">
        <v>0.4200000000000001</v>
      </c>
      <c r="AF272" s="39">
        <v>0.31277777777777782</v>
      </c>
    </row>
    <row r="273" spans="4:59" x14ac:dyDescent="0.2">
      <c r="X273"/>
      <c r="Y273"/>
      <c r="Z273"/>
      <c r="AA273"/>
      <c r="AB273"/>
      <c r="AC273"/>
    </row>
    <row r="274" spans="4:59" x14ac:dyDescent="0.2">
      <c r="F274" s="1193">
        <v>2016</v>
      </c>
      <c r="G274" s="1193"/>
      <c r="H274" s="1193"/>
      <c r="I274" s="1193"/>
      <c r="J274" s="1193"/>
      <c r="K274" s="1193"/>
      <c r="L274" s="1193">
        <v>2017</v>
      </c>
      <c r="M274" s="1193"/>
      <c r="N274" s="1193"/>
      <c r="O274" s="1193"/>
      <c r="P274" s="1193"/>
      <c r="Q274" s="1193"/>
      <c r="R274" s="1193">
        <v>2018</v>
      </c>
      <c r="S274" s="1193"/>
      <c r="T274" s="1193"/>
      <c r="U274" s="1193"/>
      <c r="V274" s="1193"/>
      <c r="W274" s="1193"/>
      <c r="X274" s="1193">
        <v>2019</v>
      </c>
      <c r="Y274" s="1193"/>
      <c r="Z274" s="1193"/>
      <c r="AA274" s="1193"/>
      <c r="AB274" s="1193"/>
      <c r="AC274" s="1193"/>
      <c r="AD274" s="1193">
        <v>2020</v>
      </c>
      <c r="AE274" s="1193"/>
      <c r="AF274" s="1193"/>
      <c r="AG274" s="1193"/>
      <c r="AH274" s="1193"/>
      <c r="AI274" s="1193"/>
      <c r="AJ274" s="1193">
        <v>2021</v>
      </c>
      <c r="AK274" s="1193"/>
      <c r="AL274" s="1193"/>
      <c r="AM274" s="1193"/>
      <c r="AN274" s="1193"/>
      <c r="AO274" s="1198"/>
      <c r="AP274" s="1215">
        <v>2022</v>
      </c>
      <c r="AQ274" s="1193"/>
      <c r="AR274" s="1193"/>
      <c r="AS274" s="1193"/>
      <c r="AT274" s="1193"/>
      <c r="AU274" s="1198"/>
      <c r="AV274" s="1193">
        <v>2023</v>
      </c>
      <c r="AW274" s="1193"/>
      <c r="AX274" s="1193"/>
      <c r="AY274" s="1193"/>
      <c r="AZ274" s="1193"/>
      <c r="BA274" s="1198"/>
      <c r="BB274" s="1193">
        <v>2024</v>
      </c>
      <c r="BC274" s="1193"/>
      <c r="BD274" s="1193"/>
      <c r="BE274" s="1193"/>
      <c r="BF274" s="1193"/>
      <c r="BG274" s="1193"/>
    </row>
    <row r="275" spans="4:59" x14ac:dyDescent="0.2">
      <c r="F275" s="1193" t="s">
        <v>148</v>
      </c>
      <c r="G275" s="1193"/>
      <c r="H275" s="1193"/>
      <c r="I275" s="1193" t="s">
        <v>149</v>
      </c>
      <c r="J275" s="1193"/>
      <c r="K275" s="1193"/>
      <c r="L275" s="1193" t="s">
        <v>148</v>
      </c>
      <c r="M275" s="1193"/>
      <c r="N275" s="1193"/>
      <c r="O275" s="1193" t="s">
        <v>149</v>
      </c>
      <c r="P275" s="1193"/>
      <c r="Q275" s="1193"/>
      <c r="R275" s="1193" t="s">
        <v>148</v>
      </c>
      <c r="S275" s="1193"/>
      <c r="T275" s="1193"/>
      <c r="U275" s="1193" t="s">
        <v>149</v>
      </c>
      <c r="V275" s="1193"/>
      <c r="W275" s="1193"/>
      <c r="X275" s="1193" t="s">
        <v>148</v>
      </c>
      <c r="Y275" s="1193"/>
      <c r="Z275" s="1193"/>
      <c r="AA275" s="1193" t="s">
        <v>149</v>
      </c>
      <c r="AB275" s="1193"/>
      <c r="AC275" s="1193"/>
      <c r="AD275" s="1193" t="s">
        <v>148</v>
      </c>
      <c r="AE275" s="1193"/>
      <c r="AF275" s="1193"/>
      <c r="AG275" s="1193" t="s">
        <v>149</v>
      </c>
      <c r="AH275" s="1193"/>
      <c r="AI275" s="1193"/>
      <c r="AJ275" s="1193" t="s">
        <v>148</v>
      </c>
      <c r="AK275" s="1193"/>
      <c r="AL275" s="1193"/>
      <c r="AM275" s="1193" t="s">
        <v>149</v>
      </c>
      <c r="AN275" s="1193"/>
      <c r="AO275" s="1198"/>
      <c r="AP275" s="1193" t="s">
        <v>148</v>
      </c>
      <c r="AQ275" s="1193"/>
      <c r="AR275" s="1193"/>
      <c r="AS275" s="1193" t="s">
        <v>149</v>
      </c>
      <c r="AT275" s="1193"/>
      <c r="AU275" s="1198"/>
      <c r="AV275" s="1193" t="s">
        <v>148</v>
      </c>
      <c r="AW275" s="1193"/>
      <c r="AX275" s="1193"/>
      <c r="AY275" s="1193" t="s">
        <v>149</v>
      </c>
      <c r="AZ275" s="1193"/>
      <c r="BA275" s="1198"/>
      <c r="BB275" s="1193" t="s">
        <v>148</v>
      </c>
      <c r="BC275" s="1193"/>
      <c r="BD275" s="1193"/>
      <c r="BE275" s="1193" t="s">
        <v>149</v>
      </c>
      <c r="BF275" s="1193"/>
      <c r="BG275" s="1193"/>
    </row>
    <row r="276" spans="4:59" x14ac:dyDescent="0.2">
      <c r="F276" s="201" t="s">
        <v>788</v>
      </c>
      <c r="G276" s="201" t="s">
        <v>789</v>
      </c>
      <c r="H276" s="201" t="s">
        <v>790</v>
      </c>
      <c r="I276" s="201" t="s">
        <v>788</v>
      </c>
      <c r="J276" s="201" t="s">
        <v>789</v>
      </c>
      <c r="K276" s="201" t="s">
        <v>790</v>
      </c>
      <c r="L276" s="201" t="s">
        <v>788</v>
      </c>
      <c r="M276" s="201" t="s">
        <v>789</v>
      </c>
      <c r="N276" s="201" t="s">
        <v>790</v>
      </c>
      <c r="O276" s="201" t="s">
        <v>788</v>
      </c>
      <c r="P276" s="201" t="s">
        <v>789</v>
      </c>
      <c r="Q276" s="201" t="s">
        <v>790</v>
      </c>
      <c r="R276" s="201" t="s">
        <v>788</v>
      </c>
      <c r="S276" s="201" t="s">
        <v>789</v>
      </c>
      <c r="T276" s="201" t="s">
        <v>790</v>
      </c>
      <c r="U276" s="201" t="s">
        <v>788</v>
      </c>
      <c r="V276" s="201" t="s">
        <v>789</v>
      </c>
      <c r="W276" s="201" t="s">
        <v>790</v>
      </c>
      <c r="X276" s="201" t="s">
        <v>788</v>
      </c>
      <c r="Y276" s="201" t="s">
        <v>789</v>
      </c>
      <c r="Z276" s="201" t="s">
        <v>790</v>
      </c>
      <c r="AA276" s="201" t="s">
        <v>788</v>
      </c>
      <c r="AB276" s="201" t="s">
        <v>789</v>
      </c>
      <c r="AC276" s="201" t="s">
        <v>790</v>
      </c>
      <c r="AD276" s="201" t="s">
        <v>788</v>
      </c>
      <c r="AE276" s="201" t="s">
        <v>789</v>
      </c>
      <c r="AF276" s="201" t="s">
        <v>790</v>
      </c>
      <c r="AG276" s="201" t="s">
        <v>788</v>
      </c>
      <c r="AH276" s="201" t="s">
        <v>789</v>
      </c>
      <c r="AI276" s="201" t="s">
        <v>790</v>
      </c>
      <c r="AJ276" s="201" t="s">
        <v>788</v>
      </c>
      <c r="AK276" s="201" t="s">
        <v>789</v>
      </c>
      <c r="AL276" s="201" t="s">
        <v>790</v>
      </c>
      <c r="AM276" s="201" t="s">
        <v>788</v>
      </c>
      <c r="AN276" s="201" t="s">
        <v>789</v>
      </c>
      <c r="AO276" s="498" t="s">
        <v>790</v>
      </c>
      <c r="AP276" s="201" t="s">
        <v>788</v>
      </c>
      <c r="AQ276" s="201" t="s">
        <v>789</v>
      </c>
      <c r="AR276" s="201" t="s">
        <v>790</v>
      </c>
      <c r="AS276" s="201" t="s">
        <v>788</v>
      </c>
      <c r="AT276" s="201" t="s">
        <v>789</v>
      </c>
      <c r="AU276" s="498" t="s">
        <v>790</v>
      </c>
      <c r="AV276" s="201" t="s">
        <v>788</v>
      </c>
      <c r="AW276" s="201" t="s">
        <v>789</v>
      </c>
      <c r="AX276" s="201" t="s">
        <v>790</v>
      </c>
      <c r="AY276" s="201" t="s">
        <v>788</v>
      </c>
      <c r="AZ276" s="201" t="s">
        <v>789</v>
      </c>
      <c r="BA276" s="498" t="s">
        <v>790</v>
      </c>
      <c r="BB276" s="201" t="s">
        <v>788</v>
      </c>
      <c r="BC276" s="201" t="s">
        <v>789</v>
      </c>
      <c r="BD276" s="201" t="s">
        <v>790</v>
      </c>
      <c r="BE276" s="201" t="s">
        <v>788</v>
      </c>
      <c r="BF276" s="201" t="s">
        <v>789</v>
      </c>
      <c r="BG276" s="201" t="s">
        <v>790</v>
      </c>
    </row>
    <row r="277" spans="4:59" x14ac:dyDescent="0.2">
      <c r="E277" s="27" t="s">
        <v>140</v>
      </c>
      <c r="F277" s="39">
        <f>AVERAGEIFS($K$36:$K$173,$C$36:$C$173,"=1", $B$36:$B$173,"OFICIAL")</f>
        <v>0.48749999999999999</v>
      </c>
      <c r="G277" s="39">
        <f>AVERAGEIFS($J$36:$J$173,$C$36:$C$173,"=1", $B$36:$B$173,"OFICIAL")</f>
        <v>0.43499999999999994</v>
      </c>
      <c r="H277" s="39">
        <f>AVERAGEIFS($L$36:$L$173,$C$36:$C$173,"=1", $B$36:$B$173,"OFICIAL")</f>
        <v>0.55000000000000004</v>
      </c>
      <c r="I277" s="39">
        <f>AVERAGEIFS($K$36:$K$173,$C$36:$C$173,"=1", $B$36:$B$173,"NO OFICIAL")</f>
        <v>0.47999999999999987</v>
      </c>
      <c r="J277" s="39">
        <f>AVERAGEIFS($J$36:$J$173,$C$36:$C$173,"=1", $B$36:$B$173,"NO OFICIAL")</f>
        <v>0.43461538461538463</v>
      </c>
      <c r="K277" s="39">
        <f>AVERAGEIFS($L$36:$L$173,$C$36:$C$173,"=1", $B$36:$B$173,"NO OFICIAL")</f>
        <v>0.56230769230769218</v>
      </c>
      <c r="L277" s="39">
        <f>AVERAGEIFS($T$36:$T$173,$C$36:$C$173,"=1", $B$36:$B$173,"OFICIAL")</f>
        <v>0.45500000000000002</v>
      </c>
      <c r="M277" s="39">
        <f>AVERAGEIFS($S$36:$S$173,$C$36:$C$173,"=1", $B$36:$B$173,"OFICIAL")</f>
        <v>0.42000000000000004</v>
      </c>
      <c r="N277" s="39">
        <f>AVERAGEIFS($U$36:$U$173,$C$36:$C$173,"=1", $B$36:$B$173,"OFICIAL")</f>
        <v>0.45249999999999996</v>
      </c>
      <c r="O277" s="39">
        <f>AVERAGEIFS($T$36:$T$173,$C$36:$C$173,"=1", $B$36:$B$173,"NO OFICIAL")</f>
        <v>0.48833333333333334</v>
      </c>
      <c r="P277" s="39">
        <f>AVERAGEIFS($S$36:$S$173,$C$36:$C$173,"=1", $B$36:$B$173,"NO OFICIAL")</f>
        <v>0.45500000000000007</v>
      </c>
      <c r="Q277" s="39">
        <f>AVERAGEIFS($U$36:$U$173,$C$36:$C$173,"=1", $B$36:$B$173,"NO OFICIAL")</f>
        <v>0.46999999999999992</v>
      </c>
      <c r="R277" s="39">
        <f>AVERAGEIFS($AB$36:$AB$173,$C$36:$C$173,"=1", $B$36:$B$173,"OFICIAL")</f>
        <v>0.4325</v>
      </c>
      <c r="S277" s="39">
        <f>AVERAGEIFS($AC$36:$AC$173,$C$36:$C$173,"=1", $B$36:$B$173,"OFICIAL")</f>
        <v>0.48499999999999999</v>
      </c>
      <c r="T277" s="39">
        <f>AVERAGEIFS($AD$36:$AD$173,$C$36:$C$173,"=1", $B$36:$B$173,"OFICIAL")</f>
        <v>0.505</v>
      </c>
      <c r="U277" s="39">
        <f>AVERAGEIFS($AB$36:$AB$173,$C$36:$C$173,"=1", $B$36:$B$173,"NO OFICIAL")</f>
        <v>0.44307692307692303</v>
      </c>
      <c r="V277" s="39">
        <f>AVERAGEIFS($AC$36:$AC$173,$C$36:$C$173,"=1", $B$36:$B$173,"NO OFICIAL")</f>
        <v>0.47000000000000003</v>
      </c>
      <c r="W277" s="39">
        <f>AVERAGEIFS($AD$36:$AD$173,$C$36:$C$173,"=1", $B$36:$B$173,"NO OFICIAL")</f>
        <v>0.49769230769230766</v>
      </c>
      <c r="X277" s="39">
        <f>AVERAGEIFS($AK$36:$AK$173,$C$36:$C$173,"=1", $B$36:$B$173,"OFICIAL")</f>
        <v>0.42249999999999999</v>
      </c>
      <c r="Y277" s="39">
        <f>AVERAGEIFS($AL$36:$AL$173,$C$36:$C$173,"=1", $B$36:$B$173,"OFICIAL")</f>
        <v>0.36250000000000004</v>
      </c>
      <c r="Z277" s="39">
        <f>AVERAGEIFS($AM$36:$AM$173,$C$36:$C$173,"=1", $B$36:$B$173,"OFICIAL")</f>
        <v>0.41500000000000004</v>
      </c>
      <c r="AA277" s="39">
        <f>AVERAGEIFS($AK$36:$AK$173,$C$36:$C$173,"=1", $B$36:$B$173,"NO OFICIAL")</f>
        <v>0.42</v>
      </c>
      <c r="AB277" s="39">
        <f>AVERAGEIFS($AL$36:$AL$173,$C$36:$C$173,"=1", $B$36:$B$173,"NO OFICIAL")</f>
        <v>0.36692307692307691</v>
      </c>
      <c r="AC277" s="39">
        <f t="shared" ref="AC277:AC282" si="62">AVERAGEIFS($AM$36:$AM$173,$C$36:$C$173,"=1", $B$36:$B$173,"NO OFICIAL")</f>
        <v>0.4284615384615385</v>
      </c>
      <c r="AD277" s="39">
        <f>AVERAGEIFS($AT$36:$AT$173,$C$36:$C$173,"=1", $B$36:$B$173,"OFICIAL")</f>
        <v>0.46249999999999997</v>
      </c>
      <c r="AE277" s="39">
        <f>AVERAGEIFS($AV$36:$AV$173,$C$36:$C$173,"=1", $B$36:$B$173,"OFICIAL")</f>
        <v>0.41749999999999998</v>
      </c>
      <c r="AF277" s="39">
        <f>AVERAGEIFS($AU$36:$AU$173,$C$36:$C$173,"=1", $B$36:$B$173,"OFICIAL")</f>
        <v>0.35499999999999998</v>
      </c>
      <c r="AG277" s="39">
        <f>AVERAGEIFS($AT$36:$AT$173,$C$36:$C$173,"=1", $B$36:$B$173,"NO OFICIAL")</f>
        <v>0.4646153846153846</v>
      </c>
      <c r="AH277" s="39">
        <f>AVERAGEIFS($AV$36:$AV$173,$C$36:$C$173,"=1", $B$36:$B$173,"NO OFICIAL")</f>
        <v>0.44153846153846155</v>
      </c>
      <c r="AI277" s="39">
        <f>AVERAGEIFS($AU$36:$AU$173,$C$36:$C$173,"=1", $B$36:$B$173,"NO OFICIAL")</f>
        <v>0.36230769230769233</v>
      </c>
      <c r="AJ277" s="39">
        <f>AVERAGEIFS($BE$36:$BE$173,$C$36:$C$173,"=1", $B$36:$B$173,"OFICIAL")</f>
        <v>0.44749999999999995</v>
      </c>
      <c r="AK277" s="39">
        <f>AVERAGEIFS($BF$36:$BF$173,$C$36:$C$173,"=1", $B$36:$B$173,"OFICIAL")</f>
        <v>0.34</v>
      </c>
      <c r="AL277" s="39">
        <f>AVERAGEIFS($BG$36:$BG$173,$C$36:$C$173,"=1", $B$36:$B$173,"OFICIAL")</f>
        <v>0.54749999999999999</v>
      </c>
      <c r="AM277" s="39">
        <f>AVERAGEIFS($BE$36:$BE$173,$C$36:$C$173,"=1", $B$36:$B$173,"NO OFICIAL")</f>
        <v>0.42692307692307696</v>
      </c>
      <c r="AN277" s="39">
        <f>AVERAGEIFS($BF$36:$BF$173,$C$36:$C$173,"=1", $B$36:$B$173,"NO OFICIAL")</f>
        <v>0.31538461538461537</v>
      </c>
      <c r="AO277" s="497">
        <f>AVERAGEIFS($BG$36:$BG$173,$C$36:$C$173,"=1", $B$36:$B$173,"NO OFICIAL")</f>
        <v>0.53307692307692311</v>
      </c>
      <c r="AP277" s="496">
        <v>0.47199999999999998</v>
      </c>
      <c r="AQ277" s="39">
        <v>0.35199999999999998</v>
      </c>
      <c r="AR277" s="39">
        <v>0.45599999999999996</v>
      </c>
      <c r="AS277" s="39">
        <v>0.45461538461538453</v>
      </c>
      <c r="AT277" s="39">
        <v>0.33076923076923076</v>
      </c>
      <c r="AU277" s="497">
        <v>0.4407692307692308</v>
      </c>
      <c r="AV277" s="496">
        <v>0.374</v>
      </c>
      <c r="AW277" s="39">
        <v>0.49800000000000005</v>
      </c>
      <c r="AX277" s="39">
        <v>0.51400000000000001</v>
      </c>
      <c r="AY277" s="39">
        <v>0.34666666666666668</v>
      </c>
      <c r="AZ277" s="39">
        <v>0.45083333333333336</v>
      </c>
      <c r="BA277" s="497">
        <v>0.47916666666666669</v>
      </c>
      <c r="BB277" s="496">
        <v>0.45400000000000001</v>
      </c>
      <c r="BC277" s="39">
        <v>0.45400000000000001</v>
      </c>
      <c r="BD277" s="39">
        <v>0.36199999999999999</v>
      </c>
      <c r="BE277" s="39">
        <v>0.43000000000000005</v>
      </c>
      <c r="BF277" s="39">
        <v>0.43454545454545462</v>
      </c>
      <c r="BG277" s="39">
        <v>0.31454545454545457</v>
      </c>
    </row>
    <row r="278" spans="4:59" x14ac:dyDescent="0.2">
      <c r="E278" s="27" t="s">
        <v>141</v>
      </c>
      <c r="F278" s="39">
        <f>AVERAGEIFS($K$36:$K$173,$C$36:$C$173,"=2", $B$36:$B$173,"OFICIAL")</f>
        <v>0.49</v>
      </c>
      <c r="G278" s="39">
        <f>AVERAGEIFS($J$36:$J$173,$C$36:$C$173,"=2", $B$36:$B$173,"OFICIAL")</f>
        <v>0.43</v>
      </c>
      <c r="H278" s="39">
        <f>AVERAGEIFS($L$36:$L$173,$C$36:$C$173,"=2", $B$36:$B$173,"OFICIAL")</f>
        <v>0.54499999999999993</v>
      </c>
      <c r="I278" s="39">
        <f>AVERAGEIFS($K$36:$K$173,$C$36:$C$173,"=2", $B$36:$B$173,"NO OFICIAL")</f>
        <v>0.45222222222222225</v>
      </c>
      <c r="J278" s="39">
        <f>AVERAGEIFS($J$36:$J$173,$C$36:$C$173,"=2", $B$36:$B$173,"NO OFICIAL")</f>
        <v>0.41055555555555551</v>
      </c>
      <c r="K278" s="39">
        <f>AVERAGEIFS($L$36:$L$173,$C$36:$C$173,"=2", $B$36:$B$173,"NO OFICIAL")</f>
        <v>0.50944444444444448</v>
      </c>
      <c r="L278" s="39">
        <f>AVERAGEIFS($T$36:$T$173,$C$36:$C$173,"=2", $B$36:$B$173,"OFICIAL")</f>
        <v>0.46499999999999997</v>
      </c>
      <c r="M278" s="39">
        <f>AVERAGEIFS($S$36:$S$173,$C$36:$C$173,"=2", $B$36:$B$173,"OFICIAL")</f>
        <v>0.43</v>
      </c>
      <c r="N278" s="39">
        <f>AVERAGEIFS($U$36:$U$173,$C$36:$C$173,"=2", $B$36:$B$173,"OFICIAL")</f>
        <v>0.47499999999999998</v>
      </c>
      <c r="O278" s="39">
        <f>AVERAGEIFS($T$36:$T$173,$C$36:$C$173,"=2", $B$36:$B$173,"NO OFICIAL")</f>
        <v>0.44588235294117651</v>
      </c>
      <c r="P278" s="39">
        <f>AVERAGEIFS($S$36:$S$173,$C$36:$C$173,"=2", $B$36:$B$173,"NO OFICIAL")</f>
        <v>0.40588235294117647</v>
      </c>
      <c r="Q278" s="39">
        <f>AVERAGEIFS($U$36:$U$173,$C$36:$C$173,"=2", $B$36:$B$173,"NO OFICIAL")</f>
        <v>0.43882352941176472</v>
      </c>
      <c r="R278" s="39">
        <f>AVERAGEIFS($AB$36:$AB$173,$C$36:$C$173,"=2", $B$36:$B$173,"OFICIAL")</f>
        <v>0.42499999999999999</v>
      </c>
      <c r="S278" s="39">
        <f>AVERAGEIFS($AC$36:$AC$173,$C$36:$C$173,"=2", $B$36:$B$173,"OFICIAL")</f>
        <v>0.495</v>
      </c>
      <c r="T278" s="39">
        <f>AVERAGEIFS($AD$36:$AD$173,$C$36:$C$173,"=2", $B$36:$B$173,"OFICIAL")</f>
        <v>0.505</v>
      </c>
      <c r="U278" s="39">
        <f>AVERAGEIFS($AB$36:$AB$173,$C$36:$C$173,"=2", $B$36:$B$173,"NO OFICIAL")</f>
        <v>0.41411764705882348</v>
      </c>
      <c r="V278" s="39">
        <f>AVERAGEIFS($AC$36:$AC$173,$C$36:$C$173,"=2", $B$36:$B$173,"NO OFICIAL")</f>
        <v>0.4629411764705883</v>
      </c>
      <c r="W278" s="39">
        <f>AVERAGEIFS($AD$36:$AD$173,$C$36:$C$173,"=2", $B$36:$B$173,"NO OFICIAL")</f>
        <v>0.47764705882352948</v>
      </c>
      <c r="X278" s="39">
        <f>AVERAGEIFS($AK$36:$AK$173,$C$36:$C$173,"=2", $B$36:$B$173,"OFICIAL")</f>
        <v>0.41000000000000003</v>
      </c>
      <c r="Y278" s="39">
        <f>AVERAGEIFS($AL$36:$AL$173,$C$36:$C$173,"=2", $B$36:$B$173,"OFICIAL")</f>
        <v>0.36</v>
      </c>
      <c r="Z278" s="39">
        <f>AVERAGEIFS($AM$36:$AM$173,$C$36:$C$173,"=2", $B$36:$B$173,"OFICIAL")</f>
        <v>0.42</v>
      </c>
      <c r="AA278" s="39">
        <f>AVERAGEIFS($AK$36:$AK$173,$C$36:$C$173,"=2", $B$36:$B$173,"NO OFICIAL")</f>
        <v>0.38777777777777783</v>
      </c>
      <c r="AB278" s="39">
        <f>AVERAGEIFS($AL$36:$AL$173,$C$36:$C$173,"=2", $B$36:$B$173,"NO OFICIAL")</f>
        <v>0.33777777777777779</v>
      </c>
      <c r="AC278" s="39">
        <f t="shared" si="62"/>
        <v>0.4284615384615385</v>
      </c>
      <c r="AD278" s="39">
        <f>AVERAGEIFS($AT$36:$AT$173,$C$36:$C$173,"=2", $B$36:$B$173,"OFICIAL")</f>
        <v>0.47499999999999998</v>
      </c>
      <c r="AE278" s="39">
        <f>AVERAGEIFS($AV$36:$AV$173,$C$36:$C$173,"=2", $B$36:$B$173,"OFICIAL")</f>
        <v>0.42499999999999999</v>
      </c>
      <c r="AF278" s="39">
        <f>AVERAGEIFS($AU$36:$AU$173,$C$36:$C$173,"=2", $B$36:$B$173,"OFICIAL")</f>
        <v>0.36</v>
      </c>
      <c r="AG278" s="39">
        <f>AVERAGEIFS($AT$36:$AT$173,$C$36:$C$173,"=2", $B$36:$B$173,"NO OFICIAL")</f>
        <v>0.43090909090909091</v>
      </c>
      <c r="AH278" s="39">
        <f>AVERAGEIFS($AV$36:$AV$173,$C$36:$C$173,"=2", $B$36:$B$173,"NO OFICIAL")</f>
        <v>0.41636363636363638</v>
      </c>
      <c r="AI278" s="39">
        <f>AVERAGEIFS($AU$36:$AU$173,$C$36:$C$173,"=2", $B$36:$B$173,"NO OFICIAL")</f>
        <v>0.36181818181818176</v>
      </c>
      <c r="AJ278" s="39">
        <f>AVERAGEIFS($BE$36:$BE$173,$C$36:$C$173,"=2", $B$36:$B$173,"OFICIAL")</f>
        <v>0.45500000000000002</v>
      </c>
      <c r="AK278" s="39">
        <f>AVERAGEIFS($BF$36:$BF$173,$C$36:$C$173,"=2", $B$36:$B$173,"OFICIAL")</f>
        <v>0.36</v>
      </c>
      <c r="AL278" s="39">
        <f>AVERAGEIFS($BG$36:$BG$173,$C$36:$C$173,"=2", $B$36:$B$173,"OFICIAL")</f>
        <v>0.55000000000000004</v>
      </c>
      <c r="AM278" s="39">
        <f>AVERAGEIFS($BE$36:$BE$173,$C$36:$C$173,"=2", $B$36:$B$173,"NO OFICIAL")</f>
        <v>0.4335</v>
      </c>
      <c r="AN278" s="39">
        <f>AVERAGEIFS($BF$36:$BF$173,$C$36:$C$173,"=2", $B$36:$B$173,"NO OFICIAL")</f>
        <v>0.33399999999999996</v>
      </c>
      <c r="AO278" s="497">
        <f>AVERAGEIFS($BG$36:$BG$173,$C$36:$C$173,"=2", $B$36:$B$173,"NO OFICIAL")</f>
        <v>0.52500000000000013</v>
      </c>
      <c r="AP278" s="496">
        <v>0.46749999999999997</v>
      </c>
      <c r="AQ278" s="39">
        <v>0.36</v>
      </c>
      <c r="AR278" s="39">
        <v>0.45499999999999996</v>
      </c>
      <c r="AS278" s="39">
        <v>0.42904761904761912</v>
      </c>
      <c r="AT278" s="39">
        <v>0.30285714285714282</v>
      </c>
      <c r="AU278" s="497">
        <v>0.38666666666666671</v>
      </c>
      <c r="AV278" s="496">
        <v>0.37</v>
      </c>
      <c r="AW278" s="39">
        <v>0.47249999999999998</v>
      </c>
      <c r="AX278" s="39">
        <v>0.4975</v>
      </c>
      <c r="AY278" s="39">
        <v>0.33681818181818185</v>
      </c>
      <c r="AZ278" s="39">
        <v>0.43909090909090903</v>
      </c>
      <c r="BA278" s="497">
        <v>0.4413636363636364</v>
      </c>
      <c r="BB278" s="496">
        <v>0.44999999999999996</v>
      </c>
      <c r="BC278" s="39">
        <v>0.44750000000000001</v>
      </c>
      <c r="BD278" s="39">
        <v>0.33499999999999996</v>
      </c>
      <c r="BE278" s="39">
        <v>0.37736842105263158</v>
      </c>
      <c r="BF278" s="39">
        <v>0.39105263157894743</v>
      </c>
      <c r="BG278" s="39">
        <v>0.28105263157894739</v>
      </c>
    </row>
    <row r="279" spans="4:59" x14ac:dyDescent="0.2">
      <c r="E279" s="27" t="s">
        <v>142</v>
      </c>
      <c r="F279" s="39">
        <f>AVERAGEIFS($K$36:$K$173,$C$36:$C$173,"=3", $B$36:$B$173,"OFICIAL")</f>
        <v>0.48399999999999999</v>
      </c>
      <c r="G279" s="39">
        <f>AVERAGEIFS($J$36:$J$173,$C$36:$C$173,"=3", $B$36:$B$173,"OFICIAL")</f>
        <v>0.47400000000000003</v>
      </c>
      <c r="H279" s="39">
        <f>AVERAGEIFS($L$36:$L$173,$C$36:$C$173,"=3", $B$36:$B$173,"OFICIAL")</f>
        <v>0.53800000000000003</v>
      </c>
      <c r="I279" s="39">
        <f>AVERAGEIFS($K$36:$K$173,$C$36:$C$173,"=3", $B$36:$B$173,"NO OFICIAL")</f>
        <v>0.46384615384615385</v>
      </c>
      <c r="J279" s="39">
        <f>AVERAGEIFS($J$36:$J$173,$C$36:$C$173,"=3", $B$36:$B$173,"NO OFICIAL")</f>
        <v>0.37769230769230772</v>
      </c>
      <c r="K279" s="39">
        <f>AVERAGEIFS($L$36:$L$173,$C$36:$C$173,"=3", $B$36:$B$173,"NO OFICIAL")</f>
        <v>0.51153846153846161</v>
      </c>
      <c r="L279" s="39">
        <f>AVERAGEIFS($T$36:$T$173,$C$36:$C$173,"=3", $B$36:$B$173,"OFICIAL")</f>
        <v>0.48399999999999999</v>
      </c>
      <c r="M279" s="39">
        <f>AVERAGEIFS($S$36:$S$173,$C$36:$C$173,"=3", $B$36:$B$173,"OFICIAL")</f>
        <v>0.42599999999999999</v>
      </c>
      <c r="N279" s="39">
        <f>AVERAGEIFS($U$36:$U$173,$C$36:$C$173,"=3", $B$36:$B$173,"OFICIAL")</f>
        <v>0.46600000000000003</v>
      </c>
      <c r="O279" s="39">
        <f>AVERAGEIFS($T$36:$T$173,$C$36:$C$173,"=3", $B$36:$B$173,"NO OFICIAL")</f>
        <v>0.44857142857142851</v>
      </c>
      <c r="P279" s="39">
        <f>AVERAGEIFS($S$36:$S$173,$C$36:$C$173,"=3", $B$36:$B$173,"NO OFICIAL")</f>
        <v>0.41785714285714282</v>
      </c>
      <c r="Q279" s="39">
        <f>AVERAGEIFS($U$36:$U$173,$C$36:$C$173,"=3", $B$36:$B$173,"NO OFICIAL")</f>
        <v>0.43928571428571433</v>
      </c>
      <c r="R279" s="39">
        <f>AVERAGEIFS($AB$36:$AB$173,$C$36:$C$173,"=3", $B$36:$B$173,"OFICIAL")</f>
        <v>0.42400000000000004</v>
      </c>
      <c r="S279" s="39">
        <f>AVERAGEIFS($AC$36:$AC$173,$C$36:$C$173,"=3", $B$36:$B$173,"OFICIAL")</f>
        <v>0.47599999999999998</v>
      </c>
      <c r="T279" s="39">
        <f>AVERAGEIFS($AD$36:$AD$173,$C$36:$C$173,"=3", $B$36:$B$173,"OFICIAL")</f>
        <v>0.504</v>
      </c>
      <c r="U279" s="39">
        <f>AVERAGEIFS($AB$36:$AB$173,$C$36:$C$173,"=3", $B$36:$B$173,"NO OFICIAL")</f>
        <v>0.39785714285714296</v>
      </c>
      <c r="V279" s="39">
        <f>AVERAGEIFS($AC$36:$AC$173,$C$36:$C$173,"=3", $B$36:$B$173,"NO OFICIAL")</f>
        <v>0.44928571428571429</v>
      </c>
      <c r="W279" s="39">
        <f>AVERAGEIFS($AD$36:$AD$173,$C$36:$C$173,"=3", $B$36:$B$173,"NO OFICIAL")</f>
        <v>0.46928571428571431</v>
      </c>
      <c r="X279" s="39">
        <f>AVERAGEIFS($AK$36:$AK$173,$C$36:$C$173,"=3", $B$36:$B$173,"OFICIAL")</f>
        <v>0.42000000000000004</v>
      </c>
      <c r="Y279" s="39">
        <f>AVERAGEIFS($AL$36:$AL$173,$C$36:$C$173,"=3", $B$36:$B$173,"OFICIAL")</f>
        <v>0.38600000000000001</v>
      </c>
      <c r="Z279" s="39">
        <f>AVERAGEIFS($AM$36:$AM$173,$C$36:$C$173,"=3", $B$36:$B$173,"OFICIAL")</f>
        <v>0.42599999999999999</v>
      </c>
      <c r="AA279" s="39">
        <f>AVERAGEIFS($AK$36:$AK$173,$C$36:$C$173,"=3", $B$36:$B$173,"NO OFICIAL")</f>
        <v>0.39357142857142863</v>
      </c>
      <c r="AB279" s="39">
        <f>AVERAGEIFS($AL$36:$AL$173,$C$36:$C$173,"=3", $B$36:$B$173,"NO OFICIAL")</f>
        <v>0.33571428571428574</v>
      </c>
      <c r="AC279" s="39">
        <f t="shared" si="62"/>
        <v>0.4284615384615385</v>
      </c>
      <c r="AD279" s="39">
        <f>AVERAGEIFS($AT$36:$AT$173,$C$36:$C$173,"=3", $B$36:$B$173,"OFICIAL")</f>
        <v>0.47599999999999998</v>
      </c>
      <c r="AE279" s="39">
        <f>AVERAGEIFS($AV$36:$AV$173,$C$36:$C$173,"=3", $B$36:$B$173,"OFICIAL")</f>
        <v>0.43600000000000005</v>
      </c>
      <c r="AF279" s="39">
        <f>AVERAGEIFS($AU$36:$AU$173,$C$36:$C$173,"=3", $B$36:$B$173,"OFICIAL")</f>
        <v>0.37799999999999995</v>
      </c>
      <c r="AG279" s="39">
        <f>AVERAGEIFS($AT$36:$AT$173,$C$36:$C$173,"=3", $B$36:$B$173,"NO OFICIAL")</f>
        <v>0.4386666666666667</v>
      </c>
      <c r="AH279" s="39">
        <f>AVERAGEIFS($AV$36:$AV$173,$C$36:$C$173,"=3", $B$36:$B$173,"NO OFICIAL")</f>
        <v>0.39466666666666667</v>
      </c>
      <c r="AI279" s="39">
        <f>AVERAGEIFS($AU$36:$AU$173,$C$36:$C$173,"=3", $B$36:$B$173,"NO OFICIAL")</f>
        <v>0.33466666666666672</v>
      </c>
      <c r="AJ279" s="39">
        <f>AVERAGEIFS($BE$36:$BE$173,$C$36:$C$173,"=3", $B$36:$B$173,"OFICIAL")</f>
        <v>0.44800000000000006</v>
      </c>
      <c r="AK279" s="39">
        <f>AVERAGEIFS($BF$36:$BF$173,$C$36:$C$173,"=3", $B$36:$B$173,"OFICIAL")</f>
        <v>0.34799999999999998</v>
      </c>
      <c r="AL279" s="39">
        <f>AVERAGEIFS($BG$36:$BG$173,$C$36:$C$173,"=3", $B$36:$B$173,"OFICIAL")</f>
        <v>0.54600000000000004</v>
      </c>
      <c r="AM279" s="39">
        <f>AVERAGEIFS($BE$36:$BE$173,$C$36:$C$173,"=3", $B$36:$B$173,"NO OFICIAL")</f>
        <v>0.4</v>
      </c>
      <c r="AN279" s="39">
        <f>AVERAGEIFS($BF$36:$BF$173,$C$36:$C$173,"=3", $B$36:$B$173,"NO OFICIAL")</f>
        <v>0.31133333333333335</v>
      </c>
      <c r="AO279" s="497">
        <f>AVERAGEIFS($BG$36:$BG$173,$C$36:$C$173,"=3", $B$36:$B$173,"NO OFICIAL")</f>
        <v>0.49933333333333341</v>
      </c>
      <c r="AP279" s="496">
        <v>0.47666666666666674</v>
      </c>
      <c r="AQ279" s="39">
        <v>0.34666666666666668</v>
      </c>
      <c r="AR279" s="39">
        <v>0.44</v>
      </c>
      <c r="AS279" s="39">
        <v>0.42000000000000004</v>
      </c>
      <c r="AT279" s="39">
        <v>0.30874999999999997</v>
      </c>
      <c r="AU279" s="497">
        <v>0.385625</v>
      </c>
      <c r="AV279" s="496">
        <v>0.3666666666666667</v>
      </c>
      <c r="AW279" s="39">
        <v>0.46833333333333327</v>
      </c>
      <c r="AX279" s="39">
        <v>0.4916666666666667</v>
      </c>
      <c r="AY279" s="39">
        <v>0.33187499999999998</v>
      </c>
      <c r="AZ279" s="39">
        <v>0.43124999999999997</v>
      </c>
      <c r="BA279" s="497">
        <v>0.44</v>
      </c>
      <c r="BB279" s="496">
        <v>0.45500000000000002</v>
      </c>
      <c r="BC279" s="39">
        <v>0.44</v>
      </c>
      <c r="BD279" s="39">
        <v>0.34333333333333332</v>
      </c>
      <c r="BE279" s="39">
        <v>0.40500000000000008</v>
      </c>
      <c r="BF279" s="39">
        <v>0.39812499999999995</v>
      </c>
      <c r="BG279" s="39">
        <v>0.29625000000000001</v>
      </c>
    </row>
    <row r="280" spans="4:59" x14ac:dyDescent="0.2">
      <c r="E280" s="27" t="s">
        <v>143</v>
      </c>
      <c r="F280" s="39">
        <f>AVERAGEIFS($K$36:$K$173,$C$36:$C$173,"=4", $B$36:$B$173,"OFICIAL")</f>
        <v>0.52666666666666673</v>
      </c>
      <c r="G280" s="39">
        <f>AVERAGEIFS($J$36:$J$173,$C$36:$C$173,"=4", $B$36:$B$173,"OFICIAL")</f>
        <v>0.48833333333333345</v>
      </c>
      <c r="H280" s="39">
        <f>AVERAGEIFS($L$36:$L$173,$C$36:$C$173,"=4", $B$36:$B$173,"OFICIAL")</f>
        <v>0.61833333333333329</v>
      </c>
      <c r="I280" s="39">
        <f>AVERAGEIFS($K$36:$K$173,$C$36:$C$173,"=4", $B$36:$B$173,"NO OFICIAL")</f>
        <v>0.52124999999999999</v>
      </c>
      <c r="J280" s="39">
        <f>AVERAGEIFS($J$36:$J$173,$C$36:$C$173,"=4", $B$36:$B$173,"NO OFICIAL")</f>
        <v>0.47125</v>
      </c>
      <c r="K280" s="39">
        <f>AVERAGEIFS($L$36:$L$173,$C$36:$C$173,"=4", $B$36:$B$173,"NO OFICIAL")</f>
        <v>0.57250000000000001</v>
      </c>
      <c r="L280" s="39">
        <f>AVERAGEIFS($T$36:$T$173,$C$36:$C$173,"=4", $B$36:$B$173,"OFICIAL")</f>
        <v>0.51666666666666672</v>
      </c>
      <c r="M280" s="39">
        <f>AVERAGEIFS($S$36:$S$173,$C$36:$C$173,"=4", $B$36:$B$173,"OFICIAL")</f>
        <v>0.47833333333333333</v>
      </c>
      <c r="N280" s="39">
        <f>AVERAGEIFS($U$36:$U$173,$C$36:$C$173,"=4", $B$36:$B$173,"OFICIAL")</f>
        <v>0.52166666666666661</v>
      </c>
      <c r="O280" s="39">
        <f>AVERAGEIFS($T$36:$T$173,$C$36:$C$173,"=4", $B$36:$B$173,"NO OFICIAL")</f>
        <v>0.44375000000000003</v>
      </c>
      <c r="P280" s="39">
        <f>AVERAGEIFS($S$36:$S$173,$C$36:$C$173,"=4", $B$36:$B$173,"NO OFICIAL")</f>
        <v>0.40374999999999994</v>
      </c>
      <c r="Q280" s="39">
        <f>AVERAGEIFS($U$36:$U$173,$C$36:$C$173,"=4", $B$36:$B$173,"NO OFICIAL")</f>
        <v>0.46750000000000003</v>
      </c>
      <c r="R280" s="39">
        <f>AVERAGEIFS($AB$36:$AB$173,$C$36:$C$173,"=4", $B$36:$B$173,"OFICIAL")</f>
        <v>0.505</v>
      </c>
      <c r="S280" s="39">
        <f>AVERAGEIFS($AC$36:$AC$173,$C$36:$C$173,"=4", $B$36:$B$173,"OFICIAL")</f>
        <v>0.53833333333333333</v>
      </c>
      <c r="T280" s="39">
        <f>AVERAGEIFS($AD$36:$AD$173,$C$36:$C$173,"=4", $B$36:$B$173,"OFICIAL")</f>
        <v>0.55333333333333334</v>
      </c>
      <c r="U280" s="39">
        <f>AVERAGEIFS($AB$36:$AB$173,$C$36:$C$173,"=4", $B$36:$B$173,"NO OFICIAL")</f>
        <v>0.4022222222222222</v>
      </c>
      <c r="V280" s="39">
        <f>AVERAGEIFS($AC$36:$AC$173,$C$36:$C$173,"=4", $B$36:$B$173,"NO OFICIAL")</f>
        <v>0.46888888888888886</v>
      </c>
      <c r="W280" s="39">
        <f>AVERAGEIFS($AD$36:$AD$173,$C$36:$C$173,"=4", $B$36:$B$173,"NO OFICIAL")</f>
        <v>0.4933333333333334</v>
      </c>
      <c r="X280" s="39">
        <f>AVERAGEIFS($AK$36:$AK$173,$C$36:$C$173,"=4", $B$36:$B$173,"OFICIAL")</f>
        <v>0.48833333333333345</v>
      </c>
      <c r="Y280" s="39">
        <f>AVERAGEIFS($AL$36:$AL$173,$C$36:$C$173,"=4", $B$36:$B$173,"OFICIAL")</f>
        <v>0.435</v>
      </c>
      <c r="Z280" s="39">
        <f>AVERAGEIFS($AM$36:$AM$173,$C$36:$C$173,"=4", $B$36:$B$173,"OFICIAL")</f>
        <v>0.47499999999999992</v>
      </c>
      <c r="AA280" s="39">
        <f>AVERAGEIFS($AK$36:$AK$173,$C$36:$C$173,"=4", $B$36:$B$173,"NO OFICIAL")</f>
        <v>0.39999999999999997</v>
      </c>
      <c r="AB280" s="39">
        <f>AVERAGEIFS($AL$36:$AL$173,$C$36:$C$173,"=4", $B$36:$B$173,"NO OFICIAL")</f>
        <v>0.37124999999999997</v>
      </c>
      <c r="AC280" s="39">
        <f t="shared" si="62"/>
        <v>0.4284615384615385</v>
      </c>
      <c r="AD280" s="39">
        <f>AVERAGEIFS($AT$36:$AT$173,$C$36:$C$173,"=4", $B$36:$B$173,"OFICIAL")</f>
        <v>0.52833333333333343</v>
      </c>
      <c r="AE280" s="39">
        <f>AVERAGEIFS($AV$36:$AV$173,$C$36:$C$173,"=4", $B$36:$B$173,"OFICIAL")</f>
        <v>0.48833333333333334</v>
      </c>
      <c r="AF280" s="39">
        <f>AVERAGEIFS($AU$36:$AU$173,$C$36:$C$173,"=4", $B$36:$B$173,"OFICIAL")</f>
        <v>0.4316666666666667</v>
      </c>
      <c r="AG280" s="39">
        <f>AVERAGEIFS($AT$36:$AT$173,$C$36:$C$173,"=4", $B$36:$B$173,"NO OFICIAL")</f>
        <v>0.48857142857142855</v>
      </c>
      <c r="AH280" s="39">
        <f>AVERAGEIFS($AV$36:$AV$173,$C$36:$C$173,"=4", $B$36:$B$173,"NO OFICIAL")</f>
        <v>0.43857142857142856</v>
      </c>
      <c r="AI280" s="39">
        <f>AVERAGEIFS($AU$36:$AU$173,$C$36:$C$173,"=4", $B$36:$B$173,"NO OFICIAL")</f>
        <v>0.40857142857142853</v>
      </c>
      <c r="AJ280" s="39">
        <f>AVERAGEIFS($BE$36:$BE$173,$C$36:$C$173,"=4", $B$36:$B$173,"OFICIAL")</f>
        <v>0.4916666666666667</v>
      </c>
      <c r="AK280" s="39">
        <f>AVERAGEIFS($BF$36:$BF$173,$C$36:$C$173,"=4", $B$36:$B$173,"OFICIAL")</f>
        <v>0.42</v>
      </c>
      <c r="AL280" s="39">
        <f>AVERAGEIFS($BG$36:$BG$173,$C$36:$C$173,"=4", $B$36:$B$173,"OFICIAL")</f>
        <v>0.59499999999999997</v>
      </c>
      <c r="AM280" s="39">
        <f>AVERAGEIFS($BE$36:$BE$173,$C$36:$C$173,"=4", $B$36:$B$173,"NO OFICIAL")</f>
        <v>0.43875000000000003</v>
      </c>
      <c r="AN280" s="39">
        <f>AVERAGEIFS($BF$36:$BF$173,$C$36:$C$173,"=4", $B$36:$B$173,"NO OFICIAL")</f>
        <v>0.35375000000000001</v>
      </c>
      <c r="AO280" s="497">
        <f>AVERAGEIFS($BG$36:$BG$173,$C$36:$C$173,"=4", $B$36:$B$173,"NO OFICIAL")</f>
        <v>0.54874999999999996</v>
      </c>
      <c r="AP280" s="496">
        <v>0.52166666666666672</v>
      </c>
      <c r="AQ280" s="39">
        <v>0.40333333333333338</v>
      </c>
      <c r="AR280" s="39">
        <v>0.52</v>
      </c>
      <c r="AS280" s="39">
        <v>0.44624999999999998</v>
      </c>
      <c r="AT280" s="39">
        <v>0.31874999999999998</v>
      </c>
      <c r="AU280" s="497">
        <v>0.44125000000000003</v>
      </c>
      <c r="AV280" s="496">
        <v>0.43166666666666664</v>
      </c>
      <c r="AW280" s="39">
        <v>0.54500000000000004</v>
      </c>
      <c r="AX280" s="39">
        <v>0.57666666666666666</v>
      </c>
      <c r="AY280" s="39">
        <v>0.4022222222222222</v>
      </c>
      <c r="AZ280" s="39">
        <v>0.49555555555555564</v>
      </c>
      <c r="BA280" s="497">
        <v>0.52555555555555555</v>
      </c>
      <c r="BB280" s="496">
        <v>0.50333333333333341</v>
      </c>
      <c r="BC280" s="39">
        <v>0.505</v>
      </c>
      <c r="BD280" s="39">
        <v>0.435</v>
      </c>
      <c r="BE280" s="39">
        <v>0.42285714285714288</v>
      </c>
      <c r="BF280" s="39">
        <v>0.42571428571428566</v>
      </c>
      <c r="BG280" s="39">
        <v>0.32714285714285712</v>
      </c>
    </row>
    <row r="281" spans="4:59" x14ac:dyDescent="0.2">
      <c r="E281" s="27" t="s">
        <v>144</v>
      </c>
      <c r="F281" s="39">
        <f>AVERAGEIFS($K$36:$K$173,$C$36:$C$173,"=5", $B$36:$B$173,"OFICIAL")</f>
        <v>0.44999999999999996</v>
      </c>
      <c r="G281" s="39">
        <f>AVERAGEIFS($J$36:$J$173,$C$36:$C$173,"=5", $B$36:$B$173,"OFICIAL")</f>
        <v>0.42333333333333334</v>
      </c>
      <c r="H281" s="39">
        <f>AVERAGEIFS($L$36:$L$173,$C$36:$C$173,"=5", $B$36:$B$173,"OFICIAL")</f>
        <v>0.53333333333333333</v>
      </c>
      <c r="I281" s="39">
        <f>AVERAGEIFS($K$36:$K$173,$C$36:$C$173,"=5", $B$36:$B$173,"NO OFICIAL")</f>
        <v>0.43285714285714288</v>
      </c>
      <c r="J281" s="39">
        <f>AVERAGEIFS($J$36:$J$173,$C$36:$C$173,"=5", $B$36:$B$173,"NO OFICIAL")</f>
        <v>0.40642857142857147</v>
      </c>
      <c r="K281" s="39">
        <f>AVERAGEIFS($L$36:$L$173,$C$36:$C$173,"=5", $B$36:$B$173,"NO OFICIAL")</f>
        <v>0.53071428571428581</v>
      </c>
      <c r="L281" s="39">
        <f>AVERAGEIFS($T$36:$T$173,$C$36:$C$173,"=5", $B$36:$B$173,"OFICIAL")</f>
        <v>0.4366666666666667</v>
      </c>
      <c r="M281" s="39">
        <f>AVERAGEIFS($S$36:$S$173,$C$36:$C$173,"=5", $B$36:$B$173,"OFICIAL")</f>
        <v>0.40333333333333332</v>
      </c>
      <c r="N281" s="39">
        <f>AVERAGEIFS($U$36:$U$173,$C$36:$C$173,"=5", $B$36:$B$173,"OFICIAL")</f>
        <v>0.45333333333333331</v>
      </c>
      <c r="O281" s="39">
        <f>AVERAGEIFS($T$36:$T$173,$C$36:$C$173,"=5", $B$36:$B$173,"NO OFICIAL")</f>
        <v>0.43</v>
      </c>
      <c r="P281" s="39">
        <f>AVERAGEIFS($S$36:$S$173,$C$36:$C$173,"=5", $B$36:$B$173,"NO OFICIAL")</f>
        <v>0.36799999999999999</v>
      </c>
      <c r="Q281" s="39">
        <f>AVERAGEIFS($U$36:$U$173,$C$36:$C$173,"=5", $B$36:$B$173,"NO OFICIAL")</f>
        <v>0.4313333333333334</v>
      </c>
      <c r="R281" s="39">
        <f>AVERAGEIFS($AB$36:$AB$173,$C$36:$C$173,"=5", $B$36:$B$173,"OFICIAL")</f>
        <v>0.42666666666666658</v>
      </c>
      <c r="S281" s="39">
        <f>AVERAGEIFS($AC$36:$AC$173,$C$36:$C$173,"=5", $B$36:$B$173,"OFICIAL")</f>
        <v>0.47333333333333333</v>
      </c>
      <c r="T281" s="39">
        <f>AVERAGEIFS($AD$36:$AD$173,$C$36:$C$173,"=5", $B$36:$B$173,"OFICIAL")</f>
        <v>0.49666666666666665</v>
      </c>
      <c r="U281" s="39">
        <f>AVERAGEIFS($AB$36:$AB$173,$C$36:$C$173,"=5", $B$36:$B$173,"NO OFICIAL")</f>
        <v>0.38866666666666666</v>
      </c>
      <c r="V281" s="39">
        <f>AVERAGEIFS($AC$36:$AC$173,$C$36:$C$173,"=5", $B$36:$B$173,"NO OFICIAL")</f>
        <v>0.45</v>
      </c>
      <c r="W281" s="39">
        <f>AVERAGEIFS($AD$36:$AD$173,$C$36:$C$173,"=5", $B$36:$B$173,"NO OFICIAL")</f>
        <v>0.45800000000000002</v>
      </c>
      <c r="X281" s="39">
        <f>AVERAGEIFS($AK$36:$AK$173,$C$36:$C$173,"=5", $B$36:$B$173,"OFICIAL")</f>
        <v>0.39666666666666667</v>
      </c>
      <c r="Y281" s="39">
        <f>AVERAGEIFS($AL$36:$AL$173,$C$36:$C$173,"=5", $B$36:$B$173,"OFICIAL")</f>
        <v>0.33</v>
      </c>
      <c r="Z281" s="39">
        <f>AVERAGEIFS($AM$36:$AM$173,$C$36:$C$173,"=5", $B$36:$B$173,"OFICIAL")</f>
        <v>0.40333333333333332</v>
      </c>
      <c r="AA281" s="39">
        <f>AVERAGEIFS($AK$36:$AK$173,$C$36:$C$173,"=5", $B$36:$B$173,"NO OFICIAL")</f>
        <v>0.37124999999999997</v>
      </c>
      <c r="AB281" s="39">
        <f>AVERAGEIFS($AL$36:$AL$173,$C$36:$C$173,"=5", $B$36:$B$173,"NO OFICIAL")</f>
        <v>0.32437500000000002</v>
      </c>
      <c r="AC281" s="39">
        <f t="shared" si="62"/>
        <v>0.4284615384615385</v>
      </c>
      <c r="AD281" s="39">
        <f>AVERAGEIFS($AT$36:$AT$173,$C$36:$C$173,"=5", $B$36:$B$173,"OFICIAL")</f>
        <v>0.43333333333333329</v>
      </c>
      <c r="AE281" s="39">
        <f>AVERAGEIFS($AV$36:$AV$173,$C$36:$C$173,"=5", $B$36:$B$173,"OFICIAL")</f>
        <v>0.41333333333333333</v>
      </c>
      <c r="AF281" s="39">
        <f>AVERAGEIFS($AU$36:$AU$173,$C$36:$C$173,"=5", $B$36:$B$173,"OFICIAL")</f>
        <v>0.32666666666666666</v>
      </c>
      <c r="AG281" s="39">
        <f>AVERAGEIFS($AT$36:$AT$173,$C$36:$C$173,"=5", $B$36:$B$173,"NO OFICIAL")</f>
        <v>0.42666666666666669</v>
      </c>
      <c r="AH281" s="39">
        <f>AVERAGEIFS($AV$36:$AV$173,$C$36:$C$173,"=5", $B$36:$B$173,"NO OFICIAL")</f>
        <v>0.38733333333333336</v>
      </c>
      <c r="AI281" s="39">
        <f>AVERAGEIFS($AU$36:$AU$173,$C$36:$C$173,"=5", $B$36:$B$173,"NO OFICIAL")</f>
        <v>0.29999999999999993</v>
      </c>
      <c r="AJ281" s="39">
        <f>AVERAGEIFS($BE$36:$BE$173,$C$36:$C$173,"=5", $B$36:$B$173,"OFICIAL")</f>
        <v>0.40333333333333332</v>
      </c>
      <c r="AK281" s="39">
        <f>AVERAGEIFS($BF$36:$BF$173,$C$36:$C$173,"=5", $B$36:$B$173,"OFICIAL")</f>
        <v>0.32666666666666666</v>
      </c>
      <c r="AL281" s="39">
        <f>AVERAGEIFS($BG$36:$BG$173,$C$36:$C$173,"=5", $B$36:$B$173,"OFICIAL")</f>
        <v>0.52</v>
      </c>
      <c r="AM281" s="39">
        <f>AVERAGEIFS($BE$36:$BE$173,$C$36:$C$173,"=5", $B$36:$B$173,"NO OFICIAL")</f>
        <v>0.38866666666666666</v>
      </c>
      <c r="AN281" s="39">
        <f>AVERAGEIFS($BF$36:$BF$173,$C$36:$C$173,"=5", $B$36:$B$173,"NO OFICIAL")</f>
        <v>0.29599999999999999</v>
      </c>
      <c r="AO281" s="497">
        <f>AVERAGEIFS($BG$36:$BG$173,$C$36:$C$173,"=5", $B$36:$B$173,"NO OFICIAL")</f>
        <v>0.47733333333333333</v>
      </c>
      <c r="AP281" s="496">
        <v>0.46</v>
      </c>
      <c r="AQ281" s="39">
        <v>0.34499999999999997</v>
      </c>
      <c r="AR281" s="39">
        <v>0.44</v>
      </c>
      <c r="AS281" s="39">
        <v>0.40599999999999992</v>
      </c>
      <c r="AT281" s="39">
        <v>0.27333333333333332</v>
      </c>
      <c r="AU281" s="497">
        <v>0.36999999999999994</v>
      </c>
      <c r="AV281" s="496">
        <v>0.38</v>
      </c>
      <c r="AW281" s="39">
        <v>0.48499999999999999</v>
      </c>
      <c r="AX281" s="39">
        <v>0.5</v>
      </c>
      <c r="AY281" s="39">
        <v>0.30000000000000004</v>
      </c>
      <c r="AZ281" s="39">
        <v>0.40333333333333332</v>
      </c>
      <c r="BA281" s="497">
        <v>0.41</v>
      </c>
      <c r="BB281" s="496">
        <v>0.41333333333333333</v>
      </c>
      <c r="BC281" s="39">
        <v>0.41333333333333333</v>
      </c>
      <c r="BD281" s="39">
        <v>0.30666666666666664</v>
      </c>
      <c r="BE281" s="39">
        <v>0.40266666666666673</v>
      </c>
      <c r="BF281" s="39">
        <v>0.40866666666666668</v>
      </c>
      <c r="BG281" s="39">
        <v>0.27200000000000008</v>
      </c>
    </row>
    <row r="282" spans="4:59" x14ac:dyDescent="0.2">
      <c r="E282" s="27" t="s">
        <v>145</v>
      </c>
      <c r="F282" s="39">
        <f>AVERAGEIFS($K$36:$K$173,$C$36:$C$173,"=6", $B$36:$B$173,"OFICIAL")</f>
        <v>0.49</v>
      </c>
      <c r="G282" s="39">
        <f>AVERAGEIFS($J$36:$J$173,$C$36:$C$173,"=6", $B$36:$B$173,"OFICIAL")</f>
        <v>0.45999999999999996</v>
      </c>
      <c r="H282" s="39">
        <f>AVERAGEIFS($L$36:$L$173,$C$36:$C$173,"=6", $B$36:$B$173,"OFICIAL")</f>
        <v>0.54999999999999993</v>
      </c>
      <c r="I282" s="39">
        <f>AVERAGEIFS($K$36:$K$173,$C$36:$C$173,"=6", $B$36:$B$173,"NO OFICIAL")</f>
        <v>0.47454545454545455</v>
      </c>
      <c r="J282" s="39">
        <f>AVERAGEIFS($J$36:$J$173,$C$36:$C$173,"=6", $B$36:$B$173,"NO OFICIAL")</f>
        <v>0.41545454545454547</v>
      </c>
      <c r="K282" s="39">
        <f>AVERAGEIFS($L$36:$L$173,$C$36:$C$173,"=6", $B$36:$B$173,"NO OFICIAL")</f>
        <v>0.53090909090909089</v>
      </c>
      <c r="L282" s="39">
        <f>AVERAGEIFS($T$36:$T$173,$C$36:$C$173,"=6", $B$36:$B$173,"OFICIAL")</f>
        <v>0.495</v>
      </c>
      <c r="M282" s="39">
        <f>AVERAGEIFS($S$36:$S$173,$C$36:$C$173,"=6", $B$36:$B$173,"OFICIAL")</f>
        <v>0.44749999999999995</v>
      </c>
      <c r="N282" s="39">
        <f>AVERAGEIFS($U$36:$U$173,$C$36:$C$173,"=6", $B$36:$B$173,"OFICIAL")</f>
        <v>0.495</v>
      </c>
      <c r="O282" s="39">
        <f>AVERAGEIFS($T$36:$T$173,$C$36:$C$173,"=6", $B$36:$B$173,"NO OFICIAL")</f>
        <v>0.47181818181818186</v>
      </c>
      <c r="P282" s="39">
        <f>AVERAGEIFS($S$36:$S$173,$C$36:$C$173,"=6", $B$36:$B$173,"NO OFICIAL")</f>
        <v>0.44</v>
      </c>
      <c r="Q282" s="39">
        <f>AVERAGEIFS($U$36:$U$173,$C$36:$C$173,"=6", $B$36:$B$173,"NO OFICIAL")</f>
        <v>0.47</v>
      </c>
      <c r="R282" s="39">
        <f>AVERAGEIFS($AB$36:$AB$173,$C$36:$C$173,"=6", $B$36:$B$173,"OFICIAL")</f>
        <v>0.45499999999999996</v>
      </c>
      <c r="S282" s="39">
        <f>AVERAGEIFS($AC$36:$AC$173,$C$36:$C$173,"=6", $B$36:$B$173,"OFICIAL")</f>
        <v>0.5</v>
      </c>
      <c r="T282" s="39">
        <f>AVERAGEIFS($AD$36:$AD$173,$C$36:$C$173,"=6", $B$36:$B$173,"OFICIAL")</f>
        <v>0.51500000000000001</v>
      </c>
      <c r="U282" s="39">
        <f>AVERAGEIFS($AB$36:$AB$173,$C$36:$C$173,"=6", $B$36:$B$173,"NO OFICIAL")</f>
        <v>0.41500000000000004</v>
      </c>
      <c r="V282" s="39">
        <f>AVERAGEIFS($AC$36:$AC$173,$C$36:$C$173,"=6", $B$36:$B$173,"NO OFICIAL")</f>
        <v>0.45299999999999996</v>
      </c>
      <c r="W282" s="39">
        <f>AVERAGEIFS($AD$36:$AD$173,$C$36:$C$173,"=6", $B$36:$B$173,"NO OFICIAL")</f>
        <v>0.499</v>
      </c>
      <c r="X282" s="39">
        <f>AVERAGEIFS($AK$36:$AK$173,$C$36:$C$173,"=6", $B$36:$B$173,"OFICIAL")</f>
        <v>0.44</v>
      </c>
      <c r="Y282" s="39">
        <f>AVERAGEIFS($AL$36:$AL$173,$C$36:$C$173,"=6", $B$36:$B$173,"OFICIAL")</f>
        <v>0.38500000000000001</v>
      </c>
      <c r="Z282" s="39">
        <f>AVERAGEIFS($AM$36:$AM$173,$C$36:$C$173,"=6", $B$36:$B$173,"OFICIAL")</f>
        <v>0.44</v>
      </c>
      <c r="AA282" s="39">
        <f>AVERAGEIFS($AK$36:$AK$173,$C$36:$C$173,"=6", $B$36:$B$173,"NO OFICIAL")</f>
        <v>0.40454545454545454</v>
      </c>
      <c r="AB282" s="39">
        <f>AVERAGEIFS($AL$36:$AL$173,$C$36:$C$173,"=6", $B$36:$B$173,"NO OFICIAL")</f>
        <v>0.35545454545454547</v>
      </c>
      <c r="AC282" s="39">
        <f t="shared" si="62"/>
        <v>0.4284615384615385</v>
      </c>
      <c r="AD282" s="39">
        <f>AVERAGEIFS($AT$36:$AT$173,$C$36:$C$173,"=6", $B$36:$B$173,"OFICIAL")</f>
        <v>0.46749999999999997</v>
      </c>
      <c r="AE282" s="39">
        <f>AVERAGEIFS($AV$36:$AV$173,$C$36:$C$173,"=6", $B$36:$B$173,"OFICIAL")</f>
        <v>0.45</v>
      </c>
      <c r="AF282" s="39">
        <f>AVERAGEIFS($AU$36:$AU$173,$C$36:$C$173,"=6", $B$36:$B$173,"OFICIAL")</f>
        <v>0.38250000000000006</v>
      </c>
      <c r="AG282" s="39">
        <f>AVERAGEIFS($AT$36:$AT$173,$C$36:$C$173,"=6", $B$36:$B$173,"NO OFICIAL")</f>
        <v>0.49076923076923085</v>
      </c>
      <c r="AH282" s="39">
        <f>AVERAGEIFS($AV$36:$AV$173,$C$36:$C$173,"=6", $B$36:$B$173,"NO OFICIAL")</f>
        <v>0.4538461538461539</v>
      </c>
      <c r="AI282" s="39">
        <f>AVERAGEIFS($AU$36:$AU$173,$C$36:$C$173,"=6", $B$36:$B$173,"NO OFICIAL")</f>
        <v>0.37769230769230772</v>
      </c>
      <c r="AJ282" s="39">
        <f>AVERAGEIFS($BE$36:$BE$173,$C$36:$C$173,"=6", $B$36:$B$173,"OFICIAL")</f>
        <v>0.47499999999999998</v>
      </c>
      <c r="AK282" s="39">
        <f>AVERAGEIFS($BF$36:$BF$173,$C$36:$C$173,"=6", $B$36:$B$173,"OFICIAL")</f>
        <v>0.36749999999999994</v>
      </c>
      <c r="AL282" s="39">
        <f>AVERAGEIFS($BG$36:$BG$173,$C$36:$C$173,"=6", $B$36:$B$173,"OFICIAL")</f>
        <v>0.5625</v>
      </c>
      <c r="AM282" s="39">
        <f>AVERAGEIFS($BE$36:$BE$173,$C$36:$C$173,"=6", $B$36:$B$173,"NO OFICIAL")</f>
        <v>0.44307692307692303</v>
      </c>
      <c r="AN282" s="39">
        <f>AVERAGEIFS($BF$36:$BF$173,$C$36:$C$173,"=6", $B$36:$B$173,"NO OFICIAL")</f>
        <v>0.32615384615384618</v>
      </c>
      <c r="AO282" s="497">
        <f>AVERAGEIFS($BG$36:$BG$173,$C$36:$C$173,"=6", $B$36:$B$173,"NO OFICIAL")</f>
        <v>0.52153846153846151</v>
      </c>
      <c r="AP282" s="496">
        <v>0.49333333333333335</v>
      </c>
      <c r="AQ282" s="39">
        <v>0.3666666666666667</v>
      </c>
      <c r="AR282" s="39">
        <v>0.46666666666666662</v>
      </c>
      <c r="AS282" s="39">
        <v>0.46250000000000002</v>
      </c>
      <c r="AT282" s="39">
        <v>0.33937499999999998</v>
      </c>
      <c r="AU282" s="497">
        <v>0.4375</v>
      </c>
      <c r="AV282" s="496">
        <v>0.38666666666666671</v>
      </c>
      <c r="AW282" s="39">
        <v>0.51</v>
      </c>
      <c r="AX282" s="39">
        <v>0.52333333333333332</v>
      </c>
      <c r="AY282" s="39">
        <v>0.3394117647058823</v>
      </c>
      <c r="AZ282" s="39">
        <v>0.43294117647058827</v>
      </c>
      <c r="BA282" s="497">
        <v>0.45058823529411773</v>
      </c>
      <c r="BB282" s="496">
        <v>0.46249999999999997</v>
      </c>
      <c r="BC282" s="39">
        <v>0.45249999999999996</v>
      </c>
      <c r="BD282" s="39">
        <v>0.36500000000000005</v>
      </c>
      <c r="BE282" s="39">
        <v>0.43142857142857144</v>
      </c>
      <c r="BF282" s="39">
        <v>0.4107142857142857</v>
      </c>
      <c r="BG282" s="39">
        <v>0.29785714285714288</v>
      </c>
    </row>
    <row r="285" spans="4:59" x14ac:dyDescent="0.2">
      <c r="D285" s="499"/>
      <c r="E285" s="500"/>
      <c r="F285" s="500"/>
      <c r="G285" s="500"/>
      <c r="H285" s="500"/>
      <c r="I285" s="500"/>
      <c r="J285" s="500"/>
      <c r="K285" s="500"/>
      <c r="L285" s="500"/>
      <c r="M285" s="500"/>
      <c r="N285" s="500"/>
      <c r="O285" s="501"/>
    </row>
    <row r="286" spans="4:59" x14ac:dyDescent="0.2">
      <c r="D286" s="502"/>
      <c r="O286" s="503"/>
    </row>
    <row r="287" spans="4:59" x14ac:dyDescent="0.2">
      <c r="D287" s="502"/>
      <c r="F287">
        <v>2016</v>
      </c>
      <c r="G287">
        <v>2017</v>
      </c>
      <c r="H287">
        <v>2018</v>
      </c>
      <c r="I287">
        <v>2019</v>
      </c>
      <c r="J287">
        <v>2020</v>
      </c>
      <c r="K287">
        <v>2021</v>
      </c>
      <c r="L287">
        <v>2022</v>
      </c>
      <c r="M287">
        <v>2023</v>
      </c>
      <c r="N287">
        <v>2024</v>
      </c>
      <c r="O287" s="503"/>
    </row>
    <row r="288" spans="4:59" x14ac:dyDescent="0.2">
      <c r="D288" s="502"/>
      <c r="F288" t="s">
        <v>788</v>
      </c>
      <c r="G288" s="201" t="s">
        <v>788</v>
      </c>
      <c r="H288" s="201" t="s">
        <v>788</v>
      </c>
      <c r="I288" s="201" t="s">
        <v>788</v>
      </c>
      <c r="J288" s="201" t="s">
        <v>788</v>
      </c>
      <c r="K288" s="201" t="s">
        <v>788</v>
      </c>
      <c r="L288" s="201" t="s">
        <v>788</v>
      </c>
      <c r="M288" s="201" t="s">
        <v>788</v>
      </c>
      <c r="N288" s="201" t="s">
        <v>788</v>
      </c>
      <c r="O288" s="503"/>
    </row>
    <row r="289" spans="4:57" x14ac:dyDescent="0.2">
      <c r="D289" s="502"/>
      <c r="E289" s="504" t="s">
        <v>140</v>
      </c>
      <c r="F289" s="475">
        <v>0.48176470588235293</v>
      </c>
      <c r="G289" s="475">
        <v>0.48000000000000004</v>
      </c>
      <c r="H289" s="475">
        <v>0.44058823529411767</v>
      </c>
      <c r="I289" s="475">
        <v>0.4205882352941176</v>
      </c>
      <c r="J289" s="475">
        <v>0.46411764705882358</v>
      </c>
      <c r="K289" s="475">
        <v>0.43176470588235294</v>
      </c>
      <c r="L289" s="475">
        <v>0.45944444444444443</v>
      </c>
      <c r="M289" s="475">
        <v>0.35470588235294126</v>
      </c>
      <c r="N289" s="475">
        <v>0.4375</v>
      </c>
      <c r="O289" s="503"/>
      <c r="BC289" s="85">
        <f t="shared" ref="BC289:BE290" si="63">CL28</f>
        <v>0.41333333333333333</v>
      </c>
      <c r="BD289" s="85">
        <f t="shared" si="63"/>
        <v>0.41333333333333333</v>
      </c>
      <c r="BE289" s="85">
        <f t="shared" si="63"/>
        <v>0.30666666666666664</v>
      </c>
    </row>
    <row r="290" spans="4:57" x14ac:dyDescent="0.2">
      <c r="D290" s="502"/>
      <c r="E290" s="504" t="s">
        <v>141</v>
      </c>
      <c r="F290" s="475">
        <v>0.45600000000000013</v>
      </c>
      <c r="G290" s="475">
        <v>0.44789473684210523</v>
      </c>
      <c r="H290" s="475">
        <v>0.41526315789473683</v>
      </c>
      <c r="I290" s="475">
        <v>0.39000000000000007</v>
      </c>
      <c r="J290" s="475">
        <v>0.43458333333333332</v>
      </c>
      <c r="K290" s="475">
        <v>0.43545454545454554</v>
      </c>
      <c r="L290" s="475">
        <v>0.43520000000000003</v>
      </c>
      <c r="M290" s="475">
        <v>0.341923076923077</v>
      </c>
      <c r="N290" s="475">
        <v>0.39</v>
      </c>
      <c r="O290" s="503"/>
      <c r="BC290" s="85">
        <f t="shared" si="63"/>
        <v>0.46249999999999997</v>
      </c>
      <c r="BD290" s="85">
        <f t="shared" si="63"/>
        <v>0.45249999999999996</v>
      </c>
      <c r="BE290" s="85">
        <f t="shared" si="63"/>
        <v>0.36500000000000005</v>
      </c>
    </row>
    <row r="291" spans="4:57" x14ac:dyDescent="0.2">
      <c r="D291" s="502"/>
      <c r="E291" s="504" t="s">
        <v>142</v>
      </c>
      <c r="F291" s="475">
        <v>0.4694444444444445</v>
      </c>
      <c r="G291" s="475">
        <v>0.45789473684210524</v>
      </c>
      <c r="H291" s="475">
        <v>0.40473684210526323</v>
      </c>
      <c r="I291" s="475">
        <v>0.40052631578947373</v>
      </c>
      <c r="J291" s="475">
        <v>0.44800000000000006</v>
      </c>
      <c r="K291" s="475">
        <v>0.41200000000000003</v>
      </c>
      <c r="L291" s="475">
        <v>0.43545454545454548</v>
      </c>
      <c r="M291" s="475">
        <v>0.34136363636363637</v>
      </c>
      <c r="N291" s="475">
        <v>0.4186363636363637</v>
      </c>
      <c r="O291" s="503"/>
      <c r="BC291" s="85">
        <f t="shared" ref="BC291:BE292" si="64">CL34</f>
        <v>0.40266666666666673</v>
      </c>
      <c r="BD291" s="85">
        <f t="shared" si="64"/>
        <v>0.40866666666666668</v>
      </c>
      <c r="BE291" s="85">
        <f t="shared" si="64"/>
        <v>0.27200000000000008</v>
      </c>
    </row>
    <row r="292" spans="4:57" x14ac:dyDescent="0.2">
      <c r="D292" s="502"/>
      <c r="E292" s="504" t="s">
        <v>143</v>
      </c>
      <c r="F292" s="475">
        <v>0.52357142857142858</v>
      </c>
      <c r="G292" s="475">
        <v>0.47500000000000003</v>
      </c>
      <c r="H292" s="475">
        <v>0.44333333333333325</v>
      </c>
      <c r="I292" s="475">
        <v>0.43785714285714289</v>
      </c>
      <c r="J292" s="475">
        <v>0.50692307692307703</v>
      </c>
      <c r="K292" s="475">
        <v>0.46142857142857147</v>
      </c>
      <c r="L292" s="475">
        <v>0.47857142857142859</v>
      </c>
      <c r="M292" s="475">
        <v>0.41399999999999992</v>
      </c>
      <c r="N292" s="475">
        <v>0.45999999999999996</v>
      </c>
      <c r="O292" s="503"/>
      <c r="BC292" s="85">
        <f t="shared" si="64"/>
        <v>0.43142857142857144</v>
      </c>
      <c r="BD292" s="85">
        <f t="shared" si="64"/>
        <v>0.4107142857142857</v>
      </c>
      <c r="BE292" s="85">
        <f t="shared" si="64"/>
        <v>0.29785714285714288</v>
      </c>
    </row>
    <row r="293" spans="4:57" x14ac:dyDescent="0.2">
      <c r="D293" s="502"/>
      <c r="E293" s="504" t="s">
        <v>144</v>
      </c>
      <c r="F293" s="475">
        <v>0.43588235294117644</v>
      </c>
      <c r="G293" s="475">
        <v>0.43111111111111111</v>
      </c>
      <c r="H293" s="475">
        <v>0.39500000000000002</v>
      </c>
      <c r="I293" s="475">
        <v>0.37526315789473674</v>
      </c>
      <c r="J293" s="475">
        <v>0.42777777777777781</v>
      </c>
      <c r="K293" s="475">
        <v>0.39111111111111119</v>
      </c>
      <c r="L293" s="475">
        <v>0.41235294117647059</v>
      </c>
      <c r="M293" s="475">
        <v>0.30941176470588239</v>
      </c>
      <c r="N293" s="475">
        <v>0.41333333333333333</v>
      </c>
      <c r="O293" s="503"/>
    </row>
    <row r="294" spans="4:57" x14ac:dyDescent="0.2">
      <c r="D294" s="502"/>
      <c r="E294" s="504" t="s">
        <v>145</v>
      </c>
      <c r="F294" s="475">
        <v>0.47866666666666668</v>
      </c>
      <c r="G294" s="475">
        <v>0.47800000000000004</v>
      </c>
      <c r="H294" s="475">
        <v>0.42642857142857149</v>
      </c>
      <c r="I294" s="475">
        <v>0.41399999999999998</v>
      </c>
      <c r="J294" s="475">
        <v>0.48529411764705882</v>
      </c>
      <c r="K294" s="475">
        <v>0.45437499999999992</v>
      </c>
      <c r="L294" s="475">
        <v>0.46736842105263154</v>
      </c>
      <c r="M294" s="475">
        <v>0.34649999999999997</v>
      </c>
      <c r="N294" s="475">
        <v>0.46249999999999997</v>
      </c>
      <c r="O294" s="503"/>
    </row>
    <row r="295" spans="4:57" x14ac:dyDescent="0.2">
      <c r="D295" s="502"/>
      <c r="O295" s="503"/>
    </row>
    <row r="296" spans="4:57" x14ac:dyDescent="0.2">
      <c r="D296" s="502"/>
      <c r="F296">
        <v>2016</v>
      </c>
      <c r="G296">
        <v>2017</v>
      </c>
      <c r="H296">
        <v>2018</v>
      </c>
      <c r="I296">
        <v>2019</v>
      </c>
      <c r="J296">
        <v>2020</v>
      </c>
      <c r="K296">
        <v>2021</v>
      </c>
      <c r="L296">
        <v>2022</v>
      </c>
      <c r="M296">
        <v>2023</v>
      </c>
      <c r="N296">
        <v>2024</v>
      </c>
      <c r="O296" s="503"/>
    </row>
    <row r="297" spans="4:57" x14ac:dyDescent="0.2">
      <c r="D297" s="502"/>
      <c r="F297" s="201" t="s">
        <v>789</v>
      </c>
      <c r="G297" s="201" t="s">
        <v>789</v>
      </c>
      <c r="H297" s="201" t="s">
        <v>789</v>
      </c>
      <c r="I297" s="201" t="s">
        <v>789</v>
      </c>
      <c r="J297" s="201" t="s">
        <v>789</v>
      </c>
      <c r="K297" s="201" t="s">
        <v>789</v>
      </c>
      <c r="L297" s="201" t="s">
        <v>789</v>
      </c>
      <c r="M297" s="201" t="s">
        <v>789</v>
      </c>
      <c r="N297" s="201" t="s">
        <v>789</v>
      </c>
      <c r="O297" s="503"/>
    </row>
    <row r="298" spans="4:57" x14ac:dyDescent="0.2">
      <c r="D298" s="502"/>
      <c r="E298" s="504" t="s">
        <v>140</v>
      </c>
      <c r="F298" s="475">
        <v>0.43470588235294116</v>
      </c>
      <c r="G298" s="475">
        <v>0.44624999999999992</v>
      </c>
      <c r="H298" s="475">
        <v>0.47352941176470592</v>
      </c>
      <c r="I298" s="475">
        <v>0.36588235294117644</v>
      </c>
      <c r="J298" s="475">
        <v>0.43588235294117661</v>
      </c>
      <c r="K298" s="475">
        <v>0.32117647058823529</v>
      </c>
      <c r="L298" s="475">
        <v>0.33666666666666673</v>
      </c>
      <c r="M298" s="475">
        <v>0.46470588235294108</v>
      </c>
      <c r="N298" s="475">
        <v>0.44062500000000004</v>
      </c>
      <c r="O298" s="503"/>
    </row>
    <row r="299" spans="4:57" x14ac:dyDescent="0.2">
      <c r="D299" s="502"/>
      <c r="E299" s="504" t="s">
        <v>141</v>
      </c>
      <c r="F299" s="475">
        <v>0.41249999999999992</v>
      </c>
      <c r="G299" s="475">
        <v>0.40842105263157902</v>
      </c>
      <c r="H299" s="475">
        <v>0.46631578947368429</v>
      </c>
      <c r="I299" s="475">
        <v>0.33999999999999997</v>
      </c>
      <c r="J299" s="475">
        <v>0.41708333333333331</v>
      </c>
      <c r="K299" s="475">
        <v>0.33636363636363636</v>
      </c>
      <c r="L299" s="475">
        <v>0.31199999999999994</v>
      </c>
      <c r="M299" s="475">
        <v>0.44423076923076926</v>
      </c>
      <c r="N299" s="475">
        <v>0.40086956521739142</v>
      </c>
      <c r="O299" s="503"/>
    </row>
    <row r="300" spans="4:57" x14ac:dyDescent="0.2">
      <c r="D300" s="502"/>
      <c r="E300" s="504" t="s">
        <v>142</v>
      </c>
      <c r="F300" s="475">
        <v>0.40444444444444438</v>
      </c>
      <c r="G300" s="475">
        <v>0.42000000000000004</v>
      </c>
      <c r="H300" s="475">
        <v>0.45631578947368423</v>
      </c>
      <c r="I300" s="475">
        <v>0.34894736842105267</v>
      </c>
      <c r="J300" s="475">
        <v>0.40499999999999997</v>
      </c>
      <c r="K300" s="475">
        <v>0.32050000000000001</v>
      </c>
      <c r="L300" s="475">
        <v>0.31909090909090909</v>
      </c>
      <c r="M300" s="475">
        <v>0.44136363636363635</v>
      </c>
      <c r="N300" s="475">
        <v>0.4095454545454546</v>
      </c>
      <c r="O300" s="503"/>
    </row>
    <row r="301" spans="4:57" x14ac:dyDescent="0.2">
      <c r="D301" s="502"/>
      <c r="E301" s="504" t="s">
        <v>143</v>
      </c>
      <c r="F301" s="475">
        <v>0.47857142857142859</v>
      </c>
      <c r="G301" s="475">
        <v>0.43571428571428567</v>
      </c>
      <c r="H301" s="475">
        <v>0.4966666666666667</v>
      </c>
      <c r="I301" s="475">
        <v>0.39857142857142858</v>
      </c>
      <c r="J301" s="475">
        <v>0.46153846153846145</v>
      </c>
      <c r="K301" s="475">
        <v>0.38214285714285717</v>
      </c>
      <c r="L301" s="475">
        <v>0.35500000000000004</v>
      </c>
      <c r="M301" s="475">
        <v>0.51533333333333331</v>
      </c>
      <c r="N301" s="475">
        <v>0.46230769230769236</v>
      </c>
      <c r="O301" s="503"/>
    </row>
    <row r="302" spans="4:57" x14ac:dyDescent="0.2">
      <c r="D302" s="502"/>
      <c r="E302" s="504" t="s">
        <v>144</v>
      </c>
      <c r="F302" s="475">
        <v>0.40941176470588236</v>
      </c>
      <c r="G302" s="475">
        <v>0.37388888888888883</v>
      </c>
      <c r="H302" s="475">
        <v>0.4538888888888889</v>
      </c>
      <c r="I302" s="475">
        <v>0.32526315789473681</v>
      </c>
      <c r="J302" s="475">
        <v>0.39166666666666672</v>
      </c>
      <c r="K302" s="475">
        <v>0.30111111111111105</v>
      </c>
      <c r="L302" s="475">
        <v>0.28176470588235292</v>
      </c>
      <c r="M302" s="475">
        <v>0.4129411764705882</v>
      </c>
      <c r="N302" s="475">
        <v>0.41333333333333333</v>
      </c>
      <c r="O302" s="503"/>
    </row>
    <row r="303" spans="4:57" x14ac:dyDescent="0.2">
      <c r="D303" s="502"/>
      <c r="E303" s="504" t="s">
        <v>145</v>
      </c>
      <c r="F303" s="475">
        <v>0.4273333333333334</v>
      </c>
      <c r="G303" s="475">
        <v>0.44200000000000006</v>
      </c>
      <c r="H303" s="475">
        <v>0.46642857142857136</v>
      </c>
      <c r="I303" s="475">
        <v>0.36333333333333334</v>
      </c>
      <c r="J303" s="475">
        <v>0.45294117647058824</v>
      </c>
      <c r="K303" s="475">
        <v>0.33437499999999998</v>
      </c>
      <c r="L303" s="475">
        <v>0.3436842105263157</v>
      </c>
      <c r="M303" s="475">
        <v>0.44449999999999995</v>
      </c>
      <c r="N303" s="475">
        <v>0.45249999999999996</v>
      </c>
      <c r="O303" s="503"/>
    </row>
    <row r="304" spans="4:57" x14ac:dyDescent="0.2">
      <c r="D304" s="502"/>
      <c r="O304" s="503"/>
    </row>
    <row r="305" spans="4:15" x14ac:dyDescent="0.2">
      <c r="D305" s="502"/>
      <c r="F305">
        <v>2016</v>
      </c>
      <c r="G305">
        <v>2017</v>
      </c>
      <c r="H305">
        <v>2018</v>
      </c>
      <c r="I305">
        <v>2019</v>
      </c>
      <c r="J305">
        <v>2020</v>
      </c>
      <c r="K305">
        <v>2021</v>
      </c>
      <c r="L305">
        <v>2022</v>
      </c>
      <c r="M305">
        <v>2023</v>
      </c>
      <c r="N305">
        <v>2024</v>
      </c>
      <c r="O305" s="503"/>
    </row>
    <row r="306" spans="4:15" x14ac:dyDescent="0.2">
      <c r="D306" s="502"/>
      <c r="F306" s="201" t="s">
        <v>790</v>
      </c>
      <c r="G306" s="201" t="s">
        <v>790</v>
      </c>
      <c r="H306" s="201" t="s">
        <v>790</v>
      </c>
      <c r="I306" s="201" t="s">
        <v>790</v>
      </c>
      <c r="J306" s="201" t="s">
        <v>790</v>
      </c>
      <c r="K306" s="201" t="s">
        <v>790</v>
      </c>
      <c r="L306" s="201" t="s">
        <v>790</v>
      </c>
      <c r="M306" s="201" t="s">
        <v>790</v>
      </c>
      <c r="N306" s="201" t="s">
        <v>790</v>
      </c>
      <c r="O306" s="503"/>
    </row>
    <row r="307" spans="4:15" x14ac:dyDescent="0.2">
      <c r="D307" s="502"/>
      <c r="E307" s="504" t="s">
        <v>140</v>
      </c>
      <c r="F307" s="475">
        <v>0.55941176470588239</v>
      </c>
      <c r="G307" s="475">
        <v>0.46562499999999996</v>
      </c>
      <c r="H307" s="475">
        <v>0.49941176470588228</v>
      </c>
      <c r="I307" s="475">
        <v>0.42529411764705882</v>
      </c>
      <c r="J307" s="475">
        <v>0.3605882352941176</v>
      </c>
      <c r="K307" s="475">
        <v>0.53647058823529414</v>
      </c>
      <c r="L307" s="475">
        <v>0.44500000000000001</v>
      </c>
      <c r="M307" s="475">
        <v>0.48941176470588227</v>
      </c>
      <c r="N307" s="475">
        <v>0.32937500000000003</v>
      </c>
      <c r="O307" s="503"/>
    </row>
    <row r="308" spans="4:15" x14ac:dyDescent="0.2">
      <c r="D308" s="502"/>
      <c r="E308" s="504" t="s">
        <v>141</v>
      </c>
      <c r="F308" s="475">
        <v>0.51300000000000001</v>
      </c>
      <c r="G308" s="475">
        <v>0.44263157894736832</v>
      </c>
      <c r="H308" s="475">
        <v>0.48052631578947363</v>
      </c>
      <c r="I308" s="475">
        <v>0.39500000000000007</v>
      </c>
      <c r="J308" s="475">
        <v>0.36166666666666664</v>
      </c>
      <c r="K308" s="475">
        <v>0.52727272727272745</v>
      </c>
      <c r="L308" s="475">
        <v>0.39760000000000006</v>
      </c>
      <c r="M308" s="475">
        <v>0.45000000000000007</v>
      </c>
      <c r="N308" s="475">
        <v>0.29043478260869565</v>
      </c>
      <c r="O308" s="503"/>
    </row>
    <row r="309" spans="4:15" x14ac:dyDescent="0.2">
      <c r="D309" s="502"/>
      <c r="E309" s="504" t="s">
        <v>142</v>
      </c>
      <c r="F309" s="475">
        <v>0.51888888888888884</v>
      </c>
      <c r="G309" s="475">
        <v>0.44631578947368422</v>
      </c>
      <c r="H309" s="475">
        <v>0.47842105263157886</v>
      </c>
      <c r="I309" s="475">
        <v>0.39368421052631569</v>
      </c>
      <c r="J309" s="475">
        <v>0.34550000000000003</v>
      </c>
      <c r="K309" s="475">
        <v>0.51100000000000012</v>
      </c>
      <c r="L309" s="475">
        <v>0.40045454545454545</v>
      </c>
      <c r="M309" s="475">
        <v>0.4540909090909091</v>
      </c>
      <c r="N309" s="475">
        <v>0.30909090909090908</v>
      </c>
      <c r="O309" s="503"/>
    </row>
    <row r="310" spans="4:15" x14ac:dyDescent="0.2">
      <c r="D310" s="502"/>
      <c r="E310" s="504" t="s">
        <v>143</v>
      </c>
      <c r="F310" s="475">
        <v>0.59214285714285708</v>
      </c>
      <c r="G310" s="475">
        <v>0.49071428571428577</v>
      </c>
      <c r="H310" s="475">
        <v>0.51733333333333342</v>
      </c>
      <c r="I310" s="475">
        <v>0.43857142857142856</v>
      </c>
      <c r="J310" s="475">
        <v>0.41923076923076918</v>
      </c>
      <c r="K310" s="475">
        <v>0.56857142857142873</v>
      </c>
      <c r="L310" s="475">
        <v>0.47500000000000009</v>
      </c>
      <c r="M310" s="475">
        <v>0.54599999999999993</v>
      </c>
      <c r="N310" s="475">
        <v>0.37692307692307697</v>
      </c>
      <c r="O310" s="503"/>
    </row>
    <row r="311" spans="4:15" x14ac:dyDescent="0.2">
      <c r="D311" s="502"/>
      <c r="E311" s="504" t="s">
        <v>144</v>
      </c>
      <c r="F311" s="475">
        <v>0.53117647058823536</v>
      </c>
      <c r="G311" s="475">
        <v>0.435</v>
      </c>
      <c r="H311" s="475">
        <v>0.46444444444444444</v>
      </c>
      <c r="I311" s="475">
        <v>0.37894736842105264</v>
      </c>
      <c r="J311" s="475">
        <v>0.30444444444444441</v>
      </c>
      <c r="K311" s="475">
        <v>0.48444444444444446</v>
      </c>
      <c r="L311" s="475">
        <v>0.37823529411764706</v>
      </c>
      <c r="M311" s="475">
        <v>0.4205882352941176</v>
      </c>
      <c r="N311" s="475">
        <v>0.30666666666666664</v>
      </c>
      <c r="O311" s="503"/>
    </row>
    <row r="312" spans="4:15" x14ac:dyDescent="0.2">
      <c r="D312" s="502"/>
      <c r="E312" s="504" t="s">
        <v>145</v>
      </c>
      <c r="F312" s="475">
        <v>0.53599999999999992</v>
      </c>
      <c r="G312" s="475">
        <v>0.47666666666666668</v>
      </c>
      <c r="H312" s="475">
        <v>0.50357142857142856</v>
      </c>
      <c r="I312" s="475">
        <v>0.38933333333333336</v>
      </c>
      <c r="J312" s="475">
        <v>0.37882352941176473</v>
      </c>
      <c r="K312" s="475">
        <v>0.53437500000000004</v>
      </c>
      <c r="L312" s="475">
        <v>0.44210526315789478</v>
      </c>
      <c r="M312" s="475">
        <v>0.46149999999999991</v>
      </c>
      <c r="N312" s="475">
        <v>0.36500000000000005</v>
      </c>
      <c r="O312" s="503"/>
    </row>
    <row r="313" spans="4:15" x14ac:dyDescent="0.2">
      <c r="D313" s="505"/>
      <c r="E313" s="506"/>
      <c r="F313" s="506"/>
      <c r="G313" s="506"/>
      <c r="H313" s="506"/>
      <c r="I313" s="506"/>
      <c r="J313" s="506"/>
      <c r="K313" s="506"/>
      <c r="L313" s="506"/>
      <c r="M313" s="506"/>
      <c r="N313" s="506"/>
      <c r="O313" s="507"/>
    </row>
    <row r="315" spans="4:15" x14ac:dyDescent="0.2">
      <c r="D315" s="499"/>
      <c r="E315" s="500"/>
      <c r="F315" s="500"/>
      <c r="G315" s="500"/>
      <c r="H315" s="500"/>
      <c r="I315" s="500"/>
      <c r="J315" s="500"/>
      <c r="K315" s="500"/>
      <c r="L315" s="500"/>
      <c r="M315" s="500"/>
      <c r="N315" s="500"/>
      <c r="O315" s="501"/>
    </row>
    <row r="316" spans="4:15" ht="12.75" customHeight="1" x14ac:dyDescent="0.2">
      <c r="D316" s="502"/>
      <c r="E316" s="1054" t="s">
        <v>148</v>
      </c>
      <c r="F316" s="1054"/>
      <c r="G316" s="1054"/>
      <c r="H316" s="1054"/>
      <c r="I316" s="1054"/>
      <c r="J316" s="1054"/>
      <c r="K316" s="1054"/>
      <c r="L316" s="1054"/>
      <c r="M316" s="1054"/>
      <c r="N316" s="1054"/>
      <c r="O316" s="503"/>
    </row>
    <row r="317" spans="4:15" x14ac:dyDescent="0.2">
      <c r="D317" s="502"/>
      <c r="F317">
        <v>2016</v>
      </c>
      <c r="G317">
        <v>2017</v>
      </c>
      <c r="H317">
        <v>2018</v>
      </c>
      <c r="I317">
        <v>2019</v>
      </c>
      <c r="J317">
        <v>2020</v>
      </c>
      <c r="K317">
        <v>2021</v>
      </c>
      <c r="L317">
        <v>2022</v>
      </c>
      <c r="M317">
        <v>2023</v>
      </c>
      <c r="N317">
        <v>2024</v>
      </c>
      <c r="O317" s="503"/>
    </row>
    <row r="318" spans="4:15" x14ac:dyDescent="0.2">
      <c r="D318" s="502"/>
      <c r="F318" s="201" t="s">
        <v>788</v>
      </c>
      <c r="G318" s="201" t="s">
        <v>788</v>
      </c>
      <c r="H318" s="201" t="s">
        <v>788</v>
      </c>
      <c r="I318" s="201" t="s">
        <v>788</v>
      </c>
      <c r="J318" s="201" t="s">
        <v>788</v>
      </c>
      <c r="K318" s="201" t="s">
        <v>788</v>
      </c>
      <c r="L318" s="201" t="s">
        <v>788</v>
      </c>
      <c r="M318" s="201" t="s">
        <v>788</v>
      </c>
      <c r="N318" s="201" t="s">
        <v>788</v>
      </c>
      <c r="O318" s="503"/>
    </row>
    <row r="319" spans="4:15" x14ac:dyDescent="0.2">
      <c r="D319" s="502"/>
      <c r="E319" s="504" t="s">
        <v>140</v>
      </c>
      <c r="F319" s="475">
        <v>0.48749999999999999</v>
      </c>
      <c r="G319" s="475">
        <v>0.45500000000000002</v>
      </c>
      <c r="H319" s="475">
        <v>0.4325</v>
      </c>
      <c r="I319" s="475">
        <v>0.42249999999999999</v>
      </c>
      <c r="J319" s="475">
        <v>0.46249999999999997</v>
      </c>
      <c r="K319" s="475">
        <v>0.44749999999999995</v>
      </c>
      <c r="L319" s="475">
        <v>0.47199999999999998</v>
      </c>
      <c r="M319" s="475">
        <v>0.374</v>
      </c>
      <c r="N319" s="475">
        <v>0.45400000000000001</v>
      </c>
      <c r="O319" s="503"/>
    </row>
    <row r="320" spans="4:15" x14ac:dyDescent="0.2">
      <c r="D320" s="502"/>
      <c r="E320" s="504" t="s">
        <v>141</v>
      </c>
      <c r="F320" s="475">
        <v>0.49</v>
      </c>
      <c r="G320" s="475">
        <v>0.46499999999999997</v>
      </c>
      <c r="H320" s="475">
        <v>0.42499999999999999</v>
      </c>
      <c r="I320" s="475">
        <v>0.41000000000000003</v>
      </c>
      <c r="J320" s="475">
        <v>0.47499999999999998</v>
      </c>
      <c r="K320" s="475">
        <v>0.45500000000000002</v>
      </c>
      <c r="L320" s="475">
        <v>0.46749999999999997</v>
      </c>
      <c r="M320" s="475">
        <v>0.37</v>
      </c>
      <c r="N320" s="475">
        <v>0.44999999999999996</v>
      </c>
      <c r="O320" s="503"/>
    </row>
    <row r="321" spans="4:15" x14ac:dyDescent="0.2">
      <c r="D321" s="502"/>
      <c r="E321" s="504" t="s">
        <v>142</v>
      </c>
      <c r="F321" s="475">
        <v>0.48399999999999999</v>
      </c>
      <c r="G321" s="475">
        <v>0.48399999999999999</v>
      </c>
      <c r="H321" s="475">
        <v>0.42400000000000004</v>
      </c>
      <c r="I321" s="475">
        <v>0.42000000000000004</v>
      </c>
      <c r="J321" s="475">
        <v>0.47599999999999998</v>
      </c>
      <c r="K321" s="475">
        <v>0.44800000000000006</v>
      </c>
      <c r="L321" s="475">
        <v>0.47666666666666674</v>
      </c>
      <c r="M321" s="475">
        <v>0.3666666666666667</v>
      </c>
      <c r="N321" s="475">
        <v>0.45500000000000002</v>
      </c>
      <c r="O321" s="503"/>
    </row>
    <row r="322" spans="4:15" x14ac:dyDescent="0.2">
      <c r="D322" s="502"/>
      <c r="E322" s="504" t="s">
        <v>143</v>
      </c>
      <c r="F322" s="475">
        <v>0.52666666666666673</v>
      </c>
      <c r="G322" s="475">
        <v>0.51666666666666672</v>
      </c>
      <c r="H322" s="475">
        <v>0.505</v>
      </c>
      <c r="I322" s="475">
        <v>0.48833333333333345</v>
      </c>
      <c r="J322" s="475">
        <v>0.52833333333333343</v>
      </c>
      <c r="K322" s="475">
        <v>0.4916666666666667</v>
      </c>
      <c r="L322" s="475">
        <v>0.52166666666666672</v>
      </c>
      <c r="M322" s="475">
        <v>0.43166666666666664</v>
      </c>
      <c r="N322" s="475">
        <v>0.50333333333333341</v>
      </c>
      <c r="O322" s="503"/>
    </row>
    <row r="323" spans="4:15" x14ac:dyDescent="0.2">
      <c r="D323" s="502"/>
      <c r="E323" s="504" t="s">
        <v>144</v>
      </c>
      <c r="F323" s="475">
        <v>0.46499999999999997</v>
      </c>
      <c r="G323" s="475">
        <v>0.46499999999999997</v>
      </c>
      <c r="H323" s="475">
        <v>0.45499999999999996</v>
      </c>
      <c r="I323" s="475">
        <v>0.42499999999999999</v>
      </c>
      <c r="J323" s="475">
        <v>0.47</v>
      </c>
      <c r="K323" s="475">
        <v>0.44</v>
      </c>
      <c r="L323" s="475">
        <v>0.46</v>
      </c>
      <c r="M323" s="475">
        <v>0.38</v>
      </c>
      <c r="N323" s="475">
        <v>0.41333333333333333</v>
      </c>
      <c r="O323" s="503"/>
    </row>
    <row r="324" spans="4:15" x14ac:dyDescent="0.2">
      <c r="D324" s="502"/>
      <c r="E324" s="504" t="s">
        <v>145</v>
      </c>
      <c r="F324" s="475">
        <v>0.5033333333333333</v>
      </c>
      <c r="G324" s="475">
        <v>0.49666666666666665</v>
      </c>
      <c r="H324" s="475">
        <v>0.45999999999999996</v>
      </c>
      <c r="I324" s="475">
        <v>0.44</v>
      </c>
      <c r="J324" s="475">
        <v>0.46666666666666662</v>
      </c>
      <c r="K324" s="475">
        <v>0.47666666666666663</v>
      </c>
      <c r="L324" s="475">
        <v>0.49333333333333335</v>
      </c>
      <c r="M324" s="475">
        <v>0.38666666666666671</v>
      </c>
      <c r="N324" s="475">
        <v>0.46249999999999997</v>
      </c>
      <c r="O324" s="503"/>
    </row>
    <row r="325" spans="4:15" x14ac:dyDescent="0.2">
      <c r="D325" s="502"/>
      <c r="O325" s="503"/>
    </row>
    <row r="326" spans="4:15" x14ac:dyDescent="0.2">
      <c r="D326" s="502"/>
      <c r="E326" s="1054" t="s">
        <v>148</v>
      </c>
      <c r="F326" s="1054"/>
      <c r="G326" s="1054"/>
      <c r="H326" s="1054"/>
      <c r="I326" s="1054"/>
      <c r="J326" s="1054"/>
      <c r="K326" s="1054"/>
      <c r="L326" s="1054"/>
      <c r="M326" s="1054"/>
      <c r="N326" s="1054"/>
      <c r="O326" s="503"/>
    </row>
    <row r="327" spans="4:15" x14ac:dyDescent="0.2">
      <c r="D327" s="502"/>
      <c r="F327">
        <v>2016</v>
      </c>
      <c r="G327">
        <v>2017</v>
      </c>
      <c r="H327">
        <v>2018</v>
      </c>
      <c r="I327">
        <v>2019</v>
      </c>
      <c r="J327">
        <v>2020</v>
      </c>
      <c r="K327">
        <v>2021</v>
      </c>
      <c r="L327">
        <v>2022</v>
      </c>
      <c r="M327">
        <v>2023</v>
      </c>
      <c r="N327">
        <v>2024</v>
      </c>
      <c r="O327" s="503"/>
    </row>
    <row r="328" spans="4:15" x14ac:dyDescent="0.2">
      <c r="D328" s="502"/>
      <c r="F328" s="201" t="s">
        <v>789</v>
      </c>
      <c r="G328" s="201" t="s">
        <v>789</v>
      </c>
      <c r="H328" s="201" t="s">
        <v>789</v>
      </c>
      <c r="I328" s="201" t="s">
        <v>789</v>
      </c>
      <c r="J328" t="s">
        <v>789</v>
      </c>
      <c r="K328" s="201" t="s">
        <v>789</v>
      </c>
      <c r="L328" s="201" t="s">
        <v>789</v>
      </c>
      <c r="M328" s="201" t="s">
        <v>789</v>
      </c>
      <c r="N328" s="201" t="s">
        <v>789</v>
      </c>
      <c r="O328" s="503"/>
    </row>
    <row r="329" spans="4:15" x14ac:dyDescent="0.2">
      <c r="D329" s="502"/>
      <c r="E329" s="504" t="s">
        <v>140</v>
      </c>
      <c r="F329" s="475">
        <v>0.43499999999999994</v>
      </c>
      <c r="G329" s="475">
        <v>0.42000000000000004</v>
      </c>
      <c r="H329" s="475">
        <v>0.48499999999999999</v>
      </c>
      <c r="I329" s="475">
        <v>0.36250000000000004</v>
      </c>
      <c r="J329" s="475">
        <v>0.41749999999999998</v>
      </c>
      <c r="K329" s="475">
        <v>0.34</v>
      </c>
      <c r="L329" s="475">
        <v>0.35199999999999998</v>
      </c>
      <c r="M329" s="475">
        <v>0.49800000000000005</v>
      </c>
      <c r="N329" s="475">
        <v>0.45400000000000001</v>
      </c>
      <c r="O329" s="503"/>
    </row>
    <row r="330" spans="4:15" x14ac:dyDescent="0.2">
      <c r="D330" s="502"/>
      <c r="E330" s="504" t="s">
        <v>141</v>
      </c>
      <c r="F330" s="475">
        <v>0.43</v>
      </c>
      <c r="G330" s="475">
        <v>0.43</v>
      </c>
      <c r="H330" s="475">
        <v>0.495</v>
      </c>
      <c r="I330" s="475">
        <v>0.36</v>
      </c>
      <c r="J330" s="475">
        <v>0.42499999999999999</v>
      </c>
      <c r="K330" s="475">
        <v>0.36</v>
      </c>
      <c r="L330" s="475">
        <v>0.36</v>
      </c>
      <c r="M330" s="475">
        <v>0.47249999999999998</v>
      </c>
      <c r="N330" s="475">
        <v>0.44750000000000001</v>
      </c>
      <c r="O330" s="503"/>
    </row>
    <row r="331" spans="4:15" x14ac:dyDescent="0.2">
      <c r="D331" s="502"/>
      <c r="E331" s="504" t="s">
        <v>142</v>
      </c>
      <c r="F331" s="475">
        <v>0.47400000000000003</v>
      </c>
      <c r="G331" s="475">
        <v>0.42599999999999999</v>
      </c>
      <c r="H331" s="475">
        <v>0.47599999999999998</v>
      </c>
      <c r="I331" s="475">
        <v>0.38600000000000001</v>
      </c>
      <c r="J331" s="475">
        <v>0.43600000000000005</v>
      </c>
      <c r="K331" s="475">
        <v>0.34799999999999998</v>
      </c>
      <c r="L331" s="475">
        <v>0.34666666666666668</v>
      </c>
      <c r="M331" s="475">
        <v>0.46833333333333327</v>
      </c>
      <c r="N331" s="475">
        <v>0.44</v>
      </c>
      <c r="O331" s="503"/>
    </row>
    <row r="332" spans="4:15" x14ac:dyDescent="0.2">
      <c r="D332" s="502"/>
      <c r="E332" s="504" t="s">
        <v>143</v>
      </c>
      <c r="F332" s="475">
        <v>0.48833333333333345</v>
      </c>
      <c r="G332" s="475">
        <v>0.47833333333333333</v>
      </c>
      <c r="H332" s="475">
        <v>0.53833333333333333</v>
      </c>
      <c r="I332" s="475">
        <v>0.435</v>
      </c>
      <c r="J332" s="475">
        <v>0.48833333333333334</v>
      </c>
      <c r="K332" s="475">
        <v>0.42</v>
      </c>
      <c r="L332" s="475">
        <v>0.40333333333333338</v>
      </c>
      <c r="M332" s="475">
        <v>0.54500000000000004</v>
      </c>
      <c r="N332" s="475">
        <v>0.505</v>
      </c>
      <c r="O332" s="503"/>
    </row>
    <row r="333" spans="4:15" x14ac:dyDescent="0.2">
      <c r="D333" s="502"/>
      <c r="E333" s="504" t="s">
        <v>144</v>
      </c>
      <c r="F333" s="475">
        <v>0.43</v>
      </c>
      <c r="G333" s="475">
        <v>0.435</v>
      </c>
      <c r="H333" s="475">
        <v>0.495</v>
      </c>
      <c r="I333" s="475">
        <v>0.36499999999999999</v>
      </c>
      <c r="J333" s="475">
        <v>0.44500000000000001</v>
      </c>
      <c r="K333" s="475">
        <v>0.33999999999999997</v>
      </c>
      <c r="L333" s="475">
        <v>0.34499999999999997</v>
      </c>
      <c r="M333" s="475">
        <v>0.48499999999999999</v>
      </c>
      <c r="N333" s="475">
        <v>0.41333333333333333</v>
      </c>
      <c r="O333" s="503"/>
    </row>
    <row r="334" spans="4:15" x14ac:dyDescent="0.2">
      <c r="D334" s="502"/>
      <c r="E334" s="504" t="s">
        <v>145</v>
      </c>
      <c r="F334" s="475">
        <v>0.46666666666666662</v>
      </c>
      <c r="G334" s="475">
        <v>0.4466666666666666</v>
      </c>
      <c r="H334" s="475">
        <v>0.49666666666666665</v>
      </c>
      <c r="I334" s="475">
        <v>0.3833333333333333</v>
      </c>
      <c r="J334" s="475">
        <v>0.45</v>
      </c>
      <c r="K334" s="475">
        <v>0.36999999999999994</v>
      </c>
      <c r="L334" s="475">
        <v>0.3666666666666667</v>
      </c>
      <c r="M334" s="475">
        <v>0.51</v>
      </c>
      <c r="N334" s="475">
        <v>0.45249999999999996</v>
      </c>
      <c r="O334" s="503"/>
    </row>
    <row r="335" spans="4:15" x14ac:dyDescent="0.2">
      <c r="D335" s="502"/>
      <c r="O335" s="503"/>
    </row>
    <row r="336" spans="4:15" x14ac:dyDescent="0.2">
      <c r="D336" s="502"/>
      <c r="E336" s="1054" t="s">
        <v>148</v>
      </c>
      <c r="F336" s="1054"/>
      <c r="G336" s="1054"/>
      <c r="H336" s="1054"/>
      <c r="I336" s="1054"/>
      <c r="J336" s="1054"/>
      <c r="K336" s="1054"/>
      <c r="L336" s="1054"/>
      <c r="M336" s="1054"/>
      <c r="N336" s="1054"/>
      <c r="O336" s="503"/>
    </row>
    <row r="337" spans="4:15" x14ac:dyDescent="0.2">
      <c r="D337" s="502"/>
      <c r="F337">
        <v>2016</v>
      </c>
      <c r="G337">
        <v>2017</v>
      </c>
      <c r="H337">
        <v>2018</v>
      </c>
      <c r="I337">
        <v>2019</v>
      </c>
      <c r="J337">
        <v>2020</v>
      </c>
      <c r="K337">
        <v>2021</v>
      </c>
      <c r="L337">
        <v>2022</v>
      </c>
      <c r="M337">
        <v>2023</v>
      </c>
      <c r="N337">
        <v>2024</v>
      </c>
      <c r="O337" s="503"/>
    </row>
    <row r="338" spans="4:15" x14ac:dyDescent="0.2">
      <c r="D338" s="502"/>
      <c r="F338" s="201" t="s">
        <v>790</v>
      </c>
      <c r="G338" s="201" t="s">
        <v>790</v>
      </c>
      <c r="H338" s="201" t="s">
        <v>790</v>
      </c>
      <c r="I338" s="201" t="s">
        <v>790</v>
      </c>
      <c r="J338" t="s">
        <v>790</v>
      </c>
      <c r="K338" s="201" t="s">
        <v>790</v>
      </c>
      <c r="L338" s="201" t="s">
        <v>790</v>
      </c>
      <c r="M338" s="201" t="s">
        <v>790</v>
      </c>
      <c r="N338" s="201" t="s">
        <v>790</v>
      </c>
      <c r="O338" s="503"/>
    </row>
    <row r="339" spans="4:15" x14ac:dyDescent="0.2">
      <c r="D339" s="502"/>
      <c r="E339" s="504" t="s">
        <v>140</v>
      </c>
      <c r="F339" s="475">
        <v>0.55000000000000004</v>
      </c>
      <c r="G339" s="475">
        <v>0.45249999999999996</v>
      </c>
      <c r="H339" s="475">
        <v>0.505</v>
      </c>
      <c r="I339" s="475">
        <v>0.41500000000000004</v>
      </c>
      <c r="J339" s="475">
        <v>0.35499999999999998</v>
      </c>
      <c r="K339" s="475">
        <v>0.54749999999999999</v>
      </c>
      <c r="L339" s="475">
        <v>0.45599999999999996</v>
      </c>
      <c r="M339" s="475">
        <v>0.51400000000000001</v>
      </c>
      <c r="N339" s="475">
        <v>0.36199999999999999</v>
      </c>
      <c r="O339" s="503"/>
    </row>
    <row r="340" spans="4:15" x14ac:dyDescent="0.2">
      <c r="D340" s="502"/>
      <c r="E340" s="504" t="s">
        <v>141</v>
      </c>
      <c r="F340" s="475">
        <v>0.54499999999999993</v>
      </c>
      <c r="G340" s="475">
        <v>0.47499999999999998</v>
      </c>
      <c r="H340" s="475">
        <v>0.505</v>
      </c>
      <c r="I340" s="475">
        <v>0.42</v>
      </c>
      <c r="J340" s="475">
        <v>0.36</v>
      </c>
      <c r="K340" s="475">
        <v>0.55000000000000004</v>
      </c>
      <c r="L340" s="475">
        <v>0.45499999999999996</v>
      </c>
      <c r="M340" s="475">
        <v>0.4975</v>
      </c>
      <c r="N340" s="475">
        <v>0.33499999999999996</v>
      </c>
      <c r="O340" s="503"/>
    </row>
    <row r="341" spans="4:15" x14ac:dyDescent="0.2">
      <c r="D341" s="502"/>
      <c r="E341" s="504" t="s">
        <v>142</v>
      </c>
      <c r="F341" s="475">
        <v>0.53800000000000003</v>
      </c>
      <c r="G341" s="475">
        <v>0.46600000000000003</v>
      </c>
      <c r="H341" s="475">
        <v>0.504</v>
      </c>
      <c r="I341" s="475">
        <v>0.42599999999999999</v>
      </c>
      <c r="J341" s="475">
        <v>0.37799999999999995</v>
      </c>
      <c r="K341" s="475">
        <v>0.54600000000000004</v>
      </c>
      <c r="L341" s="475">
        <v>0.44</v>
      </c>
      <c r="M341" s="475">
        <v>0.4916666666666667</v>
      </c>
      <c r="N341" s="475">
        <v>0.34333333333333332</v>
      </c>
      <c r="O341" s="503"/>
    </row>
    <row r="342" spans="4:15" x14ac:dyDescent="0.2">
      <c r="D342" s="502"/>
      <c r="E342" s="504" t="s">
        <v>143</v>
      </c>
      <c r="F342" s="475">
        <v>0.61833333333333329</v>
      </c>
      <c r="G342" s="475">
        <v>0.52166666666666661</v>
      </c>
      <c r="H342" s="475">
        <v>0.55333333333333334</v>
      </c>
      <c r="I342" s="475">
        <v>0.47499999999999992</v>
      </c>
      <c r="J342" s="475">
        <v>0.4316666666666667</v>
      </c>
      <c r="K342" s="475">
        <v>0.59499999999999997</v>
      </c>
      <c r="L342" s="475">
        <v>0.52</v>
      </c>
      <c r="M342" s="475">
        <v>0.57666666666666666</v>
      </c>
      <c r="N342" s="475">
        <v>0.435</v>
      </c>
      <c r="O342" s="503"/>
    </row>
    <row r="343" spans="4:15" x14ac:dyDescent="0.2">
      <c r="D343" s="502"/>
      <c r="E343" s="504" t="s">
        <v>144</v>
      </c>
      <c r="F343" s="475">
        <v>0.53500000000000003</v>
      </c>
      <c r="G343" s="475">
        <v>0.48499999999999999</v>
      </c>
      <c r="H343" s="475">
        <v>0.52500000000000002</v>
      </c>
      <c r="I343" s="475">
        <v>0.43</v>
      </c>
      <c r="J343" s="475">
        <v>0.36499999999999999</v>
      </c>
      <c r="K343" s="475">
        <v>0.54500000000000004</v>
      </c>
      <c r="L343" s="475">
        <v>0.44</v>
      </c>
      <c r="M343" s="475">
        <v>0.5</v>
      </c>
      <c r="N343" s="475">
        <v>0.30666666666666664</v>
      </c>
      <c r="O343" s="503"/>
    </row>
    <row r="344" spans="4:15" x14ac:dyDescent="0.2">
      <c r="D344" s="502"/>
      <c r="E344" s="504" t="s">
        <v>145</v>
      </c>
      <c r="F344" s="475">
        <v>0.54666666666666652</v>
      </c>
      <c r="G344" s="475">
        <v>0.49666666666666665</v>
      </c>
      <c r="H344" s="475">
        <v>0.51333333333333331</v>
      </c>
      <c r="I344" s="475">
        <v>0.43</v>
      </c>
      <c r="J344" s="475">
        <v>0.38000000000000006</v>
      </c>
      <c r="K344" s="475">
        <v>0.56666666666666676</v>
      </c>
      <c r="L344" s="475">
        <v>0.46666666666666662</v>
      </c>
      <c r="M344" s="475">
        <v>0.52333333333333332</v>
      </c>
      <c r="N344" s="475">
        <v>0.36500000000000005</v>
      </c>
      <c r="O344" s="503"/>
    </row>
    <row r="345" spans="4:15" x14ac:dyDescent="0.2">
      <c r="D345" s="505"/>
      <c r="E345" s="506"/>
      <c r="F345" s="506"/>
      <c r="G345" s="506"/>
      <c r="H345" s="506"/>
      <c r="I345" s="506"/>
      <c r="J345" s="506"/>
      <c r="K345" s="506"/>
      <c r="L345" s="506"/>
      <c r="M345" s="506"/>
      <c r="N345" s="506"/>
      <c r="O345" s="507"/>
    </row>
    <row r="347" spans="4:15" x14ac:dyDescent="0.2">
      <c r="D347" s="499"/>
      <c r="E347" s="500"/>
      <c r="F347" s="500"/>
      <c r="G347" s="500"/>
      <c r="H347" s="500"/>
      <c r="I347" s="500"/>
      <c r="J347" s="500"/>
      <c r="K347" s="500"/>
      <c r="L347" s="500"/>
      <c r="M347" s="500"/>
      <c r="N347" s="500"/>
      <c r="O347" s="501"/>
    </row>
    <row r="348" spans="4:15" x14ac:dyDescent="0.2">
      <c r="D348" s="502"/>
      <c r="E348" s="1054" t="s">
        <v>149</v>
      </c>
      <c r="F348" s="1054"/>
      <c r="G348" s="1054"/>
      <c r="H348" s="1054"/>
      <c r="I348" s="1054"/>
      <c r="J348" s="1054"/>
      <c r="K348" s="1054"/>
      <c r="L348" s="1054"/>
      <c r="M348" s="1054"/>
      <c r="N348" s="1054"/>
      <c r="O348" s="503"/>
    </row>
    <row r="349" spans="4:15" x14ac:dyDescent="0.2">
      <c r="D349" s="502"/>
      <c r="F349">
        <v>2016</v>
      </c>
      <c r="G349">
        <v>2017</v>
      </c>
      <c r="H349">
        <v>2018</v>
      </c>
      <c r="I349">
        <v>2019</v>
      </c>
      <c r="J349">
        <v>2020</v>
      </c>
      <c r="K349">
        <v>2021</v>
      </c>
      <c r="L349">
        <v>2022</v>
      </c>
      <c r="M349">
        <v>2023</v>
      </c>
      <c r="N349">
        <v>2024</v>
      </c>
      <c r="O349" s="503"/>
    </row>
    <row r="350" spans="4:15" x14ac:dyDescent="0.2">
      <c r="D350" s="502"/>
      <c r="F350" s="201" t="s">
        <v>788</v>
      </c>
      <c r="G350" s="201" t="s">
        <v>788</v>
      </c>
      <c r="H350" s="201" t="s">
        <v>788</v>
      </c>
      <c r="I350" s="201" t="s">
        <v>788</v>
      </c>
      <c r="J350" s="201" t="s">
        <v>788</v>
      </c>
      <c r="K350" s="201" t="s">
        <v>788</v>
      </c>
      <c r="L350" s="201" t="s">
        <v>788</v>
      </c>
      <c r="M350" s="201" t="s">
        <v>788</v>
      </c>
      <c r="N350" s="201" t="s">
        <v>788</v>
      </c>
      <c r="O350" s="503"/>
    </row>
    <row r="351" spans="4:15" x14ac:dyDescent="0.2">
      <c r="D351" s="502"/>
      <c r="E351" s="504" t="s">
        <v>140</v>
      </c>
      <c r="F351" s="475">
        <v>0.47999999999999987</v>
      </c>
      <c r="G351" s="475">
        <v>0.48833333333333334</v>
      </c>
      <c r="H351" s="475">
        <v>0.44307692307692303</v>
      </c>
      <c r="I351" s="475">
        <v>0.42</v>
      </c>
      <c r="J351" s="475">
        <v>0.4646153846153846</v>
      </c>
      <c r="K351" s="475">
        <v>0.42692307692307696</v>
      </c>
      <c r="L351" s="475">
        <v>0.45461538461538453</v>
      </c>
      <c r="M351" s="475">
        <v>0.34666666666666668</v>
      </c>
      <c r="N351" s="475">
        <v>0.43000000000000005</v>
      </c>
      <c r="O351" s="503"/>
    </row>
    <row r="352" spans="4:15" x14ac:dyDescent="0.2">
      <c r="D352" s="502"/>
      <c r="E352" s="504" t="s">
        <v>141</v>
      </c>
      <c r="F352" s="475">
        <v>0.45222222222222225</v>
      </c>
      <c r="G352" s="475">
        <v>0.44588235294117651</v>
      </c>
      <c r="H352" s="475">
        <v>0.41411764705882348</v>
      </c>
      <c r="I352" s="475">
        <v>0.38777777777777783</v>
      </c>
      <c r="J352" s="475">
        <v>0.43090909090909091</v>
      </c>
      <c r="K352" s="475">
        <v>0.4335</v>
      </c>
      <c r="L352" s="475">
        <v>0.42904761904761912</v>
      </c>
      <c r="M352" s="475">
        <v>0.33681818181818185</v>
      </c>
      <c r="N352" s="475">
        <v>0.37736842105263158</v>
      </c>
      <c r="O352" s="503"/>
    </row>
    <row r="353" spans="4:15" x14ac:dyDescent="0.2">
      <c r="D353" s="502"/>
      <c r="E353" s="504" t="s">
        <v>142</v>
      </c>
      <c r="F353" s="475">
        <v>0.46384615384615385</v>
      </c>
      <c r="G353" s="475">
        <v>0.44857142857142851</v>
      </c>
      <c r="H353" s="475">
        <v>0.39785714285714296</v>
      </c>
      <c r="I353" s="475">
        <v>0.39357142857142863</v>
      </c>
      <c r="J353" s="475">
        <v>0.4386666666666667</v>
      </c>
      <c r="K353" s="475">
        <v>0.4</v>
      </c>
      <c r="L353" s="475">
        <v>0.42000000000000004</v>
      </c>
      <c r="M353" s="475">
        <v>0.33187499999999998</v>
      </c>
      <c r="N353" s="475">
        <v>0.40500000000000008</v>
      </c>
      <c r="O353" s="503"/>
    </row>
    <row r="354" spans="4:15" x14ac:dyDescent="0.2">
      <c r="D354" s="502"/>
      <c r="E354" s="504" t="s">
        <v>143</v>
      </c>
      <c r="F354" s="475">
        <v>0.52124999999999999</v>
      </c>
      <c r="G354" s="475">
        <v>0.44375000000000003</v>
      </c>
      <c r="H354" s="475">
        <v>0.4022222222222222</v>
      </c>
      <c r="I354" s="475">
        <v>0.39999999999999997</v>
      </c>
      <c r="J354" s="475">
        <v>0.48857142857142855</v>
      </c>
      <c r="K354" s="475">
        <v>0.43875000000000003</v>
      </c>
      <c r="L354" s="475">
        <v>0.44624999999999998</v>
      </c>
      <c r="M354" s="475">
        <v>0.4022222222222222</v>
      </c>
      <c r="N354" s="475">
        <v>0.42285714285714288</v>
      </c>
      <c r="O354" s="503"/>
    </row>
    <row r="355" spans="4:15" x14ac:dyDescent="0.2">
      <c r="D355" s="502"/>
      <c r="E355" s="504" t="s">
        <v>144</v>
      </c>
      <c r="F355" s="475">
        <v>0.43200000000000005</v>
      </c>
      <c r="G355" s="475">
        <v>0.426875</v>
      </c>
      <c r="H355" s="475">
        <v>0.38750000000000001</v>
      </c>
      <c r="I355" s="475">
        <v>0.36941176470588233</v>
      </c>
      <c r="J355" s="475">
        <v>0.42250000000000004</v>
      </c>
      <c r="K355" s="475">
        <v>0.38500000000000001</v>
      </c>
      <c r="L355" s="475">
        <v>0.40599999999999992</v>
      </c>
      <c r="M355" s="475">
        <v>0.30000000000000004</v>
      </c>
      <c r="N355" s="475">
        <v>0.40266666666666673</v>
      </c>
      <c r="O355" s="503"/>
    </row>
    <row r="356" spans="4:15" x14ac:dyDescent="0.2">
      <c r="D356" s="502"/>
      <c r="E356" s="504" t="s">
        <v>145</v>
      </c>
      <c r="F356" s="475">
        <v>0.47250000000000009</v>
      </c>
      <c r="G356" s="475">
        <v>0.47333333333333338</v>
      </c>
      <c r="H356" s="475">
        <v>0.41727272727272724</v>
      </c>
      <c r="I356" s="475">
        <v>0.40749999999999997</v>
      </c>
      <c r="J356" s="475">
        <v>0.48928571428571427</v>
      </c>
      <c r="K356" s="475">
        <v>0.44923076923076916</v>
      </c>
      <c r="L356" s="475">
        <v>0.46250000000000002</v>
      </c>
      <c r="M356" s="475">
        <v>0.3394117647058823</v>
      </c>
      <c r="N356" s="475">
        <v>0.43142857142857144</v>
      </c>
      <c r="O356" s="503"/>
    </row>
    <row r="357" spans="4:15" x14ac:dyDescent="0.2">
      <c r="D357" s="502"/>
      <c r="O357" s="503"/>
    </row>
    <row r="358" spans="4:15" x14ac:dyDescent="0.2">
      <c r="D358" s="502"/>
      <c r="E358" s="1054" t="s">
        <v>149</v>
      </c>
      <c r="F358" s="1054"/>
      <c r="G358" s="1054"/>
      <c r="H358" s="1054"/>
      <c r="I358" s="1054"/>
      <c r="J358" s="1054"/>
      <c r="K358" s="1054"/>
      <c r="L358" s="1054"/>
      <c r="M358" s="1054"/>
      <c r="N358" s="1054"/>
      <c r="O358" s="503"/>
    </row>
    <row r="359" spans="4:15" x14ac:dyDescent="0.2">
      <c r="D359" s="502"/>
      <c r="F359">
        <v>2016</v>
      </c>
      <c r="G359">
        <v>2017</v>
      </c>
      <c r="H359">
        <v>2018</v>
      </c>
      <c r="I359">
        <v>2019</v>
      </c>
      <c r="J359">
        <v>2020</v>
      </c>
      <c r="K359">
        <v>2021</v>
      </c>
      <c r="L359">
        <v>2022</v>
      </c>
      <c r="M359">
        <v>2023</v>
      </c>
      <c r="N359">
        <v>2024</v>
      </c>
      <c r="O359" s="503"/>
    </row>
    <row r="360" spans="4:15" x14ac:dyDescent="0.2">
      <c r="D360" s="502"/>
      <c r="F360" s="201" t="s">
        <v>789</v>
      </c>
      <c r="G360" s="201" t="s">
        <v>789</v>
      </c>
      <c r="H360" s="201" t="s">
        <v>789</v>
      </c>
      <c r="I360" s="201" t="s">
        <v>789</v>
      </c>
      <c r="J360" s="201" t="s">
        <v>789</v>
      </c>
      <c r="K360" s="201" t="s">
        <v>789</v>
      </c>
      <c r="L360" s="201" t="s">
        <v>789</v>
      </c>
      <c r="M360" s="201" t="s">
        <v>789</v>
      </c>
      <c r="N360" s="201" t="s">
        <v>789</v>
      </c>
      <c r="O360" s="503"/>
    </row>
    <row r="361" spans="4:15" x14ac:dyDescent="0.2">
      <c r="D361" s="502"/>
      <c r="E361" s="504" t="s">
        <v>140</v>
      </c>
      <c r="F361" s="475">
        <v>0.43461538461538463</v>
      </c>
      <c r="G361" s="475">
        <v>0.45500000000000007</v>
      </c>
      <c r="H361" s="475">
        <v>0.47000000000000003</v>
      </c>
      <c r="I361" s="475">
        <v>0.36692307692307691</v>
      </c>
      <c r="J361" s="475">
        <v>0.44153846153846155</v>
      </c>
      <c r="K361" s="475">
        <v>0.31538461538461537</v>
      </c>
      <c r="L361" s="475">
        <v>0.33076923076923076</v>
      </c>
      <c r="M361" s="475">
        <v>0.45083333333333336</v>
      </c>
      <c r="N361" s="475">
        <v>0.43454545454545462</v>
      </c>
      <c r="O361" s="503"/>
    </row>
    <row r="362" spans="4:15" x14ac:dyDescent="0.2">
      <c r="D362" s="502"/>
      <c r="E362" s="504" t="s">
        <v>141</v>
      </c>
      <c r="F362" s="475">
        <v>0.41055555555555551</v>
      </c>
      <c r="G362" s="475">
        <v>0.40588235294117647</v>
      </c>
      <c r="H362" s="475">
        <v>0.4629411764705883</v>
      </c>
      <c r="I362" s="475">
        <v>0.33777777777777779</v>
      </c>
      <c r="J362" s="475">
        <v>0.41636363636363638</v>
      </c>
      <c r="K362" s="475">
        <v>0.33399999999999996</v>
      </c>
      <c r="L362" s="475">
        <v>0.30285714285714282</v>
      </c>
      <c r="M362" s="475">
        <v>0.43909090909090903</v>
      </c>
      <c r="N362" s="475">
        <v>0.39105263157894743</v>
      </c>
      <c r="O362" s="503"/>
    </row>
    <row r="363" spans="4:15" x14ac:dyDescent="0.2">
      <c r="D363" s="502"/>
      <c r="E363" s="504" t="s">
        <v>142</v>
      </c>
      <c r="F363" s="475">
        <v>0.37769230769230772</v>
      </c>
      <c r="G363" s="475">
        <v>0.41785714285714282</v>
      </c>
      <c r="H363" s="475">
        <v>0.44928571428571429</v>
      </c>
      <c r="I363" s="475">
        <v>0.33571428571428574</v>
      </c>
      <c r="J363" s="475">
        <v>0.39466666666666667</v>
      </c>
      <c r="K363" s="475">
        <v>0.31133333333333335</v>
      </c>
      <c r="L363" s="475">
        <v>0.30874999999999997</v>
      </c>
      <c r="M363" s="475">
        <v>0.43124999999999997</v>
      </c>
      <c r="N363" s="475">
        <v>0.39812499999999995</v>
      </c>
      <c r="O363" s="503"/>
    </row>
    <row r="364" spans="4:15" x14ac:dyDescent="0.2">
      <c r="D364" s="502"/>
      <c r="E364" s="504" t="s">
        <v>143</v>
      </c>
      <c r="F364" s="475">
        <v>0.47125</v>
      </c>
      <c r="G364" s="475">
        <v>0.40374999999999994</v>
      </c>
      <c r="H364" s="475">
        <v>0.46888888888888886</v>
      </c>
      <c r="I364" s="475">
        <v>0.37124999999999997</v>
      </c>
      <c r="J364" s="475">
        <v>0.43857142857142856</v>
      </c>
      <c r="K364" s="475">
        <v>0.35375000000000001</v>
      </c>
      <c r="L364" s="475">
        <v>0.31874999999999998</v>
      </c>
      <c r="M364" s="475">
        <v>0.49555555555555564</v>
      </c>
      <c r="N364" s="475">
        <v>0.42571428571428566</v>
      </c>
      <c r="O364" s="503"/>
    </row>
    <row r="365" spans="4:15" x14ac:dyDescent="0.2">
      <c r="D365" s="502"/>
      <c r="E365" s="504" t="s">
        <v>144</v>
      </c>
      <c r="F365" s="475">
        <v>0.40666666666666668</v>
      </c>
      <c r="G365" s="475">
        <v>0.36624999999999996</v>
      </c>
      <c r="H365" s="475">
        <v>0.44874999999999998</v>
      </c>
      <c r="I365" s="475">
        <v>0.32058823529411767</v>
      </c>
      <c r="J365" s="475">
        <v>0.38500000000000001</v>
      </c>
      <c r="K365" s="475">
        <v>0.29624999999999996</v>
      </c>
      <c r="L365" s="475">
        <v>0.27333333333333332</v>
      </c>
      <c r="M365" s="475">
        <v>0.40333333333333332</v>
      </c>
      <c r="N365" s="475">
        <v>0.40866666666666668</v>
      </c>
      <c r="O365" s="503"/>
    </row>
    <row r="366" spans="4:15" x14ac:dyDescent="0.2">
      <c r="D366" s="502"/>
      <c r="E366" s="504" t="s">
        <v>145</v>
      </c>
      <c r="F366" s="475">
        <v>0.41749999999999998</v>
      </c>
      <c r="G366" s="475">
        <v>0.44083333333333335</v>
      </c>
      <c r="H366" s="475">
        <v>0.45818181818181808</v>
      </c>
      <c r="I366" s="475">
        <v>0.35833333333333334</v>
      </c>
      <c r="J366" s="475">
        <v>0.45357142857142863</v>
      </c>
      <c r="K366" s="475">
        <v>0.32615384615384618</v>
      </c>
      <c r="L366" s="475">
        <v>0.33937499999999998</v>
      </c>
      <c r="M366" s="475">
        <v>0.43294117647058827</v>
      </c>
      <c r="N366" s="475">
        <v>0.4107142857142857</v>
      </c>
      <c r="O366" s="503"/>
    </row>
    <row r="367" spans="4:15" x14ac:dyDescent="0.2">
      <c r="D367" s="502"/>
      <c r="O367" s="503"/>
    </row>
    <row r="368" spans="4:15" x14ac:dyDescent="0.2">
      <c r="D368" s="502"/>
      <c r="E368" s="1054" t="s">
        <v>149</v>
      </c>
      <c r="F368" s="1054"/>
      <c r="G368" s="1054"/>
      <c r="H368" s="1054"/>
      <c r="I368" s="1054"/>
      <c r="J368" s="1054"/>
      <c r="K368" s="1054"/>
      <c r="L368" s="1054"/>
      <c r="M368" s="1054"/>
      <c r="N368" s="1054"/>
      <c r="O368" s="503"/>
    </row>
    <row r="369" spans="4:20" x14ac:dyDescent="0.2">
      <c r="D369" s="502"/>
      <c r="F369">
        <v>2016</v>
      </c>
      <c r="G369">
        <v>2017</v>
      </c>
      <c r="H369">
        <v>2018</v>
      </c>
      <c r="I369">
        <v>2019</v>
      </c>
      <c r="J369">
        <v>2020</v>
      </c>
      <c r="K369">
        <v>2021</v>
      </c>
      <c r="L369">
        <v>2022</v>
      </c>
      <c r="M369">
        <v>2023</v>
      </c>
      <c r="N369">
        <v>2024</v>
      </c>
      <c r="O369" s="503"/>
    </row>
    <row r="370" spans="4:20" x14ac:dyDescent="0.2">
      <c r="D370" s="502"/>
      <c r="F370" s="201" t="s">
        <v>790</v>
      </c>
      <c r="G370" s="201" t="s">
        <v>790</v>
      </c>
      <c r="H370" s="201" t="s">
        <v>790</v>
      </c>
      <c r="I370" s="201" t="s">
        <v>790</v>
      </c>
      <c r="J370" s="201" t="s">
        <v>790</v>
      </c>
      <c r="K370" s="201" t="s">
        <v>790</v>
      </c>
      <c r="L370" s="201" t="s">
        <v>790</v>
      </c>
      <c r="M370" s="201" t="s">
        <v>790</v>
      </c>
      <c r="N370" s="201" t="s">
        <v>790</v>
      </c>
      <c r="O370" s="503"/>
    </row>
    <row r="371" spans="4:20" x14ac:dyDescent="0.2">
      <c r="D371" s="502"/>
      <c r="E371" s="504" t="s">
        <v>140</v>
      </c>
      <c r="F371" s="475">
        <v>0.56230769230769218</v>
      </c>
      <c r="G371" s="475">
        <v>0.46999999999999992</v>
      </c>
      <c r="H371" s="475">
        <v>0.49769230769230766</v>
      </c>
      <c r="I371" s="475">
        <v>0.4284615384615385</v>
      </c>
      <c r="J371" s="475">
        <v>0.36230769230769233</v>
      </c>
      <c r="K371" s="475">
        <v>0.53307692307692311</v>
      </c>
      <c r="L371" s="475">
        <v>0.4407692307692308</v>
      </c>
      <c r="M371" s="475">
        <v>0.47916666666666669</v>
      </c>
      <c r="N371" s="475">
        <v>0.31454545454545457</v>
      </c>
      <c r="O371" s="503"/>
    </row>
    <row r="372" spans="4:20" x14ac:dyDescent="0.2">
      <c r="D372" s="502"/>
      <c r="E372" s="504" t="s">
        <v>141</v>
      </c>
      <c r="F372" s="475">
        <v>0.50944444444444448</v>
      </c>
      <c r="G372" s="475">
        <v>0.43882352941176472</v>
      </c>
      <c r="H372" s="475">
        <v>0.47764705882352948</v>
      </c>
      <c r="I372" s="475">
        <v>0.4284615384615385</v>
      </c>
      <c r="J372" s="475">
        <v>0.36181818181818176</v>
      </c>
      <c r="K372" s="475">
        <v>0.52500000000000013</v>
      </c>
      <c r="L372" s="475">
        <v>0.38666666666666671</v>
      </c>
      <c r="M372" s="475">
        <v>0.4413636363636364</v>
      </c>
      <c r="N372" s="475">
        <v>0.28105263157894739</v>
      </c>
      <c r="O372" s="503"/>
    </row>
    <row r="373" spans="4:20" x14ac:dyDescent="0.2">
      <c r="D373" s="502"/>
      <c r="E373" s="504" t="s">
        <v>142</v>
      </c>
      <c r="F373" s="475">
        <v>0.51153846153846161</v>
      </c>
      <c r="G373" s="475">
        <v>0.43928571428571433</v>
      </c>
      <c r="H373" s="475">
        <v>0.46928571428571431</v>
      </c>
      <c r="I373" s="475">
        <v>0.4284615384615385</v>
      </c>
      <c r="J373" s="475">
        <v>0.33466666666666672</v>
      </c>
      <c r="K373" s="475">
        <v>0.49933333333333341</v>
      </c>
      <c r="L373" s="475">
        <v>0.385625</v>
      </c>
      <c r="M373" s="475">
        <v>0.44</v>
      </c>
      <c r="N373" s="475">
        <v>0.29625000000000001</v>
      </c>
      <c r="O373" s="503"/>
    </row>
    <row r="374" spans="4:20" x14ac:dyDescent="0.2">
      <c r="D374" s="502"/>
      <c r="E374" s="504" t="s">
        <v>143</v>
      </c>
      <c r="F374" s="475">
        <v>0.57250000000000001</v>
      </c>
      <c r="G374" s="475">
        <v>0.46750000000000003</v>
      </c>
      <c r="H374" s="475">
        <v>0.4933333333333334</v>
      </c>
      <c r="I374" s="475">
        <v>0.4284615384615385</v>
      </c>
      <c r="J374" s="475">
        <v>0.40857142857142853</v>
      </c>
      <c r="K374" s="475">
        <v>0.54874999999999996</v>
      </c>
      <c r="L374" s="475">
        <v>0.44125000000000003</v>
      </c>
      <c r="M374" s="475">
        <v>0.52555555555555555</v>
      </c>
      <c r="N374" s="475">
        <v>0.32714285714285712</v>
      </c>
      <c r="O374" s="503"/>
    </row>
    <row r="375" spans="4:20" x14ac:dyDescent="0.2">
      <c r="D375" s="502"/>
      <c r="E375" s="504" t="s">
        <v>144</v>
      </c>
      <c r="F375" s="475">
        <v>0.53066666666666673</v>
      </c>
      <c r="G375" s="475">
        <v>0.42875000000000002</v>
      </c>
      <c r="H375" s="475">
        <v>0.45687500000000003</v>
      </c>
      <c r="I375" s="475">
        <v>0.4284615384615385</v>
      </c>
      <c r="J375" s="475">
        <v>0.29687499999999994</v>
      </c>
      <c r="K375" s="475">
        <v>0.47687499999999999</v>
      </c>
      <c r="L375" s="475">
        <v>0.36999999999999994</v>
      </c>
      <c r="M375" s="475">
        <v>0.41</v>
      </c>
      <c r="N375" s="475">
        <v>0.27200000000000008</v>
      </c>
      <c r="O375" s="503"/>
    </row>
    <row r="376" spans="4:20" x14ac:dyDescent="0.2">
      <c r="D376" s="502"/>
      <c r="E376" s="504" t="s">
        <v>145</v>
      </c>
      <c r="F376" s="475">
        <v>0.53333333333333333</v>
      </c>
      <c r="G376" s="475">
        <v>0.47166666666666668</v>
      </c>
      <c r="H376" s="475">
        <v>0.50090909090909086</v>
      </c>
      <c r="I376" s="475">
        <v>0.4284615384615385</v>
      </c>
      <c r="J376" s="475">
        <v>0.37857142857142861</v>
      </c>
      <c r="K376" s="475">
        <v>0.52692307692307683</v>
      </c>
      <c r="L376" s="475">
        <v>0.4375</v>
      </c>
      <c r="M376" s="475">
        <v>0.45058823529411773</v>
      </c>
      <c r="N376" s="475">
        <v>0.29785714285714288</v>
      </c>
      <c r="O376" s="503"/>
    </row>
    <row r="377" spans="4:20" x14ac:dyDescent="0.2">
      <c r="D377" s="502"/>
      <c r="O377" s="503"/>
    </row>
    <row r="378" spans="4:20" x14ac:dyDescent="0.2">
      <c r="D378" s="505"/>
      <c r="E378" s="506"/>
      <c r="F378" s="506"/>
      <c r="G378" s="506"/>
      <c r="H378" s="506"/>
      <c r="I378" s="506"/>
      <c r="J378" s="506"/>
      <c r="K378" s="506"/>
      <c r="L378" s="506"/>
      <c r="M378" s="506"/>
      <c r="N378" s="506"/>
      <c r="O378" s="507"/>
    </row>
    <row r="384" spans="4:20" x14ac:dyDescent="0.2">
      <c r="K384" s="85"/>
      <c r="L384" s="85"/>
      <c r="M384" s="85"/>
      <c r="O384" s="85">
        <f t="shared" ref="O384:Q387" si="65">BC289</f>
        <v>0.41333333333333333</v>
      </c>
      <c r="P384" s="85">
        <f t="shared" si="65"/>
        <v>0.41333333333333333</v>
      </c>
      <c r="Q384" s="85">
        <f t="shared" si="65"/>
        <v>0.30666666666666664</v>
      </c>
      <c r="R384" s="85"/>
      <c r="S384" s="85"/>
      <c r="T384" s="85"/>
    </row>
    <row r="385" spans="11:20" x14ac:dyDescent="0.2">
      <c r="K385" s="85"/>
      <c r="L385" s="85"/>
      <c r="M385" s="85"/>
      <c r="O385" s="85">
        <f t="shared" si="65"/>
        <v>0.46249999999999997</v>
      </c>
      <c r="P385" s="85">
        <f t="shared" si="65"/>
        <v>0.45249999999999996</v>
      </c>
      <c r="Q385" s="85">
        <f t="shared" si="65"/>
        <v>0.36500000000000005</v>
      </c>
      <c r="R385" s="85"/>
      <c r="S385" s="85"/>
      <c r="T385" s="85"/>
    </row>
    <row r="386" spans="11:20" x14ac:dyDescent="0.2">
      <c r="K386" s="85"/>
      <c r="L386" s="85"/>
      <c r="M386" s="85"/>
      <c r="O386" s="85">
        <f t="shared" si="65"/>
        <v>0.40266666666666673</v>
      </c>
      <c r="P386" s="85">
        <f t="shared" si="65"/>
        <v>0.40866666666666668</v>
      </c>
      <c r="Q386" s="85">
        <f t="shared" si="65"/>
        <v>0.27200000000000008</v>
      </c>
      <c r="R386" s="85"/>
      <c r="S386" s="85"/>
      <c r="T386" s="85"/>
    </row>
    <row r="387" spans="11:20" x14ac:dyDescent="0.2">
      <c r="K387" s="85"/>
      <c r="L387" s="85"/>
      <c r="M387" s="85"/>
      <c r="O387" s="85">
        <f t="shared" si="65"/>
        <v>0.43142857142857144</v>
      </c>
      <c r="P387" s="85">
        <f t="shared" si="65"/>
        <v>0.4107142857142857</v>
      </c>
      <c r="Q387" s="85">
        <f t="shared" si="65"/>
        <v>0.29785714285714288</v>
      </c>
      <c r="R387" s="85"/>
      <c r="S387" s="85"/>
      <c r="T387" s="85"/>
    </row>
    <row r="388" spans="11:20" x14ac:dyDescent="0.2">
      <c r="O388" s="85"/>
      <c r="P388" s="85"/>
      <c r="Q388" s="85"/>
      <c r="R388" s="85"/>
      <c r="S388" s="85"/>
      <c r="T388" s="85"/>
    </row>
    <row r="389" spans="11:20" x14ac:dyDescent="0.2">
      <c r="O389" s="85"/>
      <c r="P389" s="85"/>
      <c r="Q389" s="85"/>
      <c r="R389" s="85"/>
      <c r="S389" s="85"/>
      <c r="T389" s="85"/>
    </row>
    <row r="390" spans="11:20" x14ac:dyDescent="0.2">
      <c r="O390" s="85"/>
      <c r="P390" s="85"/>
      <c r="Q390" s="85"/>
      <c r="R390" s="85"/>
      <c r="S390" s="85"/>
      <c r="T390" s="85"/>
    </row>
    <row r="391" spans="11:20" x14ac:dyDescent="0.2">
      <c r="O391" s="85"/>
      <c r="P391" s="85"/>
      <c r="Q391" s="85"/>
      <c r="R391" s="85"/>
      <c r="S391" s="85"/>
      <c r="T391" s="85"/>
    </row>
    <row r="392" spans="11:20" x14ac:dyDescent="0.2">
      <c r="O392" s="85"/>
      <c r="P392" s="85"/>
      <c r="Q392" s="85"/>
      <c r="R392" s="85"/>
      <c r="S392" s="85"/>
      <c r="T392" s="85"/>
    </row>
  </sheetData>
  <sheetProtection algorithmName="SHA-512" hashValue="SQCsquSZ2EWvkv1Eg7Kcxvm8oBGTon3wlT1uV4bMOIvSTZ+CXKcXV/HgH0uNwwcZIdA6bfVfkRIXDDHzX5I6lA==" saltValue="UdmZ9hY8bVR6dBdsV1vw9A==" spinCount="100000" sheet="1" objects="1" scenarios="1"/>
  <autoFilter ref="A9:DA174" xr:uid="{8ACC0E4E-78B5-4803-AAB1-3DEA4A0FE0C9}"/>
  <sortState ref="A36:AV173">
    <sortCondition ref="A36:A173"/>
  </sortState>
  <mergeCells count="196">
    <mergeCell ref="BJ255:BQ255"/>
    <mergeCell ref="BJ256:BM256"/>
    <mergeCell ref="BN256:BQ256"/>
    <mergeCell ref="BR255:BY255"/>
    <mergeCell ref="BR256:BU256"/>
    <mergeCell ref="BV256:BY256"/>
    <mergeCell ref="AD246:AG246"/>
    <mergeCell ref="AH246:AK246"/>
    <mergeCell ref="AL246:AO246"/>
    <mergeCell ref="AP275:AR275"/>
    <mergeCell ref="AS275:AU275"/>
    <mergeCell ref="AV274:BA274"/>
    <mergeCell ref="AV275:AX275"/>
    <mergeCell ref="AY275:BA275"/>
    <mergeCell ref="BB274:BG274"/>
    <mergeCell ref="BB275:BD275"/>
    <mergeCell ref="BE275:BG275"/>
    <mergeCell ref="BB255:BI255"/>
    <mergeCell ref="BB256:BE256"/>
    <mergeCell ref="BF256:BI256"/>
    <mergeCell ref="AP274:AU274"/>
    <mergeCell ref="AL255:AS255"/>
    <mergeCell ref="AM275:AO275"/>
    <mergeCell ref="BU204:BX204"/>
    <mergeCell ref="AI191:AL191"/>
    <mergeCell ref="AI192:AJ192"/>
    <mergeCell ref="AK192:AL192"/>
    <mergeCell ref="N202:W202"/>
    <mergeCell ref="AQ179:BI179"/>
    <mergeCell ref="AC179:AL179"/>
    <mergeCell ref="O180:P180"/>
    <mergeCell ref="Q180:R180"/>
    <mergeCell ref="S180:T180"/>
    <mergeCell ref="B179:T179"/>
    <mergeCell ref="AN203:BX203"/>
    <mergeCell ref="AC192:AD192"/>
    <mergeCell ref="AE191:AH191"/>
    <mergeCell ref="AE192:AF192"/>
    <mergeCell ref="AG192:AH192"/>
    <mergeCell ref="AS204:AV204"/>
    <mergeCell ref="AO204:AR204"/>
    <mergeCell ref="BE204:BH204"/>
    <mergeCell ref="BI204:BL204"/>
    <mergeCell ref="I180:J180"/>
    <mergeCell ref="K180:L180"/>
    <mergeCell ref="M180:N180"/>
    <mergeCell ref="AA191:AD191"/>
    <mergeCell ref="CD7:CN7"/>
    <mergeCell ref="CD8:CD9"/>
    <mergeCell ref="CE8:CE9"/>
    <mergeCell ref="CF8:CF9"/>
    <mergeCell ref="CG8:CG9"/>
    <mergeCell ref="CH8:CK8"/>
    <mergeCell ref="CL8:CN8"/>
    <mergeCell ref="C202:L202"/>
    <mergeCell ref="BQ204:BT204"/>
    <mergeCell ref="BM204:BP204"/>
    <mergeCell ref="AW204:AZ204"/>
    <mergeCell ref="BA204:BD204"/>
    <mergeCell ref="C192:D192"/>
    <mergeCell ref="AN7:AV7"/>
    <mergeCell ref="AN8:AN9"/>
    <mergeCell ref="AO8:AO9"/>
    <mergeCell ref="AG8:AJ8"/>
    <mergeCell ref="AK8:AM8"/>
    <mergeCell ref="AB8:AD8"/>
    <mergeCell ref="AP8:AS8"/>
    <mergeCell ref="AT8:AV8"/>
    <mergeCell ref="AW7:BG7"/>
    <mergeCell ref="AW8:AW9"/>
    <mergeCell ref="AY8:AY9"/>
    <mergeCell ref="K191:N191"/>
    <mergeCell ref="M192:N192"/>
    <mergeCell ref="O192:P192"/>
    <mergeCell ref="F274:K274"/>
    <mergeCell ref="L274:Q274"/>
    <mergeCell ref="R274:W274"/>
    <mergeCell ref="L265:N265"/>
    <mergeCell ref="O265:Q265"/>
    <mergeCell ref="R265:T265"/>
    <mergeCell ref="F246:I246"/>
    <mergeCell ref="I265:K265"/>
    <mergeCell ref="Q192:R192"/>
    <mergeCell ref="O191:R191"/>
    <mergeCell ref="W191:Z191"/>
    <mergeCell ref="W192:X192"/>
    <mergeCell ref="Y192:Z192"/>
    <mergeCell ref="S191:V191"/>
    <mergeCell ref="S192:T192"/>
    <mergeCell ref="U192:V192"/>
    <mergeCell ref="Z246:AC246"/>
    <mergeCell ref="J246:M246"/>
    <mergeCell ref="U265:W265"/>
    <mergeCell ref="X265:Z265"/>
    <mergeCell ref="AA265:AC265"/>
    <mergeCell ref="V246:Y246"/>
    <mergeCell ref="R246:U246"/>
    <mergeCell ref="N246:Q246"/>
    <mergeCell ref="AP256:AS256"/>
    <mergeCell ref="AT255:BA255"/>
    <mergeCell ref="AT256:AW256"/>
    <mergeCell ref="AX256:BA256"/>
    <mergeCell ref="V256:Y256"/>
    <mergeCell ref="Z256:AC256"/>
    <mergeCell ref="AD255:AK255"/>
    <mergeCell ref="AD256:AG256"/>
    <mergeCell ref="AH256:AK256"/>
    <mergeCell ref="F256:I256"/>
    <mergeCell ref="F255:M255"/>
    <mergeCell ref="J256:M256"/>
    <mergeCell ref="N255:U255"/>
    <mergeCell ref="N256:Q256"/>
    <mergeCell ref="R256:U256"/>
    <mergeCell ref="V255:AC255"/>
    <mergeCell ref="X274:AC274"/>
    <mergeCell ref="F275:H275"/>
    <mergeCell ref="I275:K275"/>
    <mergeCell ref="L275:N275"/>
    <mergeCell ref="O275:Q275"/>
    <mergeCell ref="R275:T275"/>
    <mergeCell ref="U275:W275"/>
    <mergeCell ref="X275:Z275"/>
    <mergeCell ref="AA275:AC275"/>
    <mergeCell ref="F265:H265"/>
    <mergeCell ref="AD274:AI274"/>
    <mergeCell ref="AL256:AO256"/>
    <mergeCell ref="AD265:AF265"/>
    <mergeCell ref="A1:N1"/>
    <mergeCell ref="A3:N3"/>
    <mergeCell ref="D7:L7"/>
    <mergeCell ref="M7:U7"/>
    <mergeCell ref="V7:AD7"/>
    <mergeCell ref="A4:N4"/>
    <mergeCell ref="B180:B181"/>
    <mergeCell ref="C180:D180"/>
    <mergeCell ref="F8:I8"/>
    <mergeCell ref="E180:F180"/>
    <mergeCell ref="G180:H180"/>
    <mergeCell ref="N8:N9"/>
    <mergeCell ref="M8:M9"/>
    <mergeCell ref="E8:E9"/>
    <mergeCell ref="A7:A9"/>
    <mergeCell ref="D8:D9"/>
    <mergeCell ref="C7:C9"/>
    <mergeCell ref="B7:B9"/>
    <mergeCell ref="J8:L8"/>
    <mergeCell ref="O8:R8"/>
    <mergeCell ref="S8:U8"/>
    <mergeCell ref="E336:N336"/>
    <mergeCell ref="E348:N348"/>
    <mergeCell ref="E358:N358"/>
    <mergeCell ref="E368:N368"/>
    <mergeCell ref="BS7:CC7"/>
    <mergeCell ref="BS8:BS9"/>
    <mergeCell ref="BT8:BT9"/>
    <mergeCell ref="BU8:BU9"/>
    <mergeCell ref="BV8:BV9"/>
    <mergeCell ref="BW8:BZ8"/>
    <mergeCell ref="CA8:CC8"/>
    <mergeCell ref="BH7:BR7"/>
    <mergeCell ref="BH8:BH9"/>
    <mergeCell ref="BI8:BI9"/>
    <mergeCell ref="BJ8:BJ9"/>
    <mergeCell ref="BK8:BK9"/>
    <mergeCell ref="BL8:BO8"/>
    <mergeCell ref="BP8:BR8"/>
    <mergeCell ref="AA192:AB192"/>
    <mergeCell ref="E192:F192"/>
    <mergeCell ref="G192:H192"/>
    <mergeCell ref="I192:J192"/>
    <mergeCell ref="V8:V9"/>
    <mergeCell ref="W8:W9"/>
    <mergeCell ref="CO7:CY7"/>
    <mergeCell ref="CO8:CO9"/>
    <mergeCell ref="CP8:CP9"/>
    <mergeCell ref="CQ8:CQ9"/>
    <mergeCell ref="CR8:CR9"/>
    <mergeCell ref="CS8:CV8"/>
    <mergeCell ref="CW8:CY8"/>
    <mergeCell ref="E316:N316"/>
    <mergeCell ref="E326:N326"/>
    <mergeCell ref="X8:AA8"/>
    <mergeCell ref="BA8:BD8"/>
    <mergeCell ref="BE8:BG8"/>
    <mergeCell ref="AZ8:AZ9"/>
    <mergeCell ref="AX8:AX9"/>
    <mergeCell ref="AE7:AM7"/>
    <mergeCell ref="AE8:AE9"/>
    <mergeCell ref="AF8:AF9"/>
    <mergeCell ref="K192:L192"/>
    <mergeCell ref="C191:F191"/>
    <mergeCell ref="G191:J191"/>
    <mergeCell ref="AD275:AF275"/>
    <mergeCell ref="AG275:AI275"/>
    <mergeCell ref="AJ274:AO274"/>
    <mergeCell ref="AJ275:AL275"/>
  </mergeCells>
  <conditionalFormatting sqref="A131">
    <cfRule type="duplicateValues" dxfId="64" priority="5"/>
    <cfRule type="duplicateValues" dxfId="63" priority="6"/>
  </conditionalFormatting>
  <conditionalFormatting sqref="A164">
    <cfRule type="duplicateValues" dxfId="62" priority="7"/>
    <cfRule type="duplicateValues" dxfId="61" priority="8"/>
  </conditionalFormatting>
  <conditionalFormatting sqref="DA131">
    <cfRule type="duplicateValues" dxfId="60" priority="1"/>
    <cfRule type="duplicateValues" dxfId="59" priority="2"/>
  </conditionalFormatting>
  <conditionalFormatting sqref="DA164">
    <cfRule type="duplicateValues" dxfId="58" priority="3"/>
    <cfRule type="duplicateValues" dxfId="57" priority="4"/>
  </conditionalFormatting>
  <pageMargins left="0.75" right="0.75" top="1" bottom="1" header="0.5" footer="0.5"/>
  <pageSetup orientation="portrait" horizontalDpi="300" verticalDpi="300" r:id="rId1"/>
  <headerFooter alignWithMargins="0"/>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7">
    <pageSetUpPr autoPageBreaks="0"/>
  </sheetPr>
  <dimension ref="A1:EV297"/>
  <sheetViews>
    <sheetView zoomScale="80" zoomScaleNormal="80" zoomScaleSheetLayoutView="50" workbookViewId="0">
      <pane xSplit="1" topLeftCell="CQ1" activePane="topRight" state="frozen"/>
      <selection activeCell="K23" sqref="K23"/>
      <selection pane="topRight" activeCell="CZ11" sqref="CZ11:CZ12"/>
    </sheetView>
  </sheetViews>
  <sheetFormatPr baseColWidth="10" defaultColWidth="9.140625" defaultRowHeight="12.75" x14ac:dyDescent="0.2"/>
  <cols>
    <col min="1" max="1" width="86.7109375" bestFit="1" customWidth="1"/>
    <col min="2" max="2" width="14.42578125" bestFit="1" customWidth="1"/>
    <col min="3" max="3" width="18" customWidth="1"/>
    <col min="4" max="4" width="14" customWidth="1"/>
    <col min="5" max="12" width="16.5703125" customWidth="1"/>
    <col min="13" max="13" width="17" customWidth="1"/>
    <col min="14" max="21" width="16.85546875" customWidth="1"/>
    <col min="22" max="28" width="14.5703125" customWidth="1"/>
    <col min="29" max="29" width="15.7109375" customWidth="1"/>
    <col min="30" max="30" width="14.5703125" customWidth="1"/>
    <col min="31" max="31" width="12.28515625" customWidth="1"/>
    <col min="32" max="39" width="15.42578125" customWidth="1"/>
    <col min="40" max="40" width="13" customWidth="1"/>
    <col min="41" max="41" width="14" customWidth="1"/>
    <col min="42" max="42" width="13" customWidth="1"/>
    <col min="43" max="43" width="10.85546875" customWidth="1"/>
    <col min="44" max="44" width="11.7109375" customWidth="1"/>
    <col min="45" max="45" width="12.28515625" customWidth="1"/>
    <col min="46" max="46" width="18" customWidth="1"/>
    <col min="47" max="47" width="16.7109375" customWidth="1"/>
    <col min="48" max="48" width="18.85546875" customWidth="1"/>
    <col min="49" max="50" width="10.28515625" customWidth="1"/>
    <col min="51" max="52" width="14.140625" customWidth="1"/>
    <col min="56" max="56" width="9.140625" customWidth="1"/>
    <col min="57" max="57" width="16.28515625" customWidth="1"/>
    <col min="58" max="58" width="15.28515625" customWidth="1"/>
    <col min="59" max="59" width="23.140625" customWidth="1"/>
    <col min="71" max="71" width="16.28515625" customWidth="1"/>
    <col min="72" max="75" width="16.85546875" customWidth="1"/>
    <col min="76" max="76" width="17.140625" customWidth="1"/>
    <col min="81" max="87" width="9.7109375" customWidth="1"/>
    <col min="88" max="88" width="14.28515625" customWidth="1"/>
    <col min="89" max="91" width="17.7109375" customWidth="1"/>
    <col min="92" max="98" width="9.7109375" customWidth="1"/>
    <col min="99" max="102" width="9.140625" style="902"/>
    <col min="103" max="103" width="9.140625" style="902" customWidth="1"/>
    <col min="104" max="109" width="9.140625" style="902"/>
    <col min="110" max="110" width="26.28515625" style="922" customWidth="1"/>
    <col min="111" max="111" width="59.42578125" customWidth="1"/>
  </cols>
  <sheetData>
    <row r="1" spans="1:109" x14ac:dyDescent="0.2">
      <c r="A1" s="1057"/>
      <c r="B1" s="1057"/>
      <c r="C1" s="1057"/>
      <c r="D1" s="1057"/>
      <c r="E1" s="1057"/>
      <c r="F1" s="1057"/>
      <c r="G1" s="1057"/>
      <c r="H1" s="1057"/>
      <c r="I1" s="1057"/>
      <c r="J1" s="1057"/>
      <c r="K1" s="1057"/>
      <c r="L1" s="1057"/>
      <c r="M1" s="1057"/>
      <c r="N1" s="1057"/>
    </row>
    <row r="3" spans="1:109" x14ac:dyDescent="0.2">
      <c r="A3" s="1057"/>
      <c r="B3" s="1057"/>
      <c r="C3" s="1057"/>
      <c r="D3" s="1057"/>
      <c r="E3" s="1057"/>
      <c r="F3" s="1057"/>
      <c r="G3" s="1057"/>
      <c r="H3" s="1057"/>
      <c r="I3" s="1057"/>
      <c r="J3" s="1057"/>
      <c r="K3" s="1057"/>
      <c r="L3" s="1057"/>
      <c r="M3" s="1057"/>
      <c r="N3" s="1057"/>
    </row>
    <row r="4" spans="1:109" x14ac:dyDescent="0.2">
      <c r="A4" s="1057"/>
      <c r="B4" s="1057"/>
      <c r="C4" s="1057"/>
      <c r="D4" s="1057"/>
      <c r="E4" s="1057"/>
      <c r="F4" s="1057"/>
      <c r="G4" s="1057"/>
      <c r="H4" s="1057"/>
      <c r="I4" s="1057"/>
      <c r="J4" s="1057"/>
      <c r="K4" s="1057"/>
      <c r="L4" s="1057"/>
      <c r="M4" s="1057"/>
      <c r="N4" s="1057"/>
    </row>
    <row r="6" spans="1:109" x14ac:dyDescent="0.2">
      <c r="A6">
        <v>1</v>
      </c>
      <c r="B6">
        <v>2</v>
      </c>
      <c r="C6">
        <v>3</v>
      </c>
      <c r="D6">
        <v>4</v>
      </c>
      <c r="E6">
        <v>5</v>
      </c>
      <c r="F6">
        <v>6</v>
      </c>
      <c r="G6">
        <v>7</v>
      </c>
      <c r="H6">
        <v>8</v>
      </c>
      <c r="I6">
        <v>9</v>
      </c>
      <c r="J6">
        <v>10</v>
      </c>
      <c r="K6">
        <v>11</v>
      </c>
      <c r="L6">
        <v>12</v>
      </c>
      <c r="M6">
        <v>13</v>
      </c>
      <c r="N6">
        <v>14</v>
      </c>
      <c r="O6">
        <v>15</v>
      </c>
      <c r="P6">
        <v>16</v>
      </c>
      <c r="Q6">
        <v>17</v>
      </c>
      <c r="R6">
        <v>18</v>
      </c>
      <c r="S6">
        <v>19</v>
      </c>
      <c r="T6">
        <v>20</v>
      </c>
      <c r="U6">
        <v>21</v>
      </c>
      <c r="V6">
        <v>22</v>
      </c>
      <c r="W6">
        <v>23</v>
      </c>
      <c r="X6">
        <v>24</v>
      </c>
      <c r="Y6">
        <v>25</v>
      </c>
      <c r="Z6">
        <v>26</v>
      </c>
      <c r="AA6">
        <v>27</v>
      </c>
      <c r="AB6">
        <v>28</v>
      </c>
      <c r="AC6">
        <v>29</v>
      </c>
      <c r="AD6">
        <v>30</v>
      </c>
      <c r="AE6">
        <v>31</v>
      </c>
      <c r="AF6">
        <v>32</v>
      </c>
      <c r="AG6">
        <v>33</v>
      </c>
      <c r="AH6">
        <v>34</v>
      </c>
      <c r="AI6">
        <v>35</v>
      </c>
      <c r="AJ6">
        <v>36</v>
      </c>
      <c r="AK6">
        <v>37</v>
      </c>
      <c r="AL6">
        <v>38</v>
      </c>
      <c r="AM6">
        <v>39</v>
      </c>
      <c r="AN6">
        <v>40</v>
      </c>
      <c r="AO6">
        <v>41</v>
      </c>
      <c r="AP6">
        <v>42</v>
      </c>
      <c r="AQ6">
        <v>43</v>
      </c>
      <c r="AR6">
        <v>44</v>
      </c>
      <c r="AS6">
        <v>45</v>
      </c>
      <c r="AT6">
        <v>46</v>
      </c>
      <c r="AU6">
        <v>47</v>
      </c>
      <c r="AV6">
        <v>48</v>
      </c>
      <c r="AW6">
        <v>49</v>
      </c>
      <c r="AX6">
        <v>50</v>
      </c>
      <c r="AY6">
        <v>51</v>
      </c>
      <c r="AZ6">
        <v>52</v>
      </c>
      <c r="BA6">
        <v>53</v>
      </c>
      <c r="BB6">
        <v>54</v>
      </c>
      <c r="BC6">
        <v>55</v>
      </c>
      <c r="BD6">
        <v>56</v>
      </c>
      <c r="BE6">
        <v>57</v>
      </c>
      <c r="BF6">
        <v>58</v>
      </c>
      <c r="BG6">
        <v>59</v>
      </c>
      <c r="BH6">
        <v>60</v>
      </c>
      <c r="BI6">
        <v>61</v>
      </c>
      <c r="BJ6">
        <v>62</v>
      </c>
      <c r="BK6">
        <v>63</v>
      </c>
      <c r="BL6">
        <v>64</v>
      </c>
      <c r="BM6">
        <v>65</v>
      </c>
      <c r="BN6">
        <v>66</v>
      </c>
      <c r="BO6">
        <v>67</v>
      </c>
      <c r="BP6">
        <v>68</v>
      </c>
      <c r="BQ6">
        <v>69</v>
      </c>
      <c r="BR6">
        <v>70</v>
      </c>
      <c r="BS6">
        <v>71</v>
      </c>
      <c r="BT6">
        <v>72</v>
      </c>
      <c r="BU6">
        <v>73</v>
      </c>
      <c r="BV6">
        <v>74</v>
      </c>
      <c r="BW6">
        <v>75</v>
      </c>
      <c r="BX6">
        <v>76</v>
      </c>
      <c r="BY6">
        <v>77</v>
      </c>
      <c r="BZ6">
        <v>78</v>
      </c>
      <c r="CA6">
        <v>79</v>
      </c>
      <c r="CB6">
        <v>80</v>
      </c>
      <c r="CC6">
        <v>81</v>
      </c>
      <c r="CD6">
        <v>82</v>
      </c>
      <c r="CE6">
        <v>83</v>
      </c>
      <c r="CF6">
        <v>84</v>
      </c>
      <c r="CG6">
        <v>85</v>
      </c>
      <c r="CH6">
        <v>86</v>
      </c>
      <c r="CI6">
        <v>87</v>
      </c>
      <c r="CJ6">
        <v>88</v>
      </c>
      <c r="CK6">
        <v>89</v>
      </c>
      <c r="CL6">
        <v>90</v>
      </c>
      <c r="CM6">
        <v>91</v>
      </c>
      <c r="CN6">
        <v>92</v>
      </c>
      <c r="CO6">
        <v>93</v>
      </c>
      <c r="CP6">
        <v>94</v>
      </c>
      <c r="CQ6">
        <v>95</v>
      </c>
      <c r="CR6">
        <v>96</v>
      </c>
      <c r="CS6">
        <v>97</v>
      </c>
      <c r="CT6">
        <v>98</v>
      </c>
      <c r="CU6" s="960">
        <v>99</v>
      </c>
      <c r="CV6" s="960">
        <v>100</v>
      </c>
      <c r="CW6" s="960">
        <v>101</v>
      </c>
      <c r="CX6" s="960">
        <v>102</v>
      </c>
      <c r="CY6" s="960">
        <v>103</v>
      </c>
      <c r="CZ6" s="960">
        <v>104</v>
      </c>
      <c r="DA6" s="960">
        <v>105</v>
      </c>
      <c r="DB6" s="960">
        <v>106</v>
      </c>
      <c r="DC6" s="960">
        <v>107</v>
      </c>
      <c r="DD6" s="960">
        <v>108</v>
      </c>
      <c r="DE6" s="960">
        <v>109</v>
      </c>
    </row>
    <row r="7" spans="1:109" x14ac:dyDescent="0.2">
      <c r="A7" s="1054" t="s">
        <v>5</v>
      </c>
      <c r="B7" s="1054" t="s">
        <v>138</v>
      </c>
      <c r="C7" s="1054" t="s">
        <v>139</v>
      </c>
      <c r="D7" s="1224">
        <v>2016</v>
      </c>
      <c r="E7" s="1226"/>
      <c r="F7" s="1226"/>
      <c r="G7" s="1226"/>
      <c r="H7" s="1226"/>
      <c r="I7" s="1226"/>
      <c r="J7" s="1226"/>
      <c r="K7" s="1226"/>
      <c r="L7" s="1227"/>
      <c r="M7" s="1224">
        <v>2017</v>
      </c>
      <c r="N7" s="1226"/>
      <c r="O7" s="1226"/>
      <c r="P7" s="1226"/>
      <c r="Q7" s="1226"/>
      <c r="R7" s="1226"/>
      <c r="S7" s="1226"/>
      <c r="T7" s="1226"/>
      <c r="U7" s="1227"/>
      <c r="V7" s="1224">
        <v>2018</v>
      </c>
      <c r="W7" s="1226"/>
      <c r="X7" s="1226"/>
      <c r="Y7" s="1226"/>
      <c r="Z7" s="1226"/>
      <c r="AA7" s="1226"/>
      <c r="AB7" s="1226"/>
      <c r="AC7" s="1226"/>
      <c r="AD7" s="1227"/>
      <c r="AE7" s="1224">
        <v>2019</v>
      </c>
      <c r="AF7" s="1226"/>
      <c r="AG7" s="1226"/>
      <c r="AH7" s="1226"/>
      <c r="AI7" s="1226"/>
      <c r="AJ7" s="1226"/>
      <c r="AK7" s="1226"/>
      <c r="AL7" s="1226"/>
      <c r="AM7" s="1227"/>
      <c r="AN7" s="1224">
        <v>2020</v>
      </c>
      <c r="AO7" s="1226"/>
      <c r="AP7" s="1226"/>
      <c r="AQ7" s="1226"/>
      <c r="AR7" s="1226"/>
      <c r="AS7" s="1226"/>
      <c r="AT7" s="1226"/>
      <c r="AU7" s="1226"/>
      <c r="AV7" s="1227"/>
      <c r="AW7" s="1224">
        <v>2021</v>
      </c>
      <c r="AX7" s="1225"/>
      <c r="AY7" s="1226"/>
      <c r="AZ7" s="1225"/>
      <c r="BA7" s="1226"/>
      <c r="BB7" s="1226"/>
      <c r="BC7" s="1226"/>
      <c r="BD7" s="1226"/>
      <c r="BE7" s="1226"/>
      <c r="BF7" s="1226"/>
      <c r="BG7" s="1227"/>
      <c r="BH7" s="1224">
        <v>2022</v>
      </c>
      <c r="BI7" s="1225"/>
      <c r="BJ7" s="1226"/>
      <c r="BK7" s="1225"/>
      <c r="BL7" s="1220"/>
      <c r="BM7" s="1220"/>
      <c r="BN7" s="1220"/>
      <c r="BO7" s="1226"/>
      <c r="BP7" s="1226"/>
      <c r="BQ7" s="1226"/>
      <c r="BR7" s="1226"/>
      <c r="BS7" s="1226"/>
      <c r="BT7" s="1226"/>
      <c r="BU7" s="1220"/>
      <c r="BV7" s="1220"/>
      <c r="BW7" s="1220"/>
      <c r="BX7" s="1227"/>
      <c r="BY7" s="1221">
        <v>2023</v>
      </c>
      <c r="BZ7" s="1222"/>
      <c r="CA7" s="1222"/>
      <c r="CB7" s="1222"/>
      <c r="CC7" s="1222"/>
      <c r="CD7" s="1222"/>
      <c r="CE7" s="1222"/>
      <c r="CF7" s="1222"/>
      <c r="CG7" s="1222"/>
      <c r="CH7" s="1222"/>
      <c r="CI7" s="1223"/>
      <c r="CJ7" s="1219">
        <v>2024</v>
      </c>
      <c r="CK7" s="1220"/>
      <c r="CL7" s="1220"/>
      <c r="CM7" s="1220"/>
      <c r="CN7" s="1220"/>
      <c r="CO7" s="1220"/>
      <c r="CP7" s="1220"/>
      <c r="CQ7" s="1220"/>
      <c r="CR7" s="1220"/>
      <c r="CS7" s="1220"/>
      <c r="CT7" s="1220"/>
      <c r="CU7" s="1230">
        <v>2025</v>
      </c>
      <c r="CV7" s="1231"/>
      <c r="CW7" s="1231"/>
      <c r="CX7" s="1231"/>
      <c r="CY7" s="1231"/>
      <c r="CZ7" s="1231"/>
      <c r="DA7" s="1231"/>
      <c r="DB7" s="1231"/>
      <c r="DC7" s="1231"/>
      <c r="DD7" s="1231"/>
      <c r="DE7" s="1231"/>
    </row>
    <row r="8" spans="1:109" ht="24.75" customHeight="1" x14ac:dyDescent="0.2">
      <c r="A8" s="1054"/>
      <c r="B8" s="1054"/>
      <c r="C8" s="1054"/>
      <c r="D8" s="1208" t="s">
        <v>120</v>
      </c>
      <c r="E8" s="1207" t="s">
        <v>119</v>
      </c>
      <c r="F8" s="1192" t="s">
        <v>168</v>
      </c>
      <c r="G8" s="1210"/>
      <c r="H8" s="1210"/>
      <c r="I8" s="1210"/>
      <c r="J8" s="1192" t="s">
        <v>169</v>
      </c>
      <c r="K8" s="1210"/>
      <c r="L8" s="1210"/>
      <c r="M8" s="1208" t="s">
        <v>120</v>
      </c>
      <c r="N8" s="1207" t="s">
        <v>119</v>
      </c>
      <c r="O8" s="1209" t="s">
        <v>168</v>
      </c>
      <c r="P8" s="1057"/>
      <c r="Q8" s="1057"/>
      <c r="R8" s="1057"/>
      <c r="S8" s="1209" t="s">
        <v>169</v>
      </c>
      <c r="T8" s="1057"/>
      <c r="U8" s="1057"/>
      <c r="V8" s="1208" t="s">
        <v>120</v>
      </c>
      <c r="W8" s="1207" t="s">
        <v>119</v>
      </c>
      <c r="X8" s="1192" t="s">
        <v>168</v>
      </c>
      <c r="Y8" s="1210"/>
      <c r="Z8" s="1210"/>
      <c r="AA8" s="1210"/>
      <c r="AB8" s="1192" t="s">
        <v>169</v>
      </c>
      <c r="AC8" s="1210"/>
      <c r="AD8" s="1210"/>
      <c r="AE8" s="1208" t="s">
        <v>120</v>
      </c>
      <c r="AF8" s="1207" t="s">
        <v>119</v>
      </c>
      <c r="AG8" s="1192" t="s">
        <v>168</v>
      </c>
      <c r="AH8" s="1057"/>
      <c r="AI8" s="1057"/>
      <c r="AJ8" s="1057"/>
      <c r="AK8" s="1192" t="s">
        <v>169</v>
      </c>
      <c r="AL8" s="1057"/>
      <c r="AM8" s="1057"/>
      <c r="AN8" s="1208" t="s">
        <v>120</v>
      </c>
      <c r="AO8" s="1207" t="s">
        <v>119</v>
      </c>
      <c r="AP8" s="51" t="s">
        <v>168</v>
      </c>
      <c r="AQ8" s="52"/>
      <c r="AR8" s="52"/>
      <c r="AS8" s="53"/>
      <c r="AT8" s="51" t="s">
        <v>169</v>
      </c>
      <c r="AU8" s="52"/>
      <c r="AV8" s="53"/>
      <c r="AW8" s="1208" t="s">
        <v>120</v>
      </c>
      <c r="AX8" s="1207" t="s">
        <v>765</v>
      </c>
      <c r="AY8" s="1207" t="s">
        <v>119</v>
      </c>
      <c r="AZ8" s="1207" t="s">
        <v>766</v>
      </c>
      <c r="BA8" s="51" t="s">
        <v>168</v>
      </c>
      <c r="BB8" s="52"/>
      <c r="BC8" s="52"/>
      <c r="BD8" s="53"/>
      <c r="BE8" s="51" t="s">
        <v>169</v>
      </c>
      <c r="BF8" s="52"/>
      <c r="BG8" s="53"/>
      <c r="BH8" s="1208" t="s">
        <v>120</v>
      </c>
      <c r="BI8" s="1207" t="s">
        <v>765</v>
      </c>
      <c r="BJ8" s="1207" t="s">
        <v>119</v>
      </c>
      <c r="BK8" s="1207" t="s">
        <v>766</v>
      </c>
      <c r="BL8" s="29"/>
      <c r="BM8" s="29"/>
      <c r="BN8" s="29"/>
      <c r="BO8" s="51" t="s">
        <v>168</v>
      </c>
      <c r="BP8" s="52"/>
      <c r="BQ8" s="52"/>
      <c r="BR8" s="53"/>
      <c r="BS8" s="51" t="s">
        <v>169</v>
      </c>
      <c r="BT8" s="52"/>
      <c r="BU8" s="528"/>
      <c r="BV8" s="528"/>
      <c r="BW8" s="528"/>
      <c r="BX8" s="53"/>
      <c r="BY8" s="1208" t="s">
        <v>120</v>
      </c>
      <c r="BZ8" s="1207" t="s">
        <v>765</v>
      </c>
      <c r="CA8" s="1207" t="s">
        <v>119</v>
      </c>
      <c r="CB8" s="1207" t="s">
        <v>766</v>
      </c>
      <c r="CC8" s="540" t="s">
        <v>168</v>
      </c>
      <c r="CD8" s="541"/>
      <c r="CE8" s="541"/>
      <c r="CF8" s="541"/>
      <c r="CG8" s="541"/>
      <c r="CH8" s="52"/>
      <c r="CI8" s="53"/>
      <c r="CJ8" s="494" t="s">
        <v>120</v>
      </c>
      <c r="CK8" s="493" t="s">
        <v>765</v>
      </c>
      <c r="CL8" s="493" t="s">
        <v>119</v>
      </c>
      <c r="CM8" s="493" t="s">
        <v>766</v>
      </c>
      <c r="CN8" s="51" t="s">
        <v>168</v>
      </c>
      <c r="CO8" s="52"/>
      <c r="CP8" s="52"/>
      <c r="CQ8" s="53"/>
      <c r="CR8" s="541"/>
      <c r="CS8" s="52"/>
      <c r="CT8" s="53"/>
      <c r="CU8" s="901" t="s">
        <v>120</v>
      </c>
      <c r="CV8" s="900" t="s">
        <v>765</v>
      </c>
      <c r="CW8" s="900" t="s">
        <v>119</v>
      </c>
      <c r="CX8" s="900" t="s">
        <v>766</v>
      </c>
      <c r="CY8" s="51" t="s">
        <v>168</v>
      </c>
      <c r="CZ8" s="52"/>
      <c r="DA8" s="52"/>
      <c r="DB8" s="53"/>
      <c r="DC8" s="950"/>
      <c r="DD8" s="52"/>
      <c r="DE8" s="53"/>
    </row>
    <row r="9" spans="1:109" ht="116.25" customHeight="1" x14ac:dyDescent="0.2">
      <c r="A9" s="1065"/>
      <c r="B9" s="1065"/>
      <c r="C9" s="1065"/>
      <c r="D9" s="1189"/>
      <c r="E9" s="1191"/>
      <c r="F9" s="7" t="s">
        <v>105</v>
      </c>
      <c r="G9" s="7" t="s">
        <v>48</v>
      </c>
      <c r="H9" s="7" t="s">
        <v>88</v>
      </c>
      <c r="I9" s="7" t="s">
        <v>57</v>
      </c>
      <c r="J9" s="7" t="s">
        <v>221</v>
      </c>
      <c r="K9" s="7" t="s">
        <v>222</v>
      </c>
      <c r="L9" s="7" t="s">
        <v>229</v>
      </c>
      <c r="M9" s="1189"/>
      <c r="N9" s="1191"/>
      <c r="O9" s="16" t="s">
        <v>105</v>
      </c>
      <c r="P9" s="16" t="s">
        <v>48</v>
      </c>
      <c r="Q9" s="16" t="s">
        <v>88</v>
      </c>
      <c r="R9" s="16" t="s">
        <v>57</v>
      </c>
      <c r="S9" s="16" t="s">
        <v>223</v>
      </c>
      <c r="T9" s="16" t="s">
        <v>227</v>
      </c>
      <c r="U9" s="16" t="s">
        <v>230</v>
      </c>
      <c r="V9" s="1189"/>
      <c r="W9" s="1191"/>
      <c r="X9" s="7" t="s">
        <v>105</v>
      </c>
      <c r="Y9" s="7" t="s">
        <v>48</v>
      </c>
      <c r="Z9" s="7" t="s">
        <v>88</v>
      </c>
      <c r="AA9" s="7" t="s">
        <v>57</v>
      </c>
      <c r="AB9" s="7" t="s">
        <v>228</v>
      </c>
      <c r="AC9" s="7" t="s">
        <v>225</v>
      </c>
      <c r="AD9" s="7" t="s">
        <v>224</v>
      </c>
      <c r="AE9" s="1189"/>
      <c r="AF9" s="1191"/>
      <c r="AG9" s="7" t="s">
        <v>105</v>
      </c>
      <c r="AH9" s="7" t="s">
        <v>48</v>
      </c>
      <c r="AI9" s="7" t="s">
        <v>88</v>
      </c>
      <c r="AJ9" s="7" t="s">
        <v>57</v>
      </c>
      <c r="AK9" s="7" t="s">
        <v>228</v>
      </c>
      <c r="AL9" s="7" t="s">
        <v>222</v>
      </c>
      <c r="AM9" s="7" t="s">
        <v>226</v>
      </c>
      <c r="AN9" s="1189"/>
      <c r="AO9" s="1191"/>
      <c r="AP9" s="54" t="s">
        <v>105</v>
      </c>
      <c r="AQ9" s="54" t="s">
        <v>48</v>
      </c>
      <c r="AR9" s="54" t="s">
        <v>88</v>
      </c>
      <c r="AS9" s="54" t="s">
        <v>57</v>
      </c>
      <c r="AT9" s="97" t="s">
        <v>221</v>
      </c>
      <c r="AU9" s="16" t="s">
        <v>227</v>
      </c>
      <c r="AV9" s="97" t="s">
        <v>224</v>
      </c>
      <c r="AW9" s="1189"/>
      <c r="AX9" s="1191"/>
      <c r="AY9" s="1191"/>
      <c r="AZ9" s="1191"/>
      <c r="BA9" s="54" t="s">
        <v>105</v>
      </c>
      <c r="BB9" s="54" t="s">
        <v>48</v>
      </c>
      <c r="BC9" s="54" t="s">
        <v>88</v>
      </c>
      <c r="BD9" s="54" t="s">
        <v>57</v>
      </c>
      <c r="BE9" s="97" t="s">
        <v>221</v>
      </c>
      <c r="BF9" s="16" t="s">
        <v>227</v>
      </c>
      <c r="BG9" s="97" t="s">
        <v>224</v>
      </c>
      <c r="BH9" s="1189"/>
      <c r="BI9" s="1191"/>
      <c r="BJ9" s="1191"/>
      <c r="BK9" s="1191"/>
      <c r="BL9" s="529"/>
      <c r="BM9" s="529"/>
      <c r="BN9" s="529"/>
      <c r="BO9" s="54" t="s">
        <v>105</v>
      </c>
      <c r="BP9" s="54" t="s">
        <v>48</v>
      </c>
      <c r="BQ9" s="54" t="s">
        <v>88</v>
      </c>
      <c r="BR9" s="54" t="s">
        <v>57</v>
      </c>
      <c r="BS9" s="7" t="s">
        <v>228</v>
      </c>
      <c r="BT9" s="7" t="s">
        <v>222</v>
      </c>
      <c r="BU9" s="472"/>
      <c r="BV9" s="472"/>
      <c r="BW9" s="472"/>
      <c r="BX9" s="7" t="s">
        <v>226</v>
      </c>
      <c r="BY9" s="1189"/>
      <c r="BZ9" s="1191"/>
      <c r="CA9" s="1191"/>
      <c r="CB9" s="1191"/>
      <c r="CC9" s="54" t="s">
        <v>105</v>
      </c>
      <c r="CD9" s="54" t="s">
        <v>48</v>
      </c>
      <c r="CE9" s="54" t="s">
        <v>88</v>
      </c>
      <c r="CF9" s="54" t="s">
        <v>57</v>
      </c>
      <c r="CG9" s="7" t="s">
        <v>222</v>
      </c>
      <c r="CH9" s="7" t="s">
        <v>226</v>
      </c>
      <c r="CI9" s="7" t="s">
        <v>228</v>
      </c>
      <c r="CJ9" s="492"/>
      <c r="CK9" s="491"/>
      <c r="CL9" s="491"/>
      <c r="CM9" s="491"/>
      <c r="CN9" s="54">
        <v>1</v>
      </c>
      <c r="CO9" s="54">
        <v>2</v>
      </c>
      <c r="CP9" s="54">
        <v>3</v>
      </c>
      <c r="CQ9" s="54">
        <v>4</v>
      </c>
      <c r="CR9" s="7" t="s">
        <v>223</v>
      </c>
      <c r="CS9" s="7" t="s">
        <v>227</v>
      </c>
      <c r="CT9" s="7" t="s">
        <v>226</v>
      </c>
      <c r="CU9" s="897"/>
      <c r="CV9" s="898"/>
      <c r="CW9" s="898"/>
      <c r="CX9" s="898"/>
      <c r="CY9" s="54">
        <v>1</v>
      </c>
      <c r="CZ9" s="54">
        <v>2</v>
      </c>
      <c r="DA9" s="54">
        <v>3</v>
      </c>
      <c r="DB9" s="54">
        <v>4</v>
      </c>
      <c r="DC9" s="899" t="s">
        <v>223</v>
      </c>
      <c r="DD9" s="899" t="s">
        <v>227</v>
      </c>
      <c r="DE9" s="899" t="s">
        <v>226</v>
      </c>
    </row>
    <row r="10" spans="1:109" ht="24.95" customHeight="1" x14ac:dyDescent="0.2">
      <c r="A10" s="3" t="s">
        <v>10</v>
      </c>
      <c r="B10" s="3"/>
      <c r="C10" s="3"/>
      <c r="D10" s="17">
        <v>52</v>
      </c>
      <c r="E10" s="17">
        <v>11</v>
      </c>
      <c r="F10" s="64">
        <v>0.08</v>
      </c>
      <c r="G10" s="64">
        <v>0.37</v>
      </c>
      <c r="H10" s="64">
        <v>0.5</v>
      </c>
      <c r="I10" s="64">
        <v>0.05</v>
      </c>
      <c r="J10" s="64">
        <v>0.54</v>
      </c>
      <c r="K10" s="64">
        <v>0.46</v>
      </c>
      <c r="L10" s="64">
        <v>0.53</v>
      </c>
      <c r="M10" s="17">
        <v>52</v>
      </c>
      <c r="N10" s="18">
        <v>12</v>
      </c>
      <c r="O10" s="55">
        <v>0.09</v>
      </c>
      <c r="P10" s="55">
        <v>0.38</v>
      </c>
      <c r="Q10" s="55">
        <v>0.48</v>
      </c>
      <c r="R10" s="55">
        <v>0.05</v>
      </c>
      <c r="S10" s="55">
        <v>0.48</v>
      </c>
      <c r="T10" s="55">
        <v>0.54</v>
      </c>
      <c r="U10" s="55">
        <v>0.37</v>
      </c>
      <c r="V10" s="17">
        <v>52</v>
      </c>
      <c r="W10" s="17">
        <v>12</v>
      </c>
      <c r="X10" s="64">
        <v>0.08</v>
      </c>
      <c r="Y10" s="64">
        <v>0.38</v>
      </c>
      <c r="Z10" s="64">
        <v>0.49</v>
      </c>
      <c r="AA10" s="64">
        <v>0.05</v>
      </c>
      <c r="AB10" s="64">
        <v>0.48</v>
      </c>
      <c r="AC10" s="64">
        <v>0.38</v>
      </c>
      <c r="AD10" s="64">
        <v>0.51</v>
      </c>
      <c r="AE10" s="17">
        <v>52</v>
      </c>
      <c r="AF10" s="17">
        <v>12</v>
      </c>
      <c r="AG10" s="64">
        <v>0.08</v>
      </c>
      <c r="AH10" s="64">
        <v>0.36</v>
      </c>
      <c r="AI10" s="64">
        <v>0.51</v>
      </c>
      <c r="AJ10" s="64">
        <v>0.06</v>
      </c>
      <c r="AK10" s="64">
        <v>0.52</v>
      </c>
      <c r="AL10" s="64">
        <v>0.47</v>
      </c>
      <c r="AM10" s="64">
        <v>0.3</v>
      </c>
      <c r="AN10" s="18">
        <v>52</v>
      </c>
      <c r="AO10" s="18">
        <v>11</v>
      </c>
      <c r="AP10" s="58">
        <v>7.0000000000000007E-2</v>
      </c>
      <c r="AQ10" s="58">
        <v>0.37</v>
      </c>
      <c r="AR10" s="58">
        <v>0.5</v>
      </c>
      <c r="AS10" s="58">
        <v>0.05</v>
      </c>
      <c r="AT10" s="58">
        <v>0.3</v>
      </c>
      <c r="AU10" s="58">
        <v>0.5</v>
      </c>
      <c r="AV10" s="58">
        <v>0.51</v>
      </c>
      <c r="AW10" s="245">
        <v>51</v>
      </c>
      <c r="AX10" s="245" t="s">
        <v>758</v>
      </c>
      <c r="AY10" s="245">
        <v>11</v>
      </c>
      <c r="AZ10" s="245" t="s">
        <v>758</v>
      </c>
      <c r="BA10" s="260">
        <v>0.1</v>
      </c>
      <c r="BB10" s="260">
        <v>0.4</v>
      </c>
      <c r="BC10" s="260">
        <v>0.46</v>
      </c>
      <c r="BD10" s="260">
        <v>0.04</v>
      </c>
      <c r="BE10" s="260">
        <v>0.31</v>
      </c>
      <c r="BF10" s="260">
        <v>0.52</v>
      </c>
      <c r="BG10" s="260">
        <v>0.49</v>
      </c>
      <c r="BH10" s="313">
        <v>52</v>
      </c>
      <c r="BI10" s="313" t="s">
        <v>758</v>
      </c>
      <c r="BJ10" s="313">
        <v>12</v>
      </c>
      <c r="BK10" s="313" t="s">
        <v>759</v>
      </c>
      <c r="BL10" s="461"/>
      <c r="BM10" s="461"/>
      <c r="BN10" s="461"/>
      <c r="BO10" s="287">
        <v>0.1</v>
      </c>
      <c r="BP10" s="287">
        <v>0.35</v>
      </c>
      <c r="BQ10" s="287">
        <v>0.49</v>
      </c>
      <c r="BR10" s="287">
        <v>0.05</v>
      </c>
      <c r="BS10" s="287">
        <v>0.52</v>
      </c>
      <c r="BT10" s="287">
        <v>0.59</v>
      </c>
      <c r="BU10" s="473"/>
      <c r="BV10" s="473"/>
      <c r="BW10" s="473"/>
      <c r="BX10" s="287">
        <v>0.39</v>
      </c>
      <c r="BY10" s="421">
        <v>52</v>
      </c>
      <c r="BZ10" s="421" t="s">
        <v>758</v>
      </c>
      <c r="CA10" s="421">
        <v>12</v>
      </c>
      <c r="CB10" s="421" t="s">
        <v>759</v>
      </c>
      <c r="CC10" s="425">
        <v>0.09</v>
      </c>
      <c r="CD10" s="425">
        <v>0.35</v>
      </c>
      <c r="CE10" s="425">
        <v>0.49</v>
      </c>
      <c r="CF10" s="425">
        <v>7.0000000000000007E-2</v>
      </c>
      <c r="CG10" s="425">
        <v>0.6</v>
      </c>
      <c r="CH10" s="425">
        <v>0.39</v>
      </c>
      <c r="CI10" s="425">
        <v>0.56999999999999995</v>
      </c>
      <c r="CJ10" s="421">
        <v>53</v>
      </c>
      <c r="CK10" s="421" t="s">
        <v>758</v>
      </c>
      <c r="CL10" s="421">
        <v>13</v>
      </c>
      <c r="CM10" s="421" t="s">
        <v>759</v>
      </c>
      <c r="CN10" s="425">
        <v>0.09</v>
      </c>
      <c r="CO10" s="425">
        <v>0.33</v>
      </c>
      <c r="CP10" s="425">
        <v>0.5</v>
      </c>
      <c r="CQ10" s="425">
        <v>0.08</v>
      </c>
      <c r="CR10" s="425">
        <v>0.55000000000000004</v>
      </c>
      <c r="CS10" s="425">
        <v>0.51</v>
      </c>
      <c r="CT10" s="425">
        <v>0.41</v>
      </c>
      <c r="CU10" s="953">
        <v>53</v>
      </c>
      <c r="CV10" s="953" t="s">
        <v>758</v>
      </c>
      <c r="CW10" s="953">
        <v>13</v>
      </c>
      <c r="CX10" s="953" t="s">
        <v>759</v>
      </c>
      <c r="CY10" s="954">
        <v>0.1</v>
      </c>
      <c r="CZ10" s="954">
        <v>0.32</v>
      </c>
      <c r="DA10" s="954">
        <v>0.5</v>
      </c>
      <c r="DB10" s="954">
        <v>0.09</v>
      </c>
      <c r="DC10" s="954">
        <v>0.56999999999999995</v>
      </c>
      <c r="DD10" s="954">
        <v>0.47</v>
      </c>
      <c r="DE10" s="954">
        <v>0.36</v>
      </c>
    </row>
    <row r="11" spans="1:109" ht="24.95" customHeight="1" x14ac:dyDescent="0.2">
      <c r="A11" s="4" t="s">
        <v>0</v>
      </c>
      <c r="B11" s="4"/>
      <c r="C11" s="4"/>
      <c r="D11" s="19">
        <v>52</v>
      </c>
      <c r="E11" s="19">
        <v>9</v>
      </c>
      <c r="F11" s="62">
        <v>0.04</v>
      </c>
      <c r="G11" s="62">
        <v>0.39</v>
      </c>
      <c r="H11" s="62">
        <v>0.55000000000000004</v>
      </c>
      <c r="I11" s="62">
        <v>0.02</v>
      </c>
      <c r="J11" s="62">
        <v>0.53</v>
      </c>
      <c r="K11" s="62">
        <v>0.46</v>
      </c>
      <c r="L11" s="62">
        <v>0.53</v>
      </c>
      <c r="M11" s="19">
        <v>52</v>
      </c>
      <c r="N11" s="20">
        <v>10</v>
      </c>
      <c r="O11" s="56">
        <v>0.05</v>
      </c>
      <c r="P11" s="56">
        <v>0.38</v>
      </c>
      <c r="Q11" s="56">
        <v>0.54</v>
      </c>
      <c r="R11" s="56">
        <v>0.03</v>
      </c>
      <c r="S11" s="56">
        <v>0.47</v>
      </c>
      <c r="T11" s="56">
        <v>0.55000000000000004</v>
      </c>
      <c r="U11" s="56">
        <v>0.35</v>
      </c>
      <c r="V11" s="19">
        <v>52</v>
      </c>
      <c r="W11" s="19">
        <v>9</v>
      </c>
      <c r="X11" s="62">
        <v>0.04</v>
      </c>
      <c r="Y11" s="62">
        <v>0.38</v>
      </c>
      <c r="Z11" s="62">
        <v>0.55000000000000004</v>
      </c>
      <c r="AA11" s="62">
        <v>0.02</v>
      </c>
      <c r="AB11" s="62">
        <v>0.49</v>
      </c>
      <c r="AC11" s="62">
        <v>0.37</v>
      </c>
      <c r="AD11" s="62">
        <v>0.51</v>
      </c>
      <c r="AE11" s="19">
        <v>53</v>
      </c>
      <c r="AF11" s="19">
        <v>10</v>
      </c>
      <c r="AG11" s="62">
        <v>0.04</v>
      </c>
      <c r="AH11" s="62">
        <v>0.36</v>
      </c>
      <c r="AI11" s="62">
        <v>0.56999999999999995</v>
      </c>
      <c r="AJ11" s="62">
        <v>0.03</v>
      </c>
      <c r="AK11" s="62">
        <v>0.52</v>
      </c>
      <c r="AL11" s="62">
        <v>0.46</v>
      </c>
      <c r="AM11" s="62">
        <v>0.28999999999999998</v>
      </c>
      <c r="AN11" s="20">
        <v>53</v>
      </c>
      <c r="AO11" s="20">
        <v>10</v>
      </c>
      <c r="AP11" s="59">
        <v>0.04</v>
      </c>
      <c r="AQ11" s="59">
        <v>0.34</v>
      </c>
      <c r="AR11" s="59">
        <v>0.59</v>
      </c>
      <c r="AS11" s="59">
        <v>0.03</v>
      </c>
      <c r="AT11" s="59">
        <v>0.27</v>
      </c>
      <c r="AU11" s="59">
        <v>0.49</v>
      </c>
      <c r="AV11" s="59">
        <v>0.5</v>
      </c>
      <c r="AW11" s="243">
        <v>52</v>
      </c>
      <c r="AX11" s="243" t="s">
        <v>11</v>
      </c>
      <c r="AY11" s="243">
        <v>10</v>
      </c>
      <c r="AZ11" s="243" t="s">
        <v>11</v>
      </c>
      <c r="BA11" s="261">
        <v>0.05</v>
      </c>
      <c r="BB11" s="261">
        <v>0.39</v>
      </c>
      <c r="BC11" s="261">
        <v>0.54</v>
      </c>
      <c r="BD11" s="261">
        <v>0.03</v>
      </c>
      <c r="BE11" s="261">
        <v>0.28999999999999998</v>
      </c>
      <c r="BF11" s="261">
        <v>0.51</v>
      </c>
      <c r="BG11" s="261">
        <v>0.47</v>
      </c>
      <c r="BH11" s="314">
        <v>53</v>
      </c>
      <c r="BI11" s="314" t="s">
        <v>11</v>
      </c>
      <c r="BJ11" s="314">
        <v>10</v>
      </c>
      <c r="BK11" s="314" t="s">
        <v>11</v>
      </c>
      <c r="BL11" s="462"/>
      <c r="BM11" s="462"/>
      <c r="BN11" s="462"/>
      <c r="BO11" s="290">
        <v>0.05</v>
      </c>
      <c r="BP11" s="290">
        <v>0.33</v>
      </c>
      <c r="BQ11" s="290">
        <v>0.57999999999999996</v>
      </c>
      <c r="BR11" s="290">
        <v>0.03</v>
      </c>
      <c r="BS11" s="288">
        <v>0.51</v>
      </c>
      <c r="BT11" s="288">
        <v>0.57999999999999996</v>
      </c>
      <c r="BU11" s="474"/>
      <c r="BV11" s="474"/>
      <c r="BW11" s="474"/>
      <c r="BX11" s="288">
        <v>0.38</v>
      </c>
      <c r="BY11" s="422">
        <v>53</v>
      </c>
      <c r="BZ11" s="422" t="s">
        <v>11</v>
      </c>
      <c r="CA11" s="422">
        <v>10</v>
      </c>
      <c r="CB11" s="422" t="s">
        <v>11</v>
      </c>
      <c r="CC11" s="426">
        <v>0.05</v>
      </c>
      <c r="CD11" s="426">
        <v>0.34</v>
      </c>
      <c r="CE11" s="426">
        <v>0.56000000000000005</v>
      </c>
      <c r="CF11" s="426">
        <v>0.04</v>
      </c>
      <c r="CG11" s="426">
        <v>0.61</v>
      </c>
      <c r="CH11" s="426">
        <v>0.37</v>
      </c>
      <c r="CI11" s="426">
        <v>0.56999999999999995</v>
      </c>
      <c r="CJ11" s="422">
        <v>54</v>
      </c>
      <c r="CK11" s="422" t="s">
        <v>11</v>
      </c>
      <c r="CL11" s="422">
        <v>11</v>
      </c>
      <c r="CM11" s="422" t="s">
        <v>11</v>
      </c>
      <c r="CN11" s="426">
        <v>0.05</v>
      </c>
      <c r="CO11" s="426">
        <v>0.31</v>
      </c>
      <c r="CP11" s="426">
        <v>0.57999999999999996</v>
      </c>
      <c r="CQ11" s="426">
        <v>0.06</v>
      </c>
      <c r="CR11" s="426">
        <v>0.54</v>
      </c>
      <c r="CS11" s="426">
        <v>0.49</v>
      </c>
      <c r="CT11" s="426">
        <v>0.39</v>
      </c>
      <c r="CU11" s="955">
        <v>54</v>
      </c>
      <c r="CV11" s="955" t="s">
        <v>11</v>
      </c>
      <c r="CW11" s="955">
        <v>11</v>
      </c>
      <c r="CX11" s="955" t="s">
        <v>11</v>
      </c>
      <c r="CY11" s="956">
        <v>0.05</v>
      </c>
      <c r="CZ11" s="956">
        <v>0.31</v>
      </c>
      <c r="DA11" s="956">
        <v>0.57999999999999996</v>
      </c>
      <c r="DB11" s="956">
        <v>0.06</v>
      </c>
      <c r="DC11" s="956">
        <v>0.56999999999999995</v>
      </c>
      <c r="DD11" s="956">
        <v>0.46</v>
      </c>
      <c r="DE11" s="956">
        <v>0.35</v>
      </c>
    </row>
    <row r="12" spans="1:109" ht="24.95" customHeight="1" x14ac:dyDescent="0.2">
      <c r="A12" s="6" t="s">
        <v>12</v>
      </c>
      <c r="B12" s="6"/>
      <c r="C12" s="6"/>
      <c r="D12" s="21">
        <v>51</v>
      </c>
      <c r="E12" s="21">
        <v>9</v>
      </c>
      <c r="F12" s="65">
        <v>0.05</v>
      </c>
      <c r="G12" s="65">
        <v>0.44</v>
      </c>
      <c r="H12" s="65">
        <v>0.5</v>
      </c>
      <c r="I12" s="65">
        <v>0.02</v>
      </c>
      <c r="J12" s="39">
        <f>AVERAGEIFS(J$36:J$173,$B$36:$B$173,"=oficial")</f>
        <v>0.55079999999999996</v>
      </c>
      <c r="K12" s="39">
        <f>AVERAGEIFS(K$36:K$173,$B$36:$B$173,"=oficial")</f>
        <v>0.48479999999999995</v>
      </c>
      <c r="L12" s="39">
        <f>AVERAGEIFS(L$36:L$173,$B$36:$B$173,"=oficial")</f>
        <v>0.5616000000000001</v>
      </c>
      <c r="M12" s="21">
        <v>51</v>
      </c>
      <c r="N12" s="22">
        <v>10</v>
      </c>
      <c r="O12" s="57">
        <v>0.06</v>
      </c>
      <c r="P12" s="57">
        <v>0.42</v>
      </c>
      <c r="Q12" s="57">
        <v>0.5</v>
      </c>
      <c r="R12" s="57">
        <v>0.02</v>
      </c>
      <c r="S12" s="39">
        <f>AVERAGEIFS(S$36:S$173,$B$36:$B$173,"=oficial")</f>
        <v>0.49559999999999993</v>
      </c>
      <c r="T12" s="39">
        <f>AVERAGEIFS(T$36:T$173,$B$36:$B$173,"=oficial")</f>
        <v>0.57480000000000009</v>
      </c>
      <c r="U12" s="39">
        <f>AVERAGEIFS(U$36:U$173,$B$36:$B$173,"=oficial")</f>
        <v>0.38280000000000003</v>
      </c>
      <c r="V12" s="21">
        <v>51</v>
      </c>
      <c r="W12" s="21">
        <v>9</v>
      </c>
      <c r="X12" s="65">
        <v>0.06</v>
      </c>
      <c r="Y12" s="65">
        <v>0.43</v>
      </c>
      <c r="Z12" s="65">
        <v>0.5</v>
      </c>
      <c r="AA12" s="65">
        <v>0.01</v>
      </c>
      <c r="AB12" s="39">
        <f>AVERAGEIFS(AB$36:AB$173,$B$36:$B$173,"=oficial")</f>
        <v>0.51559999999999984</v>
      </c>
      <c r="AC12" s="39">
        <f>AVERAGEIFS(AC$36:AC$173,$B$36:$B$173,"=oficial")</f>
        <v>0.39480000000000004</v>
      </c>
      <c r="AD12" s="39">
        <f>AVERAGEIFS(AD$36:AD$173,$B$36:$B$173,"=oficial")</f>
        <v>0.5404000000000001</v>
      </c>
      <c r="AE12" s="21">
        <v>51</v>
      </c>
      <c r="AF12" s="21">
        <v>10</v>
      </c>
      <c r="AG12" s="65">
        <v>0.05</v>
      </c>
      <c r="AH12" s="65">
        <v>0.41</v>
      </c>
      <c r="AI12" s="65">
        <v>0.52</v>
      </c>
      <c r="AJ12" s="65">
        <v>0.02</v>
      </c>
      <c r="AK12" s="39">
        <f>AVERAGEIFS(AK$36:AK$173,$B$36:$B$173,"=oficial")</f>
        <v>0.55199999999999994</v>
      </c>
      <c r="AL12" s="39">
        <f>AVERAGEIFS(AL$36:AL$173,$B$36:$B$173,"=oficial")</f>
        <v>0.48680000000000012</v>
      </c>
      <c r="AM12" s="39">
        <f>AVERAGEIFS(AM$36:AM$173,$B$36:$B$173,"=oficial")</f>
        <v>0.31519999999999992</v>
      </c>
      <c r="AN12" s="50">
        <v>52</v>
      </c>
      <c r="AO12" s="50">
        <v>9</v>
      </c>
      <c r="AP12" s="60">
        <v>0.04</v>
      </c>
      <c r="AQ12" s="60">
        <v>0.39</v>
      </c>
      <c r="AR12" s="60">
        <v>0.54</v>
      </c>
      <c r="AS12" s="60">
        <v>0.02</v>
      </c>
      <c r="AT12" s="39">
        <f>AVERAGEIFS(AT$36:AT$173,$B$36:$B$173,"=oficial")</f>
        <v>0.29720000000000008</v>
      </c>
      <c r="AU12" s="39">
        <f>AVERAGEIFS(AU$36:AU$173,$B$36:$B$173,"=oficial")</f>
        <v>0.51800000000000002</v>
      </c>
      <c r="AV12" s="39">
        <f>AVERAGEIFS(AV$36:AV$173,$B$36:$B$173,"=oficial")</f>
        <v>0.52200000000000002</v>
      </c>
      <c r="AW12" s="244">
        <v>50</v>
      </c>
      <c r="AX12" s="244" t="s">
        <v>758</v>
      </c>
      <c r="AY12" s="244">
        <v>9</v>
      </c>
      <c r="AZ12" s="244" t="s">
        <v>758</v>
      </c>
      <c r="BA12" s="262">
        <v>0.06</v>
      </c>
      <c r="BB12" s="262">
        <v>0.45</v>
      </c>
      <c r="BC12" s="262">
        <v>0.48</v>
      </c>
      <c r="BD12" s="262">
        <v>0.01</v>
      </c>
      <c r="BE12" s="39">
        <f>AVERAGEIFS(BE$36:BE$173,$B$36:$B$173,"=oficial")</f>
        <v>0.31279999999999997</v>
      </c>
      <c r="BF12" s="39">
        <f>AVERAGEIFS(BF$36:BF$173,$B$36:$B$173,"=oficial")</f>
        <v>0.53839999999999999</v>
      </c>
      <c r="BG12" s="39">
        <f>AVERAGEIFS(BG$36:BG$173,$B$36:$B$173,"=oficial")</f>
        <v>0.50040000000000007</v>
      </c>
      <c r="BH12" s="315">
        <v>51</v>
      </c>
      <c r="BI12" s="315" t="s">
        <v>758</v>
      </c>
      <c r="BJ12" s="315">
        <v>10</v>
      </c>
      <c r="BK12" s="315" t="s">
        <v>758</v>
      </c>
      <c r="BL12" s="463"/>
      <c r="BM12" s="463"/>
      <c r="BN12" s="463"/>
      <c r="BO12" s="325">
        <v>7.0000000000000007E-2</v>
      </c>
      <c r="BP12" s="325">
        <v>0.39</v>
      </c>
      <c r="BQ12" s="325">
        <v>0.52</v>
      </c>
      <c r="BR12" s="325">
        <v>0.02</v>
      </c>
      <c r="BS12" s="39">
        <f>AVERAGEIFS(BS$36:BS$173,$B$36:$B$173,"=oficial")</f>
        <v>0.54517241379310344</v>
      </c>
      <c r="BT12" s="39">
        <f>AVERAGEIFS(BT$36:BT$173,$B$36:$B$173,"=oficial")</f>
        <v>0.61655172413793113</v>
      </c>
      <c r="BU12" s="475"/>
      <c r="BV12" s="475"/>
      <c r="BW12" s="475"/>
      <c r="BX12" s="39">
        <f>AVERAGEIFS(BX$36:BX$173,$B$36:$B$173,"=oficial")</f>
        <v>0.40827586206896549</v>
      </c>
      <c r="BY12" s="423">
        <v>51</v>
      </c>
      <c r="BZ12" s="423" t="s">
        <v>758</v>
      </c>
      <c r="CA12" s="423">
        <v>10</v>
      </c>
      <c r="CB12" s="423" t="s">
        <v>758</v>
      </c>
      <c r="CC12" s="427">
        <v>7.0000000000000007E-2</v>
      </c>
      <c r="CD12" s="427">
        <v>0.4</v>
      </c>
      <c r="CE12" s="427">
        <v>0.51</v>
      </c>
      <c r="CF12" s="427">
        <v>0.03</v>
      </c>
      <c r="CG12" s="423" t="s">
        <v>173</v>
      </c>
      <c r="CH12" s="423" t="s">
        <v>173</v>
      </c>
      <c r="CI12" s="423" t="s">
        <v>173</v>
      </c>
      <c r="CJ12" s="423">
        <v>52</v>
      </c>
      <c r="CK12" s="423" t="s">
        <v>758</v>
      </c>
      <c r="CL12" s="423">
        <v>11</v>
      </c>
      <c r="CM12" s="423" t="s">
        <v>758</v>
      </c>
      <c r="CN12" s="427">
        <v>0.06</v>
      </c>
      <c r="CO12" s="427">
        <v>0.36</v>
      </c>
      <c r="CP12" s="427">
        <v>0.54</v>
      </c>
      <c r="CQ12" s="427">
        <v>0.04</v>
      </c>
      <c r="CR12" s="423" t="s">
        <v>173</v>
      </c>
      <c r="CS12" s="423" t="s">
        <v>173</v>
      </c>
      <c r="CT12" s="423" t="s">
        <v>173</v>
      </c>
      <c r="CU12" s="957">
        <v>52</v>
      </c>
      <c r="CV12" s="957" t="s">
        <v>758</v>
      </c>
      <c r="CW12" s="957">
        <v>11</v>
      </c>
      <c r="CX12" s="957" t="s">
        <v>758</v>
      </c>
      <c r="CY12" s="958">
        <v>0.06</v>
      </c>
      <c r="CZ12" s="958">
        <v>0.36</v>
      </c>
      <c r="DA12" s="958">
        <v>0.54</v>
      </c>
      <c r="DB12" s="958">
        <v>0.04</v>
      </c>
      <c r="DC12" s="957" t="s">
        <v>173</v>
      </c>
      <c r="DD12" s="957" t="s">
        <v>173</v>
      </c>
      <c r="DE12" s="957" t="s">
        <v>173</v>
      </c>
    </row>
    <row r="13" spans="1:109" ht="24.95" customHeight="1" x14ac:dyDescent="0.2">
      <c r="A13" s="6" t="s">
        <v>13</v>
      </c>
      <c r="B13" s="6"/>
      <c r="C13" s="6"/>
      <c r="D13" s="21">
        <v>52</v>
      </c>
      <c r="E13" s="21">
        <v>9</v>
      </c>
      <c r="F13" s="65">
        <v>0.05</v>
      </c>
      <c r="G13" s="65">
        <v>0.37</v>
      </c>
      <c r="H13" s="65">
        <v>0.56000000000000005</v>
      </c>
      <c r="I13" s="65">
        <v>0.02</v>
      </c>
      <c r="J13" s="39">
        <f>J100</f>
        <v>0</v>
      </c>
      <c r="K13" s="39">
        <f>K100</f>
        <v>0</v>
      </c>
      <c r="L13" s="39">
        <f>L100</f>
        <v>0</v>
      </c>
      <c r="M13" s="21">
        <v>50</v>
      </c>
      <c r="N13" s="22">
        <v>9</v>
      </c>
      <c r="O13" s="57">
        <v>7.0000000000000007E-2</v>
      </c>
      <c r="P13" s="57">
        <v>0.48</v>
      </c>
      <c r="Q13" s="57">
        <v>0.45</v>
      </c>
      <c r="R13" s="57">
        <v>0</v>
      </c>
      <c r="S13" s="39">
        <f>S100</f>
        <v>0.5</v>
      </c>
      <c r="T13" s="39">
        <f>T100</f>
        <v>0.39</v>
      </c>
      <c r="U13" s="39">
        <f>U100</f>
        <v>0</v>
      </c>
      <c r="V13" s="21">
        <v>53</v>
      </c>
      <c r="W13" s="21">
        <v>9</v>
      </c>
      <c r="X13" s="65">
        <v>0</v>
      </c>
      <c r="Y13" s="65">
        <v>0.47</v>
      </c>
      <c r="Z13" s="65">
        <v>0.47</v>
      </c>
      <c r="AA13" s="65">
        <v>0.06</v>
      </c>
      <c r="AB13" s="39">
        <f>AB100</f>
        <v>0</v>
      </c>
      <c r="AC13" s="39">
        <f>AC100</f>
        <v>0</v>
      </c>
      <c r="AD13" s="39">
        <f>AD100</f>
        <v>0</v>
      </c>
      <c r="AE13" s="21">
        <v>54</v>
      </c>
      <c r="AF13" s="21">
        <v>9</v>
      </c>
      <c r="AG13" s="65">
        <v>0.02</v>
      </c>
      <c r="AH13" s="65">
        <v>0.27</v>
      </c>
      <c r="AI13" s="65">
        <v>0.69</v>
      </c>
      <c r="AJ13" s="65">
        <v>0.02</v>
      </c>
      <c r="AK13" s="39">
        <f>AK100</f>
        <v>0</v>
      </c>
      <c r="AL13" s="39">
        <f>AL100</f>
        <v>0</v>
      </c>
      <c r="AM13" s="39">
        <f>AM100</f>
        <v>0</v>
      </c>
      <c r="AN13" s="50">
        <v>53</v>
      </c>
      <c r="AO13" s="50">
        <v>12</v>
      </c>
      <c r="AP13" s="60">
        <v>0.05</v>
      </c>
      <c r="AQ13" s="60">
        <v>0.39</v>
      </c>
      <c r="AR13" s="60">
        <v>0.45</v>
      </c>
      <c r="AS13" s="60">
        <v>0.11</v>
      </c>
      <c r="AT13" s="39">
        <f>AT100</f>
        <v>0</v>
      </c>
      <c r="AU13" s="39">
        <f>AU100</f>
        <v>0</v>
      </c>
      <c r="AV13" s="39">
        <f>AV100</f>
        <v>0</v>
      </c>
      <c r="AW13" s="244">
        <v>52</v>
      </c>
      <c r="AX13" s="244" t="s">
        <v>758</v>
      </c>
      <c r="AY13" s="244">
        <v>10</v>
      </c>
      <c r="AZ13" s="244" t="s">
        <v>758</v>
      </c>
      <c r="BA13" s="262">
        <v>0.02</v>
      </c>
      <c r="BB13" s="262">
        <v>0.39</v>
      </c>
      <c r="BC13" s="262">
        <v>0.59</v>
      </c>
      <c r="BD13" s="262">
        <v>0</v>
      </c>
      <c r="BE13" s="39">
        <f>BE100</f>
        <v>0</v>
      </c>
      <c r="BF13" s="39">
        <f>BF100</f>
        <v>0</v>
      </c>
      <c r="BG13" s="39">
        <f>BG100</f>
        <v>0</v>
      </c>
      <c r="BH13" s="315">
        <v>51</v>
      </c>
      <c r="BI13" s="315" t="s">
        <v>758</v>
      </c>
      <c r="BJ13" s="315">
        <v>11</v>
      </c>
      <c r="BK13" s="315" t="s">
        <v>758</v>
      </c>
      <c r="BL13" s="463"/>
      <c r="BM13" s="463"/>
      <c r="BN13" s="463"/>
      <c r="BO13" s="325">
        <v>0.05</v>
      </c>
      <c r="BP13" s="325">
        <v>0.45</v>
      </c>
      <c r="BQ13" s="325">
        <v>0.48</v>
      </c>
      <c r="BR13" s="325">
        <v>0.03</v>
      </c>
      <c r="BS13" s="39">
        <f>BS100</f>
        <v>0</v>
      </c>
      <c r="BT13" s="39">
        <f>BT100</f>
        <v>0</v>
      </c>
      <c r="BU13" s="475"/>
      <c r="BV13" s="475"/>
      <c r="BW13" s="475"/>
      <c r="BX13" s="39">
        <f>BX100</f>
        <v>0</v>
      </c>
      <c r="BY13" s="423">
        <v>50</v>
      </c>
      <c r="BZ13" s="423" t="s">
        <v>758</v>
      </c>
      <c r="CA13" s="423">
        <v>11</v>
      </c>
      <c r="CB13" s="423" t="s">
        <v>758</v>
      </c>
      <c r="CC13" s="427">
        <v>0.08</v>
      </c>
      <c r="CD13" s="427">
        <v>0.4</v>
      </c>
      <c r="CE13" s="427">
        <v>0.52</v>
      </c>
      <c r="CF13" s="427">
        <v>0</v>
      </c>
      <c r="CG13" s="423" t="s">
        <v>173</v>
      </c>
      <c r="CH13" s="423" t="s">
        <v>173</v>
      </c>
      <c r="CI13" s="423" t="s">
        <v>173</v>
      </c>
      <c r="CJ13" s="423">
        <v>51</v>
      </c>
      <c r="CK13" s="423" t="s">
        <v>758</v>
      </c>
      <c r="CL13" s="423">
        <v>10</v>
      </c>
      <c r="CM13" s="423" t="s">
        <v>758</v>
      </c>
      <c r="CN13" s="427">
        <v>0.04</v>
      </c>
      <c r="CO13" s="427">
        <v>0.47</v>
      </c>
      <c r="CP13" s="427">
        <v>0.47</v>
      </c>
      <c r="CQ13" s="427">
        <v>0.02</v>
      </c>
      <c r="CR13" s="423" t="s">
        <v>173</v>
      </c>
      <c r="CS13" s="423" t="s">
        <v>173</v>
      </c>
      <c r="CT13" s="423" t="s">
        <v>173</v>
      </c>
      <c r="CU13" s="957">
        <v>52</v>
      </c>
      <c r="CV13" s="957" t="s">
        <v>758</v>
      </c>
      <c r="CW13" s="957">
        <v>11</v>
      </c>
      <c r="CX13" s="957" t="s">
        <v>758</v>
      </c>
      <c r="CY13" s="958">
        <v>0.1</v>
      </c>
      <c r="CZ13" s="958">
        <v>0.28999999999999998</v>
      </c>
      <c r="DA13" s="958">
        <v>0.6</v>
      </c>
      <c r="DB13" s="958">
        <v>0.02</v>
      </c>
      <c r="DC13" s="957" t="s">
        <v>173</v>
      </c>
      <c r="DD13" s="957" t="s">
        <v>173</v>
      </c>
      <c r="DE13" s="957" t="s">
        <v>173</v>
      </c>
    </row>
    <row r="14" spans="1:109" ht="24.95" customHeight="1" x14ac:dyDescent="0.2">
      <c r="A14" s="6" t="s">
        <v>14</v>
      </c>
      <c r="B14" s="6"/>
      <c r="C14" s="6"/>
      <c r="D14" s="21">
        <v>54</v>
      </c>
      <c r="E14" s="21">
        <v>9</v>
      </c>
      <c r="F14" s="65">
        <v>0.04</v>
      </c>
      <c r="G14" s="65">
        <v>0.34</v>
      </c>
      <c r="H14" s="65">
        <v>0.6</v>
      </c>
      <c r="I14" s="65">
        <v>0.02</v>
      </c>
      <c r="J14" s="39">
        <f>AVERAGEIFS(J$36:J$173,$B$36:$B$173,"=no oficial")</f>
        <v>0.51844155844155859</v>
      </c>
      <c r="K14" s="39">
        <f>AVERAGEIFS(K$36:K$173,$B$36:$B$173,"=no oficial")</f>
        <v>0.44597402597402586</v>
      </c>
      <c r="L14" s="39">
        <f>AVERAGEIFS(L$36:L$173,$B$36:$B$173,"=no oficial")</f>
        <v>0.52259740259740251</v>
      </c>
      <c r="M14" s="21">
        <v>53</v>
      </c>
      <c r="N14" s="22">
        <v>10</v>
      </c>
      <c r="O14" s="57">
        <v>0.04</v>
      </c>
      <c r="P14" s="57">
        <v>0.33</v>
      </c>
      <c r="Q14" s="57">
        <v>0.59</v>
      </c>
      <c r="R14" s="57">
        <v>0.03</v>
      </c>
      <c r="S14" s="39">
        <f>AVERAGEIFS(S$36:S$173,$B$36:$B$173,"=no oficial")</f>
        <v>0.46922077922077937</v>
      </c>
      <c r="T14" s="39">
        <f>AVERAGEIFS(T$36:T$173,$B$36:$B$173,"=no oficial")</f>
        <v>0.53961038961038965</v>
      </c>
      <c r="U14" s="39">
        <f>AVERAGEIFS(U$36:U$173,$B$36:$B$173,"=no oficial")</f>
        <v>0.34545454545454557</v>
      </c>
      <c r="V14" s="21">
        <v>54</v>
      </c>
      <c r="W14" s="21">
        <v>9</v>
      </c>
      <c r="X14" s="65">
        <v>0.02</v>
      </c>
      <c r="Y14" s="65">
        <v>0.32</v>
      </c>
      <c r="Z14" s="65">
        <v>0.62</v>
      </c>
      <c r="AA14" s="65">
        <v>0.03</v>
      </c>
      <c r="AB14" s="39">
        <f>AVERAGEIFS(AB$36:AB$173,$B$36:$B$173,"=no oficial")</f>
        <v>0.46628205128205136</v>
      </c>
      <c r="AC14" s="39">
        <f>AVERAGEIFS(AC$36:AC$173,$B$36:$B$173,"=no oficial")</f>
        <v>0.36217948717948706</v>
      </c>
      <c r="AD14" s="39">
        <f>AVERAGEIFS(AD$36:AD$173,$B$36:$B$173,"=no oficial")</f>
        <v>0.50102564102564096</v>
      </c>
      <c r="AE14" s="21">
        <v>55</v>
      </c>
      <c r="AF14" s="21">
        <v>10</v>
      </c>
      <c r="AG14" s="65">
        <v>0.03</v>
      </c>
      <c r="AH14" s="65">
        <v>0.28999999999999998</v>
      </c>
      <c r="AI14" s="65">
        <v>0.64</v>
      </c>
      <c r="AJ14" s="65">
        <v>0.04</v>
      </c>
      <c r="AK14" s="39">
        <f>AVERAGEIFS(AK$36:AK$173,$B$36:$B$173,"=no oficial")</f>
        <v>0.50912499999999994</v>
      </c>
      <c r="AL14" s="39">
        <f>AVERAGEIFS(AL$36:AL$173,$B$36:$B$173,"=no oficial")</f>
        <v>0.44699999999999995</v>
      </c>
      <c r="AM14" s="39">
        <f>AVERAGEIFS(AM$36:AM$173,$B$36:$B$173,"=no oficial")</f>
        <v>0.27237500000000003</v>
      </c>
      <c r="AN14" s="50">
        <v>55</v>
      </c>
      <c r="AO14" s="50">
        <v>10</v>
      </c>
      <c r="AP14" s="60">
        <v>0.03</v>
      </c>
      <c r="AQ14" s="60">
        <v>0.3</v>
      </c>
      <c r="AR14" s="60">
        <v>0.64</v>
      </c>
      <c r="AS14" s="60">
        <v>0.04</v>
      </c>
      <c r="AT14" s="39">
        <f>AVERAGEIFS(AT$36:AT$173,$B$36:$B$173,"=no oficial")</f>
        <v>0.2628235294117649</v>
      </c>
      <c r="AU14" s="39">
        <f>AVERAGEIFS(AU$36:AU$173,$B$36:$B$173,"=no oficial")</f>
        <v>0.48835294117647049</v>
      </c>
      <c r="AV14" s="39">
        <f>AVERAGEIFS(AV$36:AV$173,$B$36:$B$173,"=no oficial")</f>
        <v>0.49188235294117644</v>
      </c>
      <c r="AW14" s="244">
        <v>54</v>
      </c>
      <c r="AX14" s="244" t="s">
        <v>758</v>
      </c>
      <c r="AY14" s="244">
        <v>10</v>
      </c>
      <c r="AZ14" s="244" t="s">
        <v>758</v>
      </c>
      <c r="BA14" s="262">
        <v>0.04</v>
      </c>
      <c r="BB14" s="262">
        <v>0.32</v>
      </c>
      <c r="BC14" s="262">
        <v>0.6</v>
      </c>
      <c r="BD14" s="262">
        <v>0.04</v>
      </c>
      <c r="BE14" s="39">
        <f>AVERAGEIFS(BE$36:BE$173,$B$36:$B$173,"=no oficial")</f>
        <v>0.27190476190476193</v>
      </c>
      <c r="BF14" s="39">
        <f>AVERAGEIFS(BF$36:BF$173,$B$36:$B$173,"=no oficial")</f>
        <v>0.49321428571428561</v>
      </c>
      <c r="BG14" s="39">
        <f>AVERAGEIFS(BG$36:BG$173,$B$36:$B$173,"=no oficial")</f>
        <v>0.45535714285714279</v>
      </c>
      <c r="BH14" s="315">
        <v>55</v>
      </c>
      <c r="BI14" s="315" t="s">
        <v>758</v>
      </c>
      <c r="BJ14" s="315">
        <v>10</v>
      </c>
      <c r="BK14" s="315" t="s">
        <v>758</v>
      </c>
      <c r="BL14" s="463"/>
      <c r="BM14" s="463"/>
      <c r="BN14" s="463"/>
      <c r="BO14" s="325">
        <v>0.04</v>
      </c>
      <c r="BP14" s="325">
        <v>0.27</v>
      </c>
      <c r="BQ14" s="325">
        <v>0.64</v>
      </c>
      <c r="BR14" s="325">
        <v>0.05</v>
      </c>
      <c r="BS14" s="39">
        <f>AVERAGEIFS(BS$36:BS$173,$B$36:$B$173,"=no oficial")</f>
        <v>0.48436781609195395</v>
      </c>
      <c r="BT14" s="39">
        <f>AVERAGEIFS(BT$36:BT$173,$B$36:$B$173,"=no oficial")</f>
        <v>0.55885057471264377</v>
      </c>
      <c r="BU14" s="475"/>
      <c r="BV14" s="475"/>
      <c r="BW14" s="475"/>
      <c r="BX14" s="39">
        <f>AVERAGEIFS(BX$36:BX$173,$B$36:$B$173,"=no oficial")</f>
        <v>0.35597701149425293</v>
      </c>
      <c r="BY14" s="423">
        <v>55</v>
      </c>
      <c r="BZ14" s="423" t="s">
        <v>758</v>
      </c>
      <c r="CA14" s="423">
        <v>10</v>
      </c>
      <c r="CB14" s="423" t="s">
        <v>758</v>
      </c>
      <c r="CC14" s="427">
        <v>0.04</v>
      </c>
      <c r="CD14" s="427">
        <v>0.27</v>
      </c>
      <c r="CE14" s="427">
        <v>0.63</v>
      </c>
      <c r="CF14" s="427">
        <v>0.06</v>
      </c>
      <c r="CG14" s="423" t="s">
        <v>173</v>
      </c>
      <c r="CH14" s="423" t="s">
        <v>173</v>
      </c>
      <c r="CI14" s="423" t="s">
        <v>173</v>
      </c>
      <c r="CJ14" s="423">
        <v>56</v>
      </c>
      <c r="CK14" s="423" t="s">
        <v>758</v>
      </c>
      <c r="CL14" s="423">
        <v>10</v>
      </c>
      <c r="CM14" s="423" t="s">
        <v>758</v>
      </c>
      <c r="CN14" s="427">
        <v>0.03</v>
      </c>
      <c r="CO14" s="427">
        <v>0.26</v>
      </c>
      <c r="CP14" s="427">
        <v>0.63</v>
      </c>
      <c r="CQ14" s="427">
        <v>0.08</v>
      </c>
      <c r="CR14" s="423" t="s">
        <v>173</v>
      </c>
      <c r="CS14" s="423" t="s">
        <v>173</v>
      </c>
      <c r="CT14" s="423" t="s">
        <v>173</v>
      </c>
      <c r="CU14" s="957">
        <v>56</v>
      </c>
      <c r="CV14" s="957" t="s">
        <v>758</v>
      </c>
      <c r="CW14" s="957">
        <v>11</v>
      </c>
      <c r="CX14" s="957" t="s">
        <v>758</v>
      </c>
      <c r="CY14" s="958">
        <v>0.04</v>
      </c>
      <c r="CZ14" s="958">
        <v>0.25</v>
      </c>
      <c r="DA14" s="958">
        <v>0.63</v>
      </c>
      <c r="DB14" s="958">
        <v>0.09</v>
      </c>
      <c r="DC14" s="957" t="s">
        <v>173</v>
      </c>
      <c r="DD14" s="957" t="s">
        <v>173</v>
      </c>
      <c r="DE14" s="957" t="s">
        <v>173</v>
      </c>
    </row>
    <row r="15" spans="1:109" ht="24.95" customHeight="1" x14ac:dyDescent="0.2">
      <c r="A15" s="6" t="s">
        <v>15</v>
      </c>
      <c r="B15" s="6"/>
      <c r="C15" s="6"/>
      <c r="D15" s="21">
        <v>50</v>
      </c>
      <c r="E15" s="21">
        <v>9</v>
      </c>
      <c r="F15" s="65">
        <v>0.06</v>
      </c>
      <c r="G15" s="65">
        <v>0.47</v>
      </c>
      <c r="H15" s="65">
        <v>0.46</v>
      </c>
      <c r="I15" s="65">
        <v>0.01</v>
      </c>
      <c r="J15" s="11" t="s">
        <v>173</v>
      </c>
      <c r="K15" s="11" t="s">
        <v>173</v>
      </c>
      <c r="L15" s="11" t="s">
        <v>173</v>
      </c>
      <c r="M15" s="21">
        <v>50</v>
      </c>
      <c r="N15" s="22">
        <v>10</v>
      </c>
      <c r="O15" s="57">
        <v>7.0000000000000007E-2</v>
      </c>
      <c r="P15" s="57">
        <v>0.45</v>
      </c>
      <c r="Q15" s="57">
        <v>0.47</v>
      </c>
      <c r="R15" s="57">
        <v>0.01</v>
      </c>
      <c r="S15" s="11" t="s">
        <v>173</v>
      </c>
      <c r="T15" s="11" t="s">
        <v>173</v>
      </c>
      <c r="U15" s="11" t="s">
        <v>173</v>
      </c>
      <c r="V15" s="21">
        <v>51</v>
      </c>
      <c r="W15" s="21">
        <v>9</v>
      </c>
      <c r="X15" s="65">
        <v>0.06</v>
      </c>
      <c r="Y15" s="65">
        <v>0.43</v>
      </c>
      <c r="Z15" s="65">
        <v>0.5</v>
      </c>
      <c r="AA15" s="65">
        <v>0.01</v>
      </c>
      <c r="AB15" s="11" t="s">
        <v>173</v>
      </c>
      <c r="AC15" s="11" t="s">
        <v>173</v>
      </c>
      <c r="AD15" s="11" t="s">
        <v>173</v>
      </c>
      <c r="AE15" s="21">
        <v>51</v>
      </c>
      <c r="AF15" s="21">
        <v>10</v>
      </c>
      <c r="AG15" s="65">
        <v>0.06</v>
      </c>
      <c r="AH15" s="65">
        <v>0.41</v>
      </c>
      <c r="AI15" s="65">
        <v>0.51</v>
      </c>
      <c r="AJ15" s="65">
        <v>0.02</v>
      </c>
      <c r="AK15" s="11" t="s">
        <v>173</v>
      </c>
      <c r="AL15" s="11" t="s">
        <v>173</v>
      </c>
      <c r="AM15" s="11" t="s">
        <v>173</v>
      </c>
      <c r="AN15" s="50">
        <v>51</v>
      </c>
      <c r="AO15" s="50">
        <v>9</v>
      </c>
      <c r="AP15" s="60">
        <v>0.05</v>
      </c>
      <c r="AQ15" s="60">
        <v>0.41</v>
      </c>
      <c r="AR15" s="60">
        <v>0.52</v>
      </c>
      <c r="AS15" s="60">
        <v>0.02</v>
      </c>
      <c r="AT15" s="11" t="s">
        <v>173</v>
      </c>
      <c r="AU15" s="11" t="s">
        <v>173</v>
      </c>
      <c r="AV15" s="11" t="s">
        <v>173</v>
      </c>
      <c r="AW15" s="244">
        <v>49</v>
      </c>
      <c r="AX15" s="244" t="s">
        <v>758</v>
      </c>
      <c r="AY15" s="244">
        <v>9</v>
      </c>
      <c r="AZ15" s="244" t="s">
        <v>758</v>
      </c>
      <c r="BA15" s="262">
        <v>0.08</v>
      </c>
      <c r="BB15" s="262">
        <v>0.46</v>
      </c>
      <c r="BC15" s="262">
        <v>0.45</v>
      </c>
      <c r="BD15" s="262">
        <v>0.01</v>
      </c>
      <c r="BE15" s="244" t="s">
        <v>173</v>
      </c>
      <c r="BF15" s="244" t="s">
        <v>173</v>
      </c>
      <c r="BG15" s="244" t="s">
        <v>173</v>
      </c>
      <c r="BH15" s="315">
        <v>50</v>
      </c>
      <c r="BI15" s="315" t="s">
        <v>758</v>
      </c>
      <c r="BJ15" s="315">
        <v>10</v>
      </c>
      <c r="BK15" s="315" t="s">
        <v>758</v>
      </c>
      <c r="BL15" s="463"/>
      <c r="BM15" s="463"/>
      <c r="BN15" s="463"/>
      <c r="BO15" s="325">
        <v>0.08</v>
      </c>
      <c r="BP15" s="325">
        <v>0.41</v>
      </c>
      <c r="BQ15" s="325">
        <v>0.49</v>
      </c>
      <c r="BR15" s="325">
        <v>0.01</v>
      </c>
      <c r="BS15" s="315" t="s">
        <v>173</v>
      </c>
      <c r="BT15" s="315" t="s">
        <v>173</v>
      </c>
      <c r="BU15" s="463"/>
      <c r="BV15" s="463"/>
      <c r="BW15" s="463"/>
      <c r="BX15" s="315" t="s">
        <v>173</v>
      </c>
      <c r="BY15" s="423">
        <v>51</v>
      </c>
      <c r="BZ15" s="423" t="s">
        <v>758</v>
      </c>
      <c r="CA15" s="423">
        <v>10</v>
      </c>
      <c r="CB15" s="423" t="s">
        <v>758</v>
      </c>
      <c r="CC15" s="427">
        <v>7.0000000000000007E-2</v>
      </c>
      <c r="CD15" s="427">
        <v>0.41</v>
      </c>
      <c r="CE15" s="427">
        <v>0.5</v>
      </c>
      <c r="CF15" s="427">
        <v>0.02</v>
      </c>
      <c r="CG15" s="423" t="s">
        <v>173</v>
      </c>
      <c r="CH15" s="423" t="s">
        <v>173</v>
      </c>
      <c r="CI15" s="423" t="s">
        <v>173</v>
      </c>
      <c r="CJ15" s="423">
        <v>51</v>
      </c>
      <c r="CK15" s="423" t="s">
        <v>758</v>
      </c>
      <c r="CL15" s="423">
        <v>11</v>
      </c>
      <c r="CM15" s="423" t="s">
        <v>758</v>
      </c>
      <c r="CN15" s="427">
        <v>0.09</v>
      </c>
      <c r="CO15" s="427">
        <v>0.4</v>
      </c>
      <c r="CP15" s="427">
        <v>0.49</v>
      </c>
      <c r="CQ15" s="427">
        <v>0.03</v>
      </c>
      <c r="CR15" s="423" t="s">
        <v>173</v>
      </c>
      <c r="CS15" s="423" t="s">
        <v>173</v>
      </c>
      <c r="CT15" s="423" t="s">
        <v>173</v>
      </c>
    </row>
    <row r="16" spans="1:109" ht="24.95" customHeight="1" x14ac:dyDescent="0.2">
      <c r="A16" s="6" t="s">
        <v>16</v>
      </c>
      <c r="B16" s="6"/>
      <c r="C16" s="6"/>
      <c r="D16" s="21">
        <v>53</v>
      </c>
      <c r="E16" s="21">
        <v>9</v>
      </c>
      <c r="F16" s="65">
        <v>0.03</v>
      </c>
      <c r="G16" s="65">
        <v>0.35</v>
      </c>
      <c r="H16" s="65">
        <v>0.59</v>
      </c>
      <c r="I16" s="65">
        <v>0.02</v>
      </c>
      <c r="J16" s="11" t="s">
        <v>173</v>
      </c>
      <c r="K16" s="11" t="s">
        <v>173</v>
      </c>
      <c r="L16" s="11" t="s">
        <v>173</v>
      </c>
      <c r="M16" s="21">
        <v>53</v>
      </c>
      <c r="N16" s="22">
        <v>10</v>
      </c>
      <c r="O16" s="57">
        <v>0.04</v>
      </c>
      <c r="P16" s="57">
        <v>0.33</v>
      </c>
      <c r="Q16" s="57">
        <v>0.59</v>
      </c>
      <c r="R16" s="57">
        <v>0.03</v>
      </c>
      <c r="S16" s="11" t="s">
        <v>173</v>
      </c>
      <c r="T16" s="11" t="s">
        <v>173</v>
      </c>
      <c r="U16" s="11" t="s">
        <v>173</v>
      </c>
      <c r="V16" s="21">
        <v>53</v>
      </c>
      <c r="W16" s="21">
        <v>9</v>
      </c>
      <c r="X16" s="65">
        <v>0.03</v>
      </c>
      <c r="Y16" s="65">
        <v>0.36</v>
      </c>
      <c r="Z16" s="65">
        <v>0.57999999999999996</v>
      </c>
      <c r="AA16" s="65">
        <v>0.03</v>
      </c>
      <c r="AB16" s="11" t="s">
        <v>173</v>
      </c>
      <c r="AC16" s="11" t="s">
        <v>173</v>
      </c>
      <c r="AD16" s="11" t="s">
        <v>173</v>
      </c>
      <c r="AE16" s="21">
        <v>54</v>
      </c>
      <c r="AF16" s="21">
        <v>10</v>
      </c>
      <c r="AG16" s="65">
        <v>0.03</v>
      </c>
      <c r="AH16" s="65">
        <v>0.32</v>
      </c>
      <c r="AI16" s="65">
        <v>0.61</v>
      </c>
      <c r="AJ16" s="65">
        <v>0.04</v>
      </c>
      <c r="AK16" s="11" t="s">
        <v>173</v>
      </c>
      <c r="AL16" s="11" t="s">
        <v>173</v>
      </c>
      <c r="AM16" s="11" t="s">
        <v>173</v>
      </c>
      <c r="AN16" s="50">
        <v>54</v>
      </c>
      <c r="AO16" s="50">
        <v>10</v>
      </c>
      <c r="AP16" s="60">
        <v>0.03</v>
      </c>
      <c r="AQ16" s="60">
        <v>0.32</v>
      </c>
      <c r="AR16" s="60">
        <v>0.62</v>
      </c>
      <c r="AS16" s="60">
        <v>0.03</v>
      </c>
      <c r="AT16" s="11" t="s">
        <v>173</v>
      </c>
      <c r="AU16" s="11" t="s">
        <v>173</v>
      </c>
      <c r="AV16" s="11" t="s">
        <v>173</v>
      </c>
      <c r="AW16" s="244">
        <v>53</v>
      </c>
      <c r="AX16" s="244" t="s">
        <v>758</v>
      </c>
      <c r="AY16" s="244">
        <v>9</v>
      </c>
      <c r="AZ16" s="244" t="s">
        <v>758</v>
      </c>
      <c r="BA16" s="262">
        <v>0.04</v>
      </c>
      <c r="BB16" s="262">
        <v>0.36</v>
      </c>
      <c r="BC16" s="262">
        <v>0.56999999999999995</v>
      </c>
      <c r="BD16" s="262">
        <v>0.03</v>
      </c>
      <c r="BE16" s="244" t="s">
        <v>173</v>
      </c>
      <c r="BF16" s="244" t="s">
        <v>173</v>
      </c>
      <c r="BG16" s="244" t="s">
        <v>173</v>
      </c>
      <c r="BH16" s="315">
        <v>54</v>
      </c>
      <c r="BI16" s="315" t="s">
        <v>758</v>
      </c>
      <c r="BJ16" s="315">
        <v>10</v>
      </c>
      <c r="BK16" s="315" t="s">
        <v>758</v>
      </c>
      <c r="BL16" s="463"/>
      <c r="BM16" s="463"/>
      <c r="BN16" s="463"/>
      <c r="BO16" s="325">
        <v>0.04</v>
      </c>
      <c r="BP16" s="325">
        <v>0.3</v>
      </c>
      <c r="BQ16" s="325">
        <v>0.62</v>
      </c>
      <c r="BR16" s="325">
        <v>0.04</v>
      </c>
      <c r="BS16" s="315" t="s">
        <v>173</v>
      </c>
      <c r="BT16" s="315" t="s">
        <v>173</v>
      </c>
      <c r="BU16" s="463"/>
      <c r="BV16" s="463"/>
      <c r="BW16" s="463"/>
      <c r="BX16" s="315" t="s">
        <v>173</v>
      </c>
      <c r="BY16" s="423">
        <v>54</v>
      </c>
      <c r="BZ16" s="423" t="s">
        <v>758</v>
      </c>
      <c r="CA16" s="423">
        <v>10</v>
      </c>
      <c r="CB16" s="423" t="s">
        <v>758</v>
      </c>
      <c r="CC16" s="427">
        <v>0.04</v>
      </c>
      <c r="CD16" s="427">
        <v>0.3</v>
      </c>
      <c r="CE16" s="427">
        <v>0.6</v>
      </c>
      <c r="CF16" s="427">
        <v>0.05</v>
      </c>
      <c r="CG16" s="423" t="s">
        <v>173</v>
      </c>
      <c r="CH16" s="423" t="s">
        <v>173</v>
      </c>
      <c r="CI16" s="423" t="s">
        <v>173</v>
      </c>
      <c r="CJ16" s="423">
        <v>55</v>
      </c>
      <c r="CK16" s="423" t="s">
        <v>758</v>
      </c>
      <c r="CL16" s="423">
        <v>11</v>
      </c>
      <c r="CM16" s="423" t="s">
        <v>758</v>
      </c>
      <c r="CN16" s="427">
        <v>0.04</v>
      </c>
      <c r="CO16" s="427">
        <v>0.3</v>
      </c>
      <c r="CP16" s="427">
        <v>0.59</v>
      </c>
      <c r="CQ16" s="427">
        <v>0.06</v>
      </c>
      <c r="CR16" s="423" t="s">
        <v>173</v>
      </c>
      <c r="CS16" s="423" t="s">
        <v>173</v>
      </c>
      <c r="CT16" s="423" t="s">
        <v>173</v>
      </c>
    </row>
    <row r="17" spans="1:109" ht="24.95" customHeight="1" x14ac:dyDescent="0.2">
      <c r="A17" s="292" t="s">
        <v>17</v>
      </c>
      <c r="B17" s="292"/>
      <c r="C17" s="292"/>
      <c r="D17" s="316"/>
      <c r="E17" s="316"/>
      <c r="F17" s="325"/>
      <c r="G17" s="325"/>
      <c r="H17" s="325"/>
      <c r="I17" s="325"/>
      <c r="J17" s="315"/>
      <c r="K17" s="315"/>
      <c r="L17" s="315"/>
      <c r="M17" s="316"/>
      <c r="N17" s="323"/>
      <c r="O17" s="334"/>
      <c r="P17" s="334"/>
      <c r="Q17" s="334"/>
      <c r="R17" s="334"/>
      <c r="S17" s="315"/>
      <c r="T17" s="315"/>
      <c r="U17" s="315"/>
      <c r="V17" s="316"/>
      <c r="W17" s="316"/>
      <c r="X17" s="325"/>
      <c r="Y17" s="325"/>
      <c r="Z17" s="325"/>
      <c r="AA17" s="325"/>
      <c r="AB17" s="315"/>
      <c r="AC17" s="315"/>
      <c r="AD17" s="315"/>
      <c r="AE17" s="316"/>
      <c r="AF17" s="316"/>
      <c r="AG17" s="325"/>
      <c r="AH17" s="325"/>
      <c r="AI17" s="325"/>
      <c r="AJ17" s="325"/>
      <c r="AK17" s="315"/>
      <c r="AL17" s="315"/>
      <c r="AM17" s="315"/>
      <c r="AN17" s="335"/>
      <c r="AO17" s="335"/>
      <c r="AP17" s="324"/>
      <c r="AQ17" s="324"/>
      <c r="AR17" s="324"/>
      <c r="AS17" s="324"/>
      <c r="AT17" s="315"/>
      <c r="AU17" s="315"/>
      <c r="AV17" s="315"/>
      <c r="AW17" s="318"/>
      <c r="AX17" s="318"/>
      <c r="AY17" s="318"/>
      <c r="AZ17" s="318"/>
      <c r="BA17" s="326"/>
      <c r="BB17" s="326"/>
      <c r="BC17" s="326"/>
      <c r="BD17" s="326"/>
      <c r="BE17" s="318"/>
      <c r="BF17" s="318"/>
      <c r="BG17" s="318"/>
      <c r="BH17" s="315">
        <v>62</v>
      </c>
      <c r="BI17" s="315" t="s">
        <v>759</v>
      </c>
      <c r="BJ17" s="315">
        <v>4</v>
      </c>
      <c r="BK17" s="315" t="s">
        <v>760</v>
      </c>
      <c r="BL17" s="463"/>
      <c r="BM17" s="463"/>
      <c r="BN17" s="463"/>
      <c r="BO17" s="325">
        <v>0</v>
      </c>
      <c r="BP17" s="325">
        <v>0</v>
      </c>
      <c r="BQ17" s="325">
        <v>1</v>
      </c>
      <c r="BR17" s="325">
        <v>0</v>
      </c>
      <c r="BS17" s="315" t="s">
        <v>173</v>
      </c>
      <c r="BT17" s="315" t="s">
        <v>173</v>
      </c>
      <c r="BU17" s="463"/>
      <c r="BV17" s="463"/>
      <c r="BW17" s="463"/>
      <c r="BX17" s="315" t="s">
        <v>173</v>
      </c>
      <c r="CJ17" s="423">
        <v>61</v>
      </c>
      <c r="CK17" s="423" t="s">
        <v>759</v>
      </c>
      <c r="CL17" s="423">
        <v>9</v>
      </c>
      <c r="CM17" s="423" t="s">
        <v>760</v>
      </c>
      <c r="CN17" s="427">
        <v>0.03</v>
      </c>
      <c r="CO17" s="427">
        <v>0.08</v>
      </c>
      <c r="CP17" s="427">
        <v>0.78</v>
      </c>
      <c r="CQ17" s="427">
        <v>0.11</v>
      </c>
      <c r="CR17" s="423" t="s">
        <v>173</v>
      </c>
      <c r="CS17" s="423" t="s">
        <v>173</v>
      </c>
      <c r="CT17" s="423" t="s">
        <v>173</v>
      </c>
    </row>
    <row r="18" spans="1:109" ht="24.95" customHeight="1" x14ac:dyDescent="0.2">
      <c r="A18" s="197" t="s">
        <v>140</v>
      </c>
      <c r="B18" s="6"/>
      <c r="C18" s="6"/>
      <c r="D18" s="129">
        <f t="shared" ref="D18:AW18" si="0">AVERAGEIF($C$36:$C$173,"=1",D$36:D$173)</f>
        <v>51.823529411764703</v>
      </c>
      <c r="E18" s="129">
        <f t="shared" si="0"/>
        <v>9</v>
      </c>
      <c r="F18" s="39">
        <f t="shared" si="0"/>
        <v>5.4117647058823541E-2</v>
      </c>
      <c r="G18" s="39">
        <f t="shared" si="0"/>
        <v>0.39411764705882346</v>
      </c>
      <c r="H18" s="39">
        <f t="shared" si="0"/>
        <v>0.54294117647058826</v>
      </c>
      <c r="I18" s="39">
        <f t="shared" si="0"/>
        <v>9.4117647058823539E-3</v>
      </c>
      <c r="J18" s="39">
        <f t="shared" si="0"/>
        <v>0.53235294117647058</v>
      </c>
      <c r="K18" s="39">
        <f t="shared" si="0"/>
        <v>0.4594117647058823</v>
      </c>
      <c r="L18" s="39">
        <f t="shared" si="0"/>
        <v>0.53941176470588237</v>
      </c>
      <c r="M18" s="129">
        <f t="shared" si="0"/>
        <v>51.625</v>
      </c>
      <c r="N18" s="129">
        <f t="shared" si="0"/>
        <v>9.0625</v>
      </c>
      <c r="O18" s="39">
        <f t="shared" si="0"/>
        <v>5.7222222222222209E-2</v>
      </c>
      <c r="P18" s="39">
        <f t="shared" si="0"/>
        <v>0.40166666666666667</v>
      </c>
      <c r="Q18" s="39">
        <f t="shared" si="0"/>
        <v>0.51555555555555566</v>
      </c>
      <c r="R18" s="39">
        <f t="shared" si="0"/>
        <v>2.6111111111111116E-2</v>
      </c>
      <c r="S18" s="39">
        <f t="shared" si="0"/>
        <v>0.48388888888888892</v>
      </c>
      <c r="T18" s="39">
        <f t="shared" si="0"/>
        <v>0.56166666666666676</v>
      </c>
      <c r="U18" s="39">
        <f t="shared" si="0"/>
        <v>0.36000000000000004</v>
      </c>
      <c r="V18" s="129">
        <f t="shared" si="0"/>
        <v>51.823529411764703</v>
      </c>
      <c r="W18" s="129">
        <f t="shared" si="0"/>
        <v>8.9411764705882355</v>
      </c>
      <c r="X18" s="39">
        <f t="shared" si="0"/>
        <v>4.2777777777777783E-2</v>
      </c>
      <c r="Y18" s="39">
        <f t="shared" si="0"/>
        <v>0.39777777777777773</v>
      </c>
      <c r="Z18" s="39">
        <f t="shared" si="0"/>
        <v>0.52555555555555555</v>
      </c>
      <c r="AA18" s="39">
        <f t="shared" si="0"/>
        <v>3.4444444444444451E-2</v>
      </c>
      <c r="AB18" s="39">
        <f t="shared" si="0"/>
        <v>0.4861111111111111</v>
      </c>
      <c r="AC18" s="39">
        <f t="shared" si="0"/>
        <v>0.37111111111111111</v>
      </c>
      <c r="AD18" s="39">
        <f t="shared" si="0"/>
        <v>0.52444444444444449</v>
      </c>
      <c r="AE18" s="129">
        <f t="shared" si="0"/>
        <v>52.647058823529413</v>
      </c>
      <c r="AF18" s="129">
        <f t="shared" si="0"/>
        <v>9.235294117647058</v>
      </c>
      <c r="AG18" s="39">
        <f t="shared" si="0"/>
        <v>3.2777777777777781E-2</v>
      </c>
      <c r="AH18" s="39">
        <f t="shared" si="0"/>
        <v>0.34333333333333338</v>
      </c>
      <c r="AI18" s="39">
        <f t="shared" si="0"/>
        <v>0.60055555555555562</v>
      </c>
      <c r="AJ18" s="39">
        <f t="shared" si="0"/>
        <v>2.4444444444444446E-2</v>
      </c>
      <c r="AK18" s="39">
        <f t="shared" si="0"/>
        <v>0.51777777777777789</v>
      </c>
      <c r="AL18" s="39">
        <f t="shared" si="0"/>
        <v>0.45944444444444454</v>
      </c>
      <c r="AM18" s="39">
        <f t="shared" si="0"/>
        <v>0.28222222222222221</v>
      </c>
      <c r="AN18" s="129">
        <f t="shared" si="0"/>
        <v>53.294117647058826</v>
      </c>
      <c r="AO18" s="129">
        <f t="shared" si="0"/>
        <v>9.117647058823529</v>
      </c>
      <c r="AP18" s="39">
        <f t="shared" si="0"/>
        <v>3.529411764705883E-2</v>
      </c>
      <c r="AQ18" s="39">
        <f t="shared" si="0"/>
        <v>0.36000000000000004</v>
      </c>
      <c r="AR18" s="39">
        <f t="shared" si="0"/>
        <v>0.57352941176470584</v>
      </c>
      <c r="AS18" s="39">
        <f t="shared" si="0"/>
        <v>3.2941176470588238E-2</v>
      </c>
      <c r="AT18" s="39">
        <f t="shared" si="0"/>
        <v>0.26647058823529413</v>
      </c>
      <c r="AU18" s="39">
        <f t="shared" si="0"/>
        <v>0.48882352941176471</v>
      </c>
      <c r="AV18" s="39">
        <f t="shared" si="0"/>
        <v>0.50235294117647056</v>
      </c>
      <c r="AW18" s="129">
        <f t="shared" si="0"/>
        <v>52.470588235294116</v>
      </c>
      <c r="AX18" s="244"/>
      <c r="AY18" s="129">
        <f>AVERAGEIF($C$36:$C$173,"=1",AY$36:AY$173)</f>
        <v>8.8235294117647065</v>
      </c>
      <c r="AZ18" s="244"/>
      <c r="BA18" s="39">
        <f t="shared" ref="BA18:BH18" si="1">AVERAGEIF($C$36:$C$173,"=1",BA$36:BA$173)</f>
        <v>4.3529411764705886E-2</v>
      </c>
      <c r="BB18" s="39">
        <f t="shared" si="1"/>
        <v>0.36764705882352944</v>
      </c>
      <c r="BC18" s="39">
        <f t="shared" si="1"/>
        <v>0.56176470588235294</v>
      </c>
      <c r="BD18" s="39">
        <f t="shared" si="1"/>
        <v>2.7058823529411767E-2</v>
      </c>
      <c r="BE18" s="39">
        <f t="shared" si="1"/>
        <v>0.27411764705882347</v>
      </c>
      <c r="BF18" s="39">
        <f t="shared" si="1"/>
        <v>0.50000000000000011</v>
      </c>
      <c r="BG18" s="39">
        <f t="shared" si="1"/>
        <v>0.45941176470588241</v>
      </c>
      <c r="BH18" s="129">
        <f t="shared" si="1"/>
        <v>52.444444444444443</v>
      </c>
      <c r="BJ18" s="129">
        <f>AVERAGEIF($C$36:$C$173,"=1",BJ$36:BJ$173)</f>
        <v>9.2777777777777786</v>
      </c>
      <c r="BO18" s="342">
        <f t="shared" ref="BO18:BY18" si="2">AVERAGEIF($C$36:$C$173,"=1",BO$36:BO$173)</f>
        <v>4.9444444444444444E-2</v>
      </c>
      <c r="BP18" s="342">
        <f t="shared" si="2"/>
        <v>0.35777777777777781</v>
      </c>
      <c r="BQ18" s="342">
        <f t="shared" si="2"/>
        <v>0.57055555555555559</v>
      </c>
      <c r="BR18" s="342">
        <f t="shared" si="2"/>
        <v>2.3333333333333331E-2</v>
      </c>
      <c r="BS18" s="342">
        <f t="shared" si="2"/>
        <v>0.51888888888888884</v>
      </c>
      <c r="BT18" s="342">
        <f t="shared" si="2"/>
        <v>0.59</v>
      </c>
      <c r="BU18" s="527"/>
      <c r="BV18" s="527"/>
      <c r="BW18" s="527"/>
      <c r="BX18" s="342">
        <f t="shared" si="2"/>
        <v>0.37666666666666671</v>
      </c>
      <c r="BY18" s="129">
        <f t="shared" si="2"/>
        <v>53.647058823529413</v>
      </c>
      <c r="CA18" s="129">
        <f>AVERAGEIF($C$36:$C$173,"=1",CA$36:CA$173)</f>
        <v>9.117647058823529</v>
      </c>
      <c r="CC18" s="342">
        <f>AVERAGEIF($C$36:$C$173,"=1",CC$36:CC$173)</f>
        <v>3.5882352941176476E-2</v>
      </c>
      <c r="CD18" s="342">
        <f t="shared" ref="CD18:CJ18" si="3">AVERAGEIF($C$36:$C$173,"=1",CD$36:CD$173)</f>
        <v>0.35235294117647059</v>
      </c>
      <c r="CE18" s="342">
        <f t="shared" si="3"/>
        <v>0.56294117647058817</v>
      </c>
      <c r="CF18" s="342">
        <f t="shared" si="3"/>
        <v>4.8235294117647071E-2</v>
      </c>
      <c r="CG18" s="342">
        <f t="shared" si="3"/>
        <v>0.59941176470588231</v>
      </c>
      <c r="CH18" s="342">
        <f t="shared" si="3"/>
        <v>0.35705882352941171</v>
      </c>
      <c r="CI18" s="342">
        <f t="shared" si="3"/>
        <v>0.55294117647058838</v>
      </c>
      <c r="CJ18" s="129">
        <f t="shared" si="3"/>
        <v>53.833333333333336</v>
      </c>
      <c r="CL18" s="129">
        <f>AVERAGEIF($C$36:$C$173,"=1",CL$36:CL$173)</f>
        <v>9.7222222222222214</v>
      </c>
      <c r="CN18" s="240">
        <f>AVERAGEIF($C$36:$C$173,"=1",CN$36:CN$173)</f>
        <v>4.0555555555555553E-2</v>
      </c>
      <c r="CO18" s="240">
        <f t="shared" ref="CO18:CU18" si="4">AVERAGEIF($C$36:$C$173,"=1",CO$36:CO$173)</f>
        <v>0.32222222222222219</v>
      </c>
      <c r="CP18" s="240">
        <f t="shared" si="4"/>
        <v>0.58444444444444466</v>
      </c>
      <c r="CQ18" s="240">
        <f t="shared" si="4"/>
        <v>5.3333333333333344E-2</v>
      </c>
      <c r="CR18" s="240">
        <f t="shared" si="4"/>
        <v>0.53166666666666673</v>
      </c>
      <c r="CS18" s="240">
        <f t="shared" si="4"/>
        <v>0.50777777777777777</v>
      </c>
      <c r="CT18" s="240">
        <f t="shared" si="4"/>
        <v>0.38555555555555554</v>
      </c>
      <c r="CU18" s="129">
        <f t="shared" si="4"/>
        <v>53.833333333333336</v>
      </c>
      <c r="CV18" s="896"/>
      <c r="CW18" s="129">
        <f>AVERAGEIF($C$36:$C$173,"=1",CW$36:CW$173)</f>
        <v>10</v>
      </c>
      <c r="CX18" s="896"/>
      <c r="CY18" s="342">
        <f>AVERAGEIF($C$36:$C$173,"=1",CY$36:CY$173)</f>
        <v>3.5555555555555562E-2</v>
      </c>
      <c r="CZ18" s="342">
        <f t="shared" ref="CZ18:DE18" si="5">AVERAGEIF($C$36:$C$173,"=1",CZ$36:CZ$173)</f>
        <v>0.33888888888888885</v>
      </c>
      <c r="DA18" s="342">
        <f t="shared" si="5"/>
        <v>0.57277777777777783</v>
      </c>
      <c r="DB18" s="342">
        <f t="shared" si="5"/>
        <v>5.2777777777777785E-2</v>
      </c>
      <c r="DC18" s="342">
        <f t="shared" si="5"/>
        <v>0.57944444444444454</v>
      </c>
      <c r="DD18" s="342">
        <f t="shared" si="5"/>
        <v>0.47611111111111115</v>
      </c>
      <c r="DE18" s="342">
        <f t="shared" si="5"/>
        <v>0.35166666666666663</v>
      </c>
    </row>
    <row r="19" spans="1:109" ht="24.95" customHeight="1" x14ac:dyDescent="0.2">
      <c r="A19" s="197" t="s">
        <v>141</v>
      </c>
      <c r="B19" s="6"/>
      <c r="C19" s="6"/>
      <c r="D19" s="129">
        <f t="shared" ref="D19:AW19" si="6">AVERAGEIF($C$36:$C$173,"=2",D$36:D$173)</f>
        <v>52.6</v>
      </c>
      <c r="E19" s="129">
        <f t="shared" si="6"/>
        <v>8.65</v>
      </c>
      <c r="F19" s="39">
        <f t="shared" si="6"/>
        <v>0.05</v>
      </c>
      <c r="G19" s="39">
        <f t="shared" si="6"/>
        <v>0.36700000000000005</v>
      </c>
      <c r="H19" s="39">
        <f t="shared" si="6"/>
        <v>0.5675</v>
      </c>
      <c r="I19" s="39">
        <f t="shared" si="6"/>
        <v>1.7000000000000001E-2</v>
      </c>
      <c r="J19" s="39">
        <f t="shared" si="6"/>
        <v>0.52899999999999991</v>
      </c>
      <c r="K19" s="39">
        <f t="shared" si="6"/>
        <v>0.44950000000000012</v>
      </c>
      <c r="L19" s="39">
        <f t="shared" si="6"/>
        <v>0.52600000000000002</v>
      </c>
      <c r="M19" s="129">
        <f t="shared" si="6"/>
        <v>52.157894736842103</v>
      </c>
      <c r="N19" s="129">
        <f t="shared" si="6"/>
        <v>9.2631578947368425</v>
      </c>
      <c r="O19" s="39">
        <f t="shared" si="6"/>
        <v>5.7368421052631582E-2</v>
      </c>
      <c r="P19" s="39">
        <f t="shared" si="6"/>
        <v>0.34894736842105273</v>
      </c>
      <c r="Q19" s="39">
        <f t="shared" si="6"/>
        <v>0.55157894736842095</v>
      </c>
      <c r="R19" s="39">
        <f t="shared" si="6"/>
        <v>4.0000000000000008E-2</v>
      </c>
      <c r="S19" s="39">
        <f t="shared" si="6"/>
        <v>0.47000000000000008</v>
      </c>
      <c r="T19" s="39">
        <f t="shared" si="6"/>
        <v>0.54315789473684217</v>
      </c>
      <c r="U19" s="39">
        <f t="shared" si="6"/>
        <v>0.36526315789473685</v>
      </c>
      <c r="V19" s="129">
        <f t="shared" si="6"/>
        <v>52.842105263157897</v>
      </c>
      <c r="W19" s="129">
        <f t="shared" si="6"/>
        <v>8.6315789473684212</v>
      </c>
      <c r="X19" s="39">
        <f t="shared" si="6"/>
        <v>3.6315789473684218E-2</v>
      </c>
      <c r="Y19" s="39">
        <f t="shared" si="6"/>
        <v>0.34789473684210526</v>
      </c>
      <c r="Z19" s="39">
        <f t="shared" si="6"/>
        <v>0.60210526315789459</v>
      </c>
      <c r="AA19" s="39">
        <f t="shared" si="6"/>
        <v>1.6315789473684207E-2</v>
      </c>
      <c r="AB19" s="39">
        <f t="shared" si="6"/>
        <v>0.47210526315789469</v>
      </c>
      <c r="AC19" s="39">
        <f t="shared" si="6"/>
        <v>0.37157894736842106</v>
      </c>
      <c r="AD19" s="39">
        <f t="shared" si="6"/>
        <v>0.50421052631578944</v>
      </c>
      <c r="AE19" s="129">
        <f t="shared" si="6"/>
        <v>53.75</v>
      </c>
      <c r="AF19" s="129">
        <f t="shared" si="6"/>
        <v>9.1</v>
      </c>
      <c r="AG19" s="39">
        <f t="shared" si="6"/>
        <v>3.7000000000000005E-2</v>
      </c>
      <c r="AH19" s="39">
        <f t="shared" si="6"/>
        <v>0.32049999999999995</v>
      </c>
      <c r="AI19" s="39">
        <f t="shared" si="6"/>
        <v>0.60650000000000015</v>
      </c>
      <c r="AJ19" s="39">
        <f t="shared" si="6"/>
        <v>3.7500000000000012E-2</v>
      </c>
      <c r="AK19" s="39">
        <f t="shared" si="6"/>
        <v>0.51800000000000002</v>
      </c>
      <c r="AL19" s="39">
        <f t="shared" si="6"/>
        <v>0.45650000000000002</v>
      </c>
      <c r="AM19" s="39">
        <f t="shared" si="6"/>
        <v>0.26900000000000002</v>
      </c>
      <c r="AN19" s="129">
        <f t="shared" si="6"/>
        <v>52.791666666666664</v>
      </c>
      <c r="AO19" s="129">
        <f t="shared" si="6"/>
        <v>7.833333333333333</v>
      </c>
      <c r="AP19" s="39">
        <f t="shared" si="6"/>
        <v>2.7500000000000007E-2</v>
      </c>
      <c r="AQ19" s="39">
        <f t="shared" si="6"/>
        <v>0.35749999999999998</v>
      </c>
      <c r="AR19" s="39">
        <f t="shared" si="6"/>
        <v>0.57791666666666675</v>
      </c>
      <c r="AS19" s="39">
        <f t="shared" si="6"/>
        <v>3.5833333333333342E-2</v>
      </c>
      <c r="AT19" s="39">
        <f t="shared" si="6"/>
        <v>0.27666666666666667</v>
      </c>
      <c r="AU19" s="39">
        <f t="shared" si="6"/>
        <v>0.49874999999999997</v>
      </c>
      <c r="AV19" s="39">
        <f t="shared" si="6"/>
        <v>0.50833333333333341</v>
      </c>
      <c r="AW19" s="129">
        <f t="shared" si="6"/>
        <v>52.18181818181818</v>
      </c>
      <c r="AX19" s="244"/>
      <c r="AY19" s="129">
        <f>AVERAGEIF($C$36:$C$173,"=2",AY$36:AY$173)</f>
        <v>8</v>
      </c>
      <c r="AZ19" s="244"/>
      <c r="BA19" s="39">
        <f t="shared" ref="BA19:BH19" si="7">AVERAGEIF($C$36:$C$173,"=2",BA$36:BA$173)</f>
        <v>5.9545454545454561E-2</v>
      </c>
      <c r="BB19" s="39">
        <f t="shared" si="7"/>
        <v>0.35272727272727278</v>
      </c>
      <c r="BC19" s="39">
        <f t="shared" si="7"/>
        <v>0.56318181818181823</v>
      </c>
      <c r="BD19" s="39">
        <f t="shared" si="7"/>
        <v>2.5909090909090913E-2</v>
      </c>
      <c r="BE19" s="39">
        <f t="shared" si="7"/>
        <v>0.28590909090909089</v>
      </c>
      <c r="BF19" s="39">
        <f t="shared" si="7"/>
        <v>0.5027272727272728</v>
      </c>
      <c r="BG19" s="39">
        <f t="shared" si="7"/>
        <v>0.46318181818181831</v>
      </c>
      <c r="BH19" s="129">
        <f t="shared" si="7"/>
        <v>53.96</v>
      </c>
      <c r="BJ19" s="129">
        <f>AVERAGEIF($C$36:$C$173,"=2",BJ$36:BJ$173)</f>
        <v>9.48</v>
      </c>
      <c r="BO19" s="342">
        <f t="shared" ref="BO19:BY19" si="8">AVERAGEIF($C$36:$C$173,"=2",BO$36:BO$173)</f>
        <v>7.0400000000000018E-2</v>
      </c>
      <c r="BP19" s="342">
        <f t="shared" si="8"/>
        <v>0.26039999999999996</v>
      </c>
      <c r="BQ19" s="342">
        <f t="shared" si="8"/>
        <v>0.63200000000000001</v>
      </c>
      <c r="BR19" s="342">
        <f t="shared" si="8"/>
        <v>3.8000000000000006E-2</v>
      </c>
      <c r="BS19" s="342">
        <f t="shared" si="8"/>
        <v>0.48560000000000003</v>
      </c>
      <c r="BT19" s="342">
        <f t="shared" si="8"/>
        <v>0.56320000000000003</v>
      </c>
      <c r="BU19" s="527"/>
      <c r="BV19" s="527"/>
      <c r="BW19" s="527"/>
      <c r="BX19" s="342">
        <f t="shared" si="8"/>
        <v>0.37719999999999998</v>
      </c>
      <c r="BY19" s="129">
        <f t="shared" si="8"/>
        <v>52.807692307692307</v>
      </c>
      <c r="CA19" s="129">
        <f>AVERAGEIF($C$36:$C$173,"=2",CA$36:CA$173)</f>
        <v>8.8076923076923084</v>
      </c>
      <c r="CC19" s="342">
        <f>AVERAGEIF($C$36:$C$173,"=2",CC$36:CC$173)</f>
        <v>6.26923076923077E-2</v>
      </c>
      <c r="CD19" s="342">
        <f t="shared" ref="CD19:CJ19" si="9">AVERAGEIF($C$36:$C$173,"=2",CD$36:CD$173)</f>
        <v>0.35423076923076918</v>
      </c>
      <c r="CE19" s="342">
        <f t="shared" si="9"/>
        <v>0.53730769230769237</v>
      </c>
      <c r="CF19" s="342">
        <f t="shared" si="9"/>
        <v>4.615384615384617E-2</v>
      </c>
      <c r="CG19" s="342">
        <f t="shared" si="9"/>
        <v>0.59923076923076923</v>
      </c>
      <c r="CH19" s="342">
        <f t="shared" si="9"/>
        <v>0.39076923076923065</v>
      </c>
      <c r="CI19" s="342">
        <f t="shared" si="9"/>
        <v>0.55615384615384622</v>
      </c>
      <c r="CJ19" s="129">
        <f t="shared" si="9"/>
        <v>54.958333333333336</v>
      </c>
      <c r="CL19" s="129">
        <f>AVERAGEIF($C$36:$C$173,"=2",CL$36:CL$173)</f>
        <v>9.4166666666666661</v>
      </c>
      <c r="CN19" s="240">
        <f>AVERAGEIF($C$36:$C$173,"=2",CN$36:CN$173)</f>
        <v>3.1249999999999997E-2</v>
      </c>
      <c r="CO19" s="240">
        <f t="shared" ref="CO19:CU19" si="10">AVERAGEIF($C$36:$C$173,"=2",CO$36:CO$173)</f>
        <v>0.28375</v>
      </c>
      <c r="CP19" s="240">
        <f t="shared" si="10"/>
        <v>0.62708333333333333</v>
      </c>
      <c r="CQ19" s="240">
        <f t="shared" si="10"/>
        <v>6.083333333333335E-2</v>
      </c>
      <c r="CR19" s="240">
        <f t="shared" si="10"/>
        <v>0.51916666666666655</v>
      </c>
      <c r="CS19" s="240">
        <f t="shared" si="10"/>
        <v>0.48791666666666672</v>
      </c>
      <c r="CT19" s="240">
        <f t="shared" si="10"/>
        <v>0.38999999999999996</v>
      </c>
      <c r="CU19" s="129">
        <f t="shared" si="10"/>
        <v>53.814814814814817</v>
      </c>
      <c r="CV19" s="896"/>
      <c r="CW19" s="129">
        <f>AVERAGEIF($C$36:$C$173,"=2",CW$36:CW$173)</f>
        <v>9.5555555555555554</v>
      </c>
      <c r="CX19" s="896"/>
      <c r="CY19" s="342">
        <f>AVERAGEIF($C$36:$C$173,"=2",CY$36:CY$173)</f>
        <v>5.25925925925926E-2</v>
      </c>
      <c r="CZ19" s="342">
        <f t="shared" ref="CZ19:DE19" si="11">AVERAGEIF($C$36:$C$173,"=2",CZ$36:CZ$173)</f>
        <v>0.30592592592592599</v>
      </c>
      <c r="DA19" s="342">
        <f t="shared" si="11"/>
        <v>0.58370370370370372</v>
      </c>
      <c r="DB19" s="342">
        <f t="shared" si="11"/>
        <v>5.8888888888888907E-2</v>
      </c>
      <c r="DC19" s="342">
        <f t="shared" si="11"/>
        <v>0.58444444444444443</v>
      </c>
      <c r="DD19" s="342">
        <f t="shared" si="11"/>
        <v>0.4585185185185186</v>
      </c>
      <c r="DE19" s="342">
        <f t="shared" si="11"/>
        <v>0.35444444444444445</v>
      </c>
    </row>
    <row r="20" spans="1:109" ht="24.95" customHeight="1" x14ac:dyDescent="0.2">
      <c r="A20" s="197" t="s">
        <v>142</v>
      </c>
      <c r="B20" s="6"/>
      <c r="C20" s="6"/>
      <c r="D20" s="129">
        <f t="shared" ref="D20:AW20" si="12">AVERAGEIF($C$36:$C$173,"=3",D$36:D$173)</f>
        <v>53</v>
      </c>
      <c r="E20" s="129">
        <f t="shared" si="12"/>
        <v>8.6666666666666661</v>
      </c>
      <c r="F20" s="39">
        <f t="shared" si="12"/>
        <v>3.2777777777777781E-2</v>
      </c>
      <c r="G20" s="39">
        <f t="shared" si="12"/>
        <v>0.37333333333333335</v>
      </c>
      <c r="H20" s="39">
        <f t="shared" si="12"/>
        <v>0.56666666666666687</v>
      </c>
      <c r="I20" s="39">
        <f t="shared" si="12"/>
        <v>2.8888888888888891E-2</v>
      </c>
      <c r="J20" s="39">
        <f t="shared" si="12"/>
        <v>0.51444444444444448</v>
      </c>
      <c r="K20" s="39">
        <f t="shared" si="12"/>
        <v>0.44611111111111107</v>
      </c>
      <c r="L20" s="39">
        <f t="shared" si="12"/>
        <v>0.51777777777777778</v>
      </c>
      <c r="M20" s="129">
        <f t="shared" si="12"/>
        <v>51.89473684210526</v>
      </c>
      <c r="N20" s="129">
        <f t="shared" si="12"/>
        <v>9.2105263157894743</v>
      </c>
      <c r="O20" s="39">
        <f t="shared" si="12"/>
        <v>3.7222222222222226E-2</v>
      </c>
      <c r="P20" s="39">
        <f t="shared" si="12"/>
        <v>0.38388888888888889</v>
      </c>
      <c r="Q20" s="39">
        <f t="shared" si="12"/>
        <v>0.55111111111111111</v>
      </c>
      <c r="R20" s="39">
        <f t="shared" si="12"/>
        <v>2.7777777777777776E-2</v>
      </c>
      <c r="S20" s="39">
        <f t="shared" si="12"/>
        <v>0.46666666666666667</v>
      </c>
      <c r="T20" s="39">
        <f t="shared" si="12"/>
        <v>0.54722222222222228</v>
      </c>
      <c r="U20" s="39">
        <f t="shared" si="12"/>
        <v>0.33999999999999997</v>
      </c>
      <c r="V20" s="129">
        <f t="shared" si="12"/>
        <v>52.684210526315788</v>
      </c>
      <c r="W20" s="129">
        <f t="shared" si="12"/>
        <v>9.2105263157894743</v>
      </c>
      <c r="X20" s="39">
        <f t="shared" si="12"/>
        <v>3.6666666666666667E-2</v>
      </c>
      <c r="Y20" s="39">
        <f t="shared" si="12"/>
        <v>0.35777777777777781</v>
      </c>
      <c r="Z20" s="39">
        <f t="shared" si="12"/>
        <v>0.57111111111111112</v>
      </c>
      <c r="AA20" s="39">
        <f t="shared" si="12"/>
        <v>3.5000000000000003E-2</v>
      </c>
      <c r="AB20" s="39">
        <f t="shared" si="12"/>
        <v>0.47222222222222221</v>
      </c>
      <c r="AC20" s="39">
        <f t="shared" si="12"/>
        <v>0.36222222222222222</v>
      </c>
      <c r="AD20" s="39">
        <f t="shared" si="12"/>
        <v>0.50111111111111117</v>
      </c>
      <c r="AE20" s="129">
        <f t="shared" si="12"/>
        <v>52.789473684210527</v>
      </c>
      <c r="AF20" s="129">
        <f t="shared" si="12"/>
        <v>9.2105263157894743</v>
      </c>
      <c r="AG20" s="39">
        <f t="shared" si="12"/>
        <v>4.222222222222223E-2</v>
      </c>
      <c r="AH20" s="39">
        <f t="shared" si="12"/>
        <v>0.36166666666666675</v>
      </c>
      <c r="AI20" s="39">
        <f t="shared" si="12"/>
        <v>0.57222222222222208</v>
      </c>
      <c r="AJ20" s="39">
        <f t="shared" si="12"/>
        <v>2.6111111111111116E-2</v>
      </c>
      <c r="AK20" s="39">
        <f t="shared" si="12"/>
        <v>0.51944444444444438</v>
      </c>
      <c r="AL20" s="39">
        <f t="shared" si="12"/>
        <v>0.45777777777777778</v>
      </c>
      <c r="AM20" s="39">
        <f t="shared" si="12"/>
        <v>0.27555555555555561</v>
      </c>
      <c r="AN20" s="129">
        <f t="shared" si="12"/>
        <v>53.9</v>
      </c>
      <c r="AO20" s="129">
        <f t="shared" si="12"/>
        <v>8.65</v>
      </c>
      <c r="AP20" s="39">
        <f t="shared" si="12"/>
        <v>2.4E-2</v>
      </c>
      <c r="AQ20" s="39">
        <f t="shared" si="12"/>
        <v>0.3175</v>
      </c>
      <c r="AR20" s="39">
        <f t="shared" si="12"/>
        <v>0.62450000000000006</v>
      </c>
      <c r="AS20" s="39">
        <f t="shared" si="12"/>
        <v>3.3500000000000009E-2</v>
      </c>
      <c r="AT20" s="39">
        <f t="shared" si="12"/>
        <v>0.26149999999999995</v>
      </c>
      <c r="AU20" s="39">
        <f t="shared" si="12"/>
        <v>0.47400000000000003</v>
      </c>
      <c r="AV20" s="39">
        <f t="shared" si="12"/>
        <v>0.4955</v>
      </c>
      <c r="AW20" s="129">
        <f t="shared" si="12"/>
        <v>52.6</v>
      </c>
      <c r="AX20" s="244"/>
      <c r="AY20" s="129">
        <f>AVERAGEIF($C$36:$C$173,"=3",AY$36:AY$173)</f>
        <v>8.5500000000000007</v>
      </c>
      <c r="AZ20" s="244"/>
      <c r="BA20" s="39">
        <f t="shared" ref="BA20:BH20" si="13">AVERAGEIF($C$36:$C$173,"=3",BA$36:BA$173)</f>
        <v>3.7000000000000012E-2</v>
      </c>
      <c r="BB20" s="39">
        <f t="shared" si="13"/>
        <v>0.35</v>
      </c>
      <c r="BC20" s="39">
        <f t="shared" si="13"/>
        <v>0.58350000000000013</v>
      </c>
      <c r="BD20" s="39">
        <f t="shared" si="13"/>
        <v>2.9000000000000005E-2</v>
      </c>
      <c r="BE20" s="39">
        <f t="shared" si="13"/>
        <v>0.27449999999999991</v>
      </c>
      <c r="BF20" s="39">
        <f t="shared" si="13"/>
        <v>0.49199999999999999</v>
      </c>
      <c r="BG20" s="39">
        <f t="shared" si="13"/>
        <v>0.45150000000000007</v>
      </c>
      <c r="BH20" s="129">
        <f t="shared" si="13"/>
        <v>53.81818181818182</v>
      </c>
      <c r="BJ20" s="129">
        <f>AVERAGEIF($C$36:$C$173,"=3",BJ$36:BJ$173)</f>
        <v>9.5</v>
      </c>
      <c r="BO20" s="342">
        <f t="shared" ref="BO20:BY20" si="14">AVERAGEIF($C$36:$C$173,"=3",BO$36:BO$173)</f>
        <v>4.9090909090909102E-2</v>
      </c>
      <c r="BP20" s="342">
        <f t="shared" si="14"/>
        <v>0.30272727272727268</v>
      </c>
      <c r="BQ20" s="342">
        <f t="shared" si="14"/>
        <v>0.60272727272727289</v>
      </c>
      <c r="BR20" s="342">
        <f t="shared" si="14"/>
        <v>4.8181818181818194E-2</v>
      </c>
      <c r="BS20" s="342">
        <f t="shared" si="14"/>
        <v>0.49136363636363645</v>
      </c>
      <c r="BT20" s="342">
        <f t="shared" si="14"/>
        <v>0.55909090909090908</v>
      </c>
      <c r="BU20" s="527"/>
      <c r="BV20" s="527"/>
      <c r="BW20" s="527"/>
      <c r="BX20" s="342">
        <f t="shared" si="14"/>
        <v>0.34636363636363643</v>
      </c>
      <c r="BY20" s="129">
        <f t="shared" si="14"/>
        <v>53.772727272727273</v>
      </c>
      <c r="CA20" s="129">
        <f>AVERAGEIF($C$36:$C$173,"=3",CA$36:CA$173)</f>
        <v>9.8636363636363633</v>
      </c>
      <c r="CC20" s="342">
        <f>AVERAGEIF($C$36:$C$173,"=3",CC$36:CC$173)</f>
        <v>5.5000000000000007E-2</v>
      </c>
      <c r="CD20" s="342">
        <f t="shared" ref="CD20:CJ20" si="15">AVERAGEIF($C$36:$C$173,"=3",CD$36:CD$173)</f>
        <v>0.30409090909090908</v>
      </c>
      <c r="CE20" s="342">
        <f t="shared" si="15"/>
        <v>0.59363636363636363</v>
      </c>
      <c r="CF20" s="342">
        <f t="shared" si="15"/>
        <v>4.8181818181818194E-2</v>
      </c>
      <c r="CG20" s="342">
        <f t="shared" si="15"/>
        <v>0.60318181818181826</v>
      </c>
      <c r="CH20" s="342">
        <f t="shared" si="15"/>
        <v>0.33999999999999991</v>
      </c>
      <c r="CI20" s="342">
        <f t="shared" si="15"/>
        <v>0.56181818181818177</v>
      </c>
      <c r="CJ20" s="129">
        <f t="shared" si="15"/>
        <v>54.454545454545453</v>
      </c>
      <c r="CL20" s="129">
        <f>AVERAGEIF($C$36:$C$173,"=3",CL$36:CL$173)</f>
        <v>9.954545454545455</v>
      </c>
      <c r="CN20" s="240">
        <f>AVERAGEIF($C$36:$C$173,"=3",CN$36:CN$173)</f>
        <v>5.4545454545454543E-2</v>
      </c>
      <c r="CO20" s="240">
        <f t="shared" ref="CO20:CU20" si="16">AVERAGEIF($C$36:$C$173,"=3",CO$36:CO$173)</f>
        <v>0.29772727272727278</v>
      </c>
      <c r="CP20" s="240">
        <f t="shared" si="16"/>
        <v>0.5918181818181818</v>
      </c>
      <c r="CQ20" s="240">
        <f t="shared" si="16"/>
        <v>5.7272727272727281E-2</v>
      </c>
      <c r="CR20" s="240">
        <f t="shared" si="16"/>
        <v>0.53863636363636358</v>
      </c>
      <c r="CS20" s="240">
        <f t="shared" si="16"/>
        <v>0.4859090909090909</v>
      </c>
      <c r="CT20" s="240">
        <f t="shared" si="16"/>
        <v>0.38954545454545458</v>
      </c>
      <c r="CU20" s="129">
        <f t="shared" si="16"/>
        <v>54.954545454545453</v>
      </c>
      <c r="CV20" s="896"/>
      <c r="CW20" s="129">
        <f>AVERAGEIF($C$36:$C$173,"=3",CW$36:CW$173)</f>
        <v>10.136363636363637</v>
      </c>
      <c r="CX20" s="896"/>
      <c r="CY20" s="342">
        <f>AVERAGEIF($C$36:$C$173,"=3",CY$36:CY$173)</f>
        <v>4.0454545454545458E-2</v>
      </c>
      <c r="CZ20" s="342">
        <f t="shared" ref="CZ20:DE20" si="17">AVERAGEIF($C$36:$C$173,"=3",CZ$36:CZ$173)</f>
        <v>0.28818181818181821</v>
      </c>
      <c r="DA20" s="342">
        <f t="shared" si="17"/>
        <v>0.60545454545454558</v>
      </c>
      <c r="DB20" s="342">
        <f t="shared" si="17"/>
        <v>6.4545454545454559E-2</v>
      </c>
      <c r="DC20" s="342">
        <f t="shared" si="17"/>
        <v>0.56909090909090909</v>
      </c>
      <c r="DD20" s="342">
        <f t="shared" si="17"/>
        <v>0.45636363636363647</v>
      </c>
      <c r="DE20" s="342">
        <f t="shared" si="17"/>
        <v>0.33409090909090905</v>
      </c>
    </row>
    <row r="21" spans="1:109" ht="24.95" customHeight="1" x14ac:dyDescent="0.2">
      <c r="A21" s="197" t="s">
        <v>143</v>
      </c>
      <c r="B21" s="6"/>
      <c r="C21" s="6"/>
      <c r="D21" s="129">
        <f t="shared" ref="D21:AW21" si="18">AVERAGEIF($C$36:$C$173,"=4",D$36:D$173)</f>
        <v>48.357142857142854</v>
      </c>
      <c r="E21" s="129">
        <f t="shared" si="18"/>
        <v>8.7857142857142865</v>
      </c>
      <c r="F21" s="39">
        <f t="shared" si="18"/>
        <v>0.12142857142857144</v>
      </c>
      <c r="G21" s="39">
        <f t="shared" si="18"/>
        <v>0.46285714285714291</v>
      </c>
      <c r="H21" s="39">
        <f t="shared" si="18"/>
        <v>0.41142857142857142</v>
      </c>
      <c r="I21" s="39">
        <f t="shared" si="18"/>
        <v>2.8571428571428571E-3</v>
      </c>
      <c r="J21" s="39">
        <f t="shared" si="18"/>
        <v>0.57285714285714284</v>
      </c>
      <c r="K21" s="39">
        <f t="shared" si="18"/>
        <v>0.50428571428571434</v>
      </c>
      <c r="L21" s="39">
        <f t="shared" si="18"/>
        <v>0.59785714285714298</v>
      </c>
      <c r="M21" s="129">
        <f t="shared" si="18"/>
        <v>49.666666666666664</v>
      </c>
      <c r="N21" s="129">
        <f t="shared" si="18"/>
        <v>8.6666666666666661</v>
      </c>
      <c r="O21" s="39">
        <f t="shared" si="18"/>
        <v>0.10142857142857144</v>
      </c>
      <c r="P21" s="39">
        <f t="shared" si="18"/>
        <v>0.42642857142857143</v>
      </c>
      <c r="Q21" s="39">
        <f t="shared" si="18"/>
        <v>0.4628571428571428</v>
      </c>
      <c r="R21" s="39">
        <f t="shared" si="18"/>
        <v>1.0714285714285714E-2</v>
      </c>
      <c r="S21" s="39">
        <f t="shared" si="18"/>
        <v>0.50642857142857134</v>
      </c>
      <c r="T21" s="39">
        <f t="shared" si="18"/>
        <v>0.57928571428571429</v>
      </c>
      <c r="U21" s="39">
        <f t="shared" si="18"/>
        <v>0.38071428571428573</v>
      </c>
      <c r="V21" s="129">
        <f t="shared" si="18"/>
        <v>50.466666666666669</v>
      </c>
      <c r="W21" s="129">
        <f t="shared" si="18"/>
        <v>8.7333333333333325</v>
      </c>
      <c r="X21" s="39">
        <f t="shared" si="18"/>
        <v>8.0714285714285711E-2</v>
      </c>
      <c r="Y21" s="39">
        <f t="shared" si="18"/>
        <v>0.38785714285714284</v>
      </c>
      <c r="Z21" s="39">
        <f t="shared" si="18"/>
        <v>0.52142857142857146</v>
      </c>
      <c r="AA21" s="39">
        <f t="shared" si="18"/>
        <v>9.285714285714286E-3</v>
      </c>
      <c r="AB21" s="39">
        <f t="shared" si="18"/>
        <v>0.50642857142857145</v>
      </c>
      <c r="AC21" s="39">
        <f t="shared" si="18"/>
        <v>0.40571428571428569</v>
      </c>
      <c r="AD21" s="39">
        <f t="shared" si="18"/>
        <v>0.5407142857142857</v>
      </c>
      <c r="AE21" s="129">
        <f t="shared" si="18"/>
        <v>49.714285714285715</v>
      </c>
      <c r="AF21" s="129">
        <f t="shared" si="18"/>
        <v>8.7857142857142865</v>
      </c>
      <c r="AG21" s="39">
        <f t="shared" si="18"/>
        <v>7.0000000000000007E-2</v>
      </c>
      <c r="AH21" s="39">
        <f t="shared" si="18"/>
        <v>0.48923076923076919</v>
      </c>
      <c r="AI21" s="39">
        <f t="shared" si="18"/>
        <v>0.42153846153846153</v>
      </c>
      <c r="AJ21" s="39">
        <f t="shared" si="18"/>
        <v>1.846153846153846E-2</v>
      </c>
      <c r="AK21" s="39">
        <f t="shared" si="18"/>
        <v>0.57538461538461538</v>
      </c>
      <c r="AL21" s="39">
        <f t="shared" si="18"/>
        <v>0.51153846153846161</v>
      </c>
      <c r="AM21" s="39">
        <f t="shared" si="18"/>
        <v>0.34461538461538466</v>
      </c>
      <c r="AN21" s="129">
        <f t="shared" si="18"/>
        <v>49.153846153846153</v>
      </c>
      <c r="AO21" s="129">
        <f t="shared" si="18"/>
        <v>9.1538461538461533</v>
      </c>
      <c r="AP21" s="39">
        <f t="shared" si="18"/>
        <v>7.2307692307692309E-2</v>
      </c>
      <c r="AQ21" s="39">
        <f t="shared" si="18"/>
        <v>0.47846153846153844</v>
      </c>
      <c r="AR21" s="39">
        <f t="shared" si="18"/>
        <v>0.42615384615384611</v>
      </c>
      <c r="AS21" s="39">
        <f t="shared" si="18"/>
        <v>2.5384615384615387E-2</v>
      </c>
      <c r="AT21" s="39">
        <f t="shared" si="18"/>
        <v>0.31769230769230777</v>
      </c>
      <c r="AU21" s="39">
        <f t="shared" si="18"/>
        <v>0.56384615384615389</v>
      </c>
      <c r="AV21" s="39">
        <f t="shared" si="18"/>
        <v>0.54846153846153856</v>
      </c>
      <c r="AW21" s="129">
        <f t="shared" si="18"/>
        <v>48.5</v>
      </c>
      <c r="AX21" s="244"/>
      <c r="AY21" s="129">
        <f>AVERAGEIF($C$36:$C$173,"=4",AY$36:AY$173)</f>
        <v>8.5714285714285712</v>
      </c>
      <c r="AZ21" s="244"/>
      <c r="BA21" s="39">
        <f t="shared" ref="BA21:BH21" si="19">AVERAGEIF($C$36:$C$173,"=4",BA$36:BA$173)</f>
        <v>8.2857142857142865E-2</v>
      </c>
      <c r="BB21" s="39">
        <f t="shared" si="19"/>
        <v>0.46500000000000002</v>
      </c>
      <c r="BC21" s="39">
        <f t="shared" si="19"/>
        <v>0.43999999999999995</v>
      </c>
      <c r="BD21" s="39">
        <f t="shared" si="19"/>
        <v>1.2142857142857144E-2</v>
      </c>
      <c r="BE21" s="39">
        <f t="shared" si="19"/>
        <v>0.35857142857142854</v>
      </c>
      <c r="BF21" s="39">
        <f t="shared" si="19"/>
        <v>0.54214285714285715</v>
      </c>
      <c r="BG21" s="39">
        <f t="shared" si="19"/>
        <v>0.51928571428571424</v>
      </c>
      <c r="BH21" s="129">
        <f t="shared" si="19"/>
        <v>50.714285714285715</v>
      </c>
      <c r="BJ21" s="129">
        <f>AVERAGEIF($C$36:$C$173,"=4",BJ$36:BJ$173)</f>
        <v>9.5714285714285712</v>
      </c>
      <c r="BO21" s="342">
        <f t="shared" ref="BO21:BY21" si="20">AVERAGEIF($C$36:$C$173,"=4",BO$36:BO$173)</f>
        <v>6.7142857142857143E-2</v>
      </c>
      <c r="BP21" s="342">
        <f t="shared" si="20"/>
        <v>0.41071428571428575</v>
      </c>
      <c r="BQ21" s="342">
        <f t="shared" si="20"/>
        <v>0.50000000000000011</v>
      </c>
      <c r="BR21" s="342">
        <f t="shared" si="20"/>
        <v>2.1428571428571432E-2</v>
      </c>
      <c r="BS21" s="342">
        <f t="shared" si="20"/>
        <v>0.54142857142857148</v>
      </c>
      <c r="BT21" s="342">
        <f t="shared" si="20"/>
        <v>0.6171428571428571</v>
      </c>
      <c r="BU21" s="527"/>
      <c r="BV21" s="527"/>
      <c r="BW21" s="527"/>
      <c r="BX21" s="342">
        <f t="shared" si="20"/>
        <v>0.40857142857142853</v>
      </c>
      <c r="BY21" s="129">
        <f t="shared" si="20"/>
        <v>49.93333333333333</v>
      </c>
      <c r="CA21" s="129">
        <f>AVERAGEIF($C$36:$C$173,"=4",CA$36:CA$173)</f>
        <v>9.6666666666666661</v>
      </c>
      <c r="CC21" s="342">
        <f>AVERAGEIF($C$36:$C$173,"=4",CC$36:CC$173)</f>
        <v>7.3333333333333334E-2</v>
      </c>
      <c r="CD21" s="342">
        <f t="shared" ref="CD21:CJ21" si="21">AVERAGEIF($C$36:$C$173,"=4",CD$36:CD$173)</f>
        <v>0.43533333333333335</v>
      </c>
      <c r="CE21" s="342">
        <f t="shared" si="21"/>
        <v>0.47333333333333338</v>
      </c>
      <c r="CF21" s="342">
        <f t="shared" si="21"/>
        <v>2.0000000000000004E-2</v>
      </c>
      <c r="CG21" s="342">
        <f t="shared" si="21"/>
        <v>0.62533333333333341</v>
      </c>
      <c r="CH21" s="342">
        <f t="shared" si="21"/>
        <v>0.41866666666666663</v>
      </c>
      <c r="CI21" s="342">
        <f t="shared" si="21"/>
        <v>0.61466666666666669</v>
      </c>
      <c r="CJ21" s="129">
        <f t="shared" si="21"/>
        <v>52.153846153846153</v>
      </c>
      <c r="CL21" s="129">
        <f>AVERAGEIF($C$36:$C$173,"=4",CL$36:CL$173)</f>
        <v>10.307692307692308</v>
      </c>
      <c r="CN21" s="240">
        <f>AVERAGEIF($C$36:$C$173,"=4",CN$36:CN$173)</f>
        <v>9.0769230769230783E-2</v>
      </c>
      <c r="CO21" s="240">
        <f t="shared" ref="CO21:CU21" si="22">AVERAGEIF($C$36:$C$173,"=4",CO$36:CO$173)</f>
        <v>0.3569230769230769</v>
      </c>
      <c r="CP21" s="240">
        <f t="shared" si="22"/>
        <v>0.51384615384615384</v>
      </c>
      <c r="CQ21" s="240">
        <f t="shared" si="22"/>
        <v>4.0769230769230766E-2</v>
      </c>
      <c r="CR21" s="240">
        <f t="shared" si="22"/>
        <v>0.57461538461538453</v>
      </c>
      <c r="CS21" s="240">
        <f t="shared" si="22"/>
        <v>0.52769230769230768</v>
      </c>
      <c r="CT21" s="240">
        <f t="shared" si="22"/>
        <v>0.4169230769230769</v>
      </c>
      <c r="CU21" s="129">
        <f t="shared" si="22"/>
        <v>53.06666666666667</v>
      </c>
      <c r="CV21" s="896"/>
      <c r="CW21" s="129">
        <f>AVERAGEIF($C$36:$C$173,"=4",CW$36:CW$173)</f>
        <v>9.8000000000000007</v>
      </c>
      <c r="CX21" s="896"/>
      <c r="CY21" s="342">
        <f>AVERAGEIF($C$36:$C$173,"=4",CY$36:CY$173)</f>
        <v>5.5333333333333339E-2</v>
      </c>
      <c r="CZ21" s="342">
        <f t="shared" ref="CZ21:DE21" si="23">AVERAGEIF($C$36:$C$173,"=4",CZ$36:CZ$173)</f>
        <v>0.39133333333333326</v>
      </c>
      <c r="DA21" s="342">
        <f t="shared" si="23"/>
        <v>0.49533333333333335</v>
      </c>
      <c r="DB21" s="342">
        <f t="shared" si="23"/>
        <v>5.733333333333334E-2</v>
      </c>
      <c r="DC21" s="342">
        <f t="shared" si="23"/>
        <v>0.52866666666666662</v>
      </c>
      <c r="DD21" s="342">
        <f t="shared" si="23"/>
        <v>0.47266666666666673</v>
      </c>
      <c r="DE21" s="342">
        <f t="shared" si="23"/>
        <v>0.33866666666666667</v>
      </c>
    </row>
    <row r="22" spans="1:109" ht="24.95" customHeight="1" x14ac:dyDescent="0.2">
      <c r="A22" s="197" t="s">
        <v>144</v>
      </c>
      <c r="B22" s="6"/>
      <c r="C22" s="6"/>
      <c r="D22" s="129">
        <f t="shared" ref="D22:AW22" si="24">AVERAGEIF($C$36:$C$173,"=5",D$36:D$173)</f>
        <v>54.470588235294116</v>
      </c>
      <c r="E22" s="129">
        <f t="shared" si="24"/>
        <v>8.2941176470588243</v>
      </c>
      <c r="F22" s="39">
        <f t="shared" si="24"/>
        <v>2.4117647058823532E-2</v>
      </c>
      <c r="G22" s="39">
        <f t="shared" si="24"/>
        <v>0.30647058823529411</v>
      </c>
      <c r="H22" s="39">
        <f t="shared" si="24"/>
        <v>0.64411764705882346</v>
      </c>
      <c r="I22" s="39">
        <f t="shared" si="24"/>
        <v>2.4705882352941178E-2</v>
      </c>
      <c r="J22" s="39">
        <f t="shared" si="24"/>
        <v>0.49294117647058816</v>
      </c>
      <c r="K22" s="39">
        <f t="shared" si="24"/>
        <v>0.44117647058823528</v>
      </c>
      <c r="L22" s="39">
        <f t="shared" si="24"/>
        <v>0.49882352941176472</v>
      </c>
      <c r="M22" s="129">
        <f t="shared" si="24"/>
        <v>54.705882352941174</v>
      </c>
      <c r="N22" s="129">
        <f t="shared" si="24"/>
        <v>9.4705882352941178</v>
      </c>
      <c r="O22" s="39">
        <f t="shared" si="24"/>
        <v>3.8823529411764715E-2</v>
      </c>
      <c r="P22" s="39">
        <f t="shared" si="24"/>
        <v>0.28176470588235292</v>
      </c>
      <c r="Q22" s="39">
        <f t="shared" si="24"/>
        <v>0.6352941176470589</v>
      </c>
      <c r="R22" s="39">
        <f t="shared" si="24"/>
        <v>4.2941176470588246E-2</v>
      </c>
      <c r="S22" s="39">
        <f t="shared" si="24"/>
        <v>0.44058823529411761</v>
      </c>
      <c r="T22" s="39">
        <f t="shared" si="24"/>
        <v>0.50352941176470589</v>
      </c>
      <c r="U22" s="39">
        <f t="shared" si="24"/>
        <v>0.31882352941176478</v>
      </c>
      <c r="V22" s="129">
        <f t="shared" si="24"/>
        <v>54.777777777777779</v>
      </c>
      <c r="W22" s="129">
        <f t="shared" si="24"/>
        <v>8.4444444444444446</v>
      </c>
      <c r="X22" s="39">
        <f t="shared" si="24"/>
        <v>2.2352941176470589E-2</v>
      </c>
      <c r="Y22" s="39">
        <f t="shared" si="24"/>
        <v>0.32647058823529418</v>
      </c>
      <c r="Z22" s="39">
        <f t="shared" si="24"/>
        <v>0.60647058823529409</v>
      </c>
      <c r="AA22" s="39">
        <f t="shared" si="24"/>
        <v>4.5294117647058825E-2</v>
      </c>
      <c r="AB22" s="39">
        <f t="shared" si="24"/>
        <v>0.43999999999999995</v>
      </c>
      <c r="AC22" s="39">
        <f t="shared" si="24"/>
        <v>0.34823529411764703</v>
      </c>
      <c r="AD22" s="39">
        <f t="shared" si="24"/>
        <v>0.47882352941176465</v>
      </c>
      <c r="AE22" s="129">
        <f t="shared" si="24"/>
        <v>55.368421052631582</v>
      </c>
      <c r="AF22" s="129">
        <f t="shared" si="24"/>
        <v>8.526315789473685</v>
      </c>
      <c r="AG22" s="39">
        <f t="shared" si="24"/>
        <v>1.666666666666667E-2</v>
      </c>
      <c r="AH22" s="39">
        <f t="shared" si="24"/>
        <v>0.28055555555555556</v>
      </c>
      <c r="AI22" s="39">
        <f t="shared" si="24"/>
        <v>0.65555555555555556</v>
      </c>
      <c r="AJ22" s="39">
        <f t="shared" si="24"/>
        <v>4.7222222222222228E-2</v>
      </c>
      <c r="AK22" s="39">
        <f t="shared" si="24"/>
        <v>0.48222222222222222</v>
      </c>
      <c r="AL22" s="39">
        <f t="shared" si="24"/>
        <v>0.41555555555555557</v>
      </c>
      <c r="AM22" s="39">
        <f t="shared" si="24"/>
        <v>0.25000000000000006</v>
      </c>
      <c r="AN22" s="129">
        <f t="shared" si="24"/>
        <v>55.944444444444443</v>
      </c>
      <c r="AO22" s="129">
        <f t="shared" si="24"/>
        <v>9.0555555555555554</v>
      </c>
      <c r="AP22" s="39">
        <f t="shared" si="24"/>
        <v>1.8888888888888889E-2</v>
      </c>
      <c r="AQ22" s="39">
        <f t="shared" si="24"/>
        <v>0.25944444444444437</v>
      </c>
      <c r="AR22" s="39">
        <f t="shared" si="24"/>
        <v>0.68111111111111122</v>
      </c>
      <c r="AS22" s="39">
        <f t="shared" si="24"/>
        <v>4.1666666666666671E-2</v>
      </c>
      <c r="AT22" s="39">
        <f t="shared" si="24"/>
        <v>0.22444444444444439</v>
      </c>
      <c r="AU22" s="39">
        <f t="shared" si="24"/>
        <v>0.45499999999999996</v>
      </c>
      <c r="AV22" s="39">
        <f t="shared" si="24"/>
        <v>0.44555555555555554</v>
      </c>
      <c r="AW22" s="129">
        <f t="shared" si="24"/>
        <v>54.277777777777779</v>
      </c>
      <c r="AX22" s="244"/>
      <c r="AY22" s="129">
        <f>AVERAGEIF($C$36:$C$173,"=5",AY$36:AY$173)</f>
        <v>9</v>
      </c>
      <c r="AZ22" s="244"/>
      <c r="BA22" s="39">
        <f t="shared" ref="BA22:BH22" si="25">AVERAGEIF($C$36:$C$173,"=5",BA$36:BA$173)</f>
        <v>2.6666666666666668E-2</v>
      </c>
      <c r="BB22" s="39">
        <f t="shared" si="25"/>
        <v>0.32944444444444443</v>
      </c>
      <c r="BC22" s="39">
        <f t="shared" si="25"/>
        <v>0.59777777777777785</v>
      </c>
      <c r="BD22" s="39">
        <f t="shared" si="25"/>
        <v>4.444444444444446E-2</v>
      </c>
      <c r="BE22" s="39">
        <f t="shared" si="25"/>
        <v>0.24500000000000005</v>
      </c>
      <c r="BF22" s="39">
        <f t="shared" si="25"/>
        <v>0.47500000000000003</v>
      </c>
      <c r="BG22" s="39">
        <f t="shared" si="25"/>
        <v>0.42888888888888893</v>
      </c>
      <c r="BH22" s="129">
        <f t="shared" si="25"/>
        <v>55.882352941176471</v>
      </c>
      <c r="BJ22" s="129">
        <f>AVERAGEIF($C$36:$C$173,"=5",BJ$36:BJ$173)</f>
        <v>9.117647058823529</v>
      </c>
      <c r="BO22" s="342">
        <f t="shared" ref="BO22:BY22" si="26">AVERAGEIF($C$36:$C$173,"=5",BO$36:BO$173)</f>
        <v>2.6470588235294114E-2</v>
      </c>
      <c r="BP22" s="342">
        <f t="shared" si="26"/>
        <v>0.23235294117647062</v>
      </c>
      <c r="BQ22" s="342">
        <f t="shared" si="26"/>
        <v>0.69529411764705884</v>
      </c>
      <c r="BR22" s="342">
        <f t="shared" si="26"/>
        <v>4.7058823529411764E-2</v>
      </c>
      <c r="BS22" s="342">
        <f t="shared" si="26"/>
        <v>0.45117647058823529</v>
      </c>
      <c r="BT22" s="342">
        <f t="shared" si="26"/>
        <v>0.52647058823529402</v>
      </c>
      <c r="BU22" s="527"/>
      <c r="BV22" s="527"/>
      <c r="BW22" s="527"/>
      <c r="BX22" s="342">
        <f t="shared" si="26"/>
        <v>0.32176470588235295</v>
      </c>
      <c r="BY22" s="129">
        <f t="shared" si="26"/>
        <v>55.823529411764703</v>
      </c>
      <c r="CA22" s="129">
        <f>AVERAGEIF($C$36:$C$173,"=5",CA$36:CA$173)</f>
        <v>9.1764705882352935</v>
      </c>
      <c r="CC22" s="342">
        <f>AVERAGEIF($C$36:$C$173,"=5",CC$36:CC$173)</f>
        <v>2.7647058823529417E-2</v>
      </c>
      <c r="CD22" s="342">
        <f t="shared" ref="CD22:CJ22" si="27">AVERAGEIF($C$36:$C$173,"=5",CD$36:CD$173)</f>
        <v>0.27588235294117652</v>
      </c>
      <c r="CE22" s="342">
        <f t="shared" si="27"/>
        <v>0.62235294117647055</v>
      </c>
      <c r="CF22" s="342">
        <f t="shared" si="27"/>
        <v>7.3529411764705899E-2</v>
      </c>
      <c r="CG22" s="342">
        <f t="shared" si="27"/>
        <v>0.57588235294117629</v>
      </c>
      <c r="CH22" s="342">
        <f t="shared" si="27"/>
        <v>0.30588235294117649</v>
      </c>
      <c r="CI22" s="342">
        <f t="shared" si="27"/>
        <v>0.53764705882352937</v>
      </c>
      <c r="CJ22" s="129">
        <f t="shared" si="27"/>
        <v>55.888888888888886</v>
      </c>
      <c r="CL22" s="129">
        <f>AVERAGEIF($C$36:$C$173,"=5",CL$36:CL$173)</f>
        <v>9.5555555555555554</v>
      </c>
      <c r="CN22" s="240">
        <f>AVERAGEIF($C$36:$C$173,"=5",CN$36:CN$173)</f>
        <v>9.4444444444444428E-3</v>
      </c>
      <c r="CO22" s="240">
        <f t="shared" ref="CO22:CU22" si="28">AVERAGEIF($C$36:$C$173,"=5",CO$36:CO$173)</f>
        <v>0.30444444444444446</v>
      </c>
      <c r="CP22" s="240">
        <f t="shared" si="28"/>
        <v>0.61888888888888882</v>
      </c>
      <c r="CQ22" s="240">
        <f t="shared" si="28"/>
        <v>6.7777777777777784E-2</v>
      </c>
      <c r="CR22" s="240">
        <f t="shared" si="28"/>
        <v>0.5261111111111112</v>
      </c>
      <c r="CS22" s="240">
        <f t="shared" si="28"/>
        <v>0.46833333333333343</v>
      </c>
      <c r="CT22" s="240">
        <f t="shared" si="28"/>
        <v>0.3816666666666666</v>
      </c>
      <c r="CU22" s="129">
        <f t="shared" si="28"/>
        <v>56.388888888888886</v>
      </c>
      <c r="CV22" s="896"/>
      <c r="CW22" s="129">
        <f>AVERAGEIF($C$36:$C$173,"=5",CW$36:CW$173)</f>
        <v>10.222222222222221</v>
      </c>
      <c r="CX22" s="896"/>
      <c r="CY22" s="342">
        <f>AVERAGEIF($C$36:$C$173,"=5",CY$36:CY$173)</f>
        <v>4.2222222222222223E-2</v>
      </c>
      <c r="CZ22" s="342">
        <f t="shared" ref="CZ22:DE22" si="29">AVERAGEIF($C$36:$C$173,"=5",CZ$36:CZ$173)</f>
        <v>0.23888888888888893</v>
      </c>
      <c r="DA22" s="342">
        <f t="shared" si="29"/>
        <v>0.63500000000000001</v>
      </c>
      <c r="DB22" s="342">
        <f t="shared" si="29"/>
        <v>8.7222222222222229E-2</v>
      </c>
      <c r="DC22" s="342">
        <f t="shared" si="29"/>
        <v>0.52666666666666673</v>
      </c>
      <c r="DD22" s="342">
        <f t="shared" si="29"/>
        <v>0.43277777777777776</v>
      </c>
      <c r="DE22" s="342">
        <f t="shared" si="29"/>
        <v>0.32333333333333336</v>
      </c>
    </row>
    <row r="23" spans="1:109" ht="24.95" customHeight="1" x14ac:dyDescent="0.2">
      <c r="A23" s="197" t="s">
        <v>145</v>
      </c>
      <c r="B23" s="6"/>
      <c r="C23" s="6"/>
      <c r="D23" s="129">
        <f t="shared" ref="D23:AW23" si="30">AVERAGEIF($C$36:$C$173,"=6",D$36:D$173)</f>
        <v>52.266666666666666</v>
      </c>
      <c r="E23" s="129">
        <f t="shared" si="30"/>
        <v>7.8666666666666663</v>
      </c>
      <c r="F23" s="39">
        <f t="shared" si="30"/>
        <v>8.7333333333333332E-2</v>
      </c>
      <c r="G23" s="39">
        <f t="shared" si="30"/>
        <v>0.34133333333333327</v>
      </c>
      <c r="H23" s="39">
        <f t="shared" si="30"/>
        <v>0.56000000000000005</v>
      </c>
      <c r="I23" s="39">
        <f t="shared" si="30"/>
        <v>1.0666666666666666E-2</v>
      </c>
      <c r="J23" s="39">
        <f t="shared" si="30"/>
        <v>0.52266666666666672</v>
      </c>
      <c r="K23" s="39">
        <f t="shared" si="30"/>
        <v>0.4393333333333333</v>
      </c>
      <c r="L23" s="39">
        <f t="shared" si="30"/>
        <v>0.52666666666666673</v>
      </c>
      <c r="M23" s="129">
        <f t="shared" si="30"/>
        <v>51</v>
      </c>
      <c r="N23" s="129">
        <f t="shared" si="30"/>
        <v>9.8666666666666671</v>
      </c>
      <c r="O23" s="39">
        <f t="shared" si="30"/>
        <v>8.1333333333333327E-2</v>
      </c>
      <c r="P23" s="39">
        <f t="shared" si="30"/>
        <v>0.38866666666666666</v>
      </c>
      <c r="Q23" s="39">
        <f t="shared" si="30"/>
        <v>0.51133333333333331</v>
      </c>
      <c r="R23" s="39">
        <f t="shared" si="30"/>
        <v>2.0000000000000004E-2</v>
      </c>
      <c r="S23" s="39">
        <f t="shared" si="30"/>
        <v>0.4913333333333334</v>
      </c>
      <c r="T23" s="39">
        <f t="shared" si="30"/>
        <v>0.56000000000000016</v>
      </c>
      <c r="U23" s="39">
        <f t="shared" si="30"/>
        <v>0.36466666666666664</v>
      </c>
      <c r="V23" s="129">
        <f t="shared" si="30"/>
        <v>52.142857142857146</v>
      </c>
      <c r="W23" s="129">
        <f t="shared" si="30"/>
        <v>8.7142857142857135</v>
      </c>
      <c r="X23" s="39">
        <f t="shared" si="30"/>
        <v>3.0000000000000002E-2</v>
      </c>
      <c r="Y23" s="39">
        <f t="shared" si="30"/>
        <v>0.41250000000000003</v>
      </c>
      <c r="Z23" s="39">
        <f t="shared" si="30"/>
        <v>0.541875</v>
      </c>
      <c r="AA23" s="39">
        <f t="shared" si="30"/>
        <v>1.7500000000000002E-2</v>
      </c>
      <c r="AB23" s="39">
        <f t="shared" si="30"/>
        <v>0.49999999999999994</v>
      </c>
      <c r="AC23" s="39">
        <f t="shared" si="30"/>
        <v>0.36874999999999997</v>
      </c>
      <c r="AD23" s="39">
        <f t="shared" si="30"/>
        <v>0.51875000000000004</v>
      </c>
      <c r="AE23" s="129">
        <f t="shared" si="30"/>
        <v>53.6</v>
      </c>
      <c r="AF23" s="129">
        <f t="shared" si="30"/>
        <v>10.6</v>
      </c>
      <c r="AG23" s="39">
        <f t="shared" si="30"/>
        <v>4.2941176470588246E-2</v>
      </c>
      <c r="AH23" s="39">
        <f t="shared" si="30"/>
        <v>0.35588235294117654</v>
      </c>
      <c r="AI23" s="39">
        <f t="shared" si="30"/>
        <v>0.56882352941176473</v>
      </c>
      <c r="AJ23" s="39">
        <f t="shared" si="30"/>
        <v>3.2941176470588238E-2</v>
      </c>
      <c r="AK23" s="39">
        <f t="shared" si="30"/>
        <v>0.52</v>
      </c>
      <c r="AL23" s="39">
        <f t="shared" si="30"/>
        <v>0.4535294117647059</v>
      </c>
      <c r="AM23" s="39">
        <f t="shared" si="30"/>
        <v>0.29411764705882359</v>
      </c>
      <c r="AN23" s="129">
        <f t="shared" si="30"/>
        <v>52.117647058823529</v>
      </c>
      <c r="AO23" s="129">
        <f t="shared" si="30"/>
        <v>8.9411764705882355</v>
      </c>
      <c r="AP23" s="39">
        <f t="shared" si="30"/>
        <v>0.03</v>
      </c>
      <c r="AQ23" s="39">
        <f t="shared" si="30"/>
        <v>0.37470588235294117</v>
      </c>
      <c r="AR23" s="39">
        <f t="shared" si="30"/>
        <v>0.56588235294117639</v>
      </c>
      <c r="AS23" s="39">
        <f t="shared" si="30"/>
        <v>2.9411764705882359E-2</v>
      </c>
      <c r="AT23" s="39">
        <f t="shared" si="30"/>
        <v>0.29058823529411759</v>
      </c>
      <c r="AU23" s="39">
        <f t="shared" si="30"/>
        <v>0.51235294117647079</v>
      </c>
      <c r="AV23" s="39">
        <f t="shared" si="30"/>
        <v>0.50352941176470589</v>
      </c>
      <c r="AW23" s="129">
        <f t="shared" si="30"/>
        <v>51.647058823529413</v>
      </c>
      <c r="AX23" s="244"/>
      <c r="AY23" s="129">
        <f>AVERAGEIF($C$36:$C$173,"=6",AY$36:AY$173)</f>
        <v>7.5294117647058822</v>
      </c>
      <c r="AZ23" s="244"/>
      <c r="BA23" s="39">
        <f t="shared" ref="BA23:BH23" si="31">AVERAGEIF($C$36:$C$173,"=6",BA$36:BA$173)</f>
        <v>3.5882352941176476E-2</v>
      </c>
      <c r="BB23" s="39">
        <f t="shared" si="31"/>
        <v>0.44764705882352945</v>
      </c>
      <c r="BC23" s="39">
        <f t="shared" si="31"/>
        <v>0.4864705882352941</v>
      </c>
      <c r="BD23" s="39">
        <f t="shared" si="31"/>
        <v>3.0588235294117649E-2</v>
      </c>
      <c r="BE23" s="39">
        <f t="shared" si="31"/>
        <v>0.26588235294117646</v>
      </c>
      <c r="BF23" s="39">
        <f t="shared" si="31"/>
        <v>0.52000000000000013</v>
      </c>
      <c r="BG23" s="39">
        <f t="shared" si="31"/>
        <v>0.4864705882352941</v>
      </c>
      <c r="BH23" s="129">
        <f t="shared" si="31"/>
        <v>52.05263157894737</v>
      </c>
      <c r="BJ23" s="129">
        <f>AVERAGEIF($C$36:$C$173,"=6",BJ$36:BJ$173)</f>
        <v>10.105263157894736</v>
      </c>
      <c r="BO23" s="342">
        <f t="shared" ref="BO23:BY23" si="32">AVERAGEIF($C$36:$C$173,"=6",BO$36:BO$173)</f>
        <v>8.0526315789473696E-2</v>
      </c>
      <c r="BP23" s="342">
        <f t="shared" si="32"/>
        <v>0.36157894736842106</v>
      </c>
      <c r="BQ23" s="342">
        <f t="shared" si="32"/>
        <v>0.51315789473684204</v>
      </c>
      <c r="BR23" s="342">
        <f t="shared" si="32"/>
        <v>4.68421052631579E-2</v>
      </c>
      <c r="BS23" s="342">
        <f t="shared" si="32"/>
        <v>0.52052631578947361</v>
      </c>
      <c r="BT23" s="342">
        <f t="shared" si="32"/>
        <v>0.59526315789473694</v>
      </c>
      <c r="BU23" s="527"/>
      <c r="BV23" s="527"/>
      <c r="BW23" s="527"/>
      <c r="BX23" s="342">
        <f t="shared" si="32"/>
        <v>0.38999999999999996</v>
      </c>
      <c r="BY23" s="129">
        <f t="shared" si="32"/>
        <v>53.5</v>
      </c>
      <c r="CA23" s="129">
        <f>AVERAGEIF($C$36:$C$173,"=6",CA$36:CA$173)</f>
        <v>8.85</v>
      </c>
      <c r="CC23" s="342">
        <f>AVERAGEIF($C$36:$C$173,"=6",CC$36:CC$173)</f>
        <v>4.5500000000000013E-2</v>
      </c>
      <c r="CD23" s="342">
        <f t="shared" ref="CD23:CJ23" si="33">AVERAGEIF($C$36:$C$173,"=6",CD$36:CD$173)</f>
        <v>0.28799999999999998</v>
      </c>
      <c r="CE23" s="342">
        <f t="shared" si="33"/>
        <v>0.62399999999999989</v>
      </c>
      <c r="CF23" s="342">
        <f t="shared" si="33"/>
        <v>4.4000000000000004E-2</v>
      </c>
      <c r="CG23" s="342">
        <f t="shared" si="33"/>
        <v>0.60499999999999987</v>
      </c>
      <c r="CH23" s="342">
        <f t="shared" si="33"/>
        <v>0.35299999999999998</v>
      </c>
      <c r="CI23" s="342">
        <f t="shared" si="33"/>
        <v>0.56850000000000001</v>
      </c>
      <c r="CJ23" s="129">
        <f t="shared" si="33"/>
        <v>53.666666666666664</v>
      </c>
      <c r="CL23" s="129">
        <f>AVERAGEIF($C$36:$C$173,"=6",CL$36:CL$173)</f>
        <v>9.5</v>
      </c>
      <c r="CN23" s="522">
        <f>AVERAGEIF($C$36:$C$173,"=6",CN$36:CN$173)</f>
        <v>3.9444444444444449E-2</v>
      </c>
      <c r="CO23" s="522">
        <f t="shared" ref="CO23:CU23" si="34">AVERAGEIF($C$36:$C$173,"=6",CO$36:CO$173)</f>
        <v>0.35388888888888892</v>
      </c>
      <c r="CP23" s="522">
        <f t="shared" si="34"/>
        <v>0.55333333333333323</v>
      </c>
      <c r="CQ23" s="522">
        <f t="shared" si="34"/>
        <v>5.3333333333333337E-2</v>
      </c>
      <c r="CR23" s="522">
        <f t="shared" si="34"/>
        <v>0.55277777777777781</v>
      </c>
      <c r="CS23" s="522">
        <f t="shared" si="34"/>
        <v>0.50222222222222224</v>
      </c>
      <c r="CT23" s="522">
        <f t="shared" si="34"/>
        <v>0.4044444444444445</v>
      </c>
      <c r="CU23" s="129">
        <f t="shared" si="34"/>
        <v>54.684210526315788</v>
      </c>
      <c r="CV23" s="896"/>
      <c r="CW23" s="129">
        <f>AVERAGEIF($C$36:$C$173,"=6",CW$36:CW$173)</f>
        <v>10</v>
      </c>
      <c r="CX23" s="896"/>
      <c r="CY23" s="342">
        <f>AVERAGEIF($C$36:$C$173,"=6",CY$36:CY$173)</f>
        <v>4.9473684210526316E-2</v>
      </c>
      <c r="CZ23" s="342">
        <f t="shared" ref="CZ23:DE23" si="35">AVERAGEIF($C$36:$C$173,"=6",CZ$36:CZ$173)</f>
        <v>0.28684210526315795</v>
      </c>
      <c r="DA23" s="342">
        <f t="shared" si="35"/>
        <v>0.5926315789473684</v>
      </c>
      <c r="DB23" s="342">
        <f t="shared" si="35"/>
        <v>7.1578947368421061E-2</v>
      </c>
      <c r="DC23" s="342">
        <f t="shared" si="35"/>
        <v>0.56105263157894736</v>
      </c>
      <c r="DD23" s="342">
        <f t="shared" si="35"/>
        <v>0.45526315789473687</v>
      </c>
      <c r="DE23" s="342">
        <f t="shared" si="35"/>
        <v>0.36157894736842111</v>
      </c>
    </row>
    <row r="24" spans="1:109" ht="24.95" customHeight="1" x14ac:dyDescent="0.2">
      <c r="A24" s="6" t="s">
        <v>776</v>
      </c>
      <c r="B24" s="299"/>
      <c r="C24" s="299"/>
      <c r="D24" s="129">
        <f t="shared" ref="D24:AW24" si="36">AVERAGEIFS(D$36:D$173,$C$36:$C$173,"=1", $B$36:$B$173,"OFICIAL")</f>
        <v>52.5</v>
      </c>
      <c r="E24" s="129">
        <f t="shared" si="36"/>
        <v>9.5</v>
      </c>
      <c r="F24" s="39">
        <f t="shared" si="36"/>
        <v>4.5000000000000005E-2</v>
      </c>
      <c r="G24" s="39">
        <f t="shared" si="36"/>
        <v>0.36749999999999999</v>
      </c>
      <c r="H24" s="39">
        <f t="shared" si="36"/>
        <v>0.57250000000000001</v>
      </c>
      <c r="I24" s="39">
        <f t="shared" si="36"/>
        <v>1.7500000000000002E-2</v>
      </c>
      <c r="J24" s="39">
        <f t="shared" si="36"/>
        <v>0.53500000000000003</v>
      </c>
      <c r="K24" s="39">
        <f t="shared" si="36"/>
        <v>0.45749999999999996</v>
      </c>
      <c r="L24" s="39">
        <f t="shared" si="36"/>
        <v>0.5475000000000001</v>
      </c>
      <c r="M24" s="129">
        <f t="shared" si="36"/>
        <v>51.75</v>
      </c>
      <c r="N24" s="129">
        <f t="shared" si="36"/>
        <v>9.25</v>
      </c>
      <c r="O24" s="39">
        <f t="shared" si="36"/>
        <v>4.2500000000000003E-2</v>
      </c>
      <c r="P24" s="39">
        <f t="shared" si="36"/>
        <v>0.39249999999999996</v>
      </c>
      <c r="Q24" s="39">
        <f t="shared" si="36"/>
        <v>0.53749999999999998</v>
      </c>
      <c r="R24" s="39">
        <f t="shared" si="36"/>
        <v>2.5000000000000001E-2</v>
      </c>
      <c r="S24" s="39">
        <f t="shared" si="36"/>
        <v>0.47749999999999998</v>
      </c>
      <c r="T24" s="39">
        <f t="shared" si="36"/>
        <v>0.55499999999999994</v>
      </c>
      <c r="U24" s="39">
        <f t="shared" si="36"/>
        <v>0.35500000000000004</v>
      </c>
      <c r="V24" s="129">
        <f t="shared" si="36"/>
        <v>51.75</v>
      </c>
      <c r="W24" s="129">
        <f t="shared" si="36"/>
        <v>8.75</v>
      </c>
      <c r="X24" s="39">
        <f t="shared" si="36"/>
        <v>3.2500000000000001E-2</v>
      </c>
      <c r="Y24" s="39">
        <f t="shared" si="36"/>
        <v>0.41249999999999998</v>
      </c>
      <c r="Z24" s="39">
        <f t="shared" si="36"/>
        <v>0.54249999999999998</v>
      </c>
      <c r="AA24" s="39">
        <f t="shared" si="36"/>
        <v>1.2500000000000001E-2</v>
      </c>
      <c r="AB24" s="39">
        <f t="shared" si="36"/>
        <v>0.49249999999999999</v>
      </c>
      <c r="AC24" s="39">
        <f t="shared" si="36"/>
        <v>0.3775</v>
      </c>
      <c r="AD24" s="39">
        <f t="shared" si="36"/>
        <v>0.53249999999999997</v>
      </c>
      <c r="AE24" s="129">
        <f t="shared" si="36"/>
        <v>52.5</v>
      </c>
      <c r="AF24" s="129">
        <f t="shared" si="36"/>
        <v>9.5</v>
      </c>
      <c r="AG24" s="39">
        <f t="shared" si="36"/>
        <v>3.7499999999999999E-2</v>
      </c>
      <c r="AH24" s="39">
        <f t="shared" si="36"/>
        <v>0.34249999999999997</v>
      </c>
      <c r="AI24" s="39">
        <f t="shared" si="36"/>
        <v>0.59749999999999992</v>
      </c>
      <c r="AJ24" s="39">
        <f t="shared" si="36"/>
        <v>2.2499999999999999E-2</v>
      </c>
      <c r="AK24" s="39">
        <f t="shared" si="36"/>
        <v>0.53</v>
      </c>
      <c r="AL24" s="39">
        <f t="shared" si="36"/>
        <v>0.45750000000000002</v>
      </c>
      <c r="AM24" s="39">
        <f t="shared" si="36"/>
        <v>0.28749999999999998</v>
      </c>
      <c r="AN24" s="129">
        <f t="shared" si="36"/>
        <v>52.5</v>
      </c>
      <c r="AO24" s="129">
        <f t="shared" si="36"/>
        <v>9.25</v>
      </c>
      <c r="AP24" s="39">
        <f t="shared" si="36"/>
        <v>4.7499999999999994E-2</v>
      </c>
      <c r="AQ24" s="39">
        <f t="shared" si="36"/>
        <v>0.36249999999999999</v>
      </c>
      <c r="AR24" s="39">
        <f t="shared" si="36"/>
        <v>0.5625</v>
      </c>
      <c r="AS24" s="39">
        <f t="shared" si="36"/>
        <v>0.03</v>
      </c>
      <c r="AT24" s="39">
        <f t="shared" si="36"/>
        <v>0.28250000000000003</v>
      </c>
      <c r="AU24" s="39">
        <f t="shared" si="36"/>
        <v>0.495</v>
      </c>
      <c r="AV24" s="39">
        <f t="shared" si="36"/>
        <v>0.51250000000000007</v>
      </c>
      <c r="AW24" s="129">
        <f t="shared" si="36"/>
        <v>51.25</v>
      </c>
      <c r="AX24" s="244"/>
      <c r="AY24" s="129">
        <f>AVERAGEIFS(AY$36:AY$173,$C$36:$C$173,"=1", $B$36:$B$173,"OFICIAL")</f>
        <v>9</v>
      </c>
      <c r="AZ24" s="244"/>
      <c r="BA24" s="39">
        <f t="shared" ref="BA24:BH24" si="37">AVERAGEIFS(BA$36:BA$173,$C$36:$C$173,"=1", $B$36:$B$173,"OFICIAL")</f>
        <v>4.5000000000000005E-2</v>
      </c>
      <c r="BB24" s="39">
        <f t="shared" si="37"/>
        <v>0.40500000000000003</v>
      </c>
      <c r="BC24" s="39">
        <f t="shared" si="37"/>
        <v>0.53249999999999997</v>
      </c>
      <c r="BD24" s="39">
        <f t="shared" si="37"/>
        <v>1.4999999999999999E-2</v>
      </c>
      <c r="BE24" s="39">
        <f t="shared" si="37"/>
        <v>0.29499999999999998</v>
      </c>
      <c r="BF24" s="39">
        <f t="shared" si="37"/>
        <v>0.52</v>
      </c>
      <c r="BG24" s="39">
        <f t="shared" si="37"/>
        <v>0.48</v>
      </c>
      <c r="BH24" s="129">
        <f t="shared" si="37"/>
        <v>51</v>
      </c>
      <c r="BJ24" s="129">
        <f>AVERAGEIFS(BJ$36:BJ$173,$C$36:$C$173,"=1", $B$36:$B$173,"OFICIAL")</f>
        <v>9</v>
      </c>
      <c r="BO24" s="342">
        <f t="shared" ref="BO24:BY24" si="38">AVERAGEIFS(BO$36:BO$173,$C$36:$C$173,"=1", $B$36:$B$173,"OFICIAL")</f>
        <v>5.2000000000000005E-2</v>
      </c>
      <c r="BP24" s="342">
        <f t="shared" si="38"/>
        <v>0.39600000000000002</v>
      </c>
      <c r="BQ24" s="342">
        <f t="shared" si="38"/>
        <v>0.53999999999999992</v>
      </c>
      <c r="BR24" s="342">
        <f t="shared" si="38"/>
        <v>1.4000000000000002E-2</v>
      </c>
      <c r="BS24" s="342">
        <f t="shared" si="38"/>
        <v>0.54</v>
      </c>
      <c r="BT24" s="342">
        <f t="shared" si="38"/>
        <v>0.61599999999999999</v>
      </c>
      <c r="BU24" s="527"/>
      <c r="BV24" s="527"/>
      <c r="BW24" s="527"/>
      <c r="BX24" s="342">
        <f t="shared" si="38"/>
        <v>0.4</v>
      </c>
      <c r="BY24" s="129">
        <f t="shared" si="38"/>
        <v>52.2</v>
      </c>
      <c r="CA24" s="129">
        <f>AVERAGEIFS(CA$36:CA$173,$C$36:$C$173,"=1", $B$36:$B$173,"OFICIAL")</f>
        <v>9.1999999999999993</v>
      </c>
      <c r="CC24" s="342">
        <f>AVERAGEIFS(CC$36:CC$173,$C$36:$C$173,"=1", $B$36:$B$173,"OFICIAL")</f>
        <v>4.4000000000000004E-2</v>
      </c>
      <c r="CD24" s="342">
        <f t="shared" ref="CD24:CJ24" si="39">AVERAGEIFS(CD$36:CD$173,$C$36:$C$173,"=1", $B$36:$B$173,"OFICIAL")</f>
        <v>0.35799999999999998</v>
      </c>
      <c r="CE24" s="342">
        <f t="shared" si="39"/>
        <v>0.58200000000000007</v>
      </c>
      <c r="CF24" s="342">
        <f t="shared" si="39"/>
        <v>1.5999999999999997E-2</v>
      </c>
      <c r="CG24" s="342">
        <f t="shared" si="39"/>
        <v>0.61</v>
      </c>
      <c r="CH24" s="342">
        <f t="shared" si="39"/>
        <v>0.372</v>
      </c>
      <c r="CI24" s="342">
        <f t="shared" si="39"/>
        <v>0.58199999999999996</v>
      </c>
      <c r="CJ24" s="490">
        <f t="shared" si="39"/>
        <v>52.4</v>
      </c>
      <c r="CL24" s="300">
        <f>AVERAGEIFS(CL$36:CL$173,$C$36:$C$173,"=1", $B$36:$B$173,"OFICIAL")</f>
        <v>10.199999999999999</v>
      </c>
      <c r="CN24" s="522">
        <f>AVERAGEIFS(CN$36:CN$173,$C$36:$C$173,"=1", $B$36:$B$173,"OFICIAL")</f>
        <v>5.6000000000000008E-2</v>
      </c>
      <c r="CO24" s="522">
        <f t="shared" ref="CO24:CU24" si="40">AVERAGEIFS(CO$36:CO$173,$C$36:$C$173,"=1", $B$36:$B$173,"OFICIAL")</f>
        <v>0.37</v>
      </c>
      <c r="CP24" s="522">
        <f t="shared" si="40"/>
        <v>0.52799999999999991</v>
      </c>
      <c r="CQ24" s="522">
        <f t="shared" si="40"/>
        <v>4.3999999999999997E-2</v>
      </c>
      <c r="CR24" s="522">
        <f t="shared" si="40"/>
        <v>0.55000000000000004</v>
      </c>
      <c r="CS24" s="522">
        <f t="shared" si="40"/>
        <v>0.52</v>
      </c>
      <c r="CT24" s="522">
        <f t="shared" si="40"/>
        <v>0.41399999999999998</v>
      </c>
      <c r="CU24" s="129">
        <f t="shared" si="40"/>
        <v>52.2</v>
      </c>
      <c r="CV24" s="896"/>
      <c r="CW24" s="129">
        <f>AVERAGEIFS(CW$36:CW$173,$C$36:$C$173,"=1", $B$36:$B$173,"OFICIAL")</f>
        <v>9.8000000000000007</v>
      </c>
      <c r="CX24" s="896"/>
      <c r="CY24" s="342">
        <f>AVERAGEIFS(CY$36:CY$173,$C$36:$C$173,"=1", $B$36:$B$173,"OFICIAL")</f>
        <v>0.04</v>
      </c>
      <c r="CZ24" s="342">
        <f t="shared" ref="CZ24:DE24" si="41">AVERAGEIFS(CZ$36:CZ$173,$C$36:$C$173,"=1", $B$36:$B$173,"OFICIAL")</f>
        <v>0.38200000000000001</v>
      </c>
      <c r="DA24" s="342">
        <f t="shared" si="41"/>
        <v>0.55000000000000004</v>
      </c>
      <c r="DB24" s="342">
        <f t="shared" si="41"/>
        <v>2.6000000000000002E-2</v>
      </c>
      <c r="DC24" s="342">
        <f t="shared" si="41"/>
        <v>0.61</v>
      </c>
      <c r="DD24" s="342">
        <f t="shared" si="41"/>
        <v>0.49599999999999989</v>
      </c>
      <c r="DE24" s="342">
        <f t="shared" si="41"/>
        <v>0.378</v>
      </c>
    </row>
    <row r="25" spans="1:109" ht="24.95" customHeight="1" x14ac:dyDescent="0.2">
      <c r="A25" s="6" t="s">
        <v>777</v>
      </c>
      <c r="B25" s="299"/>
      <c r="C25" s="299"/>
      <c r="D25" s="129">
        <f t="shared" ref="D25:AW25" si="42">AVERAGEIFS(D$36:D$173,$C$36:$C$173,"=2", $B$36:$B$173,"OFICIAL")</f>
        <v>52</v>
      </c>
      <c r="E25" s="129">
        <f t="shared" si="42"/>
        <v>8.5</v>
      </c>
      <c r="F25" s="39">
        <f t="shared" si="42"/>
        <v>2.5000000000000001E-2</v>
      </c>
      <c r="G25" s="39">
        <f t="shared" si="42"/>
        <v>0.44</v>
      </c>
      <c r="H25" s="39">
        <f t="shared" si="42"/>
        <v>0.52</v>
      </c>
      <c r="I25" s="39">
        <f t="shared" si="42"/>
        <v>2.5000000000000001E-2</v>
      </c>
      <c r="J25" s="39">
        <f t="shared" si="42"/>
        <v>0.54500000000000004</v>
      </c>
      <c r="K25" s="39">
        <f t="shared" si="42"/>
        <v>0.48</v>
      </c>
      <c r="L25" s="39">
        <f t="shared" si="42"/>
        <v>0.53</v>
      </c>
      <c r="M25" s="129">
        <f t="shared" si="42"/>
        <v>51</v>
      </c>
      <c r="N25" s="129">
        <f t="shared" si="42"/>
        <v>10</v>
      </c>
      <c r="O25" s="39">
        <f t="shared" si="42"/>
        <v>5.5E-2</v>
      </c>
      <c r="P25" s="39">
        <f t="shared" si="42"/>
        <v>0.4</v>
      </c>
      <c r="Q25" s="39">
        <f t="shared" si="42"/>
        <v>0.52499999999999991</v>
      </c>
      <c r="R25" s="39">
        <f t="shared" si="42"/>
        <v>0.02</v>
      </c>
      <c r="S25" s="39">
        <f t="shared" si="42"/>
        <v>0.48</v>
      </c>
      <c r="T25" s="39">
        <f t="shared" si="42"/>
        <v>0.55499999999999994</v>
      </c>
      <c r="U25" s="39">
        <f t="shared" si="42"/>
        <v>0.375</v>
      </c>
      <c r="V25" s="129">
        <f t="shared" si="42"/>
        <v>52.5</v>
      </c>
      <c r="W25" s="129">
        <f t="shared" si="42"/>
        <v>9.5</v>
      </c>
      <c r="X25" s="39">
        <f t="shared" si="42"/>
        <v>0.05</v>
      </c>
      <c r="Y25" s="39">
        <f t="shared" si="42"/>
        <v>0.38</v>
      </c>
      <c r="Z25" s="39">
        <f t="shared" si="42"/>
        <v>0.54500000000000004</v>
      </c>
      <c r="AA25" s="39">
        <f t="shared" si="42"/>
        <v>2.5000000000000001E-2</v>
      </c>
      <c r="AB25" s="39">
        <f t="shared" si="42"/>
        <v>0.49</v>
      </c>
      <c r="AC25" s="39">
        <f t="shared" si="42"/>
        <v>0.37</v>
      </c>
      <c r="AD25" s="39">
        <f t="shared" si="42"/>
        <v>0.51</v>
      </c>
      <c r="AE25" s="129">
        <f t="shared" si="42"/>
        <v>52</v>
      </c>
      <c r="AF25" s="129">
        <f t="shared" si="42"/>
        <v>10</v>
      </c>
      <c r="AG25" s="39">
        <f t="shared" si="42"/>
        <v>0.05</v>
      </c>
      <c r="AH25" s="39">
        <f t="shared" si="42"/>
        <v>0.38500000000000001</v>
      </c>
      <c r="AI25" s="39">
        <f t="shared" si="42"/>
        <v>0.54500000000000004</v>
      </c>
      <c r="AJ25" s="39">
        <f t="shared" si="42"/>
        <v>0.03</v>
      </c>
      <c r="AK25" s="39">
        <f t="shared" si="42"/>
        <v>0.53</v>
      </c>
      <c r="AL25" s="39">
        <f t="shared" si="42"/>
        <v>0.47499999999999998</v>
      </c>
      <c r="AM25" s="39">
        <f t="shared" si="42"/>
        <v>0.3</v>
      </c>
      <c r="AN25" s="129">
        <f t="shared" si="42"/>
        <v>52.5</v>
      </c>
      <c r="AO25" s="129">
        <f t="shared" si="42"/>
        <v>9</v>
      </c>
      <c r="AP25" s="39">
        <f t="shared" si="42"/>
        <v>2.5000000000000001E-2</v>
      </c>
      <c r="AQ25" s="39">
        <f t="shared" si="42"/>
        <v>0.36499999999999999</v>
      </c>
      <c r="AR25" s="39">
        <f t="shared" si="42"/>
        <v>0.58499999999999996</v>
      </c>
      <c r="AS25" s="39">
        <f t="shared" si="42"/>
        <v>2.5000000000000001E-2</v>
      </c>
      <c r="AT25" s="39">
        <f t="shared" si="42"/>
        <v>0.28500000000000003</v>
      </c>
      <c r="AU25" s="39">
        <f t="shared" si="42"/>
        <v>0.51</v>
      </c>
      <c r="AV25" s="39">
        <f t="shared" si="42"/>
        <v>0.51</v>
      </c>
      <c r="AW25" s="129">
        <f t="shared" si="42"/>
        <v>50</v>
      </c>
      <c r="AX25" s="244"/>
      <c r="AY25" s="129">
        <f>AVERAGEIFS(AY$36:AY$173,$C$36:$C$173,"=2", $B$36:$B$173,"OFICIAL")</f>
        <v>9</v>
      </c>
      <c r="AZ25" s="244"/>
      <c r="BA25" s="39">
        <f t="shared" ref="BA25:BH25" si="43">AVERAGEIFS(BA$36:BA$173,$C$36:$C$173,"=2", $B$36:$B$173,"OFICIAL")</f>
        <v>0.06</v>
      </c>
      <c r="BB25" s="39">
        <f t="shared" si="43"/>
        <v>0.435</v>
      </c>
      <c r="BC25" s="39">
        <f t="shared" si="43"/>
        <v>0.5</v>
      </c>
      <c r="BD25" s="39">
        <f t="shared" si="43"/>
        <v>5.0000000000000001E-3</v>
      </c>
      <c r="BE25" s="39">
        <f t="shared" si="43"/>
        <v>0.315</v>
      </c>
      <c r="BF25" s="39">
        <f t="shared" si="43"/>
        <v>0.54</v>
      </c>
      <c r="BG25" s="39">
        <f t="shared" si="43"/>
        <v>0.5</v>
      </c>
      <c r="BH25" s="129">
        <f t="shared" si="43"/>
        <v>50.75</v>
      </c>
      <c r="BJ25" s="129">
        <f>AVERAGEIFS(BJ$36:BJ$173,$C$36:$C$173,"=2", $B$36:$B$173,"OFICIAL")</f>
        <v>10</v>
      </c>
      <c r="BO25" s="342">
        <f t="shared" ref="BO25:BY25" si="44">AVERAGEIFS(BO$36:BO$173,$C$36:$C$173,"=2", $B$36:$B$173,"OFICIAL")</f>
        <v>8.4999999999999992E-2</v>
      </c>
      <c r="BP25" s="342">
        <f t="shared" si="44"/>
        <v>0.375</v>
      </c>
      <c r="BQ25" s="342">
        <f t="shared" si="44"/>
        <v>0.52749999999999997</v>
      </c>
      <c r="BR25" s="342">
        <f t="shared" si="44"/>
        <v>1.4999999999999999E-2</v>
      </c>
      <c r="BS25" s="342">
        <f t="shared" si="44"/>
        <v>0.57250000000000001</v>
      </c>
      <c r="BT25" s="342">
        <f t="shared" si="44"/>
        <v>0.62750000000000006</v>
      </c>
      <c r="BU25" s="527"/>
      <c r="BV25" s="527"/>
      <c r="BW25" s="527"/>
      <c r="BX25" s="342">
        <f t="shared" si="44"/>
        <v>0.42</v>
      </c>
      <c r="BY25" s="129">
        <f t="shared" si="44"/>
        <v>51.5</v>
      </c>
      <c r="CA25" s="129">
        <f>AVERAGEIFS(CA$36:CA$173,$C$36:$C$173,"=2", $B$36:$B$173,"OFICIAL")</f>
        <v>9.5</v>
      </c>
      <c r="CC25" s="342">
        <f>AVERAGEIFS(CC$36:CC$173,$C$36:$C$173,"=2", $B$36:$B$173,"OFICIAL")</f>
        <v>5.5000000000000007E-2</v>
      </c>
      <c r="CD25" s="342">
        <f t="shared" ref="CD25:CJ25" si="45">AVERAGEIFS(CD$36:CD$173,$C$36:$C$173,"=2", $B$36:$B$173,"OFICIAL")</f>
        <v>0.38250000000000006</v>
      </c>
      <c r="CE25" s="342">
        <f t="shared" si="45"/>
        <v>0.54249999999999998</v>
      </c>
      <c r="CF25" s="342">
        <f t="shared" si="45"/>
        <v>2.2499999999999999E-2</v>
      </c>
      <c r="CG25" s="342">
        <f t="shared" si="45"/>
        <v>0.63750000000000007</v>
      </c>
      <c r="CH25" s="342">
        <f t="shared" si="45"/>
        <v>0.38749999999999996</v>
      </c>
      <c r="CI25" s="342">
        <f t="shared" si="45"/>
        <v>0.58750000000000002</v>
      </c>
      <c r="CJ25" s="490">
        <f t="shared" si="45"/>
        <v>53.75</v>
      </c>
      <c r="CL25" s="300">
        <f>AVERAGEIFS(CL$36:CL$173,$C$36:$C$173,"=2", $B$36:$B$173,"OFICIAL")</f>
        <v>10.5</v>
      </c>
      <c r="CN25" s="522">
        <f>AVERAGEIFS(CN$36:CN$173,$C$36:$C$173,"=2", $B$36:$B$173,"OFICIAL")</f>
        <v>3.2500000000000001E-2</v>
      </c>
      <c r="CO25" s="522">
        <f t="shared" ref="CO25:CU25" si="46">AVERAGEIFS(CO$36:CO$173,$C$36:$C$173,"=2", $B$36:$B$173,"OFICIAL")</f>
        <v>0.35499999999999998</v>
      </c>
      <c r="CP25" s="522">
        <f t="shared" si="46"/>
        <v>0.5625</v>
      </c>
      <c r="CQ25" s="522">
        <f t="shared" si="46"/>
        <v>5.5000000000000007E-2</v>
      </c>
      <c r="CR25" s="522">
        <f t="shared" si="46"/>
        <v>0.53750000000000009</v>
      </c>
      <c r="CS25" s="522">
        <f t="shared" si="46"/>
        <v>0.51750000000000007</v>
      </c>
      <c r="CT25" s="522">
        <f t="shared" si="46"/>
        <v>0.39749999999999996</v>
      </c>
      <c r="CU25" s="129">
        <f t="shared" si="46"/>
        <v>54.25</v>
      </c>
      <c r="CV25" s="896"/>
      <c r="CW25" s="129">
        <f>AVERAGEIFS(CW$36:CW$173,$C$36:$C$173,"=2", $B$36:$B$173,"OFICIAL")</f>
        <v>10.5</v>
      </c>
      <c r="CX25" s="896"/>
      <c r="CY25" s="342">
        <f>AVERAGEIFS(CY$36:CY$173,$C$36:$C$173,"=2", $B$36:$B$173,"OFICIAL")</f>
        <v>4.7500000000000001E-2</v>
      </c>
      <c r="CZ25" s="342">
        <f t="shared" ref="CZ25:DE25" si="47">AVERAGEIFS(CZ$36:CZ$173,$C$36:$C$173,"=2", $B$36:$B$173,"OFICIAL")</f>
        <v>0.30249999999999999</v>
      </c>
      <c r="DA25" s="342">
        <f t="shared" si="47"/>
        <v>0.59250000000000003</v>
      </c>
      <c r="DB25" s="342">
        <f t="shared" si="47"/>
        <v>5.7500000000000002E-2</v>
      </c>
      <c r="DC25" s="342">
        <f t="shared" si="47"/>
        <v>0.59249999999999992</v>
      </c>
      <c r="DD25" s="342">
        <f t="shared" si="47"/>
        <v>0.45999999999999996</v>
      </c>
      <c r="DE25" s="342">
        <f t="shared" si="47"/>
        <v>0.35750000000000004</v>
      </c>
    </row>
    <row r="26" spans="1:109" ht="24.95" customHeight="1" x14ac:dyDescent="0.2">
      <c r="A26" s="6" t="s">
        <v>778</v>
      </c>
      <c r="B26" s="299"/>
      <c r="C26" s="299"/>
      <c r="D26" s="129">
        <f t="shared" ref="D26:AW26" si="48">AVERAGEIFS(D$36:D$173,$C$36:$C$173,"=3", $B$36:$B$173,"OFICIAL")</f>
        <v>51</v>
      </c>
      <c r="E26" s="129">
        <f t="shared" si="48"/>
        <v>8.8000000000000007</v>
      </c>
      <c r="F26" s="39">
        <f t="shared" si="48"/>
        <v>3.7999999999999999E-2</v>
      </c>
      <c r="G26" s="39">
        <f t="shared" si="48"/>
        <v>0.46600000000000003</v>
      </c>
      <c r="H26" s="39">
        <f t="shared" si="48"/>
        <v>0.48200000000000004</v>
      </c>
      <c r="I26" s="39">
        <f t="shared" si="48"/>
        <v>1.6E-2</v>
      </c>
      <c r="J26" s="39">
        <f t="shared" si="48"/>
        <v>0.53800000000000003</v>
      </c>
      <c r="K26" s="39">
        <f t="shared" si="48"/>
        <v>0.496</v>
      </c>
      <c r="L26" s="39">
        <f t="shared" si="48"/>
        <v>0.56199999999999994</v>
      </c>
      <c r="M26" s="129">
        <f t="shared" si="48"/>
        <v>50.2</v>
      </c>
      <c r="N26" s="129">
        <f t="shared" si="48"/>
        <v>9</v>
      </c>
      <c r="O26" s="39">
        <f t="shared" si="48"/>
        <v>5.5999999999999994E-2</v>
      </c>
      <c r="P26" s="39">
        <f t="shared" si="48"/>
        <v>0.43599999999999994</v>
      </c>
      <c r="Q26" s="39">
        <f t="shared" si="48"/>
        <v>0.502</v>
      </c>
      <c r="R26" s="39">
        <f t="shared" si="48"/>
        <v>6.0000000000000001E-3</v>
      </c>
      <c r="S26" s="39">
        <f t="shared" si="48"/>
        <v>0.49199999999999999</v>
      </c>
      <c r="T26" s="39">
        <f t="shared" si="48"/>
        <v>0.58599999999999997</v>
      </c>
      <c r="U26" s="39">
        <f t="shared" si="48"/>
        <v>0.38400000000000001</v>
      </c>
      <c r="V26" s="129">
        <f t="shared" si="48"/>
        <v>51</v>
      </c>
      <c r="W26" s="129">
        <f t="shared" si="48"/>
        <v>9.1999999999999993</v>
      </c>
      <c r="X26" s="39">
        <f t="shared" si="48"/>
        <v>4.4000000000000004E-2</v>
      </c>
      <c r="Y26" s="39">
        <f t="shared" si="48"/>
        <v>0.41799999999999998</v>
      </c>
      <c r="Z26" s="39">
        <f t="shared" si="48"/>
        <v>0.53199999999999992</v>
      </c>
      <c r="AA26" s="39">
        <f t="shared" si="48"/>
        <v>8.0000000000000002E-3</v>
      </c>
      <c r="AB26" s="39">
        <f t="shared" si="48"/>
        <v>0.51</v>
      </c>
      <c r="AC26" s="39">
        <f t="shared" si="48"/>
        <v>0.39200000000000002</v>
      </c>
      <c r="AD26" s="39">
        <f t="shared" si="48"/>
        <v>0.52800000000000002</v>
      </c>
      <c r="AE26" s="129">
        <f t="shared" si="48"/>
        <v>51</v>
      </c>
      <c r="AF26" s="129">
        <f t="shared" si="48"/>
        <v>9.4</v>
      </c>
      <c r="AG26" s="39">
        <f t="shared" si="48"/>
        <v>5.5999999999999994E-2</v>
      </c>
      <c r="AH26" s="39">
        <f t="shared" si="48"/>
        <v>0.41600000000000004</v>
      </c>
      <c r="AI26" s="39">
        <f t="shared" si="48"/>
        <v>0.52000000000000013</v>
      </c>
      <c r="AJ26" s="39">
        <f t="shared" si="48"/>
        <v>0.01</v>
      </c>
      <c r="AK26" s="39">
        <f t="shared" si="48"/>
        <v>0.55399999999999994</v>
      </c>
      <c r="AL26" s="39">
        <f t="shared" si="48"/>
        <v>0.49000000000000005</v>
      </c>
      <c r="AM26" s="39">
        <f t="shared" si="48"/>
        <v>0.314</v>
      </c>
      <c r="AN26" s="129">
        <f t="shared" si="48"/>
        <v>51.6</v>
      </c>
      <c r="AO26" s="129">
        <f t="shared" si="48"/>
        <v>9</v>
      </c>
      <c r="AP26" s="39">
        <f t="shared" si="48"/>
        <v>4.4000000000000004E-2</v>
      </c>
      <c r="AQ26" s="39">
        <f t="shared" si="48"/>
        <v>0.372</v>
      </c>
      <c r="AR26" s="39">
        <f t="shared" si="48"/>
        <v>0.56400000000000006</v>
      </c>
      <c r="AS26" s="39">
        <f t="shared" si="48"/>
        <v>1.9999999999999997E-2</v>
      </c>
      <c r="AT26" s="39">
        <f t="shared" si="48"/>
        <v>0.28999999999999998</v>
      </c>
      <c r="AU26" s="39">
        <f t="shared" si="48"/>
        <v>0.51600000000000001</v>
      </c>
      <c r="AV26" s="39">
        <f t="shared" si="48"/>
        <v>0.51800000000000002</v>
      </c>
      <c r="AW26" s="129">
        <f t="shared" si="48"/>
        <v>50.2</v>
      </c>
      <c r="AX26" s="244"/>
      <c r="AY26" s="129">
        <f>AVERAGEIFS(AY$36:AY$173,$C$36:$C$173,"=3", $B$36:$B$173,"OFICIAL")</f>
        <v>8.6</v>
      </c>
      <c r="AZ26" s="244"/>
      <c r="BA26" s="39">
        <f t="shared" ref="BA26:BH26" si="49">AVERAGEIFS(BA$36:BA$173,$C$36:$C$173,"=3", $B$36:$B$173,"OFICIAL")</f>
        <v>0.05</v>
      </c>
      <c r="BB26" s="39">
        <f t="shared" si="49"/>
        <v>0.44800000000000006</v>
      </c>
      <c r="BC26" s="39">
        <f t="shared" si="49"/>
        <v>0.48599999999999993</v>
      </c>
      <c r="BD26" s="39">
        <f t="shared" si="49"/>
        <v>1.2E-2</v>
      </c>
      <c r="BE26" s="39">
        <f t="shared" si="49"/>
        <v>0.30000000000000004</v>
      </c>
      <c r="BF26" s="39">
        <f t="shared" si="49"/>
        <v>0.53600000000000003</v>
      </c>
      <c r="BG26" s="39">
        <f t="shared" si="49"/>
        <v>0.49800000000000005</v>
      </c>
      <c r="BH26" s="129">
        <f t="shared" si="49"/>
        <v>52.333333333333336</v>
      </c>
      <c r="BJ26" s="129">
        <f>AVERAGEIFS(BJ$36:BJ$173,$C$36:$C$173,"=3", $B$36:$B$173,"OFICIAL")</f>
        <v>9.5</v>
      </c>
      <c r="BO26" s="342">
        <f t="shared" ref="BO26:BY26" si="50">AVERAGEIFS(BO$36:BO$173,$C$36:$C$173,"=3", $B$36:$B$173,"OFICIAL")</f>
        <v>5.5E-2</v>
      </c>
      <c r="BP26" s="342">
        <f t="shared" si="50"/>
        <v>0.35166666666666663</v>
      </c>
      <c r="BQ26" s="342">
        <f t="shared" si="50"/>
        <v>0.56999999999999995</v>
      </c>
      <c r="BR26" s="342">
        <f t="shared" si="50"/>
        <v>2.1666666666666667E-2</v>
      </c>
      <c r="BS26" s="342">
        <f t="shared" si="50"/>
        <v>0.51833333333333331</v>
      </c>
      <c r="BT26" s="342">
        <f t="shared" si="50"/>
        <v>0.60499999999999998</v>
      </c>
      <c r="BU26" s="527"/>
      <c r="BV26" s="527"/>
      <c r="BW26" s="527"/>
      <c r="BX26" s="342">
        <f t="shared" si="50"/>
        <v>0.39500000000000002</v>
      </c>
      <c r="BY26" s="129">
        <f t="shared" si="50"/>
        <v>51.333333333333336</v>
      </c>
      <c r="CA26" s="129">
        <f>AVERAGEIFS(CA$36:CA$173,$C$36:$C$173,"=3", $B$36:$B$173,"OFICIAL")</f>
        <v>9.6666666666666661</v>
      </c>
      <c r="CC26" s="342">
        <f>AVERAGEIFS(CC$36:CC$173,$C$36:$C$173,"=3", $B$36:$B$173,"OFICIAL")</f>
        <v>5.5E-2</v>
      </c>
      <c r="CD26" s="342">
        <f t="shared" ref="CD26:CJ26" si="51">AVERAGEIFS(CD$36:CD$173,$C$36:$C$173,"=3", $B$36:$B$173,"OFICIAL")</f>
        <v>0.40666666666666668</v>
      </c>
      <c r="CE26" s="342">
        <f t="shared" si="51"/>
        <v>0.51333333333333342</v>
      </c>
      <c r="CF26" s="342">
        <f t="shared" si="51"/>
        <v>2.8333333333333332E-2</v>
      </c>
      <c r="CG26" s="342">
        <f t="shared" si="51"/>
        <v>0.6216666666666667</v>
      </c>
      <c r="CH26" s="342">
        <f t="shared" si="51"/>
        <v>0.375</v>
      </c>
      <c r="CI26" s="342">
        <f t="shared" si="51"/>
        <v>0.61333333333333329</v>
      </c>
      <c r="CJ26" s="490">
        <f t="shared" si="51"/>
        <v>53.5</v>
      </c>
      <c r="CL26" s="300">
        <f>AVERAGEIFS(CL$36:CL$173,$C$36:$C$173,"=3", $B$36:$B$173,"OFICIAL")</f>
        <v>10.666666666666666</v>
      </c>
      <c r="CN26" s="522">
        <f>AVERAGEIFS(CN$36:CN$173,$C$36:$C$173,"=3", $B$36:$B$173,"OFICIAL")</f>
        <v>4.9999999999999996E-2</v>
      </c>
      <c r="CO26" s="522">
        <f t="shared" ref="CO26:CU26" si="52">AVERAGEIFS(CO$36:CO$173,$C$36:$C$173,"=3", $B$36:$B$173,"OFICIAL")</f>
        <v>0.32999999999999996</v>
      </c>
      <c r="CP26" s="522">
        <f t="shared" si="52"/>
        <v>0.57666666666666666</v>
      </c>
      <c r="CQ26" s="522">
        <f t="shared" si="52"/>
        <v>4.5000000000000005E-2</v>
      </c>
      <c r="CR26" s="522">
        <f t="shared" si="52"/>
        <v>0.56666666666666676</v>
      </c>
      <c r="CS26" s="522">
        <f t="shared" si="52"/>
        <v>0.5033333333333333</v>
      </c>
      <c r="CT26" s="522">
        <f t="shared" si="52"/>
        <v>0.41</v>
      </c>
      <c r="CU26" s="129">
        <f t="shared" si="52"/>
        <v>52.166666666666664</v>
      </c>
      <c r="CV26" s="896"/>
      <c r="CW26" s="129">
        <f>AVERAGEIFS(CW$36:CW$173,$C$36:$C$173,"=3", $B$36:$B$173,"OFICIAL")</f>
        <v>10.166666666666666</v>
      </c>
      <c r="CX26" s="896"/>
      <c r="CY26" s="342">
        <f>AVERAGEIFS(CY$36:CY$173,$C$36:$C$173,"=3", $B$36:$B$173,"OFICIAL")</f>
        <v>5.6666666666666664E-2</v>
      </c>
      <c r="CZ26" s="342">
        <f t="shared" ref="CZ26:DE26" si="53">AVERAGEIFS(CZ$36:CZ$173,$C$36:$C$173,"=3", $B$36:$B$173,"OFICIAL")</f>
        <v>0.37833333333333324</v>
      </c>
      <c r="DA26" s="342">
        <f t="shared" si="53"/>
        <v>0.52666666666666662</v>
      </c>
      <c r="DB26" s="342">
        <f t="shared" si="53"/>
        <v>0.04</v>
      </c>
      <c r="DC26" s="342">
        <f t="shared" si="53"/>
        <v>0.61499999999999999</v>
      </c>
      <c r="DD26" s="342">
        <f t="shared" si="53"/>
        <v>0.50166666666666659</v>
      </c>
      <c r="DE26" s="342">
        <f t="shared" si="53"/>
        <v>0.3816666666666666</v>
      </c>
    </row>
    <row r="27" spans="1:109" ht="24.95" customHeight="1" x14ac:dyDescent="0.2">
      <c r="A27" s="6" t="s">
        <v>779</v>
      </c>
      <c r="B27" s="299"/>
      <c r="C27" s="299"/>
      <c r="D27" s="129">
        <f t="shared" ref="D27:AW27" si="54">AVERAGEIFS(D$36:D$173,$C$36:$C$173,"=4", $B$36:$B$173,"OFICIAL")</f>
        <v>47.166666666666664</v>
      </c>
      <c r="E27" s="129">
        <f t="shared" si="54"/>
        <v>9.1666666666666661</v>
      </c>
      <c r="F27" s="39">
        <f t="shared" si="54"/>
        <v>9.9999999999999992E-2</v>
      </c>
      <c r="G27" s="39">
        <f t="shared" si="54"/>
        <v>0.54333333333333333</v>
      </c>
      <c r="H27" s="39">
        <f t="shared" si="54"/>
        <v>0.34666666666666662</v>
      </c>
      <c r="I27" s="39">
        <f t="shared" si="54"/>
        <v>6.6666666666666671E-3</v>
      </c>
      <c r="J27" s="39">
        <f t="shared" si="54"/>
        <v>0.59666666666666668</v>
      </c>
      <c r="K27" s="39">
        <f t="shared" si="54"/>
        <v>0.5149999999999999</v>
      </c>
      <c r="L27" s="39">
        <f t="shared" si="54"/>
        <v>0.60666666666666669</v>
      </c>
      <c r="M27" s="129">
        <f t="shared" si="54"/>
        <v>47.5</v>
      </c>
      <c r="N27" s="129">
        <f t="shared" si="54"/>
        <v>9.8333333333333339</v>
      </c>
      <c r="O27" s="39">
        <f t="shared" si="54"/>
        <v>0.115</v>
      </c>
      <c r="P27" s="39">
        <f t="shared" si="54"/>
        <v>0.51666666666666672</v>
      </c>
      <c r="Q27" s="39">
        <f t="shared" si="54"/>
        <v>0.35833333333333334</v>
      </c>
      <c r="R27" s="39">
        <f t="shared" si="54"/>
        <v>1.1666666666666667E-2</v>
      </c>
      <c r="S27" s="39">
        <f t="shared" si="54"/>
        <v>0.52666666666666673</v>
      </c>
      <c r="T27" s="39">
        <f t="shared" si="54"/>
        <v>0.61166666666666669</v>
      </c>
      <c r="U27" s="39">
        <f t="shared" si="54"/>
        <v>0.43166666666666664</v>
      </c>
      <c r="V27" s="129">
        <f t="shared" si="54"/>
        <v>47.166666666666664</v>
      </c>
      <c r="W27" s="129">
        <f t="shared" si="54"/>
        <v>9.5</v>
      </c>
      <c r="X27" s="39">
        <f t="shared" si="54"/>
        <v>0.13500000000000001</v>
      </c>
      <c r="Y27" s="39">
        <f t="shared" si="54"/>
        <v>0.48</v>
      </c>
      <c r="Z27" s="39">
        <f t="shared" si="54"/>
        <v>0.375</v>
      </c>
      <c r="AA27" s="39">
        <f t="shared" si="54"/>
        <v>8.3333333333333332E-3</v>
      </c>
      <c r="AB27" s="39">
        <f t="shared" si="54"/>
        <v>0.56166666666666665</v>
      </c>
      <c r="AC27" s="39">
        <f t="shared" si="54"/>
        <v>0.44</v>
      </c>
      <c r="AD27" s="39">
        <f t="shared" si="54"/>
        <v>0.58333333333333337</v>
      </c>
      <c r="AE27" s="129">
        <f t="shared" si="54"/>
        <v>47</v>
      </c>
      <c r="AF27" s="129">
        <f t="shared" si="54"/>
        <v>9.3333333333333339</v>
      </c>
      <c r="AG27" s="39">
        <f t="shared" si="54"/>
        <v>9.9999999999999992E-2</v>
      </c>
      <c r="AH27" s="39">
        <f t="shared" si="54"/>
        <v>0.56166666666666665</v>
      </c>
      <c r="AI27" s="39">
        <f t="shared" si="54"/>
        <v>0.33166666666666667</v>
      </c>
      <c r="AJ27" s="39">
        <f t="shared" si="54"/>
        <v>6.6666666666666671E-3</v>
      </c>
      <c r="AK27" s="39">
        <f t="shared" si="54"/>
        <v>0.60666666666666669</v>
      </c>
      <c r="AL27" s="39">
        <f t="shared" si="54"/>
        <v>0.54</v>
      </c>
      <c r="AM27" s="39">
        <f t="shared" si="54"/>
        <v>0.37666666666666665</v>
      </c>
      <c r="AN27" s="129">
        <f t="shared" si="54"/>
        <v>47.333333333333336</v>
      </c>
      <c r="AO27" s="129">
        <f t="shared" si="54"/>
        <v>9.1666666666666661</v>
      </c>
      <c r="AP27" s="39">
        <f t="shared" si="54"/>
        <v>0.10833333333333334</v>
      </c>
      <c r="AQ27" s="39">
        <f t="shared" si="54"/>
        <v>0.48166666666666663</v>
      </c>
      <c r="AR27" s="39">
        <f t="shared" si="54"/>
        <v>0.41000000000000009</v>
      </c>
      <c r="AS27" s="39">
        <f t="shared" si="54"/>
        <v>3.3333333333333335E-3</v>
      </c>
      <c r="AT27" s="39">
        <f t="shared" si="54"/>
        <v>0.35833333333333334</v>
      </c>
      <c r="AU27" s="39">
        <f t="shared" si="54"/>
        <v>0.57666666666666666</v>
      </c>
      <c r="AV27" s="39">
        <f t="shared" si="54"/>
        <v>0.57333333333333336</v>
      </c>
      <c r="AW27" s="129">
        <f t="shared" si="54"/>
        <v>47.166666666666664</v>
      </c>
      <c r="AX27" s="244"/>
      <c r="AY27" s="129">
        <f>AVERAGEIFS(AY$36:AY$173,$C$36:$C$173,"=4", $B$36:$B$173,"OFICIAL")</f>
        <v>9</v>
      </c>
      <c r="AZ27" s="244"/>
      <c r="BA27" s="39">
        <f t="shared" ref="BA27:BH27" si="55">AVERAGEIFS(BA$36:BA$173,$C$36:$C$173,"=4", $B$36:$B$173,"OFICIAL")</f>
        <v>0.10666666666666667</v>
      </c>
      <c r="BB27" s="39">
        <f t="shared" si="55"/>
        <v>0.49499999999999994</v>
      </c>
      <c r="BC27" s="39">
        <f t="shared" si="55"/>
        <v>0.38999999999999996</v>
      </c>
      <c r="BD27" s="39">
        <f t="shared" si="55"/>
        <v>3.3333333333333335E-3</v>
      </c>
      <c r="BE27" s="39">
        <f t="shared" si="55"/>
        <v>0.36000000000000004</v>
      </c>
      <c r="BF27" s="39">
        <f t="shared" si="55"/>
        <v>0.57166666666666677</v>
      </c>
      <c r="BG27" s="39">
        <f t="shared" si="55"/>
        <v>0.53500000000000003</v>
      </c>
      <c r="BH27" s="129">
        <f t="shared" si="55"/>
        <v>48.333333333333336</v>
      </c>
      <c r="BJ27" s="129">
        <f>AVERAGEIFS(BJ$36:BJ$173,$C$36:$C$173,"=4", $B$36:$B$173,"OFICIAL")</f>
        <v>10</v>
      </c>
      <c r="BO27" s="342">
        <f t="shared" ref="BO27:BY27" si="56">AVERAGEIFS(BO$36:BO$173,$C$36:$C$173,"=4", $B$36:$B$173,"OFICIAL")</f>
        <v>9.1666666666666674E-2</v>
      </c>
      <c r="BP27" s="342">
        <f t="shared" si="56"/>
        <v>0.48333333333333334</v>
      </c>
      <c r="BQ27" s="342">
        <f t="shared" si="56"/>
        <v>0.40333333333333332</v>
      </c>
      <c r="BR27" s="342">
        <f t="shared" si="56"/>
        <v>1.8333333333333333E-2</v>
      </c>
      <c r="BS27" s="342">
        <f t="shared" si="56"/>
        <v>0.59</v>
      </c>
      <c r="BT27" s="342">
        <f t="shared" si="56"/>
        <v>0.65166666666666673</v>
      </c>
      <c r="BU27" s="527"/>
      <c r="BV27" s="527"/>
      <c r="BW27" s="527"/>
      <c r="BX27" s="342">
        <f t="shared" si="56"/>
        <v>0.45500000000000002</v>
      </c>
      <c r="BY27" s="129">
        <f t="shared" si="56"/>
        <v>48.333333333333336</v>
      </c>
      <c r="CA27" s="129">
        <f>AVERAGEIFS(CA$36:CA$173,$C$36:$C$173,"=4", $B$36:$B$173,"OFICIAL")</f>
        <v>10.666666666666666</v>
      </c>
      <c r="CC27" s="342">
        <f>AVERAGEIFS(CC$36:CC$173,$C$36:$C$173,"=4", $B$36:$B$173,"OFICIAL")</f>
        <v>0.11666666666666668</v>
      </c>
      <c r="CD27" s="342">
        <f t="shared" ref="CD27:CJ27" si="57">AVERAGEIFS(CD$36:CD$173,$C$36:$C$173,"=4", $B$36:$B$173,"OFICIAL")</f>
        <v>0.47500000000000009</v>
      </c>
      <c r="CE27" s="342">
        <f t="shared" si="57"/>
        <v>0.39500000000000002</v>
      </c>
      <c r="CF27" s="342">
        <f t="shared" si="57"/>
        <v>1.6666666666666666E-2</v>
      </c>
      <c r="CG27" s="342">
        <f t="shared" si="57"/>
        <v>0.65833333333333333</v>
      </c>
      <c r="CH27" s="342">
        <f t="shared" si="57"/>
        <v>0.44</v>
      </c>
      <c r="CI27" s="342">
        <f t="shared" si="57"/>
        <v>0.63</v>
      </c>
      <c r="CJ27" s="490">
        <f t="shared" si="57"/>
        <v>48</v>
      </c>
      <c r="CL27" s="300">
        <f>AVERAGEIFS(CL$36:CL$173,$C$36:$C$173,"=4", $B$36:$B$173,"OFICIAL")</f>
        <v>11</v>
      </c>
      <c r="CN27" s="522">
        <f>AVERAGEIFS(CN$36:CN$173,$C$36:$C$173,"=4", $B$36:$B$173,"OFICIAL")</f>
        <v>0.14833333333333332</v>
      </c>
      <c r="CO27" s="522">
        <f t="shared" ref="CO27:CU27" si="58">AVERAGEIFS(CO$36:CO$173,$C$36:$C$173,"=4", $B$36:$B$173,"OFICIAL")</f>
        <v>0.4283333333333334</v>
      </c>
      <c r="CP27" s="522">
        <f t="shared" si="58"/>
        <v>0.40833333333333338</v>
      </c>
      <c r="CQ27" s="522">
        <f t="shared" si="58"/>
        <v>0.02</v>
      </c>
      <c r="CR27" s="522">
        <f t="shared" si="58"/>
        <v>0.6333333333333333</v>
      </c>
      <c r="CS27" s="522">
        <f t="shared" si="58"/>
        <v>0.59499999999999997</v>
      </c>
      <c r="CT27" s="522">
        <f t="shared" si="58"/>
        <v>0.47</v>
      </c>
      <c r="CU27" s="129">
        <f t="shared" si="58"/>
        <v>49.166666666666664</v>
      </c>
      <c r="CV27" s="896"/>
      <c r="CW27" s="129">
        <f>AVERAGEIFS(CW$36:CW$173,$C$36:$C$173,"=4", $B$36:$B$173,"OFICIAL")</f>
        <v>10.666666666666666</v>
      </c>
      <c r="CX27" s="896"/>
      <c r="CY27" s="342">
        <f>AVERAGEIFS(CY$36:CY$173,$C$36:$C$173,"=4", $B$36:$B$173,"OFICIAL")</f>
        <v>0.10333333333333333</v>
      </c>
      <c r="CZ27" s="342">
        <f t="shared" ref="CZ27:DE27" si="59">AVERAGEIFS(CZ$36:CZ$173,$C$36:$C$173,"=4", $B$36:$B$173,"OFICIAL")</f>
        <v>0.42166666666666663</v>
      </c>
      <c r="DA27" s="342">
        <f t="shared" si="59"/>
        <v>0.45500000000000002</v>
      </c>
      <c r="DB27" s="342">
        <f t="shared" si="59"/>
        <v>1.6666666666666666E-2</v>
      </c>
      <c r="DC27" s="342">
        <f t="shared" si="59"/>
        <v>0.6166666666666667</v>
      </c>
      <c r="DD27" s="342">
        <f t="shared" si="59"/>
        <v>0.54833333333333334</v>
      </c>
      <c r="DE27" s="342">
        <f t="shared" si="59"/>
        <v>0.38666666666666666</v>
      </c>
    </row>
    <row r="28" spans="1:109" ht="24.95" customHeight="1" x14ac:dyDescent="0.2">
      <c r="A28" s="6" t="s">
        <v>780</v>
      </c>
      <c r="B28" s="299"/>
      <c r="C28" s="299"/>
      <c r="D28" s="129">
        <f t="shared" ref="D28:AW28" si="60">AVERAGEIFS(D$36:D$173,$C$36:$C$173,"=5", $B$36:$B$173,"OFICIAL")</f>
        <v>52.333333333333336</v>
      </c>
      <c r="E28" s="129">
        <f t="shared" si="60"/>
        <v>8.6666666666666661</v>
      </c>
      <c r="F28" s="39">
        <f t="shared" si="60"/>
        <v>3.6666666666666667E-2</v>
      </c>
      <c r="G28" s="39">
        <f t="shared" si="60"/>
        <v>0.37333333333333335</v>
      </c>
      <c r="H28" s="39">
        <f t="shared" si="60"/>
        <v>0.57333333333333336</v>
      </c>
      <c r="I28" s="39">
        <f t="shared" si="60"/>
        <v>1.6666666666666666E-2</v>
      </c>
      <c r="J28" s="39">
        <f t="shared" si="60"/>
        <v>0.52</v>
      </c>
      <c r="K28" s="39">
        <f t="shared" si="60"/>
        <v>0.48333333333333334</v>
      </c>
      <c r="L28" s="39">
        <f t="shared" si="60"/>
        <v>0.54</v>
      </c>
      <c r="M28" s="129">
        <f t="shared" si="60"/>
        <v>53</v>
      </c>
      <c r="N28" s="129">
        <f t="shared" si="60"/>
        <v>9.3333333333333339</v>
      </c>
      <c r="O28" s="39">
        <f t="shared" si="60"/>
        <v>5.3333333333333337E-2</v>
      </c>
      <c r="P28" s="39">
        <f t="shared" si="60"/>
        <v>0.34</v>
      </c>
      <c r="Q28" s="39">
        <f t="shared" si="60"/>
        <v>0.57333333333333336</v>
      </c>
      <c r="R28" s="39">
        <f t="shared" si="60"/>
        <v>3.3333333333333333E-2</v>
      </c>
      <c r="S28" s="39">
        <f t="shared" si="60"/>
        <v>0.46333333333333332</v>
      </c>
      <c r="T28" s="39">
        <f t="shared" si="60"/>
        <v>0.53333333333333333</v>
      </c>
      <c r="U28" s="39">
        <f t="shared" si="60"/>
        <v>0.34</v>
      </c>
      <c r="V28" s="129">
        <f t="shared" si="60"/>
        <v>52</v>
      </c>
      <c r="W28" s="129">
        <f t="shared" si="60"/>
        <v>8.3333333333333339</v>
      </c>
      <c r="X28" s="39">
        <f t="shared" si="60"/>
        <v>3.3333333333333333E-2</v>
      </c>
      <c r="Y28" s="39">
        <f t="shared" si="60"/>
        <v>0.41333333333333333</v>
      </c>
      <c r="Z28" s="39">
        <f t="shared" si="60"/>
        <v>0.53333333333333333</v>
      </c>
      <c r="AA28" s="39">
        <f t="shared" si="60"/>
        <v>2.3333333333333334E-2</v>
      </c>
      <c r="AB28" s="39">
        <f t="shared" si="60"/>
        <v>0.5</v>
      </c>
      <c r="AC28" s="39">
        <f t="shared" si="60"/>
        <v>0.37000000000000005</v>
      </c>
      <c r="AD28" s="39">
        <f t="shared" si="60"/>
        <v>0.5033333333333333</v>
      </c>
      <c r="AE28" s="129">
        <f t="shared" si="60"/>
        <v>54</v>
      </c>
      <c r="AF28" s="129">
        <f t="shared" si="60"/>
        <v>8.6666666666666661</v>
      </c>
      <c r="AG28" s="39">
        <f t="shared" si="60"/>
        <v>2.6666666666666668E-2</v>
      </c>
      <c r="AH28" s="39">
        <f t="shared" si="60"/>
        <v>0.33</v>
      </c>
      <c r="AI28" s="39">
        <f t="shared" si="60"/>
        <v>0.6</v>
      </c>
      <c r="AJ28" s="39">
        <f t="shared" si="60"/>
        <v>4.3333333333333335E-2</v>
      </c>
      <c r="AK28" s="39">
        <f t="shared" si="60"/>
        <v>0.51</v>
      </c>
      <c r="AL28" s="39">
        <f t="shared" si="60"/>
        <v>0.45</v>
      </c>
      <c r="AM28" s="39">
        <f t="shared" si="60"/>
        <v>0.27</v>
      </c>
      <c r="AN28" s="129">
        <f t="shared" si="60"/>
        <v>54.666666666666664</v>
      </c>
      <c r="AO28" s="129">
        <f t="shared" si="60"/>
        <v>8.3333333333333339</v>
      </c>
      <c r="AP28" s="39">
        <f t="shared" si="60"/>
        <v>2.3333333333333334E-2</v>
      </c>
      <c r="AQ28" s="39">
        <f t="shared" si="60"/>
        <v>0.3066666666666667</v>
      </c>
      <c r="AR28" s="39">
        <f t="shared" si="60"/>
        <v>0.64</v>
      </c>
      <c r="AS28" s="39">
        <f t="shared" si="60"/>
        <v>0.03</v>
      </c>
      <c r="AT28" s="39">
        <f t="shared" si="60"/>
        <v>0.25000000000000006</v>
      </c>
      <c r="AU28" s="39">
        <f t="shared" si="60"/>
        <v>0.46666666666666662</v>
      </c>
      <c r="AV28" s="39">
        <f t="shared" si="60"/>
        <v>0.47333333333333333</v>
      </c>
      <c r="AW28" s="129">
        <f t="shared" si="60"/>
        <v>52.333333333333336</v>
      </c>
      <c r="AX28" s="244"/>
      <c r="AY28" s="129">
        <f>AVERAGEIFS(AY$36:AY$173,$C$36:$C$173,"=5", $B$36:$B$173,"OFICIAL")</f>
        <v>9</v>
      </c>
      <c r="AZ28" s="244"/>
      <c r="BA28" s="39">
        <f t="shared" ref="BA28:BH28" si="61">AVERAGEIFS(BA$36:BA$173,$C$36:$C$173,"=5", $B$36:$B$173,"OFICIAL")</f>
        <v>3.6666666666666667E-2</v>
      </c>
      <c r="BB28" s="39">
        <f t="shared" si="61"/>
        <v>0.35666666666666669</v>
      </c>
      <c r="BC28" s="39">
        <f t="shared" si="61"/>
        <v>0.56666666666666665</v>
      </c>
      <c r="BD28" s="39">
        <f t="shared" si="61"/>
        <v>3.6666666666666667E-2</v>
      </c>
      <c r="BE28" s="39">
        <f t="shared" si="61"/>
        <v>0.27</v>
      </c>
      <c r="BF28" s="39">
        <f t="shared" si="61"/>
        <v>0.5</v>
      </c>
      <c r="BG28" s="39">
        <f t="shared" si="61"/>
        <v>0.45333333333333331</v>
      </c>
      <c r="BH28" s="129">
        <f t="shared" si="61"/>
        <v>54.666666666666664</v>
      </c>
      <c r="BJ28" s="129">
        <f>AVERAGEIFS(BJ$36:BJ$173,$C$36:$C$173,"=5", $B$36:$B$173,"OFICIAL")</f>
        <v>9.3333333333333339</v>
      </c>
      <c r="BO28" s="342">
        <f t="shared" ref="BO28:BY28" si="62">AVERAGEIFS(BO$36:BO$173,$C$36:$C$173,"=5", $B$36:$B$173,"OFICIAL")</f>
        <v>3.3333333333333333E-2</v>
      </c>
      <c r="BP28" s="342">
        <f t="shared" si="62"/>
        <v>0.26999999999999996</v>
      </c>
      <c r="BQ28" s="342">
        <f t="shared" si="62"/>
        <v>0.66999999999999993</v>
      </c>
      <c r="BR28" s="342">
        <f t="shared" si="62"/>
        <v>3.0000000000000002E-2</v>
      </c>
      <c r="BS28" s="342">
        <f t="shared" si="62"/>
        <v>0.49333333333333335</v>
      </c>
      <c r="BT28" s="342">
        <f t="shared" si="62"/>
        <v>0.55333333333333334</v>
      </c>
      <c r="BU28" s="527"/>
      <c r="BV28" s="527"/>
      <c r="BW28" s="527"/>
      <c r="BX28" s="342">
        <f t="shared" si="62"/>
        <v>0.35666666666666669</v>
      </c>
      <c r="BY28" s="129">
        <f t="shared" si="62"/>
        <v>53</v>
      </c>
      <c r="CA28" s="129">
        <f>AVERAGEIFS(CA$36:CA$173,$C$36:$C$173,"=5", $B$36:$B$173,"OFICIAL")</f>
        <v>10.333333333333334</v>
      </c>
      <c r="CC28" s="342">
        <f>AVERAGEIFS(CC$36:CC$173,$C$36:$C$173,"=5", $B$36:$B$173,"OFICIAL")</f>
        <v>6.0000000000000005E-2</v>
      </c>
      <c r="CD28" s="342">
        <f t="shared" ref="CD28:CJ28" si="63">AVERAGEIFS(CD$36:CD$173,$C$36:$C$173,"=5", $B$36:$B$173,"OFICIAL")</f>
        <v>0.34</v>
      </c>
      <c r="CE28" s="342">
        <f t="shared" si="63"/>
        <v>0.56333333333333335</v>
      </c>
      <c r="CF28" s="342">
        <f t="shared" si="63"/>
        <v>3.3333333333333333E-2</v>
      </c>
      <c r="CG28" s="342">
        <f t="shared" si="63"/>
        <v>0.61333333333333329</v>
      </c>
      <c r="CH28" s="342">
        <f t="shared" si="63"/>
        <v>0.38000000000000006</v>
      </c>
      <c r="CI28" s="342">
        <f t="shared" si="63"/>
        <v>0.57666666666666666</v>
      </c>
      <c r="CJ28" s="490">
        <f t="shared" si="63"/>
        <v>55.666666666666664</v>
      </c>
      <c r="CL28" s="300">
        <f>AVERAGEIFS(CL$36:CL$173,$C$36:$C$173,"=5", $B$36:$B$173,"OFICIAL")</f>
        <v>10</v>
      </c>
      <c r="CN28" s="522">
        <f>AVERAGEIFS(CN$36:CN$173,$C$36:$C$173,"=5", $B$36:$B$173,"OFICIAL")</f>
        <v>3.6666666666666667E-2</v>
      </c>
      <c r="CO28" s="522">
        <f t="shared" ref="CO28:CU28" si="64">AVERAGEIFS(CO$36:CO$173,$C$36:$C$173,"=5", $B$36:$B$173,"OFICIAL")</f>
        <v>0.2466666666666667</v>
      </c>
      <c r="CP28" s="522">
        <f t="shared" si="64"/>
        <v>0.64333333333333331</v>
      </c>
      <c r="CQ28" s="522">
        <f t="shared" si="64"/>
        <v>0.08</v>
      </c>
      <c r="CR28" s="522">
        <f t="shared" si="64"/>
        <v>0.54333333333333333</v>
      </c>
      <c r="CS28" s="522">
        <f t="shared" si="64"/>
        <v>0.47</v>
      </c>
      <c r="CT28" s="522">
        <f t="shared" si="64"/>
        <v>0.37666666666666671</v>
      </c>
      <c r="CU28" s="129">
        <f t="shared" si="64"/>
        <v>56</v>
      </c>
      <c r="CV28" s="896"/>
      <c r="CW28" s="129">
        <f>AVERAGEIFS(CW$36:CW$173,$C$36:$C$173,"=5", $B$36:$B$173,"OFICIAL")</f>
        <v>10.666666666666666</v>
      </c>
      <c r="CX28" s="896"/>
      <c r="CY28" s="342">
        <f>AVERAGEIFS(CY$36:CY$173,$C$36:$C$173,"=5", $B$36:$B$173,"OFICIAL")</f>
        <v>0.04</v>
      </c>
      <c r="CZ28" s="342">
        <f t="shared" ref="CZ28:DE28" si="65">AVERAGEIFS(CZ$36:CZ$173,$C$36:$C$173,"=5", $B$36:$B$173,"OFICIAL")</f>
        <v>0.27333333333333337</v>
      </c>
      <c r="DA28" s="342">
        <f t="shared" si="65"/>
        <v>0.58666666666666656</v>
      </c>
      <c r="DB28" s="342">
        <f t="shared" si="65"/>
        <v>0.10000000000000002</v>
      </c>
      <c r="DC28" s="342">
        <f t="shared" si="65"/>
        <v>0.54999999999999993</v>
      </c>
      <c r="DD28" s="342">
        <f t="shared" si="65"/>
        <v>0.4466666666666666</v>
      </c>
      <c r="DE28" s="342">
        <f t="shared" si="65"/>
        <v>0.31666666666666665</v>
      </c>
    </row>
    <row r="29" spans="1:109" ht="24.95" customHeight="1" x14ac:dyDescent="0.2">
      <c r="A29" s="6" t="s">
        <v>781</v>
      </c>
      <c r="B29" s="299"/>
      <c r="C29" s="299"/>
      <c r="D29" s="129">
        <f t="shared" ref="D29:AW29" si="66">AVERAGEIFS(D$36:D$173,$C$36:$C$173,"=6", $B$36:$B$173,"OFICIAL")</f>
        <v>50.75</v>
      </c>
      <c r="E29" s="129">
        <f t="shared" si="66"/>
        <v>9.25</v>
      </c>
      <c r="F29" s="39">
        <f t="shared" si="66"/>
        <v>0.04</v>
      </c>
      <c r="G29" s="39">
        <f t="shared" si="66"/>
        <v>0.495</v>
      </c>
      <c r="H29" s="39">
        <f t="shared" si="66"/>
        <v>0.45499999999999996</v>
      </c>
      <c r="I29" s="39">
        <f t="shared" si="66"/>
        <v>0.01</v>
      </c>
      <c r="J29" s="39">
        <f t="shared" si="66"/>
        <v>0.53749999999999998</v>
      </c>
      <c r="K29" s="39">
        <f t="shared" si="66"/>
        <v>0.45750000000000002</v>
      </c>
      <c r="L29" s="39">
        <f t="shared" si="66"/>
        <v>0.55000000000000004</v>
      </c>
      <c r="M29" s="129">
        <f t="shared" si="66"/>
        <v>50.75</v>
      </c>
      <c r="N29" s="129">
        <f t="shared" si="66"/>
        <v>9.5</v>
      </c>
      <c r="O29" s="39">
        <f t="shared" si="66"/>
        <v>6.25E-2</v>
      </c>
      <c r="P29" s="39">
        <f t="shared" si="66"/>
        <v>0.42499999999999999</v>
      </c>
      <c r="Q29" s="39">
        <f t="shared" si="66"/>
        <v>0.49999999999999994</v>
      </c>
      <c r="R29" s="39">
        <f t="shared" si="66"/>
        <v>1.7499999999999998E-2</v>
      </c>
      <c r="S29" s="39">
        <f t="shared" si="66"/>
        <v>0.495</v>
      </c>
      <c r="T29" s="39">
        <f t="shared" si="66"/>
        <v>0.5675</v>
      </c>
      <c r="U29" s="39">
        <f t="shared" si="66"/>
        <v>0.36499999999999999</v>
      </c>
      <c r="V29" s="129">
        <f t="shared" si="66"/>
        <v>50.5</v>
      </c>
      <c r="W29" s="129">
        <f t="shared" si="66"/>
        <v>9.25</v>
      </c>
      <c r="X29" s="39">
        <f t="shared" si="66"/>
        <v>5.2499999999999998E-2</v>
      </c>
      <c r="Y29" s="39">
        <f t="shared" si="66"/>
        <v>0.46</v>
      </c>
      <c r="Z29" s="39">
        <f t="shared" si="66"/>
        <v>0.47499999999999998</v>
      </c>
      <c r="AA29" s="39">
        <f t="shared" si="66"/>
        <v>1.2500000000000001E-2</v>
      </c>
      <c r="AB29" s="39">
        <f t="shared" si="66"/>
        <v>0.51249999999999996</v>
      </c>
      <c r="AC29" s="39">
        <f t="shared" si="66"/>
        <v>0.38750000000000007</v>
      </c>
      <c r="AD29" s="39">
        <f t="shared" si="66"/>
        <v>0.54249999999999998</v>
      </c>
      <c r="AE29" s="129">
        <f t="shared" si="66"/>
        <v>51.75</v>
      </c>
      <c r="AF29" s="129">
        <f t="shared" si="66"/>
        <v>9.25</v>
      </c>
      <c r="AG29" s="39">
        <f t="shared" si="66"/>
        <v>4.2500000000000003E-2</v>
      </c>
      <c r="AH29" s="39">
        <f t="shared" si="66"/>
        <v>0.38</v>
      </c>
      <c r="AI29" s="39">
        <f t="shared" si="66"/>
        <v>0.57250000000000001</v>
      </c>
      <c r="AJ29" s="39">
        <f t="shared" si="66"/>
        <v>1.2500000000000001E-2</v>
      </c>
      <c r="AK29" s="39">
        <f t="shared" si="66"/>
        <v>0.54500000000000004</v>
      </c>
      <c r="AL29" s="39">
        <f t="shared" si="66"/>
        <v>0.47499999999999998</v>
      </c>
      <c r="AM29" s="39">
        <f t="shared" si="66"/>
        <v>0.30499999999999999</v>
      </c>
      <c r="AN29" s="129">
        <f t="shared" si="66"/>
        <v>52.25</v>
      </c>
      <c r="AO29" s="129">
        <f t="shared" si="66"/>
        <v>9.25</v>
      </c>
      <c r="AP29" s="39">
        <f t="shared" si="66"/>
        <v>2.7500000000000004E-2</v>
      </c>
      <c r="AQ29" s="39">
        <f t="shared" si="66"/>
        <v>0.38750000000000007</v>
      </c>
      <c r="AR29" s="39">
        <f t="shared" si="66"/>
        <v>0.55000000000000004</v>
      </c>
      <c r="AS29" s="39">
        <f t="shared" si="66"/>
        <v>3.5000000000000003E-2</v>
      </c>
      <c r="AT29" s="39">
        <f t="shared" si="66"/>
        <v>0.28000000000000003</v>
      </c>
      <c r="AU29" s="39">
        <f t="shared" si="66"/>
        <v>0.51</v>
      </c>
      <c r="AV29" s="39">
        <f t="shared" si="66"/>
        <v>0.50750000000000006</v>
      </c>
      <c r="AW29" s="129">
        <f t="shared" si="66"/>
        <v>49.75</v>
      </c>
      <c r="AX29" s="244"/>
      <c r="AY29" s="129">
        <f>AVERAGEIFS(AY$36:AY$173,$C$36:$C$173,"=6", $B$36:$B$173,"OFICIAL")</f>
        <v>8.5</v>
      </c>
      <c r="AZ29" s="244"/>
      <c r="BA29" s="39">
        <f t="shared" ref="BA29:BH29" si="67">AVERAGEIFS(BA$36:BA$173,$C$36:$C$173,"=6", $B$36:$B$173,"OFICIAL")</f>
        <v>5.2499999999999998E-2</v>
      </c>
      <c r="BB29" s="39">
        <f t="shared" si="67"/>
        <v>0.49</v>
      </c>
      <c r="BC29" s="39">
        <f t="shared" si="67"/>
        <v>0.44499999999999995</v>
      </c>
      <c r="BD29" s="39">
        <f t="shared" si="67"/>
        <v>1.7500000000000002E-2</v>
      </c>
      <c r="BE29" s="39">
        <f t="shared" si="67"/>
        <v>0.3175</v>
      </c>
      <c r="BF29" s="39">
        <f t="shared" si="67"/>
        <v>0.54500000000000004</v>
      </c>
      <c r="BG29" s="39">
        <f t="shared" si="67"/>
        <v>0.51500000000000001</v>
      </c>
      <c r="BH29" s="129">
        <f t="shared" si="67"/>
        <v>50.25</v>
      </c>
      <c r="BJ29" s="129">
        <f>AVERAGEIFS(BJ$36:BJ$173,$C$36:$C$173,"=6", $B$36:$B$173,"OFICIAL")</f>
        <v>10.25</v>
      </c>
      <c r="BO29" s="342">
        <f t="shared" ref="BO29:BY29" si="68">AVERAGEIFS(BO$36:BO$173,$C$36:$C$173,"=6", $B$36:$B$173,"OFICIAL")</f>
        <v>0.09</v>
      </c>
      <c r="BP29" s="342">
        <f t="shared" si="68"/>
        <v>0.41750000000000004</v>
      </c>
      <c r="BQ29" s="342">
        <f t="shared" si="68"/>
        <v>0.48</v>
      </c>
      <c r="BR29" s="342">
        <f t="shared" si="68"/>
        <v>0.01</v>
      </c>
      <c r="BS29" s="342">
        <f t="shared" si="68"/>
        <v>0.54249999999999998</v>
      </c>
      <c r="BT29" s="342">
        <f t="shared" si="68"/>
        <v>0.62250000000000005</v>
      </c>
      <c r="BU29" s="527"/>
      <c r="BV29" s="527"/>
      <c r="BW29" s="527"/>
      <c r="BX29" s="342">
        <f t="shared" si="68"/>
        <v>0.40249999999999997</v>
      </c>
      <c r="BY29" s="129">
        <f t="shared" si="68"/>
        <v>50.5</v>
      </c>
      <c r="CA29" s="129">
        <f>AVERAGEIFS(CA$36:CA$173,$C$36:$C$173,"=6", $B$36:$B$173,"OFICIAL")</f>
        <v>10.25</v>
      </c>
      <c r="CC29" s="342">
        <f>AVERAGEIFS(CC$36:CC$173,$C$36:$C$173,"=6", $B$36:$B$173,"OFICIAL")</f>
        <v>7.2500000000000009E-2</v>
      </c>
      <c r="CD29" s="342">
        <f t="shared" ref="CD29:CJ29" si="69">AVERAGEIFS(CD$36:CD$173,$C$36:$C$173,"=6", $B$36:$B$173,"OFICIAL")</f>
        <v>0.43</v>
      </c>
      <c r="CE29" s="342">
        <f t="shared" si="69"/>
        <v>0.47</v>
      </c>
      <c r="CF29" s="342">
        <f t="shared" si="69"/>
        <v>3.2500000000000001E-2</v>
      </c>
      <c r="CG29" s="342">
        <f t="shared" si="69"/>
        <v>0.65</v>
      </c>
      <c r="CH29" s="342">
        <f t="shared" si="69"/>
        <v>0.4</v>
      </c>
      <c r="CI29" s="342">
        <f t="shared" si="69"/>
        <v>0.6</v>
      </c>
      <c r="CJ29" s="490">
        <f t="shared" si="69"/>
        <v>51.25</v>
      </c>
      <c r="CL29" s="300">
        <f>AVERAGEIFS(CL$36:CL$173,$C$36:$C$173,"=6", $B$36:$B$173,"OFICIAL")</f>
        <v>10.5</v>
      </c>
      <c r="CN29" s="522">
        <f>AVERAGEIFS(CN$36:CN$173,$C$36:$C$173,"=6", $B$36:$B$173,"OFICIAL")</f>
        <v>6.25E-2</v>
      </c>
      <c r="CO29" s="522">
        <f t="shared" ref="CO29:CU29" si="70">AVERAGEIFS(CO$36:CO$173,$C$36:$C$173,"=6", $B$36:$B$173,"OFICIAL")</f>
        <v>0.41000000000000003</v>
      </c>
      <c r="CP29" s="522">
        <f t="shared" si="70"/>
        <v>0.49500000000000005</v>
      </c>
      <c r="CQ29" s="522">
        <f t="shared" si="70"/>
        <v>0.03</v>
      </c>
      <c r="CR29" s="522">
        <f t="shared" si="70"/>
        <v>0.59750000000000003</v>
      </c>
      <c r="CS29" s="522">
        <f t="shared" si="70"/>
        <v>0.54249999999999998</v>
      </c>
      <c r="CT29" s="522">
        <f t="shared" si="70"/>
        <v>0.42999999999999994</v>
      </c>
      <c r="CU29" s="129">
        <f t="shared" si="70"/>
        <v>51.75</v>
      </c>
      <c r="CV29" s="896"/>
      <c r="CW29" s="129">
        <f>AVERAGEIFS(CW$36:CW$173,$C$36:$C$173,"=6", $B$36:$B$173,"OFICIAL")</f>
        <v>11</v>
      </c>
      <c r="CX29" s="896"/>
      <c r="CY29" s="342">
        <f>AVERAGEIFS(CY$36:CY$173,$C$36:$C$173,"=6", $B$36:$B$173,"OFICIAL")</f>
        <v>7.4999999999999997E-2</v>
      </c>
      <c r="CZ29" s="342">
        <f t="shared" ref="CZ29:DE29" si="71">AVERAGEIFS(CZ$36:CZ$173,$C$36:$C$173,"=6", $B$36:$B$173,"OFICIAL")</f>
        <v>0.36499999999999994</v>
      </c>
      <c r="DA29" s="342">
        <f t="shared" si="71"/>
        <v>0.52500000000000002</v>
      </c>
      <c r="DB29" s="342">
        <f t="shared" si="71"/>
        <v>3.5000000000000003E-2</v>
      </c>
      <c r="DC29" s="342">
        <f t="shared" si="71"/>
        <v>0.58750000000000002</v>
      </c>
      <c r="DD29" s="342">
        <f t="shared" si="71"/>
        <v>0.51</v>
      </c>
      <c r="DE29" s="342">
        <f t="shared" si="71"/>
        <v>0.37249999999999994</v>
      </c>
    </row>
    <row r="30" spans="1:109" ht="24.95" customHeight="1" x14ac:dyDescent="0.2">
      <c r="A30" s="6" t="s">
        <v>782</v>
      </c>
      <c r="B30" s="299"/>
      <c r="C30" s="299"/>
      <c r="D30" s="129">
        <f t="shared" ref="D30:AW30" si="72">AVERAGEIFS(D$36:D$173,$C$36:$C$173,"=1", $B$36:$B$173,"NO OFICIAL")</f>
        <v>51.615384615384613</v>
      </c>
      <c r="E30" s="129">
        <f t="shared" si="72"/>
        <v>8.8461538461538467</v>
      </c>
      <c r="F30" s="39">
        <f t="shared" si="72"/>
        <v>5.692307692307693E-2</v>
      </c>
      <c r="G30" s="39">
        <f t="shared" si="72"/>
        <v>0.40230769230769226</v>
      </c>
      <c r="H30" s="39">
        <f t="shared" si="72"/>
        <v>0.53384615384615386</v>
      </c>
      <c r="I30" s="39">
        <f t="shared" si="72"/>
        <v>6.9230769230769224E-3</v>
      </c>
      <c r="J30" s="39">
        <f t="shared" si="72"/>
        <v>0.53153846153846152</v>
      </c>
      <c r="K30" s="39">
        <f t="shared" si="72"/>
        <v>0.45999999999999996</v>
      </c>
      <c r="L30" s="39">
        <f t="shared" si="72"/>
        <v>0.53692307692307695</v>
      </c>
      <c r="M30" s="129">
        <f t="shared" si="72"/>
        <v>51.583333333333336</v>
      </c>
      <c r="N30" s="129">
        <f t="shared" si="72"/>
        <v>9</v>
      </c>
      <c r="O30" s="39">
        <f t="shared" si="72"/>
        <v>6.1428571428571423E-2</v>
      </c>
      <c r="P30" s="39">
        <f t="shared" si="72"/>
        <v>0.4042857142857143</v>
      </c>
      <c r="Q30" s="39">
        <f t="shared" si="72"/>
        <v>0.50928571428571434</v>
      </c>
      <c r="R30" s="39">
        <f t="shared" si="72"/>
        <v>2.6428571428571433E-2</v>
      </c>
      <c r="S30" s="39">
        <f t="shared" si="72"/>
        <v>0.48571428571428577</v>
      </c>
      <c r="T30" s="39">
        <f t="shared" si="72"/>
        <v>0.56357142857142861</v>
      </c>
      <c r="U30" s="39">
        <f t="shared" si="72"/>
        <v>0.36142857142857149</v>
      </c>
      <c r="V30" s="129">
        <f t="shared" si="72"/>
        <v>51.846153846153847</v>
      </c>
      <c r="W30" s="129">
        <f t="shared" si="72"/>
        <v>9</v>
      </c>
      <c r="X30" s="39">
        <f t="shared" si="72"/>
        <v>4.5714285714285714E-2</v>
      </c>
      <c r="Y30" s="39">
        <f t="shared" si="72"/>
        <v>0.39357142857142857</v>
      </c>
      <c r="Z30" s="39">
        <f t="shared" si="72"/>
        <v>0.5207142857142858</v>
      </c>
      <c r="AA30" s="39">
        <f t="shared" si="72"/>
        <v>4.0714285714285717E-2</v>
      </c>
      <c r="AB30" s="39">
        <f t="shared" si="72"/>
        <v>0.48428571428571437</v>
      </c>
      <c r="AC30" s="39">
        <f t="shared" si="72"/>
        <v>0.36928571428571427</v>
      </c>
      <c r="AD30" s="39">
        <f t="shared" si="72"/>
        <v>0.52214285714285713</v>
      </c>
      <c r="AE30" s="129">
        <f t="shared" si="72"/>
        <v>52.692307692307693</v>
      </c>
      <c r="AF30" s="129">
        <f t="shared" si="72"/>
        <v>9.1538461538461533</v>
      </c>
      <c r="AG30" s="39">
        <f t="shared" si="72"/>
        <v>3.1428571428571431E-2</v>
      </c>
      <c r="AH30" s="39">
        <f t="shared" si="72"/>
        <v>0.34357142857142853</v>
      </c>
      <c r="AI30" s="39">
        <f t="shared" si="72"/>
        <v>0.60142857142857153</v>
      </c>
      <c r="AJ30" s="39">
        <f t="shared" si="72"/>
        <v>2.5000000000000001E-2</v>
      </c>
      <c r="AK30" s="39">
        <f t="shared" si="72"/>
        <v>0.51428571428571435</v>
      </c>
      <c r="AL30" s="39">
        <f t="shared" si="72"/>
        <v>0.46000000000000008</v>
      </c>
      <c r="AM30" s="39">
        <f t="shared" si="72"/>
        <v>0.28071428571428569</v>
      </c>
      <c r="AN30" s="129">
        <f t="shared" si="72"/>
        <v>53.53846153846154</v>
      </c>
      <c r="AO30" s="129">
        <f t="shared" si="72"/>
        <v>9.0769230769230766</v>
      </c>
      <c r="AP30" s="39">
        <f t="shared" si="72"/>
        <v>3.1538461538461543E-2</v>
      </c>
      <c r="AQ30" s="39">
        <f t="shared" si="72"/>
        <v>0.35923076923076924</v>
      </c>
      <c r="AR30" s="39">
        <f t="shared" si="72"/>
        <v>0.57692307692307687</v>
      </c>
      <c r="AS30" s="39">
        <f t="shared" si="72"/>
        <v>3.3846153846153845E-2</v>
      </c>
      <c r="AT30" s="39">
        <f t="shared" si="72"/>
        <v>0.26153846153846155</v>
      </c>
      <c r="AU30" s="39">
        <f t="shared" si="72"/>
        <v>0.4869230769230769</v>
      </c>
      <c r="AV30" s="39">
        <f t="shared" si="72"/>
        <v>0.4992307692307692</v>
      </c>
      <c r="AW30" s="129">
        <f t="shared" si="72"/>
        <v>52.846153846153847</v>
      </c>
      <c r="AX30" s="244"/>
      <c r="AY30" s="129">
        <f>AVERAGEIFS(AY$36:AY$173,$C$36:$C$173,"=1", $B$36:$B$173,"NO OFICIAL")</f>
        <v>8.7692307692307701</v>
      </c>
      <c r="AZ30" s="244"/>
      <c r="BA30" s="39">
        <f t="shared" ref="BA30:BH30" si="73">AVERAGEIFS(BA$36:BA$173,$C$36:$C$173,"=1", $B$36:$B$173,"NO OFICIAL")</f>
        <v>4.3076923076923082E-2</v>
      </c>
      <c r="BB30" s="39">
        <f t="shared" si="73"/>
        <v>0.35615384615384621</v>
      </c>
      <c r="BC30" s="39">
        <f t="shared" si="73"/>
        <v>0.57076923076923081</v>
      </c>
      <c r="BD30" s="39">
        <f t="shared" si="73"/>
        <v>3.0769230769230774E-2</v>
      </c>
      <c r="BE30" s="39">
        <f t="shared" si="73"/>
        <v>0.26769230769230767</v>
      </c>
      <c r="BF30" s="39">
        <f t="shared" si="73"/>
        <v>0.49384615384615399</v>
      </c>
      <c r="BG30" s="39">
        <f t="shared" si="73"/>
        <v>0.4530769230769231</v>
      </c>
      <c r="BH30" s="129">
        <f t="shared" si="73"/>
        <v>53</v>
      </c>
      <c r="BJ30" s="129">
        <f>AVERAGEIFS(BJ$36:BJ$173,$C$36:$C$173,"=1", $B$36:$B$173,"NO OFICIAL")</f>
        <v>9.384615384615385</v>
      </c>
      <c r="BO30" s="342">
        <f t="shared" ref="BO30:BY30" si="74">AVERAGEIFS(BO$36:BO$173,$C$36:$C$173,"=1", $B$36:$B$173,"NO OFICIAL")</f>
        <v>4.8461538461538459E-2</v>
      </c>
      <c r="BP30" s="342">
        <f t="shared" si="74"/>
        <v>0.34307692307692306</v>
      </c>
      <c r="BQ30" s="342">
        <f t="shared" si="74"/>
        <v>0.58230769230769219</v>
      </c>
      <c r="BR30" s="342">
        <f t="shared" si="74"/>
        <v>2.6923076923076925E-2</v>
      </c>
      <c r="BS30" s="342">
        <f t="shared" si="74"/>
        <v>0.51076923076923086</v>
      </c>
      <c r="BT30" s="342">
        <f t="shared" si="74"/>
        <v>0.57999999999999996</v>
      </c>
      <c r="BU30" s="527"/>
      <c r="BV30" s="527"/>
      <c r="BW30" s="527"/>
      <c r="BX30" s="342">
        <f t="shared" si="74"/>
        <v>0.36769230769230771</v>
      </c>
      <c r="BY30" s="129">
        <f t="shared" si="74"/>
        <v>54.25</v>
      </c>
      <c r="CA30" s="129">
        <f>AVERAGEIFS(CA$36:CA$173,$C$36:$C$173,"=1", $B$36:$B$173,"NO OFICIAL")</f>
        <v>9.0833333333333339</v>
      </c>
      <c r="CC30" s="342">
        <f>AVERAGEIFS(CC$36:CC$173,$C$36:$C$173,"=1", $B$36:$B$173,"NO OFICIAL")</f>
        <v>3.2500000000000008E-2</v>
      </c>
      <c r="CD30" s="342">
        <f t="shared" ref="CD30:CJ30" si="75">AVERAGEIFS(CD$36:CD$173,$C$36:$C$173,"=1", $B$36:$B$173,"NO OFICIAL")</f>
        <v>0.35000000000000003</v>
      </c>
      <c r="CE30" s="342">
        <f t="shared" si="75"/>
        <v>0.55499999999999994</v>
      </c>
      <c r="CF30" s="342">
        <f t="shared" si="75"/>
        <v>6.1666666666666675E-2</v>
      </c>
      <c r="CG30" s="342">
        <f t="shared" si="75"/>
        <v>0.59500000000000008</v>
      </c>
      <c r="CH30" s="342">
        <f t="shared" si="75"/>
        <v>0.35083333333333327</v>
      </c>
      <c r="CI30" s="342">
        <f t="shared" si="75"/>
        <v>0.54083333333333339</v>
      </c>
      <c r="CJ30" s="490">
        <f t="shared" si="75"/>
        <v>54.384615384615387</v>
      </c>
      <c r="CL30" s="300">
        <f>AVERAGEIFS(CL$36:CL$173,$C$36:$C$173,"=1", $B$36:$B$173,"NO OFICIAL")</f>
        <v>9.5384615384615383</v>
      </c>
      <c r="CN30" s="522">
        <f>AVERAGEIFS(CN$36:CN$173,$C$36:$C$173,"=1", $B$36:$B$173,"NO OFICIAL")</f>
        <v>3.4615384615384617E-2</v>
      </c>
      <c r="CO30" s="522">
        <f t="shared" ref="CO30:CU30" si="76">AVERAGEIFS(CO$36:CO$173,$C$36:$C$173,"=1", $B$36:$B$173,"NO OFICIAL")</f>
        <v>0.30384615384615388</v>
      </c>
      <c r="CP30" s="522">
        <f t="shared" si="76"/>
        <v>0.60615384615384615</v>
      </c>
      <c r="CQ30" s="522">
        <f t="shared" si="76"/>
        <v>5.692307692307693E-2</v>
      </c>
      <c r="CR30" s="522">
        <f t="shared" si="76"/>
        <v>0.52461538461538459</v>
      </c>
      <c r="CS30" s="522">
        <f t="shared" si="76"/>
        <v>0.5030769230769232</v>
      </c>
      <c r="CT30" s="522">
        <f t="shared" si="76"/>
        <v>0.37461538461538457</v>
      </c>
      <c r="CU30" s="129">
        <f t="shared" si="76"/>
        <v>54.46153846153846</v>
      </c>
      <c r="CV30" s="896"/>
      <c r="CW30" s="129">
        <f>AVERAGEIFS(CW$36:CW$173,$C$36:$C$173,"=1", $B$36:$B$173,"NO OFICIAL")</f>
        <v>10.076923076923077</v>
      </c>
      <c r="CX30" s="896"/>
      <c r="CY30" s="342">
        <f>AVERAGEIFS(CY$36:CY$173,$C$36:$C$173,"=1", $B$36:$B$173,"NO OFICIAL")</f>
        <v>3.3846153846153852E-2</v>
      </c>
      <c r="CZ30" s="342">
        <f t="shared" ref="CZ30:DE30" si="77">AVERAGEIFS(CZ$36:CZ$173,$C$36:$C$173,"=1", $B$36:$B$173,"NO OFICIAL")</f>
        <v>0.32230769230769235</v>
      </c>
      <c r="DA30" s="342">
        <f t="shared" si="77"/>
        <v>0.58153846153846156</v>
      </c>
      <c r="DB30" s="342">
        <f t="shared" si="77"/>
        <v>6.3076923076923086E-2</v>
      </c>
      <c r="DC30" s="342">
        <f t="shared" si="77"/>
        <v>0.56769230769230772</v>
      </c>
      <c r="DD30" s="342">
        <f t="shared" si="77"/>
        <v>0.46846153846153843</v>
      </c>
      <c r="DE30" s="342">
        <f t="shared" si="77"/>
        <v>0.34153846153846157</v>
      </c>
    </row>
    <row r="31" spans="1:109" ht="24.95" customHeight="1" x14ac:dyDescent="0.2">
      <c r="A31" s="6" t="s">
        <v>783</v>
      </c>
      <c r="B31" s="299"/>
      <c r="C31" s="299"/>
      <c r="D31" s="129">
        <f t="shared" ref="D31:AW31" si="78">AVERAGEIFS(D$36:D$173,$C$36:$C$173,"=2", $B$36:$B$173,"NO OFICIAL")</f>
        <v>52.666666666666664</v>
      </c>
      <c r="E31" s="129">
        <f t="shared" si="78"/>
        <v>8.6666666666666661</v>
      </c>
      <c r="F31" s="39">
        <f t="shared" si="78"/>
        <v>5.2777777777777785E-2</v>
      </c>
      <c r="G31" s="39">
        <f t="shared" si="78"/>
        <v>0.35888888888888887</v>
      </c>
      <c r="H31" s="39">
        <f t="shared" si="78"/>
        <v>0.57277777777777783</v>
      </c>
      <c r="I31" s="39">
        <f t="shared" si="78"/>
        <v>1.6111111111111114E-2</v>
      </c>
      <c r="J31" s="39">
        <f t="shared" si="78"/>
        <v>0.52722222222222215</v>
      </c>
      <c r="K31" s="39">
        <f t="shared" si="78"/>
        <v>0.44611111111111118</v>
      </c>
      <c r="L31" s="39">
        <f t="shared" si="78"/>
        <v>0.52555555555555555</v>
      </c>
      <c r="M31" s="129">
        <f t="shared" si="78"/>
        <v>52.294117647058826</v>
      </c>
      <c r="N31" s="129">
        <f t="shared" si="78"/>
        <v>9.1764705882352935</v>
      </c>
      <c r="O31" s="39">
        <f t="shared" si="78"/>
        <v>5.7647058823529412E-2</v>
      </c>
      <c r="P31" s="39">
        <f t="shared" si="78"/>
        <v>0.34294117647058836</v>
      </c>
      <c r="Q31" s="39">
        <f t="shared" si="78"/>
        <v>0.55470588235294116</v>
      </c>
      <c r="R31" s="39">
        <f t="shared" si="78"/>
        <v>4.2352941176470593E-2</v>
      </c>
      <c r="S31" s="39">
        <f t="shared" si="78"/>
        <v>0.46882352941176475</v>
      </c>
      <c r="T31" s="39">
        <f t="shared" si="78"/>
        <v>0.54176470588235293</v>
      </c>
      <c r="U31" s="39">
        <f t="shared" si="78"/>
        <v>0.36411764705882355</v>
      </c>
      <c r="V31" s="129">
        <f t="shared" si="78"/>
        <v>52.882352941176471</v>
      </c>
      <c r="W31" s="129">
        <f t="shared" si="78"/>
        <v>8.5294117647058822</v>
      </c>
      <c r="X31" s="39">
        <f t="shared" si="78"/>
        <v>3.4705882352941184E-2</v>
      </c>
      <c r="Y31" s="39">
        <f t="shared" si="78"/>
        <v>0.34411764705882353</v>
      </c>
      <c r="Z31" s="39">
        <f t="shared" si="78"/>
        <v>0.60882352941176465</v>
      </c>
      <c r="AA31" s="39">
        <f t="shared" si="78"/>
        <v>1.5294117647058824E-2</v>
      </c>
      <c r="AB31" s="39">
        <f t="shared" si="78"/>
        <v>0.47000000000000003</v>
      </c>
      <c r="AC31" s="39">
        <f t="shared" si="78"/>
        <v>0.37176470588235294</v>
      </c>
      <c r="AD31" s="39">
        <f t="shared" si="78"/>
        <v>0.50352941176470589</v>
      </c>
      <c r="AE31" s="129">
        <f t="shared" si="78"/>
        <v>53.944444444444443</v>
      </c>
      <c r="AF31" s="129">
        <f t="shared" si="78"/>
        <v>9</v>
      </c>
      <c r="AG31" s="39">
        <f t="shared" si="78"/>
        <v>3.5555555555555556E-2</v>
      </c>
      <c r="AH31" s="39">
        <f t="shared" si="78"/>
        <v>0.3133333333333333</v>
      </c>
      <c r="AI31" s="39">
        <f t="shared" si="78"/>
        <v>0.6133333333333334</v>
      </c>
      <c r="AJ31" s="39">
        <f t="shared" si="78"/>
        <v>3.8333333333333344E-2</v>
      </c>
      <c r="AK31" s="39">
        <f t="shared" si="78"/>
        <v>0.51666666666666672</v>
      </c>
      <c r="AL31" s="39">
        <f t="shared" si="78"/>
        <v>0.45444444444444443</v>
      </c>
      <c r="AM31" s="39">
        <f t="shared" si="78"/>
        <v>0.2655555555555556</v>
      </c>
      <c r="AN31" s="129">
        <f t="shared" si="78"/>
        <v>52.81818181818182</v>
      </c>
      <c r="AO31" s="129">
        <f t="shared" si="78"/>
        <v>7.7272727272727275</v>
      </c>
      <c r="AP31" s="39">
        <f t="shared" si="78"/>
        <v>2.7727272727272732E-2</v>
      </c>
      <c r="AQ31" s="39">
        <f t="shared" si="78"/>
        <v>0.35681818181818187</v>
      </c>
      <c r="AR31" s="39">
        <f t="shared" si="78"/>
        <v>0.57727272727272727</v>
      </c>
      <c r="AS31" s="39">
        <f t="shared" si="78"/>
        <v>3.6818181818181826E-2</v>
      </c>
      <c r="AT31" s="39">
        <f t="shared" si="78"/>
        <v>0.27590909090909094</v>
      </c>
      <c r="AU31" s="39">
        <f t="shared" si="78"/>
        <v>0.49772727272727263</v>
      </c>
      <c r="AV31" s="39">
        <f t="shared" si="78"/>
        <v>0.50818181818181829</v>
      </c>
      <c r="AW31" s="129">
        <f t="shared" si="78"/>
        <v>52.4</v>
      </c>
      <c r="AX31" s="244"/>
      <c r="AY31" s="129">
        <f>AVERAGEIFS(AY$36:AY$173,$C$36:$C$173,"=2", $B$36:$B$173,"NO OFICIAL")</f>
        <v>7.9</v>
      </c>
      <c r="AZ31" s="244"/>
      <c r="BA31" s="39">
        <f t="shared" ref="BA31:BH31" si="79">AVERAGEIFS(BA$36:BA$173,$C$36:$C$173,"=2", $B$36:$B$173,"NO OFICIAL")</f>
        <v>5.9500000000000011E-2</v>
      </c>
      <c r="BB31" s="39">
        <f t="shared" si="79"/>
        <v>0.34450000000000003</v>
      </c>
      <c r="BC31" s="39">
        <f t="shared" si="79"/>
        <v>0.56950000000000001</v>
      </c>
      <c r="BD31" s="39">
        <f t="shared" si="79"/>
        <v>2.8000000000000004E-2</v>
      </c>
      <c r="BE31" s="39">
        <f t="shared" si="79"/>
        <v>0.28299999999999997</v>
      </c>
      <c r="BF31" s="39">
        <f t="shared" si="79"/>
        <v>0.49900000000000011</v>
      </c>
      <c r="BG31" s="39">
        <f t="shared" si="79"/>
        <v>0.45949999999999996</v>
      </c>
      <c r="BH31" s="129">
        <f t="shared" si="79"/>
        <v>54.571428571428569</v>
      </c>
      <c r="BJ31" s="129">
        <f>AVERAGEIFS(BJ$36:BJ$173,$C$36:$C$173,"=2", $B$36:$B$173,"NO OFICIAL")</f>
        <v>9.3809523809523814</v>
      </c>
      <c r="BO31" s="342">
        <f t="shared" ref="BO31:BY31" si="80">AVERAGEIFS(BO$36:BO$173,$C$36:$C$173,"=2", $B$36:$B$173,"NO OFICIAL")</f>
        <v>6.7619047619047634E-2</v>
      </c>
      <c r="BP31" s="342">
        <f t="shared" si="80"/>
        <v>0.23857142857142857</v>
      </c>
      <c r="BQ31" s="342">
        <f t="shared" si="80"/>
        <v>0.65190476190476176</v>
      </c>
      <c r="BR31" s="342">
        <f t="shared" si="80"/>
        <v>4.238095238095238E-2</v>
      </c>
      <c r="BS31" s="342">
        <f t="shared" si="80"/>
        <v>0.4690476190476191</v>
      </c>
      <c r="BT31" s="342">
        <f t="shared" si="80"/>
        <v>0.55095238095238097</v>
      </c>
      <c r="BU31" s="527"/>
      <c r="BV31" s="527"/>
      <c r="BW31" s="527"/>
      <c r="BX31" s="342">
        <f t="shared" si="80"/>
        <v>0.36904761904761907</v>
      </c>
      <c r="BY31" s="129">
        <f t="shared" si="80"/>
        <v>53.045454545454547</v>
      </c>
      <c r="CA31" s="129">
        <f>AVERAGEIFS(CA$36:CA$173,$C$36:$C$173,"=2", $B$36:$B$173,"NO OFICIAL")</f>
        <v>8.6818181818181817</v>
      </c>
      <c r="CC31" s="342">
        <f>AVERAGEIFS(CC$36:CC$173,$C$36:$C$173,"=2", $B$36:$B$173,"NO OFICIAL")</f>
        <v>6.4090909090909101E-2</v>
      </c>
      <c r="CD31" s="342">
        <f t="shared" ref="CD31:CJ31" si="81">AVERAGEIFS(CD$36:CD$173,$C$36:$C$173,"=2", $B$36:$B$173,"NO OFICIAL")</f>
        <v>0.34909090909090906</v>
      </c>
      <c r="CE31" s="342">
        <f t="shared" si="81"/>
        <v>0.53636363636363638</v>
      </c>
      <c r="CF31" s="342">
        <f t="shared" si="81"/>
        <v>5.0454545454545467E-2</v>
      </c>
      <c r="CG31" s="342">
        <f t="shared" si="81"/>
        <v>0.59227272727272728</v>
      </c>
      <c r="CH31" s="342">
        <f t="shared" si="81"/>
        <v>0.39136363636363636</v>
      </c>
      <c r="CI31" s="342">
        <f t="shared" si="81"/>
        <v>0.55045454545454553</v>
      </c>
      <c r="CJ31" s="490">
        <f t="shared" si="81"/>
        <v>55.2</v>
      </c>
      <c r="CL31" s="300">
        <f>AVERAGEIFS(CL$36:CL$173,$C$36:$C$173,"=2", $B$36:$B$173,"NO OFICIAL")</f>
        <v>9.1999999999999993</v>
      </c>
      <c r="CN31" s="522">
        <f>AVERAGEIFS(CN$36:CN$173,$C$36:$C$173,"=2", $B$36:$B$173,"NO OFICIAL")</f>
        <v>3.1E-2</v>
      </c>
      <c r="CO31" s="522">
        <f t="shared" ref="CO31:CU31" si="82">AVERAGEIFS(CO$36:CO$173,$C$36:$C$173,"=2", $B$36:$B$173,"NO OFICIAL")</f>
        <v>0.26950000000000002</v>
      </c>
      <c r="CP31" s="522">
        <f t="shared" si="82"/>
        <v>0.6399999999999999</v>
      </c>
      <c r="CQ31" s="522">
        <f t="shared" si="82"/>
        <v>6.2000000000000013E-2</v>
      </c>
      <c r="CR31" s="522">
        <f t="shared" si="82"/>
        <v>0.51549999999999996</v>
      </c>
      <c r="CS31" s="522">
        <f t="shared" si="82"/>
        <v>0.48199999999999993</v>
      </c>
      <c r="CT31" s="522">
        <f t="shared" si="82"/>
        <v>0.38850000000000001</v>
      </c>
      <c r="CU31" s="129">
        <f t="shared" si="82"/>
        <v>53.739130434782609</v>
      </c>
      <c r="CV31" s="896"/>
      <c r="CW31" s="129">
        <f>AVERAGEIFS(CW$36:CW$173,$C$36:$C$173,"=2", $B$36:$B$173,"NO OFICIAL")</f>
        <v>9.3913043478260878</v>
      </c>
      <c r="CX31" s="896"/>
      <c r="CY31" s="342">
        <f>AVERAGEIFS(CY$36:CY$173,$C$36:$C$173,"=2", $B$36:$B$173,"NO OFICIAL")</f>
        <v>5.3478260869565225E-2</v>
      </c>
      <c r="CZ31" s="342">
        <f t="shared" ref="CZ31:DE31" si="83">AVERAGEIFS(CZ$36:CZ$173,$C$36:$C$173,"=2", $B$36:$B$173,"NO OFICIAL")</f>
        <v>0.30652173913043479</v>
      </c>
      <c r="DA31" s="342">
        <f t="shared" si="83"/>
        <v>0.58217391304347832</v>
      </c>
      <c r="DB31" s="342">
        <f t="shared" si="83"/>
        <v>5.913043478260871E-2</v>
      </c>
      <c r="DC31" s="342">
        <f t="shared" si="83"/>
        <v>0.58304347826086966</v>
      </c>
      <c r="DD31" s="342">
        <f t="shared" si="83"/>
        <v>0.45826086956521744</v>
      </c>
      <c r="DE31" s="342">
        <f t="shared" si="83"/>
        <v>0.3539130434782608</v>
      </c>
    </row>
    <row r="32" spans="1:109" ht="24.95" customHeight="1" x14ac:dyDescent="0.2">
      <c r="A32" s="6" t="s">
        <v>784</v>
      </c>
      <c r="B32" s="299"/>
      <c r="C32" s="299"/>
      <c r="D32" s="129">
        <f t="shared" ref="D32:AW32" si="84">AVERAGEIFS(D$36:D$173,$C$36:$C$173,"=3", $B$36:$B$173,"NO OFICIAL")</f>
        <v>53.769230769230766</v>
      </c>
      <c r="E32" s="129">
        <f t="shared" si="84"/>
        <v>8.615384615384615</v>
      </c>
      <c r="F32" s="39">
        <f t="shared" si="84"/>
        <v>3.0769230769230771E-2</v>
      </c>
      <c r="G32" s="39">
        <f t="shared" si="84"/>
        <v>0.33769230769230768</v>
      </c>
      <c r="H32" s="39">
        <f t="shared" si="84"/>
        <v>0.59923076923076934</v>
      </c>
      <c r="I32" s="39">
        <f t="shared" si="84"/>
        <v>3.3846153846153845E-2</v>
      </c>
      <c r="J32" s="39">
        <f t="shared" si="84"/>
        <v>0.50538461538461532</v>
      </c>
      <c r="K32" s="39">
        <f t="shared" si="84"/>
        <v>0.42692307692307696</v>
      </c>
      <c r="L32" s="39">
        <f t="shared" si="84"/>
        <v>0.50076923076923074</v>
      </c>
      <c r="M32" s="129">
        <f t="shared" si="84"/>
        <v>52.5</v>
      </c>
      <c r="N32" s="129">
        <f t="shared" si="84"/>
        <v>9.2857142857142865</v>
      </c>
      <c r="O32" s="39">
        <f t="shared" si="84"/>
        <v>3.0000000000000002E-2</v>
      </c>
      <c r="P32" s="39">
        <f t="shared" si="84"/>
        <v>0.36384615384615382</v>
      </c>
      <c r="Q32" s="39">
        <f t="shared" si="84"/>
        <v>0.57000000000000006</v>
      </c>
      <c r="R32" s="39">
        <f t="shared" si="84"/>
        <v>3.6153846153846154E-2</v>
      </c>
      <c r="S32" s="39">
        <f t="shared" si="84"/>
        <v>0.45692307692307688</v>
      </c>
      <c r="T32" s="39">
        <f t="shared" si="84"/>
        <v>0.53230769230769237</v>
      </c>
      <c r="U32" s="39">
        <f t="shared" si="84"/>
        <v>0.32307692307692309</v>
      </c>
      <c r="V32" s="129">
        <f t="shared" si="84"/>
        <v>53.285714285714285</v>
      </c>
      <c r="W32" s="129">
        <f t="shared" si="84"/>
        <v>9.2142857142857135</v>
      </c>
      <c r="X32" s="39">
        <f t="shared" si="84"/>
        <v>3.3846153846153845E-2</v>
      </c>
      <c r="Y32" s="39">
        <f t="shared" si="84"/>
        <v>0.33461538461538465</v>
      </c>
      <c r="Z32" s="39">
        <f t="shared" si="84"/>
        <v>0.58615384615384614</v>
      </c>
      <c r="AA32" s="39">
        <f t="shared" si="84"/>
        <v>4.5384615384615391E-2</v>
      </c>
      <c r="AB32" s="39">
        <f t="shared" si="84"/>
        <v>0.45769230769230762</v>
      </c>
      <c r="AC32" s="39">
        <f t="shared" si="84"/>
        <v>0.35076923076923072</v>
      </c>
      <c r="AD32" s="39">
        <f t="shared" si="84"/>
        <v>0.49076923076923074</v>
      </c>
      <c r="AE32" s="129">
        <f t="shared" si="84"/>
        <v>53.428571428571431</v>
      </c>
      <c r="AF32" s="129">
        <f t="shared" si="84"/>
        <v>9.1428571428571423</v>
      </c>
      <c r="AG32" s="39">
        <f t="shared" si="84"/>
        <v>3.692307692307692E-2</v>
      </c>
      <c r="AH32" s="39">
        <f t="shared" si="84"/>
        <v>0.34076923076923077</v>
      </c>
      <c r="AI32" s="39">
        <f t="shared" si="84"/>
        <v>0.5923076923076922</v>
      </c>
      <c r="AJ32" s="39">
        <f t="shared" si="84"/>
        <v>3.2307692307692308E-2</v>
      </c>
      <c r="AK32" s="39">
        <f t="shared" si="84"/>
        <v>0.50615384615384618</v>
      </c>
      <c r="AL32" s="39">
        <f t="shared" si="84"/>
        <v>0.44538461538461543</v>
      </c>
      <c r="AM32" s="39">
        <f t="shared" si="84"/>
        <v>0.26076923076923075</v>
      </c>
      <c r="AN32" s="129">
        <f t="shared" si="84"/>
        <v>54.666666666666664</v>
      </c>
      <c r="AO32" s="129">
        <f t="shared" si="84"/>
        <v>8.5333333333333332</v>
      </c>
      <c r="AP32" s="39">
        <f t="shared" si="84"/>
        <v>1.7333333333333333E-2</v>
      </c>
      <c r="AQ32" s="39">
        <f t="shared" si="84"/>
        <v>0.29933333333333328</v>
      </c>
      <c r="AR32" s="39">
        <f t="shared" si="84"/>
        <v>0.64466666666666661</v>
      </c>
      <c r="AS32" s="39">
        <f t="shared" si="84"/>
        <v>3.8000000000000006E-2</v>
      </c>
      <c r="AT32" s="39">
        <f t="shared" si="84"/>
        <v>0.252</v>
      </c>
      <c r="AU32" s="39">
        <f t="shared" si="84"/>
        <v>0.46</v>
      </c>
      <c r="AV32" s="39">
        <f t="shared" si="84"/>
        <v>0.48800000000000004</v>
      </c>
      <c r="AW32" s="129">
        <f t="shared" si="84"/>
        <v>53.4</v>
      </c>
      <c r="AX32" s="244"/>
      <c r="AY32" s="129">
        <f>AVERAGEIFS(AY$36:AY$173,$C$36:$C$173,"=3", $B$36:$B$173,"NO OFICIAL")</f>
        <v>8.5333333333333332</v>
      </c>
      <c r="AZ32" s="244"/>
      <c r="BA32" s="39">
        <f t="shared" ref="BA32:BH32" si="85">AVERAGEIFS(BA$36:BA$173,$C$36:$C$173,"=3", $B$36:$B$173,"NO OFICIAL")</f>
        <v>3.2666666666666663E-2</v>
      </c>
      <c r="BB32" s="39">
        <f t="shared" si="85"/>
        <v>0.3173333333333333</v>
      </c>
      <c r="BC32" s="39">
        <f t="shared" si="85"/>
        <v>0.61599999999999999</v>
      </c>
      <c r="BD32" s="39">
        <f t="shared" si="85"/>
        <v>3.4666666666666665E-2</v>
      </c>
      <c r="BE32" s="39">
        <f t="shared" si="85"/>
        <v>0.26599999999999996</v>
      </c>
      <c r="BF32" s="39">
        <f t="shared" si="85"/>
        <v>0.47733333333333333</v>
      </c>
      <c r="BG32" s="39">
        <f t="shared" si="85"/>
        <v>0.43600000000000005</v>
      </c>
      <c r="BH32" s="129">
        <f t="shared" si="85"/>
        <v>54.375</v>
      </c>
      <c r="BJ32" s="129">
        <f>AVERAGEIFS(BJ$36:BJ$173,$C$36:$C$173,"=3", $B$36:$B$173,"NO OFICIAL")</f>
        <v>9.5</v>
      </c>
      <c r="BO32" s="342">
        <f t="shared" ref="BO32:BY32" si="86">AVERAGEIFS(BO$36:BO$173,$C$36:$C$173,"=3", $B$36:$B$173,"NO OFICIAL")</f>
        <v>4.6875000000000007E-2</v>
      </c>
      <c r="BP32" s="342">
        <f t="shared" si="86"/>
        <v>0.28437499999999999</v>
      </c>
      <c r="BQ32" s="342">
        <f t="shared" si="86"/>
        <v>0.6150000000000001</v>
      </c>
      <c r="BR32" s="342">
        <f t="shared" si="86"/>
        <v>5.8125000000000003E-2</v>
      </c>
      <c r="BS32" s="342">
        <f t="shared" si="86"/>
        <v>0.4812499999999999</v>
      </c>
      <c r="BT32" s="342">
        <f t="shared" si="86"/>
        <v>0.54187500000000011</v>
      </c>
      <c r="BU32" s="527"/>
      <c r="BV32" s="527"/>
      <c r="BW32" s="527"/>
      <c r="BX32" s="342">
        <f t="shared" si="86"/>
        <v>0.32812500000000006</v>
      </c>
      <c r="BY32" s="129">
        <f t="shared" si="86"/>
        <v>54.6875</v>
      </c>
      <c r="CA32" s="129">
        <f>AVERAGEIFS(CA$36:CA$173,$C$36:$C$173,"=3", $B$36:$B$173,"NO OFICIAL")</f>
        <v>9.9375</v>
      </c>
      <c r="CC32" s="342">
        <f>AVERAGEIFS(CC$36:CC$173,$C$36:$C$173,"=3", $B$36:$B$173,"NO OFICIAL")</f>
        <v>5.5000000000000007E-2</v>
      </c>
      <c r="CD32" s="342">
        <f t="shared" ref="CD32:CJ32" si="87">AVERAGEIFS(CD$36:CD$173,$C$36:$C$173,"=3", $B$36:$B$173,"NO OFICIAL")</f>
        <v>0.265625</v>
      </c>
      <c r="CE32" s="342">
        <f t="shared" si="87"/>
        <v>0.62374999999999992</v>
      </c>
      <c r="CF32" s="342">
        <f t="shared" si="87"/>
        <v>5.5625000000000008E-2</v>
      </c>
      <c r="CG32" s="342">
        <f t="shared" si="87"/>
        <v>0.59625000000000006</v>
      </c>
      <c r="CH32" s="342">
        <f t="shared" si="87"/>
        <v>0.32687499999999997</v>
      </c>
      <c r="CI32" s="342">
        <f t="shared" si="87"/>
        <v>0.54249999999999998</v>
      </c>
      <c r="CJ32" s="490">
        <f t="shared" si="87"/>
        <v>54.8125</v>
      </c>
      <c r="CL32" s="300">
        <f>AVERAGEIFS(CL$36:CL$173,$C$36:$C$173,"=3", $B$36:$B$173,"NO OFICIAL")</f>
        <v>9.6875</v>
      </c>
      <c r="CN32" s="522">
        <f>AVERAGEIFS(CN$36:CN$173,$C$36:$C$173,"=3", $B$36:$B$173,"NO OFICIAL")</f>
        <v>5.6249999999999994E-2</v>
      </c>
      <c r="CO32" s="522">
        <f t="shared" ref="CO32:CU32" si="88">AVERAGEIFS(CO$36:CO$173,$C$36:$C$173,"=3", $B$36:$B$173,"NO OFICIAL")</f>
        <v>0.28562500000000007</v>
      </c>
      <c r="CP32" s="522">
        <f t="shared" si="88"/>
        <v>0.59750000000000003</v>
      </c>
      <c r="CQ32" s="522">
        <f t="shared" si="88"/>
        <v>6.1874999999999999E-2</v>
      </c>
      <c r="CR32" s="522">
        <f t="shared" si="88"/>
        <v>0.52812500000000007</v>
      </c>
      <c r="CS32" s="522">
        <f t="shared" si="88"/>
        <v>0.479375</v>
      </c>
      <c r="CT32" s="522">
        <f t="shared" si="88"/>
        <v>0.38187499999999996</v>
      </c>
      <c r="CU32" s="129">
        <f t="shared" si="88"/>
        <v>56</v>
      </c>
      <c r="CV32" s="896"/>
      <c r="CW32" s="129">
        <f>AVERAGEIFS(CW$36:CW$173,$C$36:$C$173,"=3", $B$36:$B$173,"NO OFICIAL")</f>
        <v>10.125</v>
      </c>
      <c r="CX32" s="896"/>
      <c r="CY32" s="342">
        <f>AVERAGEIFS(CY$36:CY$173,$C$36:$C$173,"=3", $B$36:$B$173,"NO OFICIAL")</f>
        <v>3.4375000000000003E-2</v>
      </c>
      <c r="CZ32" s="342">
        <f t="shared" ref="CZ32:DE32" si="89">AVERAGEIFS(CZ$36:CZ$173,$C$36:$C$173,"=3", $B$36:$B$173,"NO OFICIAL")</f>
        <v>0.25437500000000002</v>
      </c>
      <c r="DA32" s="342">
        <f t="shared" si="89"/>
        <v>0.63500000000000001</v>
      </c>
      <c r="DB32" s="342">
        <f t="shared" si="89"/>
        <v>7.375000000000001E-2</v>
      </c>
      <c r="DC32" s="342">
        <f t="shared" si="89"/>
        <v>0.55187499999999989</v>
      </c>
      <c r="DD32" s="342">
        <f t="shared" si="89"/>
        <v>0.43937500000000007</v>
      </c>
      <c r="DE32" s="342">
        <f t="shared" si="89"/>
        <v>0.31624999999999998</v>
      </c>
    </row>
    <row r="33" spans="1:111" ht="24.95" customHeight="1" x14ac:dyDescent="0.2">
      <c r="A33" s="6" t="s">
        <v>785</v>
      </c>
      <c r="B33" s="299"/>
      <c r="C33" s="299"/>
      <c r="D33" s="129">
        <f t="shared" ref="D33:AW33" si="90">AVERAGEIFS(D$36:D$173,$C$36:$C$173,"=4", $B$36:$B$173,"NO OFICIAL")</f>
        <v>49.25</v>
      </c>
      <c r="E33" s="129">
        <f t="shared" si="90"/>
        <v>8.5</v>
      </c>
      <c r="F33" s="39">
        <f t="shared" si="90"/>
        <v>0.13750000000000001</v>
      </c>
      <c r="G33" s="39">
        <f t="shared" si="90"/>
        <v>0.40250000000000002</v>
      </c>
      <c r="H33" s="39">
        <f t="shared" si="90"/>
        <v>0.46</v>
      </c>
      <c r="I33" s="39">
        <f t="shared" si="90"/>
        <v>0</v>
      </c>
      <c r="J33" s="39">
        <f t="shared" si="90"/>
        <v>0.55499999999999994</v>
      </c>
      <c r="K33" s="39">
        <f t="shared" si="90"/>
        <v>0.49625000000000002</v>
      </c>
      <c r="L33" s="39">
        <f t="shared" si="90"/>
        <v>0.59125000000000005</v>
      </c>
      <c r="M33" s="129">
        <f t="shared" si="90"/>
        <v>51.111111111111114</v>
      </c>
      <c r="N33" s="129">
        <f t="shared" si="90"/>
        <v>7.8888888888888893</v>
      </c>
      <c r="O33" s="39">
        <f t="shared" si="90"/>
        <v>9.1249999999999998E-2</v>
      </c>
      <c r="P33" s="39">
        <f t="shared" si="90"/>
        <v>0.35875000000000001</v>
      </c>
      <c r="Q33" s="39">
        <f t="shared" si="90"/>
        <v>0.54125000000000001</v>
      </c>
      <c r="R33" s="39">
        <f t="shared" si="90"/>
        <v>0.01</v>
      </c>
      <c r="S33" s="39">
        <f t="shared" si="90"/>
        <v>0.49125000000000002</v>
      </c>
      <c r="T33" s="39">
        <f t="shared" si="90"/>
        <v>0.55500000000000005</v>
      </c>
      <c r="U33" s="39">
        <f t="shared" si="90"/>
        <v>0.34250000000000003</v>
      </c>
      <c r="V33" s="129">
        <f t="shared" si="90"/>
        <v>52.666666666666664</v>
      </c>
      <c r="W33" s="129">
        <f t="shared" si="90"/>
        <v>8.2222222222222214</v>
      </c>
      <c r="X33" s="39">
        <f t="shared" si="90"/>
        <v>0.04</v>
      </c>
      <c r="Y33" s="39">
        <f t="shared" si="90"/>
        <v>0.31874999999999998</v>
      </c>
      <c r="Z33" s="39">
        <f t="shared" si="90"/>
        <v>0.63125000000000009</v>
      </c>
      <c r="AA33" s="39">
        <f t="shared" si="90"/>
        <v>0.01</v>
      </c>
      <c r="AB33" s="39">
        <f t="shared" si="90"/>
        <v>0.46500000000000002</v>
      </c>
      <c r="AC33" s="39">
        <f t="shared" si="90"/>
        <v>0.38</v>
      </c>
      <c r="AD33" s="39">
        <f t="shared" si="90"/>
        <v>0.50875000000000004</v>
      </c>
      <c r="AE33" s="129">
        <f t="shared" si="90"/>
        <v>51.75</v>
      </c>
      <c r="AF33" s="129">
        <f t="shared" si="90"/>
        <v>8.375</v>
      </c>
      <c r="AG33" s="39">
        <f t="shared" si="90"/>
        <v>4.4285714285714282E-2</v>
      </c>
      <c r="AH33" s="39">
        <f t="shared" si="90"/>
        <v>0.4271428571428571</v>
      </c>
      <c r="AI33" s="39">
        <f t="shared" si="90"/>
        <v>0.49857142857142861</v>
      </c>
      <c r="AJ33" s="39">
        <f t="shared" si="90"/>
        <v>2.8571428571428574E-2</v>
      </c>
      <c r="AK33" s="39">
        <f t="shared" si="90"/>
        <v>0.5485714285714286</v>
      </c>
      <c r="AL33" s="39">
        <f t="shared" si="90"/>
        <v>0.48714285714285716</v>
      </c>
      <c r="AM33" s="39">
        <f t="shared" si="90"/>
        <v>0.31714285714285717</v>
      </c>
      <c r="AN33" s="129">
        <f t="shared" si="90"/>
        <v>50.714285714285715</v>
      </c>
      <c r="AO33" s="129">
        <f t="shared" si="90"/>
        <v>9.1428571428571423</v>
      </c>
      <c r="AP33" s="39">
        <f t="shared" si="90"/>
        <v>4.1428571428571433E-2</v>
      </c>
      <c r="AQ33" s="39">
        <f t="shared" si="90"/>
        <v>0.4757142857142857</v>
      </c>
      <c r="AR33" s="39">
        <f t="shared" si="90"/>
        <v>0.44</v>
      </c>
      <c r="AS33" s="39">
        <f t="shared" si="90"/>
        <v>4.4285714285714282E-2</v>
      </c>
      <c r="AT33" s="39">
        <f t="shared" si="90"/>
        <v>0.28285714285714286</v>
      </c>
      <c r="AU33" s="39">
        <f t="shared" si="90"/>
        <v>0.55285714285714282</v>
      </c>
      <c r="AV33" s="39">
        <f t="shared" si="90"/>
        <v>0.52714285714285714</v>
      </c>
      <c r="AW33" s="129">
        <f t="shared" si="90"/>
        <v>49.5</v>
      </c>
      <c r="AX33" s="244"/>
      <c r="AY33" s="129">
        <f>AVERAGEIFS(AY$36:AY$173,$C$36:$C$173,"=4", $B$36:$B$173,"NO OFICIAL")</f>
        <v>8.25</v>
      </c>
      <c r="AZ33" s="244"/>
      <c r="BA33" s="39">
        <f t="shared" ref="BA33:BH33" si="91">AVERAGEIFS(BA$36:BA$173,$C$36:$C$173,"=4", $B$36:$B$173,"NO OFICIAL")</f>
        <v>6.5000000000000002E-2</v>
      </c>
      <c r="BB33" s="39">
        <f t="shared" si="91"/>
        <v>0.4425</v>
      </c>
      <c r="BC33" s="39">
        <f t="shared" si="91"/>
        <v>0.47749999999999998</v>
      </c>
      <c r="BD33" s="39">
        <f t="shared" si="91"/>
        <v>1.8749999999999999E-2</v>
      </c>
      <c r="BE33" s="39">
        <f t="shared" si="91"/>
        <v>0.35750000000000004</v>
      </c>
      <c r="BF33" s="39">
        <f t="shared" si="91"/>
        <v>0.51999999999999991</v>
      </c>
      <c r="BG33" s="39">
        <f t="shared" si="91"/>
        <v>0.50749999999999995</v>
      </c>
      <c r="BH33" s="129">
        <f t="shared" si="91"/>
        <v>52.5</v>
      </c>
      <c r="BJ33" s="129">
        <f>AVERAGEIFS(BJ$36:BJ$173,$C$36:$C$173,"=4", $B$36:$B$173,"NO OFICIAL")</f>
        <v>9.25</v>
      </c>
      <c r="BO33" s="342">
        <f t="shared" ref="BO33:BY33" si="92">AVERAGEIFS(BO$36:BO$173,$C$36:$C$173,"=4", $B$36:$B$173,"NO OFICIAL")</f>
        <v>4.8749999999999995E-2</v>
      </c>
      <c r="BP33" s="342">
        <f t="shared" si="92"/>
        <v>0.35625000000000007</v>
      </c>
      <c r="BQ33" s="342">
        <f t="shared" si="92"/>
        <v>0.57250000000000001</v>
      </c>
      <c r="BR33" s="342">
        <f t="shared" si="92"/>
        <v>2.375E-2</v>
      </c>
      <c r="BS33" s="342">
        <f t="shared" si="92"/>
        <v>0.505</v>
      </c>
      <c r="BT33" s="342">
        <f t="shared" si="92"/>
        <v>0.59124999999999994</v>
      </c>
      <c r="BU33" s="527"/>
      <c r="BV33" s="527"/>
      <c r="BW33" s="527"/>
      <c r="BX33" s="342">
        <f t="shared" si="92"/>
        <v>0.37375000000000003</v>
      </c>
      <c r="BY33" s="129">
        <f t="shared" si="92"/>
        <v>51</v>
      </c>
      <c r="CA33" s="129">
        <f>AVERAGEIFS(CA$36:CA$173,$C$36:$C$173,"=4", $B$36:$B$173,"NO OFICIAL")</f>
        <v>9</v>
      </c>
      <c r="CC33" s="342">
        <f>AVERAGEIFS(CC$36:CC$173,$C$36:$C$173,"=4", $B$36:$B$173,"NO OFICIAL")</f>
        <v>4.4444444444444446E-2</v>
      </c>
      <c r="CD33" s="342">
        <f t="shared" ref="CD33:CJ33" si="93">AVERAGEIFS(CD$36:CD$173,$C$36:$C$173,"=4", $B$36:$B$173,"NO OFICIAL")</f>
        <v>0.40888888888888886</v>
      </c>
      <c r="CE33" s="342">
        <f t="shared" si="93"/>
        <v>0.52555555555555555</v>
      </c>
      <c r="CF33" s="342">
        <f t="shared" si="93"/>
        <v>2.2222222222222223E-2</v>
      </c>
      <c r="CG33" s="342">
        <f t="shared" si="93"/>
        <v>0.60333333333333339</v>
      </c>
      <c r="CH33" s="342">
        <f t="shared" si="93"/>
        <v>0.40444444444444438</v>
      </c>
      <c r="CI33" s="342">
        <f t="shared" si="93"/>
        <v>0.60444444444444445</v>
      </c>
      <c r="CJ33" s="490">
        <f t="shared" si="93"/>
        <v>55.714285714285715</v>
      </c>
      <c r="CL33" s="300">
        <f>AVERAGEIFS(CL$36:CL$173,$C$36:$C$173,"=4", $B$36:$B$173,"NO OFICIAL")</f>
        <v>9.7142857142857135</v>
      </c>
      <c r="CN33" s="522">
        <f>AVERAGEIFS(CN$36:CN$173,$C$36:$C$173,"=4", $B$36:$B$173,"NO OFICIAL")</f>
        <v>4.1428571428571426E-2</v>
      </c>
      <c r="CO33" s="522">
        <f t="shared" ref="CO33:CU33" si="94">AVERAGEIFS(CO$36:CO$173,$C$36:$C$173,"=4", $B$36:$B$173,"NO OFICIAL")</f>
        <v>0.29571428571428571</v>
      </c>
      <c r="CP33" s="522">
        <f t="shared" si="94"/>
        <v>0.60428571428571431</v>
      </c>
      <c r="CQ33" s="522">
        <f t="shared" si="94"/>
        <v>5.8571428571428566E-2</v>
      </c>
      <c r="CR33" s="522">
        <f t="shared" si="94"/>
        <v>0.52428571428571435</v>
      </c>
      <c r="CS33" s="522">
        <f t="shared" si="94"/>
        <v>0.47000000000000003</v>
      </c>
      <c r="CT33" s="522">
        <f t="shared" si="94"/>
        <v>0.37142857142857139</v>
      </c>
      <c r="CU33" s="129">
        <f t="shared" si="94"/>
        <v>55.666666666666664</v>
      </c>
      <c r="CV33" s="896"/>
      <c r="CW33" s="129">
        <f>AVERAGEIFS(CW$36:CW$173,$C$36:$C$173,"=4", $B$36:$B$173,"NO OFICIAL")</f>
        <v>9.2222222222222214</v>
      </c>
      <c r="CX33" s="896"/>
      <c r="CY33" s="342">
        <f>AVERAGEIFS(CY$36:CY$173,$C$36:$C$173,"=4", $B$36:$B$173,"NO OFICIAL")</f>
        <v>2.3333333333333331E-2</v>
      </c>
      <c r="CZ33" s="342">
        <f t="shared" ref="CZ33:DE33" si="95">AVERAGEIFS(CZ$36:CZ$173,$C$36:$C$173,"=4", $B$36:$B$173,"NO OFICIAL")</f>
        <v>0.37111111111111117</v>
      </c>
      <c r="DA33" s="342">
        <f t="shared" si="95"/>
        <v>0.52222222222222225</v>
      </c>
      <c r="DB33" s="342">
        <f t="shared" si="95"/>
        <v>8.4444444444444447E-2</v>
      </c>
      <c r="DC33" s="342">
        <f t="shared" si="95"/>
        <v>0.47000000000000003</v>
      </c>
      <c r="DD33" s="342">
        <f t="shared" si="95"/>
        <v>0.42222222222222217</v>
      </c>
      <c r="DE33" s="342">
        <f t="shared" si="95"/>
        <v>0.3066666666666667</v>
      </c>
    </row>
    <row r="34" spans="1:111" ht="24.95" customHeight="1" x14ac:dyDescent="0.2">
      <c r="A34" s="6" t="s">
        <v>786</v>
      </c>
      <c r="B34" s="299"/>
      <c r="C34" s="299"/>
      <c r="D34" s="129">
        <f t="shared" ref="D34:AW34" si="96">AVERAGEIFS(D$36:D$173,$C$36:$C$173,"=5", $B$36:$B$173,"NO OFICIAL")</f>
        <v>54.928571428571431</v>
      </c>
      <c r="E34" s="129">
        <f t="shared" si="96"/>
        <v>8.2142857142857135</v>
      </c>
      <c r="F34" s="39">
        <f t="shared" si="96"/>
        <v>2.1428571428571432E-2</v>
      </c>
      <c r="G34" s="39">
        <f t="shared" si="96"/>
        <v>0.29214285714285715</v>
      </c>
      <c r="H34" s="39">
        <f t="shared" si="96"/>
        <v>0.65928571428571436</v>
      </c>
      <c r="I34" s="39">
        <f t="shared" si="96"/>
        <v>2.642857142857143E-2</v>
      </c>
      <c r="J34" s="39">
        <f t="shared" si="96"/>
        <v>0.48714285714285716</v>
      </c>
      <c r="K34" s="39">
        <f t="shared" si="96"/>
        <v>0.43214285714285711</v>
      </c>
      <c r="L34" s="39">
        <f t="shared" si="96"/>
        <v>0.48999999999999994</v>
      </c>
      <c r="M34" s="129">
        <f t="shared" si="96"/>
        <v>55.071428571428569</v>
      </c>
      <c r="N34" s="129">
        <f t="shared" si="96"/>
        <v>9.5</v>
      </c>
      <c r="O34" s="39">
        <f t="shared" si="96"/>
        <v>3.5714285714285712E-2</v>
      </c>
      <c r="P34" s="39">
        <f t="shared" si="96"/>
        <v>0.26928571428571429</v>
      </c>
      <c r="Q34" s="39">
        <f t="shared" si="96"/>
        <v>0.64857142857142858</v>
      </c>
      <c r="R34" s="39">
        <f t="shared" si="96"/>
        <v>4.5000000000000005E-2</v>
      </c>
      <c r="S34" s="39">
        <f t="shared" si="96"/>
        <v>0.43571428571428578</v>
      </c>
      <c r="T34" s="39">
        <f t="shared" si="96"/>
        <v>0.49714285714285716</v>
      </c>
      <c r="U34" s="39">
        <f t="shared" si="96"/>
        <v>0.31428571428571433</v>
      </c>
      <c r="V34" s="129">
        <f t="shared" si="96"/>
        <v>55.333333333333336</v>
      </c>
      <c r="W34" s="129">
        <f t="shared" si="96"/>
        <v>8.4666666666666668</v>
      </c>
      <c r="X34" s="39">
        <f t="shared" si="96"/>
        <v>0.02</v>
      </c>
      <c r="Y34" s="39">
        <f t="shared" si="96"/>
        <v>0.30785714285714288</v>
      </c>
      <c r="Z34" s="39">
        <f t="shared" si="96"/>
        <v>0.62214285714285711</v>
      </c>
      <c r="AA34" s="39">
        <f t="shared" si="96"/>
        <v>4.9999999999999996E-2</v>
      </c>
      <c r="AB34" s="39">
        <f t="shared" si="96"/>
        <v>0.4271428571428571</v>
      </c>
      <c r="AC34" s="39">
        <f t="shared" si="96"/>
        <v>0.34357142857142858</v>
      </c>
      <c r="AD34" s="39">
        <f t="shared" si="96"/>
        <v>0.47357142857142859</v>
      </c>
      <c r="AE34" s="129">
        <f t="shared" si="96"/>
        <v>55.625</v>
      </c>
      <c r="AF34" s="129">
        <f t="shared" si="96"/>
        <v>8.5</v>
      </c>
      <c r="AG34" s="39">
        <f t="shared" si="96"/>
        <v>1.4666666666666665E-2</v>
      </c>
      <c r="AH34" s="39">
        <f t="shared" si="96"/>
        <v>0.27066666666666667</v>
      </c>
      <c r="AI34" s="39">
        <f t="shared" si="96"/>
        <v>0.66666666666666663</v>
      </c>
      <c r="AJ34" s="39">
        <f t="shared" si="96"/>
        <v>4.8000000000000015E-2</v>
      </c>
      <c r="AK34" s="39">
        <f t="shared" si="96"/>
        <v>0.47666666666666668</v>
      </c>
      <c r="AL34" s="39">
        <f t="shared" si="96"/>
        <v>0.40866666666666668</v>
      </c>
      <c r="AM34" s="39">
        <f t="shared" si="96"/>
        <v>0.24600000000000002</v>
      </c>
      <c r="AN34" s="129">
        <f t="shared" si="96"/>
        <v>56.2</v>
      </c>
      <c r="AO34" s="129">
        <f t="shared" si="96"/>
        <v>9.1999999999999993</v>
      </c>
      <c r="AP34" s="39">
        <f t="shared" si="96"/>
        <v>1.8000000000000002E-2</v>
      </c>
      <c r="AQ34" s="39">
        <f t="shared" si="96"/>
        <v>0.25</v>
      </c>
      <c r="AR34" s="39">
        <f t="shared" si="96"/>
        <v>0.68933333333333335</v>
      </c>
      <c r="AS34" s="39">
        <f t="shared" si="96"/>
        <v>4.3999999999999997E-2</v>
      </c>
      <c r="AT34" s="39">
        <f t="shared" si="96"/>
        <v>0.21933333333333332</v>
      </c>
      <c r="AU34" s="39">
        <f t="shared" si="96"/>
        <v>0.45266666666666666</v>
      </c>
      <c r="AV34" s="39">
        <f t="shared" si="96"/>
        <v>0.44000000000000006</v>
      </c>
      <c r="AW34" s="129">
        <f t="shared" si="96"/>
        <v>54.666666666666664</v>
      </c>
      <c r="AX34" s="244"/>
      <c r="AY34" s="129">
        <f>AVERAGEIFS(AY$36:AY$173,$C$36:$C$173,"=5", $B$36:$B$173,"NO OFICIAL")</f>
        <v>9</v>
      </c>
      <c r="AZ34" s="244"/>
      <c r="BA34" s="39">
        <f t="shared" ref="BA34:BH34" si="97">AVERAGEIFS(BA$36:BA$173,$C$36:$C$173,"=5", $B$36:$B$173,"NO OFICIAL")</f>
        <v>2.466666666666667E-2</v>
      </c>
      <c r="BB34" s="39">
        <f t="shared" si="97"/>
        <v>0.32400000000000001</v>
      </c>
      <c r="BC34" s="39">
        <f t="shared" si="97"/>
        <v>0.60399999999999998</v>
      </c>
      <c r="BD34" s="39">
        <f t="shared" si="97"/>
        <v>4.6000000000000013E-2</v>
      </c>
      <c r="BE34" s="39">
        <f t="shared" si="97"/>
        <v>0.24000000000000005</v>
      </c>
      <c r="BF34" s="39">
        <f t="shared" si="97"/>
        <v>0.47000000000000003</v>
      </c>
      <c r="BG34" s="39">
        <f t="shared" si="97"/>
        <v>0.42400000000000004</v>
      </c>
      <c r="BH34" s="129">
        <f t="shared" si="97"/>
        <v>56.142857142857146</v>
      </c>
      <c r="BJ34" s="129">
        <f>AVERAGEIFS(BJ$36:BJ$173,$C$36:$C$173,"=5", $B$36:$B$173,"NO OFICIAL")</f>
        <v>9.0714285714285712</v>
      </c>
      <c r="BO34" s="342">
        <f t="shared" ref="BO34:BY34" si="98">AVERAGEIFS(BO$36:BO$173,$C$36:$C$173,"=5", $B$36:$B$173,"NO OFICIAL")</f>
        <v>2.4999999999999998E-2</v>
      </c>
      <c r="BP34" s="342">
        <f t="shared" si="98"/>
        <v>0.22428571428571428</v>
      </c>
      <c r="BQ34" s="342">
        <f t="shared" si="98"/>
        <v>0.70071428571428562</v>
      </c>
      <c r="BR34" s="342">
        <f t="shared" si="98"/>
        <v>5.0714285714285712E-2</v>
      </c>
      <c r="BS34" s="342">
        <f t="shared" si="98"/>
        <v>0.44214285714285717</v>
      </c>
      <c r="BT34" s="342">
        <f t="shared" si="98"/>
        <v>0.5207142857142858</v>
      </c>
      <c r="BU34" s="527"/>
      <c r="BV34" s="527"/>
      <c r="BW34" s="527"/>
      <c r="BX34" s="342">
        <f t="shared" si="98"/>
        <v>0.31428571428571433</v>
      </c>
      <c r="BY34" s="129">
        <f t="shared" si="98"/>
        <v>56.428571428571431</v>
      </c>
      <c r="CA34" s="129">
        <f>AVERAGEIFS(CA$36:CA$173,$C$36:$C$173,"=5", $B$36:$B$173,"NO OFICIAL")</f>
        <v>8.9285714285714288</v>
      </c>
      <c r="CC34" s="342">
        <f>AVERAGEIFS(CC$36:CC$173,$C$36:$C$173,"=5", $B$36:$B$173,"NO OFICIAL")</f>
        <v>2.0714285714285716E-2</v>
      </c>
      <c r="CD34" s="342">
        <f t="shared" ref="CD34:CJ34" si="99">AVERAGEIFS(CD$36:CD$173,$C$36:$C$173,"=5", $B$36:$B$173,"NO OFICIAL")</f>
        <v>0.26214285714285712</v>
      </c>
      <c r="CE34" s="342">
        <f t="shared" si="99"/>
        <v>0.63500000000000001</v>
      </c>
      <c r="CF34" s="342">
        <f t="shared" si="99"/>
        <v>8.2142857142857156E-2</v>
      </c>
      <c r="CG34" s="342">
        <f t="shared" si="99"/>
        <v>0.56785714285714284</v>
      </c>
      <c r="CH34" s="342">
        <f t="shared" si="99"/>
        <v>0.28999999999999998</v>
      </c>
      <c r="CI34" s="342">
        <f t="shared" si="99"/>
        <v>0.52928571428571436</v>
      </c>
      <c r="CJ34" s="490">
        <f t="shared" si="99"/>
        <v>55.93333333333333</v>
      </c>
      <c r="CL34" s="300">
        <f>AVERAGEIFS(CL$36:CL$173,$C$36:$C$173,"=5", $B$36:$B$173,"NO OFICIAL")</f>
        <v>9.4666666666666668</v>
      </c>
      <c r="CN34" s="522">
        <f>AVERAGEIFS(CN$36:CN$173,$C$36:$C$173,"=5", $B$36:$B$173,"NO OFICIAL")</f>
        <v>4.0000000000000001E-3</v>
      </c>
      <c r="CO34" s="522">
        <f t="shared" ref="CO34:CU34" si="100">AVERAGEIFS(CO$36:CO$173,$C$36:$C$173,"=5", $B$36:$B$173,"NO OFICIAL")</f>
        <v>0.316</v>
      </c>
      <c r="CP34" s="522">
        <f t="shared" si="100"/>
        <v>0.61399999999999999</v>
      </c>
      <c r="CQ34" s="522">
        <f t="shared" si="100"/>
        <v>6.5333333333333327E-2</v>
      </c>
      <c r="CR34" s="522">
        <f t="shared" si="100"/>
        <v>0.52266666666666672</v>
      </c>
      <c r="CS34" s="522">
        <f t="shared" si="100"/>
        <v>0.46800000000000003</v>
      </c>
      <c r="CT34" s="522">
        <f t="shared" si="100"/>
        <v>0.3826666666666666</v>
      </c>
      <c r="CU34" s="129">
        <f t="shared" si="100"/>
        <v>56.466666666666669</v>
      </c>
      <c r="CV34" s="896"/>
      <c r="CW34" s="129">
        <f>AVERAGEIFS(CW$36:CW$173,$C$36:$C$173,"=5", $B$36:$B$173,"NO OFICIAL")</f>
        <v>10.133333333333333</v>
      </c>
      <c r="CX34" s="896"/>
      <c r="CY34" s="342">
        <f>AVERAGEIFS(CY$36:CY$173,$C$36:$C$173,"=5", $B$36:$B$173,"NO OFICIAL")</f>
        <v>4.2666666666666665E-2</v>
      </c>
      <c r="CZ34" s="342">
        <f t="shared" ref="CZ34:DE34" si="101">AVERAGEIFS(CZ$36:CZ$173,$C$36:$C$173,"=5", $B$36:$B$173,"NO OFICIAL")</f>
        <v>0.23200000000000001</v>
      </c>
      <c r="DA34" s="342">
        <f t="shared" si="101"/>
        <v>0.64466666666666661</v>
      </c>
      <c r="DB34" s="342">
        <f t="shared" si="101"/>
        <v>8.4666666666666668E-2</v>
      </c>
      <c r="DC34" s="342">
        <f t="shared" si="101"/>
        <v>0.52200000000000002</v>
      </c>
      <c r="DD34" s="342">
        <f t="shared" si="101"/>
        <v>0.43</v>
      </c>
      <c r="DE34" s="342">
        <f t="shared" si="101"/>
        <v>0.32466666666666666</v>
      </c>
    </row>
    <row r="35" spans="1:111" ht="24.95" customHeight="1" x14ac:dyDescent="0.2">
      <c r="A35" s="6" t="s">
        <v>787</v>
      </c>
      <c r="B35" s="299"/>
      <c r="C35" s="299"/>
      <c r="D35" s="129">
        <f t="shared" ref="D35:AW35" si="102">AVERAGEIFS(D$36:D$173,$C$36:$C$173,"=6", $B$36:$B$173,"NO OFICIAL")</f>
        <v>52.81818181818182</v>
      </c>
      <c r="E35" s="129">
        <f t="shared" si="102"/>
        <v>7.3636363636363633</v>
      </c>
      <c r="F35" s="39">
        <f t="shared" si="102"/>
        <v>0.10454545454545455</v>
      </c>
      <c r="G35" s="39">
        <f t="shared" si="102"/>
        <v>0.28545454545454552</v>
      </c>
      <c r="H35" s="39">
        <f t="shared" si="102"/>
        <v>0.59818181818181815</v>
      </c>
      <c r="I35" s="39">
        <f t="shared" si="102"/>
        <v>1.0909090909090908E-2</v>
      </c>
      <c r="J35" s="39">
        <f t="shared" si="102"/>
        <v>0.51727272727272711</v>
      </c>
      <c r="K35" s="39">
        <f t="shared" si="102"/>
        <v>0.43272727272727268</v>
      </c>
      <c r="L35" s="39">
        <f t="shared" si="102"/>
        <v>0.51818181818181808</v>
      </c>
      <c r="M35" s="129">
        <f t="shared" si="102"/>
        <v>51.090909090909093</v>
      </c>
      <c r="N35" s="129">
        <f t="shared" si="102"/>
        <v>10</v>
      </c>
      <c r="O35" s="39">
        <f t="shared" si="102"/>
        <v>8.8181818181818195E-2</v>
      </c>
      <c r="P35" s="39">
        <f t="shared" si="102"/>
        <v>0.37545454545454543</v>
      </c>
      <c r="Q35" s="39">
        <f t="shared" si="102"/>
        <v>0.5154545454545455</v>
      </c>
      <c r="R35" s="39">
        <f t="shared" si="102"/>
        <v>2.0909090909090908E-2</v>
      </c>
      <c r="S35" s="39">
        <f t="shared" si="102"/>
        <v>0.49000000000000005</v>
      </c>
      <c r="T35" s="39">
        <f t="shared" si="102"/>
        <v>0.55727272727272736</v>
      </c>
      <c r="U35" s="39">
        <f t="shared" si="102"/>
        <v>0.36454545454545451</v>
      </c>
      <c r="V35" s="129">
        <f t="shared" si="102"/>
        <v>52.8</v>
      </c>
      <c r="W35" s="129">
        <f t="shared" si="102"/>
        <v>8.5</v>
      </c>
      <c r="X35" s="39">
        <f t="shared" si="102"/>
        <v>2.2500000000000003E-2</v>
      </c>
      <c r="Y35" s="39">
        <f t="shared" si="102"/>
        <v>0.39666666666666656</v>
      </c>
      <c r="Z35" s="39">
        <f t="shared" si="102"/>
        <v>0.56416666666666659</v>
      </c>
      <c r="AA35" s="39">
        <f t="shared" si="102"/>
        <v>1.9166666666666669E-2</v>
      </c>
      <c r="AB35" s="39">
        <f t="shared" si="102"/>
        <v>0.49583333333333335</v>
      </c>
      <c r="AC35" s="39">
        <f t="shared" si="102"/>
        <v>0.36250000000000004</v>
      </c>
      <c r="AD35" s="39">
        <f t="shared" si="102"/>
        <v>0.51083333333333336</v>
      </c>
      <c r="AE35" s="129">
        <f t="shared" si="102"/>
        <v>54.272727272727273</v>
      </c>
      <c r="AF35" s="129">
        <f t="shared" si="102"/>
        <v>11.090909090909092</v>
      </c>
      <c r="AG35" s="39">
        <f t="shared" si="102"/>
        <v>4.3076923076923082E-2</v>
      </c>
      <c r="AH35" s="39">
        <f t="shared" si="102"/>
        <v>0.34846153846153843</v>
      </c>
      <c r="AI35" s="39">
        <f t="shared" si="102"/>
        <v>0.56769230769230772</v>
      </c>
      <c r="AJ35" s="39">
        <f t="shared" si="102"/>
        <v>3.9230769230769229E-2</v>
      </c>
      <c r="AK35" s="39">
        <f t="shared" si="102"/>
        <v>0.51230769230769235</v>
      </c>
      <c r="AL35" s="39">
        <f t="shared" si="102"/>
        <v>0.44692307692307698</v>
      </c>
      <c r="AM35" s="39">
        <f t="shared" si="102"/>
        <v>0.29076923076923078</v>
      </c>
      <c r="AN35" s="129">
        <f t="shared" si="102"/>
        <v>52.07692307692308</v>
      </c>
      <c r="AO35" s="129">
        <f t="shared" si="102"/>
        <v>8.8461538461538467</v>
      </c>
      <c r="AP35" s="39">
        <f t="shared" si="102"/>
        <v>3.0769230769230771E-2</v>
      </c>
      <c r="AQ35" s="39">
        <f t="shared" si="102"/>
        <v>0.3707692307692308</v>
      </c>
      <c r="AR35" s="39">
        <f t="shared" si="102"/>
        <v>0.57076923076923081</v>
      </c>
      <c r="AS35" s="39">
        <f t="shared" si="102"/>
        <v>2.7692307692307697E-2</v>
      </c>
      <c r="AT35" s="39">
        <f t="shared" si="102"/>
        <v>0.29384615384615381</v>
      </c>
      <c r="AU35" s="39">
        <f t="shared" si="102"/>
        <v>0.5130769230769231</v>
      </c>
      <c r="AV35" s="39">
        <f t="shared" si="102"/>
        <v>0.50230769230769234</v>
      </c>
      <c r="AW35" s="129">
        <f t="shared" si="102"/>
        <v>52.230769230769234</v>
      </c>
      <c r="AX35" s="244"/>
      <c r="AY35" s="129">
        <f>AVERAGEIFS(AY$36:AY$173,$C$36:$C$173,"=6", $B$36:$B$173,"NO OFICIAL")</f>
        <v>7.2307692307692308</v>
      </c>
      <c r="AZ35" s="244"/>
      <c r="BA35" s="39">
        <f t="shared" ref="BA35:BH35" si="103">AVERAGEIFS(BA$36:BA$173,$C$36:$C$173,"=6", $B$36:$B$173,"NO OFICIAL")</f>
        <v>3.0769230769230771E-2</v>
      </c>
      <c r="BB35" s="39">
        <f t="shared" si="103"/>
        <v>0.43461538461538463</v>
      </c>
      <c r="BC35" s="39">
        <f t="shared" si="103"/>
        <v>0.49923076923076926</v>
      </c>
      <c r="BD35" s="39">
        <f t="shared" si="103"/>
        <v>3.4615384615384617E-2</v>
      </c>
      <c r="BE35" s="39">
        <f t="shared" si="103"/>
        <v>0.24999999999999997</v>
      </c>
      <c r="BF35" s="39">
        <f t="shared" si="103"/>
        <v>0.51230769230769235</v>
      </c>
      <c r="BG35" s="39">
        <f t="shared" si="103"/>
        <v>0.47769230769230769</v>
      </c>
      <c r="BH35" s="129">
        <f t="shared" si="103"/>
        <v>52.533333333333331</v>
      </c>
      <c r="BJ35" s="129">
        <f>AVERAGEIFS(BJ$36:BJ$173,$C$36:$C$173,"=6", $B$36:$B$173,"NO OFICIAL")</f>
        <v>10.066666666666666</v>
      </c>
      <c r="BO35" s="342">
        <f t="shared" ref="BO35:BY35" si="104">AVERAGEIFS(BO$36:BO$173,$C$36:$C$173,"=6", $B$36:$B$173,"NO OFICIAL")</f>
        <v>7.8000000000000014E-2</v>
      </c>
      <c r="BP35" s="342">
        <f t="shared" si="104"/>
        <v>0.34666666666666668</v>
      </c>
      <c r="BQ35" s="342">
        <f t="shared" si="104"/>
        <v>0.52199999999999991</v>
      </c>
      <c r="BR35" s="342">
        <f t="shared" si="104"/>
        <v>5.6666666666666671E-2</v>
      </c>
      <c r="BS35" s="342">
        <f t="shared" si="104"/>
        <v>0.51466666666666672</v>
      </c>
      <c r="BT35" s="342">
        <f t="shared" si="104"/>
        <v>0.58799999999999997</v>
      </c>
      <c r="BU35" s="527"/>
      <c r="BV35" s="527"/>
      <c r="BW35" s="527"/>
      <c r="BX35" s="342">
        <f t="shared" si="104"/>
        <v>0.3866666666666666</v>
      </c>
      <c r="BY35" s="129">
        <f t="shared" si="104"/>
        <v>54.25</v>
      </c>
      <c r="CA35" s="129">
        <f>AVERAGEIFS(CA$36:CA$173,$C$36:$C$173,"=6", $B$36:$B$173,"NO OFICIAL")</f>
        <v>8.5</v>
      </c>
      <c r="CC35" s="342">
        <f>AVERAGEIFS(CC$36:CC$173,$C$36:$C$173,"=6", $B$36:$B$173,"NO OFICIAL")</f>
        <v>3.8750000000000007E-2</v>
      </c>
      <c r="CD35" s="342">
        <f t="shared" ref="CD35:CJ35" si="105">AVERAGEIFS(CD$36:CD$173,$C$36:$C$173,"=6", $B$36:$B$173,"NO OFICIAL")</f>
        <v>0.2525</v>
      </c>
      <c r="CE35" s="342">
        <f t="shared" si="105"/>
        <v>0.66249999999999998</v>
      </c>
      <c r="CF35" s="342">
        <f t="shared" si="105"/>
        <v>4.6875000000000014E-2</v>
      </c>
      <c r="CG35" s="342">
        <f t="shared" si="105"/>
        <v>0.59375</v>
      </c>
      <c r="CH35" s="342">
        <f t="shared" si="105"/>
        <v>0.34125</v>
      </c>
      <c r="CI35" s="342">
        <f t="shared" si="105"/>
        <v>0.56062500000000015</v>
      </c>
      <c r="CJ35" s="490">
        <f t="shared" si="105"/>
        <v>54.357142857142854</v>
      </c>
      <c r="CL35" s="300">
        <f>AVERAGEIFS(CL$36:CL$173,$C$36:$C$173,"=6", $B$36:$B$173,"NO OFICIAL")</f>
        <v>9.2142857142857135</v>
      </c>
      <c r="CN35" s="522">
        <f>AVERAGEIFS(CN$36:CN$173,$C$36:$C$173,"=6", $B$36:$B$173,"NO OFICIAL")</f>
        <v>3.2857142857142863E-2</v>
      </c>
      <c r="CO35" s="522">
        <f t="shared" ref="CO35:CU35" si="106">AVERAGEIFS(CO$36:CO$173,$C$36:$C$173,"=6", $B$36:$B$173,"NO OFICIAL")</f>
        <v>0.33785714285714291</v>
      </c>
      <c r="CP35" s="522">
        <f t="shared" si="106"/>
        <v>0.56999999999999995</v>
      </c>
      <c r="CQ35" s="522">
        <f t="shared" si="106"/>
        <v>0.06</v>
      </c>
      <c r="CR35" s="522">
        <f t="shared" si="106"/>
        <v>0.53999999999999992</v>
      </c>
      <c r="CS35" s="522">
        <f t="shared" si="106"/>
        <v>0.49071428571428566</v>
      </c>
      <c r="CT35" s="522">
        <f t="shared" si="106"/>
        <v>0.39714285714285719</v>
      </c>
      <c r="CU35" s="129">
        <f t="shared" si="106"/>
        <v>55.466666666666669</v>
      </c>
      <c r="CV35" s="896"/>
      <c r="CW35" s="129">
        <f>AVERAGEIFS(CW$36:CW$173,$C$36:$C$173,"=6", $B$36:$B$173,"NO OFICIAL")</f>
        <v>9.7333333333333325</v>
      </c>
      <c r="CX35" s="896"/>
      <c r="CY35" s="342">
        <f>AVERAGEIFS(CY$36:CY$173,$C$36:$C$173,"=6", $B$36:$B$173,"NO OFICIAL")</f>
        <v>4.2666666666666672E-2</v>
      </c>
      <c r="CZ35" s="342">
        <f t="shared" ref="CZ35:DE35" si="107">AVERAGEIFS(CZ$36:CZ$173,$C$36:$C$173,"=6", $B$36:$B$173,"NO OFICIAL")</f>
        <v>0.26600000000000001</v>
      </c>
      <c r="DA35" s="342">
        <f t="shared" si="107"/>
        <v>0.61066666666666669</v>
      </c>
      <c r="DB35" s="342">
        <f t="shared" si="107"/>
        <v>8.1333333333333341E-2</v>
      </c>
      <c r="DC35" s="342">
        <f t="shared" si="107"/>
        <v>0.55400000000000005</v>
      </c>
      <c r="DD35" s="342">
        <f t="shared" si="107"/>
        <v>0.44066666666666671</v>
      </c>
      <c r="DE35" s="342">
        <f t="shared" si="107"/>
        <v>0.35866666666666663</v>
      </c>
    </row>
    <row r="36" spans="1:111" ht="24.95" customHeight="1" x14ac:dyDescent="0.2">
      <c r="A36" s="126" t="s">
        <v>23</v>
      </c>
      <c r="B36" s="1" t="s">
        <v>123</v>
      </c>
      <c r="C36" s="12">
        <v>2</v>
      </c>
      <c r="D36" s="12">
        <v>51</v>
      </c>
      <c r="E36" s="12">
        <v>9</v>
      </c>
      <c r="F36" s="66">
        <v>0.06</v>
      </c>
      <c r="G36" s="66">
        <v>0.46</v>
      </c>
      <c r="H36" s="66">
        <v>0.49</v>
      </c>
      <c r="I36" s="66">
        <v>0</v>
      </c>
      <c r="J36" s="66">
        <v>0.54</v>
      </c>
      <c r="K36" s="66">
        <v>0.47</v>
      </c>
      <c r="L36" s="66">
        <v>0.57999999999999996</v>
      </c>
      <c r="M36" s="12">
        <v>50</v>
      </c>
      <c r="N36" s="12">
        <v>9</v>
      </c>
      <c r="O36" s="40">
        <v>0.03</v>
      </c>
      <c r="P36" s="40">
        <v>0.47</v>
      </c>
      <c r="Q36" s="40">
        <v>0.48</v>
      </c>
      <c r="R36" s="40">
        <v>0.01</v>
      </c>
      <c r="S36" s="40">
        <v>0.48</v>
      </c>
      <c r="T36" s="40">
        <v>0.6</v>
      </c>
      <c r="U36" s="40">
        <v>0.39</v>
      </c>
      <c r="V36" s="12">
        <v>51</v>
      </c>
      <c r="W36" s="12">
        <v>8</v>
      </c>
      <c r="X36" s="66">
        <v>0.02</v>
      </c>
      <c r="Y36" s="66">
        <v>0.45</v>
      </c>
      <c r="Z36" s="66">
        <v>0.54</v>
      </c>
      <c r="AA36" s="66">
        <v>0</v>
      </c>
      <c r="AB36" s="66">
        <v>0.52</v>
      </c>
      <c r="AC36" s="66">
        <v>0.38</v>
      </c>
      <c r="AD36" s="66">
        <v>0.54</v>
      </c>
      <c r="AE36" s="12">
        <v>51</v>
      </c>
      <c r="AF36" s="12">
        <v>9</v>
      </c>
      <c r="AG36" s="66">
        <v>0.04</v>
      </c>
      <c r="AH36" s="66">
        <v>0.38</v>
      </c>
      <c r="AI36" s="66">
        <v>0.56000000000000005</v>
      </c>
      <c r="AJ36" s="66">
        <v>0.01</v>
      </c>
      <c r="AK36" s="66">
        <v>0.56000000000000005</v>
      </c>
      <c r="AL36" s="66">
        <v>0.48</v>
      </c>
      <c r="AM36" s="66">
        <v>0.31</v>
      </c>
      <c r="AN36" s="35">
        <v>54</v>
      </c>
      <c r="AO36" s="35">
        <v>11</v>
      </c>
      <c r="AP36" s="40">
        <v>0.03</v>
      </c>
      <c r="AQ36" s="40">
        <v>0.37</v>
      </c>
      <c r="AR36" s="40">
        <v>0.51</v>
      </c>
      <c r="AS36" s="40">
        <v>0.08</v>
      </c>
      <c r="AT36" s="40">
        <v>0.28999999999999998</v>
      </c>
      <c r="AU36" s="40">
        <v>0.46</v>
      </c>
      <c r="AV36" s="40">
        <v>0.49</v>
      </c>
      <c r="AW36" s="246">
        <v>51</v>
      </c>
      <c r="AX36" s="246" t="s">
        <v>758</v>
      </c>
      <c r="AY36" s="246">
        <v>9</v>
      </c>
      <c r="AZ36" s="246" t="s">
        <v>758</v>
      </c>
      <c r="BA36" s="263">
        <v>7.0000000000000007E-2</v>
      </c>
      <c r="BB36" s="263">
        <v>0.38</v>
      </c>
      <c r="BC36" s="263">
        <v>0.52</v>
      </c>
      <c r="BD36" s="263">
        <v>0.03</v>
      </c>
      <c r="BE36" s="263">
        <v>0.26</v>
      </c>
      <c r="BF36" s="263">
        <v>0.53</v>
      </c>
      <c r="BG36" s="263">
        <v>0.48</v>
      </c>
      <c r="DG36" s="126" t="s">
        <v>23</v>
      </c>
    </row>
    <row r="37" spans="1:111" ht="24.95" customHeight="1" x14ac:dyDescent="0.2">
      <c r="A37" s="739" t="s">
        <v>952</v>
      </c>
      <c r="B37" s="14" t="s">
        <v>123</v>
      </c>
      <c r="C37" s="736">
        <v>2</v>
      </c>
      <c r="D37" s="736"/>
      <c r="E37" s="736"/>
      <c r="F37" s="798"/>
      <c r="G37" s="798"/>
      <c r="H37" s="798"/>
      <c r="I37" s="798"/>
      <c r="J37" s="798"/>
      <c r="K37" s="798"/>
      <c r="L37" s="798"/>
      <c r="M37" s="736"/>
      <c r="N37" s="736"/>
      <c r="O37" s="800"/>
      <c r="P37" s="800"/>
      <c r="Q37" s="800"/>
      <c r="R37" s="800"/>
      <c r="S37" s="800"/>
      <c r="T37" s="800"/>
      <c r="U37" s="800"/>
      <c r="V37" s="736"/>
      <c r="W37" s="736"/>
      <c r="X37" s="798"/>
      <c r="Y37" s="798"/>
      <c r="Z37" s="798"/>
      <c r="AA37" s="798"/>
      <c r="AB37" s="798"/>
      <c r="AC37" s="798"/>
      <c r="AD37" s="798"/>
      <c r="AE37" s="736"/>
      <c r="AF37" s="736"/>
      <c r="AG37" s="798"/>
      <c r="AH37" s="798"/>
      <c r="AI37" s="798"/>
      <c r="AJ37" s="798"/>
      <c r="AK37" s="798"/>
      <c r="AL37" s="798"/>
      <c r="AM37" s="798"/>
      <c r="AN37" s="799"/>
      <c r="AO37" s="799"/>
      <c r="AP37" s="800"/>
      <c r="AQ37" s="800"/>
      <c r="AR37" s="800"/>
      <c r="AS37" s="800"/>
      <c r="AT37" s="800"/>
      <c r="AU37" s="800"/>
      <c r="AV37" s="800"/>
      <c r="AW37" s="801"/>
      <c r="AX37" s="801"/>
      <c r="AY37" s="801"/>
      <c r="AZ37" s="801"/>
      <c r="BA37" s="802"/>
      <c r="BB37" s="802"/>
      <c r="BC37" s="802"/>
      <c r="BD37" s="802"/>
      <c r="BE37" s="802"/>
      <c r="BF37" s="802"/>
      <c r="BG37" s="802"/>
      <c r="CU37" s="902">
        <v>45</v>
      </c>
      <c r="CV37" s="902" t="s">
        <v>760</v>
      </c>
      <c r="CW37" s="902">
        <v>0</v>
      </c>
      <c r="CX37" s="902" t="s">
        <v>760</v>
      </c>
      <c r="CY37" s="949">
        <v>0</v>
      </c>
      <c r="CZ37" s="949">
        <v>1</v>
      </c>
      <c r="DA37" s="949">
        <v>0</v>
      </c>
      <c r="DB37" s="949">
        <v>0</v>
      </c>
      <c r="DC37" s="949">
        <v>0.6</v>
      </c>
      <c r="DD37" s="949">
        <v>0.63</v>
      </c>
      <c r="DE37" s="949">
        <v>0.75</v>
      </c>
      <c r="DF37" s="922">
        <v>325754800026</v>
      </c>
      <c r="DG37" t="e">
        <f>VLOOKUP(DF37,#REF!,3,0)</f>
        <v>#REF!</v>
      </c>
    </row>
    <row r="38" spans="1:111" ht="24.95" customHeight="1" x14ac:dyDescent="0.2">
      <c r="A38" s="36" t="s">
        <v>166</v>
      </c>
      <c r="B38" s="14" t="s">
        <v>123</v>
      </c>
      <c r="C38" s="12">
        <v>2</v>
      </c>
      <c r="D38" s="12"/>
      <c r="E38" s="12"/>
      <c r="F38" s="12"/>
      <c r="G38" s="12"/>
      <c r="H38" s="12"/>
      <c r="I38" s="12"/>
      <c r="J38" s="12"/>
      <c r="K38" s="12"/>
      <c r="L38" s="12"/>
      <c r="M38" s="12" t="s">
        <v>126</v>
      </c>
      <c r="N38" s="12" t="s">
        <v>126</v>
      </c>
      <c r="O38" s="40"/>
      <c r="P38" s="40"/>
      <c r="Q38" s="40"/>
      <c r="R38" s="40"/>
      <c r="S38" s="40"/>
      <c r="T38" s="40"/>
      <c r="U38" s="40"/>
      <c r="V38" s="12" t="s">
        <v>126</v>
      </c>
      <c r="W38" s="12" t="s">
        <v>126</v>
      </c>
      <c r="X38" s="12"/>
      <c r="Y38" s="12"/>
      <c r="Z38" s="12"/>
      <c r="AA38" s="12"/>
      <c r="AB38" s="12"/>
      <c r="AC38" s="12"/>
      <c r="AD38" s="12"/>
      <c r="AE38" s="12" t="s">
        <v>126</v>
      </c>
      <c r="AF38" s="12" t="s">
        <v>126</v>
      </c>
      <c r="AG38" s="12"/>
      <c r="AH38" s="12"/>
      <c r="AI38" s="12"/>
      <c r="AJ38" s="12"/>
      <c r="AK38" s="12"/>
      <c r="AL38" s="12"/>
      <c r="AM38" s="12"/>
      <c r="AN38" s="35">
        <v>45</v>
      </c>
      <c r="AO38" s="35">
        <v>3</v>
      </c>
      <c r="AP38" s="40">
        <v>0</v>
      </c>
      <c r="AQ38" s="40">
        <v>1</v>
      </c>
      <c r="AR38" s="40">
        <v>0</v>
      </c>
      <c r="AS38" s="40">
        <v>0</v>
      </c>
      <c r="AT38" s="40">
        <v>0.28999999999999998</v>
      </c>
      <c r="AU38" s="40">
        <v>0.5</v>
      </c>
      <c r="AV38" s="40">
        <v>1</v>
      </c>
      <c r="AW38" s="246">
        <v>52</v>
      </c>
      <c r="AX38" s="246" t="s">
        <v>758</v>
      </c>
      <c r="AY38" s="246">
        <v>0</v>
      </c>
      <c r="AZ38" s="246" t="s">
        <v>760</v>
      </c>
      <c r="BA38" s="263">
        <v>0</v>
      </c>
      <c r="BB38" s="263">
        <v>0</v>
      </c>
      <c r="BC38" s="263">
        <v>1</v>
      </c>
      <c r="BD38" s="263">
        <v>0</v>
      </c>
      <c r="BE38" s="263">
        <v>0.33</v>
      </c>
      <c r="BF38" s="263">
        <v>0.53</v>
      </c>
      <c r="BG38" s="263">
        <v>0.5</v>
      </c>
      <c r="BH38" s="309">
        <v>45</v>
      </c>
      <c r="BI38" s="309" t="s">
        <v>760</v>
      </c>
      <c r="BJ38" s="309">
        <v>18</v>
      </c>
      <c r="BK38" s="309" t="s">
        <v>759</v>
      </c>
      <c r="BL38" s="464"/>
      <c r="BM38" s="464"/>
      <c r="BN38" s="464"/>
      <c r="BO38" s="327">
        <v>0.33</v>
      </c>
      <c r="BP38" s="327">
        <v>0.33</v>
      </c>
      <c r="BQ38" s="327">
        <v>0.33</v>
      </c>
      <c r="BR38" s="327">
        <v>0</v>
      </c>
      <c r="BS38" s="327">
        <v>0.48</v>
      </c>
      <c r="BT38" s="327">
        <v>0.64</v>
      </c>
      <c r="BU38" s="476"/>
      <c r="BV38" s="476"/>
      <c r="BW38" s="476"/>
      <c r="BX38" s="327">
        <v>0.57999999999999996</v>
      </c>
      <c r="BY38" s="424">
        <v>44</v>
      </c>
      <c r="BZ38" s="424" t="s">
        <v>760</v>
      </c>
      <c r="CA38" s="424">
        <v>0</v>
      </c>
      <c r="CB38" s="424" t="s">
        <v>760</v>
      </c>
      <c r="CC38" s="428">
        <v>0</v>
      </c>
      <c r="CD38" s="428">
        <v>1</v>
      </c>
      <c r="CE38" s="428">
        <v>0</v>
      </c>
      <c r="CF38" s="428">
        <v>0</v>
      </c>
      <c r="CG38" s="428">
        <v>0.6</v>
      </c>
      <c r="CH38" s="428">
        <v>0.25</v>
      </c>
      <c r="CI38" s="428">
        <v>0.75</v>
      </c>
      <c r="CJ38" s="464">
        <v>45</v>
      </c>
      <c r="CK38" s="464" t="s">
        <v>760</v>
      </c>
      <c r="CL38" s="464">
        <v>9</v>
      </c>
      <c r="CM38" s="464" t="s">
        <v>758</v>
      </c>
      <c r="CN38" s="476">
        <v>0</v>
      </c>
      <c r="CO38" s="476">
        <v>0.5</v>
      </c>
      <c r="CP38" s="476">
        <v>0.5</v>
      </c>
      <c r="CQ38" s="476">
        <v>0</v>
      </c>
      <c r="CR38" s="476">
        <v>0.89</v>
      </c>
      <c r="CS38" s="476">
        <v>0.63</v>
      </c>
      <c r="CT38" s="476">
        <v>0.75</v>
      </c>
      <c r="CU38" s="902">
        <v>52</v>
      </c>
      <c r="CV38" s="902" t="s">
        <v>758</v>
      </c>
      <c r="CW38" s="902">
        <v>13</v>
      </c>
      <c r="CX38" s="902" t="s">
        <v>758</v>
      </c>
      <c r="CY38" s="949">
        <v>0</v>
      </c>
      <c r="CZ38" s="949">
        <v>0.5</v>
      </c>
      <c r="DA38" s="949">
        <v>0.5</v>
      </c>
      <c r="DB38" s="949">
        <v>0</v>
      </c>
      <c r="DC38" s="949">
        <v>0.7</v>
      </c>
      <c r="DD38" s="949">
        <v>0.31</v>
      </c>
      <c r="DE38" s="949">
        <v>0.63</v>
      </c>
      <c r="DF38" s="922">
        <v>325754005200</v>
      </c>
      <c r="DG38" s="892" t="e">
        <f>VLOOKUP(DF38,#REF!,3,0)</f>
        <v>#REF!</v>
      </c>
    </row>
    <row r="39" spans="1:111" ht="24.95" customHeight="1" x14ac:dyDescent="0.2">
      <c r="A39" s="555" t="s">
        <v>796</v>
      </c>
      <c r="B39" s="14" t="s">
        <v>123</v>
      </c>
      <c r="C39" s="328">
        <v>2</v>
      </c>
      <c r="D39" s="328"/>
      <c r="E39" s="328"/>
      <c r="F39" s="328"/>
      <c r="G39" s="328"/>
      <c r="H39" s="328"/>
      <c r="I39" s="328"/>
      <c r="J39" s="328"/>
      <c r="K39" s="328"/>
      <c r="L39" s="328"/>
      <c r="M39" s="328"/>
      <c r="N39" s="328"/>
      <c r="O39" s="331"/>
      <c r="P39" s="331"/>
      <c r="Q39" s="331"/>
      <c r="R39" s="331"/>
      <c r="S39" s="331"/>
      <c r="T39" s="331"/>
      <c r="U39" s="331"/>
      <c r="V39" s="328"/>
      <c r="W39" s="328"/>
      <c r="X39" s="328"/>
      <c r="Y39" s="328"/>
      <c r="Z39" s="328"/>
      <c r="AA39" s="328"/>
      <c r="AB39" s="328"/>
      <c r="AC39" s="328"/>
      <c r="AD39" s="328"/>
      <c r="AE39" s="328"/>
      <c r="AF39" s="328"/>
      <c r="AG39" s="328"/>
      <c r="AH39" s="328"/>
      <c r="AI39" s="328"/>
      <c r="AJ39" s="328"/>
      <c r="AK39" s="328"/>
      <c r="AL39" s="328"/>
      <c r="AM39" s="328"/>
      <c r="AN39" s="311"/>
      <c r="AO39" s="311"/>
      <c r="AP39" s="331"/>
      <c r="AQ39" s="331"/>
      <c r="AR39" s="331"/>
      <c r="AS39" s="331"/>
      <c r="AT39" s="331"/>
      <c r="AU39" s="331"/>
      <c r="AV39" s="331"/>
      <c r="AW39" s="312"/>
      <c r="AX39" s="312"/>
      <c r="AY39" s="312"/>
      <c r="AZ39" s="312"/>
      <c r="BA39" s="332"/>
      <c r="BB39" s="332"/>
      <c r="BC39" s="332"/>
      <c r="BD39" s="332"/>
      <c r="BE39" s="332"/>
      <c r="BF39" s="332"/>
      <c r="BG39" s="332"/>
      <c r="BH39" s="309">
        <v>41</v>
      </c>
      <c r="BI39" s="309" t="s">
        <v>760</v>
      </c>
      <c r="BJ39" s="309">
        <v>9</v>
      </c>
      <c r="BK39" s="309" t="s">
        <v>758</v>
      </c>
      <c r="BL39" s="464"/>
      <c r="BM39" s="464"/>
      <c r="BN39" s="464"/>
      <c r="BO39" s="327">
        <v>0.5</v>
      </c>
      <c r="BP39" s="327">
        <v>0.38</v>
      </c>
      <c r="BQ39" s="327">
        <v>0.13</v>
      </c>
      <c r="BR39" s="327">
        <v>0</v>
      </c>
      <c r="BS39" s="327">
        <v>0.75</v>
      </c>
      <c r="BT39" s="327">
        <v>0.63</v>
      </c>
      <c r="BU39" s="476"/>
      <c r="BV39" s="476"/>
      <c r="BW39" s="476"/>
      <c r="BX39" s="327">
        <v>0.69</v>
      </c>
      <c r="BY39" s="424">
        <v>38</v>
      </c>
      <c r="BZ39" s="424" t="s">
        <v>760</v>
      </c>
      <c r="CA39" s="424">
        <v>9</v>
      </c>
      <c r="CB39" s="424" t="s">
        <v>758</v>
      </c>
      <c r="CC39" s="428">
        <v>0.25</v>
      </c>
      <c r="CD39" s="428">
        <v>0.75</v>
      </c>
      <c r="CE39" s="428">
        <v>0</v>
      </c>
      <c r="CF39" s="428">
        <v>0</v>
      </c>
      <c r="CG39" s="428">
        <v>0.89</v>
      </c>
      <c r="CH39" s="428">
        <v>0.75</v>
      </c>
      <c r="CI39" s="428">
        <v>0.75</v>
      </c>
      <c r="CJ39" s="424"/>
      <c r="CK39" s="424"/>
      <c r="CL39" s="424"/>
      <c r="CM39" s="424"/>
      <c r="CN39" s="428"/>
      <c r="CO39" s="428"/>
      <c r="CP39" s="428"/>
      <c r="CQ39" s="428"/>
      <c r="CR39" s="428"/>
      <c r="CS39" s="428"/>
      <c r="CT39" s="428"/>
      <c r="CY39" s="949"/>
      <c r="CZ39" s="949"/>
      <c r="DA39" s="949"/>
      <c r="DB39" s="949"/>
      <c r="DC39" s="949"/>
      <c r="DD39" s="949"/>
      <c r="DE39" s="949"/>
      <c r="DG39" s="892"/>
    </row>
    <row r="40" spans="1:111" ht="24.95" customHeight="1" x14ac:dyDescent="0.2">
      <c r="A40" s="126" t="s">
        <v>26</v>
      </c>
      <c r="B40" s="1" t="s">
        <v>123</v>
      </c>
      <c r="C40" s="12">
        <v>3</v>
      </c>
      <c r="D40" s="12">
        <v>52</v>
      </c>
      <c r="E40" s="12">
        <v>6</v>
      </c>
      <c r="F40" s="66">
        <v>0</v>
      </c>
      <c r="G40" s="66">
        <v>0.43</v>
      </c>
      <c r="H40" s="66">
        <v>0.56999999999999995</v>
      </c>
      <c r="I40" s="66">
        <v>0</v>
      </c>
      <c r="J40" s="66">
        <v>0.52</v>
      </c>
      <c r="K40" s="66">
        <v>0.51</v>
      </c>
      <c r="L40" s="66">
        <v>0.55000000000000004</v>
      </c>
      <c r="M40" s="12">
        <v>49</v>
      </c>
      <c r="N40" s="12">
        <v>9</v>
      </c>
      <c r="O40" s="40">
        <v>7.0000000000000007E-2</v>
      </c>
      <c r="P40" s="40">
        <v>0.4</v>
      </c>
      <c r="Q40" s="40">
        <v>0.52</v>
      </c>
      <c r="R40" s="40">
        <v>0.02</v>
      </c>
      <c r="S40" s="40">
        <v>0.51</v>
      </c>
      <c r="T40" s="40">
        <v>0.6</v>
      </c>
      <c r="U40" s="40">
        <v>0.4</v>
      </c>
      <c r="V40" s="12">
        <v>49</v>
      </c>
      <c r="W40" s="12">
        <v>10</v>
      </c>
      <c r="X40" s="66">
        <v>0.04</v>
      </c>
      <c r="Y40" s="66">
        <v>0.46</v>
      </c>
      <c r="Z40" s="66">
        <v>0.5</v>
      </c>
      <c r="AA40" s="66">
        <v>0</v>
      </c>
      <c r="AB40" s="66">
        <v>0.54</v>
      </c>
      <c r="AC40" s="66">
        <v>0.4</v>
      </c>
      <c r="AD40" s="66">
        <v>0.59</v>
      </c>
      <c r="AE40" s="12">
        <v>49</v>
      </c>
      <c r="AF40" s="12">
        <v>8</v>
      </c>
      <c r="AG40" s="66">
        <v>0.08</v>
      </c>
      <c r="AH40" s="66">
        <v>0.56000000000000005</v>
      </c>
      <c r="AI40" s="66">
        <v>0.35</v>
      </c>
      <c r="AJ40" s="66">
        <v>0</v>
      </c>
      <c r="AK40" s="66">
        <v>0.6</v>
      </c>
      <c r="AL40" s="66">
        <v>0.49</v>
      </c>
      <c r="AM40" s="66">
        <v>0.35</v>
      </c>
      <c r="AN40" s="35">
        <v>52</v>
      </c>
      <c r="AO40" s="35">
        <v>10</v>
      </c>
      <c r="AP40" s="40">
        <v>0.05</v>
      </c>
      <c r="AQ40" s="40">
        <v>0.38</v>
      </c>
      <c r="AR40" s="40">
        <v>0.52</v>
      </c>
      <c r="AS40" s="40">
        <v>0.05</v>
      </c>
      <c r="AT40" s="40">
        <v>0.28000000000000003</v>
      </c>
      <c r="AU40" s="40">
        <v>0.51</v>
      </c>
      <c r="AV40" s="40">
        <v>0.55000000000000004</v>
      </c>
      <c r="AW40" s="246">
        <v>51</v>
      </c>
      <c r="AX40" s="246" t="s">
        <v>758</v>
      </c>
      <c r="AY40" s="246">
        <v>9</v>
      </c>
      <c r="AZ40" s="246" t="s">
        <v>758</v>
      </c>
      <c r="BA40" s="263">
        <v>0.05</v>
      </c>
      <c r="BB40" s="263">
        <v>0.41</v>
      </c>
      <c r="BC40" s="263">
        <v>0.51</v>
      </c>
      <c r="BD40" s="263">
        <v>0.03</v>
      </c>
      <c r="BE40" s="263">
        <v>0.28999999999999998</v>
      </c>
      <c r="BF40" s="263">
        <v>0.51</v>
      </c>
      <c r="BG40" s="263">
        <v>0.47</v>
      </c>
      <c r="BH40" s="309">
        <v>52</v>
      </c>
      <c r="BI40" s="309" t="s">
        <v>758</v>
      </c>
      <c r="BJ40" s="309">
        <v>6</v>
      </c>
      <c r="BK40" s="309" t="s">
        <v>760</v>
      </c>
      <c r="BL40" s="464"/>
      <c r="BM40" s="464"/>
      <c r="BN40" s="464"/>
      <c r="BO40" s="327">
        <v>0</v>
      </c>
      <c r="BP40" s="327">
        <v>0.42</v>
      </c>
      <c r="BQ40" s="327">
        <v>0.57999999999999996</v>
      </c>
      <c r="BR40" s="327">
        <v>0</v>
      </c>
      <c r="BS40" s="327">
        <v>0.51</v>
      </c>
      <c r="BT40" s="327">
        <v>0.68</v>
      </c>
      <c r="BU40" s="476"/>
      <c r="BV40" s="476"/>
      <c r="BW40" s="476"/>
      <c r="BX40" s="327">
        <v>0.35</v>
      </c>
      <c r="BY40" s="424">
        <v>53</v>
      </c>
      <c r="BZ40" s="424" t="s">
        <v>758</v>
      </c>
      <c r="CA40" s="424">
        <v>11</v>
      </c>
      <c r="CB40" s="424" t="s">
        <v>758</v>
      </c>
      <c r="CC40" s="428">
        <v>0.13</v>
      </c>
      <c r="CD40" s="428">
        <v>0.17</v>
      </c>
      <c r="CE40" s="428">
        <v>0.71</v>
      </c>
      <c r="CF40" s="428">
        <v>0</v>
      </c>
      <c r="CG40" s="428">
        <v>0.67</v>
      </c>
      <c r="CH40" s="428">
        <v>0.42</v>
      </c>
      <c r="CI40" s="428">
        <v>0.56999999999999995</v>
      </c>
      <c r="CJ40" s="424">
        <v>51</v>
      </c>
      <c r="CK40" s="424" t="s">
        <v>758</v>
      </c>
      <c r="CL40" s="424">
        <v>9</v>
      </c>
      <c r="CM40" s="424" t="s">
        <v>758</v>
      </c>
      <c r="CN40" s="428">
        <v>0</v>
      </c>
      <c r="CO40" s="428">
        <v>0.42</v>
      </c>
      <c r="CP40" s="428">
        <v>0.57999999999999996</v>
      </c>
      <c r="CQ40" s="428">
        <v>0</v>
      </c>
      <c r="CR40" s="476">
        <v>0.56999999999999995</v>
      </c>
      <c r="CS40" s="476">
        <v>0.56000000000000005</v>
      </c>
      <c r="CT40" s="476">
        <v>0.43</v>
      </c>
      <c r="CU40" s="902">
        <v>56</v>
      </c>
      <c r="CV40" s="902" t="s">
        <v>758</v>
      </c>
      <c r="CW40" s="902">
        <v>9</v>
      </c>
      <c r="CX40" s="902" t="s">
        <v>758</v>
      </c>
      <c r="CY40" s="949">
        <v>0</v>
      </c>
      <c r="CZ40" s="949">
        <v>0.26</v>
      </c>
      <c r="DA40" s="949">
        <v>0.71</v>
      </c>
      <c r="DB40" s="949">
        <v>0.03</v>
      </c>
      <c r="DC40" s="949">
        <v>0.61</v>
      </c>
      <c r="DD40" s="949">
        <v>0.42</v>
      </c>
      <c r="DE40" s="949">
        <v>0.31</v>
      </c>
      <c r="DF40" s="922">
        <v>325754001042</v>
      </c>
      <c r="DG40" s="892" t="e">
        <f>VLOOKUP(DF40,#REF!,3,0)</f>
        <v>#REF!</v>
      </c>
    </row>
    <row r="41" spans="1:111" ht="24.95" customHeight="1" x14ac:dyDescent="0.2">
      <c r="A41" s="810" t="s">
        <v>167</v>
      </c>
      <c r="B41" s="1" t="s">
        <v>123</v>
      </c>
      <c r="C41" s="524">
        <v>4</v>
      </c>
      <c r="D41" s="524">
        <v>47</v>
      </c>
      <c r="E41" s="524">
        <v>8</v>
      </c>
      <c r="F41" s="525">
        <v>7.0000000000000007E-2</v>
      </c>
      <c r="G41" s="525">
        <v>0.59</v>
      </c>
      <c r="H41" s="525">
        <v>0.35</v>
      </c>
      <c r="I41" s="525">
        <v>0</v>
      </c>
      <c r="J41" s="525">
        <v>0.56999999999999995</v>
      </c>
      <c r="K41" s="525">
        <v>0.52</v>
      </c>
      <c r="L41" s="525">
        <v>0.64</v>
      </c>
      <c r="M41" s="524">
        <v>46</v>
      </c>
      <c r="N41" s="524">
        <v>9</v>
      </c>
      <c r="O41" s="637">
        <v>0.23</v>
      </c>
      <c r="P41" s="637">
        <v>0.41</v>
      </c>
      <c r="Q41" s="637">
        <v>0.36</v>
      </c>
      <c r="R41" s="637">
        <v>0</v>
      </c>
      <c r="S41" s="637">
        <v>0.55000000000000004</v>
      </c>
      <c r="T41" s="637">
        <v>0.65</v>
      </c>
      <c r="U41" s="637">
        <v>0.46</v>
      </c>
      <c r="V41" s="524">
        <v>48</v>
      </c>
      <c r="W41" s="524">
        <v>10</v>
      </c>
      <c r="X41" s="525">
        <v>0.14000000000000001</v>
      </c>
      <c r="Y41" s="525">
        <v>0.43</v>
      </c>
      <c r="Z41" s="525">
        <v>0.43</v>
      </c>
      <c r="AA41" s="525">
        <v>0</v>
      </c>
      <c r="AB41" s="525">
        <v>0.55000000000000004</v>
      </c>
      <c r="AC41" s="525">
        <v>0.43</v>
      </c>
      <c r="AD41" s="525">
        <v>0.56000000000000005</v>
      </c>
      <c r="AE41" s="524">
        <v>47</v>
      </c>
      <c r="AF41" s="524">
        <v>10</v>
      </c>
      <c r="AG41" s="525">
        <v>0.12</v>
      </c>
      <c r="AH41" s="525">
        <v>0.52</v>
      </c>
      <c r="AI41" s="525">
        <v>0.33</v>
      </c>
      <c r="AJ41" s="525">
        <v>0.02</v>
      </c>
      <c r="AK41" s="525">
        <v>0.59</v>
      </c>
      <c r="AL41" s="525">
        <v>0.55000000000000004</v>
      </c>
      <c r="AM41" s="525">
        <v>0.4</v>
      </c>
      <c r="AN41" s="638">
        <v>48</v>
      </c>
      <c r="AO41" s="638">
        <v>10</v>
      </c>
      <c r="AP41" s="637">
        <v>0.03</v>
      </c>
      <c r="AQ41" s="637">
        <v>0.65</v>
      </c>
      <c r="AR41" s="637">
        <v>0.33</v>
      </c>
      <c r="AS41" s="637">
        <v>0</v>
      </c>
      <c r="AT41" s="637">
        <v>0.33</v>
      </c>
      <c r="AU41" s="637">
        <v>0.62</v>
      </c>
      <c r="AV41" s="637">
        <v>0.55000000000000004</v>
      </c>
      <c r="AW41" s="639">
        <v>48</v>
      </c>
      <c r="AX41" s="639" t="s">
        <v>758</v>
      </c>
      <c r="AY41" s="639">
        <v>11</v>
      </c>
      <c r="AZ41" s="639" t="s">
        <v>758</v>
      </c>
      <c r="BA41" s="640">
        <v>0.17</v>
      </c>
      <c r="BB41" s="640">
        <v>0.44</v>
      </c>
      <c r="BC41" s="640">
        <v>0.37</v>
      </c>
      <c r="BD41" s="640">
        <v>0.02</v>
      </c>
      <c r="BE41" s="640">
        <v>0.38</v>
      </c>
      <c r="BF41" s="640">
        <v>0.56999999999999995</v>
      </c>
      <c r="BG41" s="640">
        <v>0.51</v>
      </c>
      <c r="BH41" s="464">
        <v>49</v>
      </c>
      <c r="BI41" s="464" t="s">
        <v>758</v>
      </c>
      <c r="BJ41" s="464">
        <v>10</v>
      </c>
      <c r="BK41" s="464" t="s">
        <v>758</v>
      </c>
      <c r="BL41" s="464"/>
      <c r="BM41" s="464"/>
      <c r="BN41" s="464"/>
      <c r="BO41" s="476">
        <v>7.0000000000000007E-2</v>
      </c>
      <c r="BP41" s="476">
        <v>0.5</v>
      </c>
      <c r="BQ41" s="476">
        <v>0.41</v>
      </c>
      <c r="BR41" s="476">
        <v>0.02</v>
      </c>
      <c r="BS41" s="476">
        <v>0.56999999999999995</v>
      </c>
      <c r="BT41" s="476">
        <v>0.65</v>
      </c>
      <c r="BU41" s="476"/>
      <c r="BV41" s="476"/>
      <c r="BW41" s="476"/>
      <c r="BX41" s="476">
        <v>0.45</v>
      </c>
      <c r="BY41" s="641">
        <v>53</v>
      </c>
      <c r="BZ41" s="641" t="s">
        <v>758</v>
      </c>
      <c r="CA41" s="641">
        <v>7</v>
      </c>
      <c r="CB41" s="641" t="s">
        <v>758</v>
      </c>
      <c r="CC41" s="642">
        <v>0</v>
      </c>
      <c r="CD41" s="642">
        <v>0.32</v>
      </c>
      <c r="CE41" s="642">
        <v>0.68</v>
      </c>
      <c r="CF41" s="642">
        <v>0</v>
      </c>
      <c r="CG41" s="642">
        <v>0.66</v>
      </c>
      <c r="CH41" s="642">
        <v>0.37</v>
      </c>
      <c r="CI41" s="642">
        <v>0.64</v>
      </c>
      <c r="CJ41" s="641">
        <v>56</v>
      </c>
      <c r="CK41" s="641" t="s">
        <v>758</v>
      </c>
      <c r="CL41" s="641">
        <v>9</v>
      </c>
      <c r="CM41" s="641" t="s">
        <v>758</v>
      </c>
      <c r="CN41" s="642">
        <v>0</v>
      </c>
      <c r="CO41" s="642">
        <v>0.38</v>
      </c>
      <c r="CP41" s="642">
        <v>0.54</v>
      </c>
      <c r="CQ41" s="642">
        <v>0.08</v>
      </c>
      <c r="CR41" s="476">
        <v>0.5</v>
      </c>
      <c r="CS41" s="476">
        <v>0.45</v>
      </c>
      <c r="CT41" s="476">
        <v>0.39</v>
      </c>
      <c r="CU41" s="902">
        <v>56</v>
      </c>
      <c r="CV41" s="902" t="s">
        <v>758</v>
      </c>
      <c r="CW41" s="902">
        <v>10</v>
      </c>
      <c r="CX41" s="902" t="s">
        <v>758</v>
      </c>
      <c r="CY41" s="949">
        <v>0.06</v>
      </c>
      <c r="CZ41" s="949">
        <v>0.16</v>
      </c>
      <c r="DA41" s="949">
        <v>0.72</v>
      </c>
      <c r="DB41" s="949">
        <v>0.06</v>
      </c>
      <c r="DC41" s="949">
        <v>0.59</v>
      </c>
      <c r="DD41" s="949">
        <v>0.43</v>
      </c>
      <c r="DE41" s="949">
        <v>0.38</v>
      </c>
      <c r="DF41" s="922">
        <v>325754003428</v>
      </c>
      <c r="DG41" s="892" t="e">
        <f>VLOOKUP(DF41,#REF!,3,0)</f>
        <v>#REF!</v>
      </c>
    </row>
    <row r="42" spans="1:111" ht="24.95" customHeight="1" x14ac:dyDescent="0.2">
      <c r="A42" s="811" t="s">
        <v>181</v>
      </c>
      <c r="B42" s="1" t="s">
        <v>123</v>
      </c>
      <c r="C42" s="524">
        <v>5</v>
      </c>
      <c r="D42" s="524"/>
      <c r="E42" s="524"/>
      <c r="F42" s="524"/>
      <c r="G42" s="524"/>
      <c r="H42" s="524"/>
      <c r="I42" s="524"/>
      <c r="J42" s="524"/>
      <c r="K42" s="524"/>
      <c r="L42" s="524"/>
      <c r="M42" s="524" t="s">
        <v>126</v>
      </c>
      <c r="N42" s="524" t="s">
        <v>126</v>
      </c>
      <c r="O42" s="637">
        <v>0</v>
      </c>
      <c r="P42" s="637">
        <v>0.56999999999999995</v>
      </c>
      <c r="Q42" s="637">
        <v>0.43</v>
      </c>
      <c r="R42" s="637">
        <v>0</v>
      </c>
      <c r="S42" s="637">
        <v>0.53</v>
      </c>
      <c r="T42" s="637">
        <v>0.6</v>
      </c>
      <c r="U42" s="637">
        <v>0.36</v>
      </c>
      <c r="V42" s="524">
        <v>53</v>
      </c>
      <c r="W42" s="524">
        <v>10</v>
      </c>
      <c r="X42" s="525">
        <v>0.04</v>
      </c>
      <c r="Y42" s="525">
        <v>0.48</v>
      </c>
      <c r="Z42" s="525">
        <v>0.48</v>
      </c>
      <c r="AA42" s="525">
        <v>0</v>
      </c>
      <c r="AB42" s="525">
        <v>0.45</v>
      </c>
      <c r="AC42" s="525">
        <v>0.4</v>
      </c>
      <c r="AD42" s="525">
        <v>0.49</v>
      </c>
      <c r="AE42" s="524">
        <v>48</v>
      </c>
      <c r="AF42" s="524">
        <v>9</v>
      </c>
      <c r="AG42" s="525">
        <v>0</v>
      </c>
      <c r="AH42" s="525">
        <v>0.45</v>
      </c>
      <c r="AI42" s="525">
        <v>0.5</v>
      </c>
      <c r="AJ42" s="525">
        <v>0.05</v>
      </c>
      <c r="AK42" s="525">
        <v>0.56000000000000005</v>
      </c>
      <c r="AL42" s="525">
        <v>0.48</v>
      </c>
      <c r="AM42" s="525">
        <v>0.31</v>
      </c>
      <c r="AN42" s="638">
        <v>51</v>
      </c>
      <c r="AO42" s="638">
        <v>10</v>
      </c>
      <c r="AP42" s="637">
        <v>0</v>
      </c>
      <c r="AQ42" s="637">
        <v>0.59</v>
      </c>
      <c r="AR42" s="637">
        <v>0.41</v>
      </c>
      <c r="AS42" s="637">
        <v>0</v>
      </c>
      <c r="AT42" s="637">
        <v>0.3</v>
      </c>
      <c r="AU42" s="637">
        <v>0.53</v>
      </c>
      <c r="AV42" s="637">
        <v>0.53</v>
      </c>
      <c r="AW42" s="639">
        <v>52</v>
      </c>
      <c r="AX42" s="639" t="s">
        <v>758</v>
      </c>
      <c r="AY42" s="639">
        <v>10</v>
      </c>
      <c r="AZ42" s="639" t="s">
        <v>758</v>
      </c>
      <c r="BA42" s="640">
        <v>0.04</v>
      </c>
      <c r="BB42" s="640">
        <v>0.38</v>
      </c>
      <c r="BC42" s="640">
        <v>0.54</v>
      </c>
      <c r="BD42" s="640">
        <v>0.04</v>
      </c>
      <c r="BE42" s="640">
        <v>0.24</v>
      </c>
      <c r="BF42" s="640">
        <v>0.51</v>
      </c>
      <c r="BG42" s="640">
        <v>0.5</v>
      </c>
      <c r="BH42" s="464">
        <v>56</v>
      </c>
      <c r="BI42" s="464" t="s">
        <v>758</v>
      </c>
      <c r="BJ42" s="464">
        <v>13</v>
      </c>
      <c r="BK42" s="464" t="s">
        <v>758</v>
      </c>
      <c r="BL42" s="464"/>
      <c r="BM42" s="464"/>
      <c r="BN42" s="464"/>
      <c r="BO42" s="476">
        <v>0.08</v>
      </c>
      <c r="BP42" s="476">
        <v>0.31</v>
      </c>
      <c r="BQ42" s="476">
        <v>0.54</v>
      </c>
      <c r="BR42" s="476">
        <v>0.08</v>
      </c>
      <c r="BS42" s="476">
        <v>0.43</v>
      </c>
      <c r="BT42" s="476">
        <v>0.53</v>
      </c>
      <c r="BU42" s="476"/>
      <c r="BV42" s="476"/>
      <c r="BW42" s="476"/>
      <c r="BX42" s="476">
        <v>0.38</v>
      </c>
      <c r="BY42" s="641">
        <v>51</v>
      </c>
      <c r="BZ42" s="641" t="s">
        <v>758</v>
      </c>
      <c r="CA42" s="641">
        <v>11</v>
      </c>
      <c r="CB42" s="641" t="s">
        <v>758</v>
      </c>
      <c r="CC42" s="642">
        <v>0.09</v>
      </c>
      <c r="CD42" s="642">
        <v>0.41</v>
      </c>
      <c r="CE42" s="642">
        <v>0.45</v>
      </c>
      <c r="CF42" s="642">
        <v>0.05</v>
      </c>
      <c r="CG42" s="642">
        <v>0.55000000000000004</v>
      </c>
      <c r="CH42" s="642">
        <v>0.4</v>
      </c>
      <c r="CI42" s="642">
        <v>0.57999999999999996</v>
      </c>
      <c r="CJ42" s="641">
        <v>53</v>
      </c>
      <c r="CK42" s="641" t="s">
        <v>758</v>
      </c>
      <c r="CL42" s="641">
        <v>8</v>
      </c>
      <c r="CM42" s="641" t="s">
        <v>758</v>
      </c>
      <c r="CN42" s="642">
        <v>0</v>
      </c>
      <c r="CO42" s="642">
        <v>0.36</v>
      </c>
      <c r="CP42" s="642">
        <v>0.64</v>
      </c>
      <c r="CQ42" s="642">
        <v>0</v>
      </c>
      <c r="CR42" s="476">
        <v>0.6</v>
      </c>
      <c r="CS42" s="476">
        <v>0.56000000000000005</v>
      </c>
      <c r="CT42" s="476">
        <v>0.38</v>
      </c>
      <c r="CU42" s="902">
        <v>57</v>
      </c>
      <c r="CV42" s="902" t="s">
        <v>758</v>
      </c>
      <c r="CW42" s="902">
        <v>13</v>
      </c>
      <c r="CX42" s="902" t="s">
        <v>758</v>
      </c>
      <c r="CY42" s="949">
        <v>0.05</v>
      </c>
      <c r="CZ42" s="949">
        <v>0.33</v>
      </c>
      <c r="DA42" s="949">
        <v>0.43</v>
      </c>
      <c r="DB42" s="949">
        <v>0.19</v>
      </c>
      <c r="DC42" s="949">
        <v>0.49</v>
      </c>
      <c r="DD42" s="949">
        <v>0.42</v>
      </c>
      <c r="DE42" s="949">
        <v>0.33</v>
      </c>
      <c r="DF42" s="922">
        <v>325754002057</v>
      </c>
      <c r="DG42" s="892" t="e">
        <f>VLOOKUP(DF42,#REF!,3,0)</f>
        <v>#REF!</v>
      </c>
    </row>
    <row r="43" spans="1:111" ht="24.95" customHeight="1" x14ac:dyDescent="0.2">
      <c r="A43" s="809" t="s">
        <v>163</v>
      </c>
      <c r="B43" s="14" t="s">
        <v>123</v>
      </c>
      <c r="C43" s="12">
        <v>6</v>
      </c>
      <c r="D43" s="12"/>
      <c r="E43" s="12"/>
      <c r="F43" s="12"/>
      <c r="G43" s="12"/>
      <c r="H43" s="12"/>
      <c r="I43" s="12"/>
      <c r="J43" s="12"/>
      <c r="K43" s="12"/>
      <c r="L43" s="12"/>
      <c r="M43" s="12" t="s">
        <v>126</v>
      </c>
      <c r="N43" s="12" t="s">
        <v>126</v>
      </c>
      <c r="O43" s="40"/>
      <c r="P43" s="40"/>
      <c r="Q43" s="40"/>
      <c r="R43" s="40"/>
      <c r="S43" s="40"/>
      <c r="T43" s="40"/>
      <c r="U43" s="40"/>
      <c r="V43" s="12" t="s">
        <v>126</v>
      </c>
      <c r="W43" s="12" t="s">
        <v>126</v>
      </c>
      <c r="X43" s="66">
        <v>0.06</v>
      </c>
      <c r="Y43" s="66">
        <v>0.33</v>
      </c>
      <c r="Z43" s="66">
        <v>0.56000000000000005</v>
      </c>
      <c r="AA43" s="66">
        <v>0.06</v>
      </c>
      <c r="AB43" s="66">
        <v>0.47</v>
      </c>
      <c r="AC43" s="66">
        <v>0.37</v>
      </c>
      <c r="AD43" s="66">
        <v>0.56000000000000005</v>
      </c>
      <c r="AE43" s="12" t="s">
        <v>126</v>
      </c>
      <c r="AF43" s="12" t="s">
        <v>126</v>
      </c>
      <c r="AG43" s="66">
        <v>0.13</v>
      </c>
      <c r="AH43" s="66">
        <v>0.33</v>
      </c>
      <c r="AI43" s="66">
        <v>0.53</v>
      </c>
      <c r="AJ43" s="66">
        <v>0</v>
      </c>
      <c r="AK43" s="66">
        <v>0.6</v>
      </c>
      <c r="AL43" s="66">
        <v>0.56000000000000005</v>
      </c>
      <c r="AM43" s="66">
        <v>0.35</v>
      </c>
      <c r="AN43" s="35">
        <v>59</v>
      </c>
      <c r="AO43" s="35">
        <v>11</v>
      </c>
      <c r="AP43" s="40">
        <v>0</v>
      </c>
      <c r="AQ43" s="40">
        <v>0</v>
      </c>
      <c r="AR43" s="40">
        <v>1</v>
      </c>
      <c r="AS43" s="40">
        <v>0</v>
      </c>
      <c r="AT43" s="40">
        <v>0.14000000000000001</v>
      </c>
      <c r="AU43" s="40">
        <v>0.42</v>
      </c>
      <c r="AV43" s="40">
        <v>0.43</v>
      </c>
      <c r="AW43" s="246">
        <v>48</v>
      </c>
      <c r="AX43" s="246" t="s">
        <v>758</v>
      </c>
      <c r="AY43" s="246">
        <v>0</v>
      </c>
      <c r="AZ43" s="246" t="s">
        <v>760</v>
      </c>
      <c r="BA43" s="263">
        <v>0</v>
      </c>
      <c r="BB43" s="263">
        <v>1</v>
      </c>
      <c r="BC43" s="263">
        <v>0</v>
      </c>
      <c r="BD43" s="263">
        <v>0</v>
      </c>
      <c r="BE43" s="263">
        <v>0.2</v>
      </c>
      <c r="BF43" s="263">
        <v>0.67</v>
      </c>
      <c r="BG43" s="263">
        <v>0.45</v>
      </c>
      <c r="BH43" s="309">
        <v>54</v>
      </c>
      <c r="BI43" s="309" t="s">
        <v>758</v>
      </c>
      <c r="BJ43" s="309">
        <v>12</v>
      </c>
      <c r="BK43" s="309" t="s">
        <v>758</v>
      </c>
      <c r="BL43" s="464"/>
      <c r="BM43" s="464"/>
      <c r="BN43" s="464"/>
      <c r="BO43" s="327">
        <v>0</v>
      </c>
      <c r="BP43" s="327">
        <v>0.33</v>
      </c>
      <c r="BQ43" s="327">
        <v>0.67</v>
      </c>
      <c r="BR43" s="327">
        <v>0</v>
      </c>
      <c r="BS43" s="327">
        <v>0.5</v>
      </c>
      <c r="BT43" s="327">
        <v>0.77</v>
      </c>
      <c r="BU43" s="476"/>
      <c r="BV43" s="476"/>
      <c r="BW43" s="476"/>
      <c r="BX43" s="327">
        <v>0.33</v>
      </c>
      <c r="BY43" s="424">
        <v>54</v>
      </c>
      <c r="BZ43" s="424" t="s">
        <v>758</v>
      </c>
      <c r="CA43" s="424">
        <v>6</v>
      </c>
      <c r="CB43" s="424" t="s">
        <v>760</v>
      </c>
      <c r="CC43" s="428">
        <v>0</v>
      </c>
      <c r="CD43" s="428">
        <v>0.25</v>
      </c>
      <c r="CE43" s="428">
        <v>0.75</v>
      </c>
      <c r="CF43" s="428">
        <v>0</v>
      </c>
      <c r="CG43" s="428">
        <v>0.55000000000000004</v>
      </c>
      <c r="CH43" s="428">
        <v>0.38</v>
      </c>
      <c r="CI43" s="428">
        <v>0.64</v>
      </c>
      <c r="CJ43" s="424">
        <v>57</v>
      </c>
      <c r="CK43" s="424" t="s">
        <v>758</v>
      </c>
      <c r="CL43" s="424">
        <v>10</v>
      </c>
      <c r="CM43" s="424" t="s">
        <v>758</v>
      </c>
      <c r="CN43" s="428">
        <v>0</v>
      </c>
      <c r="CO43" s="428">
        <v>0.38</v>
      </c>
      <c r="CP43" s="428">
        <v>0.63</v>
      </c>
      <c r="CQ43" s="428">
        <v>0</v>
      </c>
      <c r="CR43" s="476">
        <v>0.54</v>
      </c>
      <c r="CS43" s="476">
        <v>0.41</v>
      </c>
      <c r="CT43" s="476">
        <v>0.44</v>
      </c>
      <c r="CU43" s="902">
        <v>50</v>
      </c>
      <c r="CV43" s="902" t="s">
        <v>758</v>
      </c>
      <c r="CW43" s="902">
        <v>11</v>
      </c>
      <c r="CX43" s="902" t="s">
        <v>758</v>
      </c>
      <c r="CY43" s="949">
        <v>0.09</v>
      </c>
      <c r="CZ43" s="949">
        <v>0.45</v>
      </c>
      <c r="DA43" s="949">
        <v>0.45</v>
      </c>
      <c r="DB43" s="949">
        <v>0</v>
      </c>
      <c r="DC43" s="949">
        <v>0.78</v>
      </c>
      <c r="DD43" s="949">
        <v>0.59</v>
      </c>
      <c r="DE43" s="949">
        <v>0.48</v>
      </c>
      <c r="DF43" s="922">
        <v>325754004599</v>
      </c>
      <c r="DG43" s="892" t="e">
        <f>VLOOKUP(DF43,#REF!,3,0)</f>
        <v>#REF!</v>
      </c>
    </row>
    <row r="44" spans="1:111" ht="24.95" customHeight="1" x14ac:dyDescent="0.2">
      <c r="A44" s="803" t="s">
        <v>104</v>
      </c>
      <c r="B44" s="1" t="s">
        <v>123</v>
      </c>
      <c r="C44" s="12">
        <v>2</v>
      </c>
      <c r="D44" s="12">
        <v>66</v>
      </c>
      <c r="E44" s="12">
        <v>0</v>
      </c>
      <c r="F44" s="66">
        <v>0</v>
      </c>
      <c r="G44" s="66">
        <v>0</v>
      </c>
      <c r="H44" s="66">
        <v>1</v>
      </c>
      <c r="I44" s="66">
        <v>0</v>
      </c>
      <c r="J44" s="66">
        <v>0.43</v>
      </c>
      <c r="K44" s="66">
        <v>0.33</v>
      </c>
      <c r="L44" s="66">
        <v>0.5</v>
      </c>
      <c r="M44" s="12" t="s">
        <v>126</v>
      </c>
      <c r="N44" s="12" t="s">
        <v>126</v>
      </c>
      <c r="O44" s="40"/>
      <c r="P44" s="40"/>
      <c r="Q44" s="40"/>
      <c r="R44" s="40"/>
      <c r="S44" s="40"/>
      <c r="T44" s="40"/>
      <c r="U44" s="40"/>
      <c r="V44" s="12" t="s">
        <v>126</v>
      </c>
      <c r="W44" s="12" t="s">
        <v>126</v>
      </c>
      <c r="X44" s="12"/>
      <c r="Y44" s="12"/>
      <c r="Z44" s="12"/>
      <c r="AA44" s="12"/>
      <c r="AB44" s="12"/>
      <c r="AC44" s="12"/>
      <c r="AD44" s="12"/>
      <c r="AE44" s="12" t="s">
        <v>126</v>
      </c>
      <c r="AF44" s="12" t="s">
        <v>126</v>
      </c>
      <c r="AG44" s="12"/>
      <c r="AH44" s="12"/>
      <c r="AI44" s="12"/>
      <c r="AJ44" s="12"/>
      <c r="AK44" s="12"/>
      <c r="AL44" s="12"/>
      <c r="AM44" s="12"/>
      <c r="AN44" s="35">
        <v>37</v>
      </c>
      <c r="AO44" s="35">
        <v>0</v>
      </c>
      <c r="AP44" s="40">
        <v>0</v>
      </c>
      <c r="AQ44" s="40">
        <v>1</v>
      </c>
      <c r="AR44" s="40">
        <v>0</v>
      </c>
      <c r="AS44" s="40">
        <v>0</v>
      </c>
      <c r="AT44" s="40">
        <v>0.6</v>
      </c>
      <c r="AU44" s="40">
        <v>0.75</v>
      </c>
      <c r="AV44" s="40">
        <v>0.75</v>
      </c>
      <c r="AW44" s="646"/>
      <c r="AX44" s="646"/>
      <c r="AY44" s="646"/>
      <c r="AZ44" s="646"/>
      <c r="BA44" s="646"/>
      <c r="BB44" s="646"/>
      <c r="BC44" s="646"/>
      <c r="BD44" s="646"/>
      <c r="BE44" s="646"/>
      <c r="BF44" s="646"/>
      <c r="BG44" s="646"/>
      <c r="BH44" s="649"/>
      <c r="BI44" s="649"/>
      <c r="BJ44" s="649"/>
      <c r="BK44" s="649"/>
      <c r="BL44" s="650"/>
      <c r="BM44" s="650"/>
      <c r="BN44" s="650"/>
      <c r="BO44" s="649"/>
      <c r="BP44" s="649"/>
      <c r="BQ44" s="649"/>
      <c r="BR44" s="649"/>
      <c r="BS44" s="649"/>
      <c r="BT44" s="649"/>
      <c r="BU44" s="650"/>
      <c r="BV44" s="650"/>
      <c r="BW44" s="650"/>
      <c r="BX44" s="649"/>
      <c r="BY44" s="651"/>
      <c r="BZ44" s="651"/>
      <c r="CA44" s="651"/>
      <c r="CB44" s="651"/>
      <c r="CC44" s="651"/>
      <c r="CD44" s="651"/>
      <c r="CE44" s="651"/>
      <c r="CF44" s="651"/>
      <c r="CG44" s="651"/>
      <c r="CH44" s="651"/>
      <c r="CI44" s="651"/>
      <c r="CJ44" s="651"/>
      <c r="CK44" s="651"/>
      <c r="CL44" s="651"/>
      <c r="CM44" s="651"/>
      <c r="CN44" s="651"/>
      <c r="CO44" s="651"/>
      <c r="CP44" s="651"/>
      <c r="CQ44" s="651"/>
      <c r="CR44" s="650"/>
      <c r="CS44" s="650"/>
      <c r="CT44" s="650"/>
      <c r="CU44" s="902">
        <v>46</v>
      </c>
      <c r="CV44" s="902" t="s">
        <v>760</v>
      </c>
      <c r="CW44" s="902">
        <v>8</v>
      </c>
      <c r="CX44" s="902" t="s">
        <v>758</v>
      </c>
      <c r="CY44" s="949">
        <v>0</v>
      </c>
      <c r="CZ44" s="949">
        <v>0.6</v>
      </c>
      <c r="DA44" s="949">
        <v>0.4</v>
      </c>
      <c r="DB44" s="949">
        <v>0</v>
      </c>
      <c r="DC44" s="949">
        <v>0.64</v>
      </c>
      <c r="DD44" s="949">
        <v>0.6</v>
      </c>
      <c r="DE44" s="949">
        <v>0.5</v>
      </c>
      <c r="DF44" s="922">
        <v>325754004980</v>
      </c>
      <c r="DG44" s="892" t="e">
        <f>VLOOKUP(DF44,#REF!,3,0)</f>
        <v>#REF!</v>
      </c>
    </row>
    <row r="45" spans="1:111" ht="24.95" customHeight="1" x14ac:dyDescent="0.2">
      <c r="A45" s="803" t="s">
        <v>797</v>
      </c>
      <c r="B45" s="14" t="s">
        <v>123</v>
      </c>
      <c r="C45" s="12">
        <v>2</v>
      </c>
      <c r="D45" s="12"/>
      <c r="E45" s="12"/>
      <c r="F45" s="66"/>
      <c r="G45" s="66"/>
      <c r="H45" s="66"/>
      <c r="I45" s="66"/>
      <c r="J45" s="66"/>
      <c r="K45" s="66"/>
      <c r="L45" s="66"/>
      <c r="M45" s="12"/>
      <c r="N45" s="12"/>
      <c r="O45" s="40"/>
      <c r="P45" s="40"/>
      <c r="Q45" s="40"/>
      <c r="R45" s="40"/>
      <c r="S45" s="40"/>
      <c r="T45" s="40"/>
      <c r="U45" s="40"/>
      <c r="V45" s="12"/>
      <c r="W45" s="12"/>
      <c r="X45" s="12"/>
      <c r="Y45" s="12"/>
      <c r="Z45" s="12"/>
      <c r="AA45" s="12"/>
      <c r="AB45" s="12"/>
      <c r="AC45" s="12"/>
      <c r="AD45" s="12"/>
      <c r="AE45" s="12"/>
      <c r="AF45" s="12"/>
      <c r="AG45" s="12"/>
      <c r="AH45" s="12"/>
      <c r="AI45" s="12"/>
      <c r="AJ45" s="12"/>
      <c r="AK45" s="12"/>
      <c r="AL45" s="12"/>
      <c r="AM45" s="12"/>
      <c r="AN45" s="35"/>
      <c r="AO45" s="35"/>
      <c r="AP45" s="40"/>
      <c r="AQ45" s="40"/>
      <c r="AR45" s="40"/>
      <c r="AS45" s="40"/>
      <c r="AT45" s="40"/>
      <c r="AU45" s="40"/>
      <c r="AV45" s="40"/>
      <c r="AW45" s="646"/>
      <c r="AX45" s="646"/>
      <c r="AY45" s="646"/>
      <c r="AZ45" s="646"/>
      <c r="BA45" s="646"/>
      <c r="BB45" s="646"/>
      <c r="BC45" s="646"/>
      <c r="BD45" s="646"/>
      <c r="BE45" s="646"/>
      <c r="BF45" s="646"/>
      <c r="BG45" s="646"/>
      <c r="BH45" s="309">
        <v>62</v>
      </c>
      <c r="BI45" s="309" t="s">
        <v>759</v>
      </c>
      <c r="BJ45" s="309">
        <v>4</v>
      </c>
      <c r="BK45" s="309" t="s">
        <v>760</v>
      </c>
      <c r="BL45" s="464"/>
      <c r="BM45" s="464"/>
      <c r="BN45" s="464"/>
      <c r="BO45" s="327">
        <v>0</v>
      </c>
      <c r="BP45" s="327">
        <v>0</v>
      </c>
      <c r="BQ45" s="327">
        <v>1</v>
      </c>
      <c r="BR45" s="327">
        <v>0</v>
      </c>
      <c r="BS45" s="327">
        <v>0.32</v>
      </c>
      <c r="BT45" s="327">
        <v>0.57999999999999996</v>
      </c>
      <c r="BU45" s="476"/>
      <c r="BV45" s="476"/>
      <c r="BW45" s="476"/>
      <c r="BX45" s="327">
        <v>0.57999999999999996</v>
      </c>
      <c r="BY45" s="424">
        <v>54</v>
      </c>
      <c r="BZ45" s="424" t="s">
        <v>758</v>
      </c>
      <c r="CA45" s="424">
        <v>6</v>
      </c>
      <c r="CB45" s="424" t="s">
        <v>760</v>
      </c>
      <c r="CC45" s="428">
        <v>0</v>
      </c>
      <c r="CD45" s="428">
        <v>0.28999999999999998</v>
      </c>
      <c r="CE45" s="428">
        <v>0.71</v>
      </c>
      <c r="CF45" s="428">
        <v>0</v>
      </c>
      <c r="CG45" s="428">
        <v>0.47</v>
      </c>
      <c r="CH45" s="428">
        <v>0.61</v>
      </c>
      <c r="CI45" s="428">
        <v>0.56999999999999995</v>
      </c>
      <c r="CJ45" s="424"/>
      <c r="CK45" s="424"/>
      <c r="CL45" s="424"/>
      <c r="CM45" s="424"/>
      <c r="CN45" s="428"/>
      <c r="CO45" s="428"/>
      <c r="CP45" s="428"/>
      <c r="CQ45" s="428"/>
      <c r="CR45" s="642"/>
      <c r="CS45" s="642"/>
      <c r="CT45" s="642"/>
      <c r="CU45" s="902">
        <v>59</v>
      </c>
      <c r="CV45" s="902" t="s">
        <v>758</v>
      </c>
      <c r="CW45" s="902">
        <v>10</v>
      </c>
      <c r="CX45" s="902" t="s">
        <v>758</v>
      </c>
      <c r="CY45" s="949">
        <v>0</v>
      </c>
      <c r="CZ45" s="949">
        <v>0.11</v>
      </c>
      <c r="DA45" s="949">
        <v>0.67</v>
      </c>
      <c r="DB45" s="949">
        <v>0.22</v>
      </c>
      <c r="DC45" s="949">
        <v>0.52</v>
      </c>
      <c r="DD45" s="949">
        <v>0.36</v>
      </c>
      <c r="DE45" s="949">
        <v>0.19</v>
      </c>
      <c r="DF45" s="922">
        <v>325754005561</v>
      </c>
      <c r="DG45" s="892" t="e">
        <f>VLOOKUP(DF45,#REF!,3,0)</f>
        <v>#REF!</v>
      </c>
    </row>
    <row r="46" spans="1:111" ht="24.95" customHeight="1" x14ac:dyDescent="0.2">
      <c r="A46" s="803" t="s">
        <v>40</v>
      </c>
      <c r="B46" s="1" t="s">
        <v>123</v>
      </c>
      <c r="C46" s="12">
        <v>4</v>
      </c>
      <c r="D46" s="12">
        <v>48</v>
      </c>
      <c r="E46" s="12">
        <v>9</v>
      </c>
      <c r="F46" s="66">
        <v>0.1</v>
      </c>
      <c r="G46" s="66">
        <v>0.6</v>
      </c>
      <c r="H46" s="66">
        <v>0.3</v>
      </c>
      <c r="I46" s="66">
        <v>0</v>
      </c>
      <c r="J46" s="66">
        <v>0.56000000000000005</v>
      </c>
      <c r="K46" s="66">
        <v>0.56000000000000005</v>
      </c>
      <c r="L46" s="66">
        <v>0.63</v>
      </c>
      <c r="M46" s="12">
        <v>45</v>
      </c>
      <c r="N46" s="12">
        <v>11</v>
      </c>
      <c r="O46" s="40"/>
      <c r="P46" s="40"/>
      <c r="Q46" s="40"/>
      <c r="R46" s="40"/>
      <c r="S46" s="40"/>
      <c r="T46" s="40"/>
      <c r="U46" s="40"/>
      <c r="V46" s="12">
        <v>52</v>
      </c>
      <c r="W46" s="12">
        <v>14</v>
      </c>
      <c r="X46" s="12"/>
      <c r="Y46" s="12"/>
      <c r="Z46" s="12"/>
      <c r="AA46" s="12"/>
      <c r="AB46" s="12"/>
      <c r="AC46" s="12"/>
      <c r="AD46" s="12"/>
      <c r="AE46" s="12">
        <v>57</v>
      </c>
      <c r="AF46" s="12">
        <v>7</v>
      </c>
      <c r="AG46" s="12"/>
      <c r="AH46" s="12"/>
      <c r="AI46" s="12"/>
      <c r="AJ46" s="12"/>
      <c r="AK46" s="12"/>
      <c r="AL46" s="12"/>
      <c r="AM46" s="12"/>
      <c r="AN46" s="35">
        <v>48</v>
      </c>
      <c r="AO46" s="35">
        <v>6</v>
      </c>
      <c r="AP46" s="40">
        <v>0</v>
      </c>
      <c r="AQ46" s="40">
        <v>0.69</v>
      </c>
      <c r="AR46" s="40">
        <v>0.31</v>
      </c>
      <c r="AS46" s="40">
        <v>0</v>
      </c>
      <c r="AT46" s="40">
        <v>0.33</v>
      </c>
      <c r="AU46" s="40">
        <v>0.55000000000000004</v>
      </c>
      <c r="AV46" s="40">
        <v>0.6</v>
      </c>
      <c r="AW46" s="647">
        <v>51</v>
      </c>
      <c r="AX46" s="647" t="s">
        <v>758</v>
      </c>
      <c r="AY46" s="647">
        <v>8</v>
      </c>
      <c r="AZ46" s="647" t="s">
        <v>758</v>
      </c>
      <c r="BA46" s="648">
        <v>0.05</v>
      </c>
      <c r="BB46" s="648">
        <v>0.48</v>
      </c>
      <c r="BC46" s="648">
        <v>0.48</v>
      </c>
      <c r="BD46" s="648">
        <v>0</v>
      </c>
      <c r="BE46" s="648">
        <v>0.26</v>
      </c>
      <c r="BF46" s="648">
        <v>0.54</v>
      </c>
      <c r="BG46" s="648">
        <v>0.53</v>
      </c>
      <c r="BH46" s="74">
        <v>52</v>
      </c>
      <c r="BI46" s="74" t="s">
        <v>758</v>
      </c>
      <c r="BJ46" s="74">
        <v>9</v>
      </c>
      <c r="BK46" s="74" t="s">
        <v>758</v>
      </c>
      <c r="BL46" s="74"/>
      <c r="BM46" s="74"/>
      <c r="BN46" s="74"/>
      <c r="BO46" s="96">
        <v>0.08</v>
      </c>
      <c r="BP46" s="96">
        <v>0.28000000000000003</v>
      </c>
      <c r="BQ46" s="96">
        <v>0.64</v>
      </c>
      <c r="BR46" s="96">
        <v>0</v>
      </c>
      <c r="BS46" s="96">
        <v>0.53</v>
      </c>
      <c r="BT46" s="96">
        <v>0.65</v>
      </c>
      <c r="BU46" s="96"/>
      <c r="BV46" s="96"/>
      <c r="BW46" s="96"/>
      <c r="BX46" s="96">
        <v>0.32</v>
      </c>
      <c r="BY46" s="652">
        <v>49</v>
      </c>
      <c r="BZ46" s="652" t="s">
        <v>758</v>
      </c>
      <c r="CA46" s="652">
        <v>9</v>
      </c>
      <c r="CB46" s="652" t="s">
        <v>758</v>
      </c>
      <c r="CC46" s="653">
        <v>0.06</v>
      </c>
      <c r="CD46" s="653">
        <v>0.5</v>
      </c>
      <c r="CE46" s="653">
        <v>0.44</v>
      </c>
      <c r="CF46" s="653">
        <v>0</v>
      </c>
      <c r="CG46" s="653">
        <v>0.63</v>
      </c>
      <c r="CH46" s="653">
        <v>0.51</v>
      </c>
      <c r="CI46" s="653">
        <v>0.6</v>
      </c>
      <c r="CJ46" s="652">
        <v>49</v>
      </c>
      <c r="CK46" s="652" t="s">
        <v>758</v>
      </c>
      <c r="CL46" s="652">
        <v>11</v>
      </c>
      <c r="CM46" s="652" t="s">
        <v>758</v>
      </c>
      <c r="CN46" s="653">
        <v>0.06</v>
      </c>
      <c r="CO46" s="653">
        <v>0.57999999999999996</v>
      </c>
      <c r="CP46" s="653">
        <v>0.32</v>
      </c>
      <c r="CQ46" s="653">
        <v>0.03</v>
      </c>
      <c r="CR46" s="96">
        <v>0.65</v>
      </c>
      <c r="CS46" s="96">
        <v>0.57999999999999996</v>
      </c>
      <c r="CT46" s="96">
        <v>0.52</v>
      </c>
      <c r="CU46" s="902">
        <v>53</v>
      </c>
      <c r="CV46" s="902" t="s">
        <v>758</v>
      </c>
      <c r="CW46" s="902">
        <v>10</v>
      </c>
      <c r="CX46" s="902" t="s">
        <v>758</v>
      </c>
      <c r="CY46" s="949">
        <v>0</v>
      </c>
      <c r="CZ46" s="949">
        <v>0.5</v>
      </c>
      <c r="DA46" s="949">
        <v>0.43</v>
      </c>
      <c r="DB46" s="949">
        <v>7.0000000000000007E-2</v>
      </c>
      <c r="DC46" s="949">
        <v>0.55000000000000004</v>
      </c>
      <c r="DD46" s="949">
        <v>0.49</v>
      </c>
      <c r="DE46" s="949">
        <v>0.36</v>
      </c>
      <c r="DF46" s="922">
        <v>325754004513</v>
      </c>
      <c r="DG46" s="892" t="e">
        <f>VLOOKUP(DF46,#REF!,3,0)</f>
        <v>#REF!</v>
      </c>
    </row>
    <row r="47" spans="1:111" ht="24.95" customHeight="1" x14ac:dyDescent="0.2">
      <c r="A47" s="804" t="s">
        <v>31</v>
      </c>
      <c r="B47" s="1" t="s">
        <v>123</v>
      </c>
      <c r="C47" s="328">
        <v>1</v>
      </c>
      <c r="D47" s="328">
        <v>48</v>
      </c>
      <c r="E47" s="328">
        <v>10</v>
      </c>
      <c r="F47" s="333">
        <v>7.0000000000000007E-2</v>
      </c>
      <c r="G47" s="333">
        <v>0.47</v>
      </c>
      <c r="H47" s="333">
        <v>0.47</v>
      </c>
      <c r="I47" s="333">
        <v>0</v>
      </c>
      <c r="J47" s="333">
        <v>0.54</v>
      </c>
      <c r="K47" s="333">
        <v>0.51</v>
      </c>
      <c r="L47" s="333">
        <v>0.56999999999999995</v>
      </c>
      <c r="M47" s="328" t="s">
        <v>126</v>
      </c>
      <c r="N47" s="328" t="s">
        <v>126</v>
      </c>
      <c r="O47" s="331">
        <v>0.2</v>
      </c>
      <c r="P47" s="331">
        <v>0.6</v>
      </c>
      <c r="Q47" s="331">
        <v>0.2</v>
      </c>
      <c r="R47" s="331">
        <v>0</v>
      </c>
      <c r="S47" s="331">
        <v>0.56000000000000005</v>
      </c>
      <c r="T47" s="331">
        <v>0.68</v>
      </c>
      <c r="U47" s="331">
        <v>0.43</v>
      </c>
      <c r="V47" s="328" t="s">
        <v>126</v>
      </c>
      <c r="W47" s="328" t="s">
        <v>126</v>
      </c>
      <c r="X47" s="333">
        <v>0</v>
      </c>
      <c r="Y47" s="333">
        <v>0.45</v>
      </c>
      <c r="Z47" s="333">
        <v>0.45</v>
      </c>
      <c r="AA47" s="333">
        <v>0.09</v>
      </c>
      <c r="AB47" s="333">
        <v>0.53</v>
      </c>
      <c r="AC47" s="333">
        <v>0.35</v>
      </c>
      <c r="AD47" s="333">
        <v>0.5</v>
      </c>
      <c r="AE47" s="328" t="s">
        <v>126</v>
      </c>
      <c r="AF47" s="328" t="s">
        <v>126</v>
      </c>
      <c r="AG47" s="333">
        <v>0</v>
      </c>
      <c r="AH47" s="333">
        <v>0.2</v>
      </c>
      <c r="AI47" s="333">
        <v>0.8</v>
      </c>
      <c r="AJ47" s="333">
        <v>0</v>
      </c>
      <c r="AK47" s="333">
        <v>0.5</v>
      </c>
      <c r="AL47" s="333">
        <v>0.4</v>
      </c>
      <c r="AM47" s="333">
        <v>0.24</v>
      </c>
      <c r="BH47" s="649"/>
      <c r="BI47" s="649"/>
      <c r="BJ47" s="649"/>
      <c r="BK47" s="649"/>
      <c r="BL47" s="650"/>
      <c r="BM47" s="650"/>
      <c r="BN47" s="650"/>
      <c r="BO47" s="649"/>
      <c r="BP47" s="649"/>
      <c r="BQ47" s="649"/>
      <c r="BR47" s="649"/>
      <c r="BS47" s="649"/>
      <c r="BT47" s="649"/>
      <c r="BU47" s="650"/>
      <c r="BV47" s="650"/>
      <c r="BW47" s="650"/>
      <c r="BX47" s="649"/>
      <c r="BY47" s="651"/>
      <c r="BZ47" s="651"/>
      <c r="CA47" s="651"/>
      <c r="CB47" s="651"/>
      <c r="CC47" s="651"/>
      <c r="CD47" s="651"/>
      <c r="CE47" s="651"/>
      <c r="CF47" s="651"/>
      <c r="CG47" s="651"/>
      <c r="CH47" s="651"/>
      <c r="CI47" s="651"/>
      <c r="CJ47" s="651"/>
      <c r="CK47" s="651"/>
      <c r="CL47" s="651"/>
      <c r="CM47" s="651"/>
      <c r="CN47" s="651"/>
      <c r="CO47" s="651"/>
      <c r="CP47" s="651"/>
      <c r="CQ47" s="651"/>
      <c r="CR47" s="651"/>
      <c r="CS47" s="651"/>
      <c r="CT47" s="651"/>
      <c r="CY47" s="949"/>
      <c r="CZ47" s="949"/>
      <c r="DA47" s="949"/>
      <c r="DB47" s="949"/>
      <c r="DC47" s="949"/>
      <c r="DD47" s="949"/>
      <c r="DE47" s="949"/>
      <c r="DG47" s="892"/>
    </row>
    <row r="48" spans="1:111" ht="24.95" customHeight="1" x14ac:dyDescent="0.2">
      <c r="A48" s="803" t="s">
        <v>43</v>
      </c>
      <c r="B48" s="1" t="s">
        <v>123</v>
      </c>
      <c r="C48" s="12">
        <v>2</v>
      </c>
      <c r="D48" s="12">
        <v>44</v>
      </c>
      <c r="E48" s="12">
        <v>10</v>
      </c>
      <c r="F48" s="66">
        <v>0.08</v>
      </c>
      <c r="G48" s="66">
        <v>0.67</v>
      </c>
      <c r="H48" s="66">
        <v>0.25</v>
      </c>
      <c r="I48" s="66">
        <v>0</v>
      </c>
      <c r="J48" s="66">
        <v>0.62</v>
      </c>
      <c r="K48" s="66">
        <v>0.49</v>
      </c>
      <c r="L48" s="66">
        <v>0.65</v>
      </c>
      <c r="M48" s="12" t="s">
        <v>126</v>
      </c>
      <c r="N48" s="12" t="s">
        <v>126</v>
      </c>
      <c r="O48" s="40"/>
      <c r="P48" s="40"/>
      <c r="Q48" s="40"/>
      <c r="R48" s="40"/>
      <c r="S48" s="40"/>
      <c r="T48" s="40"/>
      <c r="U48" s="40"/>
      <c r="V48" s="12">
        <v>47</v>
      </c>
      <c r="W48" s="12">
        <v>10</v>
      </c>
      <c r="X48" s="12"/>
      <c r="Y48" s="12"/>
      <c r="Z48" s="12"/>
      <c r="AA48" s="12"/>
      <c r="AB48" s="12"/>
      <c r="AC48" s="12"/>
      <c r="AD48" s="12"/>
      <c r="AE48" s="12">
        <v>50</v>
      </c>
      <c r="AF48" s="12">
        <v>8</v>
      </c>
      <c r="AG48" s="12"/>
      <c r="AH48" s="12"/>
      <c r="AI48" s="12"/>
      <c r="AJ48" s="12"/>
      <c r="AK48" s="12"/>
      <c r="AL48" s="12"/>
      <c r="AM48" s="12"/>
      <c r="AN48" s="45">
        <v>54</v>
      </c>
      <c r="AO48" s="45">
        <v>7</v>
      </c>
      <c r="AP48" s="46">
        <v>0</v>
      </c>
      <c r="AQ48" s="46">
        <v>0.33</v>
      </c>
      <c r="AR48" s="46">
        <v>0.67</v>
      </c>
      <c r="AS48" s="46">
        <v>0</v>
      </c>
      <c r="AT48" s="46">
        <v>0.23</v>
      </c>
      <c r="AU48" s="46">
        <v>0.47</v>
      </c>
      <c r="AV48" s="46">
        <v>0.4</v>
      </c>
      <c r="AW48" s="246">
        <v>48</v>
      </c>
      <c r="AX48" s="246" t="s">
        <v>758</v>
      </c>
      <c r="AY48" s="246">
        <v>9</v>
      </c>
      <c r="AZ48" s="246" t="s">
        <v>758</v>
      </c>
      <c r="BA48" s="263">
        <v>0.08</v>
      </c>
      <c r="BB48" s="263">
        <v>0.5</v>
      </c>
      <c r="BC48" s="263">
        <v>0.42</v>
      </c>
      <c r="BD48" s="263">
        <v>0</v>
      </c>
      <c r="BE48" s="263">
        <v>0.31</v>
      </c>
      <c r="BF48" s="263">
        <v>0.55000000000000004</v>
      </c>
      <c r="BG48" s="263">
        <v>0.55000000000000004</v>
      </c>
      <c r="BH48" s="649"/>
      <c r="BI48" s="649"/>
      <c r="BJ48" s="649"/>
      <c r="BK48" s="649"/>
      <c r="BL48" s="650"/>
      <c r="BM48" s="650"/>
      <c r="BN48" s="650"/>
      <c r="BO48" s="649"/>
      <c r="BP48" s="649"/>
      <c r="BQ48" s="649"/>
      <c r="BR48" s="649"/>
      <c r="BS48" s="649"/>
      <c r="BT48" s="649"/>
      <c r="BU48" s="650"/>
      <c r="BV48" s="650"/>
      <c r="BW48" s="650"/>
      <c r="BX48" s="649"/>
      <c r="BY48" s="424">
        <v>53</v>
      </c>
      <c r="BZ48" s="424" t="s">
        <v>758</v>
      </c>
      <c r="CA48" s="424">
        <v>8</v>
      </c>
      <c r="CB48" s="424" t="s">
        <v>758</v>
      </c>
      <c r="CC48" s="428">
        <v>0</v>
      </c>
      <c r="CD48" s="428">
        <v>0.43</v>
      </c>
      <c r="CE48" s="428">
        <v>0.56999999999999995</v>
      </c>
      <c r="CF48" s="428">
        <v>0</v>
      </c>
      <c r="CG48" s="428">
        <v>0.74</v>
      </c>
      <c r="CH48" s="428">
        <v>0.46</v>
      </c>
      <c r="CI48" s="428">
        <v>0.48</v>
      </c>
      <c r="CJ48" s="654">
        <v>57</v>
      </c>
      <c r="CK48" s="654" t="s">
        <v>758</v>
      </c>
      <c r="CL48" s="654">
        <v>9</v>
      </c>
      <c r="CM48" s="654" t="s">
        <v>758</v>
      </c>
      <c r="CN48" s="655">
        <v>0</v>
      </c>
      <c r="CO48" s="655">
        <v>0.31</v>
      </c>
      <c r="CP48" s="655">
        <v>0.62</v>
      </c>
      <c r="CQ48" s="655">
        <v>0.08</v>
      </c>
      <c r="CR48" s="476">
        <v>0.52</v>
      </c>
      <c r="CS48" s="476">
        <v>0.48</v>
      </c>
      <c r="CT48" s="476">
        <v>0.25</v>
      </c>
      <c r="CU48" s="902">
        <v>48</v>
      </c>
      <c r="CV48" s="902" t="s">
        <v>758</v>
      </c>
      <c r="CW48" s="902">
        <v>11</v>
      </c>
      <c r="CX48" s="902" t="s">
        <v>758</v>
      </c>
      <c r="CY48" s="949">
        <v>0.14000000000000001</v>
      </c>
      <c r="CZ48" s="949">
        <v>0.43</v>
      </c>
      <c r="DA48" s="949">
        <v>0.43</v>
      </c>
      <c r="DB48" s="949">
        <v>0</v>
      </c>
      <c r="DC48" s="949">
        <v>0.75</v>
      </c>
      <c r="DD48" s="949">
        <v>0.54</v>
      </c>
      <c r="DE48" s="949">
        <v>0.28999999999999998</v>
      </c>
      <c r="DF48" s="922">
        <v>325754000160</v>
      </c>
      <c r="DG48" s="892" t="e">
        <f>VLOOKUP(DF48,#REF!,3,0)</f>
        <v>#REF!</v>
      </c>
    </row>
    <row r="49" spans="1:111" ht="24.95" customHeight="1" x14ac:dyDescent="0.2">
      <c r="A49" s="809" t="s">
        <v>164</v>
      </c>
      <c r="B49" s="1" t="s">
        <v>123</v>
      </c>
      <c r="C49" s="12">
        <v>6</v>
      </c>
      <c r="D49" s="12"/>
      <c r="E49" s="12"/>
      <c r="F49" s="12"/>
      <c r="G49" s="12"/>
      <c r="H49" s="12"/>
      <c r="I49" s="12"/>
      <c r="J49" s="12"/>
      <c r="K49" s="12"/>
      <c r="L49" s="12"/>
      <c r="M49" s="12" t="s">
        <v>126</v>
      </c>
      <c r="N49" s="12" t="s">
        <v>126</v>
      </c>
      <c r="O49" s="40"/>
      <c r="P49" s="40"/>
      <c r="Q49" s="40"/>
      <c r="R49" s="40"/>
      <c r="S49" s="40"/>
      <c r="T49" s="40"/>
      <c r="U49" s="40"/>
      <c r="V49" s="12" t="s">
        <v>126</v>
      </c>
      <c r="W49" s="12" t="s">
        <v>126</v>
      </c>
      <c r="X49" s="66">
        <v>0</v>
      </c>
      <c r="Y49" s="66">
        <v>0.56999999999999995</v>
      </c>
      <c r="Z49" s="66">
        <v>0.43</v>
      </c>
      <c r="AA49" s="66">
        <v>0</v>
      </c>
      <c r="AB49" s="66">
        <v>0.61</v>
      </c>
      <c r="AC49" s="66">
        <v>0.41</v>
      </c>
      <c r="AD49" s="66">
        <v>0.6</v>
      </c>
      <c r="AE49" s="12" t="s">
        <v>126</v>
      </c>
      <c r="AF49" s="12" t="s">
        <v>126</v>
      </c>
      <c r="AG49" s="66">
        <v>0.08</v>
      </c>
      <c r="AH49" s="66">
        <v>0.54</v>
      </c>
      <c r="AI49" s="66">
        <v>0.38</v>
      </c>
      <c r="AJ49" s="66">
        <v>0</v>
      </c>
      <c r="AK49" s="66">
        <v>0.56999999999999995</v>
      </c>
      <c r="AL49" s="66">
        <v>0.5</v>
      </c>
      <c r="AM49" s="66">
        <v>0.34</v>
      </c>
      <c r="AN49" s="35">
        <v>50</v>
      </c>
      <c r="AO49" s="35">
        <v>10</v>
      </c>
      <c r="AP49" s="40">
        <v>0.08</v>
      </c>
      <c r="AQ49" s="40">
        <v>0.32</v>
      </c>
      <c r="AR49" s="40">
        <v>0.6</v>
      </c>
      <c r="AS49" s="40">
        <v>0</v>
      </c>
      <c r="AT49" s="40">
        <v>0.33</v>
      </c>
      <c r="AU49" s="40">
        <v>0.55000000000000004</v>
      </c>
      <c r="AV49" s="40">
        <v>0.54</v>
      </c>
      <c r="AW49" s="647">
        <v>51</v>
      </c>
      <c r="AX49" s="647" t="s">
        <v>758</v>
      </c>
      <c r="AY49" s="647">
        <v>11</v>
      </c>
      <c r="AZ49" s="647" t="s">
        <v>758</v>
      </c>
      <c r="BA49" s="648">
        <v>0.15</v>
      </c>
      <c r="BB49" s="648">
        <v>0.27</v>
      </c>
      <c r="BC49" s="648">
        <v>0.57999999999999996</v>
      </c>
      <c r="BD49" s="648">
        <v>0</v>
      </c>
      <c r="BE49" s="648">
        <v>0.27</v>
      </c>
      <c r="BF49" s="648">
        <v>0.51</v>
      </c>
      <c r="BG49" s="648">
        <v>0.49</v>
      </c>
      <c r="BH49" s="74">
        <v>45</v>
      </c>
      <c r="BI49" s="74" t="s">
        <v>760</v>
      </c>
      <c r="BJ49" s="74">
        <v>12</v>
      </c>
      <c r="BK49" s="74" t="s">
        <v>758</v>
      </c>
      <c r="BL49" s="74"/>
      <c r="BM49" s="74"/>
      <c r="BN49" s="74"/>
      <c r="BO49" s="96">
        <v>0.19</v>
      </c>
      <c r="BP49" s="96">
        <v>0.5</v>
      </c>
      <c r="BQ49" s="96">
        <v>0.31</v>
      </c>
      <c r="BR49" s="96">
        <v>0</v>
      </c>
      <c r="BS49" s="96">
        <v>0.61</v>
      </c>
      <c r="BT49" s="96">
        <v>0.68</v>
      </c>
      <c r="BU49" s="96"/>
      <c r="BV49" s="96"/>
      <c r="BW49" s="96"/>
      <c r="BX49" s="96">
        <v>0.52</v>
      </c>
      <c r="BY49" s="652">
        <v>52</v>
      </c>
      <c r="BZ49" s="652" t="s">
        <v>758</v>
      </c>
      <c r="CA49" s="652">
        <v>11</v>
      </c>
      <c r="CB49" s="652" t="s">
        <v>758</v>
      </c>
      <c r="CC49" s="653">
        <v>0.11</v>
      </c>
      <c r="CD49" s="653">
        <v>0.28999999999999998</v>
      </c>
      <c r="CE49" s="653">
        <v>0.61</v>
      </c>
      <c r="CF49" s="653">
        <v>0</v>
      </c>
      <c r="CG49" s="653">
        <v>0.67</v>
      </c>
      <c r="CH49" s="653">
        <v>0.45</v>
      </c>
      <c r="CI49" s="653">
        <v>0.59</v>
      </c>
      <c r="CJ49" s="74">
        <v>52</v>
      </c>
      <c r="CK49" s="74" t="s">
        <v>758</v>
      </c>
      <c r="CL49" s="74">
        <v>9</v>
      </c>
      <c r="CM49" s="74" t="s">
        <v>758</v>
      </c>
      <c r="CN49" s="96">
        <v>0</v>
      </c>
      <c r="CO49" s="96">
        <v>0.49</v>
      </c>
      <c r="CP49" s="96">
        <v>0.51</v>
      </c>
      <c r="CQ49" s="96">
        <v>0</v>
      </c>
      <c r="CR49" s="96">
        <v>0.66</v>
      </c>
      <c r="CS49" s="96">
        <v>0.55000000000000004</v>
      </c>
      <c r="CT49" s="96">
        <v>0.42</v>
      </c>
      <c r="CU49" s="902">
        <v>56</v>
      </c>
      <c r="CV49" s="902" t="s">
        <v>758</v>
      </c>
      <c r="CW49" s="902">
        <v>8</v>
      </c>
      <c r="CX49" s="902" t="s">
        <v>758</v>
      </c>
      <c r="CY49" s="949">
        <v>0.03</v>
      </c>
      <c r="CZ49" s="949">
        <v>0.18</v>
      </c>
      <c r="DA49" s="949">
        <v>0.79</v>
      </c>
      <c r="DB49" s="949">
        <v>0</v>
      </c>
      <c r="DC49" s="949">
        <v>0.54</v>
      </c>
      <c r="DD49" s="949">
        <v>0.41</v>
      </c>
      <c r="DE49" s="949">
        <v>0.28999999999999998</v>
      </c>
      <c r="DF49" s="922">
        <v>325754003363</v>
      </c>
      <c r="DG49" s="892" t="e">
        <f>VLOOKUP(DF49,#REF!,3,0)</f>
        <v>#REF!</v>
      </c>
    </row>
    <row r="50" spans="1:111" ht="24.95" customHeight="1" x14ac:dyDescent="0.2">
      <c r="A50" s="803" t="s">
        <v>125</v>
      </c>
      <c r="B50" s="1" t="s">
        <v>123</v>
      </c>
      <c r="C50" s="12">
        <v>3</v>
      </c>
      <c r="D50" s="12"/>
      <c r="E50" s="12"/>
      <c r="F50" s="12"/>
      <c r="G50" s="12"/>
      <c r="H50" s="12"/>
      <c r="I50" s="12"/>
      <c r="J50" s="12"/>
      <c r="K50" s="12"/>
      <c r="L50" s="12"/>
      <c r="M50" s="12">
        <v>50</v>
      </c>
      <c r="N50" s="12">
        <v>9</v>
      </c>
      <c r="O50" s="40"/>
      <c r="P50" s="40"/>
      <c r="Q50" s="40"/>
      <c r="R50" s="40"/>
      <c r="S50" s="40"/>
      <c r="T50" s="40"/>
      <c r="U50" s="40"/>
      <c r="V50" s="12">
        <v>49</v>
      </c>
      <c r="W50" s="12">
        <v>9</v>
      </c>
      <c r="X50" s="12"/>
      <c r="Y50" s="12"/>
      <c r="Z50" s="12"/>
      <c r="AA50" s="12"/>
      <c r="AB50" s="12"/>
      <c r="AC50" s="12"/>
      <c r="AD50" s="12"/>
      <c r="AE50" s="12">
        <v>51</v>
      </c>
      <c r="AF50" s="12">
        <v>10</v>
      </c>
      <c r="AG50" s="12"/>
      <c r="AH50" s="12"/>
      <c r="AI50" s="12"/>
      <c r="AJ50" s="12"/>
      <c r="AK50" s="12"/>
      <c r="AL50" s="12"/>
      <c r="AM50" s="12"/>
      <c r="AN50" s="35">
        <v>49</v>
      </c>
      <c r="AO50" s="35">
        <v>9</v>
      </c>
      <c r="AP50" s="40">
        <v>0.05</v>
      </c>
      <c r="AQ50" s="40">
        <v>0.52</v>
      </c>
      <c r="AR50" s="40">
        <v>0.42</v>
      </c>
      <c r="AS50" s="40">
        <v>0.01</v>
      </c>
      <c r="AT50" s="40">
        <v>0.32</v>
      </c>
      <c r="AU50" s="40">
        <v>0.56000000000000005</v>
      </c>
      <c r="AV50" s="40">
        <v>0.56999999999999995</v>
      </c>
      <c r="AW50" s="246">
        <v>48</v>
      </c>
      <c r="AX50" s="246" t="s">
        <v>758</v>
      </c>
      <c r="AY50" s="246">
        <v>8</v>
      </c>
      <c r="AZ50" s="246" t="s">
        <v>758</v>
      </c>
      <c r="BA50" s="263">
        <v>7.0000000000000007E-2</v>
      </c>
      <c r="BB50" s="263">
        <v>0.52</v>
      </c>
      <c r="BC50" s="263">
        <v>0.4</v>
      </c>
      <c r="BD50" s="263">
        <v>0.01</v>
      </c>
      <c r="BE50" s="263">
        <v>0.32</v>
      </c>
      <c r="BF50" s="263">
        <v>0.57999999999999996</v>
      </c>
      <c r="BG50" s="263">
        <v>0.52</v>
      </c>
      <c r="BH50" s="74">
        <v>48</v>
      </c>
      <c r="BI50" s="74" t="s">
        <v>758</v>
      </c>
      <c r="BJ50" s="74">
        <v>9</v>
      </c>
      <c r="BK50" s="74" t="s">
        <v>758</v>
      </c>
      <c r="BL50" s="74"/>
      <c r="BM50" s="74"/>
      <c r="BN50" s="74"/>
      <c r="BO50" s="96">
        <v>0.11</v>
      </c>
      <c r="BP50" s="96">
        <v>0.47</v>
      </c>
      <c r="BQ50" s="96">
        <v>0.43</v>
      </c>
      <c r="BR50" s="96">
        <v>0</v>
      </c>
      <c r="BS50" s="96">
        <v>0.61</v>
      </c>
      <c r="BT50" s="96">
        <v>0.66</v>
      </c>
      <c r="BU50" s="96"/>
      <c r="BV50" s="96"/>
      <c r="BW50" s="96"/>
      <c r="BX50" s="96">
        <v>0.45</v>
      </c>
      <c r="BY50" s="424">
        <v>50</v>
      </c>
      <c r="BZ50" s="424" t="s">
        <v>758</v>
      </c>
      <c r="CA50" s="424">
        <v>9</v>
      </c>
      <c r="CB50" s="424" t="s">
        <v>758</v>
      </c>
      <c r="CC50" s="428">
        <v>7.0000000000000007E-2</v>
      </c>
      <c r="CD50" s="428">
        <v>0.42</v>
      </c>
      <c r="CE50" s="428">
        <v>0.5</v>
      </c>
      <c r="CF50" s="428">
        <v>0.01</v>
      </c>
      <c r="CG50" s="428">
        <v>0.64</v>
      </c>
      <c r="CH50" s="428">
        <v>0.39</v>
      </c>
      <c r="CI50" s="428">
        <v>0.64</v>
      </c>
      <c r="CJ50" s="464">
        <v>49</v>
      </c>
      <c r="CK50" s="464" t="s">
        <v>758</v>
      </c>
      <c r="CL50" s="464">
        <v>12</v>
      </c>
      <c r="CM50" s="464" t="s">
        <v>758</v>
      </c>
      <c r="CN50" s="476">
        <v>0.15</v>
      </c>
      <c r="CO50" s="476">
        <v>0.38</v>
      </c>
      <c r="CP50" s="476">
        <v>0.46</v>
      </c>
      <c r="CQ50" s="476">
        <v>0.01</v>
      </c>
      <c r="CR50" s="476">
        <v>0.56999999999999995</v>
      </c>
      <c r="CS50" s="476">
        <v>0.56000000000000005</v>
      </c>
      <c r="CT50" s="476">
        <v>0.5</v>
      </c>
      <c r="CU50" s="902">
        <v>51</v>
      </c>
      <c r="CV50" s="902" t="s">
        <v>758</v>
      </c>
      <c r="CW50" s="902">
        <v>10</v>
      </c>
      <c r="CX50" s="902" t="s">
        <v>758</v>
      </c>
      <c r="CY50" s="949">
        <v>7.0000000000000007E-2</v>
      </c>
      <c r="CZ50" s="949">
        <v>0.44</v>
      </c>
      <c r="DA50" s="949">
        <v>0.47</v>
      </c>
      <c r="DB50" s="949">
        <v>0.02</v>
      </c>
      <c r="DC50" s="949">
        <v>0.62</v>
      </c>
      <c r="DD50" s="949">
        <v>0.5</v>
      </c>
      <c r="DE50" s="949">
        <v>0.36</v>
      </c>
      <c r="DF50" s="922">
        <v>125754005189</v>
      </c>
      <c r="DG50" s="892" t="e">
        <f>VLOOKUP(DF50,#REF!,3,0)</f>
        <v>#REF!</v>
      </c>
    </row>
    <row r="51" spans="1:111" ht="24.95" customHeight="1" x14ac:dyDescent="0.2">
      <c r="A51" s="803" t="s">
        <v>72</v>
      </c>
      <c r="B51" s="1" t="s">
        <v>123</v>
      </c>
      <c r="C51" s="12">
        <v>2</v>
      </c>
      <c r="D51" s="12">
        <v>59</v>
      </c>
      <c r="E51" s="12">
        <v>9</v>
      </c>
      <c r="F51" s="66">
        <v>0</v>
      </c>
      <c r="G51" s="66">
        <v>0.2</v>
      </c>
      <c r="H51" s="66">
        <v>0.71</v>
      </c>
      <c r="I51" s="66">
        <v>0.09</v>
      </c>
      <c r="J51" s="66">
        <v>0.43</v>
      </c>
      <c r="K51" s="66">
        <v>0.34</v>
      </c>
      <c r="L51" s="66">
        <v>0.43</v>
      </c>
      <c r="M51" s="12">
        <v>59</v>
      </c>
      <c r="N51" s="12">
        <v>9</v>
      </c>
      <c r="O51" s="40">
        <v>7.0000000000000007E-2</v>
      </c>
      <c r="P51" s="40">
        <v>0.4</v>
      </c>
      <c r="Q51" s="40">
        <v>0.52</v>
      </c>
      <c r="R51" s="40">
        <v>0.01</v>
      </c>
      <c r="S51" s="40">
        <v>0.51</v>
      </c>
      <c r="T51" s="40">
        <v>0.59</v>
      </c>
      <c r="U51" s="40">
        <v>0.39</v>
      </c>
      <c r="V51" s="12">
        <v>59</v>
      </c>
      <c r="W51" s="12">
        <v>8</v>
      </c>
      <c r="X51" s="66">
        <v>7.0000000000000007E-2</v>
      </c>
      <c r="Y51" s="66">
        <v>0.5</v>
      </c>
      <c r="Z51" s="66">
        <v>0.44</v>
      </c>
      <c r="AA51" s="66">
        <v>0</v>
      </c>
      <c r="AB51" s="66">
        <v>0.54</v>
      </c>
      <c r="AC51" s="66">
        <v>0.4</v>
      </c>
      <c r="AD51" s="66">
        <v>0.56999999999999995</v>
      </c>
      <c r="AE51" s="12">
        <v>61</v>
      </c>
      <c r="AF51" s="12">
        <v>10</v>
      </c>
      <c r="AG51" s="66">
        <v>0.06</v>
      </c>
      <c r="AH51" s="66">
        <v>0.44</v>
      </c>
      <c r="AI51" s="66">
        <v>0.48</v>
      </c>
      <c r="AJ51" s="66">
        <v>0.02</v>
      </c>
      <c r="AK51" s="66">
        <v>0.56999999999999995</v>
      </c>
      <c r="AL51" s="66">
        <v>0.51</v>
      </c>
      <c r="AM51" s="66">
        <v>0.3</v>
      </c>
      <c r="AN51" s="35">
        <v>60</v>
      </c>
      <c r="AO51" s="35">
        <v>9</v>
      </c>
      <c r="AP51" s="40">
        <v>0.02</v>
      </c>
      <c r="AQ51" s="40">
        <v>0.08</v>
      </c>
      <c r="AR51" s="40">
        <v>0.76</v>
      </c>
      <c r="AS51" s="40">
        <v>0.13</v>
      </c>
      <c r="AT51" s="40">
        <v>0.19</v>
      </c>
      <c r="AU51" s="40">
        <v>0.36</v>
      </c>
      <c r="AV51" s="40">
        <v>0.37</v>
      </c>
      <c r="AW51" s="246">
        <v>59</v>
      </c>
      <c r="AX51" s="246" t="s">
        <v>758</v>
      </c>
      <c r="AY51" s="246">
        <v>10</v>
      </c>
      <c r="AZ51" s="246" t="s">
        <v>758</v>
      </c>
      <c r="BA51" s="263">
        <v>0.01</v>
      </c>
      <c r="BB51" s="263">
        <v>0.19</v>
      </c>
      <c r="BC51" s="263">
        <v>0.71</v>
      </c>
      <c r="BD51" s="263">
        <v>0.09</v>
      </c>
      <c r="BE51" s="263">
        <v>0.21</v>
      </c>
      <c r="BF51" s="263">
        <v>0.39</v>
      </c>
      <c r="BG51" s="263">
        <v>0.36</v>
      </c>
      <c r="BH51" s="309">
        <v>60</v>
      </c>
      <c r="BI51" s="309" t="s">
        <v>758</v>
      </c>
      <c r="BJ51" s="309">
        <v>9</v>
      </c>
      <c r="BK51" s="309" t="s">
        <v>758</v>
      </c>
      <c r="BL51" s="464"/>
      <c r="BM51" s="464"/>
      <c r="BN51" s="464"/>
      <c r="BO51" s="327">
        <v>0.01</v>
      </c>
      <c r="BP51" s="327">
        <v>0.13</v>
      </c>
      <c r="BQ51" s="327">
        <v>0.77</v>
      </c>
      <c r="BR51" s="327">
        <v>0.09</v>
      </c>
      <c r="BS51" s="327">
        <v>0.38</v>
      </c>
      <c r="BT51" s="327">
        <v>0.42</v>
      </c>
      <c r="BU51" s="476"/>
      <c r="BV51" s="476"/>
      <c r="BW51" s="476"/>
      <c r="BX51" s="327">
        <v>0.26</v>
      </c>
      <c r="BY51" s="424">
        <v>60</v>
      </c>
      <c r="BZ51" s="424" t="s">
        <v>758</v>
      </c>
      <c r="CA51" s="424">
        <v>8</v>
      </c>
      <c r="CB51" s="424" t="s">
        <v>758</v>
      </c>
      <c r="CC51" s="428">
        <v>0</v>
      </c>
      <c r="CD51" s="428">
        <v>0.11</v>
      </c>
      <c r="CE51" s="428">
        <v>0.79</v>
      </c>
      <c r="CF51" s="428">
        <v>0.1</v>
      </c>
      <c r="CG51" s="428">
        <v>0.52</v>
      </c>
      <c r="CH51" s="428">
        <v>0.24</v>
      </c>
      <c r="CI51" s="428">
        <v>0.45</v>
      </c>
      <c r="CJ51" s="464">
        <v>62</v>
      </c>
      <c r="CK51" s="464" t="s">
        <v>759</v>
      </c>
      <c r="CL51" s="464">
        <v>10</v>
      </c>
      <c r="CM51" s="464" t="s">
        <v>758</v>
      </c>
      <c r="CN51" s="476">
        <v>0.01</v>
      </c>
      <c r="CO51" s="476">
        <v>0.11</v>
      </c>
      <c r="CP51" s="476">
        <v>0.69</v>
      </c>
      <c r="CQ51" s="476">
        <v>0.19</v>
      </c>
      <c r="CR51" s="476">
        <v>0.38</v>
      </c>
      <c r="CS51" s="476">
        <v>0.37</v>
      </c>
      <c r="CT51" s="476">
        <v>0.28999999999999998</v>
      </c>
      <c r="CU51" s="902">
        <v>60</v>
      </c>
      <c r="CV51" s="902" t="s">
        <v>758</v>
      </c>
      <c r="CW51" s="902">
        <v>10</v>
      </c>
      <c r="CX51" s="902" t="s">
        <v>758</v>
      </c>
      <c r="CY51" s="949">
        <v>0.01</v>
      </c>
      <c r="CZ51" s="949">
        <v>0.15</v>
      </c>
      <c r="DA51" s="949">
        <v>0.68</v>
      </c>
      <c r="DB51" s="949">
        <v>0.15</v>
      </c>
      <c r="DC51" s="949">
        <v>0.5</v>
      </c>
      <c r="DD51" s="949">
        <v>0.37</v>
      </c>
      <c r="DE51" s="949">
        <v>0.24</v>
      </c>
      <c r="DF51" s="922">
        <v>325754001891</v>
      </c>
      <c r="DG51" s="892" t="e">
        <f>VLOOKUP(DF51,#REF!,3,0)</f>
        <v>#REF!</v>
      </c>
    </row>
    <row r="52" spans="1:111" ht="24.95" customHeight="1" x14ac:dyDescent="0.2">
      <c r="A52" s="809" t="s">
        <v>165</v>
      </c>
      <c r="B52" s="1" t="s">
        <v>123</v>
      </c>
      <c r="C52" s="12">
        <v>2</v>
      </c>
      <c r="D52" s="12"/>
      <c r="E52" s="12"/>
      <c r="F52" s="12"/>
      <c r="G52" s="12"/>
      <c r="H52" s="12"/>
      <c r="I52" s="12"/>
      <c r="J52" s="12"/>
      <c r="K52" s="12"/>
      <c r="L52" s="12"/>
      <c r="M52" s="12" t="s">
        <v>126</v>
      </c>
      <c r="N52" s="12" t="s">
        <v>126</v>
      </c>
      <c r="O52" s="40">
        <v>0.01</v>
      </c>
      <c r="P52" s="40">
        <v>0.19</v>
      </c>
      <c r="Q52" s="40">
        <v>0.71</v>
      </c>
      <c r="R52" s="40">
        <v>0.09</v>
      </c>
      <c r="S52" s="40">
        <v>0.38</v>
      </c>
      <c r="T52" s="40">
        <v>0.43</v>
      </c>
      <c r="U52" s="40">
        <v>0.25</v>
      </c>
      <c r="V52" s="12" t="s">
        <v>126</v>
      </c>
      <c r="W52" s="12" t="s">
        <v>126</v>
      </c>
      <c r="X52" s="66">
        <v>0.01</v>
      </c>
      <c r="Y52" s="66">
        <v>0.09</v>
      </c>
      <c r="Z52" s="66">
        <v>0.85</v>
      </c>
      <c r="AA52" s="66">
        <v>0.06</v>
      </c>
      <c r="AB52" s="66">
        <v>0.38</v>
      </c>
      <c r="AC52" s="66">
        <v>0.28000000000000003</v>
      </c>
      <c r="AD52" s="66">
        <v>0.39</v>
      </c>
      <c r="AE52" s="12" t="s">
        <v>126</v>
      </c>
      <c r="AF52" s="12" t="s">
        <v>126</v>
      </c>
      <c r="AG52" s="66">
        <v>0.01</v>
      </c>
      <c r="AH52" s="66">
        <v>0.13</v>
      </c>
      <c r="AI52" s="66">
        <v>0.72</v>
      </c>
      <c r="AJ52" s="66">
        <v>0.13</v>
      </c>
      <c r="AK52" s="66">
        <v>0.37</v>
      </c>
      <c r="AL52" s="66">
        <v>0.35</v>
      </c>
      <c r="AM52" s="66">
        <v>0.18</v>
      </c>
      <c r="AN52" s="35">
        <v>54</v>
      </c>
      <c r="AO52" s="35">
        <v>0</v>
      </c>
      <c r="AP52" s="40">
        <v>0</v>
      </c>
      <c r="AQ52" s="40">
        <v>0</v>
      </c>
      <c r="AR52" s="40">
        <v>1</v>
      </c>
      <c r="AS52" s="40">
        <v>0</v>
      </c>
      <c r="AT52" s="40">
        <v>0.18</v>
      </c>
      <c r="AU52" s="40">
        <v>0.83</v>
      </c>
      <c r="AV52" s="40">
        <v>0.28999999999999998</v>
      </c>
      <c r="AW52" s="646"/>
      <c r="AX52" s="646"/>
      <c r="AY52" s="646"/>
      <c r="AZ52" s="646"/>
      <c r="BA52" s="646"/>
      <c r="BB52" s="646"/>
      <c r="BC52" s="646"/>
      <c r="BD52" s="646"/>
      <c r="BE52" s="646"/>
      <c r="BF52" s="646"/>
      <c r="BG52" s="646"/>
      <c r="BH52" s="649"/>
      <c r="BI52" s="649"/>
      <c r="BJ52" s="649"/>
      <c r="BK52" s="649"/>
      <c r="BL52" s="650"/>
      <c r="BM52" s="650"/>
      <c r="BN52" s="650"/>
      <c r="BO52" s="649"/>
      <c r="BP52" s="649"/>
      <c r="BQ52" s="649"/>
      <c r="BR52" s="649"/>
      <c r="BS52" s="649"/>
      <c r="BT52" s="649"/>
      <c r="BU52" s="650"/>
      <c r="BV52" s="650"/>
      <c r="BW52" s="650"/>
      <c r="BX52" s="649"/>
      <c r="BY52" s="651"/>
      <c r="BZ52" s="651"/>
      <c r="CA52" s="651"/>
      <c r="CB52" s="651"/>
      <c r="CC52" s="651"/>
      <c r="CD52" s="651"/>
      <c r="CE52" s="651"/>
      <c r="CF52" s="651"/>
      <c r="CG52" s="651"/>
      <c r="CH52" s="651"/>
      <c r="CI52" s="651"/>
      <c r="CJ52" s="650"/>
      <c r="CK52" s="650"/>
      <c r="CL52" s="650"/>
      <c r="CM52" s="650"/>
      <c r="CN52" s="650"/>
      <c r="CO52" s="650"/>
      <c r="CP52" s="650"/>
      <c r="CQ52" s="650"/>
      <c r="CR52" s="650"/>
      <c r="CS52" s="650"/>
      <c r="CT52" s="650"/>
      <c r="CU52" s="902">
        <v>50</v>
      </c>
      <c r="CV52" s="902" t="s">
        <v>758</v>
      </c>
      <c r="CW52" s="902">
        <v>10</v>
      </c>
      <c r="CX52" s="902" t="s">
        <v>758</v>
      </c>
      <c r="CY52" s="949">
        <v>0.11</v>
      </c>
      <c r="CZ52" s="949">
        <v>0.37</v>
      </c>
      <c r="DA52" s="949">
        <v>0.52</v>
      </c>
      <c r="DB52" s="949">
        <v>0</v>
      </c>
      <c r="DC52" s="949">
        <v>0.64</v>
      </c>
      <c r="DD52" s="949">
        <v>0.5</v>
      </c>
      <c r="DE52" s="949">
        <v>0.43</v>
      </c>
      <c r="DF52" s="922">
        <v>325754005331</v>
      </c>
      <c r="DG52" s="892" t="e">
        <f>VLOOKUP(DF52,#REF!,3,0)</f>
        <v>#REF!</v>
      </c>
    </row>
    <row r="53" spans="1:111" ht="24.95" customHeight="1" x14ac:dyDescent="0.2">
      <c r="A53" s="803" t="s">
        <v>76</v>
      </c>
      <c r="B53" s="1" t="s">
        <v>123</v>
      </c>
      <c r="C53" s="12">
        <v>5</v>
      </c>
      <c r="D53" s="12">
        <v>54</v>
      </c>
      <c r="E53" s="12">
        <v>8</v>
      </c>
      <c r="F53" s="66">
        <v>0</v>
      </c>
      <c r="G53" s="66">
        <v>0.42</v>
      </c>
      <c r="H53" s="66">
        <v>0.57999999999999996</v>
      </c>
      <c r="I53" s="66">
        <v>0</v>
      </c>
      <c r="J53" s="66">
        <v>0.5</v>
      </c>
      <c r="K53" s="66">
        <v>0.41</v>
      </c>
      <c r="L53" s="66">
        <v>0.47</v>
      </c>
      <c r="M53" s="12">
        <v>55</v>
      </c>
      <c r="N53" s="12">
        <v>12</v>
      </c>
      <c r="O53" s="40"/>
      <c r="P53" s="40"/>
      <c r="Q53" s="40"/>
      <c r="R53" s="40"/>
      <c r="S53" s="40"/>
      <c r="T53" s="40"/>
      <c r="U53" s="40"/>
      <c r="V53" s="12">
        <v>58</v>
      </c>
      <c r="W53" s="12">
        <v>9</v>
      </c>
      <c r="X53" s="12"/>
      <c r="Y53" s="12"/>
      <c r="Z53" s="12"/>
      <c r="AA53" s="12"/>
      <c r="AB53" s="12"/>
      <c r="AC53" s="12"/>
      <c r="AD53" s="12"/>
      <c r="AE53" s="12">
        <v>58</v>
      </c>
      <c r="AF53" s="12">
        <v>8</v>
      </c>
      <c r="AG53" s="12"/>
      <c r="AH53" s="12"/>
      <c r="AI53" s="12"/>
      <c r="AJ53" s="12"/>
      <c r="AK53" s="12"/>
      <c r="AL53" s="12"/>
      <c r="AM53" s="12"/>
      <c r="AN53" s="35">
        <v>58</v>
      </c>
      <c r="AO53" s="35">
        <v>12</v>
      </c>
      <c r="AP53" s="40">
        <v>0.05</v>
      </c>
      <c r="AQ53" s="40">
        <v>0.28999999999999998</v>
      </c>
      <c r="AR53" s="40">
        <v>0.48</v>
      </c>
      <c r="AS53" s="40">
        <v>0.19</v>
      </c>
      <c r="AT53" s="40">
        <v>0.21</v>
      </c>
      <c r="AU53" s="40">
        <v>0.45</v>
      </c>
      <c r="AV53" s="40">
        <v>0.34</v>
      </c>
      <c r="AW53" s="246">
        <v>58</v>
      </c>
      <c r="AX53" s="246" t="s">
        <v>758</v>
      </c>
      <c r="AY53" s="246">
        <v>10</v>
      </c>
      <c r="AZ53" s="246" t="s">
        <v>758</v>
      </c>
      <c r="BA53" s="263">
        <v>0</v>
      </c>
      <c r="BB53" s="263">
        <v>0.19</v>
      </c>
      <c r="BC53" s="263">
        <v>0.67</v>
      </c>
      <c r="BD53" s="263">
        <v>0.14000000000000001</v>
      </c>
      <c r="BE53" s="263">
        <v>0.23</v>
      </c>
      <c r="BF53" s="263">
        <v>0.41</v>
      </c>
      <c r="BG53" s="263">
        <v>0.32</v>
      </c>
      <c r="BH53" s="309">
        <v>58</v>
      </c>
      <c r="BI53" s="309" t="s">
        <v>758</v>
      </c>
      <c r="BJ53" s="309">
        <v>7</v>
      </c>
      <c r="BK53" s="309" t="s">
        <v>758</v>
      </c>
      <c r="BL53" s="464"/>
      <c r="BM53" s="464"/>
      <c r="BN53" s="464"/>
      <c r="BO53" s="327">
        <v>0</v>
      </c>
      <c r="BP53" s="327">
        <v>0.11</v>
      </c>
      <c r="BQ53" s="327">
        <v>0.83</v>
      </c>
      <c r="BR53" s="327">
        <v>0.06</v>
      </c>
      <c r="BS53" s="327">
        <v>0.34</v>
      </c>
      <c r="BT53" s="327">
        <v>0.49</v>
      </c>
      <c r="BU53" s="476"/>
      <c r="BV53" s="476"/>
      <c r="BW53" s="476"/>
      <c r="BX53" s="327">
        <v>0.26</v>
      </c>
      <c r="BY53" s="424">
        <v>56</v>
      </c>
      <c r="BZ53" s="424" t="s">
        <v>758</v>
      </c>
      <c r="CA53" s="424">
        <v>8</v>
      </c>
      <c r="CB53" s="424" t="s">
        <v>758</v>
      </c>
      <c r="CC53" s="428">
        <v>0</v>
      </c>
      <c r="CD53" s="428">
        <v>0.33</v>
      </c>
      <c r="CE53" s="428">
        <v>0.67</v>
      </c>
      <c r="CF53" s="428">
        <v>0</v>
      </c>
      <c r="CG53" s="428">
        <v>0.51</v>
      </c>
      <c r="CH53" s="428">
        <v>0.35</v>
      </c>
      <c r="CI53" s="428">
        <v>0.54</v>
      </c>
      <c r="CJ53" s="464">
        <v>58</v>
      </c>
      <c r="CK53" s="464" t="s">
        <v>758</v>
      </c>
      <c r="CL53" s="464">
        <v>8</v>
      </c>
      <c r="CM53" s="464" t="s">
        <v>758</v>
      </c>
      <c r="CN53" s="476">
        <v>0</v>
      </c>
      <c r="CO53" s="476">
        <v>0.24</v>
      </c>
      <c r="CP53" s="476">
        <v>0.71</v>
      </c>
      <c r="CQ53" s="476">
        <v>0.05</v>
      </c>
      <c r="CR53" s="476">
        <v>0.4</v>
      </c>
      <c r="CS53" s="476">
        <v>0.41</v>
      </c>
      <c r="CT53" s="476">
        <v>0.39</v>
      </c>
      <c r="CU53" s="902">
        <v>60</v>
      </c>
      <c r="CV53" s="902" t="s">
        <v>758</v>
      </c>
      <c r="CW53" s="902">
        <v>12</v>
      </c>
      <c r="CX53" s="902" t="s">
        <v>758</v>
      </c>
      <c r="CY53" s="949">
        <v>0</v>
      </c>
      <c r="CZ53" s="949">
        <v>0.28999999999999998</v>
      </c>
      <c r="DA53" s="949">
        <v>0.5</v>
      </c>
      <c r="DB53" s="949">
        <v>0.21</v>
      </c>
      <c r="DC53" s="949">
        <v>0.45</v>
      </c>
      <c r="DD53" s="949">
        <v>0.36</v>
      </c>
      <c r="DE53" s="949">
        <v>0.34</v>
      </c>
      <c r="DF53" s="922">
        <v>325754001361</v>
      </c>
      <c r="DG53" s="892" t="e">
        <f>VLOOKUP(DF53,#REF!,3,0)</f>
        <v>#REF!</v>
      </c>
    </row>
    <row r="54" spans="1:111" ht="24.95" customHeight="1" x14ac:dyDescent="0.2">
      <c r="A54" s="803" t="s">
        <v>798</v>
      </c>
      <c r="B54" s="14" t="s">
        <v>123</v>
      </c>
      <c r="C54" s="12">
        <v>6</v>
      </c>
      <c r="D54" s="12"/>
      <c r="E54" s="12"/>
      <c r="F54" s="66"/>
      <c r="G54" s="66"/>
      <c r="H54" s="66"/>
      <c r="I54" s="66"/>
      <c r="J54" s="66"/>
      <c r="K54" s="66"/>
      <c r="L54" s="66"/>
      <c r="M54" s="12"/>
      <c r="N54" s="12"/>
      <c r="O54" s="40"/>
      <c r="P54" s="40"/>
      <c r="Q54" s="40"/>
      <c r="R54" s="40"/>
      <c r="S54" s="40"/>
      <c r="T54" s="40"/>
      <c r="U54" s="40"/>
      <c r="V54" s="12"/>
      <c r="W54" s="12"/>
      <c r="X54" s="12"/>
      <c r="Y54" s="12"/>
      <c r="Z54" s="12"/>
      <c r="AA54" s="12"/>
      <c r="AB54" s="12"/>
      <c r="AC54" s="12"/>
      <c r="AD54" s="12"/>
      <c r="AE54" s="12"/>
      <c r="AF54" s="12"/>
      <c r="AG54" s="12"/>
      <c r="AH54" s="12"/>
      <c r="AI54" s="12"/>
      <c r="AJ54" s="12"/>
      <c r="AK54" s="12"/>
      <c r="AL54" s="12"/>
      <c r="AM54" s="12"/>
      <c r="AN54" s="35"/>
      <c r="AO54" s="35"/>
      <c r="AP54" s="40"/>
      <c r="AQ54" s="40"/>
      <c r="AR54" s="40"/>
      <c r="AS54" s="40"/>
      <c r="AT54" s="40"/>
      <c r="AU54" s="40"/>
      <c r="AV54" s="40"/>
      <c r="AW54" s="647"/>
      <c r="AX54" s="647"/>
      <c r="AY54" s="647"/>
      <c r="AZ54" s="647"/>
      <c r="BA54" s="648"/>
      <c r="BB54" s="648"/>
      <c r="BC54" s="648"/>
      <c r="BD54" s="648"/>
      <c r="BE54" s="648"/>
      <c r="BF54" s="648"/>
      <c r="BG54" s="648"/>
      <c r="BH54" s="74">
        <v>64</v>
      </c>
      <c r="BI54" s="74" t="s">
        <v>759</v>
      </c>
      <c r="BJ54" s="74">
        <v>15</v>
      </c>
      <c r="BK54" s="74" t="s">
        <v>759</v>
      </c>
      <c r="BL54" s="74"/>
      <c r="BM54" s="74"/>
      <c r="BN54" s="74"/>
      <c r="BO54" s="96">
        <v>0</v>
      </c>
      <c r="BP54" s="96">
        <v>0.25</v>
      </c>
      <c r="BQ54" s="96">
        <v>0.38</v>
      </c>
      <c r="BR54" s="96">
        <v>0.38</v>
      </c>
      <c r="BS54" s="96">
        <v>0.34</v>
      </c>
      <c r="BT54" s="96">
        <v>0.32</v>
      </c>
      <c r="BU54" s="96"/>
      <c r="BV54" s="96"/>
      <c r="BW54" s="96"/>
      <c r="BX54" s="96">
        <v>0.2</v>
      </c>
      <c r="BY54" s="652">
        <v>61</v>
      </c>
      <c r="BZ54" s="652" t="s">
        <v>759</v>
      </c>
      <c r="CA54" s="652">
        <v>9</v>
      </c>
      <c r="CB54" s="652" t="s">
        <v>758</v>
      </c>
      <c r="CC54" s="653">
        <v>0</v>
      </c>
      <c r="CD54" s="653">
        <v>0.15</v>
      </c>
      <c r="CE54" s="653">
        <v>0.7</v>
      </c>
      <c r="CF54" s="653">
        <v>0.15</v>
      </c>
      <c r="CG54" s="653">
        <v>0.56999999999999995</v>
      </c>
      <c r="CH54" s="653">
        <v>0.22</v>
      </c>
      <c r="CI54" s="653">
        <v>0.42</v>
      </c>
      <c r="CJ54" s="74">
        <v>65</v>
      </c>
      <c r="CK54" s="74" t="s">
        <v>759</v>
      </c>
      <c r="CL54" s="74">
        <v>10</v>
      </c>
      <c r="CM54" s="74" t="s">
        <v>758</v>
      </c>
      <c r="CN54" s="96">
        <v>0</v>
      </c>
      <c r="CO54" s="96">
        <v>0.09</v>
      </c>
      <c r="CP54" s="96">
        <v>0.59</v>
      </c>
      <c r="CQ54" s="96">
        <v>0.32</v>
      </c>
      <c r="CR54" s="96">
        <v>0.31</v>
      </c>
      <c r="CS54" s="96">
        <v>0.32</v>
      </c>
      <c r="CT54" s="96">
        <v>0.25</v>
      </c>
      <c r="CU54" s="902">
        <v>65</v>
      </c>
      <c r="CV54" s="902" t="s">
        <v>759</v>
      </c>
      <c r="CW54" s="902">
        <v>11</v>
      </c>
      <c r="CX54" s="902" t="s">
        <v>758</v>
      </c>
      <c r="CY54" s="949">
        <v>0.04</v>
      </c>
      <c r="CZ54" s="949">
        <v>0.04</v>
      </c>
      <c r="DA54" s="949">
        <v>0.59</v>
      </c>
      <c r="DB54" s="949">
        <v>0.33</v>
      </c>
      <c r="DC54" s="949">
        <v>0.38</v>
      </c>
      <c r="DD54" s="949">
        <v>0.31</v>
      </c>
      <c r="DE54" s="949">
        <v>0.22</v>
      </c>
      <c r="DF54" s="922">
        <v>325754005480</v>
      </c>
      <c r="DG54" s="892" t="e">
        <f>VLOOKUP(DF54,#REF!,3,0)</f>
        <v>#REF!</v>
      </c>
    </row>
    <row r="55" spans="1:111" ht="24.95" customHeight="1" x14ac:dyDescent="0.2">
      <c r="A55" s="803" t="s">
        <v>60</v>
      </c>
      <c r="B55" s="1" t="s">
        <v>123</v>
      </c>
      <c r="C55" s="12">
        <v>1</v>
      </c>
      <c r="D55" s="12">
        <v>55</v>
      </c>
      <c r="E55" s="12">
        <v>10</v>
      </c>
      <c r="F55" s="66">
        <v>0.1</v>
      </c>
      <c r="G55" s="66">
        <v>0.2</v>
      </c>
      <c r="H55" s="66">
        <v>0.68</v>
      </c>
      <c r="I55" s="66">
        <v>0.02</v>
      </c>
      <c r="J55" s="66">
        <v>0.51</v>
      </c>
      <c r="K55" s="66">
        <v>0.48</v>
      </c>
      <c r="L55" s="66">
        <v>0.54</v>
      </c>
      <c r="M55" s="12">
        <v>55</v>
      </c>
      <c r="N55" s="12">
        <v>9</v>
      </c>
      <c r="O55" s="40">
        <v>0.06</v>
      </c>
      <c r="P55" s="40">
        <v>0.17</v>
      </c>
      <c r="Q55" s="40">
        <v>0.67</v>
      </c>
      <c r="R55" s="40">
        <v>0.11</v>
      </c>
      <c r="S55" s="40">
        <v>0.42</v>
      </c>
      <c r="T55" s="40">
        <v>0.45</v>
      </c>
      <c r="U55" s="40">
        <v>0.36</v>
      </c>
      <c r="V55" s="12">
        <v>57</v>
      </c>
      <c r="W55" s="12">
        <v>9</v>
      </c>
      <c r="X55" s="66">
        <v>0</v>
      </c>
      <c r="Y55" s="66">
        <v>0.11</v>
      </c>
      <c r="Z55" s="66">
        <v>0.72</v>
      </c>
      <c r="AA55" s="66">
        <v>0.17</v>
      </c>
      <c r="AB55" s="66">
        <v>0.39</v>
      </c>
      <c r="AC55" s="66">
        <v>0.33</v>
      </c>
      <c r="AD55" s="66">
        <v>0.39</v>
      </c>
      <c r="AE55" s="12">
        <v>57</v>
      </c>
      <c r="AF55" s="12">
        <v>9</v>
      </c>
      <c r="AG55" s="66">
        <v>0</v>
      </c>
      <c r="AH55" s="66">
        <v>0.26</v>
      </c>
      <c r="AI55" s="66">
        <v>0.68</v>
      </c>
      <c r="AJ55" s="66">
        <v>0.05</v>
      </c>
      <c r="AK55" s="66">
        <v>0.44</v>
      </c>
      <c r="AL55" s="66">
        <v>0.4</v>
      </c>
      <c r="AM55" s="66">
        <v>0.2</v>
      </c>
      <c r="AN55" s="35">
        <v>56</v>
      </c>
      <c r="AO55" s="35">
        <v>10</v>
      </c>
      <c r="AP55" s="40">
        <v>0</v>
      </c>
      <c r="AQ55" s="40">
        <v>0.28999999999999998</v>
      </c>
      <c r="AR55" s="40">
        <v>0.64</v>
      </c>
      <c r="AS55" s="40">
        <v>7.0000000000000007E-2</v>
      </c>
      <c r="AT55" s="40">
        <v>0.24</v>
      </c>
      <c r="AU55" s="40">
        <v>0.43</v>
      </c>
      <c r="AV55" s="40">
        <v>0.47</v>
      </c>
      <c r="AW55" s="246">
        <v>56</v>
      </c>
      <c r="AX55" s="246" t="s">
        <v>758</v>
      </c>
      <c r="AY55" s="246">
        <v>9</v>
      </c>
      <c r="AZ55" s="246" t="s">
        <v>758</v>
      </c>
      <c r="BA55" s="263">
        <v>0</v>
      </c>
      <c r="BB55" s="263">
        <v>0.25</v>
      </c>
      <c r="BC55" s="263">
        <v>0.7</v>
      </c>
      <c r="BD55" s="263">
        <v>0.05</v>
      </c>
      <c r="BE55" s="263">
        <v>0.22</v>
      </c>
      <c r="BF55" s="263">
        <v>0.43</v>
      </c>
      <c r="BG55" s="263">
        <v>0.4</v>
      </c>
      <c r="BH55" s="309">
        <v>56</v>
      </c>
      <c r="BI55" s="309" t="s">
        <v>758</v>
      </c>
      <c r="BJ55" s="309">
        <v>8</v>
      </c>
      <c r="BK55" s="309" t="s">
        <v>758</v>
      </c>
      <c r="BL55" s="464"/>
      <c r="BM55" s="464"/>
      <c r="BN55" s="464"/>
      <c r="BO55" s="327">
        <v>0</v>
      </c>
      <c r="BP55" s="327">
        <v>0.26</v>
      </c>
      <c r="BQ55" s="327">
        <v>0.74</v>
      </c>
      <c r="BR55" s="327">
        <v>0</v>
      </c>
      <c r="BS55" s="327">
        <v>0.51</v>
      </c>
      <c r="BT55" s="327">
        <v>0.6</v>
      </c>
      <c r="BU55" s="476"/>
      <c r="BV55" s="476"/>
      <c r="BW55" s="476"/>
      <c r="BX55" s="327">
        <v>0.35</v>
      </c>
      <c r="BY55" s="424">
        <v>56</v>
      </c>
      <c r="BZ55" s="424" t="s">
        <v>758</v>
      </c>
      <c r="CA55" s="424">
        <v>12</v>
      </c>
      <c r="CB55" s="424" t="s">
        <v>758</v>
      </c>
      <c r="CC55" s="428">
        <v>7.0000000000000007E-2</v>
      </c>
      <c r="CD55" s="428">
        <v>0.26</v>
      </c>
      <c r="CE55" s="428">
        <v>0.56000000000000005</v>
      </c>
      <c r="CF55" s="428">
        <v>0.11</v>
      </c>
      <c r="CG55" s="428">
        <v>0.56000000000000005</v>
      </c>
      <c r="CH55" s="428">
        <v>0.34</v>
      </c>
      <c r="CI55" s="428">
        <v>0.45</v>
      </c>
      <c r="CJ55" s="464">
        <v>57</v>
      </c>
      <c r="CK55" s="464" t="s">
        <v>758</v>
      </c>
      <c r="CL55" s="464">
        <v>10</v>
      </c>
      <c r="CM55" s="464" t="s">
        <v>758</v>
      </c>
      <c r="CN55" s="476">
        <v>0.03</v>
      </c>
      <c r="CO55" s="476">
        <v>0.17</v>
      </c>
      <c r="CP55" s="476">
        <v>0.71</v>
      </c>
      <c r="CQ55" s="476">
        <v>0.08</v>
      </c>
      <c r="CR55" s="476">
        <v>0.54</v>
      </c>
      <c r="CS55" s="476">
        <v>0.43</v>
      </c>
      <c r="CT55" s="476">
        <v>0.35</v>
      </c>
      <c r="CU55" s="902">
        <v>57</v>
      </c>
      <c r="CV55" s="902" t="s">
        <v>758</v>
      </c>
      <c r="CW55" s="902">
        <v>9</v>
      </c>
      <c r="CX55" s="902" t="s">
        <v>758</v>
      </c>
      <c r="CY55" s="949">
        <v>0</v>
      </c>
      <c r="CZ55" s="949">
        <v>0.22</v>
      </c>
      <c r="DA55" s="949">
        <v>0.68</v>
      </c>
      <c r="DB55" s="949">
        <v>0.1</v>
      </c>
      <c r="DC55" s="949">
        <v>0.5</v>
      </c>
      <c r="DD55" s="949">
        <v>0.41</v>
      </c>
      <c r="DE55" s="949">
        <v>0.3</v>
      </c>
      <c r="DF55" s="922">
        <v>325754002961</v>
      </c>
      <c r="DG55" s="892" t="e">
        <f>VLOOKUP(DF55,#REF!,3,0)</f>
        <v>#REF!</v>
      </c>
    </row>
    <row r="56" spans="1:111" ht="24.95" customHeight="1" x14ac:dyDescent="0.2">
      <c r="A56" s="804" t="s">
        <v>131</v>
      </c>
      <c r="B56" s="1" t="s">
        <v>123</v>
      </c>
      <c r="C56" s="328">
        <v>1</v>
      </c>
      <c r="D56" s="328"/>
      <c r="E56" s="328"/>
      <c r="F56" s="328"/>
      <c r="G56" s="328"/>
      <c r="H56" s="328"/>
      <c r="I56" s="328"/>
      <c r="J56" s="328"/>
      <c r="K56" s="328"/>
      <c r="L56" s="328"/>
      <c r="M56" s="328" t="s">
        <v>126</v>
      </c>
      <c r="N56" s="328" t="s">
        <v>126</v>
      </c>
      <c r="O56" s="331">
        <v>0.04</v>
      </c>
      <c r="P56" s="331">
        <v>0.27</v>
      </c>
      <c r="Q56" s="331">
        <v>0.65</v>
      </c>
      <c r="R56" s="331">
        <v>0.04</v>
      </c>
      <c r="S56" s="331">
        <v>0.42</v>
      </c>
      <c r="T56" s="331">
        <v>0.5</v>
      </c>
      <c r="U56" s="331">
        <v>0.31</v>
      </c>
      <c r="V56" s="328">
        <v>52</v>
      </c>
      <c r="W56" s="328">
        <v>8</v>
      </c>
      <c r="X56" s="333">
        <v>0</v>
      </c>
      <c r="Y56" s="333">
        <v>0.25</v>
      </c>
      <c r="Z56" s="333">
        <v>0.68</v>
      </c>
      <c r="AA56" s="333">
        <v>7.0000000000000007E-2</v>
      </c>
      <c r="AB56" s="333">
        <v>0.38</v>
      </c>
      <c r="AC56" s="333">
        <v>0.34</v>
      </c>
      <c r="AD56" s="333">
        <v>0.46</v>
      </c>
      <c r="AE56" s="328">
        <v>52</v>
      </c>
      <c r="AF56" s="328">
        <v>9</v>
      </c>
      <c r="AG56" s="333">
        <v>0</v>
      </c>
      <c r="AH56" s="333">
        <v>0.28000000000000003</v>
      </c>
      <c r="AI56" s="333">
        <v>0.72</v>
      </c>
      <c r="AJ56" s="333">
        <v>0</v>
      </c>
      <c r="AK56" s="333">
        <v>0.46</v>
      </c>
      <c r="AL56" s="333">
        <v>0.41</v>
      </c>
      <c r="AM56" s="333">
        <v>0.22</v>
      </c>
      <c r="AN56" s="311">
        <v>56</v>
      </c>
      <c r="AO56" s="311">
        <v>8</v>
      </c>
      <c r="AP56" s="331">
        <v>0</v>
      </c>
      <c r="AQ56" s="331">
        <v>0.4</v>
      </c>
      <c r="AR56" s="331">
        <v>0.6</v>
      </c>
      <c r="AS56" s="331">
        <v>0</v>
      </c>
      <c r="AT56" s="331">
        <v>0.22</v>
      </c>
      <c r="AU56" s="331">
        <v>0.45</v>
      </c>
      <c r="AV56" s="331">
        <v>0.51</v>
      </c>
      <c r="AW56" s="312">
        <v>61</v>
      </c>
      <c r="AX56" s="312" t="s">
        <v>759</v>
      </c>
      <c r="AY56" s="312">
        <v>4</v>
      </c>
      <c r="AZ56" s="312" t="s">
        <v>760</v>
      </c>
      <c r="BA56" s="332">
        <v>0</v>
      </c>
      <c r="BB56" s="332">
        <v>0</v>
      </c>
      <c r="BC56" s="332">
        <v>1</v>
      </c>
      <c r="BD56" s="332">
        <v>0</v>
      </c>
      <c r="BE56" s="332">
        <v>0.19</v>
      </c>
      <c r="BF56" s="332">
        <v>0.38</v>
      </c>
      <c r="BG56" s="332">
        <v>0.2</v>
      </c>
      <c r="BH56" s="309">
        <v>56</v>
      </c>
      <c r="BI56" s="309" t="s">
        <v>758</v>
      </c>
      <c r="BJ56" s="309">
        <v>7</v>
      </c>
      <c r="BK56" s="309" t="s">
        <v>758</v>
      </c>
      <c r="BL56" s="464"/>
      <c r="BM56" s="464"/>
      <c r="BN56" s="464"/>
      <c r="BO56" s="327">
        <v>0</v>
      </c>
      <c r="BP56" s="327">
        <v>0.3</v>
      </c>
      <c r="BQ56" s="327">
        <v>0.7</v>
      </c>
      <c r="BR56" s="327">
        <v>0</v>
      </c>
      <c r="BS56" s="327">
        <v>0.41</v>
      </c>
      <c r="BT56" s="327">
        <v>0.46</v>
      </c>
      <c r="BU56" s="476"/>
      <c r="BV56" s="476"/>
      <c r="BW56" s="476"/>
      <c r="BX56" s="327">
        <v>0.2</v>
      </c>
      <c r="BY56" s="424">
        <v>55</v>
      </c>
      <c r="BZ56" s="424" t="s">
        <v>758</v>
      </c>
      <c r="CA56" s="424">
        <v>9</v>
      </c>
      <c r="CB56" s="424" t="s">
        <v>758</v>
      </c>
      <c r="CC56" s="428">
        <v>0.05</v>
      </c>
      <c r="CD56" s="428">
        <v>0.15</v>
      </c>
      <c r="CE56" s="428">
        <v>0.75</v>
      </c>
      <c r="CF56" s="428">
        <v>0.05</v>
      </c>
      <c r="CG56" s="428">
        <v>0.66</v>
      </c>
      <c r="CH56" s="428">
        <v>0.4</v>
      </c>
      <c r="CI56" s="428">
        <v>0.51</v>
      </c>
      <c r="CJ56" s="464">
        <v>46</v>
      </c>
      <c r="CK56" s="464" t="s">
        <v>760</v>
      </c>
      <c r="CL56" s="464">
        <v>11</v>
      </c>
      <c r="CM56" s="464" t="s">
        <v>758</v>
      </c>
      <c r="CN56" s="476">
        <v>0.14000000000000001</v>
      </c>
      <c r="CO56" s="476">
        <v>0.56999999999999995</v>
      </c>
      <c r="CP56" s="476">
        <v>0.28999999999999998</v>
      </c>
      <c r="CQ56" s="476">
        <v>0</v>
      </c>
      <c r="CR56" s="476">
        <v>0.63</v>
      </c>
      <c r="CS56" s="476">
        <v>0.66</v>
      </c>
      <c r="CT56" s="476">
        <v>0.5</v>
      </c>
      <c r="CU56" s="902">
        <v>52</v>
      </c>
      <c r="CV56" s="902" t="s">
        <v>758</v>
      </c>
      <c r="CW56" s="902">
        <v>11</v>
      </c>
      <c r="CX56" s="902" t="s">
        <v>758</v>
      </c>
      <c r="CY56" s="949">
        <v>0.08</v>
      </c>
      <c r="CZ56" s="949">
        <v>0.38</v>
      </c>
      <c r="DA56" s="949">
        <v>0.54</v>
      </c>
      <c r="DB56" s="949">
        <v>0</v>
      </c>
      <c r="DC56" s="949">
        <v>0.65</v>
      </c>
      <c r="DD56" s="949">
        <v>0.45</v>
      </c>
      <c r="DE56" s="949">
        <v>0.33</v>
      </c>
      <c r="DF56" s="922">
        <v>325754005226</v>
      </c>
      <c r="DG56" s="892" t="e">
        <f>VLOOKUP(DF56,#REF!,3,0)</f>
        <v>#REF!</v>
      </c>
    </row>
    <row r="57" spans="1:111" ht="24.95" customHeight="1" x14ac:dyDescent="0.2">
      <c r="A57" s="803" t="s">
        <v>67</v>
      </c>
      <c r="B57" s="1" t="s">
        <v>123</v>
      </c>
      <c r="C57" s="12">
        <v>2</v>
      </c>
      <c r="D57" s="12">
        <v>53</v>
      </c>
      <c r="E57" s="12">
        <v>9</v>
      </c>
      <c r="F57" s="66">
        <v>0.03</v>
      </c>
      <c r="G57" s="66">
        <v>0.36</v>
      </c>
      <c r="H57" s="66">
        <v>0.56999999999999995</v>
      </c>
      <c r="I57" s="66">
        <v>0.04</v>
      </c>
      <c r="J57" s="66">
        <v>0.52</v>
      </c>
      <c r="K57" s="66">
        <v>0.42</v>
      </c>
      <c r="L57" s="66">
        <v>0.5</v>
      </c>
      <c r="M57" s="12">
        <v>54</v>
      </c>
      <c r="N57" s="12">
        <v>10</v>
      </c>
      <c r="O57" s="40"/>
      <c r="P57" s="40"/>
      <c r="Q57" s="40"/>
      <c r="R57" s="40"/>
      <c r="S57" s="40"/>
      <c r="T57" s="40"/>
      <c r="U57" s="40"/>
      <c r="V57" s="12">
        <v>53</v>
      </c>
      <c r="W57" s="12">
        <v>9</v>
      </c>
      <c r="X57" s="66">
        <v>0</v>
      </c>
      <c r="Y57" s="66">
        <v>0.5</v>
      </c>
      <c r="Z57" s="66">
        <v>0.5</v>
      </c>
      <c r="AA57" s="66">
        <v>0</v>
      </c>
      <c r="AB57" s="66">
        <v>0.48</v>
      </c>
      <c r="AC57" s="66">
        <v>0.39</v>
      </c>
      <c r="AD57" s="66">
        <v>0.56999999999999995</v>
      </c>
      <c r="AE57" s="12">
        <v>57</v>
      </c>
      <c r="AF57" s="12">
        <v>9</v>
      </c>
      <c r="AG57" s="66">
        <v>0</v>
      </c>
      <c r="AH57" s="66">
        <v>0.4</v>
      </c>
      <c r="AI57" s="66">
        <v>0.6</v>
      </c>
      <c r="AJ57" s="66">
        <v>0</v>
      </c>
      <c r="AK57" s="66">
        <v>0.56999999999999995</v>
      </c>
      <c r="AL57" s="66">
        <v>0.42</v>
      </c>
      <c r="AM57" s="66">
        <v>0.3</v>
      </c>
      <c r="AN57" s="35">
        <v>55</v>
      </c>
      <c r="AO57" s="35">
        <v>9</v>
      </c>
      <c r="AP57" s="40">
        <v>0.01</v>
      </c>
      <c r="AQ57" s="40">
        <v>0.32</v>
      </c>
      <c r="AR57" s="40">
        <v>0.63</v>
      </c>
      <c r="AS57" s="40">
        <v>0.04</v>
      </c>
      <c r="AT57" s="40">
        <v>0.24</v>
      </c>
      <c r="AU57" s="40">
        <v>0.46</v>
      </c>
      <c r="AV57" s="40">
        <v>0.45</v>
      </c>
      <c r="AW57" s="246">
        <v>55</v>
      </c>
      <c r="AX57" s="246" t="s">
        <v>758</v>
      </c>
      <c r="AY57" s="246">
        <v>9</v>
      </c>
      <c r="AZ57" s="246" t="s">
        <v>758</v>
      </c>
      <c r="BA57" s="263">
        <v>0.02</v>
      </c>
      <c r="BB57" s="263">
        <v>0.22</v>
      </c>
      <c r="BC57" s="263">
        <v>0.73</v>
      </c>
      <c r="BD57" s="263">
        <v>0.03</v>
      </c>
      <c r="BE57" s="263">
        <v>0.23</v>
      </c>
      <c r="BF57" s="263">
        <v>0.45</v>
      </c>
      <c r="BG57" s="263">
        <v>0.37</v>
      </c>
      <c r="BH57" s="309">
        <v>57</v>
      </c>
      <c r="BI57" s="309" t="s">
        <v>758</v>
      </c>
      <c r="BJ57" s="309">
        <v>10</v>
      </c>
      <c r="BK57" s="309" t="s">
        <v>758</v>
      </c>
      <c r="BL57" s="464"/>
      <c r="BM57" s="464"/>
      <c r="BN57" s="464"/>
      <c r="BO57" s="327">
        <v>0.05</v>
      </c>
      <c r="BP57" s="327">
        <v>0.18</v>
      </c>
      <c r="BQ57" s="327">
        <v>0.73</v>
      </c>
      <c r="BR57" s="327">
        <v>0.04</v>
      </c>
      <c r="BS57" s="327">
        <v>0.4</v>
      </c>
      <c r="BT57" s="327">
        <v>0.5</v>
      </c>
      <c r="BU57" s="476"/>
      <c r="BV57" s="476"/>
      <c r="BW57" s="476"/>
      <c r="BX57" s="327">
        <v>0.33</v>
      </c>
      <c r="BY57" s="424">
        <v>57</v>
      </c>
      <c r="BZ57" s="424" t="s">
        <v>758</v>
      </c>
      <c r="CA57" s="424">
        <v>10</v>
      </c>
      <c r="CB57" s="424" t="s">
        <v>758</v>
      </c>
      <c r="CC57" s="428">
        <v>0.05</v>
      </c>
      <c r="CD57" s="428">
        <v>0.2</v>
      </c>
      <c r="CE57" s="428">
        <v>0.7</v>
      </c>
      <c r="CF57" s="428">
        <v>0.05</v>
      </c>
      <c r="CG57" s="428">
        <v>0.55000000000000004</v>
      </c>
      <c r="CH57" s="428">
        <v>0.32</v>
      </c>
      <c r="CI57" s="428">
        <v>0.45</v>
      </c>
      <c r="CJ57" s="464">
        <v>60</v>
      </c>
      <c r="CK57" s="464" t="s">
        <v>758</v>
      </c>
      <c r="CL57" s="464">
        <v>9</v>
      </c>
      <c r="CM57" s="464" t="s">
        <v>758</v>
      </c>
      <c r="CN57" s="476">
        <v>0.02</v>
      </c>
      <c r="CO57" s="476">
        <v>0.11</v>
      </c>
      <c r="CP57" s="476">
        <v>0.75</v>
      </c>
      <c r="CQ57" s="476">
        <v>0.11</v>
      </c>
      <c r="CR57" s="476">
        <v>0.46</v>
      </c>
      <c r="CS57" s="476">
        <v>0.39</v>
      </c>
      <c r="CT57" s="476">
        <v>0.32</v>
      </c>
      <c r="CU57" s="902">
        <v>58</v>
      </c>
      <c r="CV57" s="902" t="s">
        <v>758</v>
      </c>
      <c r="CW57" s="902">
        <v>11</v>
      </c>
      <c r="CX57" s="902" t="s">
        <v>758</v>
      </c>
      <c r="CY57" s="949">
        <v>0</v>
      </c>
      <c r="CZ57" s="949">
        <v>0.24</v>
      </c>
      <c r="DA57" s="949">
        <v>0.57999999999999996</v>
      </c>
      <c r="DB57" s="949">
        <v>0.17</v>
      </c>
      <c r="DC57" s="949">
        <v>0.49</v>
      </c>
      <c r="DD57" s="949">
        <v>0.38</v>
      </c>
      <c r="DE57" s="949">
        <v>0.32</v>
      </c>
      <c r="DF57" s="922">
        <v>325754004131</v>
      </c>
      <c r="DG57" s="892" t="e">
        <f>VLOOKUP(DF57,#REF!,3,0)</f>
        <v>#REF!</v>
      </c>
    </row>
    <row r="58" spans="1:111" ht="24.95" customHeight="1" x14ac:dyDescent="0.2">
      <c r="A58" s="803" t="s">
        <v>85</v>
      </c>
      <c r="B58" s="1" t="s">
        <v>123</v>
      </c>
      <c r="C58" s="12">
        <v>3</v>
      </c>
      <c r="D58" s="12">
        <v>54</v>
      </c>
      <c r="E58" s="12">
        <v>8</v>
      </c>
      <c r="F58" s="66">
        <v>0.04</v>
      </c>
      <c r="G58" s="66">
        <v>0.3</v>
      </c>
      <c r="H58" s="66">
        <v>0.67</v>
      </c>
      <c r="I58" s="66">
        <v>0</v>
      </c>
      <c r="J58" s="66">
        <v>0.48</v>
      </c>
      <c r="K58" s="66">
        <v>0.44</v>
      </c>
      <c r="L58" s="66">
        <v>0.49</v>
      </c>
      <c r="M58" s="12">
        <v>49</v>
      </c>
      <c r="N58" s="12">
        <v>9</v>
      </c>
      <c r="O58" s="40">
        <v>0.04</v>
      </c>
      <c r="P58" s="40">
        <v>0.31</v>
      </c>
      <c r="Q58" s="40">
        <v>0.59</v>
      </c>
      <c r="R58" s="40">
        <v>0.06</v>
      </c>
      <c r="S58" s="40">
        <v>0.43</v>
      </c>
      <c r="T58" s="40">
        <v>0.49</v>
      </c>
      <c r="U58" s="40">
        <v>0.33</v>
      </c>
      <c r="V58" s="12">
        <v>52</v>
      </c>
      <c r="W58" s="12">
        <v>10</v>
      </c>
      <c r="X58" s="66">
        <v>0.01</v>
      </c>
      <c r="Y58" s="66">
        <v>0.42</v>
      </c>
      <c r="Z58" s="66">
        <v>0.51</v>
      </c>
      <c r="AA58" s="66">
        <v>0.05</v>
      </c>
      <c r="AB58" s="66">
        <v>0.46</v>
      </c>
      <c r="AC58" s="66">
        <v>0.38</v>
      </c>
      <c r="AD58" s="66">
        <v>0.49</v>
      </c>
      <c r="AE58" s="12">
        <v>51</v>
      </c>
      <c r="AF58" s="12">
        <v>9</v>
      </c>
      <c r="AG58" s="66">
        <v>0.03</v>
      </c>
      <c r="AH58" s="66">
        <v>0.16</v>
      </c>
      <c r="AI58" s="66">
        <v>0.78</v>
      </c>
      <c r="AJ58" s="66">
        <v>0.03</v>
      </c>
      <c r="AK58" s="66">
        <v>0.46</v>
      </c>
      <c r="AL58" s="66">
        <v>0.39</v>
      </c>
      <c r="AM58" s="66">
        <v>0.21</v>
      </c>
      <c r="AN58" s="35">
        <v>57</v>
      </c>
      <c r="AO58" s="35">
        <v>8</v>
      </c>
      <c r="AP58" s="40">
        <v>0</v>
      </c>
      <c r="AQ58" s="40">
        <v>0.14000000000000001</v>
      </c>
      <c r="AR58" s="40">
        <v>0.79</v>
      </c>
      <c r="AS58" s="40">
        <v>7.0000000000000007E-2</v>
      </c>
      <c r="AT58" s="40">
        <v>0.22</v>
      </c>
      <c r="AU58" s="40">
        <v>0.42</v>
      </c>
      <c r="AV58" s="40">
        <v>0.46</v>
      </c>
      <c r="AW58" s="246">
        <v>52</v>
      </c>
      <c r="AX58" s="246" t="s">
        <v>758</v>
      </c>
      <c r="AY58" s="246">
        <v>8</v>
      </c>
      <c r="AZ58" s="246" t="s">
        <v>758</v>
      </c>
      <c r="BA58" s="263">
        <v>0.02</v>
      </c>
      <c r="BB58" s="263">
        <v>0.43</v>
      </c>
      <c r="BC58" s="263">
        <v>0.52</v>
      </c>
      <c r="BD58" s="263">
        <v>0.02</v>
      </c>
      <c r="BE58" s="263">
        <v>0.28000000000000003</v>
      </c>
      <c r="BF58" s="263">
        <v>0.52</v>
      </c>
      <c r="BG58" s="263">
        <v>0.49</v>
      </c>
      <c r="BH58" s="309">
        <v>49</v>
      </c>
      <c r="BI58" s="309" t="s">
        <v>758</v>
      </c>
      <c r="BJ58" s="309">
        <v>10</v>
      </c>
      <c r="BK58" s="309" t="s">
        <v>758</v>
      </c>
      <c r="BL58" s="464"/>
      <c r="BM58" s="464"/>
      <c r="BN58" s="464"/>
      <c r="BO58" s="327">
        <v>0.05</v>
      </c>
      <c r="BP58" s="327">
        <v>0.51</v>
      </c>
      <c r="BQ58" s="327">
        <v>0.41</v>
      </c>
      <c r="BR58" s="327">
        <v>0.03</v>
      </c>
      <c r="BS58" s="327">
        <v>0.6</v>
      </c>
      <c r="BT58" s="327">
        <v>0.56000000000000005</v>
      </c>
      <c r="BU58" s="476"/>
      <c r="BV58" s="476"/>
      <c r="BW58" s="476"/>
      <c r="BX58" s="327">
        <v>0.41</v>
      </c>
      <c r="BY58" s="424">
        <v>51</v>
      </c>
      <c r="BZ58" s="424" t="s">
        <v>758</v>
      </c>
      <c r="CA58" s="424">
        <v>10</v>
      </c>
      <c r="CB58" s="424" t="s">
        <v>758</v>
      </c>
      <c r="CC58" s="428">
        <v>0.08</v>
      </c>
      <c r="CD58" s="428">
        <v>0.42</v>
      </c>
      <c r="CE58" s="428">
        <v>0.47</v>
      </c>
      <c r="CF58" s="428">
        <v>0.03</v>
      </c>
      <c r="CG58" s="428">
        <v>0.7</v>
      </c>
      <c r="CH58" s="428">
        <v>0.32</v>
      </c>
      <c r="CI58" s="428">
        <v>0.62</v>
      </c>
      <c r="CJ58" s="464">
        <v>51</v>
      </c>
      <c r="CK58" s="464" t="s">
        <v>758</v>
      </c>
      <c r="CL58" s="464">
        <v>12</v>
      </c>
      <c r="CM58" s="464" t="s">
        <v>758</v>
      </c>
      <c r="CN58" s="476">
        <v>0.11</v>
      </c>
      <c r="CO58" s="476">
        <v>0.4</v>
      </c>
      <c r="CP58" s="476">
        <v>0.46</v>
      </c>
      <c r="CQ58" s="476">
        <v>0.03</v>
      </c>
      <c r="CR58" s="476">
        <v>0.57999999999999996</v>
      </c>
      <c r="CS58" s="476">
        <v>0.54</v>
      </c>
      <c r="CT58" s="476">
        <v>0.41</v>
      </c>
      <c r="CU58" s="902">
        <v>50</v>
      </c>
      <c r="CV58" s="902" t="s">
        <v>758</v>
      </c>
      <c r="CW58" s="902">
        <v>11</v>
      </c>
      <c r="CX58" s="902" t="s">
        <v>758</v>
      </c>
      <c r="CY58" s="949">
        <v>0.15</v>
      </c>
      <c r="CZ58" s="949">
        <v>0.27</v>
      </c>
      <c r="DA58" s="949">
        <v>0.57999999999999996</v>
      </c>
      <c r="DB58" s="949">
        <v>0</v>
      </c>
      <c r="DC58" s="949">
        <v>0.66</v>
      </c>
      <c r="DD58" s="949">
        <v>0.54</v>
      </c>
      <c r="DE58" s="949">
        <v>0.42</v>
      </c>
      <c r="DF58" s="922">
        <v>325754000771</v>
      </c>
      <c r="DG58" s="892" t="e">
        <f>VLOOKUP(DF58,#REF!,3,0)</f>
        <v>#REF!</v>
      </c>
    </row>
    <row r="59" spans="1:111" ht="24.95" customHeight="1" x14ac:dyDescent="0.2">
      <c r="A59" s="803" t="s">
        <v>727</v>
      </c>
      <c r="B59" s="1" t="s">
        <v>123</v>
      </c>
      <c r="C59" s="12">
        <v>4</v>
      </c>
      <c r="D59" s="12"/>
      <c r="E59" s="12"/>
      <c r="F59" s="66"/>
      <c r="G59" s="66"/>
      <c r="H59" s="66"/>
      <c r="I59" s="66"/>
      <c r="J59" s="66"/>
      <c r="K59" s="66"/>
      <c r="L59" s="66"/>
      <c r="M59" s="12"/>
      <c r="N59" s="12"/>
      <c r="O59" s="40"/>
      <c r="P59" s="40"/>
      <c r="Q59" s="40"/>
      <c r="R59" s="40"/>
      <c r="S59" s="40"/>
      <c r="T59" s="40"/>
      <c r="U59" s="40"/>
      <c r="V59" s="12"/>
      <c r="W59" s="12"/>
      <c r="X59" s="66"/>
      <c r="Y59" s="66"/>
      <c r="Z59" s="66"/>
      <c r="AA59" s="66"/>
      <c r="AB59" s="66"/>
      <c r="AC59" s="66"/>
      <c r="AD59" s="66"/>
      <c r="AE59" s="12"/>
      <c r="AF59" s="12"/>
      <c r="AG59" s="66"/>
      <c r="AH59" s="66"/>
      <c r="AI59" s="66"/>
      <c r="AJ59" s="66"/>
      <c r="AK59" s="66"/>
      <c r="AL59" s="66"/>
      <c r="AM59" s="66"/>
      <c r="AN59" s="35"/>
      <c r="AO59" s="35"/>
      <c r="AP59" s="40"/>
      <c r="AQ59" s="40"/>
      <c r="AR59" s="40"/>
      <c r="AS59" s="40"/>
      <c r="AT59" s="40"/>
      <c r="AU59" s="40"/>
      <c r="AV59" s="40"/>
      <c r="AW59" s="646"/>
      <c r="AX59" s="646"/>
      <c r="AY59" s="646"/>
      <c r="AZ59" s="646"/>
      <c r="BA59" s="646"/>
      <c r="BB59" s="646"/>
      <c r="BC59" s="646"/>
      <c r="BD59" s="646"/>
      <c r="BE59" s="646"/>
      <c r="BF59" s="646"/>
      <c r="BG59" s="646"/>
      <c r="BH59" s="649"/>
      <c r="BI59" s="649"/>
      <c r="BJ59" s="649"/>
      <c r="BK59" s="649"/>
      <c r="BL59" s="650"/>
      <c r="BM59" s="650"/>
      <c r="BN59" s="650"/>
      <c r="BO59" s="649"/>
      <c r="BP59" s="649"/>
      <c r="BQ59" s="649"/>
      <c r="BR59" s="649"/>
      <c r="BS59" s="649"/>
      <c r="BT59" s="649"/>
      <c r="BU59" s="650"/>
      <c r="BV59" s="650"/>
      <c r="BW59" s="650"/>
      <c r="BX59" s="649"/>
      <c r="BY59" s="651"/>
      <c r="BZ59" s="651"/>
      <c r="CA59" s="651"/>
      <c r="CB59" s="651"/>
      <c r="CC59" s="651"/>
      <c r="CD59" s="651"/>
      <c r="CE59" s="651"/>
      <c r="CF59" s="651"/>
      <c r="CG59" s="651"/>
      <c r="CH59" s="651"/>
      <c r="CI59" s="651"/>
      <c r="CJ59" s="650"/>
      <c r="CK59" s="650"/>
      <c r="CL59" s="650"/>
      <c r="CM59" s="650"/>
      <c r="CN59" s="650"/>
      <c r="CO59" s="650"/>
      <c r="CP59" s="650"/>
      <c r="CQ59" s="650"/>
      <c r="CR59" s="650"/>
      <c r="CS59" s="650"/>
      <c r="CT59" s="650"/>
      <c r="CY59" s="949"/>
      <c r="CZ59" s="949"/>
      <c r="DA59" s="949"/>
      <c r="DB59" s="949"/>
      <c r="DC59" s="949"/>
      <c r="DD59" s="949"/>
      <c r="DE59" s="949"/>
      <c r="DG59" s="892"/>
    </row>
    <row r="60" spans="1:111" ht="24.95" customHeight="1" x14ac:dyDescent="0.2">
      <c r="A60" s="803" t="s">
        <v>109</v>
      </c>
      <c r="B60" s="1" t="s">
        <v>123</v>
      </c>
      <c r="C60" s="12">
        <v>3</v>
      </c>
      <c r="D60" s="12">
        <v>56</v>
      </c>
      <c r="E60" s="12">
        <v>8</v>
      </c>
      <c r="F60" s="66">
        <v>0</v>
      </c>
      <c r="G60" s="66">
        <v>0.28000000000000003</v>
      </c>
      <c r="H60" s="66">
        <v>0.69</v>
      </c>
      <c r="I60" s="66">
        <v>0.04</v>
      </c>
      <c r="J60" s="66">
        <v>0.47</v>
      </c>
      <c r="K60" s="66">
        <v>0.41</v>
      </c>
      <c r="L60" s="66">
        <v>0.51</v>
      </c>
      <c r="M60" s="12">
        <v>56</v>
      </c>
      <c r="N60" s="12">
        <v>9</v>
      </c>
      <c r="O60" s="40">
        <v>0.01</v>
      </c>
      <c r="P60" s="40">
        <v>0.28999999999999998</v>
      </c>
      <c r="Q60" s="40">
        <v>0.66</v>
      </c>
      <c r="R60" s="40">
        <v>0.04</v>
      </c>
      <c r="S60" s="40">
        <v>0.42</v>
      </c>
      <c r="T60" s="40">
        <v>0.48</v>
      </c>
      <c r="U60" s="40">
        <v>0.28000000000000003</v>
      </c>
      <c r="V60" s="12">
        <v>56</v>
      </c>
      <c r="W60" s="12">
        <v>8</v>
      </c>
      <c r="X60" s="66">
        <v>0.01</v>
      </c>
      <c r="Y60" s="66">
        <v>0.21</v>
      </c>
      <c r="Z60" s="66">
        <v>0.75</v>
      </c>
      <c r="AA60" s="66">
        <v>0.04</v>
      </c>
      <c r="AB60" s="66">
        <v>0.42</v>
      </c>
      <c r="AC60" s="66">
        <v>0.32</v>
      </c>
      <c r="AD60" s="66">
        <v>0.43</v>
      </c>
      <c r="AE60" s="12">
        <v>59</v>
      </c>
      <c r="AF60" s="12">
        <v>9</v>
      </c>
      <c r="AG60" s="66">
        <v>0</v>
      </c>
      <c r="AH60" s="66">
        <v>0.16</v>
      </c>
      <c r="AI60" s="66">
        <v>0.74</v>
      </c>
      <c r="AJ60" s="66">
        <v>0.1</v>
      </c>
      <c r="AK60" s="66">
        <v>0.42</v>
      </c>
      <c r="AL60" s="66">
        <v>0.36</v>
      </c>
      <c r="AM60" s="66">
        <v>0.19</v>
      </c>
      <c r="AN60" s="35">
        <v>58</v>
      </c>
      <c r="AO60" s="35">
        <v>9</v>
      </c>
      <c r="AP60" s="40">
        <v>0.01</v>
      </c>
      <c r="AQ60" s="40">
        <v>0.19</v>
      </c>
      <c r="AR60" s="40">
        <v>0.76</v>
      </c>
      <c r="AS60" s="40">
        <v>0.05</v>
      </c>
      <c r="AT60" s="40">
        <v>0.22</v>
      </c>
      <c r="AU60" s="40">
        <v>0.41</v>
      </c>
      <c r="AV60" s="40">
        <v>0.41</v>
      </c>
      <c r="AW60" s="246">
        <v>57</v>
      </c>
      <c r="AX60" s="246" t="s">
        <v>758</v>
      </c>
      <c r="AY60" s="246">
        <v>9</v>
      </c>
      <c r="AZ60" s="246" t="s">
        <v>758</v>
      </c>
      <c r="BA60" s="263">
        <v>0.02</v>
      </c>
      <c r="BB60" s="263">
        <v>0.18</v>
      </c>
      <c r="BC60" s="263">
        <v>0.73</v>
      </c>
      <c r="BD60" s="263">
        <v>7.0000000000000007E-2</v>
      </c>
      <c r="BE60" s="263">
        <v>0.22</v>
      </c>
      <c r="BF60" s="263">
        <v>0.4</v>
      </c>
      <c r="BG60" s="263">
        <v>0.39</v>
      </c>
      <c r="BH60" s="309">
        <v>62</v>
      </c>
      <c r="BI60" s="309" t="s">
        <v>759</v>
      </c>
      <c r="BJ60" s="309">
        <v>9</v>
      </c>
      <c r="BK60" s="309" t="s">
        <v>758</v>
      </c>
      <c r="BL60" s="464"/>
      <c r="BM60" s="464"/>
      <c r="BN60" s="464"/>
      <c r="BO60" s="327">
        <v>0</v>
      </c>
      <c r="BP60" s="327">
        <v>0.1</v>
      </c>
      <c r="BQ60" s="327">
        <v>0.75</v>
      </c>
      <c r="BR60" s="327">
        <v>0.15</v>
      </c>
      <c r="BS60" s="327">
        <v>0.32</v>
      </c>
      <c r="BT60" s="327">
        <v>0.45</v>
      </c>
      <c r="BU60" s="476"/>
      <c r="BV60" s="476"/>
      <c r="BW60" s="476"/>
      <c r="BX60" s="327">
        <v>0.23</v>
      </c>
      <c r="BY60" s="424">
        <v>59</v>
      </c>
      <c r="BZ60" s="424" t="s">
        <v>758</v>
      </c>
      <c r="CA60" s="424">
        <v>11</v>
      </c>
      <c r="CB60" s="424" t="s">
        <v>758</v>
      </c>
      <c r="CC60" s="428">
        <v>0.03</v>
      </c>
      <c r="CD60" s="428">
        <v>0.18</v>
      </c>
      <c r="CE60" s="428">
        <v>0.68</v>
      </c>
      <c r="CF60" s="428">
        <v>0.1</v>
      </c>
      <c r="CG60" s="428">
        <v>0.54</v>
      </c>
      <c r="CH60" s="428">
        <v>0.32</v>
      </c>
      <c r="CI60" s="428">
        <v>0.46</v>
      </c>
      <c r="CJ60" s="464">
        <v>59</v>
      </c>
      <c r="CK60" s="464" t="s">
        <v>758</v>
      </c>
      <c r="CL60" s="464">
        <v>11</v>
      </c>
      <c r="CM60" s="464" t="s">
        <v>758</v>
      </c>
      <c r="CN60" s="476">
        <v>0.02</v>
      </c>
      <c r="CO60" s="476">
        <v>0.18</v>
      </c>
      <c r="CP60" s="476">
        <v>0.63</v>
      </c>
      <c r="CQ60" s="476">
        <v>0.17</v>
      </c>
      <c r="CR60" s="476">
        <v>0.45</v>
      </c>
      <c r="CS60" s="476">
        <v>0.4</v>
      </c>
      <c r="CT60" s="476">
        <v>0.33</v>
      </c>
      <c r="CU60" s="902">
        <v>59</v>
      </c>
      <c r="CV60" s="902" t="s">
        <v>758</v>
      </c>
      <c r="CW60" s="902">
        <v>12</v>
      </c>
      <c r="CX60" s="902" t="s">
        <v>758</v>
      </c>
      <c r="CY60" s="949">
        <v>0.03</v>
      </c>
      <c r="CZ60" s="949">
        <v>0.14000000000000001</v>
      </c>
      <c r="DA60" s="949">
        <v>0.65</v>
      </c>
      <c r="DB60" s="949">
        <v>0.17</v>
      </c>
      <c r="DC60" s="949">
        <v>0.49</v>
      </c>
      <c r="DD60" s="949">
        <v>0.37</v>
      </c>
      <c r="DE60" s="949">
        <v>0.27</v>
      </c>
      <c r="DF60" s="922">
        <v>325754005412</v>
      </c>
      <c r="DG60" s="892" t="e">
        <f>VLOOKUP(DF60,#REF!,3,0)</f>
        <v>#REF!</v>
      </c>
    </row>
    <row r="61" spans="1:111" s="892" customFormat="1" ht="24.95" customHeight="1" x14ac:dyDescent="0.2">
      <c r="A61" s="905" t="s">
        <v>960</v>
      </c>
      <c r="B61" s="1" t="s">
        <v>123</v>
      </c>
      <c r="C61" s="868">
        <v>6</v>
      </c>
      <c r="D61" s="868"/>
      <c r="E61" s="868"/>
      <c r="F61" s="908"/>
      <c r="G61" s="908"/>
      <c r="H61" s="908"/>
      <c r="I61" s="908"/>
      <c r="J61" s="908"/>
      <c r="K61" s="908"/>
      <c r="L61" s="908"/>
      <c r="M61" s="868"/>
      <c r="N61" s="868"/>
      <c r="O61" s="910"/>
      <c r="P61" s="910"/>
      <c r="Q61" s="910"/>
      <c r="R61" s="910"/>
      <c r="S61" s="910"/>
      <c r="T61" s="910"/>
      <c r="U61" s="910"/>
      <c r="V61" s="868"/>
      <c r="W61" s="868"/>
      <c r="X61" s="908"/>
      <c r="Y61" s="908"/>
      <c r="Z61" s="908"/>
      <c r="AA61" s="908"/>
      <c r="AB61" s="908"/>
      <c r="AC61" s="908"/>
      <c r="AD61" s="908"/>
      <c r="AE61" s="868"/>
      <c r="AF61" s="868"/>
      <c r="AG61" s="908"/>
      <c r="AH61" s="908"/>
      <c r="AI61" s="908"/>
      <c r="AJ61" s="908"/>
      <c r="AK61" s="908"/>
      <c r="AL61" s="908"/>
      <c r="AM61" s="908"/>
      <c r="AN61" s="909"/>
      <c r="AO61" s="909"/>
      <c r="AP61" s="910"/>
      <c r="AQ61" s="910"/>
      <c r="AR61" s="910"/>
      <c r="AS61" s="910"/>
      <c r="AT61" s="910"/>
      <c r="AU61" s="910"/>
      <c r="AV61" s="910"/>
      <c r="AW61" s="915"/>
      <c r="AX61" s="915"/>
      <c r="AY61" s="915"/>
      <c r="AZ61" s="915"/>
      <c r="BA61" s="916"/>
      <c r="BB61" s="916"/>
      <c r="BC61" s="916"/>
      <c r="BD61" s="916"/>
      <c r="BE61" s="916"/>
      <c r="BF61" s="916"/>
      <c r="BG61" s="916"/>
      <c r="BH61" s="917"/>
      <c r="BI61" s="917"/>
      <c r="BJ61" s="917"/>
      <c r="BK61" s="917"/>
      <c r="BL61" s="917"/>
      <c r="BM61" s="917"/>
      <c r="BN61" s="917"/>
      <c r="BO61" s="918"/>
      <c r="BP61" s="918"/>
      <c r="BQ61" s="918"/>
      <c r="BR61" s="918"/>
      <c r="BS61" s="918"/>
      <c r="BT61" s="918"/>
      <c r="BU61" s="918"/>
      <c r="BV61" s="918"/>
      <c r="BW61" s="918"/>
      <c r="BX61" s="918"/>
      <c r="BY61" s="919"/>
      <c r="BZ61" s="919"/>
      <c r="CA61" s="919"/>
      <c r="CB61" s="919"/>
      <c r="CC61" s="920"/>
      <c r="CD61" s="920"/>
      <c r="CE61" s="920"/>
      <c r="CF61" s="920"/>
      <c r="CG61" s="920"/>
      <c r="CH61" s="920"/>
      <c r="CI61" s="920"/>
      <c r="CJ61" s="917"/>
      <c r="CK61" s="917"/>
      <c r="CL61" s="917"/>
      <c r="CM61" s="917"/>
      <c r="CN61" s="918"/>
      <c r="CO61" s="918"/>
      <c r="CP61" s="918"/>
      <c r="CQ61" s="918"/>
      <c r="CR61" s="918"/>
      <c r="CS61" s="918"/>
      <c r="CT61" s="918"/>
      <c r="CU61" s="902">
        <v>47</v>
      </c>
      <c r="CV61" s="902" t="s">
        <v>758</v>
      </c>
      <c r="CW61" s="902">
        <v>10</v>
      </c>
      <c r="CX61" s="902" t="s">
        <v>758</v>
      </c>
      <c r="CY61" s="949">
        <v>0.12</v>
      </c>
      <c r="CZ61" s="949">
        <v>0.47</v>
      </c>
      <c r="DA61" s="949">
        <v>0.41</v>
      </c>
      <c r="DB61" s="949">
        <v>0</v>
      </c>
      <c r="DC61" s="949">
        <v>0.62</v>
      </c>
      <c r="DD61" s="949">
        <v>0.5</v>
      </c>
      <c r="DE61" s="949">
        <v>0.47</v>
      </c>
      <c r="DF61" s="922">
        <v>325754003622</v>
      </c>
      <c r="DG61" s="892" t="e">
        <f>VLOOKUP(DF61,#REF!,3,0)</f>
        <v>#REF!</v>
      </c>
    </row>
    <row r="62" spans="1:111" ht="24.95" customHeight="1" x14ac:dyDescent="0.2">
      <c r="A62" s="803" t="s">
        <v>97</v>
      </c>
      <c r="B62" s="1" t="s">
        <v>123</v>
      </c>
      <c r="C62" s="12">
        <v>2</v>
      </c>
      <c r="D62" s="12">
        <v>53</v>
      </c>
      <c r="E62" s="12">
        <v>8</v>
      </c>
      <c r="F62" s="66">
        <v>0</v>
      </c>
      <c r="G62" s="66">
        <v>0.41</v>
      </c>
      <c r="H62" s="66">
        <v>0.59</v>
      </c>
      <c r="I62" s="66">
        <v>0</v>
      </c>
      <c r="J62" s="66">
        <v>0.51</v>
      </c>
      <c r="K62" s="66">
        <v>0.48</v>
      </c>
      <c r="L62" s="66">
        <v>0.53</v>
      </c>
      <c r="M62" s="12">
        <v>48</v>
      </c>
      <c r="N62" s="12">
        <v>9</v>
      </c>
      <c r="O62" s="40">
        <v>0.03</v>
      </c>
      <c r="P62" s="40">
        <v>0.63</v>
      </c>
      <c r="Q62" s="40">
        <v>0.33</v>
      </c>
      <c r="R62" s="40">
        <v>0</v>
      </c>
      <c r="S62" s="40">
        <v>0.49</v>
      </c>
      <c r="T62" s="40">
        <v>0.64</v>
      </c>
      <c r="U62" s="40">
        <v>0.41</v>
      </c>
      <c r="V62" s="12">
        <v>53</v>
      </c>
      <c r="W62" s="12">
        <v>10</v>
      </c>
      <c r="X62" s="66">
        <v>0</v>
      </c>
      <c r="Y62" s="66">
        <v>0.44</v>
      </c>
      <c r="Z62" s="66">
        <v>0.56000000000000005</v>
      </c>
      <c r="AA62" s="66">
        <v>0</v>
      </c>
      <c r="AB62" s="66">
        <v>0.49</v>
      </c>
      <c r="AC62" s="66">
        <v>0.36</v>
      </c>
      <c r="AD62" s="66">
        <v>0.48</v>
      </c>
      <c r="AE62" s="12">
        <v>55</v>
      </c>
      <c r="AF62" s="12">
        <v>8</v>
      </c>
      <c r="AG62" s="66">
        <v>0</v>
      </c>
      <c r="AH62" s="66">
        <v>0.23</v>
      </c>
      <c r="AI62" s="66">
        <v>0.73</v>
      </c>
      <c r="AJ62" s="66">
        <v>0.04</v>
      </c>
      <c r="AK62" s="66">
        <v>0.5</v>
      </c>
      <c r="AL62" s="66">
        <v>0.43</v>
      </c>
      <c r="AM62" s="66">
        <v>0.22</v>
      </c>
      <c r="AN62" s="35">
        <v>52</v>
      </c>
      <c r="AO62" s="35">
        <v>9</v>
      </c>
      <c r="AP62" s="40">
        <v>0.06</v>
      </c>
      <c r="AQ62" s="40">
        <v>0.33</v>
      </c>
      <c r="AR62" s="40">
        <v>0.61</v>
      </c>
      <c r="AS62" s="40">
        <v>0</v>
      </c>
      <c r="AT62" s="40">
        <v>0.28999999999999998</v>
      </c>
      <c r="AU62" s="40">
        <v>0.54</v>
      </c>
      <c r="AV62" s="40">
        <v>0.47</v>
      </c>
      <c r="AW62" s="647">
        <v>51</v>
      </c>
      <c r="AX62" s="647" t="s">
        <v>758</v>
      </c>
      <c r="AY62" s="647">
        <v>8</v>
      </c>
      <c r="AZ62" s="647" t="s">
        <v>758</v>
      </c>
      <c r="BA62" s="648">
        <v>0</v>
      </c>
      <c r="BB62" s="648">
        <v>0.59</v>
      </c>
      <c r="BC62" s="648">
        <v>0.41</v>
      </c>
      <c r="BD62" s="648">
        <v>0</v>
      </c>
      <c r="BE62" s="648">
        <v>0.28999999999999998</v>
      </c>
      <c r="BF62" s="648">
        <v>0.53</v>
      </c>
      <c r="BG62" s="648">
        <v>0.5</v>
      </c>
      <c r="BH62" s="74">
        <v>57</v>
      </c>
      <c r="BI62" s="74" t="s">
        <v>758</v>
      </c>
      <c r="BJ62" s="74">
        <v>8</v>
      </c>
      <c r="BK62" s="74" t="s">
        <v>758</v>
      </c>
      <c r="BL62" s="74"/>
      <c r="BM62" s="74"/>
      <c r="BN62" s="74"/>
      <c r="BO62" s="96">
        <v>0</v>
      </c>
      <c r="BP62" s="96">
        <v>0.21</v>
      </c>
      <c r="BQ62" s="96">
        <v>0.74</v>
      </c>
      <c r="BR62" s="96">
        <v>0.05</v>
      </c>
      <c r="BS62" s="96">
        <v>0.49</v>
      </c>
      <c r="BT62" s="96">
        <v>0.5</v>
      </c>
      <c r="BU62" s="96"/>
      <c r="BV62" s="96"/>
      <c r="BW62" s="96"/>
      <c r="BX62" s="96">
        <v>0.31</v>
      </c>
      <c r="BY62" s="652">
        <v>53</v>
      </c>
      <c r="BZ62" s="652" t="s">
        <v>758</v>
      </c>
      <c r="CA62" s="652">
        <v>9</v>
      </c>
      <c r="CB62" s="652" t="s">
        <v>758</v>
      </c>
      <c r="CC62" s="653">
        <v>0.06</v>
      </c>
      <c r="CD62" s="653">
        <v>0.36</v>
      </c>
      <c r="CE62" s="653">
        <v>0.55000000000000004</v>
      </c>
      <c r="CF62" s="653">
        <v>0.03</v>
      </c>
      <c r="CG62" s="653">
        <v>0.57999999999999996</v>
      </c>
      <c r="CH62" s="653">
        <v>0.34</v>
      </c>
      <c r="CI62" s="653">
        <v>0.55000000000000004</v>
      </c>
      <c r="CJ62" s="74">
        <v>53</v>
      </c>
      <c r="CK62" s="74" t="s">
        <v>758</v>
      </c>
      <c r="CL62" s="74">
        <v>11</v>
      </c>
      <c r="CM62" s="74" t="s">
        <v>758</v>
      </c>
      <c r="CN62" s="96">
        <v>0.09</v>
      </c>
      <c r="CO62" s="96">
        <v>0.28999999999999998</v>
      </c>
      <c r="CP62" s="96">
        <v>0.6</v>
      </c>
      <c r="CQ62" s="96">
        <v>0.03</v>
      </c>
      <c r="CR62" s="96">
        <v>0.53</v>
      </c>
      <c r="CS62" s="96">
        <v>0.54</v>
      </c>
      <c r="CT62" s="96">
        <v>0.42</v>
      </c>
      <c r="CU62" s="902">
        <v>57</v>
      </c>
      <c r="CV62" s="902" t="s">
        <v>758</v>
      </c>
      <c r="CW62" s="902">
        <v>9</v>
      </c>
      <c r="CX62" s="902" t="s">
        <v>758</v>
      </c>
      <c r="CY62" s="949">
        <v>0</v>
      </c>
      <c r="CZ62" s="949">
        <v>0.26</v>
      </c>
      <c r="DA62" s="949">
        <v>0.66</v>
      </c>
      <c r="DB62" s="949">
        <v>0.08</v>
      </c>
      <c r="DC62" s="949">
        <v>0.6</v>
      </c>
      <c r="DD62" s="949">
        <v>0.43</v>
      </c>
      <c r="DE62" s="949">
        <v>0.34</v>
      </c>
      <c r="DF62" s="922">
        <v>325754000950</v>
      </c>
      <c r="DG62" s="892" t="e">
        <f>VLOOKUP(DF62,#REF!,3,0)</f>
        <v>#REF!</v>
      </c>
    </row>
    <row r="63" spans="1:111" ht="24.95" customHeight="1" x14ac:dyDescent="0.2">
      <c r="A63" s="803" t="s">
        <v>51</v>
      </c>
      <c r="B63" s="1" t="s">
        <v>123</v>
      </c>
      <c r="C63" s="12">
        <v>2</v>
      </c>
      <c r="D63" s="12">
        <v>56</v>
      </c>
      <c r="E63" s="12">
        <v>6</v>
      </c>
      <c r="F63" s="66">
        <v>0</v>
      </c>
      <c r="G63" s="66">
        <v>0.17</v>
      </c>
      <c r="H63" s="66">
        <v>0.83</v>
      </c>
      <c r="I63" s="66">
        <v>0</v>
      </c>
      <c r="J63" s="66">
        <v>0.49</v>
      </c>
      <c r="K63" s="66">
        <v>0.41</v>
      </c>
      <c r="L63" s="66">
        <v>0.45</v>
      </c>
      <c r="M63" s="12">
        <v>60</v>
      </c>
      <c r="N63" s="12">
        <v>7</v>
      </c>
      <c r="O63" s="40">
        <v>0</v>
      </c>
      <c r="P63" s="40">
        <v>0.11</v>
      </c>
      <c r="Q63" s="40">
        <v>0.79</v>
      </c>
      <c r="R63" s="40">
        <v>0.11</v>
      </c>
      <c r="S63" s="40">
        <v>0.42</v>
      </c>
      <c r="T63" s="40">
        <v>0.39</v>
      </c>
      <c r="U63" s="40">
        <v>0.24</v>
      </c>
      <c r="V63" s="12">
        <v>59</v>
      </c>
      <c r="W63" s="12">
        <v>6</v>
      </c>
      <c r="X63" s="66">
        <v>0</v>
      </c>
      <c r="Y63" s="66">
        <v>0.06</v>
      </c>
      <c r="Z63" s="66">
        <v>0.94</v>
      </c>
      <c r="AA63" s="66">
        <v>0</v>
      </c>
      <c r="AB63" s="66">
        <v>0.39</v>
      </c>
      <c r="AC63" s="66">
        <v>0.27</v>
      </c>
      <c r="AD63" s="66">
        <v>0.41</v>
      </c>
      <c r="AE63" s="12">
        <v>57</v>
      </c>
      <c r="AF63" s="12">
        <v>8</v>
      </c>
      <c r="AG63" s="66">
        <v>0</v>
      </c>
      <c r="AH63" s="66">
        <v>0.27</v>
      </c>
      <c r="AI63" s="66">
        <v>0.68</v>
      </c>
      <c r="AJ63" s="66">
        <v>0.05</v>
      </c>
      <c r="AK63" s="66">
        <v>0.49</v>
      </c>
      <c r="AL63" s="66">
        <v>0.46</v>
      </c>
      <c r="AM63" s="66">
        <v>0.19</v>
      </c>
      <c r="AN63" s="35">
        <v>57</v>
      </c>
      <c r="AO63" s="35">
        <v>7</v>
      </c>
      <c r="AP63" s="40">
        <v>0</v>
      </c>
      <c r="AQ63" s="40">
        <v>0.15</v>
      </c>
      <c r="AR63" s="40">
        <v>0.78</v>
      </c>
      <c r="AS63" s="40">
        <v>7.0000000000000007E-2</v>
      </c>
      <c r="AT63" s="40">
        <v>0.18</v>
      </c>
      <c r="AU63" s="40">
        <v>0.44</v>
      </c>
      <c r="AV63" s="40">
        <v>0.43</v>
      </c>
      <c r="AW63" s="246">
        <v>58</v>
      </c>
      <c r="AX63" s="246" t="s">
        <v>758</v>
      </c>
      <c r="AY63" s="246">
        <v>6</v>
      </c>
      <c r="AZ63" s="246" t="s">
        <v>760</v>
      </c>
      <c r="BA63" s="263">
        <v>0</v>
      </c>
      <c r="BB63" s="263">
        <v>0.14000000000000001</v>
      </c>
      <c r="BC63" s="263">
        <v>0.86</v>
      </c>
      <c r="BD63" s="263">
        <v>0</v>
      </c>
      <c r="BE63" s="263">
        <v>0.23</v>
      </c>
      <c r="BF63" s="263">
        <v>0.41</v>
      </c>
      <c r="BG63" s="263">
        <v>0.4</v>
      </c>
      <c r="BH63" s="309">
        <v>57</v>
      </c>
      <c r="BI63" s="309" t="s">
        <v>758</v>
      </c>
      <c r="BJ63" s="309">
        <v>11</v>
      </c>
      <c r="BK63" s="309" t="s">
        <v>758</v>
      </c>
      <c r="BL63" s="464"/>
      <c r="BM63" s="464"/>
      <c r="BN63" s="464"/>
      <c r="BO63" s="327">
        <v>0</v>
      </c>
      <c r="BP63" s="327">
        <v>0.2</v>
      </c>
      <c r="BQ63" s="327">
        <v>0.75</v>
      </c>
      <c r="BR63" s="327">
        <v>0.05</v>
      </c>
      <c r="BS63" s="327">
        <v>0.49</v>
      </c>
      <c r="BT63" s="327">
        <v>0.51</v>
      </c>
      <c r="BU63" s="476"/>
      <c r="BV63" s="476"/>
      <c r="BW63" s="476"/>
      <c r="BX63" s="327">
        <v>0.34</v>
      </c>
      <c r="BY63" s="424">
        <v>59</v>
      </c>
      <c r="BZ63" s="424" t="s">
        <v>758</v>
      </c>
      <c r="CA63" s="424">
        <v>10</v>
      </c>
      <c r="CB63" s="424" t="s">
        <v>758</v>
      </c>
      <c r="CC63" s="428">
        <v>0</v>
      </c>
      <c r="CD63" s="428">
        <v>0.19</v>
      </c>
      <c r="CE63" s="428">
        <v>0.69</v>
      </c>
      <c r="CF63" s="428">
        <v>0.13</v>
      </c>
      <c r="CG63" s="428">
        <v>0.36</v>
      </c>
      <c r="CH63" s="428">
        <v>0.34</v>
      </c>
      <c r="CI63" s="428">
        <v>0.48</v>
      </c>
      <c r="CJ63" s="464">
        <v>58</v>
      </c>
      <c r="CK63" s="464" t="s">
        <v>758</v>
      </c>
      <c r="CL63" s="464">
        <v>8</v>
      </c>
      <c r="CM63" s="464" t="s">
        <v>758</v>
      </c>
      <c r="CN63" s="476">
        <v>0</v>
      </c>
      <c r="CO63" s="476">
        <v>0.25</v>
      </c>
      <c r="CP63" s="476">
        <v>0.75</v>
      </c>
      <c r="CQ63" s="476">
        <v>0</v>
      </c>
      <c r="CR63" s="476">
        <v>0.44</v>
      </c>
      <c r="CS63" s="476">
        <v>0.41</v>
      </c>
      <c r="CT63" s="476">
        <v>0.35</v>
      </c>
      <c r="CU63" s="902">
        <v>57</v>
      </c>
      <c r="CV63" s="902" t="s">
        <v>758</v>
      </c>
      <c r="CW63" s="902">
        <v>9</v>
      </c>
      <c r="CX63" s="902" t="s">
        <v>758</v>
      </c>
      <c r="CY63" s="949">
        <v>0</v>
      </c>
      <c r="CZ63" s="949">
        <v>0.2</v>
      </c>
      <c r="DA63" s="949">
        <v>0.8</v>
      </c>
      <c r="DB63" s="949">
        <v>0</v>
      </c>
      <c r="DC63" s="949">
        <v>0.49</v>
      </c>
      <c r="DD63" s="949">
        <v>0.48</v>
      </c>
      <c r="DE63" s="949">
        <v>0.25</v>
      </c>
      <c r="DF63" s="922">
        <v>325754000721</v>
      </c>
      <c r="DG63" s="892" t="e">
        <f>VLOOKUP(DF63,#REF!,3,0)</f>
        <v>#REF!</v>
      </c>
    </row>
    <row r="64" spans="1:111" ht="24.95" customHeight="1" x14ac:dyDescent="0.2">
      <c r="A64" s="803" t="s">
        <v>102</v>
      </c>
      <c r="B64" s="1" t="s">
        <v>123</v>
      </c>
      <c r="C64" s="12">
        <v>1</v>
      </c>
      <c r="D64" s="12">
        <v>46</v>
      </c>
      <c r="E64" s="12">
        <v>10</v>
      </c>
      <c r="F64" s="66">
        <v>0.15</v>
      </c>
      <c r="G64" s="66">
        <v>0.38</v>
      </c>
      <c r="H64" s="66">
        <v>0.46</v>
      </c>
      <c r="I64" s="66">
        <v>0</v>
      </c>
      <c r="J64" s="66">
        <v>0.56999999999999995</v>
      </c>
      <c r="K64" s="66">
        <v>0.52</v>
      </c>
      <c r="L64" s="66">
        <v>0.68</v>
      </c>
      <c r="M64" s="12">
        <v>45</v>
      </c>
      <c r="N64" s="12">
        <v>7</v>
      </c>
      <c r="O64" s="40">
        <v>0</v>
      </c>
      <c r="P64" s="40">
        <v>0.8</v>
      </c>
      <c r="Q64" s="40">
        <v>0.2</v>
      </c>
      <c r="R64" s="40">
        <v>0</v>
      </c>
      <c r="S64" s="40">
        <v>0.59</v>
      </c>
      <c r="T64" s="40">
        <v>0.63</v>
      </c>
      <c r="U64" s="40">
        <v>0.48</v>
      </c>
      <c r="V64" s="12">
        <v>47</v>
      </c>
      <c r="W64" s="12">
        <v>10</v>
      </c>
      <c r="X64" s="66">
        <v>0.05</v>
      </c>
      <c r="Y64" s="66">
        <v>0.74</v>
      </c>
      <c r="Z64" s="66">
        <v>0.16</v>
      </c>
      <c r="AA64" s="66">
        <v>0.05</v>
      </c>
      <c r="AB64" s="66">
        <v>0.56999999999999995</v>
      </c>
      <c r="AC64" s="66">
        <v>0.43</v>
      </c>
      <c r="AD64" s="66">
        <v>0.61</v>
      </c>
      <c r="AE64" s="12">
        <v>42</v>
      </c>
      <c r="AF64" s="12">
        <v>7</v>
      </c>
      <c r="AG64" s="66">
        <v>0.18</v>
      </c>
      <c r="AH64" s="66">
        <v>0.65</v>
      </c>
      <c r="AI64" s="66">
        <v>0.18</v>
      </c>
      <c r="AJ64" s="66">
        <v>0</v>
      </c>
      <c r="AK64" s="66">
        <v>0.68</v>
      </c>
      <c r="AL64" s="66">
        <v>0.63</v>
      </c>
      <c r="AM64" s="66">
        <v>0.45</v>
      </c>
      <c r="AN64" s="35">
        <v>48</v>
      </c>
      <c r="AO64" s="35">
        <v>8</v>
      </c>
      <c r="AP64" s="40">
        <v>0.06</v>
      </c>
      <c r="AQ64" s="40">
        <v>0.53</v>
      </c>
      <c r="AR64" s="40">
        <v>0.41</v>
      </c>
      <c r="AS64" s="40">
        <v>0</v>
      </c>
      <c r="AT64" s="40">
        <v>0.34</v>
      </c>
      <c r="AU64" s="40">
        <v>0.61</v>
      </c>
      <c r="AV64" s="40">
        <v>0.62</v>
      </c>
      <c r="AW64" s="246">
        <v>47</v>
      </c>
      <c r="AX64" s="246" t="s">
        <v>758</v>
      </c>
      <c r="AY64" s="246">
        <v>6</v>
      </c>
      <c r="AZ64" s="246" t="s">
        <v>760</v>
      </c>
      <c r="BA64" s="263">
        <v>0</v>
      </c>
      <c r="BB64" s="263">
        <v>0.69</v>
      </c>
      <c r="BC64" s="263">
        <v>0.31</v>
      </c>
      <c r="BD64" s="263">
        <v>0</v>
      </c>
      <c r="BE64" s="263">
        <v>0.32</v>
      </c>
      <c r="BF64" s="263">
        <v>0.6</v>
      </c>
      <c r="BG64" s="263">
        <v>0.56999999999999995</v>
      </c>
      <c r="BH64" s="309">
        <v>46</v>
      </c>
      <c r="BI64" s="309" t="s">
        <v>758</v>
      </c>
      <c r="BJ64" s="309">
        <v>8</v>
      </c>
      <c r="BK64" s="309" t="s">
        <v>758</v>
      </c>
      <c r="BL64" s="464"/>
      <c r="BM64" s="464"/>
      <c r="BN64" s="464"/>
      <c r="BO64" s="327">
        <v>0.13</v>
      </c>
      <c r="BP64" s="327">
        <v>0.5</v>
      </c>
      <c r="BQ64" s="327">
        <v>0.38</v>
      </c>
      <c r="BR64" s="327">
        <v>0</v>
      </c>
      <c r="BS64" s="327">
        <v>0.71</v>
      </c>
      <c r="BT64" s="327">
        <v>0.71</v>
      </c>
      <c r="BU64" s="476"/>
      <c r="BV64" s="476"/>
      <c r="BW64" s="476"/>
      <c r="BX64" s="327">
        <v>0.47</v>
      </c>
      <c r="BY64" s="424">
        <v>48</v>
      </c>
      <c r="BZ64" s="424" t="s">
        <v>758</v>
      </c>
      <c r="CA64" s="424">
        <v>4</v>
      </c>
      <c r="CB64" s="424" t="s">
        <v>760</v>
      </c>
      <c r="CC64" s="428">
        <v>0</v>
      </c>
      <c r="CD64" s="428">
        <v>0.75</v>
      </c>
      <c r="CE64" s="428">
        <v>0.25</v>
      </c>
      <c r="CF64" s="428">
        <v>0</v>
      </c>
      <c r="CG64" s="428">
        <v>0.61</v>
      </c>
      <c r="CH64" s="428">
        <v>0.47</v>
      </c>
      <c r="CI64" s="428">
        <v>0.69</v>
      </c>
      <c r="CJ64" s="464">
        <v>51</v>
      </c>
      <c r="CK64" s="464" t="s">
        <v>758</v>
      </c>
      <c r="CL64" s="464">
        <v>11</v>
      </c>
      <c r="CM64" s="464" t="s">
        <v>758</v>
      </c>
      <c r="CN64" s="476">
        <v>0.04</v>
      </c>
      <c r="CO64" s="476">
        <v>0.4</v>
      </c>
      <c r="CP64" s="476">
        <v>0.52</v>
      </c>
      <c r="CQ64" s="476">
        <v>0.04</v>
      </c>
      <c r="CR64" s="476">
        <v>0.55000000000000004</v>
      </c>
      <c r="CS64" s="476">
        <v>0.49</v>
      </c>
      <c r="CT64" s="476">
        <v>0.42</v>
      </c>
      <c r="CU64" s="902">
        <v>49</v>
      </c>
      <c r="CV64" s="902" t="s">
        <v>758</v>
      </c>
      <c r="CW64" s="902">
        <v>8</v>
      </c>
      <c r="CX64" s="902" t="s">
        <v>758</v>
      </c>
      <c r="CY64" s="949">
        <v>0.13</v>
      </c>
      <c r="CZ64" s="949">
        <v>0.4</v>
      </c>
      <c r="DA64" s="949">
        <v>0.47</v>
      </c>
      <c r="DB64" s="949">
        <v>0</v>
      </c>
      <c r="DC64" s="949">
        <v>0.66</v>
      </c>
      <c r="DD64" s="949">
        <v>0.53</v>
      </c>
      <c r="DE64" s="949">
        <v>0.38</v>
      </c>
      <c r="DF64" s="922">
        <v>325754004959</v>
      </c>
      <c r="DG64" s="892" t="e">
        <f>VLOOKUP(DF64,#REF!,3,0)</f>
        <v>#REF!</v>
      </c>
    </row>
    <row r="65" spans="1:111" ht="24.95" customHeight="1" x14ac:dyDescent="0.2">
      <c r="A65" s="803" t="s">
        <v>90</v>
      </c>
      <c r="B65" s="1" t="s">
        <v>123</v>
      </c>
      <c r="C65" s="12">
        <v>4</v>
      </c>
      <c r="D65" s="12">
        <v>55</v>
      </c>
      <c r="E65" s="12">
        <v>10</v>
      </c>
      <c r="F65" s="66">
        <v>0.05</v>
      </c>
      <c r="G65" s="66">
        <v>0.27</v>
      </c>
      <c r="H65" s="66">
        <v>0.68</v>
      </c>
      <c r="I65" s="66">
        <v>0</v>
      </c>
      <c r="J65" s="66">
        <v>0.5</v>
      </c>
      <c r="K65" s="66">
        <v>0.38</v>
      </c>
      <c r="L65" s="66">
        <v>0.52</v>
      </c>
      <c r="M65" s="12">
        <v>52</v>
      </c>
      <c r="N65" s="12">
        <v>8</v>
      </c>
      <c r="O65" s="40">
        <v>0</v>
      </c>
      <c r="P65" s="40">
        <v>0.41</v>
      </c>
      <c r="Q65" s="40">
        <v>0.59</v>
      </c>
      <c r="R65" s="40">
        <v>0</v>
      </c>
      <c r="S65" s="40">
        <v>0.46</v>
      </c>
      <c r="T65" s="40">
        <v>0.56000000000000005</v>
      </c>
      <c r="U65" s="40">
        <v>0.35</v>
      </c>
      <c r="V65" s="12">
        <v>54</v>
      </c>
      <c r="W65" s="12">
        <v>9</v>
      </c>
      <c r="X65" s="66">
        <v>0.02</v>
      </c>
      <c r="Y65" s="66">
        <v>0.35</v>
      </c>
      <c r="Z65" s="66">
        <v>0.63</v>
      </c>
      <c r="AA65" s="66">
        <v>0</v>
      </c>
      <c r="AB65" s="66">
        <v>0.44</v>
      </c>
      <c r="AC65" s="66">
        <v>0.34</v>
      </c>
      <c r="AD65" s="66">
        <v>0.49</v>
      </c>
      <c r="AE65" s="12">
        <v>55</v>
      </c>
      <c r="AF65" s="12">
        <v>9</v>
      </c>
      <c r="AG65" s="66">
        <v>0</v>
      </c>
      <c r="AH65" s="66">
        <v>0.3</v>
      </c>
      <c r="AI65" s="66">
        <v>0.65</v>
      </c>
      <c r="AJ65" s="66">
        <v>0.05</v>
      </c>
      <c r="AK65" s="66">
        <v>0.49</v>
      </c>
      <c r="AL65" s="66">
        <v>0.46</v>
      </c>
      <c r="AM65" s="66">
        <v>0.25</v>
      </c>
      <c r="AN65" s="35">
        <v>56</v>
      </c>
      <c r="AO65" s="35">
        <v>10</v>
      </c>
      <c r="AP65" s="40">
        <v>0</v>
      </c>
      <c r="AQ65" s="40">
        <v>0.34</v>
      </c>
      <c r="AR65" s="40">
        <v>0.61</v>
      </c>
      <c r="AS65" s="40">
        <v>0.05</v>
      </c>
      <c r="AT65" s="40">
        <v>0.25</v>
      </c>
      <c r="AU65" s="40">
        <v>0.4</v>
      </c>
      <c r="AV65" s="40">
        <v>0.46</v>
      </c>
      <c r="AW65" s="246">
        <v>53</v>
      </c>
      <c r="AX65" s="246" t="s">
        <v>758</v>
      </c>
      <c r="AY65" s="246">
        <v>9</v>
      </c>
      <c r="AZ65" s="246" t="s">
        <v>758</v>
      </c>
      <c r="BA65" s="263">
        <v>0.03</v>
      </c>
      <c r="BB65" s="263">
        <v>0.33</v>
      </c>
      <c r="BC65" s="263">
        <v>0.65</v>
      </c>
      <c r="BD65" s="263">
        <v>0</v>
      </c>
      <c r="BE65" s="263">
        <v>0.27</v>
      </c>
      <c r="BF65" s="263">
        <v>0.48</v>
      </c>
      <c r="BG65" s="263">
        <v>0.44</v>
      </c>
      <c r="BH65" s="309">
        <v>54</v>
      </c>
      <c r="BI65" s="309" t="s">
        <v>758</v>
      </c>
      <c r="BJ65" s="309">
        <v>10</v>
      </c>
      <c r="BK65" s="309" t="s">
        <v>758</v>
      </c>
      <c r="BL65" s="464"/>
      <c r="BM65" s="464"/>
      <c r="BN65" s="464"/>
      <c r="BO65" s="327">
        <v>0.03</v>
      </c>
      <c r="BP65" s="327">
        <v>0.38</v>
      </c>
      <c r="BQ65" s="327">
        <v>0.56999999999999995</v>
      </c>
      <c r="BR65" s="327">
        <v>0.03</v>
      </c>
      <c r="BS65" s="327">
        <v>0.44</v>
      </c>
      <c r="BT65" s="327">
        <v>0.6</v>
      </c>
      <c r="BU65" s="476"/>
      <c r="BV65" s="476"/>
      <c r="BW65" s="476"/>
      <c r="BX65" s="327">
        <v>0.43</v>
      </c>
      <c r="BY65" s="424">
        <v>55</v>
      </c>
      <c r="BZ65" s="424" t="s">
        <v>758</v>
      </c>
      <c r="CA65" s="424">
        <v>8</v>
      </c>
      <c r="CB65" s="424" t="s">
        <v>758</v>
      </c>
      <c r="CC65" s="428">
        <v>0.02</v>
      </c>
      <c r="CD65" s="428">
        <v>0.21</v>
      </c>
      <c r="CE65" s="428">
        <v>0.74</v>
      </c>
      <c r="CF65" s="428">
        <v>0.02</v>
      </c>
      <c r="CG65" s="428">
        <v>0.55000000000000004</v>
      </c>
      <c r="CH65" s="428">
        <v>0.34</v>
      </c>
      <c r="CI65" s="428">
        <v>0.52</v>
      </c>
      <c r="CJ65" s="464">
        <v>57</v>
      </c>
      <c r="CK65" s="464" t="s">
        <v>758</v>
      </c>
      <c r="CL65" s="464">
        <v>10</v>
      </c>
      <c r="CM65" s="464" t="s">
        <v>758</v>
      </c>
      <c r="CN65" s="476">
        <v>0.04</v>
      </c>
      <c r="CO65" s="476">
        <v>0.23</v>
      </c>
      <c r="CP65" s="476">
        <v>0.68</v>
      </c>
      <c r="CQ65" s="476">
        <v>0.05</v>
      </c>
      <c r="CR65" s="476">
        <v>0.49</v>
      </c>
      <c r="CS65" s="476">
        <v>0.44</v>
      </c>
      <c r="CT65" s="476">
        <v>0.35</v>
      </c>
      <c r="CU65" s="902">
        <v>55</v>
      </c>
      <c r="CV65" s="902" t="s">
        <v>758</v>
      </c>
      <c r="CW65" s="902">
        <v>11</v>
      </c>
      <c r="CX65" s="902" t="s">
        <v>758</v>
      </c>
      <c r="CY65" s="949">
        <v>0.06</v>
      </c>
      <c r="CZ65" s="949">
        <v>0.25</v>
      </c>
      <c r="DA65" s="949">
        <v>0.67</v>
      </c>
      <c r="DB65" s="949">
        <v>0.02</v>
      </c>
      <c r="DC65" s="949">
        <v>0.55000000000000004</v>
      </c>
      <c r="DD65" s="949">
        <v>0.45</v>
      </c>
      <c r="DE65" s="949">
        <v>0.3</v>
      </c>
      <c r="DF65" s="922">
        <v>325754003347</v>
      </c>
      <c r="DG65" s="892" t="e">
        <f>VLOOKUP(DF65,#REF!,3,0)</f>
        <v>#REF!</v>
      </c>
    </row>
    <row r="66" spans="1:111" ht="24.95" customHeight="1" x14ac:dyDescent="0.2">
      <c r="A66" s="803" t="s">
        <v>66</v>
      </c>
      <c r="B66" s="1" t="s">
        <v>123</v>
      </c>
      <c r="C66" s="12">
        <v>3</v>
      </c>
      <c r="D66" s="12">
        <v>55</v>
      </c>
      <c r="E66" s="12">
        <v>9</v>
      </c>
      <c r="F66" s="66">
        <v>0</v>
      </c>
      <c r="G66" s="66">
        <v>0.4</v>
      </c>
      <c r="H66" s="66">
        <v>0.55000000000000004</v>
      </c>
      <c r="I66" s="66">
        <v>0.04</v>
      </c>
      <c r="J66" s="66">
        <v>0.49</v>
      </c>
      <c r="K66" s="66">
        <v>0.41</v>
      </c>
      <c r="L66" s="66">
        <v>0.47</v>
      </c>
      <c r="M66" s="12">
        <v>57</v>
      </c>
      <c r="N66" s="12">
        <v>10</v>
      </c>
      <c r="O66" s="40">
        <v>0</v>
      </c>
      <c r="P66" s="40">
        <v>0.25</v>
      </c>
      <c r="Q66" s="40">
        <v>0.72</v>
      </c>
      <c r="R66" s="40">
        <v>0.03</v>
      </c>
      <c r="S66" s="40">
        <v>0.39</v>
      </c>
      <c r="T66" s="40">
        <v>0.47</v>
      </c>
      <c r="U66" s="40">
        <v>0.25</v>
      </c>
      <c r="V66" s="12">
        <v>57</v>
      </c>
      <c r="W66" s="12">
        <v>8</v>
      </c>
      <c r="X66" s="66">
        <v>0</v>
      </c>
      <c r="Y66" s="66">
        <v>0.22</v>
      </c>
      <c r="Z66" s="66">
        <v>0.76</v>
      </c>
      <c r="AA66" s="66">
        <v>0.02</v>
      </c>
      <c r="AB66" s="66">
        <v>0.42</v>
      </c>
      <c r="AC66" s="66">
        <v>0.3</v>
      </c>
      <c r="AD66" s="66">
        <v>0.42</v>
      </c>
      <c r="AE66" s="12">
        <v>54</v>
      </c>
      <c r="AF66" s="12">
        <v>9</v>
      </c>
      <c r="AG66" s="66">
        <v>0.03</v>
      </c>
      <c r="AH66" s="66">
        <v>0.37</v>
      </c>
      <c r="AI66" s="66">
        <v>0.6</v>
      </c>
      <c r="AJ66" s="66">
        <v>0</v>
      </c>
      <c r="AK66" s="66">
        <v>0.5</v>
      </c>
      <c r="AL66" s="66">
        <v>0.44</v>
      </c>
      <c r="AM66" s="66">
        <v>0.25</v>
      </c>
      <c r="AN66" s="35">
        <v>57</v>
      </c>
      <c r="AO66" s="35">
        <v>10</v>
      </c>
      <c r="AP66" s="40">
        <v>0.03</v>
      </c>
      <c r="AQ66" s="40">
        <v>0.18</v>
      </c>
      <c r="AR66" s="40">
        <v>0.68</v>
      </c>
      <c r="AS66" s="40">
        <v>0.11</v>
      </c>
      <c r="AT66" s="40">
        <v>0.27</v>
      </c>
      <c r="AU66" s="40">
        <v>0.41</v>
      </c>
      <c r="AV66" s="40">
        <v>0.41</v>
      </c>
      <c r="AW66" s="246">
        <v>55</v>
      </c>
      <c r="AX66" s="246" t="s">
        <v>758</v>
      </c>
      <c r="AY66" s="246">
        <v>9</v>
      </c>
      <c r="AZ66" s="246" t="s">
        <v>758</v>
      </c>
      <c r="BA66" s="263">
        <v>0.03</v>
      </c>
      <c r="BB66" s="263">
        <v>0.22</v>
      </c>
      <c r="BC66" s="263">
        <v>0.7</v>
      </c>
      <c r="BD66" s="263">
        <v>0.05</v>
      </c>
      <c r="BE66" s="263">
        <v>0.24</v>
      </c>
      <c r="BF66" s="263">
        <v>0.45</v>
      </c>
      <c r="BG66" s="263">
        <v>0.43</v>
      </c>
      <c r="BH66" s="309">
        <v>58</v>
      </c>
      <c r="BI66" s="309" t="s">
        <v>758</v>
      </c>
      <c r="BJ66" s="309">
        <v>9</v>
      </c>
      <c r="BK66" s="309" t="s">
        <v>758</v>
      </c>
      <c r="BL66" s="464"/>
      <c r="BM66" s="464"/>
      <c r="BN66" s="464"/>
      <c r="BO66" s="327">
        <v>0.02</v>
      </c>
      <c r="BP66" s="327">
        <v>0.19</v>
      </c>
      <c r="BQ66" s="327">
        <v>0.71</v>
      </c>
      <c r="BR66" s="327">
        <v>0.08</v>
      </c>
      <c r="BS66" s="327">
        <v>0.44</v>
      </c>
      <c r="BT66" s="327">
        <v>0.48</v>
      </c>
      <c r="BU66" s="476"/>
      <c r="BV66" s="476"/>
      <c r="BW66" s="476"/>
      <c r="BX66" s="327">
        <v>0.3</v>
      </c>
      <c r="BY66" s="424">
        <v>58</v>
      </c>
      <c r="BZ66" s="424" t="s">
        <v>758</v>
      </c>
      <c r="CA66" s="424">
        <v>11</v>
      </c>
      <c r="CB66" s="424" t="s">
        <v>758</v>
      </c>
      <c r="CC66" s="428">
        <v>0.02</v>
      </c>
      <c r="CD66" s="428">
        <v>0.18</v>
      </c>
      <c r="CE66" s="428">
        <v>0.7</v>
      </c>
      <c r="CF66" s="428">
        <v>0.1</v>
      </c>
      <c r="CG66" s="428">
        <v>0.53</v>
      </c>
      <c r="CH66" s="428">
        <v>0.26</v>
      </c>
      <c r="CI66" s="428">
        <v>0.5</v>
      </c>
      <c r="CJ66" s="464">
        <v>60</v>
      </c>
      <c r="CK66" s="464" t="s">
        <v>758</v>
      </c>
      <c r="CL66" s="464">
        <v>8</v>
      </c>
      <c r="CM66" s="464" t="s">
        <v>758</v>
      </c>
      <c r="CN66" s="476">
        <v>0</v>
      </c>
      <c r="CO66" s="476">
        <v>0.13</v>
      </c>
      <c r="CP66" s="476">
        <v>0.81</v>
      </c>
      <c r="CQ66" s="476">
        <v>0.06</v>
      </c>
      <c r="CR66" s="476">
        <v>0.45</v>
      </c>
      <c r="CS66" s="476">
        <v>0.4</v>
      </c>
      <c r="CT66" s="476">
        <v>0.28999999999999998</v>
      </c>
      <c r="CU66" s="902">
        <v>60</v>
      </c>
      <c r="CV66" s="902" t="s">
        <v>758</v>
      </c>
      <c r="CW66" s="902">
        <v>9</v>
      </c>
      <c r="CX66" s="902" t="s">
        <v>758</v>
      </c>
      <c r="CY66" s="949">
        <v>0</v>
      </c>
      <c r="CZ66" s="949">
        <v>0.17</v>
      </c>
      <c r="DA66" s="949">
        <v>0.76</v>
      </c>
      <c r="DB66" s="949">
        <v>0.06</v>
      </c>
      <c r="DC66" s="949">
        <v>0.56000000000000005</v>
      </c>
      <c r="DD66" s="949">
        <v>0.39</v>
      </c>
      <c r="DE66" s="949">
        <v>0.27</v>
      </c>
      <c r="DF66" s="922">
        <v>325754004122</v>
      </c>
      <c r="DG66" s="892" t="e">
        <f>VLOOKUP(DF66,#REF!,3,0)</f>
        <v>#REF!</v>
      </c>
    </row>
    <row r="67" spans="1:111" ht="24.95" customHeight="1" x14ac:dyDescent="0.2">
      <c r="A67" s="803" t="s">
        <v>73</v>
      </c>
      <c r="B67" s="1" t="s">
        <v>123</v>
      </c>
      <c r="C67" s="12">
        <v>5</v>
      </c>
      <c r="D67" s="12">
        <v>54</v>
      </c>
      <c r="E67" s="12">
        <v>9</v>
      </c>
      <c r="F67" s="66">
        <v>0.03</v>
      </c>
      <c r="G67" s="66">
        <v>0.23</v>
      </c>
      <c r="H67" s="66">
        <v>0.73</v>
      </c>
      <c r="I67" s="66">
        <v>0</v>
      </c>
      <c r="J67" s="66">
        <v>0.52</v>
      </c>
      <c r="K67" s="66">
        <v>0.53</v>
      </c>
      <c r="L67" s="66">
        <v>0.56000000000000005</v>
      </c>
      <c r="M67" s="12">
        <v>56</v>
      </c>
      <c r="N67" s="12">
        <v>9</v>
      </c>
      <c r="O67" s="40">
        <v>0</v>
      </c>
      <c r="P67" s="40">
        <v>0.17</v>
      </c>
      <c r="Q67" s="40">
        <v>0.78</v>
      </c>
      <c r="R67" s="40">
        <v>0.06</v>
      </c>
      <c r="S67" s="40">
        <v>0.42</v>
      </c>
      <c r="T67" s="40">
        <v>0.44</v>
      </c>
      <c r="U67" s="40">
        <v>0.28999999999999998</v>
      </c>
      <c r="V67" s="12">
        <v>54</v>
      </c>
      <c r="W67" s="12">
        <v>10</v>
      </c>
      <c r="X67" s="66">
        <v>0.03</v>
      </c>
      <c r="Y67" s="66">
        <v>0.41</v>
      </c>
      <c r="Z67" s="66">
        <v>0.48</v>
      </c>
      <c r="AA67" s="66">
        <v>7.0000000000000007E-2</v>
      </c>
      <c r="AB67" s="66">
        <v>0.47</v>
      </c>
      <c r="AC67" s="66">
        <v>0.35</v>
      </c>
      <c r="AD67" s="66">
        <v>0.52</v>
      </c>
      <c r="AE67" s="12">
        <v>59</v>
      </c>
      <c r="AF67" s="12">
        <v>9</v>
      </c>
      <c r="AG67" s="66">
        <v>0</v>
      </c>
      <c r="AH67" s="66">
        <v>0.22</v>
      </c>
      <c r="AI67" s="66">
        <v>0.67</v>
      </c>
      <c r="AJ67" s="66">
        <v>0.11</v>
      </c>
      <c r="AK67" s="66">
        <v>0.44</v>
      </c>
      <c r="AL67" s="66">
        <v>0.34</v>
      </c>
      <c r="AM67" s="66">
        <v>0.21</v>
      </c>
      <c r="AN67" s="35">
        <v>55</v>
      </c>
      <c r="AO67" s="35">
        <v>8</v>
      </c>
      <c r="AP67" s="40">
        <v>0</v>
      </c>
      <c r="AQ67" s="40">
        <v>0.35</v>
      </c>
      <c r="AR67" s="40">
        <v>0.65</v>
      </c>
      <c r="AS67" s="40">
        <v>0</v>
      </c>
      <c r="AT67" s="40">
        <v>0.23</v>
      </c>
      <c r="AU67" s="40">
        <v>0.47</v>
      </c>
      <c r="AV67" s="40">
        <v>0.48</v>
      </c>
      <c r="AW67" s="246">
        <v>56</v>
      </c>
      <c r="AX67" s="246" t="s">
        <v>758</v>
      </c>
      <c r="AY67" s="246">
        <v>10</v>
      </c>
      <c r="AZ67" s="246" t="s">
        <v>758</v>
      </c>
      <c r="BA67" s="263">
        <v>0</v>
      </c>
      <c r="BB67" s="263">
        <v>0.35</v>
      </c>
      <c r="BC67" s="263">
        <v>0.6</v>
      </c>
      <c r="BD67" s="263">
        <v>0.05</v>
      </c>
      <c r="BE67" s="263">
        <v>0.23</v>
      </c>
      <c r="BF67" s="263">
        <v>0.44</v>
      </c>
      <c r="BG67" s="263">
        <v>0.42</v>
      </c>
      <c r="BH67" s="309">
        <v>55</v>
      </c>
      <c r="BI67" s="309" t="s">
        <v>758</v>
      </c>
      <c r="BJ67" s="309">
        <v>8</v>
      </c>
      <c r="BK67" s="309" t="s">
        <v>758</v>
      </c>
      <c r="BL67" s="464"/>
      <c r="BM67" s="464"/>
      <c r="BN67" s="464"/>
      <c r="BO67" s="327">
        <v>0</v>
      </c>
      <c r="BP67" s="327">
        <v>0.28999999999999998</v>
      </c>
      <c r="BQ67" s="327">
        <v>0.71</v>
      </c>
      <c r="BR67" s="327">
        <v>0</v>
      </c>
      <c r="BS67" s="327">
        <v>0.5</v>
      </c>
      <c r="BT67" s="327">
        <v>0.54</v>
      </c>
      <c r="BU67" s="476"/>
      <c r="BV67" s="476"/>
      <c r="BW67" s="476"/>
      <c r="BX67" s="327">
        <v>0.46</v>
      </c>
      <c r="BY67" s="424">
        <v>55</v>
      </c>
      <c r="BZ67" s="424" t="s">
        <v>758</v>
      </c>
      <c r="CA67" s="424">
        <v>7</v>
      </c>
      <c r="CB67" s="424" t="s">
        <v>758</v>
      </c>
      <c r="CC67" s="428">
        <v>0</v>
      </c>
      <c r="CD67" s="428">
        <v>0.3</v>
      </c>
      <c r="CE67" s="428">
        <v>0.7</v>
      </c>
      <c r="CF67" s="428">
        <v>0</v>
      </c>
      <c r="CG67" s="428">
        <v>0.65</v>
      </c>
      <c r="CH67" s="428">
        <v>0.33</v>
      </c>
      <c r="CI67" s="428">
        <v>0.5</v>
      </c>
      <c r="CJ67" s="464">
        <v>54</v>
      </c>
      <c r="CK67" s="464" t="s">
        <v>758</v>
      </c>
      <c r="CL67" s="464">
        <v>8</v>
      </c>
      <c r="CM67" s="464" t="s">
        <v>758</v>
      </c>
      <c r="CN67" s="476">
        <v>0</v>
      </c>
      <c r="CO67" s="476">
        <v>0.4</v>
      </c>
      <c r="CP67" s="476">
        <v>0.6</v>
      </c>
      <c r="CQ67" s="476">
        <v>0</v>
      </c>
      <c r="CR67" s="476">
        <v>0.61</v>
      </c>
      <c r="CS67" s="476">
        <v>0.49</v>
      </c>
      <c r="CT67" s="476">
        <v>0.42</v>
      </c>
      <c r="CU67" s="902">
        <v>52</v>
      </c>
      <c r="CV67" s="902" t="s">
        <v>758</v>
      </c>
      <c r="CW67" s="902">
        <v>11</v>
      </c>
      <c r="CX67" s="902" t="s">
        <v>758</v>
      </c>
      <c r="CY67" s="949">
        <v>0.13</v>
      </c>
      <c r="CZ67" s="949">
        <v>0.23</v>
      </c>
      <c r="DA67" s="949">
        <v>0.61</v>
      </c>
      <c r="DB67" s="949">
        <v>0.03</v>
      </c>
      <c r="DC67" s="949">
        <v>0.54</v>
      </c>
      <c r="DD67" s="949">
        <v>0.46</v>
      </c>
      <c r="DE67" s="949">
        <v>0.42</v>
      </c>
      <c r="DF67" s="922">
        <v>325754002154</v>
      </c>
      <c r="DG67" s="892" t="e">
        <f>VLOOKUP(DF67,#REF!,3,0)</f>
        <v>#REF!</v>
      </c>
    </row>
    <row r="68" spans="1:111" ht="24.95" customHeight="1" x14ac:dyDescent="0.2">
      <c r="A68" s="803" t="s">
        <v>89</v>
      </c>
      <c r="B68" s="1" t="s">
        <v>123</v>
      </c>
      <c r="C68" s="12">
        <v>3</v>
      </c>
      <c r="D68" s="12">
        <v>53</v>
      </c>
      <c r="E68" s="12">
        <v>9</v>
      </c>
      <c r="F68" s="66">
        <v>0.03</v>
      </c>
      <c r="G68" s="66">
        <v>0.37</v>
      </c>
      <c r="H68" s="66">
        <v>0.55000000000000004</v>
      </c>
      <c r="I68" s="66">
        <v>0.05</v>
      </c>
      <c r="J68" s="66">
        <v>0.52</v>
      </c>
      <c r="K68" s="66">
        <v>0.45</v>
      </c>
      <c r="L68" s="66">
        <v>0.49</v>
      </c>
      <c r="M68" s="12">
        <v>56</v>
      </c>
      <c r="N68" s="12">
        <v>9</v>
      </c>
      <c r="O68" s="40">
        <v>0</v>
      </c>
      <c r="P68" s="40">
        <v>0.22</v>
      </c>
      <c r="Q68" s="40">
        <v>0.78</v>
      </c>
      <c r="R68" s="40">
        <v>0</v>
      </c>
      <c r="S68" s="40">
        <v>0.44</v>
      </c>
      <c r="T68" s="40">
        <v>0.5</v>
      </c>
      <c r="U68" s="40">
        <v>0.28999999999999998</v>
      </c>
      <c r="V68" s="12">
        <v>63</v>
      </c>
      <c r="W68" s="12">
        <v>8</v>
      </c>
      <c r="X68" s="66">
        <v>0</v>
      </c>
      <c r="Y68" s="66">
        <v>0.06</v>
      </c>
      <c r="Z68" s="66">
        <v>0.78</v>
      </c>
      <c r="AA68" s="66">
        <v>0.17</v>
      </c>
      <c r="AB68" s="66">
        <v>0.26</v>
      </c>
      <c r="AC68" s="66">
        <v>0.23</v>
      </c>
      <c r="AD68" s="66">
        <v>0.37</v>
      </c>
      <c r="AE68" s="12">
        <v>59</v>
      </c>
      <c r="AF68" s="12">
        <v>8</v>
      </c>
      <c r="AG68" s="66">
        <v>0</v>
      </c>
      <c r="AH68" s="66">
        <v>0.12</v>
      </c>
      <c r="AI68" s="66">
        <v>0.81</v>
      </c>
      <c r="AJ68" s="66">
        <v>0.08</v>
      </c>
      <c r="AK68" s="66">
        <v>0.43</v>
      </c>
      <c r="AL68" s="66">
        <v>0.39</v>
      </c>
      <c r="AM68" s="66">
        <v>0.15</v>
      </c>
      <c r="AN68" s="35">
        <v>60</v>
      </c>
      <c r="AO68" s="35">
        <v>7</v>
      </c>
      <c r="AP68" s="40">
        <v>0</v>
      </c>
      <c r="AQ68" s="40">
        <v>0.05</v>
      </c>
      <c r="AR68" s="40">
        <v>0.89</v>
      </c>
      <c r="AS68" s="40">
        <v>0.05</v>
      </c>
      <c r="AT68" s="40">
        <v>0.16</v>
      </c>
      <c r="AU68" s="40">
        <v>0.37</v>
      </c>
      <c r="AV68" s="40">
        <v>0.48</v>
      </c>
      <c r="AW68" s="246">
        <v>57</v>
      </c>
      <c r="AX68" s="246" t="s">
        <v>758</v>
      </c>
      <c r="AY68" s="246">
        <v>9</v>
      </c>
      <c r="AZ68" s="246" t="s">
        <v>758</v>
      </c>
      <c r="BA68" s="263">
        <v>0</v>
      </c>
      <c r="BB68" s="263">
        <v>0.21</v>
      </c>
      <c r="BC68" s="263">
        <v>0.74</v>
      </c>
      <c r="BD68" s="263">
        <v>0.06</v>
      </c>
      <c r="BE68" s="263">
        <v>0.21</v>
      </c>
      <c r="BF68" s="263">
        <v>0.43</v>
      </c>
      <c r="BG68" s="263">
        <v>0.37</v>
      </c>
      <c r="BH68" s="309">
        <v>60</v>
      </c>
      <c r="BI68" s="309" t="s">
        <v>758</v>
      </c>
      <c r="BJ68" s="309">
        <v>8</v>
      </c>
      <c r="BK68" s="309" t="s">
        <v>758</v>
      </c>
      <c r="BL68" s="464"/>
      <c r="BM68" s="464"/>
      <c r="BN68" s="464"/>
      <c r="BO68" s="327">
        <v>0</v>
      </c>
      <c r="BP68" s="327">
        <v>0.11</v>
      </c>
      <c r="BQ68" s="327">
        <v>0.79</v>
      </c>
      <c r="BR68" s="327">
        <v>0.11</v>
      </c>
      <c r="BS68" s="327">
        <v>0.35</v>
      </c>
      <c r="BT68" s="327">
        <v>0.41</v>
      </c>
      <c r="BU68" s="476"/>
      <c r="BV68" s="476"/>
      <c r="BW68" s="476"/>
      <c r="BX68" s="327">
        <v>0.26</v>
      </c>
      <c r="BY68" s="424">
        <v>60</v>
      </c>
      <c r="BZ68" s="424" t="s">
        <v>758</v>
      </c>
      <c r="CA68" s="424">
        <v>9</v>
      </c>
      <c r="CB68" s="424" t="s">
        <v>758</v>
      </c>
      <c r="CC68" s="428">
        <v>0</v>
      </c>
      <c r="CD68" s="428">
        <v>0.14000000000000001</v>
      </c>
      <c r="CE68" s="428">
        <v>0.69</v>
      </c>
      <c r="CF68" s="428">
        <v>0.17</v>
      </c>
      <c r="CG68" s="428">
        <v>0.56999999999999995</v>
      </c>
      <c r="CH68" s="428">
        <v>0.28999999999999998</v>
      </c>
      <c r="CI68" s="428">
        <v>0.39</v>
      </c>
      <c r="CJ68" s="464">
        <v>65</v>
      </c>
      <c r="CK68" s="464" t="s">
        <v>759</v>
      </c>
      <c r="CL68" s="464">
        <v>6</v>
      </c>
      <c r="CM68" s="464" t="s">
        <v>760</v>
      </c>
      <c r="CN68" s="476">
        <v>0</v>
      </c>
      <c r="CO68" s="476">
        <v>0</v>
      </c>
      <c r="CP68" s="476">
        <v>0.79</v>
      </c>
      <c r="CQ68" s="476">
        <v>0.21</v>
      </c>
      <c r="CR68" s="476">
        <v>0.35</v>
      </c>
      <c r="CS68" s="476">
        <v>0.34</v>
      </c>
      <c r="CT68" s="476">
        <v>0.24</v>
      </c>
      <c r="CU68" s="902">
        <v>62</v>
      </c>
      <c r="CV68" s="902" t="s">
        <v>759</v>
      </c>
      <c r="CW68" s="902">
        <v>9</v>
      </c>
      <c r="CX68" s="902" t="s">
        <v>758</v>
      </c>
      <c r="CY68" s="949">
        <v>0</v>
      </c>
      <c r="CZ68" s="949">
        <v>0.09</v>
      </c>
      <c r="DA68" s="949">
        <v>0.78</v>
      </c>
      <c r="DB68" s="949">
        <v>0.13</v>
      </c>
      <c r="DC68" s="949">
        <v>0.42</v>
      </c>
      <c r="DD68" s="949">
        <v>0.34</v>
      </c>
      <c r="DE68" s="949">
        <v>0.17</v>
      </c>
      <c r="DF68" s="922">
        <v>325754001662</v>
      </c>
      <c r="DG68" s="892" t="e">
        <f>VLOOKUP(DF68,#REF!,3,0)</f>
        <v>#REF!</v>
      </c>
    </row>
    <row r="69" spans="1:111" ht="24.95" customHeight="1" x14ac:dyDescent="0.2">
      <c r="A69" s="803" t="s">
        <v>38</v>
      </c>
      <c r="B69" s="1" t="s">
        <v>123</v>
      </c>
      <c r="C69" s="12">
        <v>1</v>
      </c>
      <c r="D69" s="12">
        <v>53</v>
      </c>
      <c r="E69" s="12">
        <v>6</v>
      </c>
      <c r="F69" s="66">
        <v>0</v>
      </c>
      <c r="G69" s="66">
        <v>0.5</v>
      </c>
      <c r="H69" s="66">
        <v>0.5</v>
      </c>
      <c r="I69" s="66">
        <v>0</v>
      </c>
      <c r="J69" s="66">
        <v>0.53</v>
      </c>
      <c r="K69" s="66">
        <v>0.43</v>
      </c>
      <c r="L69" s="66">
        <v>0.52</v>
      </c>
      <c r="M69" s="12">
        <v>49</v>
      </c>
      <c r="N69" s="12">
        <v>8</v>
      </c>
      <c r="O69" s="40">
        <v>0.03</v>
      </c>
      <c r="P69" s="40">
        <v>0.6</v>
      </c>
      <c r="Q69" s="40">
        <v>0.37</v>
      </c>
      <c r="R69" s="40">
        <v>0</v>
      </c>
      <c r="S69" s="40">
        <v>0.52</v>
      </c>
      <c r="T69" s="40">
        <v>0.61</v>
      </c>
      <c r="U69" s="40">
        <v>0.36</v>
      </c>
      <c r="V69" s="12">
        <v>49</v>
      </c>
      <c r="W69" s="12">
        <v>7</v>
      </c>
      <c r="X69" s="66">
        <v>0.05</v>
      </c>
      <c r="Y69" s="66">
        <v>0.59</v>
      </c>
      <c r="Z69" s="66">
        <v>0.36</v>
      </c>
      <c r="AA69" s="66">
        <v>0</v>
      </c>
      <c r="AB69" s="66">
        <v>0.52</v>
      </c>
      <c r="AC69" s="66">
        <v>0.42</v>
      </c>
      <c r="AD69" s="66">
        <v>0.61</v>
      </c>
      <c r="AE69" s="12">
        <v>53</v>
      </c>
      <c r="AF69" s="12">
        <v>9</v>
      </c>
      <c r="AG69" s="66">
        <v>0</v>
      </c>
      <c r="AH69" s="66">
        <v>0.46</v>
      </c>
      <c r="AI69" s="66">
        <v>0.5</v>
      </c>
      <c r="AJ69" s="66">
        <v>0.04</v>
      </c>
      <c r="AK69" s="66">
        <v>0.52</v>
      </c>
      <c r="AL69" s="66">
        <v>0.5</v>
      </c>
      <c r="AM69" s="66">
        <v>0.28999999999999998</v>
      </c>
      <c r="AN69" s="35">
        <v>47</v>
      </c>
      <c r="AO69" s="35">
        <v>7</v>
      </c>
      <c r="AP69" s="40">
        <v>0.04</v>
      </c>
      <c r="AQ69" s="40">
        <v>0.64</v>
      </c>
      <c r="AR69" s="40">
        <v>0.32</v>
      </c>
      <c r="AS69" s="40">
        <v>0</v>
      </c>
      <c r="AT69" s="40">
        <v>0.34</v>
      </c>
      <c r="AU69" s="40">
        <v>0.61</v>
      </c>
      <c r="AV69" s="40">
        <v>0.65</v>
      </c>
      <c r="AW69" s="246">
        <v>49</v>
      </c>
      <c r="AX69" s="246" t="s">
        <v>758</v>
      </c>
      <c r="AY69" s="246">
        <v>12</v>
      </c>
      <c r="AZ69" s="246" t="s">
        <v>758</v>
      </c>
      <c r="BA69" s="263">
        <v>0.11</v>
      </c>
      <c r="BB69" s="263">
        <v>0.52</v>
      </c>
      <c r="BC69" s="263">
        <v>0.33</v>
      </c>
      <c r="BD69" s="263">
        <v>0.04</v>
      </c>
      <c r="BE69" s="263">
        <v>0.32</v>
      </c>
      <c r="BF69" s="263">
        <v>0.56000000000000005</v>
      </c>
      <c r="BG69" s="263">
        <v>0.52</v>
      </c>
      <c r="BH69" s="309">
        <v>49</v>
      </c>
      <c r="BI69" s="309" t="s">
        <v>758</v>
      </c>
      <c r="BJ69" s="309">
        <v>9</v>
      </c>
      <c r="BK69" s="309" t="s">
        <v>758</v>
      </c>
      <c r="BL69" s="464"/>
      <c r="BM69" s="464"/>
      <c r="BN69" s="464"/>
      <c r="BO69" s="327">
        <v>0.11</v>
      </c>
      <c r="BP69" s="327">
        <v>0.43</v>
      </c>
      <c r="BQ69" s="327">
        <v>0.46</v>
      </c>
      <c r="BR69" s="327">
        <v>0</v>
      </c>
      <c r="BS69" s="327">
        <v>0.61</v>
      </c>
      <c r="BT69" s="327">
        <v>0.63</v>
      </c>
      <c r="BU69" s="476"/>
      <c r="BV69" s="476"/>
      <c r="BW69" s="476"/>
      <c r="BX69" s="327">
        <v>0.37</v>
      </c>
      <c r="BY69" s="424">
        <v>49</v>
      </c>
      <c r="BZ69" s="424" t="s">
        <v>758</v>
      </c>
      <c r="CA69" s="424">
        <v>11</v>
      </c>
      <c r="CB69" s="424" t="s">
        <v>758</v>
      </c>
      <c r="CC69" s="428">
        <v>0.14000000000000001</v>
      </c>
      <c r="CD69" s="428">
        <v>0.5</v>
      </c>
      <c r="CE69" s="428">
        <v>0.32</v>
      </c>
      <c r="CF69" s="428">
        <v>0.05</v>
      </c>
      <c r="CG69" s="428">
        <v>0.6</v>
      </c>
      <c r="CH69" s="428">
        <v>0.45</v>
      </c>
      <c r="CI69" s="428">
        <v>0.63</v>
      </c>
      <c r="CJ69" s="464">
        <v>49</v>
      </c>
      <c r="CK69" s="464" t="s">
        <v>758</v>
      </c>
      <c r="CL69" s="464">
        <v>10</v>
      </c>
      <c r="CM69" s="464" t="s">
        <v>758</v>
      </c>
      <c r="CN69" s="476">
        <v>0.06</v>
      </c>
      <c r="CO69" s="476">
        <v>0.44</v>
      </c>
      <c r="CP69" s="476">
        <v>0.5</v>
      </c>
      <c r="CQ69" s="476">
        <v>0</v>
      </c>
      <c r="CR69" s="476">
        <v>0.66</v>
      </c>
      <c r="CS69" s="476">
        <v>0.6</v>
      </c>
      <c r="CT69" s="476">
        <v>0.41</v>
      </c>
      <c r="CU69" s="902">
        <v>50</v>
      </c>
      <c r="CV69" s="902" t="s">
        <v>758</v>
      </c>
      <c r="CW69" s="902">
        <v>7</v>
      </c>
      <c r="CX69" s="902" t="s">
        <v>760</v>
      </c>
      <c r="CY69" s="949">
        <v>0</v>
      </c>
      <c r="CZ69" s="949">
        <v>0.5</v>
      </c>
      <c r="DA69" s="949">
        <v>0.5</v>
      </c>
      <c r="DB69" s="949">
        <v>0</v>
      </c>
      <c r="DC69" s="949">
        <v>0.67</v>
      </c>
      <c r="DD69" s="949">
        <v>0.54</v>
      </c>
      <c r="DE69" s="949">
        <v>0.38</v>
      </c>
      <c r="DF69" s="922">
        <v>325754001671</v>
      </c>
      <c r="DG69" s="892" t="e">
        <f>VLOOKUP(DF69,#REF!,3,0)</f>
        <v>#REF!</v>
      </c>
    </row>
    <row r="70" spans="1:111" ht="24.95" customHeight="1" x14ac:dyDescent="0.2">
      <c r="A70" s="803" t="s">
        <v>75</v>
      </c>
      <c r="B70" s="1" t="s">
        <v>123</v>
      </c>
      <c r="C70" s="12">
        <v>3</v>
      </c>
      <c r="D70" s="12">
        <v>58</v>
      </c>
      <c r="E70" s="12">
        <v>8</v>
      </c>
      <c r="F70" s="66">
        <v>0.03</v>
      </c>
      <c r="G70" s="66">
        <v>0.18</v>
      </c>
      <c r="H70" s="66">
        <v>0.76</v>
      </c>
      <c r="I70" s="66">
        <v>0.03</v>
      </c>
      <c r="J70" s="66">
        <v>0.49</v>
      </c>
      <c r="K70" s="66">
        <v>0.31</v>
      </c>
      <c r="L70" s="66">
        <v>0.4</v>
      </c>
      <c r="M70" s="12">
        <v>56</v>
      </c>
      <c r="N70" s="12">
        <v>9</v>
      </c>
      <c r="O70" s="40">
        <v>0</v>
      </c>
      <c r="P70" s="40">
        <v>0.32</v>
      </c>
      <c r="Q70" s="40">
        <v>0.61</v>
      </c>
      <c r="R70" s="40">
        <v>7.0000000000000007E-2</v>
      </c>
      <c r="S70" s="40">
        <v>0.4</v>
      </c>
      <c r="T70" s="40">
        <v>0.47</v>
      </c>
      <c r="U70" s="40">
        <v>0.28000000000000003</v>
      </c>
      <c r="V70" s="12">
        <v>56</v>
      </c>
      <c r="W70" s="12">
        <v>8</v>
      </c>
      <c r="X70" s="66">
        <v>0.02</v>
      </c>
      <c r="Y70" s="66">
        <v>0.24</v>
      </c>
      <c r="Z70" s="66">
        <v>0.71</v>
      </c>
      <c r="AA70" s="66">
        <v>0.03</v>
      </c>
      <c r="AB70" s="66">
        <v>0.41</v>
      </c>
      <c r="AC70" s="66">
        <v>0.31</v>
      </c>
      <c r="AD70" s="66">
        <v>0.48</v>
      </c>
      <c r="AE70" s="12">
        <v>56</v>
      </c>
      <c r="AF70" s="12">
        <v>8</v>
      </c>
      <c r="AG70" s="66">
        <v>0.02</v>
      </c>
      <c r="AH70" s="66">
        <v>0.24</v>
      </c>
      <c r="AI70" s="66">
        <v>0.75</v>
      </c>
      <c r="AJ70" s="66">
        <v>0</v>
      </c>
      <c r="AK70" s="66">
        <v>0.48</v>
      </c>
      <c r="AL70" s="66">
        <v>0.43</v>
      </c>
      <c r="AM70" s="66">
        <v>0.22</v>
      </c>
      <c r="AN70" s="35">
        <v>58</v>
      </c>
      <c r="AO70" s="35">
        <v>11</v>
      </c>
      <c r="AP70" s="40">
        <v>0.02</v>
      </c>
      <c r="AQ70" s="40">
        <v>0.2</v>
      </c>
      <c r="AR70" s="40">
        <v>0.71</v>
      </c>
      <c r="AS70" s="40">
        <v>0.06</v>
      </c>
      <c r="AT70" s="40">
        <v>0.19</v>
      </c>
      <c r="AU70" s="40">
        <v>0.42</v>
      </c>
      <c r="AV70" s="40">
        <v>0.44</v>
      </c>
      <c r="AW70" s="246">
        <v>56</v>
      </c>
      <c r="AX70" s="246" t="s">
        <v>758</v>
      </c>
      <c r="AY70" s="246">
        <v>9</v>
      </c>
      <c r="AZ70" s="246" t="s">
        <v>758</v>
      </c>
      <c r="BA70" s="263">
        <v>0</v>
      </c>
      <c r="BB70" s="263">
        <v>0.23</v>
      </c>
      <c r="BC70" s="263">
        <v>0.71</v>
      </c>
      <c r="BD70" s="263">
        <v>0.06</v>
      </c>
      <c r="BE70" s="263">
        <v>0.21</v>
      </c>
      <c r="BF70" s="263">
        <v>0.42</v>
      </c>
      <c r="BG70" s="263">
        <v>0.38</v>
      </c>
      <c r="BH70" s="309">
        <v>59</v>
      </c>
      <c r="BI70" s="309" t="s">
        <v>758</v>
      </c>
      <c r="BJ70" s="309">
        <v>8</v>
      </c>
      <c r="BK70" s="309" t="s">
        <v>758</v>
      </c>
      <c r="BL70" s="464"/>
      <c r="BM70" s="464"/>
      <c r="BN70" s="464"/>
      <c r="BO70" s="327">
        <v>0</v>
      </c>
      <c r="BP70" s="327">
        <v>0.14000000000000001</v>
      </c>
      <c r="BQ70" s="327">
        <v>0.86</v>
      </c>
      <c r="BR70" s="327">
        <v>0</v>
      </c>
      <c r="BS70" s="327">
        <v>0.4</v>
      </c>
      <c r="BT70" s="327">
        <v>0.48</v>
      </c>
      <c r="BU70" s="476"/>
      <c r="BV70" s="476"/>
      <c r="BW70" s="476"/>
      <c r="BX70" s="327">
        <v>0.36</v>
      </c>
      <c r="BY70" s="424">
        <v>61</v>
      </c>
      <c r="BZ70" s="424" t="s">
        <v>759</v>
      </c>
      <c r="CA70" s="424">
        <v>8</v>
      </c>
      <c r="CB70" s="424" t="s">
        <v>758</v>
      </c>
      <c r="CC70" s="428">
        <v>0</v>
      </c>
      <c r="CD70" s="428">
        <v>0.12</v>
      </c>
      <c r="CE70" s="428">
        <v>0.76</v>
      </c>
      <c r="CF70" s="428">
        <v>0.12</v>
      </c>
      <c r="CG70" s="428">
        <v>0.47</v>
      </c>
      <c r="CH70" s="428">
        <v>0.25</v>
      </c>
      <c r="CI70" s="428">
        <v>0.47</v>
      </c>
      <c r="CJ70" s="464">
        <v>63</v>
      </c>
      <c r="CK70" s="464" t="s">
        <v>759</v>
      </c>
      <c r="CL70" s="464">
        <v>9</v>
      </c>
      <c r="CM70" s="464" t="s">
        <v>758</v>
      </c>
      <c r="CN70" s="476">
        <v>0</v>
      </c>
      <c r="CO70" s="476">
        <v>0.12</v>
      </c>
      <c r="CP70" s="476">
        <v>0.73</v>
      </c>
      <c r="CQ70" s="476">
        <v>0.16</v>
      </c>
      <c r="CR70" s="476">
        <v>0.4</v>
      </c>
      <c r="CS70" s="476">
        <v>0.35</v>
      </c>
      <c r="CT70" s="476">
        <v>0.28999999999999998</v>
      </c>
      <c r="CU70" s="902">
        <v>63</v>
      </c>
      <c r="CV70" s="902" t="s">
        <v>759</v>
      </c>
      <c r="CW70" s="902">
        <v>12</v>
      </c>
      <c r="CX70" s="902" t="s">
        <v>758</v>
      </c>
      <c r="CY70" s="949">
        <v>0.02</v>
      </c>
      <c r="CZ70" s="949">
        <v>0.14000000000000001</v>
      </c>
      <c r="DA70" s="949">
        <v>0.61</v>
      </c>
      <c r="DB70" s="949">
        <v>0.23</v>
      </c>
      <c r="DC70" s="949">
        <v>0.46</v>
      </c>
      <c r="DD70" s="949">
        <v>0.31</v>
      </c>
      <c r="DE70" s="949">
        <v>0.25</v>
      </c>
      <c r="DF70" s="922">
        <v>325754002162</v>
      </c>
      <c r="DG70" s="892" t="e">
        <f>VLOOKUP(DF70,#REF!,3,0)</f>
        <v>#REF!</v>
      </c>
    </row>
    <row r="71" spans="1:111" ht="24.95" customHeight="1" x14ac:dyDescent="0.2">
      <c r="A71" s="803" t="s">
        <v>99</v>
      </c>
      <c r="B71" s="1" t="s">
        <v>123</v>
      </c>
      <c r="C71" s="12">
        <v>5</v>
      </c>
      <c r="D71" s="12">
        <v>56</v>
      </c>
      <c r="E71" s="12">
        <v>7</v>
      </c>
      <c r="F71" s="66">
        <v>0.02</v>
      </c>
      <c r="G71" s="66">
        <v>0.2</v>
      </c>
      <c r="H71" s="66">
        <v>0.77</v>
      </c>
      <c r="I71" s="66">
        <v>0.01</v>
      </c>
      <c r="J71" s="66">
        <v>0.48</v>
      </c>
      <c r="K71" s="66">
        <v>0.4</v>
      </c>
      <c r="L71" s="66">
        <v>0.48</v>
      </c>
      <c r="M71" s="12">
        <v>56</v>
      </c>
      <c r="N71" s="12">
        <v>9</v>
      </c>
      <c r="O71" s="40">
        <v>0.02</v>
      </c>
      <c r="P71" s="40">
        <v>0.27</v>
      </c>
      <c r="Q71" s="40">
        <v>0.67</v>
      </c>
      <c r="R71" s="40">
        <v>0.04</v>
      </c>
      <c r="S71" s="40">
        <v>0.43</v>
      </c>
      <c r="T71" s="40">
        <v>0.48</v>
      </c>
      <c r="U71" s="40">
        <v>0.28000000000000003</v>
      </c>
      <c r="V71" s="12">
        <v>56</v>
      </c>
      <c r="W71" s="12">
        <v>10</v>
      </c>
      <c r="X71" s="66">
        <v>0</v>
      </c>
      <c r="Y71" s="66">
        <v>0.26</v>
      </c>
      <c r="Z71" s="66">
        <v>0.66</v>
      </c>
      <c r="AA71" s="66">
        <v>7.0000000000000007E-2</v>
      </c>
      <c r="AB71" s="66">
        <v>0.42</v>
      </c>
      <c r="AC71" s="66">
        <v>0.33</v>
      </c>
      <c r="AD71" s="66">
        <v>0.45</v>
      </c>
      <c r="AE71" s="12">
        <v>58</v>
      </c>
      <c r="AF71" s="12">
        <v>10</v>
      </c>
      <c r="AG71" s="66">
        <v>0.02</v>
      </c>
      <c r="AH71" s="66">
        <v>0.23</v>
      </c>
      <c r="AI71" s="66">
        <v>0.66</v>
      </c>
      <c r="AJ71" s="66">
        <v>0.1</v>
      </c>
      <c r="AK71" s="66">
        <v>0.44</v>
      </c>
      <c r="AL71" s="66">
        <v>0.36</v>
      </c>
      <c r="AM71" s="66">
        <v>0.22</v>
      </c>
      <c r="AN71" s="35">
        <v>56</v>
      </c>
      <c r="AO71" s="35">
        <v>7</v>
      </c>
      <c r="AP71" s="40">
        <v>0</v>
      </c>
      <c r="AQ71" s="40">
        <v>0.22</v>
      </c>
      <c r="AR71" s="40">
        <v>0.78</v>
      </c>
      <c r="AS71" s="40">
        <v>0</v>
      </c>
      <c r="AT71" s="40">
        <v>0.21</v>
      </c>
      <c r="AU71" s="40">
        <v>0.46</v>
      </c>
      <c r="AV71" s="40">
        <v>0.45</v>
      </c>
      <c r="AW71" s="246">
        <v>53</v>
      </c>
      <c r="AX71" s="246" t="s">
        <v>758</v>
      </c>
      <c r="AY71" s="246">
        <v>10</v>
      </c>
      <c r="AZ71" s="246" t="s">
        <v>758</v>
      </c>
      <c r="BA71" s="263">
        <v>0.04</v>
      </c>
      <c r="BB71" s="263">
        <v>0.39</v>
      </c>
      <c r="BC71" s="263">
        <v>0.54</v>
      </c>
      <c r="BD71" s="263">
        <v>0.03</v>
      </c>
      <c r="BE71" s="263">
        <v>0.27</v>
      </c>
      <c r="BF71" s="263">
        <v>0.49</v>
      </c>
      <c r="BG71" s="263">
        <v>0.44</v>
      </c>
      <c r="BH71" s="309">
        <v>54</v>
      </c>
      <c r="BI71" s="309" t="s">
        <v>758</v>
      </c>
      <c r="BJ71" s="309">
        <v>9</v>
      </c>
      <c r="BK71" s="309" t="s">
        <v>758</v>
      </c>
      <c r="BL71" s="464"/>
      <c r="BM71" s="464"/>
      <c r="BN71" s="464"/>
      <c r="BO71" s="327">
        <v>0.04</v>
      </c>
      <c r="BP71" s="327">
        <v>0.28000000000000003</v>
      </c>
      <c r="BQ71" s="327">
        <v>0.65</v>
      </c>
      <c r="BR71" s="327">
        <v>0.04</v>
      </c>
      <c r="BS71" s="327">
        <v>0.56000000000000005</v>
      </c>
      <c r="BT71" s="327">
        <v>0.55000000000000004</v>
      </c>
      <c r="BU71" s="476"/>
      <c r="BV71" s="476"/>
      <c r="BW71" s="476"/>
      <c r="BX71" s="327">
        <v>0.34</v>
      </c>
      <c r="BY71" s="424">
        <v>57</v>
      </c>
      <c r="BZ71" s="424" t="s">
        <v>758</v>
      </c>
      <c r="CA71" s="424">
        <v>10</v>
      </c>
      <c r="CB71" s="424" t="s">
        <v>758</v>
      </c>
      <c r="CC71" s="428">
        <v>0.02</v>
      </c>
      <c r="CD71" s="428">
        <v>0.27</v>
      </c>
      <c r="CE71" s="428">
        <v>0.6</v>
      </c>
      <c r="CF71" s="428">
        <v>0.1</v>
      </c>
      <c r="CG71" s="428">
        <v>0.59</v>
      </c>
      <c r="CH71" s="428">
        <v>0.28999999999999998</v>
      </c>
      <c r="CI71" s="428">
        <v>0.56000000000000005</v>
      </c>
      <c r="CJ71" s="464">
        <v>55</v>
      </c>
      <c r="CK71" s="464" t="s">
        <v>758</v>
      </c>
      <c r="CL71" s="464">
        <v>9</v>
      </c>
      <c r="CM71" s="464" t="s">
        <v>758</v>
      </c>
      <c r="CN71" s="476">
        <v>0</v>
      </c>
      <c r="CO71" s="476">
        <v>0.32</v>
      </c>
      <c r="CP71" s="476">
        <v>0.63</v>
      </c>
      <c r="CQ71" s="476">
        <v>0.05</v>
      </c>
      <c r="CR71" s="476">
        <v>0.56999999999999995</v>
      </c>
      <c r="CS71" s="476">
        <v>0.48</v>
      </c>
      <c r="CT71" s="476">
        <v>0.38</v>
      </c>
      <c r="CU71" s="902">
        <v>56</v>
      </c>
      <c r="CV71" s="902" t="s">
        <v>758</v>
      </c>
      <c r="CW71" s="902">
        <v>11</v>
      </c>
      <c r="CX71" s="902" t="s">
        <v>758</v>
      </c>
      <c r="CY71" s="949">
        <v>0.05</v>
      </c>
      <c r="CZ71" s="949">
        <v>0.2</v>
      </c>
      <c r="DA71" s="949">
        <v>0.68</v>
      </c>
      <c r="DB71" s="949">
        <v>0.08</v>
      </c>
      <c r="DC71" s="949">
        <v>0.55000000000000004</v>
      </c>
      <c r="DD71" s="949">
        <v>0.42</v>
      </c>
      <c r="DE71" s="949">
        <v>0.3</v>
      </c>
      <c r="DF71" s="922">
        <v>325754003312</v>
      </c>
      <c r="DG71" s="892" t="e">
        <f>VLOOKUP(DF71,#REF!,3,0)</f>
        <v>#REF!</v>
      </c>
    </row>
    <row r="72" spans="1:111" ht="24.95" customHeight="1" x14ac:dyDescent="0.2">
      <c r="A72" s="803" t="s">
        <v>46</v>
      </c>
      <c r="B72" s="1" t="s">
        <v>123</v>
      </c>
      <c r="C72" s="12">
        <v>1</v>
      </c>
      <c r="D72" s="12">
        <v>48</v>
      </c>
      <c r="E72" s="12">
        <v>9</v>
      </c>
      <c r="F72" s="66">
        <v>0.06</v>
      </c>
      <c r="G72" s="66">
        <v>0.63</v>
      </c>
      <c r="H72" s="66">
        <v>0.31</v>
      </c>
      <c r="I72" s="66">
        <v>0</v>
      </c>
      <c r="J72" s="66">
        <v>0.56999999999999995</v>
      </c>
      <c r="K72" s="66">
        <v>0.53</v>
      </c>
      <c r="L72" s="66">
        <v>0.57999999999999996</v>
      </c>
      <c r="M72" s="12">
        <v>53</v>
      </c>
      <c r="N72" s="12">
        <v>9</v>
      </c>
      <c r="O72" s="40">
        <v>0.06</v>
      </c>
      <c r="P72" s="40">
        <v>0.31</v>
      </c>
      <c r="Q72" s="40">
        <v>0.64</v>
      </c>
      <c r="R72" s="40">
        <v>0</v>
      </c>
      <c r="S72" s="40">
        <v>0.49</v>
      </c>
      <c r="T72" s="40">
        <v>0.55000000000000004</v>
      </c>
      <c r="U72" s="40">
        <v>0.32</v>
      </c>
      <c r="V72" s="12">
        <v>53</v>
      </c>
      <c r="W72" s="12">
        <v>9</v>
      </c>
      <c r="X72" s="66">
        <v>7.0000000000000007E-2</v>
      </c>
      <c r="Y72" s="66">
        <v>0.28999999999999998</v>
      </c>
      <c r="Z72" s="66">
        <v>0.61</v>
      </c>
      <c r="AA72" s="66">
        <v>0.04</v>
      </c>
      <c r="AB72" s="66">
        <v>0.49</v>
      </c>
      <c r="AC72" s="66">
        <v>0.39</v>
      </c>
      <c r="AD72" s="66">
        <v>0.5</v>
      </c>
      <c r="AE72" s="12">
        <v>53</v>
      </c>
      <c r="AF72" s="12">
        <v>10</v>
      </c>
      <c r="AG72" s="66">
        <v>0.03</v>
      </c>
      <c r="AH72" s="66">
        <v>0.42</v>
      </c>
      <c r="AI72" s="66">
        <v>0.5</v>
      </c>
      <c r="AJ72" s="66">
        <v>0.06</v>
      </c>
      <c r="AK72" s="66">
        <v>0.54</v>
      </c>
      <c r="AL72" s="66">
        <v>0.49</v>
      </c>
      <c r="AM72" s="66">
        <v>0.25</v>
      </c>
      <c r="AN72" s="35">
        <v>55</v>
      </c>
      <c r="AO72" s="35">
        <v>9</v>
      </c>
      <c r="AP72" s="40">
        <v>0</v>
      </c>
      <c r="AQ72" s="40">
        <v>0.36</v>
      </c>
      <c r="AR72" s="40">
        <v>0.61</v>
      </c>
      <c r="AS72" s="40">
        <v>0.03</v>
      </c>
      <c r="AT72" s="40">
        <v>0.22</v>
      </c>
      <c r="AU72" s="40">
        <v>0.47</v>
      </c>
      <c r="AV72" s="40">
        <v>0.46</v>
      </c>
      <c r="AW72" s="246">
        <v>55</v>
      </c>
      <c r="AX72" s="246" t="s">
        <v>758</v>
      </c>
      <c r="AY72" s="246">
        <v>8</v>
      </c>
      <c r="AZ72" s="246" t="s">
        <v>758</v>
      </c>
      <c r="BA72" s="263">
        <v>0.03</v>
      </c>
      <c r="BB72" s="263">
        <v>0.31</v>
      </c>
      <c r="BC72" s="263">
        <v>0.66</v>
      </c>
      <c r="BD72" s="263">
        <v>0</v>
      </c>
      <c r="BE72" s="263">
        <v>0.23</v>
      </c>
      <c r="BF72" s="263">
        <v>0.47</v>
      </c>
      <c r="BG72" s="263">
        <v>0.42</v>
      </c>
      <c r="BH72" s="309">
        <v>49</v>
      </c>
      <c r="BI72" s="309" t="s">
        <v>758</v>
      </c>
      <c r="BJ72" s="309">
        <v>11</v>
      </c>
      <c r="BK72" s="309" t="s">
        <v>758</v>
      </c>
      <c r="BL72" s="464"/>
      <c r="BM72" s="464"/>
      <c r="BN72" s="464"/>
      <c r="BO72" s="327">
        <v>0.09</v>
      </c>
      <c r="BP72" s="327">
        <v>0.42</v>
      </c>
      <c r="BQ72" s="327">
        <v>0.48</v>
      </c>
      <c r="BR72" s="327">
        <v>0</v>
      </c>
      <c r="BS72" s="327">
        <v>0.56000000000000005</v>
      </c>
      <c r="BT72" s="327">
        <v>0.64</v>
      </c>
      <c r="BU72" s="476"/>
      <c r="BV72" s="476"/>
      <c r="BW72" s="476"/>
      <c r="BX72" s="327">
        <v>0.42</v>
      </c>
      <c r="BY72" s="424">
        <v>50</v>
      </c>
      <c r="BZ72" s="424" t="s">
        <v>758</v>
      </c>
      <c r="CA72" s="424">
        <v>8</v>
      </c>
      <c r="CB72" s="424" t="s">
        <v>758</v>
      </c>
      <c r="CC72" s="428">
        <v>0.03</v>
      </c>
      <c r="CD72" s="428">
        <v>0.55000000000000004</v>
      </c>
      <c r="CE72" s="428">
        <v>0.41</v>
      </c>
      <c r="CF72" s="428">
        <v>0</v>
      </c>
      <c r="CG72" s="428">
        <v>0.7</v>
      </c>
      <c r="CH72" s="428">
        <v>0.41</v>
      </c>
      <c r="CI72" s="428">
        <v>0.63</v>
      </c>
      <c r="CJ72" s="464">
        <v>55</v>
      </c>
      <c r="CK72" s="464" t="s">
        <v>758</v>
      </c>
      <c r="CL72" s="464">
        <v>10</v>
      </c>
      <c r="CM72" s="464" t="s">
        <v>758</v>
      </c>
      <c r="CN72" s="476">
        <v>0.05</v>
      </c>
      <c r="CO72" s="476">
        <v>0.2</v>
      </c>
      <c r="CP72" s="476">
        <v>0.68</v>
      </c>
      <c r="CQ72" s="476">
        <v>7.0000000000000007E-2</v>
      </c>
      <c r="CR72" s="476">
        <v>0.61</v>
      </c>
      <c r="CS72" s="476">
        <v>0.47</v>
      </c>
      <c r="CT72" s="476">
        <v>0.42</v>
      </c>
      <c r="CU72" s="902">
        <v>55</v>
      </c>
      <c r="CV72" s="902" t="s">
        <v>758</v>
      </c>
      <c r="CW72" s="902">
        <v>9</v>
      </c>
      <c r="CX72" s="902" t="s">
        <v>758</v>
      </c>
      <c r="CY72" s="949">
        <v>0.02</v>
      </c>
      <c r="CZ72" s="949">
        <v>0.28999999999999998</v>
      </c>
      <c r="DA72" s="949">
        <v>0.67</v>
      </c>
      <c r="DB72" s="949">
        <v>0.02</v>
      </c>
      <c r="DC72" s="949">
        <v>0.51</v>
      </c>
      <c r="DD72" s="949">
        <v>0.5</v>
      </c>
      <c r="DE72" s="949">
        <v>0.35</v>
      </c>
      <c r="DF72" s="922">
        <v>325754002073</v>
      </c>
      <c r="DG72" s="892" t="e">
        <f>VLOOKUP(DF72,#REF!,3,0)</f>
        <v>#REF!</v>
      </c>
    </row>
    <row r="73" spans="1:111" ht="24.95" customHeight="1" x14ac:dyDescent="0.2">
      <c r="A73" s="803" t="s">
        <v>21</v>
      </c>
      <c r="B73" s="1" t="s">
        <v>123</v>
      </c>
      <c r="C73" s="12">
        <v>3</v>
      </c>
      <c r="D73" s="12">
        <v>55</v>
      </c>
      <c r="E73" s="12">
        <v>9</v>
      </c>
      <c r="F73" s="66">
        <v>0.04</v>
      </c>
      <c r="G73" s="66">
        <v>0.28999999999999998</v>
      </c>
      <c r="H73" s="66">
        <v>0.65</v>
      </c>
      <c r="I73" s="66">
        <v>0.02</v>
      </c>
      <c r="J73" s="66">
        <v>0.47</v>
      </c>
      <c r="K73" s="66">
        <v>0.43</v>
      </c>
      <c r="L73" s="66">
        <v>0.46</v>
      </c>
      <c r="M73" s="12">
        <v>54</v>
      </c>
      <c r="N73" s="12">
        <v>11</v>
      </c>
      <c r="O73" s="40">
        <v>0.04</v>
      </c>
      <c r="P73" s="40">
        <v>0.33</v>
      </c>
      <c r="Q73" s="40">
        <v>0.57999999999999996</v>
      </c>
      <c r="R73" s="40">
        <v>0.04</v>
      </c>
      <c r="S73" s="40">
        <v>0.46</v>
      </c>
      <c r="T73" s="40">
        <v>0.5</v>
      </c>
      <c r="U73" s="40">
        <v>0.31</v>
      </c>
      <c r="V73" s="12">
        <v>51</v>
      </c>
      <c r="W73" s="12">
        <v>9</v>
      </c>
      <c r="X73" s="66">
        <v>0</v>
      </c>
      <c r="Y73" s="66">
        <v>0.43</v>
      </c>
      <c r="Z73" s="66">
        <v>0.53</v>
      </c>
      <c r="AA73" s="66">
        <v>0.03</v>
      </c>
      <c r="AB73" s="66">
        <v>0.52</v>
      </c>
      <c r="AC73" s="66">
        <v>0.4</v>
      </c>
      <c r="AD73" s="66">
        <v>0.52</v>
      </c>
      <c r="AE73" s="12">
        <v>57</v>
      </c>
      <c r="AF73" s="12">
        <v>9</v>
      </c>
      <c r="AG73" s="66">
        <v>0</v>
      </c>
      <c r="AH73" s="66">
        <v>0.24</v>
      </c>
      <c r="AI73" s="66">
        <v>0.74</v>
      </c>
      <c r="AJ73" s="66">
        <v>0.03</v>
      </c>
      <c r="AK73" s="66">
        <v>0.49</v>
      </c>
      <c r="AL73" s="66">
        <v>0.41</v>
      </c>
      <c r="AM73" s="66">
        <v>0.23</v>
      </c>
      <c r="AN73" s="35">
        <v>55</v>
      </c>
      <c r="AO73" s="35">
        <v>9</v>
      </c>
      <c r="AP73" s="40">
        <v>0.03</v>
      </c>
      <c r="AQ73" s="40">
        <v>0.22</v>
      </c>
      <c r="AR73" s="40">
        <v>0.73</v>
      </c>
      <c r="AS73" s="40">
        <v>0.02</v>
      </c>
      <c r="AT73" s="40">
        <v>0.23</v>
      </c>
      <c r="AU73" s="40">
        <v>0.49</v>
      </c>
      <c r="AV73" s="40">
        <v>0.5</v>
      </c>
      <c r="AW73" s="246">
        <v>54</v>
      </c>
      <c r="AX73" s="246" t="s">
        <v>758</v>
      </c>
      <c r="AY73" s="246">
        <v>8</v>
      </c>
      <c r="AZ73" s="246" t="s">
        <v>758</v>
      </c>
      <c r="BA73" s="263">
        <v>0</v>
      </c>
      <c r="BB73" s="263">
        <v>0.36</v>
      </c>
      <c r="BC73" s="263">
        <v>0.57999999999999996</v>
      </c>
      <c r="BD73" s="263">
        <v>0.06</v>
      </c>
      <c r="BE73" s="263">
        <v>0.28000000000000003</v>
      </c>
      <c r="BF73" s="263">
        <v>0.45</v>
      </c>
      <c r="BG73" s="263">
        <v>0.42</v>
      </c>
      <c r="BH73" s="309">
        <v>55</v>
      </c>
      <c r="BI73" s="309" t="s">
        <v>758</v>
      </c>
      <c r="BJ73" s="309">
        <v>7</v>
      </c>
      <c r="BK73" s="309" t="s">
        <v>758</v>
      </c>
      <c r="BL73" s="464"/>
      <c r="BM73" s="464"/>
      <c r="BN73" s="464"/>
      <c r="BO73" s="327">
        <v>0</v>
      </c>
      <c r="BP73" s="327">
        <v>0.23</v>
      </c>
      <c r="BQ73" s="327">
        <v>0.75</v>
      </c>
      <c r="BR73" s="327">
        <v>0.02</v>
      </c>
      <c r="BS73" s="327">
        <v>0.47</v>
      </c>
      <c r="BT73" s="327">
        <v>0.59</v>
      </c>
      <c r="BU73" s="476"/>
      <c r="BV73" s="476"/>
      <c r="BW73" s="476"/>
      <c r="BX73" s="327">
        <v>0.33</v>
      </c>
      <c r="BY73" s="424">
        <v>54</v>
      </c>
      <c r="BZ73" s="424" t="s">
        <v>758</v>
      </c>
      <c r="CA73" s="424">
        <v>9</v>
      </c>
      <c r="CB73" s="424" t="s">
        <v>758</v>
      </c>
      <c r="CC73" s="428">
        <v>0.02</v>
      </c>
      <c r="CD73" s="428">
        <v>0.4</v>
      </c>
      <c r="CE73" s="428">
        <v>0.52</v>
      </c>
      <c r="CF73" s="428">
        <v>0.06</v>
      </c>
      <c r="CG73" s="428">
        <v>0.57999999999999996</v>
      </c>
      <c r="CH73" s="428">
        <v>0.31</v>
      </c>
      <c r="CI73" s="428">
        <v>0.56999999999999995</v>
      </c>
      <c r="CJ73" s="464">
        <v>57</v>
      </c>
      <c r="CK73" s="464" t="s">
        <v>758</v>
      </c>
      <c r="CL73" s="464">
        <v>8</v>
      </c>
      <c r="CM73" s="464" t="s">
        <v>758</v>
      </c>
      <c r="CN73" s="476">
        <v>0</v>
      </c>
      <c r="CO73" s="476">
        <v>0.25</v>
      </c>
      <c r="CP73" s="476">
        <v>0.69</v>
      </c>
      <c r="CQ73" s="476">
        <v>0.06</v>
      </c>
      <c r="CR73" s="476">
        <v>0.52</v>
      </c>
      <c r="CS73" s="476">
        <v>0.46</v>
      </c>
      <c r="CT73" s="476">
        <v>0.32</v>
      </c>
      <c r="CU73" s="902">
        <v>54</v>
      </c>
      <c r="CV73" s="902" t="s">
        <v>758</v>
      </c>
      <c r="CW73" s="902">
        <v>12</v>
      </c>
      <c r="CX73" s="902" t="s">
        <v>758</v>
      </c>
      <c r="CY73" s="949">
        <v>0.06</v>
      </c>
      <c r="CZ73" s="949">
        <v>0.31</v>
      </c>
      <c r="DA73" s="949">
        <v>0.53</v>
      </c>
      <c r="DB73" s="949">
        <v>0.1</v>
      </c>
      <c r="DC73" s="949">
        <v>0.57999999999999996</v>
      </c>
      <c r="DD73" s="949">
        <v>0.49</v>
      </c>
      <c r="DE73" s="949">
        <v>0.36</v>
      </c>
      <c r="DF73" s="922">
        <v>125754001833</v>
      </c>
      <c r="DG73" s="892" t="e">
        <f>VLOOKUP(DF73,#REF!,3,0)</f>
        <v>#REF!</v>
      </c>
    </row>
    <row r="74" spans="1:111" ht="24.95" customHeight="1" x14ac:dyDescent="0.2">
      <c r="A74" s="803" t="s">
        <v>56</v>
      </c>
      <c r="B74" s="1" t="s">
        <v>123</v>
      </c>
      <c r="C74" s="12">
        <v>6</v>
      </c>
      <c r="D74" s="12">
        <v>57</v>
      </c>
      <c r="E74" s="12">
        <v>6</v>
      </c>
      <c r="F74" s="66">
        <v>0</v>
      </c>
      <c r="G74" s="66">
        <v>0.25</v>
      </c>
      <c r="H74" s="66">
        <v>0.75</v>
      </c>
      <c r="I74" s="66">
        <v>0</v>
      </c>
      <c r="J74" s="66">
        <v>0.43</v>
      </c>
      <c r="K74" s="66">
        <v>0.32</v>
      </c>
      <c r="L74" s="66">
        <v>0.46</v>
      </c>
      <c r="M74" s="12">
        <v>51</v>
      </c>
      <c r="N74" s="12">
        <v>12</v>
      </c>
      <c r="O74" s="40">
        <v>0.25</v>
      </c>
      <c r="P74" s="40">
        <v>0</v>
      </c>
      <c r="Q74" s="40">
        <v>0.75</v>
      </c>
      <c r="R74" s="40">
        <v>0</v>
      </c>
      <c r="S74" s="40">
        <v>0.46</v>
      </c>
      <c r="T74" s="40">
        <v>0.57999999999999996</v>
      </c>
      <c r="U74" s="40">
        <v>0.37</v>
      </c>
      <c r="V74" s="12" t="s">
        <v>126</v>
      </c>
      <c r="W74" s="12" t="s">
        <v>128</v>
      </c>
      <c r="X74" s="12"/>
      <c r="Y74" s="12"/>
      <c r="Z74" s="12"/>
      <c r="AA74" s="12"/>
      <c r="AB74" s="12"/>
      <c r="AC74" s="12"/>
      <c r="AD74" s="12"/>
      <c r="AE74" s="12">
        <v>51</v>
      </c>
      <c r="AF74" s="12">
        <v>18</v>
      </c>
      <c r="AG74" s="66">
        <v>0</v>
      </c>
      <c r="AH74" s="66">
        <v>0.5</v>
      </c>
      <c r="AI74" s="66">
        <v>0.5</v>
      </c>
      <c r="AJ74" s="66">
        <v>0</v>
      </c>
      <c r="AK74" s="66">
        <v>0.51</v>
      </c>
      <c r="AL74" s="66">
        <v>0.62</v>
      </c>
      <c r="AM74" s="66">
        <v>0.27</v>
      </c>
      <c r="AN74" s="35">
        <v>49</v>
      </c>
      <c r="AO74" s="35">
        <v>11</v>
      </c>
      <c r="AP74" s="40">
        <v>0</v>
      </c>
      <c r="AQ74" s="40">
        <v>0.63</v>
      </c>
      <c r="AR74" s="40">
        <v>0.25</v>
      </c>
      <c r="AS74" s="40">
        <v>0.13</v>
      </c>
      <c r="AT74" s="40">
        <v>0.34</v>
      </c>
      <c r="AU74" s="40">
        <v>0.48</v>
      </c>
      <c r="AV74" s="40">
        <v>0.68</v>
      </c>
      <c r="AW74" s="646"/>
      <c r="AX74" s="646"/>
      <c r="AY74" s="646"/>
      <c r="AZ74" s="646"/>
      <c r="BA74" s="646"/>
      <c r="BB74" s="646"/>
      <c r="BC74" s="646"/>
      <c r="BD74" s="646"/>
      <c r="BE74" s="646"/>
      <c r="BF74" s="646"/>
      <c r="BG74" s="646"/>
      <c r="BH74" s="649"/>
      <c r="BI74" s="649"/>
      <c r="BJ74" s="649"/>
      <c r="BK74" s="649"/>
      <c r="BL74" s="650"/>
      <c r="BM74" s="650"/>
      <c r="BN74" s="650"/>
      <c r="BO74" s="649"/>
      <c r="BP74" s="649"/>
      <c r="BQ74" s="649"/>
      <c r="BR74" s="649"/>
      <c r="BS74" s="649"/>
      <c r="BT74" s="649"/>
      <c r="BU74" s="650"/>
      <c r="BV74" s="650"/>
      <c r="BW74" s="650"/>
      <c r="BX74" s="649"/>
      <c r="BY74" s="424">
        <v>57</v>
      </c>
      <c r="BZ74" s="424" t="s">
        <v>758</v>
      </c>
      <c r="CA74" s="424">
        <v>10</v>
      </c>
      <c r="CB74" s="424" t="s">
        <v>758</v>
      </c>
      <c r="CC74" s="428">
        <v>0</v>
      </c>
      <c r="CD74" s="428">
        <v>0.2</v>
      </c>
      <c r="CE74" s="428">
        <v>0.8</v>
      </c>
      <c r="CF74" s="428">
        <v>0</v>
      </c>
      <c r="CG74" s="428">
        <v>0.56999999999999995</v>
      </c>
      <c r="CH74" s="428">
        <v>0.3</v>
      </c>
      <c r="CI74" s="428">
        <v>0.63</v>
      </c>
      <c r="CJ74" s="464">
        <v>52</v>
      </c>
      <c r="CK74" s="464" t="s">
        <v>758</v>
      </c>
      <c r="CL74" s="464">
        <v>11</v>
      </c>
      <c r="CM74" s="464" t="s">
        <v>758</v>
      </c>
      <c r="CN74" s="476">
        <v>0</v>
      </c>
      <c r="CO74" s="476">
        <v>0.5</v>
      </c>
      <c r="CP74" s="476">
        <v>0.5</v>
      </c>
      <c r="CQ74" s="476">
        <v>0</v>
      </c>
      <c r="CR74" s="476">
        <v>0.55000000000000004</v>
      </c>
      <c r="CS74" s="476">
        <v>0.46</v>
      </c>
      <c r="CT74" s="476">
        <v>0.39</v>
      </c>
      <c r="CU74" s="902">
        <v>56</v>
      </c>
      <c r="CV74" s="902" t="s">
        <v>758</v>
      </c>
      <c r="CW74" s="902">
        <v>13</v>
      </c>
      <c r="CX74" s="902" t="s">
        <v>758</v>
      </c>
      <c r="CY74" s="949">
        <v>0</v>
      </c>
      <c r="CZ74" s="949">
        <v>0.33</v>
      </c>
      <c r="DA74" s="949">
        <v>0.5</v>
      </c>
      <c r="DB74" s="949">
        <v>0.17</v>
      </c>
      <c r="DC74" s="949">
        <v>0.38</v>
      </c>
      <c r="DD74" s="949">
        <v>0.4</v>
      </c>
      <c r="DE74" s="949">
        <v>0.54</v>
      </c>
      <c r="DF74" s="922">
        <v>325754002979</v>
      </c>
      <c r="DG74" s="892" t="e">
        <f>VLOOKUP(DF74,#REF!,3,0)</f>
        <v>#REF!</v>
      </c>
    </row>
    <row r="75" spans="1:111" ht="24.95" customHeight="1" x14ac:dyDescent="0.2">
      <c r="A75" s="806" t="s">
        <v>761</v>
      </c>
      <c r="B75" s="1" t="s">
        <v>123</v>
      </c>
      <c r="C75" s="12">
        <v>6</v>
      </c>
      <c r="D75" s="606"/>
      <c r="E75" s="606"/>
      <c r="F75" s="606"/>
      <c r="G75" s="606"/>
      <c r="H75" s="606"/>
      <c r="I75" s="606"/>
      <c r="J75" s="606"/>
      <c r="K75" s="606"/>
      <c r="L75" s="606"/>
      <c r="M75" s="12"/>
      <c r="N75" s="12"/>
      <c r="O75" s="40"/>
      <c r="P75" s="40"/>
      <c r="Q75" s="40"/>
      <c r="R75" s="40"/>
      <c r="S75" s="40"/>
      <c r="T75" s="40"/>
      <c r="U75" s="40"/>
      <c r="V75" s="12"/>
      <c r="W75" s="12"/>
      <c r="X75" s="66"/>
      <c r="Y75" s="66"/>
      <c r="Z75" s="66"/>
      <c r="AA75" s="66"/>
      <c r="AB75" s="66"/>
      <c r="AC75" s="66"/>
      <c r="AD75" s="66"/>
      <c r="AE75" s="12"/>
      <c r="AF75" s="12"/>
      <c r="AG75" s="66"/>
      <c r="AH75" s="66"/>
      <c r="AI75" s="66"/>
      <c r="AJ75" s="66"/>
      <c r="AK75" s="66"/>
      <c r="AL75" s="66"/>
      <c r="AM75" s="66"/>
      <c r="AN75" s="35"/>
      <c r="AO75" s="35"/>
      <c r="AP75" s="40"/>
      <c r="AQ75" s="40"/>
      <c r="AR75" s="40"/>
      <c r="AS75" s="40"/>
      <c r="AT75" s="40"/>
      <c r="AU75" s="40"/>
      <c r="AV75" s="40"/>
      <c r="AW75" s="246">
        <v>51</v>
      </c>
      <c r="AX75" s="246" t="s">
        <v>758</v>
      </c>
      <c r="AY75" s="246">
        <v>7</v>
      </c>
      <c r="AZ75" s="246" t="s">
        <v>758</v>
      </c>
      <c r="BA75" s="263">
        <v>0.06</v>
      </c>
      <c r="BB75" s="263">
        <v>0.33</v>
      </c>
      <c r="BC75" s="263">
        <v>0.61</v>
      </c>
      <c r="BD75" s="263">
        <v>0</v>
      </c>
      <c r="BE75" s="263">
        <v>0.22</v>
      </c>
      <c r="BF75" s="263">
        <v>0.57999999999999996</v>
      </c>
      <c r="BG75" s="263">
        <v>0.52</v>
      </c>
      <c r="BH75" s="309">
        <v>49</v>
      </c>
      <c r="BI75" s="309" t="s">
        <v>758</v>
      </c>
      <c r="BJ75" s="309">
        <v>9</v>
      </c>
      <c r="BK75" s="309" t="s">
        <v>758</v>
      </c>
      <c r="BL75" s="464"/>
      <c r="BM75" s="464"/>
      <c r="BN75" s="464"/>
      <c r="BO75" s="327">
        <v>0.16</v>
      </c>
      <c r="BP75" s="327">
        <v>0.39</v>
      </c>
      <c r="BQ75" s="327">
        <v>0.45</v>
      </c>
      <c r="BR75" s="327">
        <v>0</v>
      </c>
      <c r="BS75" s="327">
        <v>0.56999999999999995</v>
      </c>
      <c r="BT75" s="327">
        <v>0.71</v>
      </c>
      <c r="BU75" s="476"/>
      <c r="BV75" s="476"/>
      <c r="BW75" s="476"/>
      <c r="BX75" s="327">
        <v>0.34</v>
      </c>
      <c r="BY75" s="424">
        <v>53</v>
      </c>
      <c r="BZ75" s="424" t="s">
        <v>758</v>
      </c>
      <c r="CA75" s="424">
        <v>10</v>
      </c>
      <c r="CB75" s="424" t="s">
        <v>758</v>
      </c>
      <c r="CC75" s="428">
        <v>0.1</v>
      </c>
      <c r="CD75" s="428">
        <v>0.21</v>
      </c>
      <c r="CE75" s="428">
        <v>0.69</v>
      </c>
      <c r="CF75" s="428">
        <v>0</v>
      </c>
      <c r="CG75" s="428">
        <v>0.63</v>
      </c>
      <c r="CH75" s="428">
        <v>0.36</v>
      </c>
      <c r="CI75" s="428">
        <v>0.56999999999999995</v>
      </c>
      <c r="CJ75" s="464">
        <v>56</v>
      </c>
      <c r="CK75" s="464" t="s">
        <v>758</v>
      </c>
      <c r="CL75" s="464">
        <v>10</v>
      </c>
      <c r="CM75" s="464" t="s">
        <v>758</v>
      </c>
      <c r="CN75" s="476">
        <v>7.0000000000000007E-2</v>
      </c>
      <c r="CO75" s="476">
        <v>0.11</v>
      </c>
      <c r="CP75" s="476">
        <v>0.78</v>
      </c>
      <c r="CQ75" s="476">
        <v>0.04</v>
      </c>
      <c r="CR75" s="476">
        <v>0.63</v>
      </c>
      <c r="CS75" s="476">
        <v>0.47</v>
      </c>
      <c r="CT75" s="476">
        <v>0.38</v>
      </c>
      <c r="CU75" s="902">
        <v>60</v>
      </c>
      <c r="CV75" s="902" t="s">
        <v>758</v>
      </c>
      <c r="CW75" s="902">
        <v>11</v>
      </c>
      <c r="CX75" s="902" t="s">
        <v>758</v>
      </c>
      <c r="CY75" s="949">
        <v>0</v>
      </c>
      <c r="CZ75" s="949">
        <v>0.21</v>
      </c>
      <c r="DA75" s="949">
        <v>0.64</v>
      </c>
      <c r="DB75" s="949">
        <v>0.14000000000000001</v>
      </c>
      <c r="DC75" s="949">
        <v>0.46</v>
      </c>
      <c r="DD75" s="949">
        <v>0.41</v>
      </c>
      <c r="DE75" s="949">
        <v>0.28000000000000003</v>
      </c>
      <c r="DF75" s="922">
        <v>325754001549</v>
      </c>
      <c r="DG75" s="892" t="e">
        <f>VLOOKUP(DF75,#REF!,3,0)</f>
        <v>#REF!</v>
      </c>
    </row>
    <row r="76" spans="1:111" ht="24.95" customHeight="1" x14ac:dyDescent="0.2">
      <c r="A76" s="807" t="s">
        <v>93</v>
      </c>
      <c r="B76" s="1" t="s">
        <v>123</v>
      </c>
      <c r="C76" s="254">
        <v>3</v>
      </c>
      <c r="D76" s="254">
        <v>46</v>
      </c>
      <c r="E76" s="254">
        <v>6</v>
      </c>
      <c r="F76" s="258">
        <v>0</v>
      </c>
      <c r="G76" s="258">
        <v>0.67</v>
      </c>
      <c r="H76" s="258">
        <v>0.33</v>
      </c>
      <c r="I76" s="258">
        <v>0</v>
      </c>
      <c r="J76" s="258">
        <v>0.6</v>
      </c>
      <c r="K76" s="258">
        <v>0.55000000000000004</v>
      </c>
      <c r="L76" s="258">
        <v>0.61</v>
      </c>
      <c r="M76" s="254">
        <v>50</v>
      </c>
      <c r="N76" s="254">
        <v>10</v>
      </c>
      <c r="O76" s="259">
        <v>0.04</v>
      </c>
      <c r="P76" s="259">
        <v>0.48</v>
      </c>
      <c r="Q76" s="259">
        <v>0.48</v>
      </c>
      <c r="R76" s="259">
        <v>0</v>
      </c>
      <c r="S76" s="259">
        <v>0.52</v>
      </c>
      <c r="T76" s="259">
        <v>0.56999999999999995</v>
      </c>
      <c r="U76" s="259">
        <v>0.39</v>
      </c>
      <c r="V76" s="254">
        <v>55</v>
      </c>
      <c r="W76" s="254">
        <v>13</v>
      </c>
      <c r="X76" s="258">
        <v>0.04</v>
      </c>
      <c r="Y76" s="258">
        <v>0.39</v>
      </c>
      <c r="Z76" s="258">
        <v>0.43</v>
      </c>
      <c r="AA76" s="258">
        <v>0.13</v>
      </c>
      <c r="AB76" s="258">
        <v>0.45</v>
      </c>
      <c r="AC76" s="258">
        <v>0.31</v>
      </c>
      <c r="AD76" s="258">
        <v>0.48</v>
      </c>
      <c r="AE76" s="254">
        <v>54</v>
      </c>
      <c r="AF76" s="254">
        <v>10</v>
      </c>
      <c r="AG76" s="258">
        <v>0.06</v>
      </c>
      <c r="AH76" s="258">
        <v>0.28000000000000003</v>
      </c>
      <c r="AI76" s="258">
        <v>0.67</v>
      </c>
      <c r="AJ76" s="258">
        <v>0</v>
      </c>
      <c r="AK76" s="258">
        <v>0.52</v>
      </c>
      <c r="AL76" s="258">
        <v>0.39</v>
      </c>
      <c r="AM76" s="258">
        <v>0.27</v>
      </c>
      <c r="AN76" s="250">
        <v>50</v>
      </c>
      <c r="AO76" s="250">
        <v>10</v>
      </c>
      <c r="AP76" s="259">
        <v>0</v>
      </c>
      <c r="AQ76" s="259">
        <v>0.5</v>
      </c>
      <c r="AR76" s="259">
        <v>0.5</v>
      </c>
      <c r="AS76" s="259">
        <v>0</v>
      </c>
      <c r="AT76" s="259">
        <v>0.35</v>
      </c>
      <c r="AU76" s="259">
        <v>0.5</v>
      </c>
      <c r="AV76" s="259">
        <v>0.53</v>
      </c>
      <c r="AW76" s="246">
        <v>49</v>
      </c>
      <c r="AX76" s="246" t="s">
        <v>758</v>
      </c>
      <c r="AY76" s="246">
        <v>10</v>
      </c>
      <c r="AZ76" s="246" t="s">
        <v>758</v>
      </c>
      <c r="BA76" s="263">
        <v>0.06</v>
      </c>
      <c r="BB76" s="263">
        <v>0.59</v>
      </c>
      <c r="BC76" s="263">
        <v>0.35</v>
      </c>
      <c r="BD76" s="263">
        <v>0</v>
      </c>
      <c r="BE76" s="263">
        <v>0.36</v>
      </c>
      <c r="BF76" s="263">
        <v>0.54</v>
      </c>
      <c r="BG76" s="263">
        <v>0.49</v>
      </c>
      <c r="BH76" s="309">
        <v>55</v>
      </c>
      <c r="BI76" s="309" t="s">
        <v>758</v>
      </c>
      <c r="BJ76" s="309">
        <v>12</v>
      </c>
      <c r="BK76" s="309" t="s">
        <v>758</v>
      </c>
      <c r="BL76" s="464"/>
      <c r="BM76" s="464"/>
      <c r="BN76" s="464"/>
      <c r="BO76" s="327">
        <v>0.04</v>
      </c>
      <c r="BP76" s="327">
        <v>0.38</v>
      </c>
      <c r="BQ76" s="327">
        <v>0.46</v>
      </c>
      <c r="BR76" s="327">
        <v>0.13</v>
      </c>
      <c r="BS76" s="327">
        <v>0.48</v>
      </c>
      <c r="BT76" s="327">
        <v>0.53</v>
      </c>
      <c r="BU76" s="476"/>
      <c r="BV76" s="476"/>
      <c r="BW76" s="476"/>
      <c r="BX76" s="327">
        <v>0.26</v>
      </c>
      <c r="BY76" s="424">
        <v>59</v>
      </c>
      <c r="BZ76" s="424" t="s">
        <v>758</v>
      </c>
      <c r="CA76" s="424">
        <v>12</v>
      </c>
      <c r="CB76" s="424" t="s">
        <v>758</v>
      </c>
      <c r="CC76" s="428">
        <v>0</v>
      </c>
      <c r="CD76" s="428">
        <v>0.28999999999999998</v>
      </c>
      <c r="CE76" s="428">
        <v>0.63</v>
      </c>
      <c r="CF76" s="428">
        <v>0.08</v>
      </c>
      <c r="CG76" s="428">
        <v>0.56999999999999995</v>
      </c>
      <c r="CH76" s="428">
        <v>0.32</v>
      </c>
      <c r="CI76" s="428">
        <v>0.43</v>
      </c>
      <c r="CJ76" s="464">
        <v>56</v>
      </c>
      <c r="CK76" s="464" t="s">
        <v>758</v>
      </c>
      <c r="CL76" s="464">
        <v>11</v>
      </c>
      <c r="CM76" s="464" t="s">
        <v>758</v>
      </c>
      <c r="CN76" s="476">
        <v>0</v>
      </c>
      <c r="CO76" s="476">
        <v>0.32</v>
      </c>
      <c r="CP76" s="476">
        <v>0.59</v>
      </c>
      <c r="CQ76" s="476">
        <v>0.09</v>
      </c>
      <c r="CR76" s="476">
        <v>0.47</v>
      </c>
      <c r="CS76" s="476">
        <v>0.47</v>
      </c>
      <c r="CT76" s="476">
        <v>0.3</v>
      </c>
      <c r="CU76" s="902">
        <v>60</v>
      </c>
      <c r="CV76" s="902" t="s">
        <v>758</v>
      </c>
      <c r="CW76" s="902">
        <v>9</v>
      </c>
      <c r="CX76" s="902" t="s">
        <v>758</v>
      </c>
      <c r="CY76" s="949">
        <v>0</v>
      </c>
      <c r="CZ76" s="949">
        <v>0.18</v>
      </c>
      <c r="DA76" s="949">
        <v>0.73</v>
      </c>
      <c r="DB76" s="949">
        <v>0.09</v>
      </c>
      <c r="DC76" s="949">
        <v>0.47</v>
      </c>
      <c r="DD76" s="949">
        <v>0.4</v>
      </c>
      <c r="DE76" s="949">
        <v>0.25</v>
      </c>
      <c r="DF76" s="922">
        <v>325754001921</v>
      </c>
      <c r="DG76" s="892" t="e">
        <f>VLOOKUP(DF76,#REF!,3,0)</f>
        <v>#REF!</v>
      </c>
    </row>
    <row r="77" spans="1:111" ht="24.95" customHeight="1" x14ac:dyDescent="0.2">
      <c r="A77" s="803" t="s">
        <v>111</v>
      </c>
      <c r="B77" s="1" t="s">
        <v>123</v>
      </c>
      <c r="C77" s="12">
        <v>1</v>
      </c>
      <c r="D77" s="12">
        <v>53</v>
      </c>
      <c r="E77" s="12">
        <v>8</v>
      </c>
      <c r="F77" s="66">
        <v>0</v>
      </c>
      <c r="G77" s="66">
        <v>0.41</v>
      </c>
      <c r="H77" s="66">
        <v>0.59</v>
      </c>
      <c r="I77" s="66">
        <v>0</v>
      </c>
      <c r="J77" s="66">
        <v>0.51</v>
      </c>
      <c r="K77" s="66">
        <v>0.45</v>
      </c>
      <c r="L77" s="66">
        <v>0.48</v>
      </c>
      <c r="M77" s="12">
        <v>50</v>
      </c>
      <c r="N77" s="12">
        <v>12</v>
      </c>
      <c r="O77" s="40">
        <v>0.11</v>
      </c>
      <c r="P77" s="40">
        <v>0.56000000000000005</v>
      </c>
      <c r="Q77" s="40">
        <v>0.22</v>
      </c>
      <c r="R77" s="40">
        <v>0.11</v>
      </c>
      <c r="S77" s="40">
        <v>0.49</v>
      </c>
      <c r="T77" s="40">
        <v>0.61</v>
      </c>
      <c r="U77" s="40">
        <v>0.38</v>
      </c>
      <c r="V77" s="12">
        <v>51</v>
      </c>
      <c r="W77" s="12">
        <v>11</v>
      </c>
      <c r="X77" s="66">
        <v>0.13</v>
      </c>
      <c r="Y77" s="66">
        <v>0.25</v>
      </c>
      <c r="Z77" s="66">
        <v>0.63</v>
      </c>
      <c r="AA77" s="66">
        <v>0</v>
      </c>
      <c r="AB77" s="66">
        <v>0.48</v>
      </c>
      <c r="AC77" s="66">
        <v>0.34</v>
      </c>
      <c r="AD77" s="66">
        <v>0.59</v>
      </c>
      <c r="AE77" s="12">
        <v>55</v>
      </c>
      <c r="AF77" s="12">
        <v>10</v>
      </c>
      <c r="AG77" s="66">
        <v>0</v>
      </c>
      <c r="AH77" s="66">
        <v>0.33</v>
      </c>
      <c r="AI77" s="66">
        <v>0.67</v>
      </c>
      <c r="AJ77" s="66">
        <v>0</v>
      </c>
      <c r="AK77" s="66">
        <v>0.51</v>
      </c>
      <c r="AL77" s="66">
        <v>0.39</v>
      </c>
      <c r="AM77" s="66">
        <v>0.3</v>
      </c>
      <c r="AN77" s="35">
        <v>52</v>
      </c>
      <c r="AO77" s="35">
        <v>12</v>
      </c>
      <c r="AP77" s="40">
        <v>0.13</v>
      </c>
      <c r="AQ77" s="40">
        <v>0.38</v>
      </c>
      <c r="AR77" s="40">
        <v>0.38</v>
      </c>
      <c r="AS77" s="40">
        <v>0.13</v>
      </c>
      <c r="AT77" s="40">
        <v>0.27</v>
      </c>
      <c r="AU77" s="40">
        <v>0.56000000000000005</v>
      </c>
      <c r="AV77" s="40">
        <v>0.45</v>
      </c>
      <c r="AW77" s="647">
        <v>54</v>
      </c>
      <c r="AX77" s="647" t="s">
        <v>758</v>
      </c>
      <c r="AY77" s="647">
        <v>8</v>
      </c>
      <c r="AZ77" s="647" t="s">
        <v>758</v>
      </c>
      <c r="BA77" s="648">
        <v>0.09</v>
      </c>
      <c r="BB77" s="648">
        <v>0.18</v>
      </c>
      <c r="BC77" s="648">
        <v>0.73</v>
      </c>
      <c r="BD77" s="648">
        <v>0</v>
      </c>
      <c r="BE77" s="648">
        <v>0.25</v>
      </c>
      <c r="BF77" s="648">
        <v>0.48</v>
      </c>
      <c r="BG77" s="648">
        <v>0.47</v>
      </c>
      <c r="BH77" s="74">
        <v>53</v>
      </c>
      <c r="BI77" s="74" t="s">
        <v>758</v>
      </c>
      <c r="BJ77" s="74">
        <v>11</v>
      </c>
      <c r="BK77" s="74" t="s">
        <v>758</v>
      </c>
      <c r="BL77" s="74"/>
      <c r="BM77" s="74"/>
      <c r="BN77" s="74"/>
      <c r="BO77" s="96">
        <v>0.04</v>
      </c>
      <c r="BP77" s="96">
        <v>0.39</v>
      </c>
      <c r="BQ77" s="96">
        <v>0.48</v>
      </c>
      <c r="BR77" s="96">
        <v>0.09</v>
      </c>
      <c r="BS77" s="96">
        <v>0.44</v>
      </c>
      <c r="BT77" s="96">
        <v>0.59</v>
      </c>
      <c r="BU77" s="96"/>
      <c r="BV77" s="96"/>
      <c r="BW77" s="96"/>
      <c r="BX77" s="96">
        <v>0.37</v>
      </c>
      <c r="BY77" s="424">
        <v>56</v>
      </c>
      <c r="BZ77" s="424" t="s">
        <v>758</v>
      </c>
      <c r="CA77" s="424">
        <v>10</v>
      </c>
      <c r="CB77" s="424" t="s">
        <v>758</v>
      </c>
      <c r="CC77" s="428">
        <v>0</v>
      </c>
      <c r="CD77" s="428">
        <v>0.41</v>
      </c>
      <c r="CE77" s="428">
        <v>0.5</v>
      </c>
      <c r="CF77" s="428">
        <v>0.09</v>
      </c>
      <c r="CG77" s="428">
        <v>0.61</v>
      </c>
      <c r="CH77" s="428">
        <v>0.24</v>
      </c>
      <c r="CI77" s="428">
        <v>0.55000000000000004</v>
      </c>
      <c r="CJ77" s="464">
        <v>59</v>
      </c>
      <c r="CK77" s="464" t="s">
        <v>758</v>
      </c>
      <c r="CL77" s="464">
        <v>8</v>
      </c>
      <c r="CM77" s="464" t="s">
        <v>758</v>
      </c>
      <c r="CN77" s="476">
        <v>0</v>
      </c>
      <c r="CO77" s="476">
        <v>0.16</v>
      </c>
      <c r="CP77" s="476">
        <v>0.74</v>
      </c>
      <c r="CQ77" s="476">
        <v>0.11</v>
      </c>
      <c r="CR77" s="476">
        <v>0.44</v>
      </c>
      <c r="CS77" s="476">
        <v>0.53</v>
      </c>
      <c r="CT77" s="476">
        <v>0.26</v>
      </c>
      <c r="CU77" s="902">
        <v>55</v>
      </c>
      <c r="CV77" s="902" t="s">
        <v>758</v>
      </c>
      <c r="CW77" s="902">
        <v>10</v>
      </c>
      <c r="CX77" s="902" t="s">
        <v>758</v>
      </c>
      <c r="CY77" s="949">
        <v>0</v>
      </c>
      <c r="CZ77" s="949">
        <v>0.3</v>
      </c>
      <c r="DA77" s="949">
        <v>0.65</v>
      </c>
      <c r="DB77" s="949">
        <v>0.05</v>
      </c>
      <c r="DC77" s="949">
        <v>0.57999999999999996</v>
      </c>
      <c r="DD77" s="949">
        <v>0.45</v>
      </c>
      <c r="DE77" s="949">
        <v>0.34</v>
      </c>
      <c r="DF77" s="922">
        <v>325754004581</v>
      </c>
      <c r="DG77" s="892" t="e">
        <f>VLOOKUP(DF77,#REF!,3,0)</f>
        <v>#REF!</v>
      </c>
    </row>
    <row r="78" spans="1:111" ht="24.95" customHeight="1" x14ac:dyDescent="0.2">
      <c r="A78" s="803" t="s">
        <v>799</v>
      </c>
      <c r="B78" s="14" t="s">
        <v>123</v>
      </c>
      <c r="C78" s="12">
        <v>2</v>
      </c>
      <c r="D78" s="12"/>
      <c r="E78" s="12"/>
      <c r="F78" s="66"/>
      <c r="G78" s="66"/>
      <c r="H78" s="66"/>
      <c r="I78" s="66"/>
      <c r="J78" s="66"/>
      <c r="K78" s="66"/>
      <c r="L78" s="66"/>
      <c r="M78" s="12"/>
      <c r="N78" s="12"/>
      <c r="O78" s="40"/>
      <c r="P78" s="40"/>
      <c r="Q78" s="40"/>
      <c r="R78" s="40"/>
      <c r="S78" s="40"/>
      <c r="T78" s="40"/>
      <c r="U78" s="40"/>
      <c r="V78" s="12"/>
      <c r="W78" s="12"/>
      <c r="X78" s="66"/>
      <c r="Y78" s="66"/>
      <c r="Z78" s="66"/>
      <c r="AA78" s="66"/>
      <c r="AB78" s="66"/>
      <c r="AC78" s="66"/>
      <c r="AD78" s="66"/>
      <c r="AE78" s="12"/>
      <c r="AF78" s="12"/>
      <c r="AG78" s="66"/>
      <c r="AH78" s="66"/>
      <c r="AI78" s="66"/>
      <c r="AJ78" s="66"/>
      <c r="AK78" s="66"/>
      <c r="AL78" s="66"/>
      <c r="AM78" s="66"/>
      <c r="AN78" s="35"/>
      <c r="AO78" s="35"/>
      <c r="AP78" s="40"/>
      <c r="AQ78" s="40"/>
      <c r="AR78" s="40"/>
      <c r="AS78" s="40"/>
      <c r="AT78" s="40"/>
      <c r="AU78" s="40"/>
      <c r="AV78" s="40"/>
      <c r="AW78" s="246"/>
      <c r="AX78" s="246"/>
      <c r="AY78" s="246"/>
      <c r="AZ78" s="246"/>
      <c r="BA78" s="263"/>
      <c r="BB78" s="263"/>
      <c r="BC78" s="263"/>
      <c r="BD78" s="263"/>
      <c r="BE78" s="263"/>
      <c r="BF78" s="263"/>
      <c r="BG78" s="263"/>
      <c r="BH78" s="309">
        <v>52</v>
      </c>
      <c r="BI78" s="309" t="s">
        <v>758</v>
      </c>
      <c r="BJ78" s="309">
        <v>10</v>
      </c>
      <c r="BK78" s="309" t="s">
        <v>758</v>
      </c>
      <c r="BL78" s="464"/>
      <c r="BM78" s="464"/>
      <c r="BN78" s="464"/>
      <c r="BO78" s="327">
        <v>0</v>
      </c>
      <c r="BP78" s="327">
        <v>0.53</v>
      </c>
      <c r="BQ78" s="327">
        <v>0.4</v>
      </c>
      <c r="BR78" s="327">
        <v>7.0000000000000007E-2</v>
      </c>
      <c r="BS78" s="327">
        <v>0.47</v>
      </c>
      <c r="BT78" s="327">
        <v>0.59</v>
      </c>
      <c r="BU78" s="476"/>
      <c r="BV78" s="476"/>
      <c r="BW78" s="476"/>
      <c r="BX78" s="327">
        <v>0.32</v>
      </c>
      <c r="BY78" s="424">
        <v>52</v>
      </c>
      <c r="BZ78" s="424" t="s">
        <v>758</v>
      </c>
      <c r="CA78" s="424">
        <v>10</v>
      </c>
      <c r="CB78" s="424" t="s">
        <v>758</v>
      </c>
      <c r="CC78" s="428">
        <v>0.05</v>
      </c>
      <c r="CD78" s="428">
        <v>0.43</v>
      </c>
      <c r="CE78" s="428">
        <v>0.48</v>
      </c>
      <c r="CF78" s="428">
        <v>0.05</v>
      </c>
      <c r="CG78" s="428">
        <v>0.62</v>
      </c>
      <c r="CH78" s="428">
        <v>0.4</v>
      </c>
      <c r="CI78" s="428">
        <v>0.56999999999999995</v>
      </c>
      <c r="CJ78" s="464">
        <v>51</v>
      </c>
      <c r="CK78" s="464" t="s">
        <v>758</v>
      </c>
      <c r="CL78" s="464">
        <v>13</v>
      </c>
      <c r="CM78" s="464" t="s">
        <v>758</v>
      </c>
      <c r="CN78" s="476">
        <v>0.18</v>
      </c>
      <c r="CO78" s="476">
        <v>0.28999999999999998</v>
      </c>
      <c r="CP78" s="476">
        <v>0.54</v>
      </c>
      <c r="CQ78" s="476">
        <v>0</v>
      </c>
      <c r="CR78" s="476">
        <v>0.6</v>
      </c>
      <c r="CS78" s="476">
        <v>0.54</v>
      </c>
      <c r="CT78" s="476">
        <v>0.46</v>
      </c>
      <c r="CU78" s="902">
        <v>56</v>
      </c>
      <c r="CV78" s="902" t="s">
        <v>758</v>
      </c>
      <c r="CW78" s="902">
        <v>8</v>
      </c>
      <c r="CX78" s="902" t="s">
        <v>758</v>
      </c>
      <c r="CY78" s="949">
        <v>0.03</v>
      </c>
      <c r="CZ78" s="949">
        <v>0.2</v>
      </c>
      <c r="DA78" s="949">
        <v>0.78</v>
      </c>
      <c r="DB78" s="949">
        <v>0</v>
      </c>
      <c r="DC78" s="949">
        <v>0.57999999999999996</v>
      </c>
      <c r="DD78" s="949">
        <v>0.4</v>
      </c>
      <c r="DE78" s="949">
        <v>0.26</v>
      </c>
      <c r="DF78" s="922">
        <v>325754001531</v>
      </c>
      <c r="DG78" s="892" t="e">
        <f>VLOOKUP(DF78,#REF!,3,0)</f>
        <v>#REF!</v>
      </c>
    </row>
    <row r="79" spans="1:111" ht="24.95" customHeight="1" x14ac:dyDescent="0.2">
      <c r="A79" s="803" t="s">
        <v>959</v>
      </c>
      <c r="B79" s="1" t="s">
        <v>123</v>
      </c>
      <c r="C79" s="12">
        <v>4</v>
      </c>
      <c r="D79" s="12">
        <v>45</v>
      </c>
      <c r="E79" s="12">
        <v>11</v>
      </c>
      <c r="F79" s="66">
        <v>0.24</v>
      </c>
      <c r="G79" s="66">
        <v>0.45</v>
      </c>
      <c r="H79" s="66">
        <v>0.31</v>
      </c>
      <c r="I79" s="66">
        <v>0</v>
      </c>
      <c r="J79" s="66">
        <v>0.59</v>
      </c>
      <c r="K79" s="66">
        <v>0.54</v>
      </c>
      <c r="L79" s="66">
        <v>0.6</v>
      </c>
      <c r="M79" s="12">
        <v>47</v>
      </c>
      <c r="N79" s="12">
        <v>10</v>
      </c>
      <c r="O79" s="40">
        <v>0.14000000000000001</v>
      </c>
      <c r="P79" s="40">
        <v>0.49</v>
      </c>
      <c r="Q79" s="40">
        <v>0.35</v>
      </c>
      <c r="R79" s="40">
        <v>0.02</v>
      </c>
      <c r="S79" s="40">
        <v>0.53</v>
      </c>
      <c r="T79" s="40">
        <v>0.62</v>
      </c>
      <c r="U79" s="40">
        <v>0.46</v>
      </c>
      <c r="V79" s="12">
        <v>51</v>
      </c>
      <c r="W79" s="12">
        <v>11</v>
      </c>
      <c r="X79" s="66">
        <v>0</v>
      </c>
      <c r="Y79" s="66">
        <v>0.57999999999999996</v>
      </c>
      <c r="Z79" s="66">
        <v>0.33</v>
      </c>
      <c r="AA79" s="66">
        <v>0.08</v>
      </c>
      <c r="AB79" s="66">
        <v>0.56000000000000005</v>
      </c>
      <c r="AC79" s="66">
        <v>0.36</v>
      </c>
      <c r="AD79" s="66">
        <v>0.48</v>
      </c>
      <c r="AE79" s="12">
        <v>45</v>
      </c>
      <c r="AF79" s="12">
        <v>9</v>
      </c>
      <c r="AG79" s="66">
        <v>0.13</v>
      </c>
      <c r="AH79" s="66">
        <v>0.56999999999999995</v>
      </c>
      <c r="AI79" s="66">
        <v>0.3</v>
      </c>
      <c r="AJ79" s="66">
        <v>0</v>
      </c>
      <c r="AK79" s="66">
        <v>0.63</v>
      </c>
      <c r="AL79" s="66">
        <v>0.56999999999999995</v>
      </c>
      <c r="AM79" s="66">
        <v>0.4</v>
      </c>
      <c r="AN79" s="41"/>
      <c r="AO79" s="41"/>
      <c r="AP79" s="41"/>
      <c r="AQ79" s="41"/>
      <c r="AR79" s="41"/>
      <c r="AS79" s="41"/>
      <c r="AT79" s="41"/>
      <c r="AU79" s="41"/>
      <c r="AV79" s="41"/>
      <c r="AW79" s="246">
        <v>39</v>
      </c>
      <c r="AX79" s="246" t="s">
        <v>760</v>
      </c>
      <c r="AY79" s="246">
        <v>0</v>
      </c>
      <c r="AZ79" s="246" t="s">
        <v>760</v>
      </c>
      <c r="BA79" s="263">
        <v>0</v>
      </c>
      <c r="BB79" s="263">
        <v>1</v>
      </c>
      <c r="BC79" s="263">
        <v>0</v>
      </c>
      <c r="BD79" s="263">
        <v>0</v>
      </c>
      <c r="BE79" s="263">
        <v>0.71</v>
      </c>
      <c r="BF79" s="263">
        <v>0.55000000000000004</v>
      </c>
      <c r="BG79" s="263">
        <v>0.7</v>
      </c>
      <c r="BH79" s="649"/>
      <c r="BI79" s="649"/>
      <c r="BJ79" s="649"/>
      <c r="BK79" s="649"/>
      <c r="BL79" s="650"/>
      <c r="BM79" s="650"/>
      <c r="BN79" s="650"/>
      <c r="BO79" s="649"/>
      <c r="BP79" s="649"/>
      <c r="BQ79" s="649"/>
      <c r="BR79" s="649"/>
      <c r="BS79" s="649"/>
      <c r="BT79" s="649"/>
      <c r="BU79" s="650"/>
      <c r="BV79" s="650"/>
      <c r="BW79" s="650"/>
      <c r="BX79" s="649"/>
      <c r="BY79" s="651"/>
      <c r="BZ79" s="651"/>
      <c r="CA79" s="651"/>
      <c r="CB79" s="651"/>
      <c r="CC79" s="651"/>
      <c r="CD79" s="651"/>
      <c r="CE79" s="651"/>
      <c r="CF79" s="651"/>
      <c r="CG79" s="651"/>
      <c r="CH79" s="651"/>
      <c r="CI79" s="651"/>
      <c r="CJ79" s="650"/>
      <c r="CK79" s="650"/>
      <c r="CL79" s="650"/>
      <c r="CM79" s="650"/>
      <c r="CN79" s="650"/>
      <c r="CO79" s="650"/>
      <c r="CP79" s="650"/>
      <c r="CQ79" s="650"/>
      <c r="CR79" s="650"/>
      <c r="CS79" s="650"/>
      <c r="CT79" s="650"/>
      <c r="CU79" s="902">
        <v>50</v>
      </c>
      <c r="CV79" s="902" t="s">
        <v>758</v>
      </c>
      <c r="CW79" s="902">
        <v>0</v>
      </c>
      <c r="CX79" s="902" t="s">
        <v>760</v>
      </c>
      <c r="CY79" s="949">
        <v>0</v>
      </c>
      <c r="CZ79" s="949">
        <v>1</v>
      </c>
      <c r="DA79" s="949">
        <v>0</v>
      </c>
      <c r="DB79" s="949">
        <v>0</v>
      </c>
      <c r="DC79" s="949">
        <v>0</v>
      </c>
      <c r="DD79" s="949">
        <v>0.38</v>
      </c>
      <c r="DE79" s="949">
        <v>0.5</v>
      </c>
      <c r="DF79" s="922">
        <v>325754001875</v>
      </c>
      <c r="DG79" s="892" t="e">
        <f>VLOOKUP(DF79,#REF!,3,0)</f>
        <v>#REF!</v>
      </c>
    </row>
    <row r="80" spans="1:111" ht="24.95" customHeight="1" x14ac:dyDescent="0.2">
      <c r="A80" s="804" t="s">
        <v>94</v>
      </c>
      <c r="B80" s="1" t="s">
        <v>123</v>
      </c>
      <c r="C80" s="328">
        <v>6</v>
      </c>
      <c r="D80" s="328">
        <v>47</v>
      </c>
      <c r="E80" s="328">
        <v>8</v>
      </c>
      <c r="F80" s="333">
        <v>7.0000000000000007E-2</v>
      </c>
      <c r="G80" s="333">
        <v>0.53</v>
      </c>
      <c r="H80" s="333">
        <v>0.4</v>
      </c>
      <c r="I80" s="333">
        <v>0</v>
      </c>
      <c r="J80" s="333">
        <v>0.57999999999999996</v>
      </c>
      <c r="K80" s="333">
        <v>0.54</v>
      </c>
      <c r="L80" s="333">
        <v>0.6</v>
      </c>
      <c r="M80" s="328">
        <v>46</v>
      </c>
      <c r="N80" s="328">
        <v>9</v>
      </c>
      <c r="O80" s="331">
        <v>0.14000000000000001</v>
      </c>
      <c r="P80" s="331">
        <v>0.56999999999999995</v>
      </c>
      <c r="Q80" s="331">
        <v>0.28999999999999998</v>
      </c>
      <c r="R80" s="331">
        <v>0</v>
      </c>
      <c r="S80" s="331">
        <v>0.55000000000000004</v>
      </c>
      <c r="T80" s="331">
        <v>0.54</v>
      </c>
      <c r="U80" s="331">
        <v>0.52</v>
      </c>
      <c r="V80" s="328">
        <v>48</v>
      </c>
      <c r="W80" s="328">
        <v>7</v>
      </c>
      <c r="X80" s="333">
        <v>0</v>
      </c>
      <c r="Y80" s="333">
        <v>0.63</v>
      </c>
      <c r="Z80" s="333">
        <v>0.38</v>
      </c>
      <c r="AA80" s="333">
        <v>0</v>
      </c>
      <c r="AB80" s="333">
        <v>0.57999999999999996</v>
      </c>
      <c r="AC80" s="333">
        <v>0.4</v>
      </c>
      <c r="AD80" s="333">
        <v>0.61</v>
      </c>
      <c r="AE80" s="328">
        <v>51</v>
      </c>
      <c r="AF80" s="328">
        <v>15</v>
      </c>
      <c r="AG80" s="333">
        <v>0.18</v>
      </c>
      <c r="AH80" s="333">
        <v>0.27</v>
      </c>
      <c r="AI80" s="333">
        <v>0.36</v>
      </c>
      <c r="AJ80" s="333">
        <v>0.18</v>
      </c>
      <c r="AK80" s="333">
        <v>0.5</v>
      </c>
      <c r="AL80" s="333">
        <v>0.51</v>
      </c>
      <c r="AM80" s="333">
        <v>0.37</v>
      </c>
      <c r="AN80" s="45">
        <v>45</v>
      </c>
      <c r="AO80" s="45">
        <v>10</v>
      </c>
      <c r="AP80" s="46">
        <v>0.18</v>
      </c>
      <c r="AQ80" s="46">
        <v>0.45</v>
      </c>
      <c r="AR80" s="46">
        <v>0.36</v>
      </c>
      <c r="AS80" s="46">
        <v>0</v>
      </c>
      <c r="AT80" s="46">
        <v>0.43</v>
      </c>
      <c r="AU80" s="46">
        <v>0.59</v>
      </c>
      <c r="AV80" s="46">
        <v>0.57999999999999996</v>
      </c>
      <c r="AW80" s="312">
        <v>48</v>
      </c>
      <c r="AX80" s="312" t="s">
        <v>758</v>
      </c>
      <c r="AY80" s="312">
        <v>7</v>
      </c>
      <c r="AZ80" s="312" t="s">
        <v>758</v>
      </c>
      <c r="BA80" s="332">
        <v>7.0000000000000007E-2</v>
      </c>
      <c r="BB80" s="332">
        <v>0.53</v>
      </c>
      <c r="BC80" s="332">
        <v>0.4</v>
      </c>
      <c r="BD80" s="332">
        <v>0</v>
      </c>
      <c r="BE80" s="332">
        <v>0.38</v>
      </c>
      <c r="BF80" s="332">
        <v>0.56999999999999995</v>
      </c>
      <c r="BG80" s="332">
        <v>0.55000000000000004</v>
      </c>
      <c r="BH80" s="309">
        <v>47</v>
      </c>
      <c r="BI80" s="309" t="s">
        <v>758</v>
      </c>
      <c r="BJ80" s="309">
        <v>12</v>
      </c>
      <c r="BK80" s="309" t="s">
        <v>758</v>
      </c>
      <c r="BL80" s="464"/>
      <c r="BM80" s="464"/>
      <c r="BN80" s="464"/>
      <c r="BO80" s="327">
        <v>0.2</v>
      </c>
      <c r="BP80" s="327">
        <v>0.3</v>
      </c>
      <c r="BQ80" s="327">
        <v>0.5</v>
      </c>
      <c r="BR80" s="327">
        <v>0</v>
      </c>
      <c r="BS80" s="327">
        <v>0.65</v>
      </c>
      <c r="BT80" s="327">
        <v>0.65</v>
      </c>
      <c r="BU80" s="476"/>
      <c r="BV80" s="476"/>
      <c r="BW80" s="476"/>
      <c r="BX80" s="327">
        <v>0.41</v>
      </c>
      <c r="BY80" s="424">
        <v>44</v>
      </c>
      <c r="BZ80" s="424" t="s">
        <v>760</v>
      </c>
      <c r="CA80" s="424">
        <v>9</v>
      </c>
      <c r="CB80" s="424" t="s">
        <v>758</v>
      </c>
      <c r="CC80" s="428">
        <v>7.0000000000000007E-2</v>
      </c>
      <c r="CD80" s="428">
        <v>0.73</v>
      </c>
      <c r="CE80" s="428">
        <v>0.2</v>
      </c>
      <c r="CF80" s="428">
        <v>0</v>
      </c>
      <c r="CG80" s="428">
        <v>0.78</v>
      </c>
      <c r="CH80" s="428">
        <v>0.53</v>
      </c>
      <c r="CI80" s="428">
        <v>0.63</v>
      </c>
      <c r="CJ80" s="464">
        <v>46</v>
      </c>
      <c r="CK80" s="464" t="s">
        <v>760</v>
      </c>
      <c r="CL80" s="464">
        <v>11</v>
      </c>
      <c r="CM80" s="464" t="s">
        <v>758</v>
      </c>
      <c r="CN80" s="476">
        <v>0.2</v>
      </c>
      <c r="CO80" s="476">
        <v>0.36</v>
      </c>
      <c r="CP80" s="476">
        <v>0.44</v>
      </c>
      <c r="CQ80" s="476">
        <v>0</v>
      </c>
      <c r="CR80" s="476">
        <v>0.66</v>
      </c>
      <c r="CS80" s="476">
        <v>0.65</v>
      </c>
      <c r="CT80" s="476">
        <v>0.48</v>
      </c>
      <c r="CU80" s="902">
        <v>50</v>
      </c>
      <c r="CV80" s="902" t="s">
        <v>758</v>
      </c>
      <c r="CW80" s="902">
        <v>11</v>
      </c>
      <c r="CX80" s="902" t="s">
        <v>758</v>
      </c>
      <c r="CY80" s="949">
        <v>7.0000000000000007E-2</v>
      </c>
      <c r="CZ80" s="949">
        <v>0.48</v>
      </c>
      <c r="DA80" s="949">
        <v>0.45</v>
      </c>
      <c r="DB80" s="949">
        <v>0</v>
      </c>
      <c r="DC80" s="949">
        <v>0.7</v>
      </c>
      <c r="DD80" s="949">
        <v>0.54</v>
      </c>
      <c r="DE80" s="949">
        <v>0.44</v>
      </c>
      <c r="DF80" s="922">
        <v>325754001221</v>
      </c>
      <c r="DG80" s="892" t="e">
        <f>VLOOKUP(DF80,#REF!,3,0)</f>
        <v>#REF!</v>
      </c>
    </row>
    <row r="81" spans="1:111" ht="24.95" customHeight="1" x14ac:dyDescent="0.2">
      <c r="A81" s="803" t="s">
        <v>132</v>
      </c>
      <c r="B81" s="1" t="s">
        <v>123</v>
      </c>
      <c r="C81" s="12">
        <v>2</v>
      </c>
      <c r="D81" s="12"/>
      <c r="E81" s="12"/>
      <c r="F81" s="12"/>
      <c r="G81" s="12"/>
      <c r="H81" s="12"/>
      <c r="I81" s="12"/>
      <c r="J81" s="12"/>
      <c r="K81" s="12"/>
      <c r="L81" s="12"/>
      <c r="M81" s="12">
        <v>56</v>
      </c>
      <c r="N81" s="12">
        <v>9</v>
      </c>
      <c r="O81" s="40">
        <v>0</v>
      </c>
      <c r="P81" s="40">
        <v>0.21</v>
      </c>
      <c r="Q81" s="40">
        <v>0.79</v>
      </c>
      <c r="R81" s="40">
        <v>0</v>
      </c>
      <c r="S81" s="40">
        <v>0.43</v>
      </c>
      <c r="T81" s="40">
        <v>0.49</v>
      </c>
      <c r="U81" s="40">
        <v>0.3</v>
      </c>
      <c r="V81" s="12">
        <v>58</v>
      </c>
      <c r="W81" s="12">
        <v>7</v>
      </c>
      <c r="X81" s="66">
        <v>0</v>
      </c>
      <c r="Y81" s="66">
        <v>0.14000000000000001</v>
      </c>
      <c r="Z81" s="66">
        <v>0.86</v>
      </c>
      <c r="AA81" s="66">
        <v>0</v>
      </c>
      <c r="AB81" s="66">
        <v>0.35</v>
      </c>
      <c r="AC81" s="66">
        <v>0.32</v>
      </c>
      <c r="AD81" s="66">
        <v>0.41</v>
      </c>
      <c r="AE81" s="12">
        <v>59</v>
      </c>
      <c r="AF81" s="12">
        <v>9</v>
      </c>
      <c r="AG81" s="66">
        <v>0</v>
      </c>
      <c r="AH81" s="66">
        <v>0.19</v>
      </c>
      <c r="AI81" s="66">
        <v>0.69</v>
      </c>
      <c r="AJ81" s="66">
        <v>0.13</v>
      </c>
      <c r="AK81" s="66">
        <v>0.47</v>
      </c>
      <c r="AL81" s="66">
        <v>0.36</v>
      </c>
      <c r="AM81" s="66">
        <v>0.15</v>
      </c>
      <c r="AN81" s="45">
        <v>63</v>
      </c>
      <c r="AO81" s="45">
        <v>9</v>
      </c>
      <c r="AP81" s="46">
        <v>0</v>
      </c>
      <c r="AQ81" s="46">
        <v>0.06</v>
      </c>
      <c r="AR81" s="46">
        <v>0.81</v>
      </c>
      <c r="AS81" s="46">
        <v>0.13</v>
      </c>
      <c r="AT81" s="46">
        <v>0.16</v>
      </c>
      <c r="AU81" s="46">
        <v>0.28999999999999998</v>
      </c>
      <c r="AV81" s="46">
        <v>0.42</v>
      </c>
      <c r="AW81" s="246">
        <v>65</v>
      </c>
      <c r="AX81" s="246" t="s">
        <v>759</v>
      </c>
      <c r="AY81" s="246">
        <v>7</v>
      </c>
      <c r="AZ81" s="246" t="s">
        <v>758</v>
      </c>
      <c r="BA81" s="263">
        <v>0</v>
      </c>
      <c r="BB81" s="263">
        <v>0.05</v>
      </c>
      <c r="BC81" s="263">
        <v>0.75</v>
      </c>
      <c r="BD81" s="263">
        <v>0.2</v>
      </c>
      <c r="BE81" s="263">
        <v>0.14000000000000001</v>
      </c>
      <c r="BF81" s="263">
        <v>0.24</v>
      </c>
      <c r="BG81" s="263">
        <v>0.25</v>
      </c>
      <c r="BH81" s="74">
        <v>64</v>
      </c>
      <c r="BI81" s="74" t="s">
        <v>759</v>
      </c>
      <c r="BJ81" s="74">
        <v>10</v>
      </c>
      <c r="BK81" s="74" t="s">
        <v>758</v>
      </c>
      <c r="BL81" s="74"/>
      <c r="BM81" s="74"/>
      <c r="BN81" s="74"/>
      <c r="BO81" s="96">
        <v>0</v>
      </c>
      <c r="BP81" s="96">
        <v>0.04</v>
      </c>
      <c r="BQ81" s="96">
        <v>0.81</v>
      </c>
      <c r="BR81" s="96">
        <v>0.15</v>
      </c>
      <c r="BS81" s="96">
        <v>0.31</v>
      </c>
      <c r="BT81" s="96">
        <v>0.34</v>
      </c>
      <c r="BU81" s="96"/>
      <c r="BV81" s="96"/>
      <c r="BW81" s="96"/>
      <c r="BX81" s="96">
        <v>0.24</v>
      </c>
      <c r="BY81" s="652">
        <v>64</v>
      </c>
      <c r="BZ81" s="652" t="s">
        <v>759</v>
      </c>
      <c r="CA81" s="652">
        <v>8</v>
      </c>
      <c r="CB81" s="652" t="s">
        <v>758</v>
      </c>
      <c r="CC81" s="653">
        <v>0</v>
      </c>
      <c r="CD81" s="653">
        <v>0.03</v>
      </c>
      <c r="CE81" s="653">
        <v>0.72</v>
      </c>
      <c r="CF81" s="653">
        <v>0.24</v>
      </c>
      <c r="CG81" s="653">
        <v>0.42</v>
      </c>
      <c r="CH81" s="653">
        <v>0.23</v>
      </c>
      <c r="CI81" s="653">
        <v>0.31</v>
      </c>
      <c r="CJ81" s="74">
        <v>68</v>
      </c>
      <c r="CK81" s="74" t="s">
        <v>759</v>
      </c>
      <c r="CL81" s="74">
        <v>5</v>
      </c>
      <c r="CM81" s="74" t="s">
        <v>760</v>
      </c>
      <c r="CN81" s="96">
        <v>0</v>
      </c>
      <c r="CO81" s="96">
        <v>0</v>
      </c>
      <c r="CP81" s="96">
        <v>0.63</v>
      </c>
      <c r="CQ81" s="96">
        <v>0.37</v>
      </c>
      <c r="CR81" s="96">
        <v>0.25</v>
      </c>
      <c r="CS81" s="96">
        <v>0.24</v>
      </c>
      <c r="CT81" s="96">
        <v>0.17</v>
      </c>
      <c r="CU81" s="902">
        <v>65</v>
      </c>
      <c r="CV81" s="902" t="s">
        <v>759</v>
      </c>
      <c r="CW81" s="902">
        <v>7</v>
      </c>
      <c r="CX81" s="902" t="s">
        <v>760</v>
      </c>
      <c r="CY81" s="949">
        <v>0</v>
      </c>
      <c r="CZ81" s="949">
        <v>0</v>
      </c>
      <c r="DA81" s="949">
        <v>0.68</v>
      </c>
      <c r="DB81" s="949">
        <v>0.32</v>
      </c>
      <c r="DC81" s="949">
        <v>0.41</v>
      </c>
      <c r="DD81" s="949">
        <v>0.25</v>
      </c>
      <c r="DE81" s="949">
        <v>0.23</v>
      </c>
      <c r="DF81" s="922">
        <v>325754003169</v>
      </c>
      <c r="DG81" s="892" t="e">
        <f>VLOOKUP(DF81,#REF!,3,0)</f>
        <v>#REF!</v>
      </c>
    </row>
    <row r="82" spans="1:111" ht="24.95" customHeight="1" x14ac:dyDescent="0.2">
      <c r="A82" s="803" t="s">
        <v>30</v>
      </c>
      <c r="B82" s="1" t="s">
        <v>123</v>
      </c>
      <c r="C82" s="12">
        <v>6</v>
      </c>
      <c r="D82" s="12">
        <v>57</v>
      </c>
      <c r="E82" s="12">
        <v>9</v>
      </c>
      <c r="F82" s="66">
        <v>0</v>
      </c>
      <c r="G82" s="66">
        <v>0.21</v>
      </c>
      <c r="H82" s="66">
        <v>0.76</v>
      </c>
      <c r="I82" s="66">
        <v>0.03</v>
      </c>
      <c r="J82" s="66">
        <v>0.47</v>
      </c>
      <c r="K82" s="66">
        <v>0.37</v>
      </c>
      <c r="L82" s="66">
        <v>0.46</v>
      </c>
      <c r="M82" s="12">
        <v>52</v>
      </c>
      <c r="N82" s="12">
        <v>11</v>
      </c>
      <c r="O82" s="40">
        <v>0.13</v>
      </c>
      <c r="P82" s="40">
        <v>0.25</v>
      </c>
      <c r="Q82" s="40">
        <v>0.54</v>
      </c>
      <c r="R82" s="40">
        <v>0.08</v>
      </c>
      <c r="S82" s="40">
        <v>0.48</v>
      </c>
      <c r="T82" s="40">
        <v>0.55000000000000004</v>
      </c>
      <c r="U82" s="40">
        <v>0.3</v>
      </c>
      <c r="V82" s="12">
        <v>56</v>
      </c>
      <c r="W82" s="12">
        <v>10</v>
      </c>
      <c r="X82" s="66">
        <v>0</v>
      </c>
      <c r="Y82" s="66">
        <v>0.31</v>
      </c>
      <c r="Z82" s="66">
        <v>0.67</v>
      </c>
      <c r="AA82" s="66">
        <v>0.03</v>
      </c>
      <c r="AB82" s="66">
        <v>0.44</v>
      </c>
      <c r="AC82" s="66">
        <v>0.32</v>
      </c>
      <c r="AD82" s="66">
        <v>0.43</v>
      </c>
      <c r="AE82" s="12">
        <v>57</v>
      </c>
      <c r="AF82" s="12">
        <v>10</v>
      </c>
      <c r="AG82" s="66">
        <v>0</v>
      </c>
      <c r="AH82" s="66">
        <v>0.27</v>
      </c>
      <c r="AI82" s="66">
        <v>0.63</v>
      </c>
      <c r="AJ82" s="66">
        <v>0.1</v>
      </c>
      <c r="AK82" s="66">
        <v>0.43</v>
      </c>
      <c r="AL82" s="66">
        <v>0.38</v>
      </c>
      <c r="AM82" s="66">
        <v>0.23</v>
      </c>
      <c r="AN82" s="35">
        <v>58</v>
      </c>
      <c r="AO82" s="35">
        <v>8</v>
      </c>
      <c r="AP82" s="40">
        <v>0</v>
      </c>
      <c r="AQ82" s="40">
        <v>0.19</v>
      </c>
      <c r="AR82" s="40">
        <v>0.77</v>
      </c>
      <c r="AS82" s="40">
        <v>0.04</v>
      </c>
      <c r="AT82" s="40">
        <v>0.2</v>
      </c>
      <c r="AU82" s="40">
        <v>0.39</v>
      </c>
      <c r="AV82" s="40">
        <v>0.44</v>
      </c>
      <c r="AW82" s="246">
        <v>57</v>
      </c>
      <c r="AX82" s="246" t="s">
        <v>758</v>
      </c>
      <c r="AY82" s="246">
        <v>9</v>
      </c>
      <c r="AZ82" s="246" t="s">
        <v>758</v>
      </c>
      <c r="BA82" s="263">
        <v>0</v>
      </c>
      <c r="BB82" s="263">
        <v>0.25</v>
      </c>
      <c r="BC82" s="263">
        <v>0.68</v>
      </c>
      <c r="BD82" s="263">
        <v>7.0000000000000007E-2</v>
      </c>
      <c r="BE82" s="263">
        <v>0.22</v>
      </c>
      <c r="BF82" s="263">
        <v>0.4</v>
      </c>
      <c r="BG82" s="263">
        <v>0.43</v>
      </c>
      <c r="BH82" s="309">
        <v>62</v>
      </c>
      <c r="BI82" s="309" t="s">
        <v>759</v>
      </c>
      <c r="BJ82" s="309">
        <v>8</v>
      </c>
      <c r="BK82" s="309" t="s">
        <v>758</v>
      </c>
      <c r="BL82" s="464"/>
      <c r="BM82" s="464"/>
      <c r="BN82" s="464"/>
      <c r="BO82" s="327">
        <v>0</v>
      </c>
      <c r="BP82" s="327">
        <v>7.0000000000000007E-2</v>
      </c>
      <c r="BQ82" s="327">
        <v>0.76</v>
      </c>
      <c r="BR82" s="327">
        <v>0.17</v>
      </c>
      <c r="BS82" s="327">
        <v>0.28000000000000003</v>
      </c>
      <c r="BT82" s="327">
        <v>0.41</v>
      </c>
      <c r="BU82" s="476"/>
      <c r="BV82" s="476"/>
      <c r="BW82" s="476"/>
      <c r="BX82" s="327">
        <v>0.25</v>
      </c>
      <c r="BY82" s="424">
        <v>62</v>
      </c>
      <c r="BZ82" s="424" t="s">
        <v>759</v>
      </c>
      <c r="CA82" s="424">
        <v>9</v>
      </c>
      <c r="CB82" s="424" t="s">
        <v>758</v>
      </c>
      <c r="CC82" s="428">
        <v>0</v>
      </c>
      <c r="CD82" s="428">
        <v>0.03</v>
      </c>
      <c r="CE82" s="428">
        <v>0.83</v>
      </c>
      <c r="CF82" s="428">
        <v>0.14000000000000001</v>
      </c>
      <c r="CG82" s="428">
        <v>0.53</v>
      </c>
      <c r="CH82" s="428">
        <v>0.26</v>
      </c>
      <c r="CI82" s="428">
        <v>0.41</v>
      </c>
      <c r="CJ82" s="464">
        <v>58</v>
      </c>
      <c r="CK82" s="464" t="s">
        <v>758</v>
      </c>
      <c r="CL82" s="464">
        <v>10</v>
      </c>
      <c r="CM82" s="464" t="s">
        <v>758</v>
      </c>
      <c r="CN82" s="476">
        <v>0</v>
      </c>
      <c r="CO82" s="476">
        <v>0.26</v>
      </c>
      <c r="CP82" s="476">
        <v>0.61</v>
      </c>
      <c r="CQ82" s="476">
        <v>0.13</v>
      </c>
      <c r="CR82" s="476">
        <v>0.44</v>
      </c>
      <c r="CS82" s="476">
        <v>0.42</v>
      </c>
      <c r="CT82" s="476">
        <v>0.31</v>
      </c>
      <c r="CU82" s="902">
        <v>61</v>
      </c>
      <c r="CV82" s="902" t="s">
        <v>758</v>
      </c>
      <c r="CW82" s="902">
        <v>6</v>
      </c>
      <c r="CX82" s="902" t="s">
        <v>760</v>
      </c>
      <c r="CY82" s="949">
        <v>0</v>
      </c>
      <c r="CZ82" s="949">
        <v>0</v>
      </c>
      <c r="DA82" s="949">
        <v>0.95</v>
      </c>
      <c r="DB82" s="949">
        <v>0.05</v>
      </c>
      <c r="DC82" s="949">
        <v>0.47</v>
      </c>
      <c r="DD82" s="949">
        <v>0.31</v>
      </c>
      <c r="DE82" s="949">
        <v>0.28000000000000003</v>
      </c>
      <c r="DF82" s="922">
        <v>325754001212</v>
      </c>
      <c r="DG82" s="892" t="e">
        <f>VLOOKUP(DF82,#REF!,3,0)</f>
        <v>#REF!</v>
      </c>
    </row>
    <row r="83" spans="1:111" ht="24.95" customHeight="1" x14ac:dyDescent="0.2">
      <c r="A83" s="803" t="s">
        <v>800</v>
      </c>
      <c r="B83" s="14" t="s">
        <v>123</v>
      </c>
      <c r="C83" s="12">
        <v>3</v>
      </c>
      <c r="D83" s="12"/>
      <c r="E83" s="12"/>
      <c r="F83" s="66"/>
      <c r="G83" s="66"/>
      <c r="H83" s="66"/>
      <c r="I83" s="66"/>
      <c r="J83" s="66"/>
      <c r="K83" s="66"/>
      <c r="L83" s="66"/>
      <c r="M83" s="12"/>
      <c r="N83" s="12"/>
      <c r="O83" s="40"/>
      <c r="P83" s="40"/>
      <c r="Q83" s="40"/>
      <c r="R83" s="40"/>
      <c r="S83" s="40"/>
      <c r="T83" s="40"/>
      <c r="U83" s="40"/>
      <c r="V83" s="12"/>
      <c r="W83" s="12"/>
      <c r="X83" s="66"/>
      <c r="Y83" s="66"/>
      <c r="Z83" s="66"/>
      <c r="AA83" s="66"/>
      <c r="AB83" s="66"/>
      <c r="AC83" s="66"/>
      <c r="AD83" s="66"/>
      <c r="AE83" s="12"/>
      <c r="AF83" s="12"/>
      <c r="AG83" s="66"/>
      <c r="AH83" s="66"/>
      <c r="AI83" s="66"/>
      <c r="AJ83" s="66"/>
      <c r="AK83" s="66"/>
      <c r="AL83" s="66"/>
      <c r="AM83" s="66"/>
      <c r="AN83" s="35"/>
      <c r="AO83" s="35"/>
      <c r="AP83" s="40"/>
      <c r="AQ83" s="40"/>
      <c r="AR83" s="40"/>
      <c r="AS83" s="40"/>
      <c r="AT83" s="40"/>
      <c r="AU83" s="40"/>
      <c r="AV83" s="40"/>
      <c r="AW83" s="246"/>
      <c r="AX83" s="246"/>
      <c r="AY83" s="246"/>
      <c r="AZ83" s="246"/>
      <c r="BA83" s="263"/>
      <c r="BB83" s="263"/>
      <c r="BC83" s="263"/>
      <c r="BD83" s="263"/>
      <c r="BE83" s="263"/>
      <c r="BF83" s="263"/>
      <c r="BG83" s="263"/>
      <c r="BH83" s="309">
        <v>57</v>
      </c>
      <c r="BI83" s="309" t="s">
        <v>758</v>
      </c>
      <c r="BJ83" s="309">
        <v>11</v>
      </c>
      <c r="BK83" s="309" t="s">
        <v>758</v>
      </c>
      <c r="BL83" s="464"/>
      <c r="BM83" s="464"/>
      <c r="BN83" s="464"/>
      <c r="BO83" s="327">
        <v>0</v>
      </c>
      <c r="BP83" s="327">
        <v>0.28999999999999998</v>
      </c>
      <c r="BQ83" s="327">
        <v>0.5</v>
      </c>
      <c r="BR83" s="327">
        <v>0.21</v>
      </c>
      <c r="BS83" s="327">
        <v>0.39</v>
      </c>
      <c r="BT83" s="327">
        <v>0.41</v>
      </c>
      <c r="BU83" s="476"/>
      <c r="BV83" s="476"/>
      <c r="BW83" s="476"/>
      <c r="BX83" s="327">
        <v>0.18</v>
      </c>
      <c r="BY83" s="424">
        <v>50</v>
      </c>
      <c r="BZ83" s="424" t="s">
        <v>758</v>
      </c>
      <c r="CA83" s="424">
        <v>11</v>
      </c>
      <c r="CB83" s="424" t="s">
        <v>758</v>
      </c>
      <c r="CC83" s="428">
        <v>0.1</v>
      </c>
      <c r="CD83" s="428">
        <v>0.4</v>
      </c>
      <c r="CE83" s="428">
        <v>0.45</v>
      </c>
      <c r="CF83" s="428">
        <v>0.05</v>
      </c>
      <c r="CG83" s="428">
        <v>0.65</v>
      </c>
      <c r="CH83" s="428">
        <v>0.28999999999999998</v>
      </c>
      <c r="CI83" s="428">
        <v>0.57999999999999996</v>
      </c>
      <c r="CJ83" s="464">
        <v>54</v>
      </c>
      <c r="CK83" s="464" t="s">
        <v>758</v>
      </c>
      <c r="CL83" s="464">
        <v>10</v>
      </c>
      <c r="CM83" s="464" t="s">
        <v>758</v>
      </c>
      <c r="CN83" s="476">
        <v>0.05</v>
      </c>
      <c r="CO83" s="476">
        <v>0.35</v>
      </c>
      <c r="CP83" s="476">
        <v>0.6</v>
      </c>
      <c r="CQ83" s="476">
        <v>0</v>
      </c>
      <c r="CR83" s="476">
        <v>0.55000000000000004</v>
      </c>
      <c r="CS83" s="476">
        <v>0.51</v>
      </c>
      <c r="CT83" s="476">
        <v>0.44</v>
      </c>
      <c r="CU83" s="902">
        <v>54</v>
      </c>
      <c r="CV83" s="902" t="s">
        <v>758</v>
      </c>
      <c r="CW83" s="902">
        <v>9</v>
      </c>
      <c r="CX83" s="902" t="s">
        <v>758</v>
      </c>
      <c r="CY83" s="949">
        <v>0</v>
      </c>
      <c r="CZ83" s="949">
        <v>0.25</v>
      </c>
      <c r="DA83" s="949">
        <v>0.75</v>
      </c>
      <c r="DB83" s="949">
        <v>0</v>
      </c>
      <c r="DC83" s="949">
        <v>0.53</v>
      </c>
      <c r="DD83" s="949">
        <v>0.48</v>
      </c>
      <c r="DE83" s="949">
        <v>0.3</v>
      </c>
      <c r="DF83" s="922">
        <v>325754004335</v>
      </c>
      <c r="DG83" s="892" t="e">
        <f>VLOOKUP(DF83,#REF!,3,0)</f>
        <v>#REF!</v>
      </c>
    </row>
    <row r="84" spans="1:111" ht="24.95" customHeight="1" x14ac:dyDescent="0.2">
      <c r="A84" s="803" t="s">
        <v>957</v>
      </c>
      <c r="B84" s="14" t="s">
        <v>123</v>
      </c>
      <c r="C84" s="812">
        <v>4</v>
      </c>
      <c r="D84" s="812"/>
      <c r="E84" s="812"/>
      <c r="F84" s="812"/>
      <c r="G84" s="812"/>
      <c r="H84" s="812"/>
      <c r="I84" s="812"/>
      <c r="J84" s="812"/>
      <c r="K84" s="812"/>
      <c r="L84" s="812"/>
      <c r="M84" s="812"/>
      <c r="N84" s="812"/>
      <c r="O84" s="812"/>
      <c r="P84" s="812"/>
      <c r="Q84" s="812"/>
      <c r="R84" s="812"/>
      <c r="S84" s="812"/>
      <c r="T84" s="812"/>
      <c r="U84" s="812"/>
      <c r="V84" s="812"/>
      <c r="W84" s="812"/>
      <c r="X84" s="812"/>
      <c r="Y84" s="812"/>
      <c r="Z84" s="812"/>
      <c r="AA84" s="812"/>
      <c r="AB84" s="812"/>
      <c r="AC84" s="812"/>
      <c r="AD84" s="812"/>
      <c r="AE84" s="812"/>
      <c r="AF84" s="812"/>
      <c r="AG84" s="812"/>
      <c r="AH84" s="812"/>
      <c r="AI84" s="812"/>
      <c r="AJ84" s="812"/>
      <c r="AK84" s="812"/>
      <c r="AL84" s="812"/>
      <c r="AM84" s="812"/>
      <c r="AN84" s="812"/>
      <c r="AO84" s="812"/>
      <c r="AP84" s="812"/>
      <c r="AQ84" s="812"/>
      <c r="AR84" s="812"/>
      <c r="AS84" s="812"/>
      <c r="AT84" s="812"/>
      <c r="AU84" s="812"/>
      <c r="AV84" s="812"/>
      <c r="AW84" s="812"/>
      <c r="AX84" s="812"/>
      <c r="AY84" s="812"/>
      <c r="AZ84" s="812"/>
      <c r="BA84" s="812"/>
      <c r="BB84" s="812"/>
      <c r="BC84" s="812"/>
      <c r="BD84" s="812"/>
      <c r="BE84" s="812"/>
      <c r="BF84" s="812"/>
      <c r="BG84" s="812"/>
      <c r="BH84" s="812"/>
      <c r="BI84" s="812"/>
      <c r="BJ84" s="812"/>
      <c r="BK84" s="812"/>
      <c r="BL84" s="812"/>
      <c r="BM84" s="812"/>
      <c r="BN84" s="812"/>
      <c r="BO84" s="812"/>
      <c r="BP84" s="812"/>
      <c r="BQ84" s="812"/>
      <c r="BR84" s="812"/>
      <c r="BS84" s="812"/>
      <c r="BT84" s="812"/>
      <c r="BU84" s="812"/>
      <c r="BV84" s="812"/>
      <c r="BW84" s="812"/>
      <c r="BX84" s="812"/>
      <c r="BY84" s="812"/>
      <c r="BZ84" s="812"/>
      <c r="CA84" s="812"/>
      <c r="CB84" s="812"/>
      <c r="CC84" s="812"/>
      <c r="CD84" s="812"/>
      <c r="CE84" s="812"/>
      <c r="CF84" s="812"/>
      <c r="CG84" s="812"/>
      <c r="CH84" s="812"/>
      <c r="CI84" s="812"/>
      <c r="CJ84" s="812"/>
      <c r="CK84" s="812"/>
      <c r="CL84" s="812"/>
      <c r="CM84" s="812"/>
      <c r="CN84" s="812"/>
      <c r="CO84" s="812"/>
      <c r="CP84" s="812"/>
      <c r="CQ84" s="812"/>
      <c r="CR84" s="812"/>
      <c r="CS84" s="812"/>
      <c r="CT84" s="812"/>
      <c r="CY84" s="949"/>
      <c r="CZ84" s="949"/>
      <c r="DA84" s="949"/>
      <c r="DB84" s="949"/>
      <c r="DC84" s="949"/>
      <c r="DD84" s="949"/>
      <c r="DE84" s="949"/>
      <c r="DG84" s="892"/>
    </row>
    <row r="85" spans="1:111" ht="24.95" customHeight="1" x14ac:dyDescent="0.2">
      <c r="A85" s="803" t="s">
        <v>63</v>
      </c>
      <c r="B85" s="1" t="s">
        <v>123</v>
      </c>
      <c r="C85" s="12">
        <v>6</v>
      </c>
      <c r="D85" s="12">
        <v>54</v>
      </c>
      <c r="E85" s="12">
        <v>6</v>
      </c>
      <c r="F85" s="66">
        <v>0</v>
      </c>
      <c r="G85" s="66">
        <v>0.4</v>
      </c>
      <c r="H85" s="66">
        <v>0.6</v>
      </c>
      <c r="I85" s="66">
        <v>0</v>
      </c>
      <c r="J85" s="66">
        <v>0.52</v>
      </c>
      <c r="K85" s="66">
        <v>0.44</v>
      </c>
      <c r="L85" s="66">
        <v>0.5</v>
      </c>
      <c r="M85" s="12">
        <v>49</v>
      </c>
      <c r="N85" s="12">
        <v>8</v>
      </c>
      <c r="O85" s="40">
        <v>0</v>
      </c>
      <c r="P85" s="40">
        <v>0.59</v>
      </c>
      <c r="Q85" s="40">
        <v>0.41</v>
      </c>
      <c r="R85" s="40">
        <v>0</v>
      </c>
      <c r="S85" s="40">
        <v>0.51</v>
      </c>
      <c r="T85" s="40">
        <v>0.6</v>
      </c>
      <c r="U85" s="40">
        <v>0.38</v>
      </c>
      <c r="V85" s="12">
        <v>51</v>
      </c>
      <c r="W85" s="12">
        <v>6</v>
      </c>
      <c r="X85" s="66">
        <v>0</v>
      </c>
      <c r="Y85" s="66">
        <v>0.45</v>
      </c>
      <c r="Z85" s="66">
        <v>0.55000000000000004</v>
      </c>
      <c r="AA85" s="66">
        <v>0</v>
      </c>
      <c r="AB85" s="66">
        <v>0.48</v>
      </c>
      <c r="AC85" s="66">
        <v>0.43</v>
      </c>
      <c r="AD85" s="66">
        <v>0.5</v>
      </c>
      <c r="AE85" s="12">
        <v>56</v>
      </c>
      <c r="AF85" s="12">
        <v>8</v>
      </c>
      <c r="AG85" s="66">
        <v>0</v>
      </c>
      <c r="AH85" s="66">
        <v>0.31</v>
      </c>
      <c r="AI85" s="66">
        <v>0.69</v>
      </c>
      <c r="AJ85" s="66">
        <v>0</v>
      </c>
      <c r="AK85" s="66">
        <v>0.47</v>
      </c>
      <c r="AL85" s="66">
        <v>0.41</v>
      </c>
      <c r="AM85" s="66">
        <v>0.24</v>
      </c>
      <c r="AN85" s="35">
        <v>53</v>
      </c>
      <c r="AO85" s="35">
        <v>11</v>
      </c>
      <c r="AP85" s="40">
        <v>0</v>
      </c>
      <c r="AQ85" s="40">
        <v>0.47</v>
      </c>
      <c r="AR85" s="40">
        <v>0.53</v>
      </c>
      <c r="AS85" s="40">
        <v>0</v>
      </c>
      <c r="AT85" s="40">
        <v>0.33</v>
      </c>
      <c r="AU85" s="40">
        <v>0.48</v>
      </c>
      <c r="AV85" s="40">
        <v>0.44</v>
      </c>
      <c r="AW85" s="246">
        <v>54</v>
      </c>
      <c r="AX85" s="246" t="s">
        <v>758</v>
      </c>
      <c r="AY85" s="246">
        <v>9</v>
      </c>
      <c r="AZ85" s="246" t="s">
        <v>758</v>
      </c>
      <c r="BA85" s="263">
        <v>0</v>
      </c>
      <c r="BB85" s="263">
        <v>0.23</v>
      </c>
      <c r="BC85" s="263">
        <v>0.69</v>
      </c>
      <c r="BD85" s="263">
        <v>0.08</v>
      </c>
      <c r="BE85" s="263">
        <v>0.24</v>
      </c>
      <c r="BF85" s="263">
        <v>0.45</v>
      </c>
      <c r="BG85" s="263">
        <v>0.51</v>
      </c>
      <c r="BH85" s="309">
        <v>51</v>
      </c>
      <c r="BI85" s="309" t="s">
        <v>758</v>
      </c>
      <c r="BJ85" s="309">
        <v>10</v>
      </c>
      <c r="BK85" s="309" t="s">
        <v>758</v>
      </c>
      <c r="BL85" s="464"/>
      <c r="BM85" s="464"/>
      <c r="BN85" s="464"/>
      <c r="BO85" s="327">
        <v>0</v>
      </c>
      <c r="BP85" s="327">
        <v>0.7</v>
      </c>
      <c r="BQ85" s="327">
        <v>0.2</v>
      </c>
      <c r="BR85" s="327">
        <v>0.1</v>
      </c>
      <c r="BS85" s="327">
        <v>0.53</v>
      </c>
      <c r="BT85" s="327">
        <v>0.56999999999999995</v>
      </c>
      <c r="BU85" s="476"/>
      <c r="BV85" s="476"/>
      <c r="BW85" s="476"/>
      <c r="BX85" s="327">
        <v>0.43</v>
      </c>
      <c r="BY85" s="424">
        <v>59</v>
      </c>
      <c r="BZ85" s="424" t="s">
        <v>758</v>
      </c>
      <c r="CA85" s="424">
        <v>7</v>
      </c>
      <c r="CB85" s="424" t="s">
        <v>758</v>
      </c>
      <c r="CC85" s="428">
        <v>0</v>
      </c>
      <c r="CD85" s="428">
        <v>0.22</v>
      </c>
      <c r="CE85" s="428">
        <v>0.78</v>
      </c>
      <c r="CF85" s="428">
        <v>0</v>
      </c>
      <c r="CG85" s="428">
        <v>0.57999999999999996</v>
      </c>
      <c r="CH85" s="428">
        <v>0.25</v>
      </c>
      <c r="CI85" s="428">
        <v>0.53</v>
      </c>
      <c r="CJ85" s="641"/>
      <c r="CK85" s="641"/>
      <c r="CL85" s="641"/>
      <c r="CM85" s="641"/>
      <c r="CN85" s="642"/>
      <c r="CO85" s="642"/>
      <c r="CP85" s="642"/>
      <c r="CQ85" s="642"/>
      <c r="CR85" s="642"/>
      <c r="CS85" s="642"/>
      <c r="CT85" s="642"/>
      <c r="CY85" s="949"/>
      <c r="CZ85" s="949"/>
      <c r="DA85" s="949"/>
      <c r="DB85" s="949"/>
      <c r="DC85" s="949"/>
      <c r="DD85" s="949"/>
      <c r="DE85" s="949"/>
      <c r="DG85" s="892"/>
    </row>
    <row r="86" spans="1:111" ht="24.95" customHeight="1" x14ac:dyDescent="0.2">
      <c r="A86" s="804" t="s">
        <v>949</v>
      </c>
      <c r="B86" s="1" t="s">
        <v>123</v>
      </c>
      <c r="C86" s="328">
        <v>5</v>
      </c>
      <c r="D86" s="328"/>
      <c r="E86" s="328"/>
      <c r="F86" s="333"/>
      <c r="G86" s="333"/>
      <c r="H86" s="333"/>
      <c r="I86" s="333"/>
      <c r="J86" s="333"/>
      <c r="K86" s="333"/>
      <c r="L86" s="333"/>
      <c r="M86" s="328"/>
      <c r="N86" s="328"/>
      <c r="O86" s="331"/>
      <c r="P86" s="331"/>
      <c r="Q86" s="331"/>
      <c r="R86" s="331"/>
      <c r="S86" s="331"/>
      <c r="T86" s="331"/>
      <c r="U86" s="331"/>
      <c r="V86" s="328"/>
      <c r="W86" s="328"/>
      <c r="X86" s="333"/>
      <c r="Y86" s="333"/>
      <c r="Z86" s="333"/>
      <c r="AA86" s="333"/>
      <c r="AB86" s="333"/>
      <c r="AC86" s="333"/>
      <c r="AD86" s="333"/>
      <c r="AE86" s="328"/>
      <c r="AF86" s="328"/>
      <c r="AG86" s="333"/>
      <c r="AH86" s="333"/>
      <c r="AI86" s="333"/>
      <c r="AJ86" s="333"/>
      <c r="AK86" s="333"/>
      <c r="AL86" s="333"/>
      <c r="AM86" s="333"/>
      <c r="AN86" s="311"/>
      <c r="AO86" s="311"/>
      <c r="AP86" s="331"/>
      <c r="AQ86" s="331"/>
      <c r="AR86" s="331"/>
      <c r="AS86" s="331"/>
      <c r="AT86" s="331"/>
      <c r="AU86" s="331"/>
      <c r="AV86" s="331"/>
      <c r="AW86" s="312"/>
      <c r="AX86" s="312"/>
      <c r="AY86" s="312"/>
      <c r="AZ86" s="312"/>
      <c r="BA86" s="332"/>
      <c r="BB86" s="332"/>
      <c r="BC86" s="332"/>
      <c r="BD86" s="332"/>
      <c r="BE86" s="332"/>
      <c r="BF86" s="332"/>
      <c r="BG86" s="332"/>
      <c r="BH86" s="309"/>
      <c r="BI86" s="309"/>
      <c r="BJ86" s="309"/>
      <c r="BK86" s="309"/>
      <c r="BL86" s="464"/>
      <c r="BM86" s="464"/>
      <c r="BN86" s="464"/>
      <c r="BO86" s="327"/>
      <c r="BP86" s="327"/>
      <c r="BQ86" s="327"/>
      <c r="BR86" s="327"/>
      <c r="BS86" s="327"/>
      <c r="BT86" s="327"/>
      <c r="BU86" s="476"/>
      <c r="BV86" s="476"/>
      <c r="BW86" s="476"/>
      <c r="BX86" s="327"/>
      <c r="BY86" s="424"/>
      <c r="BZ86" s="424"/>
      <c r="CA86" s="424"/>
      <c r="CB86" s="424"/>
      <c r="CC86" s="428"/>
      <c r="CD86" s="428"/>
      <c r="CE86" s="428"/>
      <c r="CF86" s="428"/>
      <c r="CG86" s="428"/>
      <c r="CH86" s="428"/>
      <c r="CI86" s="428"/>
      <c r="CJ86" s="641">
        <v>49</v>
      </c>
      <c r="CK86" s="641" t="s">
        <v>758</v>
      </c>
      <c r="CL86" s="641">
        <v>12</v>
      </c>
      <c r="CM86" s="641" t="s">
        <v>758</v>
      </c>
      <c r="CN86" s="642">
        <v>0</v>
      </c>
      <c r="CO86" s="642">
        <v>0.67</v>
      </c>
      <c r="CP86" s="642">
        <v>0.33</v>
      </c>
      <c r="CQ86" s="642">
        <v>0</v>
      </c>
      <c r="CR86" s="476">
        <v>0.71</v>
      </c>
      <c r="CS86" s="476">
        <v>0.57999999999999996</v>
      </c>
      <c r="CT86" s="476">
        <v>0.57999999999999996</v>
      </c>
      <c r="CY86" s="949"/>
      <c r="CZ86" s="949"/>
      <c r="DA86" s="949"/>
      <c r="DB86" s="949"/>
      <c r="DC86" s="949"/>
      <c r="DD86" s="949"/>
      <c r="DE86" s="949"/>
      <c r="DG86" s="892"/>
    </row>
    <row r="87" spans="1:111" ht="24.95" customHeight="1" x14ac:dyDescent="0.2">
      <c r="A87" s="803" t="s">
        <v>28</v>
      </c>
      <c r="B87" s="1" t="s">
        <v>123</v>
      </c>
      <c r="C87" s="12">
        <v>6</v>
      </c>
      <c r="D87" s="12">
        <v>56</v>
      </c>
      <c r="E87" s="12">
        <v>10</v>
      </c>
      <c r="F87" s="66">
        <v>0.03</v>
      </c>
      <c r="G87" s="66">
        <v>0.24</v>
      </c>
      <c r="H87" s="66">
        <v>0.7</v>
      </c>
      <c r="I87" s="66">
        <v>0.03</v>
      </c>
      <c r="J87" s="66">
        <v>0.46</v>
      </c>
      <c r="K87" s="66">
        <v>0.42</v>
      </c>
      <c r="L87" s="66">
        <v>0.47</v>
      </c>
      <c r="M87" s="12">
        <v>48</v>
      </c>
      <c r="N87" s="12">
        <v>10</v>
      </c>
      <c r="O87" s="40">
        <v>0.06</v>
      </c>
      <c r="P87" s="40">
        <v>0.55000000000000004</v>
      </c>
      <c r="Q87" s="40">
        <v>0.39</v>
      </c>
      <c r="R87" s="40">
        <v>0</v>
      </c>
      <c r="S87" s="40">
        <v>0.5</v>
      </c>
      <c r="T87" s="40">
        <v>0.61</v>
      </c>
      <c r="U87" s="40">
        <v>0.42</v>
      </c>
      <c r="V87" s="12">
        <v>53</v>
      </c>
      <c r="W87" s="12">
        <v>9</v>
      </c>
      <c r="X87" s="66">
        <v>0.04</v>
      </c>
      <c r="Y87" s="66">
        <v>0.38</v>
      </c>
      <c r="Z87" s="66">
        <v>0.53</v>
      </c>
      <c r="AA87" s="66">
        <v>0.04</v>
      </c>
      <c r="AB87" s="66">
        <v>0.45</v>
      </c>
      <c r="AC87" s="66">
        <v>0.36</v>
      </c>
      <c r="AD87" s="66">
        <v>0.49</v>
      </c>
      <c r="AE87" s="12">
        <v>56</v>
      </c>
      <c r="AF87" s="12">
        <v>11</v>
      </c>
      <c r="AG87" s="66">
        <v>0.11</v>
      </c>
      <c r="AH87" s="66">
        <v>0.21</v>
      </c>
      <c r="AI87" s="66">
        <v>0.63</v>
      </c>
      <c r="AJ87" s="66">
        <v>0.05</v>
      </c>
      <c r="AK87" s="66">
        <v>0.47</v>
      </c>
      <c r="AL87" s="66">
        <v>0.38</v>
      </c>
      <c r="AM87" s="66">
        <v>0.26</v>
      </c>
      <c r="AN87" s="35">
        <v>52</v>
      </c>
      <c r="AO87" s="35">
        <v>8</v>
      </c>
      <c r="AP87" s="40">
        <v>0.03</v>
      </c>
      <c r="AQ87" s="40">
        <v>0.39</v>
      </c>
      <c r="AR87" s="40">
        <v>0.59</v>
      </c>
      <c r="AS87" s="40">
        <v>0</v>
      </c>
      <c r="AT87" s="40">
        <v>0.3</v>
      </c>
      <c r="AU87" s="40">
        <v>0.53</v>
      </c>
      <c r="AV87" s="40">
        <v>0.52</v>
      </c>
      <c r="AW87" s="246">
        <v>50</v>
      </c>
      <c r="AX87" s="246" t="s">
        <v>758</v>
      </c>
      <c r="AY87" s="246">
        <v>9</v>
      </c>
      <c r="AZ87" s="246" t="s">
        <v>758</v>
      </c>
      <c r="BA87" s="263">
        <v>0.09</v>
      </c>
      <c r="BB87" s="263">
        <v>0.39</v>
      </c>
      <c r="BC87" s="263">
        <v>0.51</v>
      </c>
      <c r="BD87" s="263">
        <v>0.01</v>
      </c>
      <c r="BE87" s="263">
        <v>0.28999999999999998</v>
      </c>
      <c r="BF87" s="263">
        <v>0.54</v>
      </c>
      <c r="BG87" s="263">
        <v>0.5</v>
      </c>
      <c r="BH87" s="309">
        <v>52</v>
      </c>
      <c r="BI87" s="309" t="s">
        <v>758</v>
      </c>
      <c r="BJ87" s="309">
        <v>8</v>
      </c>
      <c r="BK87" s="309" t="s">
        <v>758</v>
      </c>
      <c r="BL87" s="464"/>
      <c r="BM87" s="464"/>
      <c r="BN87" s="464"/>
      <c r="BO87" s="327">
        <v>0.03</v>
      </c>
      <c r="BP87" s="327">
        <v>0.37</v>
      </c>
      <c r="BQ87" s="327">
        <v>0.6</v>
      </c>
      <c r="BR87" s="327">
        <v>0</v>
      </c>
      <c r="BS87" s="327">
        <v>0.54</v>
      </c>
      <c r="BT87" s="327">
        <v>0.6</v>
      </c>
      <c r="BU87" s="476"/>
      <c r="BV87" s="476"/>
      <c r="BW87" s="476"/>
      <c r="BX87" s="327">
        <v>0.38</v>
      </c>
      <c r="BY87" s="424">
        <v>51</v>
      </c>
      <c r="BZ87" s="424" t="s">
        <v>758</v>
      </c>
      <c r="CA87" s="424">
        <v>11</v>
      </c>
      <c r="CB87" s="424" t="s">
        <v>758</v>
      </c>
      <c r="CC87" s="428">
        <v>7.0000000000000007E-2</v>
      </c>
      <c r="CD87" s="428">
        <v>0.36</v>
      </c>
      <c r="CE87" s="428">
        <v>0.55000000000000004</v>
      </c>
      <c r="CF87" s="428">
        <v>0.02</v>
      </c>
      <c r="CG87" s="428">
        <v>0.63</v>
      </c>
      <c r="CH87" s="428">
        <v>0.37</v>
      </c>
      <c r="CI87" s="428">
        <v>0.57999999999999996</v>
      </c>
      <c r="CJ87" s="654">
        <v>51</v>
      </c>
      <c r="CK87" s="654" t="s">
        <v>758</v>
      </c>
      <c r="CL87" s="654">
        <v>9</v>
      </c>
      <c r="CM87" s="654" t="s">
        <v>758</v>
      </c>
      <c r="CN87" s="655">
        <v>0.02</v>
      </c>
      <c r="CO87" s="655">
        <v>0.51</v>
      </c>
      <c r="CP87" s="655">
        <v>0.47</v>
      </c>
      <c r="CQ87" s="655">
        <v>0</v>
      </c>
      <c r="CR87" s="655">
        <v>0.57999999999999996</v>
      </c>
      <c r="CS87" s="655">
        <v>0.57999999999999996</v>
      </c>
      <c r="CT87" s="655">
        <v>0.45</v>
      </c>
      <c r="CU87" s="902">
        <v>51</v>
      </c>
      <c r="CV87" s="902" t="s">
        <v>758</v>
      </c>
      <c r="CW87" s="902">
        <v>10</v>
      </c>
      <c r="CX87" s="902" t="s">
        <v>758</v>
      </c>
      <c r="CY87" s="949">
        <v>0.09</v>
      </c>
      <c r="CZ87" s="949">
        <v>0.36</v>
      </c>
      <c r="DA87" s="949">
        <v>0.55000000000000004</v>
      </c>
      <c r="DB87" s="949">
        <v>0</v>
      </c>
      <c r="DC87" s="949">
        <v>0.64</v>
      </c>
      <c r="DD87" s="949">
        <v>0.52</v>
      </c>
      <c r="DE87" s="949">
        <v>0.44</v>
      </c>
      <c r="DF87" s="922">
        <v>325754001859</v>
      </c>
      <c r="DG87" s="892" t="e">
        <f>VLOOKUP(DF87,#REF!,3,0)</f>
        <v>#REF!</v>
      </c>
    </row>
    <row r="88" spans="1:111" ht="24.95" customHeight="1" x14ac:dyDescent="0.2">
      <c r="A88" s="803" t="s">
        <v>101</v>
      </c>
      <c r="B88" s="1" t="s">
        <v>123</v>
      </c>
      <c r="C88" s="12">
        <v>3</v>
      </c>
      <c r="D88" s="12">
        <v>51</v>
      </c>
      <c r="E88" s="12">
        <v>11</v>
      </c>
      <c r="F88" s="66">
        <v>0.13</v>
      </c>
      <c r="G88" s="66">
        <v>0.3</v>
      </c>
      <c r="H88" s="66">
        <v>0.56999999999999995</v>
      </c>
      <c r="I88" s="66">
        <v>0</v>
      </c>
      <c r="J88" s="66">
        <v>0.52</v>
      </c>
      <c r="K88" s="66">
        <v>0.48</v>
      </c>
      <c r="L88" s="66">
        <v>0.53</v>
      </c>
      <c r="M88" s="12">
        <v>51</v>
      </c>
      <c r="N88" s="12">
        <v>10</v>
      </c>
      <c r="O88" s="40">
        <v>0</v>
      </c>
      <c r="P88" s="40">
        <v>0.5</v>
      </c>
      <c r="Q88" s="40">
        <v>0.46</v>
      </c>
      <c r="R88" s="40">
        <v>0.04</v>
      </c>
      <c r="S88" s="40">
        <v>0.5</v>
      </c>
      <c r="T88" s="40">
        <v>0.56000000000000005</v>
      </c>
      <c r="U88" s="40">
        <v>0.34</v>
      </c>
      <c r="V88" s="12">
        <v>50</v>
      </c>
      <c r="W88" s="12">
        <v>10</v>
      </c>
      <c r="X88" s="66">
        <v>0.06</v>
      </c>
      <c r="Y88" s="66">
        <v>0.44</v>
      </c>
      <c r="Z88" s="66">
        <v>0.44</v>
      </c>
      <c r="AA88" s="66">
        <v>0.06</v>
      </c>
      <c r="AB88" s="66">
        <v>0.52</v>
      </c>
      <c r="AC88" s="66">
        <v>0.38</v>
      </c>
      <c r="AD88" s="66">
        <v>0.61</v>
      </c>
      <c r="AE88" s="12">
        <v>48</v>
      </c>
      <c r="AF88" s="12">
        <v>9</v>
      </c>
      <c r="AG88" s="66">
        <v>0.06</v>
      </c>
      <c r="AH88" s="66">
        <v>0.61</v>
      </c>
      <c r="AI88" s="66">
        <v>0.33</v>
      </c>
      <c r="AJ88" s="66">
        <v>0</v>
      </c>
      <c r="AK88" s="66">
        <v>0.57999999999999996</v>
      </c>
      <c r="AL88" s="66">
        <v>0.6</v>
      </c>
      <c r="AM88" s="66">
        <v>0.32</v>
      </c>
      <c r="AN88" s="35">
        <v>56</v>
      </c>
      <c r="AO88" s="35">
        <v>10</v>
      </c>
      <c r="AP88" s="40">
        <v>0</v>
      </c>
      <c r="AQ88" s="40">
        <v>0.4</v>
      </c>
      <c r="AR88" s="40">
        <v>0.5</v>
      </c>
      <c r="AS88" s="40">
        <v>0.1</v>
      </c>
      <c r="AT88" s="40">
        <v>0.22</v>
      </c>
      <c r="AU88" s="40">
        <v>0.47</v>
      </c>
      <c r="AV88" s="40">
        <v>0.44</v>
      </c>
      <c r="AW88" s="246">
        <v>49</v>
      </c>
      <c r="AX88" s="246" t="s">
        <v>758</v>
      </c>
      <c r="AY88" s="246">
        <v>10</v>
      </c>
      <c r="AZ88" s="246" t="s">
        <v>758</v>
      </c>
      <c r="BA88" s="263">
        <v>0.13</v>
      </c>
      <c r="BB88" s="263">
        <v>0.38</v>
      </c>
      <c r="BC88" s="263">
        <v>0.5</v>
      </c>
      <c r="BD88" s="263">
        <v>0</v>
      </c>
      <c r="BE88" s="263">
        <v>0.34</v>
      </c>
      <c r="BF88" s="263">
        <v>0.55000000000000004</v>
      </c>
      <c r="BG88" s="263">
        <v>0.5</v>
      </c>
      <c r="BH88" s="309">
        <v>48</v>
      </c>
      <c r="BI88" s="309" t="s">
        <v>758</v>
      </c>
      <c r="BJ88" s="309">
        <v>12</v>
      </c>
      <c r="BK88" s="309" t="s">
        <v>758</v>
      </c>
      <c r="BL88" s="464"/>
      <c r="BM88" s="464"/>
      <c r="BN88" s="464"/>
      <c r="BO88" s="327">
        <v>0.19</v>
      </c>
      <c r="BP88" s="327">
        <v>0.19</v>
      </c>
      <c r="BQ88" s="327">
        <v>0.56000000000000005</v>
      </c>
      <c r="BR88" s="327">
        <v>0.06</v>
      </c>
      <c r="BS88" s="327">
        <v>0.56000000000000005</v>
      </c>
      <c r="BT88" s="327">
        <v>0.61</v>
      </c>
      <c r="BU88" s="476"/>
      <c r="BV88" s="476"/>
      <c r="BW88" s="476"/>
      <c r="BX88" s="327">
        <v>0.31</v>
      </c>
      <c r="BY88" s="424">
        <v>48</v>
      </c>
      <c r="BZ88" s="424" t="s">
        <v>758</v>
      </c>
      <c r="CA88" s="424">
        <v>10</v>
      </c>
      <c r="CB88" s="424" t="s">
        <v>758</v>
      </c>
      <c r="CC88" s="428">
        <v>0.15</v>
      </c>
      <c r="CD88" s="428">
        <v>0.38</v>
      </c>
      <c r="CE88" s="428">
        <v>0.46</v>
      </c>
      <c r="CF88" s="428">
        <v>0</v>
      </c>
      <c r="CG88" s="428">
        <v>0.73</v>
      </c>
      <c r="CH88" s="428">
        <v>0.42</v>
      </c>
      <c r="CI88" s="428">
        <v>0.64</v>
      </c>
      <c r="CJ88" s="464">
        <v>50</v>
      </c>
      <c r="CK88" s="464" t="s">
        <v>758</v>
      </c>
      <c r="CL88" s="464">
        <v>12</v>
      </c>
      <c r="CM88" s="464" t="s">
        <v>758</v>
      </c>
      <c r="CN88" s="476">
        <v>0.14000000000000001</v>
      </c>
      <c r="CO88" s="476">
        <v>0.33</v>
      </c>
      <c r="CP88" s="476">
        <v>0.48</v>
      </c>
      <c r="CQ88" s="476">
        <v>0.05</v>
      </c>
      <c r="CR88" s="476">
        <v>0.6</v>
      </c>
      <c r="CS88" s="476">
        <v>0.52</v>
      </c>
      <c r="CT88" s="476">
        <v>0.49</v>
      </c>
      <c r="CU88" s="902">
        <v>54</v>
      </c>
      <c r="CV88" s="902" t="s">
        <v>758</v>
      </c>
      <c r="CW88" s="902">
        <v>10</v>
      </c>
      <c r="CX88" s="902" t="s">
        <v>758</v>
      </c>
      <c r="CY88" s="949">
        <v>0.08</v>
      </c>
      <c r="CZ88" s="949">
        <v>0.21</v>
      </c>
      <c r="DA88" s="949">
        <v>0.63</v>
      </c>
      <c r="DB88" s="949">
        <v>0.08</v>
      </c>
      <c r="DC88" s="949">
        <v>0.54</v>
      </c>
      <c r="DD88" s="949">
        <v>0.45</v>
      </c>
      <c r="DE88" s="949">
        <v>0.34</v>
      </c>
      <c r="DF88" s="922">
        <v>325754002782</v>
      </c>
      <c r="DG88" s="892" t="e">
        <f>VLOOKUP(DF88,#REF!,3,0)</f>
        <v>#REF!</v>
      </c>
    </row>
    <row r="89" spans="1:111" ht="24.95" customHeight="1" x14ac:dyDescent="0.2">
      <c r="A89" s="803" t="s">
        <v>64</v>
      </c>
      <c r="B89" s="1" t="s">
        <v>123</v>
      </c>
      <c r="C89" s="12">
        <v>2</v>
      </c>
      <c r="D89" s="12">
        <v>58</v>
      </c>
      <c r="E89" s="12">
        <v>8</v>
      </c>
      <c r="F89" s="66">
        <v>0</v>
      </c>
      <c r="G89" s="66">
        <v>0.12</v>
      </c>
      <c r="H89" s="66">
        <v>0.81</v>
      </c>
      <c r="I89" s="66">
        <v>7.0000000000000007E-2</v>
      </c>
      <c r="J89" s="66">
        <v>0.44</v>
      </c>
      <c r="K89" s="66">
        <v>0.39</v>
      </c>
      <c r="L89" s="66">
        <v>0.45</v>
      </c>
      <c r="M89" s="12">
        <v>57</v>
      </c>
      <c r="N89" s="12">
        <v>8</v>
      </c>
      <c r="O89" s="40">
        <v>0</v>
      </c>
      <c r="P89" s="40">
        <v>0.19</v>
      </c>
      <c r="Q89" s="40">
        <v>0.74</v>
      </c>
      <c r="R89" s="40">
        <v>0.06</v>
      </c>
      <c r="S89" s="40">
        <v>0.41</v>
      </c>
      <c r="T89" s="40">
        <v>0.48</v>
      </c>
      <c r="U89" s="40">
        <v>0.25</v>
      </c>
      <c r="V89" s="12">
        <v>58</v>
      </c>
      <c r="W89" s="12">
        <v>7</v>
      </c>
      <c r="X89" s="66">
        <v>0</v>
      </c>
      <c r="Y89" s="66">
        <v>0.12</v>
      </c>
      <c r="Z89" s="66">
        <v>0.84</v>
      </c>
      <c r="AA89" s="66">
        <v>0.04</v>
      </c>
      <c r="AB89" s="66">
        <v>0.39</v>
      </c>
      <c r="AC89" s="66">
        <v>0.3</v>
      </c>
      <c r="AD89" s="66">
        <v>0.39</v>
      </c>
      <c r="AE89" s="12">
        <v>61</v>
      </c>
      <c r="AF89" s="12">
        <v>8</v>
      </c>
      <c r="AG89" s="66">
        <v>0</v>
      </c>
      <c r="AH89" s="66">
        <v>0.08</v>
      </c>
      <c r="AI89" s="66">
        <v>0.83</v>
      </c>
      <c r="AJ89" s="66">
        <v>0.1</v>
      </c>
      <c r="AK89" s="66">
        <v>0.37</v>
      </c>
      <c r="AL89" s="66">
        <v>0.32</v>
      </c>
      <c r="AM89" s="66">
        <v>0.18</v>
      </c>
      <c r="AN89" s="35">
        <v>62</v>
      </c>
      <c r="AO89" s="35">
        <v>6</v>
      </c>
      <c r="AP89" s="40">
        <v>0</v>
      </c>
      <c r="AQ89" s="40">
        <v>0.02</v>
      </c>
      <c r="AR89" s="40">
        <v>0.88</v>
      </c>
      <c r="AS89" s="40">
        <v>0.1</v>
      </c>
      <c r="AT89" s="40">
        <v>0.12</v>
      </c>
      <c r="AU89" s="40">
        <v>0.35</v>
      </c>
      <c r="AV89" s="40">
        <v>0.32</v>
      </c>
      <c r="AW89" s="246">
        <v>58</v>
      </c>
      <c r="AX89" s="246" t="s">
        <v>758</v>
      </c>
      <c r="AY89" s="246">
        <v>8</v>
      </c>
      <c r="AZ89" s="246" t="s">
        <v>758</v>
      </c>
      <c r="BA89" s="263">
        <v>0</v>
      </c>
      <c r="BB89" s="263">
        <v>0.24</v>
      </c>
      <c r="BC89" s="263">
        <v>0.68</v>
      </c>
      <c r="BD89" s="263">
        <v>0.08</v>
      </c>
      <c r="BE89" s="263">
        <v>0.22</v>
      </c>
      <c r="BF89" s="263">
        <v>0.41</v>
      </c>
      <c r="BG89" s="263">
        <v>0.34</v>
      </c>
      <c r="BH89" s="309">
        <v>63</v>
      </c>
      <c r="BI89" s="309" t="s">
        <v>759</v>
      </c>
      <c r="BJ89" s="309">
        <v>7</v>
      </c>
      <c r="BK89" s="309" t="s">
        <v>758</v>
      </c>
      <c r="BL89" s="464"/>
      <c r="BM89" s="464"/>
      <c r="BN89" s="464"/>
      <c r="BO89" s="327">
        <v>0</v>
      </c>
      <c r="BP89" s="327">
        <v>0.09</v>
      </c>
      <c r="BQ89" s="327">
        <v>0.78</v>
      </c>
      <c r="BR89" s="327">
        <v>0.13</v>
      </c>
      <c r="BS89" s="327">
        <v>0.32</v>
      </c>
      <c r="BT89" s="327">
        <v>0.34</v>
      </c>
      <c r="BU89" s="476"/>
      <c r="BV89" s="476"/>
      <c r="BW89" s="476"/>
      <c r="BX89" s="327">
        <v>0.2</v>
      </c>
      <c r="BY89" s="424">
        <v>66</v>
      </c>
      <c r="BZ89" s="424" t="s">
        <v>759</v>
      </c>
      <c r="CA89" s="424">
        <v>8</v>
      </c>
      <c r="CB89" s="424" t="s">
        <v>758</v>
      </c>
      <c r="CC89" s="428">
        <v>0</v>
      </c>
      <c r="CD89" s="428">
        <v>0.12</v>
      </c>
      <c r="CE89" s="428">
        <v>0.59</v>
      </c>
      <c r="CF89" s="428">
        <v>0.28999999999999998</v>
      </c>
      <c r="CG89" s="428">
        <v>0.49</v>
      </c>
      <c r="CH89" s="428">
        <v>0.18</v>
      </c>
      <c r="CI89" s="428">
        <v>0.26</v>
      </c>
      <c r="CJ89" s="464">
        <v>62</v>
      </c>
      <c r="CK89" s="464" t="s">
        <v>759</v>
      </c>
      <c r="CL89" s="464">
        <v>9</v>
      </c>
      <c r="CM89" s="464" t="s">
        <v>758</v>
      </c>
      <c r="CN89" s="476">
        <v>0.04</v>
      </c>
      <c r="CO89" s="476">
        <v>0</v>
      </c>
      <c r="CP89" s="476">
        <v>0.82</v>
      </c>
      <c r="CQ89" s="476">
        <v>0.14000000000000001</v>
      </c>
      <c r="CR89" s="476">
        <v>0.36</v>
      </c>
      <c r="CS89" s="476">
        <v>0.34</v>
      </c>
      <c r="CT89" s="476">
        <v>0.26</v>
      </c>
      <c r="CU89" s="902">
        <v>60</v>
      </c>
      <c r="CV89" s="902" t="s">
        <v>758</v>
      </c>
      <c r="CW89" s="902">
        <v>8</v>
      </c>
      <c r="CX89" s="902" t="s">
        <v>758</v>
      </c>
      <c r="CY89" s="949">
        <v>0</v>
      </c>
      <c r="CZ89" s="949">
        <v>0.08</v>
      </c>
      <c r="DA89" s="949">
        <v>0.8</v>
      </c>
      <c r="DB89" s="949">
        <v>0.12</v>
      </c>
      <c r="DC89" s="949">
        <v>0.49</v>
      </c>
      <c r="DD89" s="949">
        <v>0.34</v>
      </c>
      <c r="DE89" s="949">
        <v>0.22</v>
      </c>
      <c r="DF89" s="922">
        <v>325754000046</v>
      </c>
      <c r="DG89" s="892" t="e">
        <f>VLOOKUP(DF89,#REF!,3,0)</f>
        <v>#REF!</v>
      </c>
    </row>
    <row r="90" spans="1:111" ht="24.95" customHeight="1" x14ac:dyDescent="0.2">
      <c r="A90" s="803" t="s">
        <v>801</v>
      </c>
      <c r="B90" s="14" t="s">
        <v>123</v>
      </c>
      <c r="C90" s="12">
        <v>6</v>
      </c>
      <c r="D90" s="12"/>
      <c r="E90" s="12"/>
      <c r="F90" s="66"/>
      <c r="G90" s="66"/>
      <c r="H90" s="66"/>
      <c r="I90" s="66"/>
      <c r="J90" s="66"/>
      <c r="K90" s="66"/>
      <c r="L90" s="66"/>
      <c r="M90" s="12"/>
      <c r="N90" s="12"/>
      <c r="O90" s="40"/>
      <c r="P90" s="40"/>
      <c r="Q90" s="40"/>
      <c r="R90" s="40"/>
      <c r="S90" s="40"/>
      <c r="T90" s="40"/>
      <c r="U90" s="40"/>
      <c r="V90" s="12"/>
      <c r="W90" s="12"/>
      <c r="X90" s="66"/>
      <c r="Y90" s="66"/>
      <c r="Z90" s="66"/>
      <c r="AA90" s="66"/>
      <c r="AB90" s="66"/>
      <c r="AC90" s="66"/>
      <c r="AD90" s="66"/>
      <c r="AE90" s="12"/>
      <c r="AF90" s="12"/>
      <c r="AG90" s="66"/>
      <c r="AH90" s="66"/>
      <c r="AI90" s="66"/>
      <c r="AJ90" s="66"/>
      <c r="AK90" s="66"/>
      <c r="AL90" s="66"/>
      <c r="AM90" s="66"/>
      <c r="AN90" s="35"/>
      <c r="AO90" s="35"/>
      <c r="AP90" s="40"/>
      <c r="AQ90" s="40"/>
      <c r="AR90" s="40"/>
      <c r="AS90" s="40"/>
      <c r="AT90" s="40"/>
      <c r="AU90" s="40"/>
      <c r="AV90" s="40"/>
      <c r="AW90" s="246"/>
      <c r="AX90" s="246"/>
      <c r="AY90" s="246"/>
      <c r="AZ90" s="246"/>
      <c r="BA90" s="263"/>
      <c r="BB90" s="263"/>
      <c r="BC90" s="263"/>
      <c r="BD90" s="263"/>
      <c r="BE90" s="263"/>
      <c r="BF90" s="263"/>
      <c r="BG90" s="263"/>
      <c r="BH90" s="309">
        <v>43</v>
      </c>
      <c r="BI90" s="309" t="s">
        <v>760</v>
      </c>
      <c r="BJ90" s="309">
        <v>11</v>
      </c>
      <c r="BK90" s="309" t="s">
        <v>758</v>
      </c>
      <c r="BL90" s="464"/>
      <c r="BM90" s="464"/>
      <c r="BN90" s="464"/>
      <c r="BO90" s="327">
        <v>0.24</v>
      </c>
      <c r="BP90" s="327">
        <v>0.47</v>
      </c>
      <c r="BQ90" s="327">
        <v>0.28999999999999998</v>
      </c>
      <c r="BR90" s="327">
        <v>0</v>
      </c>
      <c r="BS90" s="327">
        <v>0.64</v>
      </c>
      <c r="BT90" s="327">
        <v>0.74</v>
      </c>
      <c r="BU90" s="476"/>
      <c r="BV90" s="476"/>
      <c r="BW90" s="476"/>
      <c r="BX90" s="327">
        <v>0.5</v>
      </c>
      <c r="BY90" s="424">
        <v>52</v>
      </c>
      <c r="BZ90" s="424" t="s">
        <v>758</v>
      </c>
      <c r="CA90" s="424">
        <v>0</v>
      </c>
      <c r="CB90" s="424" t="s">
        <v>760</v>
      </c>
      <c r="CC90" s="428">
        <v>0</v>
      </c>
      <c r="CD90" s="428">
        <v>0</v>
      </c>
      <c r="CE90" s="428">
        <v>1</v>
      </c>
      <c r="CF90" s="428">
        <v>0</v>
      </c>
      <c r="CG90" s="428">
        <v>0.4</v>
      </c>
      <c r="CH90" s="428">
        <v>0.25</v>
      </c>
      <c r="CI90" s="428">
        <v>0.75</v>
      </c>
      <c r="CJ90" s="641"/>
      <c r="CK90" s="641"/>
      <c r="CL90" s="641"/>
      <c r="CM90" s="641"/>
      <c r="CN90" s="642"/>
      <c r="CO90" s="642"/>
      <c r="CP90" s="642"/>
      <c r="CQ90" s="642"/>
      <c r="CR90" s="642"/>
      <c r="CS90" s="642"/>
      <c r="CT90" s="642"/>
      <c r="CY90" s="949"/>
      <c r="CZ90" s="949"/>
      <c r="DA90" s="949"/>
      <c r="DB90" s="949"/>
      <c r="DC90" s="949"/>
      <c r="DD90" s="949"/>
      <c r="DE90" s="949"/>
      <c r="DG90" s="892"/>
    </row>
    <row r="91" spans="1:111" ht="24.95" customHeight="1" x14ac:dyDescent="0.2">
      <c r="A91" s="808" t="s">
        <v>162</v>
      </c>
      <c r="B91" s="1" t="s">
        <v>123</v>
      </c>
      <c r="C91" s="328">
        <v>3</v>
      </c>
      <c r="D91" s="328"/>
      <c r="E91" s="328"/>
      <c r="F91" s="328"/>
      <c r="G91" s="328"/>
      <c r="H91" s="328"/>
      <c r="I91" s="328"/>
      <c r="J91" s="328"/>
      <c r="K91" s="328"/>
      <c r="L91" s="328"/>
      <c r="M91" s="328" t="s">
        <v>126</v>
      </c>
      <c r="N91" s="328" t="s">
        <v>126</v>
      </c>
      <c r="O91" s="331"/>
      <c r="P91" s="331"/>
      <c r="Q91" s="331"/>
      <c r="R91" s="331"/>
      <c r="S91" s="331"/>
      <c r="T91" s="331"/>
      <c r="U91" s="331"/>
      <c r="V91" s="328" t="s">
        <v>126</v>
      </c>
      <c r="W91" s="328" t="s">
        <v>126</v>
      </c>
      <c r="X91" s="328"/>
      <c r="Y91" s="328"/>
      <c r="Z91" s="328"/>
      <c r="AA91" s="328"/>
      <c r="AB91" s="328"/>
      <c r="AC91" s="328"/>
      <c r="AD91" s="328"/>
      <c r="AE91" s="328" t="s">
        <v>126</v>
      </c>
      <c r="AF91" s="328" t="s">
        <v>126</v>
      </c>
      <c r="AG91" s="328"/>
      <c r="AH91" s="328"/>
      <c r="AI91" s="328"/>
      <c r="AJ91" s="328"/>
      <c r="AK91" s="328"/>
      <c r="AL91" s="328"/>
      <c r="AM91" s="328"/>
      <c r="AN91" s="311">
        <v>61</v>
      </c>
      <c r="AO91" s="311">
        <v>3</v>
      </c>
      <c r="AP91" s="331">
        <v>0</v>
      </c>
      <c r="AQ91" s="331">
        <v>0</v>
      </c>
      <c r="AR91" s="331">
        <v>1</v>
      </c>
      <c r="AS91" s="331">
        <v>0</v>
      </c>
      <c r="AT91" s="331">
        <v>0.19</v>
      </c>
      <c r="AU91" s="331">
        <v>0.33</v>
      </c>
      <c r="AV91" s="331">
        <v>0.35</v>
      </c>
      <c r="AW91" s="312">
        <v>61</v>
      </c>
      <c r="AX91" s="312" t="s">
        <v>759</v>
      </c>
      <c r="AY91" s="312">
        <v>5</v>
      </c>
      <c r="AZ91" s="312" t="s">
        <v>760</v>
      </c>
      <c r="BA91" s="332">
        <v>0</v>
      </c>
      <c r="BB91" s="332">
        <v>0</v>
      </c>
      <c r="BC91" s="332">
        <v>1</v>
      </c>
      <c r="BD91" s="332">
        <v>0</v>
      </c>
      <c r="BE91" s="332">
        <v>0.17</v>
      </c>
      <c r="BF91" s="332">
        <v>0.35</v>
      </c>
      <c r="BG91" s="332">
        <v>0.32</v>
      </c>
      <c r="BH91" s="309">
        <v>57</v>
      </c>
      <c r="BI91" s="309" t="s">
        <v>758</v>
      </c>
      <c r="BJ91" s="309">
        <v>10</v>
      </c>
      <c r="BK91" s="309" t="s">
        <v>758</v>
      </c>
      <c r="BL91" s="464"/>
      <c r="BM91" s="464"/>
      <c r="BN91" s="464"/>
      <c r="BO91" s="327">
        <v>0.06</v>
      </c>
      <c r="BP91" s="327">
        <v>0.11</v>
      </c>
      <c r="BQ91" s="327">
        <v>0.78</v>
      </c>
      <c r="BR91" s="327">
        <v>0.06</v>
      </c>
      <c r="BS91" s="327">
        <v>0.45</v>
      </c>
      <c r="BT91" s="327">
        <v>0.46</v>
      </c>
      <c r="BU91" s="476"/>
      <c r="BV91" s="476"/>
      <c r="BW91" s="476"/>
      <c r="BX91" s="327">
        <v>0.28999999999999998</v>
      </c>
      <c r="BY91" s="424">
        <v>60</v>
      </c>
      <c r="BZ91" s="424" t="s">
        <v>758</v>
      </c>
      <c r="CA91" s="424">
        <v>12</v>
      </c>
      <c r="CB91" s="424" t="s">
        <v>758</v>
      </c>
      <c r="CC91" s="428">
        <v>0.1</v>
      </c>
      <c r="CD91" s="428">
        <v>0</v>
      </c>
      <c r="CE91" s="428">
        <v>0.8</v>
      </c>
      <c r="CF91" s="428">
        <v>0.1</v>
      </c>
      <c r="CG91" s="428">
        <v>0.44</v>
      </c>
      <c r="CH91" s="428">
        <v>0.23</v>
      </c>
      <c r="CI91" s="428">
        <v>0.45</v>
      </c>
      <c r="CJ91" s="654">
        <v>59</v>
      </c>
      <c r="CK91" s="654" t="s">
        <v>758</v>
      </c>
      <c r="CL91" s="654">
        <v>9</v>
      </c>
      <c r="CM91" s="654" t="s">
        <v>758</v>
      </c>
      <c r="CN91" s="655">
        <v>0</v>
      </c>
      <c r="CO91" s="655">
        <v>0.22</v>
      </c>
      <c r="CP91" s="655">
        <v>0.67</v>
      </c>
      <c r="CQ91" s="655">
        <v>0.11</v>
      </c>
      <c r="CR91" s="655">
        <v>0.49</v>
      </c>
      <c r="CS91" s="655">
        <v>0.39</v>
      </c>
      <c r="CT91" s="655">
        <v>0.33</v>
      </c>
      <c r="CU91" s="902">
        <v>59</v>
      </c>
      <c r="CV91" s="902" t="s">
        <v>758</v>
      </c>
      <c r="CW91" s="902">
        <v>8</v>
      </c>
      <c r="CX91" s="902" t="s">
        <v>758</v>
      </c>
      <c r="CY91" s="949">
        <v>0</v>
      </c>
      <c r="CZ91" s="949">
        <v>0.17</v>
      </c>
      <c r="DA91" s="949">
        <v>0.79</v>
      </c>
      <c r="DB91" s="949">
        <v>0.04</v>
      </c>
      <c r="DC91" s="949">
        <v>0.45</v>
      </c>
      <c r="DD91" s="949">
        <v>0.42</v>
      </c>
      <c r="DE91" s="949">
        <v>0.33</v>
      </c>
      <c r="DF91" s="922">
        <v>325754800018</v>
      </c>
      <c r="DG91" s="892" t="e">
        <f>VLOOKUP(DF91,#REF!,3,0)</f>
        <v>#REF!</v>
      </c>
    </row>
    <row r="92" spans="1:111" ht="24.95" customHeight="1" x14ac:dyDescent="0.2">
      <c r="A92" s="803" t="s">
        <v>134</v>
      </c>
      <c r="B92" s="1" t="s">
        <v>123</v>
      </c>
      <c r="C92" s="12">
        <v>5</v>
      </c>
      <c r="D92" s="12"/>
      <c r="E92" s="12"/>
      <c r="F92" s="12"/>
      <c r="G92" s="12"/>
      <c r="H92" s="12"/>
      <c r="I92" s="12"/>
      <c r="J92" s="12"/>
      <c r="K92" s="12"/>
      <c r="L92" s="12"/>
      <c r="M92" s="12" t="s">
        <v>126</v>
      </c>
      <c r="N92" s="12" t="s">
        <v>126</v>
      </c>
      <c r="O92" s="40"/>
      <c r="P92" s="40"/>
      <c r="Q92" s="40"/>
      <c r="R92" s="40"/>
      <c r="S92" s="40"/>
      <c r="T92" s="40"/>
      <c r="U92" s="40"/>
      <c r="V92" s="12" t="s">
        <v>126</v>
      </c>
      <c r="W92" s="12" t="s">
        <v>126</v>
      </c>
      <c r="X92" s="12"/>
      <c r="Y92" s="12"/>
      <c r="Z92" s="12"/>
      <c r="AA92" s="12"/>
      <c r="AB92" s="12"/>
      <c r="AC92" s="12"/>
      <c r="AD92" s="12"/>
      <c r="AE92" s="12">
        <v>48</v>
      </c>
      <c r="AF92" s="12">
        <v>8</v>
      </c>
      <c r="AG92" s="66">
        <v>0.08</v>
      </c>
      <c r="AH92" s="66">
        <v>0.5</v>
      </c>
      <c r="AI92" s="66">
        <v>0.42</v>
      </c>
      <c r="AJ92" s="66">
        <v>0</v>
      </c>
      <c r="AK92" s="66">
        <v>0.6</v>
      </c>
      <c r="AL92" s="66">
        <v>0.54</v>
      </c>
      <c r="AM92" s="66">
        <v>0.39</v>
      </c>
      <c r="AN92" s="41"/>
      <c r="AO92" s="41"/>
      <c r="AP92" s="41"/>
      <c r="AQ92" s="41"/>
      <c r="AR92" s="41"/>
      <c r="AS92" s="41"/>
      <c r="AT92" s="41"/>
      <c r="AU92" s="41"/>
      <c r="AV92" s="41"/>
      <c r="AW92" s="646"/>
      <c r="AX92" s="646"/>
      <c r="AY92" s="646"/>
      <c r="AZ92" s="646"/>
      <c r="BA92" s="646"/>
      <c r="BB92" s="646"/>
      <c r="BC92" s="646"/>
      <c r="BD92" s="646"/>
      <c r="BE92" s="646"/>
      <c r="BF92" s="646"/>
      <c r="BG92" s="646"/>
      <c r="BH92" s="649"/>
      <c r="BI92" s="649"/>
      <c r="BJ92" s="649"/>
      <c r="BK92" s="649"/>
      <c r="BL92" s="650"/>
      <c r="BM92" s="650"/>
      <c r="BN92" s="650"/>
      <c r="BO92" s="649"/>
      <c r="BP92" s="649"/>
      <c r="BQ92" s="649"/>
      <c r="BR92" s="649"/>
      <c r="BS92" s="649"/>
      <c r="BT92" s="649"/>
      <c r="BU92" s="650"/>
      <c r="BV92" s="650"/>
      <c r="BW92" s="650"/>
      <c r="BX92" s="649"/>
      <c r="BY92" s="651"/>
      <c r="BZ92" s="651"/>
      <c r="CA92" s="651"/>
      <c r="CB92" s="651"/>
      <c r="CC92" s="651"/>
      <c r="CD92" s="651"/>
      <c r="CE92" s="651"/>
      <c r="CF92" s="651"/>
      <c r="CG92" s="651"/>
      <c r="CH92" s="651"/>
      <c r="CI92" s="651"/>
      <c r="CJ92" s="650"/>
      <c r="CK92" s="650"/>
      <c r="CL92" s="650"/>
      <c r="CM92" s="650"/>
      <c r="CN92" s="650"/>
      <c r="CO92" s="650"/>
      <c r="CP92" s="650"/>
      <c r="CQ92" s="650"/>
      <c r="CR92" s="650"/>
      <c r="CS92" s="650"/>
      <c r="CT92" s="650"/>
      <c r="CY92" s="949"/>
      <c r="CZ92" s="949"/>
      <c r="DA92" s="949"/>
      <c r="DB92" s="949"/>
      <c r="DC92" s="949"/>
      <c r="DD92" s="949"/>
      <c r="DE92" s="949"/>
      <c r="DG92" s="892"/>
    </row>
    <row r="93" spans="1:111" ht="24.95" customHeight="1" x14ac:dyDescent="0.2">
      <c r="A93" s="809" t="s">
        <v>86</v>
      </c>
      <c r="B93" s="1" t="s">
        <v>123</v>
      </c>
      <c r="C93" s="12">
        <v>2</v>
      </c>
      <c r="D93" s="12">
        <v>58</v>
      </c>
      <c r="E93" s="12">
        <v>9</v>
      </c>
      <c r="F93" s="66">
        <v>0</v>
      </c>
      <c r="G93" s="66">
        <v>0.24</v>
      </c>
      <c r="H93" s="66">
        <v>0.69</v>
      </c>
      <c r="I93" s="66">
        <v>7.0000000000000007E-2</v>
      </c>
      <c r="J93" s="66">
        <v>0.44</v>
      </c>
      <c r="K93" s="66">
        <v>0.34</v>
      </c>
      <c r="L93" s="66">
        <v>0.43</v>
      </c>
      <c r="M93" s="12">
        <v>56</v>
      </c>
      <c r="N93" s="12">
        <v>9</v>
      </c>
      <c r="O93" s="40">
        <v>0.03</v>
      </c>
      <c r="P93" s="40">
        <v>0.2</v>
      </c>
      <c r="Q93" s="40">
        <v>0.73</v>
      </c>
      <c r="R93" s="40">
        <v>0.03</v>
      </c>
      <c r="S93" s="40">
        <v>0.42</v>
      </c>
      <c r="T93" s="40">
        <v>0.48</v>
      </c>
      <c r="U93" s="40">
        <v>0.31</v>
      </c>
      <c r="V93" s="12">
        <v>54</v>
      </c>
      <c r="W93" s="12">
        <v>9</v>
      </c>
      <c r="X93" s="66">
        <v>0.06</v>
      </c>
      <c r="Y93" s="66">
        <v>0.26</v>
      </c>
      <c r="Z93" s="66">
        <v>0.68</v>
      </c>
      <c r="AA93" s="66">
        <v>0</v>
      </c>
      <c r="AB93" s="66">
        <v>0.43</v>
      </c>
      <c r="AC93" s="66">
        <v>0.37</v>
      </c>
      <c r="AD93" s="66">
        <v>0.49</v>
      </c>
      <c r="AE93" s="12">
        <v>57</v>
      </c>
      <c r="AF93" s="12">
        <v>9</v>
      </c>
      <c r="AG93" s="66">
        <v>0</v>
      </c>
      <c r="AH93" s="66">
        <v>0.19</v>
      </c>
      <c r="AI93" s="66">
        <v>0.74</v>
      </c>
      <c r="AJ93" s="66">
        <v>7.0000000000000007E-2</v>
      </c>
      <c r="AK93" s="66">
        <v>0.46</v>
      </c>
      <c r="AL93" s="66">
        <v>0.38</v>
      </c>
      <c r="AM93" s="66">
        <v>0.22</v>
      </c>
      <c r="AN93" s="45">
        <v>55</v>
      </c>
      <c r="AO93" s="45">
        <v>9</v>
      </c>
      <c r="AP93" s="46">
        <v>0.06</v>
      </c>
      <c r="AQ93" s="46">
        <v>0.26</v>
      </c>
      <c r="AR93" s="46">
        <v>0.66</v>
      </c>
      <c r="AS93" s="46">
        <v>0.03</v>
      </c>
      <c r="AT93" s="46">
        <v>0.24</v>
      </c>
      <c r="AU93" s="46">
        <v>0.47</v>
      </c>
      <c r="AV93" s="46">
        <v>0.47</v>
      </c>
      <c r="AW93" s="647">
        <v>53</v>
      </c>
      <c r="AX93" s="647" t="s">
        <v>758</v>
      </c>
      <c r="AY93" s="647">
        <v>9</v>
      </c>
      <c r="AZ93" s="647" t="s">
        <v>758</v>
      </c>
      <c r="BA93" s="648">
        <v>0.02</v>
      </c>
      <c r="BB93" s="648">
        <v>0.42</v>
      </c>
      <c r="BC93" s="648">
        <v>0.56999999999999995</v>
      </c>
      <c r="BD93" s="648">
        <v>0</v>
      </c>
      <c r="BE93" s="648">
        <v>0.27</v>
      </c>
      <c r="BF93" s="648">
        <v>0.5</v>
      </c>
      <c r="BG93" s="648">
        <v>0.44</v>
      </c>
      <c r="BH93" s="74">
        <v>54</v>
      </c>
      <c r="BI93" s="74" t="s">
        <v>758</v>
      </c>
      <c r="BJ93" s="74">
        <v>8</v>
      </c>
      <c r="BK93" s="74" t="s">
        <v>758</v>
      </c>
      <c r="BL93" s="74"/>
      <c r="BM93" s="74"/>
      <c r="BN93" s="74"/>
      <c r="BO93" s="96">
        <v>0.02</v>
      </c>
      <c r="BP93" s="96">
        <v>0.33</v>
      </c>
      <c r="BQ93" s="96">
        <v>0.65</v>
      </c>
      <c r="BR93" s="96">
        <v>0</v>
      </c>
      <c r="BS93" s="96">
        <v>0.55000000000000004</v>
      </c>
      <c r="BT93" s="96">
        <v>0.56000000000000005</v>
      </c>
      <c r="BU93" s="96"/>
      <c r="BV93" s="96"/>
      <c r="BW93" s="96"/>
      <c r="BX93" s="96">
        <v>0.35</v>
      </c>
      <c r="BY93" s="652">
        <v>56</v>
      </c>
      <c r="BZ93" s="652" t="s">
        <v>758</v>
      </c>
      <c r="CA93" s="652">
        <v>8</v>
      </c>
      <c r="CB93" s="652" t="s">
        <v>758</v>
      </c>
      <c r="CC93" s="653">
        <v>0</v>
      </c>
      <c r="CD93" s="653">
        <v>0.21</v>
      </c>
      <c r="CE93" s="653">
        <v>0.79</v>
      </c>
      <c r="CF93" s="653">
        <v>0</v>
      </c>
      <c r="CG93" s="653">
        <v>0.56999999999999995</v>
      </c>
      <c r="CH93" s="653">
        <v>0.26</v>
      </c>
      <c r="CI93" s="653">
        <v>0.55000000000000004</v>
      </c>
      <c r="CJ93" s="74">
        <v>53</v>
      </c>
      <c r="CK93" s="74" t="s">
        <v>758</v>
      </c>
      <c r="CL93" s="74">
        <v>8</v>
      </c>
      <c r="CM93" s="74" t="s">
        <v>758</v>
      </c>
      <c r="CN93" s="96">
        <v>0.03</v>
      </c>
      <c r="CO93" s="96">
        <v>0.37</v>
      </c>
      <c r="CP93" s="96">
        <v>0.6</v>
      </c>
      <c r="CQ93" s="96">
        <v>0</v>
      </c>
      <c r="CR93" s="96">
        <v>0.56000000000000005</v>
      </c>
      <c r="CS93" s="96">
        <v>0.52</v>
      </c>
      <c r="CT93" s="96">
        <v>0.37</v>
      </c>
      <c r="CU93" s="902">
        <v>53</v>
      </c>
      <c r="CV93" s="902" t="s">
        <v>758</v>
      </c>
      <c r="CW93" s="902">
        <v>11</v>
      </c>
      <c r="CX93" s="902" t="s">
        <v>758</v>
      </c>
      <c r="CY93" s="949">
        <v>0.06</v>
      </c>
      <c r="CZ93" s="949">
        <v>0.28999999999999998</v>
      </c>
      <c r="DA93" s="949">
        <v>0.63</v>
      </c>
      <c r="DB93" s="949">
        <v>0.03</v>
      </c>
      <c r="DC93" s="949">
        <v>0.56999999999999995</v>
      </c>
      <c r="DD93" s="949">
        <v>0.45</v>
      </c>
      <c r="DE93" s="949">
        <v>0.39</v>
      </c>
      <c r="DF93" s="922">
        <v>325754001450</v>
      </c>
      <c r="DG93" s="892" t="e">
        <f>VLOOKUP(DF93,#REF!,3,0)</f>
        <v>#REF!</v>
      </c>
    </row>
    <row r="94" spans="1:111" ht="24.95" customHeight="1" x14ac:dyDescent="0.2">
      <c r="A94" s="803" t="s">
        <v>77</v>
      </c>
      <c r="B94" s="1" t="s">
        <v>123</v>
      </c>
      <c r="C94" s="12">
        <v>4</v>
      </c>
      <c r="D94" s="12">
        <v>50</v>
      </c>
      <c r="E94" s="12">
        <v>7</v>
      </c>
      <c r="F94" s="66">
        <v>0</v>
      </c>
      <c r="G94" s="66">
        <v>0.54</v>
      </c>
      <c r="H94" s="66">
        <v>0.46</v>
      </c>
      <c r="I94" s="66">
        <v>0</v>
      </c>
      <c r="J94" s="66">
        <v>0.56000000000000005</v>
      </c>
      <c r="K94" s="66">
        <v>0.45</v>
      </c>
      <c r="L94" s="66">
        <v>0.56000000000000005</v>
      </c>
      <c r="M94" s="12">
        <v>54</v>
      </c>
      <c r="N94" s="12">
        <v>10</v>
      </c>
      <c r="O94" s="40">
        <v>0.06</v>
      </c>
      <c r="P94" s="40">
        <v>0.31</v>
      </c>
      <c r="Q94" s="40">
        <v>0.57999999999999996</v>
      </c>
      <c r="R94" s="40">
        <v>0.06</v>
      </c>
      <c r="S94" s="40">
        <v>0.39</v>
      </c>
      <c r="T94" s="40">
        <v>0.5</v>
      </c>
      <c r="U94" s="40">
        <v>0.35</v>
      </c>
      <c r="V94" s="12">
        <v>52</v>
      </c>
      <c r="W94" s="12">
        <v>9</v>
      </c>
      <c r="X94" s="66">
        <v>0.03</v>
      </c>
      <c r="Y94" s="66">
        <v>0.47</v>
      </c>
      <c r="Z94" s="66">
        <v>0.5</v>
      </c>
      <c r="AA94" s="66">
        <v>0</v>
      </c>
      <c r="AB94" s="66">
        <v>0.51</v>
      </c>
      <c r="AC94" s="66">
        <v>0.41</v>
      </c>
      <c r="AD94" s="66">
        <v>0.48</v>
      </c>
      <c r="AE94" s="12">
        <v>51</v>
      </c>
      <c r="AF94" s="12">
        <v>9</v>
      </c>
      <c r="AG94" s="66">
        <v>0.06</v>
      </c>
      <c r="AH94" s="66">
        <v>0.36</v>
      </c>
      <c r="AI94" s="66">
        <v>0.56000000000000005</v>
      </c>
      <c r="AJ94" s="66">
        <v>0.02</v>
      </c>
      <c r="AK94" s="66">
        <v>0.56000000000000005</v>
      </c>
      <c r="AL94" s="66">
        <v>0.49</v>
      </c>
      <c r="AM94" s="66">
        <v>0.28999999999999998</v>
      </c>
      <c r="AN94" s="35">
        <v>55</v>
      </c>
      <c r="AO94" s="35">
        <v>9</v>
      </c>
      <c r="AP94" s="40">
        <v>0.03</v>
      </c>
      <c r="AQ94" s="40">
        <v>0.26</v>
      </c>
      <c r="AR94" s="40">
        <v>0.69</v>
      </c>
      <c r="AS94" s="40">
        <v>0.03</v>
      </c>
      <c r="AT94" s="40">
        <v>0.25</v>
      </c>
      <c r="AU94" s="40">
        <v>0.46</v>
      </c>
      <c r="AV94" s="40">
        <v>0.47</v>
      </c>
      <c r="AW94" s="246">
        <v>52</v>
      </c>
      <c r="AX94" s="246" t="s">
        <v>758</v>
      </c>
      <c r="AY94" s="246">
        <v>10</v>
      </c>
      <c r="AZ94" s="246" t="s">
        <v>758</v>
      </c>
      <c r="BA94" s="263">
        <v>7.0000000000000007E-2</v>
      </c>
      <c r="BB94" s="263">
        <v>0.33</v>
      </c>
      <c r="BC94" s="263">
        <v>0.57999999999999996</v>
      </c>
      <c r="BD94" s="263">
        <v>0.02</v>
      </c>
      <c r="BE94" s="263">
        <v>0.28000000000000003</v>
      </c>
      <c r="BF94" s="263">
        <v>0.51</v>
      </c>
      <c r="BG94" s="263">
        <v>0.49</v>
      </c>
      <c r="BH94" s="309">
        <v>55</v>
      </c>
      <c r="BI94" s="309" t="s">
        <v>758</v>
      </c>
      <c r="BJ94" s="309">
        <v>10</v>
      </c>
      <c r="BK94" s="309" t="s">
        <v>758</v>
      </c>
      <c r="BL94" s="464"/>
      <c r="BM94" s="464"/>
      <c r="BN94" s="464"/>
      <c r="BO94" s="327">
        <v>0</v>
      </c>
      <c r="BP94" s="327">
        <v>0.31</v>
      </c>
      <c r="BQ94" s="327">
        <v>0.62</v>
      </c>
      <c r="BR94" s="327">
        <v>0.08</v>
      </c>
      <c r="BS94" s="327">
        <v>0.46</v>
      </c>
      <c r="BT94" s="327">
        <v>0.56000000000000005</v>
      </c>
      <c r="BU94" s="476"/>
      <c r="BV94" s="476"/>
      <c r="BW94" s="476"/>
      <c r="BX94" s="327">
        <v>0.32</v>
      </c>
      <c r="BY94" s="424">
        <v>51</v>
      </c>
      <c r="BZ94" s="424" t="s">
        <v>758</v>
      </c>
      <c r="CA94" s="424">
        <v>11</v>
      </c>
      <c r="CB94" s="424" t="s">
        <v>758</v>
      </c>
      <c r="CC94" s="428">
        <v>7.0000000000000007E-2</v>
      </c>
      <c r="CD94" s="428">
        <v>0.47</v>
      </c>
      <c r="CE94" s="428">
        <v>0.43</v>
      </c>
      <c r="CF94" s="428">
        <v>0.04</v>
      </c>
      <c r="CG94" s="428">
        <v>0.64</v>
      </c>
      <c r="CH94" s="428">
        <v>0.39</v>
      </c>
      <c r="CI94" s="428">
        <v>0.59</v>
      </c>
      <c r="CJ94" s="464">
        <v>56</v>
      </c>
      <c r="CK94" s="464" t="s">
        <v>758</v>
      </c>
      <c r="CL94" s="464">
        <v>11</v>
      </c>
      <c r="CM94" s="464" t="s">
        <v>758</v>
      </c>
      <c r="CN94" s="476">
        <v>0.06</v>
      </c>
      <c r="CO94" s="476">
        <v>0.28999999999999998</v>
      </c>
      <c r="CP94" s="476">
        <v>0.57999999999999996</v>
      </c>
      <c r="CQ94" s="476">
        <v>0.08</v>
      </c>
      <c r="CR94" s="476">
        <v>0.52</v>
      </c>
      <c r="CS94" s="476">
        <v>0.47</v>
      </c>
      <c r="CT94" s="476">
        <v>0.43</v>
      </c>
      <c r="CU94" s="902">
        <v>57</v>
      </c>
      <c r="CV94" s="902" t="s">
        <v>758</v>
      </c>
      <c r="CW94" s="902">
        <v>9</v>
      </c>
      <c r="CX94" s="902" t="s">
        <v>758</v>
      </c>
      <c r="CY94" s="949">
        <v>0</v>
      </c>
      <c r="CZ94" s="949">
        <v>0.27</v>
      </c>
      <c r="DA94" s="949">
        <v>0.68</v>
      </c>
      <c r="DB94" s="949">
        <v>0.05</v>
      </c>
      <c r="DC94" s="949">
        <v>0.55000000000000004</v>
      </c>
      <c r="DD94" s="949">
        <v>0.42</v>
      </c>
      <c r="DE94" s="949">
        <v>0.26</v>
      </c>
      <c r="DF94" s="922">
        <v>325754004521</v>
      </c>
      <c r="DG94" s="892" t="e">
        <f>VLOOKUP(DF94,#REF!,3,0)</f>
        <v>#REF!</v>
      </c>
    </row>
    <row r="95" spans="1:111" ht="24.95" customHeight="1" x14ac:dyDescent="0.2">
      <c r="A95" s="803" t="s">
        <v>58</v>
      </c>
      <c r="B95" s="1" t="s">
        <v>123</v>
      </c>
      <c r="C95" s="12">
        <v>2</v>
      </c>
      <c r="D95" s="12">
        <v>59</v>
      </c>
      <c r="E95" s="12">
        <v>8</v>
      </c>
      <c r="F95" s="66">
        <v>0</v>
      </c>
      <c r="G95" s="66">
        <v>0.14000000000000001</v>
      </c>
      <c r="H95" s="66">
        <v>0.86</v>
      </c>
      <c r="I95" s="66">
        <v>0</v>
      </c>
      <c r="J95" s="66">
        <v>0.43</v>
      </c>
      <c r="K95" s="66">
        <v>0.32</v>
      </c>
      <c r="L95" s="66">
        <v>0.45</v>
      </c>
      <c r="M95" s="12">
        <v>44</v>
      </c>
      <c r="N95" s="12">
        <v>12</v>
      </c>
      <c r="O95" s="40">
        <v>0.22</v>
      </c>
      <c r="P95" s="40">
        <v>0.44</v>
      </c>
      <c r="Q95" s="40">
        <v>0.22</v>
      </c>
      <c r="R95" s="40">
        <v>0.11</v>
      </c>
      <c r="S95" s="40">
        <v>0.56999999999999995</v>
      </c>
      <c r="T95" s="40">
        <v>0.57999999999999996</v>
      </c>
      <c r="U95" s="40">
        <v>0.56000000000000005</v>
      </c>
      <c r="V95" s="12">
        <v>46</v>
      </c>
      <c r="W95" s="12">
        <v>8</v>
      </c>
      <c r="X95" s="66">
        <v>0.17</v>
      </c>
      <c r="Y95" s="66">
        <v>0.5</v>
      </c>
      <c r="Z95" s="66">
        <v>0.33</v>
      </c>
      <c r="AA95" s="66">
        <v>0</v>
      </c>
      <c r="AB95" s="66">
        <v>0.6</v>
      </c>
      <c r="AC95" s="66">
        <v>0.5</v>
      </c>
      <c r="AD95" s="66">
        <v>0.63</v>
      </c>
      <c r="AE95" s="12">
        <v>50</v>
      </c>
      <c r="AF95" s="12">
        <v>8</v>
      </c>
      <c r="AG95" s="66">
        <v>0</v>
      </c>
      <c r="AH95" s="66">
        <v>0.67</v>
      </c>
      <c r="AI95" s="66">
        <v>0.33</v>
      </c>
      <c r="AJ95" s="66">
        <v>0</v>
      </c>
      <c r="AK95" s="66">
        <v>0.59</v>
      </c>
      <c r="AL95" s="66">
        <v>0.51</v>
      </c>
      <c r="AM95" s="66">
        <v>0.33</v>
      </c>
      <c r="AN95" s="35">
        <v>46</v>
      </c>
      <c r="AO95" s="35">
        <v>9</v>
      </c>
      <c r="AP95" s="40">
        <v>0.18</v>
      </c>
      <c r="AQ95" s="40">
        <v>0.45</v>
      </c>
      <c r="AR95" s="40">
        <v>0.36</v>
      </c>
      <c r="AS95" s="40">
        <v>0</v>
      </c>
      <c r="AT95" s="40">
        <v>0.41</v>
      </c>
      <c r="AU95" s="40">
        <v>0.56999999999999995</v>
      </c>
      <c r="AV95" s="40">
        <v>0.59</v>
      </c>
      <c r="AW95" s="246">
        <v>52</v>
      </c>
      <c r="AX95" s="246" t="s">
        <v>758</v>
      </c>
      <c r="AY95" s="246">
        <v>5</v>
      </c>
      <c r="AZ95" s="246" t="s">
        <v>760</v>
      </c>
      <c r="BA95" s="263">
        <v>0</v>
      </c>
      <c r="BB95" s="263">
        <v>0.5</v>
      </c>
      <c r="BC95" s="263">
        <v>0.5</v>
      </c>
      <c r="BD95" s="263">
        <v>0</v>
      </c>
      <c r="BE95" s="263">
        <v>0.26</v>
      </c>
      <c r="BF95" s="263">
        <v>0.52</v>
      </c>
      <c r="BG95" s="263">
        <v>0.51</v>
      </c>
      <c r="BH95" s="309">
        <v>51</v>
      </c>
      <c r="BI95" s="309" t="s">
        <v>758</v>
      </c>
      <c r="BJ95" s="309">
        <v>17</v>
      </c>
      <c r="BK95" s="309" t="s">
        <v>759</v>
      </c>
      <c r="BL95" s="464"/>
      <c r="BM95" s="464"/>
      <c r="BN95" s="464"/>
      <c r="BO95" s="327">
        <v>0.33</v>
      </c>
      <c r="BP95" s="327">
        <v>0</v>
      </c>
      <c r="BQ95" s="327">
        <v>0.67</v>
      </c>
      <c r="BR95" s="327">
        <v>0</v>
      </c>
      <c r="BS95" s="327">
        <v>0.36</v>
      </c>
      <c r="BT95" s="327">
        <v>0.64</v>
      </c>
      <c r="BU95" s="476"/>
      <c r="BV95" s="476"/>
      <c r="BW95" s="476"/>
      <c r="BX95" s="327">
        <v>0.25</v>
      </c>
      <c r="BY95" s="424">
        <v>54</v>
      </c>
      <c r="BZ95" s="424" t="s">
        <v>758</v>
      </c>
      <c r="CA95" s="424">
        <v>9</v>
      </c>
      <c r="CB95" s="424" t="s">
        <v>758</v>
      </c>
      <c r="CC95" s="428">
        <v>0</v>
      </c>
      <c r="CD95" s="428">
        <v>0.25</v>
      </c>
      <c r="CE95" s="428">
        <v>0.75</v>
      </c>
      <c r="CF95" s="428">
        <v>0</v>
      </c>
      <c r="CG95" s="428">
        <v>0.56000000000000005</v>
      </c>
      <c r="CH95" s="428">
        <v>0.47</v>
      </c>
      <c r="CI95" s="428">
        <v>0.48</v>
      </c>
      <c r="CJ95" s="464">
        <v>57</v>
      </c>
      <c r="CK95" s="464" t="s">
        <v>758</v>
      </c>
      <c r="CL95" s="464">
        <v>6</v>
      </c>
      <c r="CM95" s="464" t="s">
        <v>760</v>
      </c>
      <c r="CN95" s="476">
        <v>0</v>
      </c>
      <c r="CO95" s="476">
        <v>0.17</v>
      </c>
      <c r="CP95" s="476">
        <v>0.83</v>
      </c>
      <c r="CQ95" s="476">
        <v>0</v>
      </c>
      <c r="CR95" s="476">
        <v>0.54</v>
      </c>
      <c r="CS95" s="476">
        <v>0.52</v>
      </c>
      <c r="CT95" s="476">
        <v>0.42</v>
      </c>
      <c r="CU95" s="902">
        <v>48</v>
      </c>
      <c r="CV95" s="902" t="s">
        <v>758</v>
      </c>
      <c r="CW95" s="902">
        <v>13</v>
      </c>
      <c r="CX95" s="902" t="s">
        <v>758</v>
      </c>
      <c r="CY95" s="949">
        <v>0.2</v>
      </c>
      <c r="CZ95" s="949">
        <v>0.4</v>
      </c>
      <c r="DA95" s="949">
        <v>0.4</v>
      </c>
      <c r="DB95" s="949">
        <v>0</v>
      </c>
      <c r="DC95" s="949">
        <v>0.68</v>
      </c>
      <c r="DD95" s="949">
        <v>0.48</v>
      </c>
      <c r="DE95" s="949">
        <v>0.45</v>
      </c>
      <c r="DF95" s="922">
        <v>325754005129</v>
      </c>
      <c r="DG95" s="892" t="e">
        <f>VLOOKUP(DF95,#REF!,3,0)</f>
        <v>#REF!</v>
      </c>
    </row>
    <row r="96" spans="1:111" ht="24.95" customHeight="1" x14ac:dyDescent="0.2">
      <c r="A96" s="803" t="s">
        <v>100</v>
      </c>
      <c r="B96" s="1" t="s">
        <v>123</v>
      </c>
      <c r="C96" s="12">
        <v>3</v>
      </c>
      <c r="D96" s="12">
        <v>59</v>
      </c>
      <c r="E96" s="12">
        <v>7</v>
      </c>
      <c r="F96" s="66">
        <v>0</v>
      </c>
      <c r="G96" s="66">
        <v>7.0000000000000007E-2</v>
      </c>
      <c r="H96" s="66">
        <v>0.9</v>
      </c>
      <c r="I96" s="66">
        <v>0.03</v>
      </c>
      <c r="J96" s="66">
        <v>0.41</v>
      </c>
      <c r="K96" s="66">
        <v>0.39</v>
      </c>
      <c r="L96" s="66">
        <v>0.46</v>
      </c>
      <c r="M96" s="12">
        <v>59</v>
      </c>
      <c r="N96" s="12">
        <v>9</v>
      </c>
      <c r="O96" s="40">
        <v>0</v>
      </c>
      <c r="P96" s="40">
        <v>0.19</v>
      </c>
      <c r="Q96" s="40">
        <v>0.69</v>
      </c>
      <c r="R96" s="40">
        <v>0.13</v>
      </c>
      <c r="S96" s="40">
        <v>0.42</v>
      </c>
      <c r="T96" s="40">
        <v>0.44</v>
      </c>
      <c r="U96" s="40">
        <v>0.22</v>
      </c>
      <c r="V96" s="12">
        <v>58</v>
      </c>
      <c r="W96" s="12">
        <v>9</v>
      </c>
      <c r="X96" s="66">
        <v>0</v>
      </c>
      <c r="Y96" s="66">
        <v>0.25</v>
      </c>
      <c r="Z96" s="66">
        <v>0.69</v>
      </c>
      <c r="AA96" s="66">
        <v>0.06</v>
      </c>
      <c r="AB96" s="66">
        <v>0.39</v>
      </c>
      <c r="AC96" s="66">
        <v>0.32</v>
      </c>
      <c r="AD96" s="66">
        <v>0.41</v>
      </c>
      <c r="AE96" s="12">
        <v>54</v>
      </c>
      <c r="AF96" s="12">
        <v>9</v>
      </c>
      <c r="AG96" s="66">
        <v>0.04</v>
      </c>
      <c r="AH96" s="66">
        <v>0.27</v>
      </c>
      <c r="AI96" s="66">
        <v>0.63</v>
      </c>
      <c r="AJ96" s="66">
        <v>0.06</v>
      </c>
      <c r="AK96" s="66">
        <v>0.49</v>
      </c>
      <c r="AL96" s="66">
        <v>0.46</v>
      </c>
      <c r="AM96" s="66">
        <v>0.25</v>
      </c>
      <c r="AN96" s="35">
        <v>55</v>
      </c>
      <c r="AO96" s="35">
        <v>9</v>
      </c>
      <c r="AP96" s="40">
        <v>0</v>
      </c>
      <c r="AQ96" s="40">
        <v>0.33</v>
      </c>
      <c r="AR96" s="40">
        <v>0.62</v>
      </c>
      <c r="AS96" s="40">
        <v>0.05</v>
      </c>
      <c r="AT96" s="40">
        <v>0.23</v>
      </c>
      <c r="AU96" s="40">
        <v>0.45</v>
      </c>
      <c r="AV96" s="40">
        <v>0.49</v>
      </c>
      <c r="AW96" s="246">
        <v>56</v>
      </c>
      <c r="AX96" s="246" t="s">
        <v>758</v>
      </c>
      <c r="AY96" s="246">
        <v>8</v>
      </c>
      <c r="AZ96" s="246" t="s">
        <v>758</v>
      </c>
      <c r="BA96" s="263">
        <v>0.03</v>
      </c>
      <c r="BB96" s="263">
        <v>0.12</v>
      </c>
      <c r="BC96" s="263">
        <v>0.78</v>
      </c>
      <c r="BD96" s="263">
        <v>7.0000000000000007E-2</v>
      </c>
      <c r="BE96" s="263">
        <v>0.23</v>
      </c>
      <c r="BF96" s="263">
        <v>0.43</v>
      </c>
      <c r="BG96" s="263">
        <v>0.41</v>
      </c>
      <c r="BH96" s="309">
        <v>53</v>
      </c>
      <c r="BI96" s="309" t="s">
        <v>758</v>
      </c>
      <c r="BJ96" s="309">
        <v>10</v>
      </c>
      <c r="BK96" s="309" t="s">
        <v>758</v>
      </c>
      <c r="BL96" s="464"/>
      <c r="BM96" s="464"/>
      <c r="BN96" s="464"/>
      <c r="BO96" s="327">
        <v>7.0000000000000007E-2</v>
      </c>
      <c r="BP96" s="327">
        <v>0.27</v>
      </c>
      <c r="BQ96" s="327">
        <v>0.67</v>
      </c>
      <c r="BR96" s="327">
        <v>0</v>
      </c>
      <c r="BS96" s="327">
        <v>0.5</v>
      </c>
      <c r="BT96" s="327">
        <v>0.6</v>
      </c>
      <c r="BU96" s="476"/>
      <c r="BV96" s="476"/>
      <c r="BW96" s="476"/>
      <c r="BX96" s="327">
        <v>0.41</v>
      </c>
      <c r="BY96" s="424">
        <v>56</v>
      </c>
      <c r="BZ96" s="424" t="s">
        <v>758</v>
      </c>
      <c r="CA96" s="424">
        <v>8</v>
      </c>
      <c r="CB96" s="424" t="s">
        <v>758</v>
      </c>
      <c r="CC96" s="428">
        <v>0.01</v>
      </c>
      <c r="CD96" s="428">
        <v>0.19</v>
      </c>
      <c r="CE96" s="428">
        <v>0.76</v>
      </c>
      <c r="CF96" s="428">
        <v>0.04</v>
      </c>
      <c r="CG96" s="428">
        <v>0.61</v>
      </c>
      <c r="CH96" s="428">
        <v>0.32</v>
      </c>
      <c r="CI96" s="428">
        <v>0.52</v>
      </c>
      <c r="CJ96" s="464">
        <v>55</v>
      </c>
      <c r="CK96" s="464" t="s">
        <v>758</v>
      </c>
      <c r="CL96" s="464">
        <v>9</v>
      </c>
      <c r="CM96" s="464" t="s">
        <v>758</v>
      </c>
      <c r="CN96" s="476">
        <v>0.03</v>
      </c>
      <c r="CO96" s="476">
        <v>0.24</v>
      </c>
      <c r="CP96" s="476">
        <v>0.72</v>
      </c>
      <c r="CQ96" s="476">
        <v>0.01</v>
      </c>
      <c r="CR96" s="476">
        <v>0.56000000000000005</v>
      </c>
      <c r="CS96" s="476">
        <v>0.46</v>
      </c>
      <c r="CT96" s="476">
        <v>0.39</v>
      </c>
      <c r="CU96" s="902">
        <v>58</v>
      </c>
      <c r="CV96" s="902" t="s">
        <v>758</v>
      </c>
      <c r="CW96" s="902">
        <v>10</v>
      </c>
      <c r="CX96" s="902" t="s">
        <v>758</v>
      </c>
      <c r="CY96" s="949">
        <v>0.02</v>
      </c>
      <c r="CZ96" s="949">
        <v>0.2</v>
      </c>
      <c r="DA96" s="949">
        <v>0.67</v>
      </c>
      <c r="DB96" s="949">
        <v>0.1</v>
      </c>
      <c r="DC96" s="949">
        <v>0.55000000000000004</v>
      </c>
      <c r="DD96" s="949">
        <v>0.44</v>
      </c>
      <c r="DE96" s="949">
        <v>0.31</v>
      </c>
      <c r="DF96" s="922">
        <v>325754003461</v>
      </c>
      <c r="DG96" s="892" t="e">
        <f>VLOOKUP(DF96,#REF!,3,0)</f>
        <v>#REF!</v>
      </c>
    </row>
    <row r="97" spans="1:111" ht="24.95" customHeight="1" x14ac:dyDescent="0.2">
      <c r="A97" s="803" t="s">
        <v>95</v>
      </c>
      <c r="B97" s="1" t="s">
        <v>123</v>
      </c>
      <c r="C97" s="12">
        <v>2</v>
      </c>
      <c r="D97" s="12">
        <v>55</v>
      </c>
      <c r="E97" s="12">
        <v>9</v>
      </c>
      <c r="F97" s="66">
        <v>0.05</v>
      </c>
      <c r="G97" s="66">
        <v>0.27</v>
      </c>
      <c r="H97" s="66">
        <v>0.66</v>
      </c>
      <c r="I97" s="66">
        <v>0.02</v>
      </c>
      <c r="J97" s="66">
        <v>0.5</v>
      </c>
      <c r="K97" s="66">
        <v>0.51</v>
      </c>
      <c r="L97" s="66">
        <v>0.48</v>
      </c>
      <c r="M97" s="12">
        <v>54</v>
      </c>
      <c r="N97" s="12">
        <v>8</v>
      </c>
      <c r="O97" s="40">
        <v>0</v>
      </c>
      <c r="P97" s="40">
        <v>0.31</v>
      </c>
      <c r="Q97" s="40">
        <v>0.64</v>
      </c>
      <c r="R97" s="40">
        <v>0.06</v>
      </c>
      <c r="S97" s="40">
        <v>0.4</v>
      </c>
      <c r="T97" s="40">
        <v>0.54</v>
      </c>
      <c r="U97" s="40">
        <v>0.34</v>
      </c>
      <c r="V97" s="12">
        <v>54</v>
      </c>
      <c r="W97" s="12">
        <v>8</v>
      </c>
      <c r="X97" s="66">
        <v>0</v>
      </c>
      <c r="Y97" s="66">
        <v>0.33</v>
      </c>
      <c r="Z97" s="66">
        <v>0.64</v>
      </c>
      <c r="AA97" s="66">
        <v>0.03</v>
      </c>
      <c r="AB97" s="66">
        <v>0.43</v>
      </c>
      <c r="AC97" s="66">
        <v>0.36</v>
      </c>
      <c r="AD97" s="66">
        <v>0.51</v>
      </c>
      <c r="AE97" s="12">
        <v>53</v>
      </c>
      <c r="AF97" s="12">
        <v>9</v>
      </c>
      <c r="AG97" s="66">
        <v>0.03</v>
      </c>
      <c r="AH97" s="66">
        <v>0.3</v>
      </c>
      <c r="AI97" s="66">
        <v>0.65</v>
      </c>
      <c r="AJ97" s="66">
        <v>0.03</v>
      </c>
      <c r="AK97" s="66">
        <v>0.53</v>
      </c>
      <c r="AL97" s="66">
        <v>0.47</v>
      </c>
      <c r="AM97" s="66">
        <v>0.27</v>
      </c>
      <c r="AN97" s="35">
        <v>55</v>
      </c>
      <c r="AO97" s="35">
        <v>10</v>
      </c>
      <c r="AP97" s="40">
        <v>0.03</v>
      </c>
      <c r="AQ97" s="40">
        <v>0.28999999999999998</v>
      </c>
      <c r="AR97" s="40">
        <v>0.64</v>
      </c>
      <c r="AS97" s="40">
        <v>0.03</v>
      </c>
      <c r="AT97" s="40">
        <v>0.22</v>
      </c>
      <c r="AU97" s="40">
        <v>0.44</v>
      </c>
      <c r="AV97" s="40">
        <v>0.49</v>
      </c>
      <c r="AW97" s="246">
        <v>56</v>
      </c>
      <c r="AX97" s="246" t="s">
        <v>758</v>
      </c>
      <c r="AY97" s="246">
        <v>10</v>
      </c>
      <c r="AZ97" s="246" t="s">
        <v>758</v>
      </c>
      <c r="BA97" s="263">
        <v>0.04</v>
      </c>
      <c r="BB97" s="263">
        <v>0.23</v>
      </c>
      <c r="BC97" s="263">
        <v>0.68</v>
      </c>
      <c r="BD97" s="263">
        <v>0.06</v>
      </c>
      <c r="BE97" s="263">
        <v>0.23</v>
      </c>
      <c r="BF97" s="263">
        <v>0.46</v>
      </c>
      <c r="BG97" s="263">
        <v>0.38</v>
      </c>
      <c r="BH97" s="309">
        <v>56</v>
      </c>
      <c r="BI97" s="309" t="s">
        <v>758</v>
      </c>
      <c r="BJ97" s="309">
        <v>11</v>
      </c>
      <c r="BK97" s="309" t="s">
        <v>758</v>
      </c>
      <c r="BL97" s="464"/>
      <c r="BM97" s="464"/>
      <c r="BN97" s="464"/>
      <c r="BO97" s="327">
        <v>0.03</v>
      </c>
      <c r="BP97" s="327">
        <v>0.3</v>
      </c>
      <c r="BQ97" s="327">
        <v>0.59</v>
      </c>
      <c r="BR97" s="327">
        <v>0.08</v>
      </c>
      <c r="BS97" s="327">
        <v>0.49</v>
      </c>
      <c r="BT97" s="327">
        <v>0.49</v>
      </c>
      <c r="BU97" s="476"/>
      <c r="BV97" s="476"/>
      <c r="BW97" s="476"/>
      <c r="BX97" s="327">
        <v>0.39</v>
      </c>
      <c r="BY97" s="424">
        <v>55</v>
      </c>
      <c r="BZ97" s="424" t="s">
        <v>758</v>
      </c>
      <c r="CA97" s="424">
        <v>11</v>
      </c>
      <c r="CB97" s="424" t="s">
        <v>758</v>
      </c>
      <c r="CC97" s="428">
        <v>0.03</v>
      </c>
      <c r="CD97" s="428">
        <v>0.38</v>
      </c>
      <c r="CE97" s="428">
        <v>0.53</v>
      </c>
      <c r="CF97" s="428">
        <v>0.06</v>
      </c>
      <c r="CG97" s="428">
        <v>0.59</v>
      </c>
      <c r="CH97" s="428">
        <v>0.28000000000000003</v>
      </c>
      <c r="CI97" s="428">
        <v>0.54</v>
      </c>
      <c r="CJ97" s="464">
        <v>54</v>
      </c>
      <c r="CK97" s="464" t="s">
        <v>758</v>
      </c>
      <c r="CL97" s="464">
        <v>8</v>
      </c>
      <c r="CM97" s="464" t="s">
        <v>758</v>
      </c>
      <c r="CN97" s="476">
        <v>0</v>
      </c>
      <c r="CO97" s="476">
        <v>0.31</v>
      </c>
      <c r="CP97" s="476">
        <v>0.64</v>
      </c>
      <c r="CQ97" s="476">
        <v>0.06</v>
      </c>
      <c r="CR97" s="476">
        <v>0.56000000000000005</v>
      </c>
      <c r="CS97" s="476">
        <v>0.52</v>
      </c>
      <c r="CT97" s="476">
        <v>0.41</v>
      </c>
      <c r="CU97" s="902">
        <v>50</v>
      </c>
      <c r="CV97" s="902" t="s">
        <v>758</v>
      </c>
      <c r="CW97" s="902">
        <v>10</v>
      </c>
      <c r="CX97" s="902" t="s">
        <v>758</v>
      </c>
      <c r="CY97" s="949">
        <v>0.11</v>
      </c>
      <c r="CZ97" s="949">
        <v>0.41</v>
      </c>
      <c r="DA97" s="949">
        <v>0.44</v>
      </c>
      <c r="DB97" s="949">
        <v>0.04</v>
      </c>
      <c r="DC97" s="949">
        <v>0.6</v>
      </c>
      <c r="DD97" s="949">
        <v>0.56999999999999995</v>
      </c>
      <c r="DE97" s="949">
        <v>0.37</v>
      </c>
      <c r="DF97" s="922">
        <v>325754005161</v>
      </c>
      <c r="DG97" s="892" t="e">
        <f>VLOOKUP(DF97,#REF!,3,0)</f>
        <v>#REF!</v>
      </c>
    </row>
    <row r="98" spans="1:111" ht="24.95" customHeight="1" x14ac:dyDescent="0.2">
      <c r="A98" s="803" t="s">
        <v>47</v>
      </c>
      <c r="B98" s="1" t="s">
        <v>123</v>
      </c>
      <c r="C98" s="12">
        <v>2</v>
      </c>
      <c r="D98" s="12">
        <v>49</v>
      </c>
      <c r="E98" s="12">
        <v>11</v>
      </c>
      <c r="F98" s="66">
        <v>0.12</v>
      </c>
      <c r="G98" s="66">
        <v>0.47</v>
      </c>
      <c r="H98" s="66">
        <v>0.41</v>
      </c>
      <c r="I98" s="66">
        <v>0</v>
      </c>
      <c r="J98" s="66">
        <v>0.6</v>
      </c>
      <c r="K98" s="66">
        <v>0.44</v>
      </c>
      <c r="L98" s="66">
        <v>0.54</v>
      </c>
      <c r="M98" s="12">
        <v>44</v>
      </c>
      <c r="N98" s="12">
        <v>9</v>
      </c>
      <c r="O98" s="40">
        <v>0.24</v>
      </c>
      <c r="P98" s="40">
        <v>0.59</v>
      </c>
      <c r="Q98" s="40">
        <v>0.18</v>
      </c>
      <c r="R98" s="40">
        <v>0</v>
      </c>
      <c r="S98" s="40">
        <v>0.56999999999999995</v>
      </c>
      <c r="T98" s="40">
        <v>0.69</v>
      </c>
      <c r="U98" s="40">
        <v>0.51</v>
      </c>
      <c r="V98" s="12">
        <v>49</v>
      </c>
      <c r="W98" s="12">
        <v>10</v>
      </c>
      <c r="X98" s="66">
        <v>7.0000000000000007E-2</v>
      </c>
      <c r="Y98" s="66">
        <v>0.47</v>
      </c>
      <c r="Z98" s="66">
        <v>0.47</v>
      </c>
      <c r="AA98" s="66">
        <v>0</v>
      </c>
      <c r="AB98" s="66">
        <v>0.54</v>
      </c>
      <c r="AC98" s="66">
        <v>0.45</v>
      </c>
      <c r="AD98" s="66">
        <v>0.55000000000000004</v>
      </c>
      <c r="AE98" s="12">
        <v>50</v>
      </c>
      <c r="AF98" s="12">
        <v>10</v>
      </c>
      <c r="AG98" s="66">
        <v>0</v>
      </c>
      <c r="AH98" s="66">
        <v>0.45</v>
      </c>
      <c r="AI98" s="66">
        <v>0.55000000000000004</v>
      </c>
      <c r="AJ98" s="66">
        <v>0</v>
      </c>
      <c r="AK98" s="66">
        <v>0.56999999999999995</v>
      </c>
      <c r="AL98" s="66">
        <v>0.47</v>
      </c>
      <c r="AM98" s="66">
        <v>0.33</v>
      </c>
      <c r="AN98" s="35">
        <v>54</v>
      </c>
      <c r="AO98" s="35">
        <v>8</v>
      </c>
      <c r="AP98" s="40">
        <v>0</v>
      </c>
      <c r="AQ98" s="40">
        <v>0.28999999999999998</v>
      </c>
      <c r="AR98" s="40">
        <v>0.64</v>
      </c>
      <c r="AS98" s="40">
        <v>7.0000000000000007E-2</v>
      </c>
      <c r="AT98" s="40">
        <v>0.23</v>
      </c>
      <c r="AU98" s="40">
        <v>0.49</v>
      </c>
      <c r="AV98" s="40">
        <v>0.54</v>
      </c>
      <c r="AW98" s="246">
        <v>49</v>
      </c>
      <c r="AX98" s="246" t="s">
        <v>758</v>
      </c>
      <c r="AY98" s="246">
        <v>9</v>
      </c>
      <c r="AZ98" s="246" t="s">
        <v>758</v>
      </c>
      <c r="BA98" s="263">
        <v>0.14000000000000001</v>
      </c>
      <c r="BB98" s="263">
        <v>0.43</v>
      </c>
      <c r="BC98" s="263">
        <v>0.43</v>
      </c>
      <c r="BD98" s="263">
        <v>0</v>
      </c>
      <c r="BE98" s="263">
        <v>0.33</v>
      </c>
      <c r="BF98" s="263">
        <v>0.56999999999999995</v>
      </c>
      <c r="BG98" s="263">
        <v>0.49</v>
      </c>
      <c r="BH98" s="309">
        <v>53</v>
      </c>
      <c r="BI98" s="309" t="s">
        <v>758</v>
      </c>
      <c r="BJ98" s="309">
        <v>12</v>
      </c>
      <c r="BK98" s="309" t="s">
        <v>758</v>
      </c>
      <c r="BL98" s="464"/>
      <c r="BM98" s="464"/>
      <c r="BN98" s="464"/>
      <c r="BO98" s="327">
        <v>0</v>
      </c>
      <c r="BP98" s="327">
        <v>0.4</v>
      </c>
      <c r="BQ98" s="327">
        <v>0.5</v>
      </c>
      <c r="BR98" s="327">
        <v>0.1</v>
      </c>
      <c r="BS98" s="327">
        <v>0.52</v>
      </c>
      <c r="BT98" s="327">
        <v>0.6</v>
      </c>
      <c r="BU98" s="476"/>
      <c r="BV98" s="476"/>
      <c r="BW98" s="476"/>
      <c r="BX98" s="327">
        <v>0.35</v>
      </c>
      <c r="BY98" s="424">
        <v>49</v>
      </c>
      <c r="BZ98" s="424" t="s">
        <v>758</v>
      </c>
      <c r="CA98" s="424">
        <v>11</v>
      </c>
      <c r="CB98" s="424" t="s">
        <v>758</v>
      </c>
      <c r="CC98" s="428">
        <v>0.17</v>
      </c>
      <c r="CD98" s="428">
        <v>0.5</v>
      </c>
      <c r="CE98" s="428">
        <v>0.33</v>
      </c>
      <c r="CF98" s="428">
        <v>0</v>
      </c>
      <c r="CG98" s="428">
        <v>0.56999999999999995</v>
      </c>
      <c r="CH98" s="428">
        <v>0.57999999999999996</v>
      </c>
      <c r="CI98" s="428">
        <v>0.63</v>
      </c>
      <c r="CJ98" s="464">
        <v>54</v>
      </c>
      <c r="CK98" s="464" t="s">
        <v>758</v>
      </c>
      <c r="CL98" s="464">
        <v>10</v>
      </c>
      <c r="CM98" s="464" t="s">
        <v>758</v>
      </c>
      <c r="CN98" s="476">
        <v>0</v>
      </c>
      <c r="CO98" s="476">
        <v>0.28999999999999998</v>
      </c>
      <c r="CP98" s="476">
        <v>0.71</v>
      </c>
      <c r="CQ98" s="476">
        <v>0</v>
      </c>
      <c r="CR98" s="476">
        <v>0.55000000000000004</v>
      </c>
      <c r="CS98" s="476">
        <v>0.38</v>
      </c>
      <c r="CT98" s="476">
        <v>0.39</v>
      </c>
      <c r="CU98" s="902">
        <v>56</v>
      </c>
      <c r="CV98" s="902" t="s">
        <v>758</v>
      </c>
      <c r="CW98" s="902">
        <v>4</v>
      </c>
      <c r="CX98" s="902" t="s">
        <v>760</v>
      </c>
      <c r="CY98" s="949">
        <v>0</v>
      </c>
      <c r="CZ98" s="949">
        <v>0</v>
      </c>
      <c r="DA98" s="949">
        <v>1</v>
      </c>
      <c r="DB98" s="949">
        <v>0</v>
      </c>
      <c r="DC98" s="949">
        <v>0.55000000000000004</v>
      </c>
      <c r="DD98" s="949">
        <v>0.5</v>
      </c>
      <c r="DE98" s="949">
        <v>0.21</v>
      </c>
      <c r="DF98" s="922">
        <v>325754002839</v>
      </c>
      <c r="DG98" s="892" t="e">
        <f>VLOOKUP(DF98,#REF!,3,0)</f>
        <v>#REF!</v>
      </c>
    </row>
    <row r="99" spans="1:111" ht="24.95" customHeight="1" x14ac:dyDescent="0.2">
      <c r="A99" s="803" t="s">
        <v>27</v>
      </c>
      <c r="B99" s="1" t="s">
        <v>121</v>
      </c>
      <c r="C99" s="12" t="s">
        <v>122</v>
      </c>
      <c r="D99" s="12">
        <v>52</v>
      </c>
      <c r="E99" s="12">
        <v>9</v>
      </c>
      <c r="F99" s="66">
        <v>0.05</v>
      </c>
      <c r="G99" s="66">
        <v>0.37</v>
      </c>
      <c r="H99" s="66">
        <v>0.56000000000000005</v>
      </c>
      <c r="I99" s="66">
        <v>0.02</v>
      </c>
      <c r="J99" s="66">
        <v>0.56000000000000005</v>
      </c>
      <c r="K99" s="66">
        <v>0.48</v>
      </c>
      <c r="L99" s="66">
        <v>0.52</v>
      </c>
      <c r="M99" s="12">
        <v>50</v>
      </c>
      <c r="N99" s="12">
        <v>9</v>
      </c>
      <c r="O99" s="40">
        <v>7.0000000000000007E-2</v>
      </c>
      <c r="P99" s="40">
        <v>0.48</v>
      </c>
      <c r="Q99" s="40">
        <v>0.45</v>
      </c>
      <c r="R99" s="40">
        <v>0</v>
      </c>
      <c r="S99" s="40">
        <v>0.53</v>
      </c>
      <c r="T99" s="40">
        <v>0.56999999999999995</v>
      </c>
      <c r="U99" s="40">
        <v>0.41</v>
      </c>
      <c r="V99" s="12">
        <v>53</v>
      </c>
      <c r="W99" s="12">
        <v>9</v>
      </c>
      <c r="X99" s="66">
        <v>0</v>
      </c>
      <c r="Y99" s="66">
        <v>0.47</v>
      </c>
      <c r="Z99" s="66">
        <v>0.47</v>
      </c>
      <c r="AA99" s="66">
        <v>0.06</v>
      </c>
      <c r="AB99" s="66">
        <v>0.47</v>
      </c>
      <c r="AC99" s="66">
        <v>0.36</v>
      </c>
      <c r="AD99" s="66">
        <v>0.54</v>
      </c>
      <c r="AE99" s="12">
        <v>54</v>
      </c>
      <c r="AF99" s="12">
        <v>9</v>
      </c>
      <c r="AG99" s="66">
        <v>0.02</v>
      </c>
      <c r="AH99" s="66">
        <v>0.27</v>
      </c>
      <c r="AI99" s="66">
        <v>0.69</v>
      </c>
      <c r="AJ99" s="66">
        <v>0.02</v>
      </c>
      <c r="AK99" s="66">
        <v>0.5</v>
      </c>
      <c r="AL99" s="66">
        <v>0.45</v>
      </c>
      <c r="AM99" s="66">
        <v>0.27</v>
      </c>
      <c r="AN99" s="35">
        <v>53</v>
      </c>
      <c r="AO99" s="35">
        <v>12</v>
      </c>
      <c r="AP99" s="40">
        <v>0.05</v>
      </c>
      <c r="AQ99" s="40">
        <v>0.39</v>
      </c>
      <c r="AR99" s="40">
        <v>0.45</v>
      </c>
      <c r="AS99" s="40">
        <v>0.11</v>
      </c>
      <c r="AT99" s="40">
        <v>0.26</v>
      </c>
      <c r="AU99" s="40">
        <v>0.47</v>
      </c>
      <c r="AV99" s="40">
        <v>0.5</v>
      </c>
      <c r="AW99" s="246">
        <v>52</v>
      </c>
      <c r="AX99" s="246" t="s">
        <v>758</v>
      </c>
      <c r="AY99" s="246">
        <v>10</v>
      </c>
      <c r="AZ99" s="246" t="s">
        <v>758</v>
      </c>
      <c r="BA99" s="263">
        <v>0.02</v>
      </c>
      <c r="BB99" s="263">
        <v>0.39</v>
      </c>
      <c r="BC99" s="263">
        <v>0.59</v>
      </c>
      <c r="BD99" s="263">
        <v>0</v>
      </c>
      <c r="BE99" s="263">
        <v>0.27</v>
      </c>
      <c r="BF99" s="263">
        <v>0.51</v>
      </c>
      <c r="BG99" s="263">
        <v>0.47</v>
      </c>
      <c r="BH99" s="309">
        <v>51</v>
      </c>
      <c r="BI99" s="309" t="s">
        <v>758</v>
      </c>
      <c r="BJ99" s="309">
        <v>11</v>
      </c>
      <c r="BK99" s="309" t="s">
        <v>758</v>
      </c>
      <c r="BL99" s="464"/>
      <c r="BM99" s="464"/>
      <c r="BN99" s="464"/>
      <c r="BO99" s="327">
        <v>0.05</v>
      </c>
      <c r="BP99" s="327">
        <v>0.45</v>
      </c>
      <c r="BQ99" s="327">
        <v>0.48</v>
      </c>
      <c r="BR99" s="327">
        <v>0.03</v>
      </c>
      <c r="BS99" s="327">
        <v>0.52</v>
      </c>
      <c r="BT99" s="327">
        <v>0.6</v>
      </c>
      <c r="BU99" s="476"/>
      <c r="BV99" s="476"/>
      <c r="BW99" s="476"/>
      <c r="BX99" s="327">
        <v>0.38</v>
      </c>
      <c r="BY99" s="424">
        <v>50</v>
      </c>
      <c r="BZ99" s="424" t="s">
        <v>758</v>
      </c>
      <c r="CA99" s="424">
        <v>11</v>
      </c>
      <c r="CB99" s="424" t="s">
        <v>758</v>
      </c>
      <c r="CC99" s="428">
        <v>0.08</v>
      </c>
      <c r="CD99" s="428">
        <v>0.4</v>
      </c>
      <c r="CE99" s="428">
        <v>0.52</v>
      </c>
      <c r="CF99" s="428">
        <v>0</v>
      </c>
      <c r="CG99" s="428">
        <v>0.62</v>
      </c>
      <c r="CH99" s="428">
        <v>0.45</v>
      </c>
      <c r="CI99" s="428">
        <v>0.61</v>
      </c>
      <c r="CJ99" s="464">
        <v>51</v>
      </c>
      <c r="CK99" s="464" t="s">
        <v>758</v>
      </c>
      <c r="CL99" s="464">
        <v>10</v>
      </c>
      <c r="CM99" s="464" t="s">
        <v>758</v>
      </c>
      <c r="CN99" s="476">
        <v>0.04</v>
      </c>
      <c r="CO99" s="476">
        <v>0.47</v>
      </c>
      <c r="CP99" s="476">
        <v>0.47</v>
      </c>
      <c r="CQ99" s="476">
        <v>0.02</v>
      </c>
      <c r="CR99" s="476">
        <v>0.62</v>
      </c>
      <c r="CS99" s="476">
        <v>0.56000000000000005</v>
      </c>
      <c r="CT99" s="476">
        <v>0.41</v>
      </c>
      <c r="CU99" s="902">
        <v>52</v>
      </c>
      <c r="CV99" s="902" t="s">
        <v>758</v>
      </c>
      <c r="CW99" s="902">
        <v>11</v>
      </c>
      <c r="CX99" s="902" t="s">
        <v>758</v>
      </c>
      <c r="CY99" s="949">
        <v>0.1</v>
      </c>
      <c r="CZ99" s="949">
        <v>0.28999999999999998</v>
      </c>
      <c r="DA99" s="949">
        <v>0.6</v>
      </c>
      <c r="DB99" s="949">
        <v>0.02</v>
      </c>
      <c r="DC99" s="949">
        <v>0.61</v>
      </c>
      <c r="DD99" s="949">
        <v>0.48</v>
      </c>
      <c r="DE99" s="949">
        <v>0.35</v>
      </c>
      <c r="DF99" s="922">
        <v>225754000661</v>
      </c>
      <c r="DG99" s="892" t="e">
        <f>VLOOKUP(DF99,#REF!,3,0)</f>
        <v>#REF!</v>
      </c>
    </row>
    <row r="100" spans="1:111" ht="24.95" customHeight="1" x14ac:dyDescent="0.2">
      <c r="A100" s="803" t="s">
        <v>127</v>
      </c>
      <c r="B100" s="1" t="s">
        <v>123</v>
      </c>
      <c r="C100" s="12">
        <v>4</v>
      </c>
      <c r="D100" s="12"/>
      <c r="E100" s="12"/>
      <c r="F100" s="12"/>
      <c r="G100" s="12"/>
      <c r="H100" s="12"/>
      <c r="I100" s="12"/>
      <c r="J100" s="12"/>
      <c r="K100" s="12"/>
      <c r="L100" s="12"/>
      <c r="M100" s="12">
        <v>66</v>
      </c>
      <c r="N100" s="12">
        <v>0</v>
      </c>
      <c r="O100" s="40">
        <v>0</v>
      </c>
      <c r="P100" s="40">
        <v>0</v>
      </c>
      <c r="Q100" s="40">
        <v>1</v>
      </c>
      <c r="R100" s="40">
        <v>0</v>
      </c>
      <c r="S100" s="40">
        <v>0.5</v>
      </c>
      <c r="T100" s="40">
        <v>0.39</v>
      </c>
      <c r="U100" s="40">
        <v>0</v>
      </c>
      <c r="V100" s="12" t="s">
        <v>126</v>
      </c>
      <c r="W100" s="12" t="s">
        <v>126</v>
      </c>
      <c r="X100" s="12"/>
      <c r="Y100" s="12"/>
      <c r="Z100" s="12"/>
      <c r="AA100" s="12"/>
      <c r="AB100" s="12"/>
      <c r="AC100" s="12"/>
      <c r="AD100" s="12"/>
      <c r="AE100" s="12" t="s">
        <v>126</v>
      </c>
      <c r="AF100" s="12" t="s">
        <v>126</v>
      </c>
      <c r="AG100" s="12"/>
      <c r="AH100" s="12"/>
      <c r="AI100" s="12"/>
      <c r="AJ100" s="12"/>
      <c r="AK100" s="12"/>
      <c r="AL100" s="12"/>
      <c r="AM100" s="12"/>
      <c r="AN100" s="41"/>
      <c r="AO100" s="41"/>
      <c r="AP100" s="41"/>
      <c r="AQ100" s="41"/>
      <c r="AR100" s="41"/>
      <c r="AS100" s="41"/>
      <c r="AT100" s="41"/>
      <c r="AU100" s="41"/>
      <c r="AV100" s="41"/>
      <c r="AW100" s="646"/>
      <c r="AX100" s="646"/>
      <c r="AY100" s="646"/>
      <c r="AZ100" s="646"/>
      <c r="BA100" s="646"/>
      <c r="BB100" s="646"/>
      <c r="BC100" s="646"/>
      <c r="BD100" s="646"/>
      <c r="BE100" s="646"/>
      <c r="BF100" s="646"/>
      <c r="BG100" s="646"/>
      <c r="BH100" s="649"/>
      <c r="BI100" s="649"/>
      <c r="BJ100" s="649"/>
      <c r="BK100" s="649"/>
      <c r="BL100" s="650"/>
      <c r="BM100" s="650"/>
      <c r="BN100" s="650"/>
      <c r="BO100" s="649"/>
      <c r="BP100" s="649"/>
      <c r="BQ100" s="649"/>
      <c r="BR100" s="649"/>
      <c r="BS100" s="649"/>
      <c r="BT100" s="649"/>
      <c r="BU100" s="650"/>
      <c r="BV100" s="650"/>
      <c r="BW100" s="650"/>
      <c r="BX100" s="649"/>
      <c r="BY100" s="651"/>
      <c r="BZ100" s="651"/>
      <c r="CA100" s="651"/>
      <c r="CB100" s="651"/>
      <c r="CC100" s="651"/>
      <c r="CD100" s="651"/>
      <c r="CE100" s="651"/>
      <c r="CF100" s="651"/>
      <c r="CG100" s="651"/>
      <c r="CH100" s="651"/>
      <c r="CI100" s="651"/>
      <c r="CJ100" s="650"/>
      <c r="CK100" s="650"/>
      <c r="CL100" s="650"/>
      <c r="CM100" s="650"/>
      <c r="CN100" s="650"/>
      <c r="CO100" s="650"/>
      <c r="CP100" s="650"/>
      <c r="CQ100" s="650"/>
      <c r="CR100" s="642"/>
      <c r="CS100" s="650"/>
      <c r="CT100" s="650"/>
      <c r="CY100" s="949"/>
      <c r="CZ100" s="949"/>
      <c r="DA100" s="949"/>
      <c r="DB100" s="949"/>
      <c r="DC100" s="949"/>
      <c r="DD100" s="949"/>
      <c r="DE100" s="949"/>
      <c r="DG100" s="892"/>
    </row>
    <row r="101" spans="1:111" ht="24.95" customHeight="1" x14ac:dyDescent="0.2">
      <c r="A101" s="803" t="s">
        <v>55</v>
      </c>
      <c r="B101" s="1" t="s">
        <v>121</v>
      </c>
      <c r="C101" s="12">
        <v>1</v>
      </c>
      <c r="D101" s="12">
        <v>51</v>
      </c>
      <c r="E101" s="12">
        <v>10</v>
      </c>
      <c r="F101" s="66">
        <v>7.0000000000000007E-2</v>
      </c>
      <c r="G101" s="66">
        <v>0.44</v>
      </c>
      <c r="H101" s="66">
        <v>0.48</v>
      </c>
      <c r="I101" s="66">
        <v>0.01</v>
      </c>
      <c r="J101" s="66">
        <v>0.55000000000000004</v>
      </c>
      <c r="K101" s="66">
        <v>0.46</v>
      </c>
      <c r="L101" s="66">
        <v>0.55000000000000004</v>
      </c>
      <c r="M101" s="12">
        <v>52</v>
      </c>
      <c r="N101" s="12">
        <v>9</v>
      </c>
      <c r="O101" s="40">
        <v>0.03</v>
      </c>
      <c r="P101" s="40">
        <v>0.38</v>
      </c>
      <c r="Q101" s="40">
        <v>0.56999999999999995</v>
      </c>
      <c r="R101" s="40">
        <v>0.01</v>
      </c>
      <c r="S101" s="40">
        <v>0.46</v>
      </c>
      <c r="T101" s="40">
        <v>0.56000000000000005</v>
      </c>
      <c r="U101" s="40">
        <v>0.36</v>
      </c>
      <c r="V101" s="12">
        <v>52</v>
      </c>
      <c r="W101" s="12">
        <v>9</v>
      </c>
      <c r="X101" s="66">
        <v>0.04</v>
      </c>
      <c r="Y101" s="66">
        <v>0.38</v>
      </c>
      <c r="Z101" s="66">
        <v>0.57999999999999996</v>
      </c>
      <c r="AA101" s="66">
        <v>0.01</v>
      </c>
      <c r="AB101" s="66">
        <v>0.48</v>
      </c>
      <c r="AC101" s="66">
        <v>0.37</v>
      </c>
      <c r="AD101" s="66">
        <v>0.53</v>
      </c>
      <c r="AE101" s="12">
        <v>52</v>
      </c>
      <c r="AF101" s="12">
        <v>10</v>
      </c>
      <c r="AG101" s="66">
        <v>0.05</v>
      </c>
      <c r="AH101" s="66">
        <v>0.36</v>
      </c>
      <c r="AI101" s="66">
        <v>0.57999999999999996</v>
      </c>
      <c r="AJ101" s="66">
        <v>0.02</v>
      </c>
      <c r="AK101" s="66">
        <v>0.53</v>
      </c>
      <c r="AL101" s="66">
        <v>0.48</v>
      </c>
      <c r="AM101" s="66">
        <v>0.28999999999999998</v>
      </c>
      <c r="AN101" s="45">
        <v>52</v>
      </c>
      <c r="AO101" s="45">
        <v>10</v>
      </c>
      <c r="AP101" s="46">
        <v>0.06</v>
      </c>
      <c r="AQ101" s="46">
        <v>0.38</v>
      </c>
      <c r="AR101" s="46">
        <v>0.53</v>
      </c>
      <c r="AS101" s="46">
        <v>0.04</v>
      </c>
      <c r="AT101" s="46">
        <v>0.28000000000000003</v>
      </c>
      <c r="AU101" s="46">
        <v>0.51</v>
      </c>
      <c r="AV101" s="46">
        <v>0.53</v>
      </c>
      <c r="AW101" s="647">
        <v>52</v>
      </c>
      <c r="AX101" s="647" t="s">
        <v>758</v>
      </c>
      <c r="AY101" s="647">
        <v>8</v>
      </c>
      <c r="AZ101" s="647" t="s">
        <v>758</v>
      </c>
      <c r="BA101" s="648">
        <v>0.02</v>
      </c>
      <c r="BB101" s="648">
        <v>0.41</v>
      </c>
      <c r="BC101" s="648">
        <v>0.56000000000000005</v>
      </c>
      <c r="BD101" s="648">
        <v>0.01</v>
      </c>
      <c r="BE101" s="648">
        <v>0.28999999999999998</v>
      </c>
      <c r="BF101" s="648">
        <v>0.51</v>
      </c>
      <c r="BG101" s="648">
        <v>0.48</v>
      </c>
      <c r="BH101" s="74">
        <v>50</v>
      </c>
      <c r="BI101" s="74" t="s">
        <v>758</v>
      </c>
      <c r="BJ101" s="74">
        <v>9</v>
      </c>
      <c r="BK101" s="74" t="s">
        <v>758</v>
      </c>
      <c r="BL101" s="74"/>
      <c r="BM101" s="74"/>
      <c r="BN101" s="74"/>
      <c r="BO101" s="96">
        <v>0.05</v>
      </c>
      <c r="BP101" s="96">
        <v>0.42</v>
      </c>
      <c r="BQ101" s="96">
        <v>0.52</v>
      </c>
      <c r="BR101" s="96">
        <v>0.01</v>
      </c>
      <c r="BS101" s="96">
        <v>0.56000000000000005</v>
      </c>
      <c r="BT101" s="96">
        <v>0.61</v>
      </c>
      <c r="BU101" s="96"/>
      <c r="BV101" s="96"/>
      <c r="BW101" s="96"/>
      <c r="BX101" s="96">
        <v>0.42</v>
      </c>
      <c r="BY101" s="652">
        <v>50</v>
      </c>
      <c r="BZ101" s="652" t="s">
        <v>758</v>
      </c>
      <c r="CA101" s="652">
        <v>10</v>
      </c>
      <c r="CB101" s="652" t="s">
        <v>758</v>
      </c>
      <c r="CC101" s="653">
        <v>0.08</v>
      </c>
      <c r="CD101" s="653">
        <v>0.45</v>
      </c>
      <c r="CE101" s="653">
        <v>0.45</v>
      </c>
      <c r="CF101" s="653">
        <v>0.02</v>
      </c>
      <c r="CG101" s="653">
        <v>0.64</v>
      </c>
      <c r="CH101" s="653">
        <v>0.43</v>
      </c>
      <c r="CI101" s="653">
        <v>0.62</v>
      </c>
      <c r="CJ101" s="74">
        <v>52</v>
      </c>
      <c r="CK101" s="74" t="s">
        <v>758</v>
      </c>
      <c r="CL101" s="74">
        <v>11</v>
      </c>
      <c r="CM101" s="74" t="s">
        <v>758</v>
      </c>
      <c r="CN101" s="96">
        <v>0.06</v>
      </c>
      <c r="CO101" s="96">
        <v>0.41</v>
      </c>
      <c r="CP101" s="96">
        <v>0.46</v>
      </c>
      <c r="CQ101" s="96">
        <v>0.06</v>
      </c>
      <c r="CR101" s="655">
        <v>0.55000000000000004</v>
      </c>
      <c r="CS101" s="96">
        <v>0.54</v>
      </c>
      <c r="CT101" s="96">
        <v>0.44</v>
      </c>
      <c r="CU101" s="902">
        <v>53</v>
      </c>
      <c r="CV101" s="902" t="s">
        <v>758</v>
      </c>
      <c r="CW101" s="902">
        <v>9</v>
      </c>
      <c r="CX101" s="902" t="s">
        <v>758</v>
      </c>
      <c r="CY101" s="949">
        <v>0.04</v>
      </c>
      <c r="CZ101" s="949">
        <v>0.31</v>
      </c>
      <c r="DA101" s="949">
        <v>0.62</v>
      </c>
      <c r="DB101" s="949">
        <v>0.03</v>
      </c>
      <c r="DC101" s="949">
        <v>0.57999999999999996</v>
      </c>
      <c r="DD101" s="949">
        <v>0.48</v>
      </c>
      <c r="DE101" s="949">
        <v>0.36</v>
      </c>
      <c r="DF101" s="922">
        <v>125754003569</v>
      </c>
      <c r="DG101" s="892" t="e">
        <f>VLOOKUP(DF101,#REF!,3,0)</f>
        <v>#REF!</v>
      </c>
    </row>
    <row r="102" spans="1:111" ht="24.95" customHeight="1" x14ac:dyDescent="0.2">
      <c r="A102" s="803" t="s">
        <v>22</v>
      </c>
      <c r="B102" s="1" t="s">
        <v>121</v>
      </c>
      <c r="C102" s="12">
        <v>6</v>
      </c>
      <c r="D102" s="12">
        <v>51</v>
      </c>
      <c r="E102" s="12">
        <v>9</v>
      </c>
      <c r="F102" s="66">
        <v>0.02</v>
      </c>
      <c r="G102" s="66">
        <v>0.52</v>
      </c>
      <c r="H102" s="66">
        <v>0.46</v>
      </c>
      <c r="I102" s="66">
        <v>0</v>
      </c>
      <c r="J102" s="66">
        <v>0.53</v>
      </c>
      <c r="K102" s="66">
        <v>0.49</v>
      </c>
      <c r="L102" s="66">
        <v>0.53</v>
      </c>
      <c r="M102" s="12">
        <v>50</v>
      </c>
      <c r="N102" s="12">
        <v>10</v>
      </c>
      <c r="O102" s="40">
        <v>0.08</v>
      </c>
      <c r="P102" s="40">
        <v>0.43</v>
      </c>
      <c r="Q102" s="40">
        <v>0.48</v>
      </c>
      <c r="R102" s="40">
        <v>0.01</v>
      </c>
      <c r="S102" s="40">
        <v>0.49</v>
      </c>
      <c r="T102" s="40">
        <v>0.57999999999999996</v>
      </c>
      <c r="U102" s="40">
        <v>0.38</v>
      </c>
      <c r="V102" s="12">
        <v>49</v>
      </c>
      <c r="W102" s="12">
        <v>9</v>
      </c>
      <c r="X102" s="66">
        <v>0.06</v>
      </c>
      <c r="Y102" s="66">
        <v>0.54</v>
      </c>
      <c r="Z102" s="66">
        <v>0.41</v>
      </c>
      <c r="AA102" s="66">
        <v>0</v>
      </c>
      <c r="AB102" s="66">
        <v>0.54</v>
      </c>
      <c r="AC102" s="66">
        <v>0.41</v>
      </c>
      <c r="AD102" s="66">
        <v>0.56999999999999995</v>
      </c>
      <c r="AE102" s="12">
        <v>51</v>
      </c>
      <c r="AF102" s="12">
        <v>10</v>
      </c>
      <c r="AG102" s="66">
        <v>0.05</v>
      </c>
      <c r="AH102" s="66">
        <v>0.41</v>
      </c>
      <c r="AI102" s="66">
        <v>0.53</v>
      </c>
      <c r="AJ102" s="66">
        <v>0.02</v>
      </c>
      <c r="AK102" s="66">
        <v>0.54</v>
      </c>
      <c r="AL102" s="66">
        <v>0.49</v>
      </c>
      <c r="AM102" s="66">
        <v>0.31</v>
      </c>
      <c r="AN102" s="35">
        <v>52</v>
      </c>
      <c r="AO102" s="35">
        <v>9</v>
      </c>
      <c r="AP102" s="40">
        <v>0.03</v>
      </c>
      <c r="AQ102" s="40">
        <v>0.39</v>
      </c>
      <c r="AR102" s="40">
        <v>0.56000000000000005</v>
      </c>
      <c r="AS102" s="40">
        <v>0.02</v>
      </c>
      <c r="AT102" s="40">
        <v>0.28000000000000003</v>
      </c>
      <c r="AU102" s="40">
        <v>0.49</v>
      </c>
      <c r="AV102" s="40">
        <v>0.54</v>
      </c>
      <c r="AW102" s="246">
        <v>50</v>
      </c>
      <c r="AX102" s="246" t="s">
        <v>758</v>
      </c>
      <c r="AY102" s="246">
        <v>9</v>
      </c>
      <c r="AZ102" s="246" t="s">
        <v>758</v>
      </c>
      <c r="BA102" s="263">
        <v>0.05</v>
      </c>
      <c r="BB102" s="263">
        <v>0.52</v>
      </c>
      <c r="BC102" s="263">
        <v>0.42</v>
      </c>
      <c r="BD102" s="263">
        <v>0.02</v>
      </c>
      <c r="BE102" s="263">
        <v>0.32</v>
      </c>
      <c r="BF102" s="263">
        <v>0.54</v>
      </c>
      <c r="BG102" s="263">
        <v>0.51</v>
      </c>
      <c r="BH102" s="309">
        <v>50</v>
      </c>
      <c r="BI102" s="309" t="s">
        <v>758</v>
      </c>
      <c r="BJ102" s="309">
        <v>10</v>
      </c>
      <c r="BK102" s="309" t="s">
        <v>758</v>
      </c>
      <c r="BL102" s="464"/>
      <c r="BM102" s="464"/>
      <c r="BN102" s="464"/>
      <c r="BO102" s="327">
        <v>0.08</v>
      </c>
      <c r="BP102" s="327">
        <v>0.49</v>
      </c>
      <c r="BQ102" s="327">
        <v>0.43</v>
      </c>
      <c r="BR102" s="327">
        <v>0.01</v>
      </c>
      <c r="BS102" s="327">
        <v>0.55000000000000004</v>
      </c>
      <c r="BT102" s="327">
        <v>0.59</v>
      </c>
      <c r="BU102" s="476"/>
      <c r="BV102" s="476"/>
      <c r="BW102" s="476"/>
      <c r="BX102" s="327">
        <v>0.42</v>
      </c>
      <c r="BY102" s="424">
        <v>50</v>
      </c>
      <c r="BZ102" s="424" t="s">
        <v>758</v>
      </c>
      <c r="CA102" s="424">
        <v>10</v>
      </c>
      <c r="CB102" s="424" t="s">
        <v>758</v>
      </c>
      <c r="CC102" s="428">
        <v>0.08</v>
      </c>
      <c r="CD102" s="428">
        <v>0.49</v>
      </c>
      <c r="CE102" s="428">
        <v>0.4</v>
      </c>
      <c r="CF102" s="428">
        <v>0.04</v>
      </c>
      <c r="CG102" s="428">
        <v>0.67</v>
      </c>
      <c r="CH102" s="428">
        <v>0.44</v>
      </c>
      <c r="CI102" s="428">
        <v>0.6</v>
      </c>
      <c r="CJ102" s="464">
        <v>51</v>
      </c>
      <c r="CK102" s="464" t="s">
        <v>758</v>
      </c>
      <c r="CL102" s="464">
        <v>10</v>
      </c>
      <c r="CM102" s="464" t="s">
        <v>758</v>
      </c>
      <c r="CN102" s="476">
        <v>0.06</v>
      </c>
      <c r="CO102" s="476">
        <v>0.41</v>
      </c>
      <c r="CP102" s="476">
        <v>0.49</v>
      </c>
      <c r="CQ102" s="476">
        <v>0.03</v>
      </c>
      <c r="CR102" s="476">
        <v>0.62</v>
      </c>
      <c r="CS102" s="476">
        <v>0.57999999999999996</v>
      </c>
      <c r="CT102" s="476">
        <v>0.41</v>
      </c>
      <c r="CU102" s="902">
        <v>52</v>
      </c>
      <c r="CV102" s="902" t="s">
        <v>758</v>
      </c>
      <c r="CW102" s="902">
        <v>10</v>
      </c>
      <c r="CX102" s="902" t="s">
        <v>758</v>
      </c>
      <c r="CY102" s="949">
        <v>0.05</v>
      </c>
      <c r="CZ102" s="949">
        <v>0.37</v>
      </c>
      <c r="DA102" s="949">
        <v>0.55000000000000004</v>
      </c>
      <c r="DB102" s="949">
        <v>0.03</v>
      </c>
      <c r="DC102" s="949">
        <v>0.59</v>
      </c>
      <c r="DD102" s="949">
        <v>0.53</v>
      </c>
      <c r="DE102" s="949">
        <v>0.35</v>
      </c>
      <c r="DF102" s="922">
        <v>325754001590</v>
      </c>
      <c r="DG102" s="892" t="e">
        <f>VLOOKUP(DF102,#REF!,3,0)</f>
        <v>#REF!</v>
      </c>
    </row>
    <row r="103" spans="1:111" ht="24.95" customHeight="1" x14ac:dyDescent="0.2">
      <c r="A103" s="803" t="s">
        <v>83</v>
      </c>
      <c r="B103" s="1" t="s">
        <v>121</v>
      </c>
      <c r="C103" s="12">
        <v>5</v>
      </c>
      <c r="D103" s="12">
        <v>53</v>
      </c>
      <c r="E103" s="12">
        <v>9</v>
      </c>
      <c r="F103" s="66">
        <v>0.03</v>
      </c>
      <c r="G103" s="66">
        <v>0.35</v>
      </c>
      <c r="H103" s="66">
        <v>0.6</v>
      </c>
      <c r="I103" s="66">
        <v>0.01</v>
      </c>
      <c r="J103" s="66">
        <v>0.51</v>
      </c>
      <c r="K103" s="66">
        <v>0.41</v>
      </c>
      <c r="L103" s="66">
        <v>0.5</v>
      </c>
      <c r="M103" s="12">
        <v>53</v>
      </c>
      <c r="N103" s="12">
        <v>10</v>
      </c>
      <c r="O103" s="40">
        <v>0.05</v>
      </c>
      <c r="P103" s="40">
        <v>0.34</v>
      </c>
      <c r="Q103" s="40">
        <v>0.57999999999999996</v>
      </c>
      <c r="R103" s="40">
        <v>0.03</v>
      </c>
      <c r="S103" s="40">
        <v>0.46</v>
      </c>
      <c r="T103" s="40">
        <v>0.53</v>
      </c>
      <c r="U103" s="40">
        <v>0.34</v>
      </c>
      <c r="V103" s="12">
        <v>51</v>
      </c>
      <c r="W103" s="12">
        <v>9</v>
      </c>
      <c r="X103" s="66">
        <v>0.05</v>
      </c>
      <c r="Y103" s="66">
        <v>0.45</v>
      </c>
      <c r="Z103" s="66">
        <v>0.49</v>
      </c>
      <c r="AA103" s="66">
        <v>0.02</v>
      </c>
      <c r="AB103" s="66">
        <v>0.51</v>
      </c>
      <c r="AC103" s="66">
        <v>0.38</v>
      </c>
      <c r="AD103" s="66">
        <v>0.52</v>
      </c>
      <c r="AE103" s="12">
        <v>54</v>
      </c>
      <c r="AF103" s="12">
        <v>9</v>
      </c>
      <c r="AG103" s="66">
        <v>0.02</v>
      </c>
      <c r="AH103" s="66">
        <v>0.35</v>
      </c>
      <c r="AI103" s="66">
        <v>0.6</v>
      </c>
      <c r="AJ103" s="66">
        <v>0.04</v>
      </c>
      <c r="AK103" s="66">
        <v>0.51</v>
      </c>
      <c r="AL103" s="66">
        <v>0.44</v>
      </c>
      <c r="AM103" s="66">
        <v>0.28000000000000003</v>
      </c>
      <c r="AN103" s="35">
        <v>53</v>
      </c>
      <c r="AO103" s="35">
        <v>8</v>
      </c>
      <c r="AP103" s="40">
        <v>0.02</v>
      </c>
      <c r="AQ103" s="40">
        <v>0.38</v>
      </c>
      <c r="AR103" s="40">
        <v>0.59</v>
      </c>
      <c r="AS103" s="40">
        <v>0.01</v>
      </c>
      <c r="AT103" s="40">
        <v>0.28000000000000003</v>
      </c>
      <c r="AU103" s="40">
        <v>0.5</v>
      </c>
      <c r="AV103" s="40">
        <v>0.5</v>
      </c>
      <c r="AW103" s="246">
        <v>51</v>
      </c>
      <c r="AX103" s="246" t="s">
        <v>758</v>
      </c>
      <c r="AY103" s="246">
        <v>10</v>
      </c>
      <c r="AZ103" s="246" t="s">
        <v>758</v>
      </c>
      <c r="BA103" s="263">
        <v>0.05</v>
      </c>
      <c r="BB103" s="263">
        <v>0.4</v>
      </c>
      <c r="BC103" s="263">
        <v>0.5</v>
      </c>
      <c r="BD103" s="263">
        <v>0.04</v>
      </c>
      <c r="BE103" s="263">
        <v>0.28000000000000003</v>
      </c>
      <c r="BF103" s="263">
        <v>0.51</v>
      </c>
      <c r="BG103" s="263">
        <v>0.47</v>
      </c>
      <c r="BH103" s="309">
        <v>52</v>
      </c>
      <c r="BI103" s="309" t="s">
        <v>758</v>
      </c>
      <c r="BJ103" s="309">
        <v>10</v>
      </c>
      <c r="BK103" s="309" t="s">
        <v>758</v>
      </c>
      <c r="BL103" s="464"/>
      <c r="BM103" s="464"/>
      <c r="BN103" s="464"/>
      <c r="BO103" s="327">
        <v>0.05</v>
      </c>
      <c r="BP103" s="327">
        <v>0.38</v>
      </c>
      <c r="BQ103" s="327">
        <v>0.56000000000000005</v>
      </c>
      <c r="BR103" s="327">
        <v>0.01</v>
      </c>
      <c r="BS103" s="327">
        <v>0.56000000000000005</v>
      </c>
      <c r="BT103" s="327">
        <v>0.57999999999999996</v>
      </c>
      <c r="BU103" s="476"/>
      <c r="BV103" s="476"/>
      <c r="BW103" s="476"/>
      <c r="BX103" s="327">
        <v>0.41</v>
      </c>
      <c r="BY103" s="424">
        <v>53</v>
      </c>
      <c r="BZ103" s="424" t="s">
        <v>758</v>
      </c>
      <c r="CA103" s="424">
        <v>10</v>
      </c>
      <c r="CB103" s="424" t="s">
        <v>758</v>
      </c>
      <c r="CC103" s="428">
        <v>7.0000000000000007E-2</v>
      </c>
      <c r="CD103" s="428">
        <v>0.31</v>
      </c>
      <c r="CE103" s="428">
        <v>0.56999999999999995</v>
      </c>
      <c r="CF103" s="428">
        <v>0.04</v>
      </c>
      <c r="CG103" s="428">
        <v>0.62</v>
      </c>
      <c r="CH103" s="428">
        <v>0.38</v>
      </c>
      <c r="CI103" s="428">
        <v>0.57999999999999996</v>
      </c>
      <c r="CJ103" s="464">
        <v>55</v>
      </c>
      <c r="CK103" s="464" t="s">
        <v>758</v>
      </c>
      <c r="CL103" s="464">
        <v>11</v>
      </c>
      <c r="CM103" s="464" t="s">
        <v>758</v>
      </c>
      <c r="CN103" s="476">
        <v>0.05</v>
      </c>
      <c r="CO103" s="476">
        <v>0.23</v>
      </c>
      <c r="CP103" s="476">
        <v>0.65</v>
      </c>
      <c r="CQ103" s="476">
        <v>0.08</v>
      </c>
      <c r="CR103" s="476">
        <v>0.51</v>
      </c>
      <c r="CS103" s="476">
        <v>0.46</v>
      </c>
      <c r="CT103" s="476">
        <v>0.38</v>
      </c>
      <c r="CU103" s="902">
        <v>54</v>
      </c>
      <c r="CV103" s="902" t="s">
        <v>758</v>
      </c>
      <c r="CW103" s="902">
        <v>10</v>
      </c>
      <c r="CX103" s="902" t="s">
        <v>758</v>
      </c>
      <c r="CY103" s="949">
        <v>0.04</v>
      </c>
      <c r="CZ103" s="949">
        <v>0.33</v>
      </c>
      <c r="DA103" s="949">
        <v>0.56999999999999995</v>
      </c>
      <c r="DB103" s="949">
        <v>7.0000000000000007E-2</v>
      </c>
      <c r="DC103" s="949">
        <v>0.6</v>
      </c>
      <c r="DD103" s="949">
        <v>0.48</v>
      </c>
      <c r="DE103" s="949">
        <v>0.36</v>
      </c>
      <c r="DF103" s="922">
        <v>125754002147</v>
      </c>
      <c r="DG103" s="892" t="e">
        <f>VLOOKUP(DF103,#REF!,3,0)</f>
        <v>#REF!</v>
      </c>
    </row>
    <row r="104" spans="1:111" ht="24.95" customHeight="1" x14ac:dyDescent="0.2">
      <c r="A104" s="803" t="s">
        <v>65</v>
      </c>
      <c r="B104" s="1" t="s">
        <v>121</v>
      </c>
      <c r="C104" s="12">
        <v>4</v>
      </c>
      <c r="D104" s="12">
        <v>47</v>
      </c>
      <c r="E104" s="12">
        <v>9</v>
      </c>
      <c r="F104" s="66">
        <v>0.11</v>
      </c>
      <c r="G104" s="66">
        <v>0.56999999999999995</v>
      </c>
      <c r="H104" s="66">
        <v>0.3</v>
      </c>
      <c r="I104" s="66">
        <v>0.01</v>
      </c>
      <c r="J104" s="66">
        <v>0.61</v>
      </c>
      <c r="K104" s="66">
        <v>0.59</v>
      </c>
      <c r="L104" s="66">
        <v>0.57999999999999996</v>
      </c>
      <c r="M104" s="12">
        <v>50</v>
      </c>
      <c r="N104" s="12">
        <v>10</v>
      </c>
      <c r="O104" s="40">
        <v>7.0000000000000007E-2</v>
      </c>
      <c r="P104" s="40">
        <v>0.5</v>
      </c>
      <c r="Q104" s="40">
        <v>0.41</v>
      </c>
      <c r="R104" s="40">
        <v>0.02</v>
      </c>
      <c r="S104" s="40">
        <v>0.49</v>
      </c>
      <c r="T104" s="40">
        <v>0.56999999999999995</v>
      </c>
      <c r="U104" s="40">
        <v>0.4</v>
      </c>
      <c r="V104" s="12">
        <v>49</v>
      </c>
      <c r="W104" s="12">
        <v>11</v>
      </c>
      <c r="X104" s="66">
        <v>0.14000000000000001</v>
      </c>
      <c r="Y104" s="66">
        <v>0.39</v>
      </c>
      <c r="Z104" s="66">
        <v>0.45</v>
      </c>
      <c r="AA104" s="66">
        <v>0.03</v>
      </c>
      <c r="AB104" s="66">
        <v>0.52</v>
      </c>
      <c r="AC104" s="66">
        <v>0.43</v>
      </c>
      <c r="AD104" s="66">
        <v>0.56000000000000005</v>
      </c>
      <c r="AE104" s="12">
        <v>46</v>
      </c>
      <c r="AF104" s="12">
        <v>10</v>
      </c>
      <c r="AG104" s="66">
        <v>0.13</v>
      </c>
      <c r="AH104" s="66">
        <v>0.6</v>
      </c>
      <c r="AI104" s="66">
        <v>0.25</v>
      </c>
      <c r="AJ104" s="66">
        <v>0.02</v>
      </c>
      <c r="AK104" s="66">
        <v>0.62</v>
      </c>
      <c r="AL104" s="66">
        <v>0.56000000000000005</v>
      </c>
      <c r="AM104" s="66">
        <v>0.37</v>
      </c>
      <c r="AN104" s="35">
        <v>47</v>
      </c>
      <c r="AO104" s="35">
        <v>9</v>
      </c>
      <c r="AP104" s="40">
        <v>0.08</v>
      </c>
      <c r="AQ104" s="40">
        <v>0.52</v>
      </c>
      <c r="AR104" s="40">
        <v>0.4</v>
      </c>
      <c r="AS104" s="40">
        <v>0</v>
      </c>
      <c r="AT104" s="40">
        <v>0.36</v>
      </c>
      <c r="AU104" s="40">
        <v>0.59</v>
      </c>
      <c r="AV104" s="40">
        <v>0.6</v>
      </c>
      <c r="AW104" s="246">
        <v>45</v>
      </c>
      <c r="AX104" s="246" t="s">
        <v>758</v>
      </c>
      <c r="AY104" s="246">
        <v>10</v>
      </c>
      <c r="AZ104" s="246" t="s">
        <v>758</v>
      </c>
      <c r="BA104" s="263">
        <v>0.18</v>
      </c>
      <c r="BB104" s="263">
        <v>0.54</v>
      </c>
      <c r="BC104" s="263">
        <v>0.27</v>
      </c>
      <c r="BD104" s="263">
        <v>0.01</v>
      </c>
      <c r="BE104" s="263">
        <v>0.41</v>
      </c>
      <c r="BF104" s="263">
        <v>0.6</v>
      </c>
      <c r="BG104" s="263">
        <v>0.55000000000000004</v>
      </c>
      <c r="BH104" s="309">
        <v>47</v>
      </c>
      <c r="BI104" s="309" t="s">
        <v>758</v>
      </c>
      <c r="BJ104" s="309">
        <v>10</v>
      </c>
      <c r="BK104" s="309" t="s">
        <v>758</v>
      </c>
      <c r="BL104" s="464"/>
      <c r="BM104" s="464"/>
      <c r="BN104" s="464"/>
      <c r="BO104" s="327">
        <v>0.09</v>
      </c>
      <c r="BP104" s="327">
        <v>0.52</v>
      </c>
      <c r="BQ104" s="327">
        <v>0.38</v>
      </c>
      <c r="BR104" s="327">
        <v>0.01</v>
      </c>
      <c r="BS104" s="327">
        <v>0.59</v>
      </c>
      <c r="BT104" s="327">
        <v>0.69</v>
      </c>
      <c r="BU104" s="476"/>
      <c r="BV104" s="476"/>
      <c r="BW104" s="476"/>
      <c r="BX104" s="327">
        <v>0.48</v>
      </c>
      <c r="BY104" s="424">
        <v>47</v>
      </c>
      <c r="BZ104" s="424" t="s">
        <v>758</v>
      </c>
      <c r="CA104" s="424">
        <v>10</v>
      </c>
      <c r="CB104" s="424" t="s">
        <v>758</v>
      </c>
      <c r="CC104" s="428">
        <v>0.14000000000000001</v>
      </c>
      <c r="CD104" s="428">
        <v>0.52</v>
      </c>
      <c r="CE104" s="428">
        <v>0.32</v>
      </c>
      <c r="CF104" s="428">
        <v>0.02</v>
      </c>
      <c r="CG104" s="428">
        <v>0.68</v>
      </c>
      <c r="CH104" s="428">
        <v>0.46</v>
      </c>
      <c r="CI104" s="428">
        <v>0.59</v>
      </c>
      <c r="CJ104" s="464">
        <v>48</v>
      </c>
      <c r="CK104" s="464" t="s">
        <v>758</v>
      </c>
      <c r="CL104" s="464">
        <v>10</v>
      </c>
      <c r="CM104" s="464" t="s">
        <v>758</v>
      </c>
      <c r="CN104" s="476">
        <v>0.17</v>
      </c>
      <c r="CO104" s="476">
        <v>0.43</v>
      </c>
      <c r="CP104" s="476">
        <v>0.41</v>
      </c>
      <c r="CQ104" s="476">
        <v>0</v>
      </c>
      <c r="CR104" s="476">
        <v>0.63</v>
      </c>
      <c r="CS104" s="476">
        <v>0.59</v>
      </c>
      <c r="CT104" s="476">
        <v>0.49</v>
      </c>
      <c r="CU104" s="902">
        <v>47</v>
      </c>
      <c r="CV104" s="902" t="s">
        <v>758</v>
      </c>
      <c r="CW104" s="902">
        <v>11</v>
      </c>
      <c r="CX104" s="902" t="s">
        <v>758</v>
      </c>
      <c r="CY104" s="949">
        <v>0.16</v>
      </c>
      <c r="CZ104" s="949">
        <v>0.42</v>
      </c>
      <c r="DA104" s="949">
        <v>0.41</v>
      </c>
      <c r="DB104" s="949">
        <v>0.01</v>
      </c>
      <c r="DC104" s="949">
        <v>0.61</v>
      </c>
      <c r="DD104" s="949">
        <v>0.55000000000000004</v>
      </c>
      <c r="DE104" s="949">
        <v>0.4</v>
      </c>
      <c r="DF104" s="922">
        <v>125754002554</v>
      </c>
      <c r="DG104" s="892" t="e">
        <f>VLOOKUP(DF104,#REF!,3,0)</f>
        <v>#REF!</v>
      </c>
    </row>
    <row r="105" spans="1:111" ht="24.95" customHeight="1" x14ac:dyDescent="0.2">
      <c r="A105" s="803" t="s">
        <v>33</v>
      </c>
      <c r="B105" s="1" t="s">
        <v>121</v>
      </c>
      <c r="C105" s="12">
        <v>4</v>
      </c>
      <c r="D105" s="12">
        <v>48</v>
      </c>
      <c r="E105" s="12">
        <v>8</v>
      </c>
      <c r="F105" s="66">
        <v>0</v>
      </c>
      <c r="G105" s="66">
        <v>0.65</v>
      </c>
      <c r="H105" s="66">
        <v>0.35</v>
      </c>
      <c r="I105" s="66">
        <v>0</v>
      </c>
      <c r="J105" s="66">
        <v>0.6</v>
      </c>
      <c r="K105" s="66">
        <v>0.48</v>
      </c>
      <c r="L105" s="66">
        <v>0.65</v>
      </c>
      <c r="M105" s="12">
        <v>47</v>
      </c>
      <c r="N105" s="12">
        <v>10</v>
      </c>
      <c r="O105" s="40">
        <v>0.14000000000000001</v>
      </c>
      <c r="P105" s="40">
        <v>0.45</v>
      </c>
      <c r="Q105" s="40">
        <v>0.41</v>
      </c>
      <c r="R105" s="40">
        <v>0</v>
      </c>
      <c r="S105" s="40">
        <v>0.52</v>
      </c>
      <c r="T105" s="40">
        <v>0.6</v>
      </c>
      <c r="U105" s="40">
        <v>0.42</v>
      </c>
      <c r="V105" s="12">
        <v>50</v>
      </c>
      <c r="W105" s="12">
        <v>10</v>
      </c>
      <c r="X105" s="66">
        <v>0.1</v>
      </c>
      <c r="Y105" s="66">
        <v>0.41</v>
      </c>
      <c r="Z105" s="66">
        <v>0.48</v>
      </c>
      <c r="AA105" s="66">
        <v>0</v>
      </c>
      <c r="AB105" s="66">
        <v>0.51</v>
      </c>
      <c r="AC105" s="66">
        <v>0.41</v>
      </c>
      <c r="AD105" s="66">
        <v>0.55000000000000004</v>
      </c>
      <c r="AE105" s="12">
        <v>48</v>
      </c>
      <c r="AF105" s="12">
        <v>7</v>
      </c>
      <c r="AG105" s="66">
        <v>0.03</v>
      </c>
      <c r="AH105" s="66">
        <v>0.57999999999999996</v>
      </c>
      <c r="AI105" s="66">
        <v>0.39</v>
      </c>
      <c r="AJ105" s="66">
        <v>0</v>
      </c>
      <c r="AK105" s="66">
        <v>0.63</v>
      </c>
      <c r="AL105" s="66">
        <v>0.51</v>
      </c>
      <c r="AM105" s="66">
        <v>0.35</v>
      </c>
      <c r="AN105" s="35">
        <v>47</v>
      </c>
      <c r="AO105" s="35">
        <v>8</v>
      </c>
      <c r="AP105" s="40">
        <v>0.12</v>
      </c>
      <c r="AQ105" s="40">
        <v>0.52</v>
      </c>
      <c r="AR105" s="40">
        <v>0.36</v>
      </c>
      <c r="AS105" s="40">
        <v>0</v>
      </c>
      <c r="AT105" s="40">
        <v>0.36</v>
      </c>
      <c r="AU105" s="40">
        <v>0.57999999999999996</v>
      </c>
      <c r="AV105" s="40">
        <v>0.56000000000000005</v>
      </c>
      <c r="AW105" s="246">
        <v>47</v>
      </c>
      <c r="AX105" s="246" t="s">
        <v>758</v>
      </c>
      <c r="AY105" s="246">
        <v>8</v>
      </c>
      <c r="AZ105" s="246" t="s">
        <v>758</v>
      </c>
      <c r="BA105" s="263">
        <v>0.09</v>
      </c>
      <c r="BB105" s="263">
        <v>0.47</v>
      </c>
      <c r="BC105" s="263">
        <v>0.44</v>
      </c>
      <c r="BD105" s="263">
        <v>0</v>
      </c>
      <c r="BE105" s="263">
        <v>0.33</v>
      </c>
      <c r="BF105" s="263">
        <v>0.57999999999999996</v>
      </c>
      <c r="BG105" s="263">
        <v>0.56000000000000005</v>
      </c>
      <c r="BH105" s="309">
        <v>49</v>
      </c>
      <c r="BI105" s="309" t="s">
        <v>758</v>
      </c>
      <c r="BJ105" s="309">
        <v>9</v>
      </c>
      <c r="BK105" s="309" t="s">
        <v>758</v>
      </c>
      <c r="BL105" s="464"/>
      <c r="BM105" s="464"/>
      <c r="BN105" s="464"/>
      <c r="BO105" s="327">
        <v>0.06</v>
      </c>
      <c r="BP105" s="327">
        <v>0.52</v>
      </c>
      <c r="BQ105" s="327">
        <v>0.39</v>
      </c>
      <c r="BR105" s="327">
        <v>0.03</v>
      </c>
      <c r="BS105" s="327">
        <v>0.59</v>
      </c>
      <c r="BT105" s="327">
        <v>0.63</v>
      </c>
      <c r="BU105" s="476"/>
      <c r="BV105" s="476"/>
      <c r="BW105" s="476"/>
      <c r="BX105" s="327">
        <v>0.45</v>
      </c>
      <c r="BY105" s="424">
        <v>48</v>
      </c>
      <c r="BZ105" s="424" t="s">
        <v>758</v>
      </c>
      <c r="CA105" s="424">
        <v>10</v>
      </c>
      <c r="CB105" s="424" t="s">
        <v>758</v>
      </c>
      <c r="CC105" s="428">
        <v>7.0000000000000007E-2</v>
      </c>
      <c r="CD105" s="428">
        <v>0.54</v>
      </c>
      <c r="CE105" s="428">
        <v>0.36</v>
      </c>
      <c r="CF105" s="428">
        <v>0.04</v>
      </c>
      <c r="CG105" s="428">
        <v>0.66</v>
      </c>
      <c r="CH105" s="428">
        <v>0.42</v>
      </c>
      <c r="CI105" s="428">
        <v>0.67</v>
      </c>
      <c r="CJ105" s="464">
        <v>50</v>
      </c>
      <c r="CK105" s="464" t="s">
        <v>758</v>
      </c>
      <c r="CL105" s="464">
        <v>12</v>
      </c>
      <c r="CM105" s="464" t="s">
        <v>758</v>
      </c>
      <c r="CN105" s="476">
        <v>0.15</v>
      </c>
      <c r="CO105" s="476">
        <v>0.32</v>
      </c>
      <c r="CP105" s="476">
        <v>0.47</v>
      </c>
      <c r="CQ105" s="476">
        <v>0.06</v>
      </c>
      <c r="CR105" s="476">
        <v>0.61</v>
      </c>
      <c r="CS105" s="476">
        <v>0.56000000000000005</v>
      </c>
      <c r="CT105" s="476">
        <v>0.44</v>
      </c>
      <c r="CU105" s="902">
        <v>53</v>
      </c>
      <c r="CV105" s="902" t="s">
        <v>758</v>
      </c>
      <c r="CW105" s="902">
        <v>11</v>
      </c>
      <c r="CX105" s="902" t="s">
        <v>758</v>
      </c>
      <c r="CY105" s="949">
        <v>0.06</v>
      </c>
      <c r="CZ105" s="949">
        <v>0.28999999999999998</v>
      </c>
      <c r="DA105" s="949">
        <v>0.61</v>
      </c>
      <c r="DB105" s="949">
        <v>0.03</v>
      </c>
      <c r="DC105" s="949">
        <v>0.53</v>
      </c>
      <c r="DD105" s="949">
        <v>0.52</v>
      </c>
      <c r="DE105" s="949">
        <v>0.36</v>
      </c>
      <c r="DF105" s="922">
        <v>125754001973</v>
      </c>
      <c r="DG105" s="892" t="e">
        <f>VLOOKUP(DF105,#REF!,3,0)</f>
        <v>#REF!</v>
      </c>
    </row>
    <row r="106" spans="1:111" ht="24.95" customHeight="1" x14ac:dyDescent="0.2">
      <c r="A106" s="803" t="s">
        <v>773</v>
      </c>
      <c r="B106" s="1" t="s">
        <v>121</v>
      </c>
      <c r="C106" s="12">
        <v>3</v>
      </c>
      <c r="D106" s="12">
        <v>52</v>
      </c>
      <c r="E106" s="12">
        <v>8</v>
      </c>
      <c r="F106" s="66">
        <v>0.02</v>
      </c>
      <c r="G106" s="66">
        <v>0.43</v>
      </c>
      <c r="H106" s="66">
        <v>0.54</v>
      </c>
      <c r="I106" s="66">
        <v>0.01</v>
      </c>
      <c r="J106" s="66">
        <v>0.48</v>
      </c>
      <c r="K106" s="66">
        <v>0.55000000000000004</v>
      </c>
      <c r="L106" s="66">
        <v>0.56000000000000005</v>
      </c>
      <c r="M106" s="12">
        <v>51</v>
      </c>
      <c r="N106" s="12">
        <v>9</v>
      </c>
      <c r="O106" s="40">
        <v>0.05</v>
      </c>
      <c r="P106" s="40">
        <v>0.38</v>
      </c>
      <c r="Q106" s="40">
        <v>0.56000000000000005</v>
      </c>
      <c r="R106" s="40">
        <v>0</v>
      </c>
      <c r="S106" s="40">
        <v>0.48</v>
      </c>
      <c r="T106" s="40">
        <v>0.57999999999999996</v>
      </c>
      <c r="U106" s="40">
        <v>0.38</v>
      </c>
      <c r="V106" s="12">
        <v>52</v>
      </c>
      <c r="W106" s="12">
        <v>9</v>
      </c>
      <c r="X106" s="66">
        <v>0.03</v>
      </c>
      <c r="Y106" s="66">
        <v>0.36</v>
      </c>
      <c r="Z106" s="66">
        <v>0.6</v>
      </c>
      <c r="AA106" s="66">
        <v>0.01</v>
      </c>
      <c r="AB106" s="66">
        <v>0.5</v>
      </c>
      <c r="AC106" s="66">
        <v>0.39</v>
      </c>
      <c r="AD106" s="66">
        <v>0.52</v>
      </c>
      <c r="AE106" s="12">
        <v>51</v>
      </c>
      <c r="AF106" s="12">
        <v>10</v>
      </c>
      <c r="AG106" s="66">
        <v>7.0000000000000007E-2</v>
      </c>
      <c r="AH106" s="66">
        <v>0.41</v>
      </c>
      <c r="AI106" s="66">
        <v>0.51</v>
      </c>
      <c r="AJ106" s="66">
        <v>0.01</v>
      </c>
      <c r="AK106" s="66">
        <v>0.54</v>
      </c>
      <c r="AL106" s="66">
        <v>0.49</v>
      </c>
      <c r="AM106" s="66">
        <v>0.32</v>
      </c>
      <c r="AN106" s="35">
        <v>53</v>
      </c>
      <c r="AO106" s="35">
        <v>9</v>
      </c>
      <c r="AP106" s="40">
        <v>0.03</v>
      </c>
      <c r="AQ106" s="40">
        <v>0.33</v>
      </c>
      <c r="AR106" s="40">
        <v>0.6</v>
      </c>
      <c r="AS106" s="40">
        <v>0.04</v>
      </c>
      <c r="AT106" s="40">
        <v>0.27</v>
      </c>
      <c r="AU106" s="40">
        <v>0.5</v>
      </c>
      <c r="AV106" s="40">
        <v>0.52</v>
      </c>
      <c r="AW106" s="246">
        <v>51</v>
      </c>
      <c r="AX106" s="246" t="s">
        <v>758</v>
      </c>
      <c r="AY106" s="246">
        <v>9</v>
      </c>
      <c r="AZ106" s="246" t="s">
        <v>758</v>
      </c>
      <c r="BA106" s="263">
        <v>0.05</v>
      </c>
      <c r="BB106" s="263">
        <v>0.43</v>
      </c>
      <c r="BC106" s="263">
        <v>0.51</v>
      </c>
      <c r="BD106" s="263">
        <v>0.01</v>
      </c>
      <c r="BE106" s="263">
        <v>0.31</v>
      </c>
      <c r="BF106" s="263">
        <v>0.52</v>
      </c>
      <c r="BG106" s="263">
        <v>0.49</v>
      </c>
      <c r="BH106" s="309">
        <v>54</v>
      </c>
      <c r="BI106" s="309" t="s">
        <v>758</v>
      </c>
      <c r="BJ106" s="309">
        <v>10</v>
      </c>
      <c r="BK106" s="309" t="s">
        <v>758</v>
      </c>
      <c r="BL106" s="464"/>
      <c r="BM106" s="464"/>
      <c r="BN106" s="464"/>
      <c r="BO106" s="327">
        <v>0.03</v>
      </c>
      <c r="BP106" s="327">
        <v>0.28999999999999998</v>
      </c>
      <c r="BQ106" s="327">
        <v>0.63</v>
      </c>
      <c r="BR106" s="327">
        <v>0.05</v>
      </c>
      <c r="BS106" s="327">
        <v>0.49</v>
      </c>
      <c r="BT106" s="327">
        <v>0.57999999999999996</v>
      </c>
      <c r="BU106" s="476"/>
      <c r="BV106" s="476"/>
      <c r="BW106" s="476"/>
      <c r="BX106" s="327">
        <v>0.36</v>
      </c>
      <c r="BY106" s="424">
        <v>53</v>
      </c>
      <c r="BZ106" s="424" t="s">
        <v>758</v>
      </c>
      <c r="CA106" s="424">
        <v>11</v>
      </c>
      <c r="CB106" s="424" t="s">
        <v>758</v>
      </c>
      <c r="CC106" s="428">
        <v>7.0000000000000007E-2</v>
      </c>
      <c r="CD106" s="428">
        <v>0.34</v>
      </c>
      <c r="CE106" s="428">
        <v>0.54</v>
      </c>
      <c r="CF106" s="428">
        <v>0.05</v>
      </c>
      <c r="CG106" s="428">
        <v>0.57999999999999996</v>
      </c>
      <c r="CH106" s="428">
        <v>0.38</v>
      </c>
      <c r="CI106" s="428">
        <v>0.59</v>
      </c>
      <c r="CJ106" s="464">
        <v>55</v>
      </c>
      <c r="CK106" s="464" t="s">
        <v>758</v>
      </c>
      <c r="CL106" s="464">
        <v>10</v>
      </c>
      <c r="CM106" s="464" t="s">
        <v>758</v>
      </c>
      <c r="CN106" s="476">
        <v>0.02</v>
      </c>
      <c r="CO106" s="476">
        <v>0.33</v>
      </c>
      <c r="CP106" s="476">
        <v>0.57999999999999996</v>
      </c>
      <c r="CQ106" s="476">
        <v>0.06</v>
      </c>
      <c r="CR106" s="476">
        <v>0.53</v>
      </c>
      <c r="CS106" s="476">
        <v>0.5</v>
      </c>
      <c r="CT106" s="476">
        <v>0.38</v>
      </c>
      <c r="CU106" s="902">
        <v>54</v>
      </c>
      <c r="CV106" s="902" t="s">
        <v>758</v>
      </c>
      <c r="CW106" s="902">
        <v>11</v>
      </c>
      <c r="CX106" s="902" t="s">
        <v>758</v>
      </c>
      <c r="CY106" s="949">
        <v>0.05</v>
      </c>
      <c r="CZ106" s="949">
        <v>0.34</v>
      </c>
      <c r="DA106" s="949">
        <v>0.55000000000000004</v>
      </c>
      <c r="DB106" s="949">
        <v>0.06</v>
      </c>
      <c r="DC106" s="949">
        <v>0.61</v>
      </c>
      <c r="DD106" s="949">
        <v>0.48</v>
      </c>
      <c r="DE106" s="949">
        <v>0.36</v>
      </c>
      <c r="DF106" s="922">
        <v>125754005600</v>
      </c>
      <c r="DG106" s="892" t="e">
        <f>VLOOKUP(DF106,#REF!,3,0)</f>
        <v>#REF!</v>
      </c>
    </row>
    <row r="107" spans="1:111" ht="24.95" customHeight="1" x14ac:dyDescent="0.2">
      <c r="A107" s="803" t="s">
        <v>78</v>
      </c>
      <c r="B107" s="1" t="s">
        <v>121</v>
      </c>
      <c r="C107" s="12">
        <v>1</v>
      </c>
      <c r="D107" s="12">
        <v>53</v>
      </c>
      <c r="E107" s="12">
        <v>10</v>
      </c>
      <c r="F107" s="66">
        <v>0.04</v>
      </c>
      <c r="G107" s="66">
        <v>0.36</v>
      </c>
      <c r="H107" s="66">
        <v>0.56000000000000005</v>
      </c>
      <c r="I107" s="66">
        <v>0.05</v>
      </c>
      <c r="J107" s="66">
        <v>0.54</v>
      </c>
      <c r="K107" s="66">
        <v>0.51</v>
      </c>
      <c r="L107" s="66">
        <v>0.56999999999999995</v>
      </c>
      <c r="M107" s="12">
        <v>50</v>
      </c>
      <c r="N107" s="12">
        <v>9</v>
      </c>
      <c r="O107" s="40">
        <v>0.04</v>
      </c>
      <c r="P107" s="40">
        <v>0.47</v>
      </c>
      <c r="Q107" s="40">
        <v>0.46</v>
      </c>
      <c r="R107" s="40">
        <v>0.03</v>
      </c>
      <c r="S107" s="40">
        <v>0.51</v>
      </c>
      <c r="T107" s="40">
        <v>0.57999999999999996</v>
      </c>
      <c r="U107" s="40">
        <v>0.37</v>
      </c>
      <c r="V107" s="12">
        <v>49</v>
      </c>
      <c r="W107" s="12">
        <v>9</v>
      </c>
      <c r="X107" s="66">
        <v>0.04</v>
      </c>
      <c r="Y107" s="66">
        <v>0.49</v>
      </c>
      <c r="Z107" s="66">
        <v>0.46</v>
      </c>
      <c r="AA107" s="66">
        <v>0.01</v>
      </c>
      <c r="AB107" s="66">
        <v>0.54</v>
      </c>
      <c r="AC107" s="66">
        <v>0.4</v>
      </c>
      <c r="AD107" s="66">
        <v>0.57999999999999996</v>
      </c>
      <c r="AE107" s="12">
        <v>52</v>
      </c>
      <c r="AF107" s="12">
        <v>9</v>
      </c>
      <c r="AG107" s="66">
        <v>0.04</v>
      </c>
      <c r="AH107" s="66">
        <v>0.35</v>
      </c>
      <c r="AI107" s="66">
        <v>0.61</v>
      </c>
      <c r="AJ107" s="66">
        <v>0.01</v>
      </c>
      <c r="AK107" s="66">
        <v>0.55000000000000004</v>
      </c>
      <c r="AL107" s="66">
        <v>0.45</v>
      </c>
      <c r="AM107" s="66">
        <v>0.28999999999999998</v>
      </c>
      <c r="AN107" s="35">
        <v>51</v>
      </c>
      <c r="AO107" s="35">
        <v>9</v>
      </c>
      <c r="AP107" s="40">
        <v>0.05</v>
      </c>
      <c r="AQ107" s="40">
        <v>0.38</v>
      </c>
      <c r="AR107" s="40">
        <v>0.55000000000000004</v>
      </c>
      <c r="AS107" s="40">
        <v>0.02</v>
      </c>
      <c r="AT107" s="40">
        <v>0.3</v>
      </c>
      <c r="AU107" s="40">
        <v>0.51</v>
      </c>
      <c r="AV107" s="40">
        <v>0.54</v>
      </c>
      <c r="AW107" s="246">
        <v>51</v>
      </c>
      <c r="AX107" s="246" t="s">
        <v>758</v>
      </c>
      <c r="AY107" s="246">
        <v>8</v>
      </c>
      <c r="AZ107" s="246" t="s">
        <v>758</v>
      </c>
      <c r="BA107" s="263">
        <v>0.03</v>
      </c>
      <c r="BB107" s="263">
        <v>0.42</v>
      </c>
      <c r="BC107" s="263">
        <v>0.55000000000000004</v>
      </c>
      <c r="BD107" s="263">
        <v>0</v>
      </c>
      <c r="BE107" s="263">
        <v>0.28999999999999998</v>
      </c>
      <c r="BF107" s="263">
        <v>0.54</v>
      </c>
      <c r="BG107" s="263">
        <v>0.49</v>
      </c>
      <c r="BH107" s="309">
        <v>50</v>
      </c>
      <c r="BI107" s="309" t="s">
        <v>758</v>
      </c>
      <c r="BJ107" s="309">
        <v>9</v>
      </c>
      <c r="BK107" s="309" t="s">
        <v>758</v>
      </c>
      <c r="BL107" s="464"/>
      <c r="BM107" s="464"/>
      <c r="BN107" s="464"/>
      <c r="BO107" s="327">
        <v>0.06</v>
      </c>
      <c r="BP107" s="327">
        <v>0.39</v>
      </c>
      <c r="BQ107" s="327">
        <v>0.55000000000000004</v>
      </c>
      <c r="BR107" s="327">
        <v>0</v>
      </c>
      <c r="BS107" s="327">
        <v>0.54</v>
      </c>
      <c r="BT107" s="327">
        <v>0.64</v>
      </c>
      <c r="BU107" s="476"/>
      <c r="BV107" s="476"/>
      <c r="BW107" s="476"/>
      <c r="BX107" s="327">
        <v>0.43</v>
      </c>
      <c r="BY107" s="424">
        <v>52</v>
      </c>
      <c r="BZ107" s="424" t="s">
        <v>758</v>
      </c>
      <c r="CA107" s="424">
        <v>10</v>
      </c>
      <c r="CB107" s="424" t="s">
        <v>758</v>
      </c>
      <c r="CC107" s="428">
        <v>7.0000000000000007E-2</v>
      </c>
      <c r="CD107" s="428">
        <v>0.36</v>
      </c>
      <c r="CE107" s="428">
        <v>0.55000000000000004</v>
      </c>
      <c r="CF107" s="428">
        <v>0.02</v>
      </c>
      <c r="CG107" s="428">
        <v>0.59</v>
      </c>
      <c r="CH107" s="428">
        <v>0.35</v>
      </c>
      <c r="CI107" s="428">
        <v>0.59</v>
      </c>
      <c r="CJ107" s="464">
        <v>52</v>
      </c>
      <c r="CK107" s="464" t="s">
        <v>758</v>
      </c>
      <c r="CL107" s="464">
        <v>10</v>
      </c>
      <c r="CM107" s="464" t="s">
        <v>758</v>
      </c>
      <c r="CN107" s="476">
        <v>0.04</v>
      </c>
      <c r="CO107" s="476">
        <v>0.42</v>
      </c>
      <c r="CP107" s="476">
        <v>0.5</v>
      </c>
      <c r="CQ107" s="476">
        <v>0.05</v>
      </c>
      <c r="CR107" s="476">
        <v>0.56999999999999995</v>
      </c>
      <c r="CS107" s="476">
        <v>0.53</v>
      </c>
      <c r="CT107" s="476">
        <v>0.39</v>
      </c>
      <c r="CU107" s="902">
        <v>48</v>
      </c>
      <c r="CV107" s="902" t="s">
        <v>758</v>
      </c>
      <c r="CW107" s="902">
        <v>10</v>
      </c>
      <c r="CX107" s="902" t="s">
        <v>758</v>
      </c>
      <c r="CY107" s="949">
        <v>0.08</v>
      </c>
      <c r="CZ107" s="949">
        <v>0.49</v>
      </c>
      <c r="DA107" s="949">
        <v>0.41</v>
      </c>
      <c r="DB107" s="949">
        <v>0.02</v>
      </c>
      <c r="DC107" s="949">
        <v>0.65</v>
      </c>
      <c r="DD107" s="949">
        <v>0.56999999999999995</v>
      </c>
      <c r="DE107" s="949">
        <v>0.42</v>
      </c>
      <c r="DF107" s="922">
        <v>125754001418</v>
      </c>
      <c r="DG107" s="892" t="e">
        <f>VLOOKUP(DF107,#REF!,3,0)</f>
        <v>#REF!</v>
      </c>
    </row>
    <row r="108" spans="1:111" ht="24.95" customHeight="1" x14ac:dyDescent="0.2">
      <c r="A108" s="809" t="s">
        <v>177</v>
      </c>
      <c r="B108" s="14" t="s">
        <v>121</v>
      </c>
      <c r="C108" s="12">
        <v>3</v>
      </c>
      <c r="D108" s="12">
        <v>50</v>
      </c>
      <c r="E108" s="12">
        <v>9</v>
      </c>
      <c r="F108" s="66">
        <v>0.04</v>
      </c>
      <c r="G108" s="66">
        <v>0.53</v>
      </c>
      <c r="H108" s="66">
        <v>0.42</v>
      </c>
      <c r="I108" s="66">
        <v>0.01</v>
      </c>
      <c r="J108" s="66">
        <v>0.56999999999999995</v>
      </c>
      <c r="K108" s="66">
        <v>0.51</v>
      </c>
      <c r="L108" s="66">
        <v>0.59</v>
      </c>
      <c r="M108" s="12">
        <v>50</v>
      </c>
      <c r="N108" s="12">
        <v>9</v>
      </c>
      <c r="O108" s="40">
        <v>0.06</v>
      </c>
      <c r="P108" s="40">
        <v>0.43</v>
      </c>
      <c r="Q108" s="40">
        <v>0.5</v>
      </c>
      <c r="R108" s="40">
        <v>0.01</v>
      </c>
      <c r="S108" s="40">
        <v>0.5</v>
      </c>
      <c r="T108" s="40">
        <v>0.59</v>
      </c>
      <c r="U108" s="40">
        <v>0.39</v>
      </c>
      <c r="V108" s="12">
        <v>51</v>
      </c>
      <c r="W108" s="12">
        <v>10</v>
      </c>
      <c r="X108" s="66">
        <v>0.05</v>
      </c>
      <c r="Y108" s="66">
        <v>0.45</v>
      </c>
      <c r="Z108" s="66">
        <v>0.48</v>
      </c>
      <c r="AA108" s="66">
        <v>0.01</v>
      </c>
      <c r="AB108" s="66">
        <v>0.52</v>
      </c>
      <c r="AC108" s="66">
        <v>0.4</v>
      </c>
      <c r="AD108" s="66">
        <v>0.53</v>
      </c>
      <c r="AE108" s="12">
        <v>51</v>
      </c>
      <c r="AF108" s="12">
        <v>9</v>
      </c>
      <c r="AG108" s="66">
        <v>0.06</v>
      </c>
      <c r="AH108" s="66">
        <v>0.41</v>
      </c>
      <c r="AI108" s="66">
        <v>0.53</v>
      </c>
      <c r="AJ108" s="66">
        <v>0.01</v>
      </c>
      <c r="AK108" s="66">
        <v>0.56999999999999995</v>
      </c>
      <c r="AL108" s="66">
        <v>0.48</v>
      </c>
      <c r="AM108" s="66">
        <v>0.31</v>
      </c>
      <c r="AN108" s="35">
        <v>54</v>
      </c>
      <c r="AO108" s="35">
        <v>9</v>
      </c>
      <c r="AP108" s="40">
        <v>0.02</v>
      </c>
      <c r="AQ108" s="40">
        <v>0.3</v>
      </c>
      <c r="AR108" s="40">
        <v>0.65</v>
      </c>
      <c r="AS108" s="40">
        <v>0.02</v>
      </c>
      <c r="AT108" s="40">
        <v>0.24</v>
      </c>
      <c r="AU108" s="40">
        <v>0.49</v>
      </c>
      <c r="AV108" s="40">
        <v>0.48</v>
      </c>
      <c r="AW108" s="246">
        <v>52</v>
      </c>
      <c r="AX108" s="246" t="s">
        <v>758</v>
      </c>
      <c r="AY108" s="246">
        <v>9</v>
      </c>
      <c r="AZ108" s="246" t="s">
        <v>758</v>
      </c>
      <c r="BA108" s="263">
        <v>0.03</v>
      </c>
      <c r="BB108" s="263">
        <v>0.39</v>
      </c>
      <c r="BC108" s="263">
        <v>0.55000000000000004</v>
      </c>
      <c r="BD108" s="263">
        <v>0.02</v>
      </c>
      <c r="BE108" s="263">
        <v>0.27</v>
      </c>
      <c r="BF108" s="263">
        <v>0.51</v>
      </c>
      <c r="BG108" s="263">
        <v>0.46</v>
      </c>
      <c r="BH108" s="309">
        <v>54</v>
      </c>
      <c r="BI108" s="309" t="s">
        <v>758</v>
      </c>
      <c r="BJ108" s="309">
        <v>9</v>
      </c>
      <c r="BK108" s="309" t="s">
        <v>758</v>
      </c>
      <c r="BL108" s="464"/>
      <c r="BM108" s="464"/>
      <c r="BN108" s="464"/>
      <c r="BO108" s="327">
        <v>0.04</v>
      </c>
      <c r="BP108" s="327">
        <v>0.3</v>
      </c>
      <c r="BQ108" s="327">
        <v>0.63</v>
      </c>
      <c r="BR108" s="327">
        <v>0.03</v>
      </c>
      <c r="BS108" s="327">
        <v>0.5</v>
      </c>
      <c r="BT108" s="327">
        <v>0.57999999999999996</v>
      </c>
      <c r="BU108" s="476"/>
      <c r="BV108" s="476"/>
      <c r="BW108" s="476"/>
      <c r="BX108" s="327">
        <v>0.37</v>
      </c>
      <c r="BY108" s="424">
        <v>53</v>
      </c>
      <c r="BZ108" s="424" t="s">
        <v>758</v>
      </c>
      <c r="CA108" s="424">
        <v>10</v>
      </c>
      <c r="CB108" s="424" t="s">
        <v>758</v>
      </c>
      <c r="CC108" s="428">
        <v>0.04</v>
      </c>
      <c r="CD108" s="428">
        <v>0.37</v>
      </c>
      <c r="CE108" s="428">
        <v>0.53</v>
      </c>
      <c r="CF108" s="428">
        <v>0.06</v>
      </c>
      <c r="CG108" s="428">
        <v>0.59</v>
      </c>
      <c r="CH108" s="428">
        <v>0.36</v>
      </c>
      <c r="CI108" s="428">
        <v>0.57999999999999996</v>
      </c>
      <c r="CJ108" s="464">
        <v>55</v>
      </c>
      <c r="CK108" s="464" t="s">
        <v>758</v>
      </c>
      <c r="CL108" s="464">
        <v>10</v>
      </c>
      <c r="CM108" s="464" t="s">
        <v>758</v>
      </c>
      <c r="CN108" s="476">
        <v>0.02</v>
      </c>
      <c r="CO108" s="476">
        <v>0.31</v>
      </c>
      <c r="CP108" s="476">
        <v>0.6</v>
      </c>
      <c r="CQ108" s="476">
        <v>7.0000000000000007E-2</v>
      </c>
      <c r="CR108" s="476">
        <v>0.54</v>
      </c>
      <c r="CS108" s="476">
        <v>0.48</v>
      </c>
      <c r="CT108" s="476">
        <v>0.39</v>
      </c>
      <c r="CU108" s="902">
        <v>54</v>
      </c>
      <c r="CV108" s="902" t="s">
        <v>758</v>
      </c>
      <c r="CW108" s="902">
        <v>10</v>
      </c>
      <c r="CX108" s="902" t="s">
        <v>758</v>
      </c>
      <c r="CY108" s="949">
        <v>0.04</v>
      </c>
      <c r="CZ108" s="949">
        <v>0.36</v>
      </c>
      <c r="DA108" s="949">
        <v>0.56000000000000005</v>
      </c>
      <c r="DB108" s="949">
        <v>0.05</v>
      </c>
      <c r="DC108" s="949">
        <v>0.6</v>
      </c>
      <c r="DD108" s="949">
        <v>0.47</v>
      </c>
      <c r="DE108" s="949">
        <v>0.39</v>
      </c>
      <c r="DF108" s="922">
        <v>125754005464</v>
      </c>
      <c r="DG108" s="892" t="e">
        <f>VLOOKUP(DF108,#REF!,3,0)</f>
        <v>#REF!</v>
      </c>
    </row>
    <row r="109" spans="1:111" ht="24.95" customHeight="1" x14ac:dyDescent="0.2">
      <c r="A109" s="803" t="s">
        <v>61</v>
      </c>
      <c r="B109" s="1" t="s">
        <v>121</v>
      </c>
      <c r="C109" s="12">
        <v>4</v>
      </c>
      <c r="D109" s="12">
        <v>48</v>
      </c>
      <c r="E109" s="12">
        <v>10</v>
      </c>
      <c r="F109" s="66">
        <v>0.13</v>
      </c>
      <c r="G109" s="66">
        <v>0.46</v>
      </c>
      <c r="H109" s="66">
        <v>0.42</v>
      </c>
      <c r="I109" s="66">
        <v>0</v>
      </c>
      <c r="J109" s="66">
        <v>0.56999999999999995</v>
      </c>
      <c r="K109" s="66">
        <v>0.47</v>
      </c>
      <c r="L109" s="66">
        <v>0.57999999999999996</v>
      </c>
      <c r="M109" s="12">
        <v>48</v>
      </c>
      <c r="N109" s="12">
        <v>10</v>
      </c>
      <c r="O109" s="40">
        <v>0.12</v>
      </c>
      <c r="P109" s="40">
        <v>0.5</v>
      </c>
      <c r="Q109" s="40">
        <v>0.37</v>
      </c>
      <c r="R109" s="40">
        <v>0.01</v>
      </c>
      <c r="S109" s="40">
        <v>0.53</v>
      </c>
      <c r="T109" s="40">
        <v>0.61</v>
      </c>
      <c r="U109" s="40">
        <v>0.43</v>
      </c>
      <c r="V109" s="12">
        <v>48</v>
      </c>
      <c r="W109" s="12">
        <v>10</v>
      </c>
      <c r="X109" s="66">
        <v>0.09</v>
      </c>
      <c r="Y109" s="66">
        <v>0.5</v>
      </c>
      <c r="Z109" s="66">
        <v>0.4</v>
      </c>
      <c r="AA109" s="66">
        <v>0.01</v>
      </c>
      <c r="AB109" s="66">
        <v>0.54</v>
      </c>
      <c r="AC109" s="66">
        <v>0.43</v>
      </c>
      <c r="AD109" s="66">
        <v>0.56999999999999995</v>
      </c>
      <c r="AE109" s="12">
        <v>46</v>
      </c>
      <c r="AF109" s="12">
        <v>10</v>
      </c>
      <c r="AG109" s="66">
        <v>0.13</v>
      </c>
      <c r="AH109" s="66">
        <v>0.52</v>
      </c>
      <c r="AI109" s="66">
        <v>0.34</v>
      </c>
      <c r="AJ109" s="66">
        <v>0.01</v>
      </c>
      <c r="AK109" s="66">
        <v>0.6</v>
      </c>
      <c r="AL109" s="66">
        <v>0.56999999999999995</v>
      </c>
      <c r="AM109" s="66">
        <v>0.39</v>
      </c>
      <c r="AN109" s="35">
        <v>49</v>
      </c>
      <c r="AO109" s="35">
        <v>9</v>
      </c>
      <c r="AP109" s="40">
        <v>0.1</v>
      </c>
      <c r="AQ109" s="40">
        <v>0.43</v>
      </c>
      <c r="AR109" s="40">
        <v>0.47</v>
      </c>
      <c r="AS109" s="40">
        <v>0.01</v>
      </c>
      <c r="AT109" s="40">
        <v>0.33</v>
      </c>
      <c r="AU109" s="40">
        <v>0.55000000000000004</v>
      </c>
      <c r="AV109" s="40">
        <v>0.56000000000000005</v>
      </c>
      <c r="AW109" s="246">
        <v>46</v>
      </c>
      <c r="AX109" s="246" t="s">
        <v>758</v>
      </c>
      <c r="AY109" s="246">
        <v>10</v>
      </c>
      <c r="AZ109" s="246" t="s">
        <v>758</v>
      </c>
      <c r="BA109" s="263">
        <v>0.16</v>
      </c>
      <c r="BB109" s="263">
        <v>0.46</v>
      </c>
      <c r="BC109" s="263">
        <v>0.37</v>
      </c>
      <c r="BD109" s="263">
        <v>0</v>
      </c>
      <c r="BE109" s="263">
        <v>0.38</v>
      </c>
      <c r="BF109" s="263">
        <v>0.59</v>
      </c>
      <c r="BG109" s="263">
        <v>0.52</v>
      </c>
      <c r="BH109" s="309">
        <v>48</v>
      </c>
      <c r="BI109" s="309" t="s">
        <v>758</v>
      </c>
      <c r="BJ109" s="309">
        <v>10</v>
      </c>
      <c r="BK109" s="309" t="s">
        <v>758</v>
      </c>
      <c r="BL109" s="464"/>
      <c r="BM109" s="464"/>
      <c r="BN109" s="464"/>
      <c r="BO109" s="327">
        <v>0.13</v>
      </c>
      <c r="BP109" s="327">
        <v>0.5</v>
      </c>
      <c r="BQ109" s="327">
        <v>0.35</v>
      </c>
      <c r="BR109" s="327">
        <v>0.02</v>
      </c>
      <c r="BS109" s="327">
        <v>0.57999999999999996</v>
      </c>
      <c r="BT109" s="327">
        <v>0.66</v>
      </c>
      <c r="BU109" s="476"/>
      <c r="BV109" s="476"/>
      <c r="BW109" s="476"/>
      <c r="BX109" s="327">
        <v>0.43</v>
      </c>
      <c r="BY109" s="424">
        <v>47</v>
      </c>
      <c r="BZ109" s="424" t="s">
        <v>758</v>
      </c>
      <c r="CA109" s="424">
        <v>11</v>
      </c>
      <c r="CB109" s="424" t="s">
        <v>758</v>
      </c>
      <c r="CC109" s="428">
        <v>0.16</v>
      </c>
      <c r="CD109" s="428">
        <v>0.47</v>
      </c>
      <c r="CE109" s="428">
        <v>0.36</v>
      </c>
      <c r="CF109" s="428">
        <v>0.01</v>
      </c>
      <c r="CG109" s="428">
        <v>0.66</v>
      </c>
      <c r="CH109" s="428">
        <v>0.49</v>
      </c>
      <c r="CI109" s="428">
        <v>0.65</v>
      </c>
      <c r="CJ109" s="464">
        <v>47</v>
      </c>
      <c r="CK109" s="464" t="s">
        <v>758</v>
      </c>
      <c r="CL109" s="464">
        <v>12</v>
      </c>
      <c r="CM109" s="464" t="s">
        <v>758</v>
      </c>
      <c r="CN109" s="476">
        <v>0.16</v>
      </c>
      <c r="CO109" s="476">
        <v>0.45</v>
      </c>
      <c r="CP109" s="476">
        <v>0.37</v>
      </c>
      <c r="CQ109" s="476">
        <v>0.03</v>
      </c>
      <c r="CR109" s="476">
        <v>0.62</v>
      </c>
      <c r="CS109" s="476">
        <v>0.6</v>
      </c>
      <c r="CT109" s="476">
        <v>0.49</v>
      </c>
      <c r="CU109" s="902">
        <v>49</v>
      </c>
      <c r="CV109" s="902" t="s">
        <v>758</v>
      </c>
      <c r="CW109" s="902">
        <v>10</v>
      </c>
      <c r="CX109" s="902" t="s">
        <v>758</v>
      </c>
      <c r="CY109" s="949">
        <v>0.09</v>
      </c>
      <c r="CZ109" s="949">
        <v>0.47</v>
      </c>
      <c r="DA109" s="949">
        <v>0.41</v>
      </c>
      <c r="DB109" s="949">
        <v>0.03</v>
      </c>
      <c r="DC109" s="949">
        <v>0.62</v>
      </c>
      <c r="DD109" s="949">
        <v>0.55000000000000004</v>
      </c>
      <c r="DE109" s="949">
        <v>0.36</v>
      </c>
      <c r="DF109" s="922">
        <v>125754001957</v>
      </c>
      <c r="DG109" s="892" t="e">
        <f>VLOOKUP(DF109,#REF!,3,0)</f>
        <v>#REF!</v>
      </c>
    </row>
    <row r="110" spans="1:111" ht="24.95" customHeight="1" x14ac:dyDescent="0.2">
      <c r="A110" s="803" t="s">
        <v>52</v>
      </c>
      <c r="B110" s="1" t="s">
        <v>121</v>
      </c>
      <c r="C110" s="12">
        <v>1</v>
      </c>
      <c r="D110" s="12">
        <v>52</v>
      </c>
      <c r="E110" s="12">
        <v>9</v>
      </c>
      <c r="F110" s="66">
        <v>0.03</v>
      </c>
      <c r="G110" s="66">
        <v>0.42</v>
      </c>
      <c r="H110" s="66">
        <v>0.55000000000000004</v>
      </c>
      <c r="I110" s="66">
        <v>0</v>
      </c>
      <c r="J110" s="66">
        <v>0.54</v>
      </c>
      <c r="K110" s="66">
        <v>0.43</v>
      </c>
      <c r="L110" s="66">
        <v>0.55000000000000004</v>
      </c>
      <c r="M110" s="12">
        <v>49</v>
      </c>
      <c r="N110" s="12">
        <v>9</v>
      </c>
      <c r="O110" s="40">
        <v>7.0000000000000007E-2</v>
      </c>
      <c r="P110" s="40">
        <v>0.47</v>
      </c>
      <c r="Q110" s="40">
        <v>0.46</v>
      </c>
      <c r="R110" s="40">
        <v>0</v>
      </c>
      <c r="S110" s="40">
        <v>0.53</v>
      </c>
      <c r="T110" s="40">
        <v>0.59</v>
      </c>
      <c r="U110" s="40">
        <v>0.39</v>
      </c>
      <c r="V110" s="12">
        <v>51</v>
      </c>
      <c r="W110" s="12">
        <v>9</v>
      </c>
      <c r="X110" s="66">
        <v>0.05</v>
      </c>
      <c r="Y110" s="66">
        <v>0.47</v>
      </c>
      <c r="Z110" s="66">
        <v>0.45</v>
      </c>
      <c r="AA110" s="66">
        <v>0.02</v>
      </c>
      <c r="AB110" s="66">
        <v>0.51</v>
      </c>
      <c r="AC110" s="66">
        <v>0.4</v>
      </c>
      <c r="AD110" s="66">
        <v>0.54</v>
      </c>
      <c r="AE110" s="12">
        <v>51</v>
      </c>
      <c r="AF110" s="12">
        <v>9</v>
      </c>
      <c r="AG110" s="66">
        <v>0.04</v>
      </c>
      <c r="AH110" s="66">
        <v>0.41</v>
      </c>
      <c r="AI110" s="66">
        <v>0.51</v>
      </c>
      <c r="AJ110" s="66">
        <v>0.03</v>
      </c>
      <c r="AK110" s="66">
        <v>0.56000000000000005</v>
      </c>
      <c r="AL110" s="66">
        <v>0.5</v>
      </c>
      <c r="AM110" s="66">
        <v>0.31</v>
      </c>
      <c r="AN110" s="35">
        <v>51</v>
      </c>
      <c r="AO110" s="35">
        <v>9</v>
      </c>
      <c r="AP110" s="40">
        <v>0.06</v>
      </c>
      <c r="AQ110" s="40">
        <v>0.42</v>
      </c>
      <c r="AR110" s="40">
        <v>0.51</v>
      </c>
      <c r="AS110" s="40">
        <v>0.01</v>
      </c>
      <c r="AT110" s="40">
        <v>0.31</v>
      </c>
      <c r="AU110" s="40">
        <v>0.53</v>
      </c>
      <c r="AV110" s="40">
        <v>0.55000000000000004</v>
      </c>
      <c r="AW110" s="246">
        <v>50</v>
      </c>
      <c r="AX110" s="246" t="s">
        <v>758</v>
      </c>
      <c r="AY110" s="246">
        <v>10</v>
      </c>
      <c r="AZ110" s="246" t="s">
        <v>758</v>
      </c>
      <c r="BA110" s="263">
        <v>0.09</v>
      </c>
      <c r="BB110" s="263">
        <v>0.41</v>
      </c>
      <c r="BC110" s="263">
        <v>0.48</v>
      </c>
      <c r="BD110" s="263">
        <v>0.01</v>
      </c>
      <c r="BE110" s="263">
        <v>0.31</v>
      </c>
      <c r="BF110" s="263">
        <v>0.54</v>
      </c>
      <c r="BG110" s="263">
        <v>0.49</v>
      </c>
      <c r="BH110" s="309">
        <v>51</v>
      </c>
      <c r="BI110" s="309" t="s">
        <v>758</v>
      </c>
      <c r="BJ110" s="309">
        <v>9</v>
      </c>
      <c r="BK110" s="309" t="s">
        <v>758</v>
      </c>
      <c r="BL110" s="464"/>
      <c r="BM110" s="464"/>
      <c r="BN110" s="464"/>
      <c r="BO110" s="327">
        <v>0.05</v>
      </c>
      <c r="BP110" s="327">
        <v>0.41</v>
      </c>
      <c r="BQ110" s="327">
        <v>0.53</v>
      </c>
      <c r="BR110" s="327">
        <v>0.02</v>
      </c>
      <c r="BS110" s="327">
        <v>0.54</v>
      </c>
      <c r="BT110" s="327">
        <v>0.6</v>
      </c>
      <c r="BU110" s="476"/>
      <c r="BV110" s="476"/>
      <c r="BW110" s="476"/>
      <c r="BX110" s="327">
        <v>0.42</v>
      </c>
      <c r="BY110" s="424">
        <v>52</v>
      </c>
      <c r="BZ110" s="424" t="s">
        <v>758</v>
      </c>
      <c r="CA110" s="424">
        <v>10</v>
      </c>
      <c r="CB110" s="424" t="s">
        <v>758</v>
      </c>
      <c r="CC110" s="428">
        <v>0.04</v>
      </c>
      <c r="CD110" s="428">
        <v>0.38</v>
      </c>
      <c r="CE110" s="428">
        <v>0.56999999999999995</v>
      </c>
      <c r="CF110" s="428">
        <v>0.02</v>
      </c>
      <c r="CG110" s="428">
        <v>0.61</v>
      </c>
      <c r="CH110" s="428">
        <v>0.42</v>
      </c>
      <c r="CI110" s="428">
        <v>0.56999999999999995</v>
      </c>
      <c r="CJ110" s="464">
        <v>53</v>
      </c>
      <c r="CK110" s="464" t="s">
        <v>758</v>
      </c>
      <c r="CL110" s="464">
        <v>10</v>
      </c>
      <c r="CM110" s="464" t="s">
        <v>758</v>
      </c>
      <c r="CN110" s="476">
        <v>0.05</v>
      </c>
      <c r="CO110" s="476">
        <v>0.36</v>
      </c>
      <c r="CP110" s="476">
        <v>0.55000000000000004</v>
      </c>
      <c r="CQ110" s="476">
        <v>0.04</v>
      </c>
      <c r="CR110" s="476">
        <v>0.56999999999999995</v>
      </c>
      <c r="CS110" s="476">
        <v>0.51</v>
      </c>
      <c r="CT110" s="476">
        <v>0.4</v>
      </c>
      <c r="CU110" s="902">
        <v>54</v>
      </c>
      <c r="CV110" s="902" t="s">
        <v>758</v>
      </c>
      <c r="CW110" s="902">
        <v>11</v>
      </c>
      <c r="CX110" s="902" t="s">
        <v>758</v>
      </c>
      <c r="CY110" s="949">
        <v>0.02</v>
      </c>
      <c r="CZ110" s="949">
        <v>0.34</v>
      </c>
      <c r="DA110" s="949">
        <v>0.56999999999999995</v>
      </c>
      <c r="DB110" s="949">
        <v>0.06</v>
      </c>
      <c r="DC110" s="949">
        <v>0.59</v>
      </c>
      <c r="DD110" s="949">
        <v>0.46</v>
      </c>
      <c r="DE110" s="949">
        <v>0.36</v>
      </c>
      <c r="DF110" s="922">
        <v>125754003267</v>
      </c>
      <c r="DG110" s="892" t="e">
        <f>VLOOKUP(DF110,#REF!,3,0)</f>
        <v>#REF!</v>
      </c>
    </row>
    <row r="111" spans="1:111" ht="24.95" customHeight="1" x14ac:dyDescent="0.2">
      <c r="A111" s="803" t="s">
        <v>32</v>
      </c>
      <c r="B111" s="1" t="s">
        <v>123</v>
      </c>
      <c r="C111" s="12">
        <v>5</v>
      </c>
      <c r="D111" s="12">
        <v>56</v>
      </c>
      <c r="E111" s="12">
        <v>8</v>
      </c>
      <c r="F111" s="66">
        <v>0</v>
      </c>
      <c r="G111" s="66">
        <v>0.28000000000000003</v>
      </c>
      <c r="H111" s="66">
        <v>0.69</v>
      </c>
      <c r="I111" s="66">
        <v>0.03</v>
      </c>
      <c r="J111" s="66">
        <v>0.47</v>
      </c>
      <c r="K111" s="66">
        <v>0.42</v>
      </c>
      <c r="L111" s="66">
        <v>0.49</v>
      </c>
      <c r="M111" s="12">
        <v>49</v>
      </c>
      <c r="N111" s="12">
        <v>9</v>
      </c>
      <c r="O111" s="40">
        <v>0.02</v>
      </c>
      <c r="P111" s="40">
        <v>0.61</v>
      </c>
      <c r="Q111" s="40">
        <v>0.34</v>
      </c>
      <c r="R111" s="40">
        <v>0.02</v>
      </c>
      <c r="S111" s="40">
        <v>0.54</v>
      </c>
      <c r="T111" s="40">
        <v>0.59</v>
      </c>
      <c r="U111" s="40">
        <v>0.39</v>
      </c>
      <c r="V111" s="12">
        <v>50</v>
      </c>
      <c r="W111" s="12">
        <v>11</v>
      </c>
      <c r="X111" s="66">
        <v>0.05</v>
      </c>
      <c r="Y111" s="66">
        <v>0.48</v>
      </c>
      <c r="Z111" s="66">
        <v>0.48</v>
      </c>
      <c r="AA111" s="66">
        <v>0</v>
      </c>
      <c r="AB111" s="66">
        <v>0.51</v>
      </c>
      <c r="AC111" s="66">
        <v>0.42</v>
      </c>
      <c r="AD111" s="66">
        <v>0.49</v>
      </c>
      <c r="AE111" s="12">
        <v>53</v>
      </c>
      <c r="AF111" s="12">
        <v>8</v>
      </c>
      <c r="AG111" s="66">
        <v>0.03</v>
      </c>
      <c r="AH111" s="66">
        <v>0.31</v>
      </c>
      <c r="AI111" s="66">
        <v>0.66</v>
      </c>
      <c r="AJ111" s="66">
        <v>0</v>
      </c>
      <c r="AK111" s="66">
        <v>0.53</v>
      </c>
      <c r="AL111" s="66">
        <v>0.41</v>
      </c>
      <c r="AM111" s="66">
        <v>0.27</v>
      </c>
      <c r="AN111" s="35">
        <v>54</v>
      </c>
      <c r="AO111" s="35">
        <v>8</v>
      </c>
      <c r="AP111" s="40">
        <v>0</v>
      </c>
      <c r="AQ111" s="40">
        <v>0.37</v>
      </c>
      <c r="AR111" s="40">
        <v>0.63</v>
      </c>
      <c r="AS111" s="40">
        <v>0</v>
      </c>
      <c r="AT111" s="40">
        <v>0.24</v>
      </c>
      <c r="AU111" s="40">
        <v>0.51</v>
      </c>
      <c r="AV111" s="40">
        <v>0.47</v>
      </c>
      <c r="AW111" s="246">
        <v>52</v>
      </c>
      <c r="AX111" s="246" t="s">
        <v>758</v>
      </c>
      <c r="AY111" s="246">
        <v>9</v>
      </c>
      <c r="AZ111" s="246" t="s">
        <v>758</v>
      </c>
      <c r="BA111" s="263">
        <v>0.06</v>
      </c>
      <c r="BB111" s="263">
        <v>0.44</v>
      </c>
      <c r="BC111" s="263">
        <v>0.5</v>
      </c>
      <c r="BD111" s="263">
        <v>0</v>
      </c>
      <c r="BE111" s="263">
        <v>0.33</v>
      </c>
      <c r="BF111" s="263">
        <v>0.49</v>
      </c>
      <c r="BG111" s="263">
        <v>0.47</v>
      </c>
      <c r="BH111" s="649"/>
      <c r="BI111" s="649"/>
      <c r="BJ111" s="649"/>
      <c r="BK111" s="649"/>
      <c r="BL111" s="650"/>
      <c r="BM111" s="650"/>
      <c r="BN111" s="650"/>
      <c r="BO111" s="649"/>
      <c r="BP111" s="649"/>
      <c r="BQ111" s="649"/>
      <c r="BR111" s="649"/>
      <c r="BS111" s="649"/>
      <c r="BT111" s="649"/>
      <c r="BU111" s="650"/>
      <c r="BV111" s="650"/>
      <c r="BW111" s="650"/>
      <c r="BX111" s="649"/>
      <c r="BY111" s="651"/>
      <c r="BZ111" s="651"/>
      <c r="CA111" s="651"/>
      <c r="CB111" s="651"/>
      <c r="CC111" s="651"/>
      <c r="CD111" s="651"/>
      <c r="CE111" s="651"/>
      <c r="CF111" s="651"/>
      <c r="CG111" s="651"/>
      <c r="CH111" s="651"/>
      <c r="CI111" s="651"/>
      <c r="CJ111" s="650"/>
      <c r="CK111" s="650"/>
      <c r="CL111" s="650"/>
      <c r="CM111" s="650"/>
      <c r="CN111" s="650"/>
      <c r="CO111" s="650"/>
      <c r="CP111" s="650"/>
      <c r="CQ111" s="650"/>
      <c r="CR111" s="650"/>
      <c r="CS111" s="650"/>
      <c r="CT111" s="650"/>
      <c r="CY111" s="949"/>
      <c r="CZ111" s="949"/>
      <c r="DA111" s="949"/>
      <c r="DB111" s="949"/>
      <c r="DC111" s="949"/>
      <c r="DD111" s="949"/>
      <c r="DE111" s="949"/>
      <c r="DG111" s="892"/>
    </row>
    <row r="112" spans="1:111" ht="24.95" customHeight="1" x14ac:dyDescent="0.2">
      <c r="A112" s="803" t="s">
        <v>39</v>
      </c>
      <c r="B112" s="1" t="s">
        <v>121</v>
      </c>
      <c r="C112" s="12">
        <v>6</v>
      </c>
      <c r="D112" s="12">
        <v>51</v>
      </c>
      <c r="E112" s="12">
        <v>10</v>
      </c>
      <c r="F112" s="66">
        <v>0.06</v>
      </c>
      <c r="G112" s="66">
        <v>0.42</v>
      </c>
      <c r="H112" s="66">
        <v>0.51</v>
      </c>
      <c r="I112" s="66">
        <v>0.01</v>
      </c>
      <c r="J112" s="66">
        <v>0.51</v>
      </c>
      <c r="K112" s="66">
        <v>0.37</v>
      </c>
      <c r="L112" s="66">
        <v>0.56000000000000005</v>
      </c>
      <c r="M112" s="12">
        <v>51</v>
      </c>
      <c r="N112" s="12">
        <v>10</v>
      </c>
      <c r="O112" s="40">
        <v>0.06</v>
      </c>
      <c r="P112" s="40">
        <v>0.42</v>
      </c>
      <c r="Q112" s="40">
        <v>0.5</v>
      </c>
      <c r="R112" s="40">
        <v>0.02</v>
      </c>
      <c r="S112" s="40">
        <v>0.5</v>
      </c>
      <c r="T112" s="40">
        <v>0.56999999999999995</v>
      </c>
      <c r="U112" s="40">
        <v>0.35</v>
      </c>
      <c r="V112" s="12">
        <v>50</v>
      </c>
      <c r="W112" s="12">
        <v>9</v>
      </c>
      <c r="X112" s="66">
        <v>0.05</v>
      </c>
      <c r="Y112" s="66">
        <v>0.49</v>
      </c>
      <c r="Z112" s="66">
        <v>0.45</v>
      </c>
      <c r="AA112" s="66">
        <v>0.01</v>
      </c>
      <c r="AB112" s="66">
        <v>0.51</v>
      </c>
      <c r="AC112" s="66">
        <v>0.4</v>
      </c>
      <c r="AD112" s="66">
        <v>0.56999999999999995</v>
      </c>
      <c r="AE112" s="12">
        <v>52</v>
      </c>
      <c r="AF112" s="12">
        <v>8</v>
      </c>
      <c r="AG112" s="66">
        <v>0.05</v>
      </c>
      <c r="AH112" s="66">
        <v>0.34</v>
      </c>
      <c r="AI112" s="66">
        <v>0.62</v>
      </c>
      <c r="AJ112" s="66">
        <v>0</v>
      </c>
      <c r="AK112" s="66">
        <v>0.55000000000000004</v>
      </c>
      <c r="AL112" s="66">
        <v>0.47</v>
      </c>
      <c r="AM112" s="66">
        <v>0.3</v>
      </c>
      <c r="AN112" s="35">
        <v>53</v>
      </c>
      <c r="AO112" s="35">
        <v>9</v>
      </c>
      <c r="AP112" s="40">
        <v>0.02</v>
      </c>
      <c r="AQ112" s="40">
        <v>0.42</v>
      </c>
      <c r="AR112" s="40">
        <v>0.5</v>
      </c>
      <c r="AS112" s="40">
        <v>0.06</v>
      </c>
      <c r="AT112" s="40">
        <v>0.24</v>
      </c>
      <c r="AU112" s="40">
        <v>0.52</v>
      </c>
      <c r="AV112" s="40">
        <v>0.51</v>
      </c>
      <c r="AW112" s="246">
        <v>51</v>
      </c>
      <c r="AX112" s="246" t="s">
        <v>758</v>
      </c>
      <c r="AY112" s="246">
        <v>9</v>
      </c>
      <c r="AZ112" s="246" t="s">
        <v>758</v>
      </c>
      <c r="BA112" s="263">
        <v>0.04</v>
      </c>
      <c r="BB112" s="263">
        <v>0.45</v>
      </c>
      <c r="BC112" s="263">
        <v>0.49</v>
      </c>
      <c r="BD112" s="263">
        <v>0.03</v>
      </c>
      <c r="BE112" s="263">
        <v>0.31</v>
      </c>
      <c r="BF112" s="263">
        <v>0.51</v>
      </c>
      <c r="BG112" s="263">
        <v>0.5</v>
      </c>
      <c r="BH112" s="74">
        <v>54</v>
      </c>
      <c r="BI112" s="74" t="s">
        <v>758</v>
      </c>
      <c r="BJ112" s="74">
        <v>11</v>
      </c>
      <c r="BK112" s="74" t="s">
        <v>758</v>
      </c>
      <c r="BL112" s="74"/>
      <c r="BM112" s="74"/>
      <c r="BN112" s="74"/>
      <c r="BO112" s="96">
        <v>0.06</v>
      </c>
      <c r="BP112" s="96">
        <v>0.3</v>
      </c>
      <c r="BQ112" s="96">
        <v>0.6</v>
      </c>
      <c r="BR112" s="96">
        <v>0.03</v>
      </c>
      <c r="BS112" s="96">
        <v>0.47</v>
      </c>
      <c r="BT112" s="96">
        <v>0.57999999999999996</v>
      </c>
      <c r="BU112" s="96"/>
      <c r="BV112" s="96"/>
      <c r="BW112" s="96"/>
      <c r="BX112" s="96">
        <v>0.32</v>
      </c>
      <c r="BY112" s="652">
        <v>53</v>
      </c>
      <c r="BZ112" s="652" t="s">
        <v>758</v>
      </c>
      <c r="CA112" s="652">
        <v>11</v>
      </c>
      <c r="CB112" s="652" t="s">
        <v>758</v>
      </c>
      <c r="CC112" s="653">
        <v>0.05</v>
      </c>
      <c r="CD112" s="653">
        <v>0.33</v>
      </c>
      <c r="CE112" s="653">
        <v>0.56999999999999995</v>
      </c>
      <c r="CF112" s="653">
        <v>0.05</v>
      </c>
      <c r="CG112" s="653">
        <v>0.6</v>
      </c>
      <c r="CH112" s="653">
        <v>0.33</v>
      </c>
      <c r="CI112" s="653">
        <v>0.56000000000000005</v>
      </c>
      <c r="CJ112" s="74">
        <v>52</v>
      </c>
      <c r="CK112" s="74" t="s">
        <v>758</v>
      </c>
      <c r="CL112" s="74">
        <v>9</v>
      </c>
      <c r="CM112" s="74" t="s">
        <v>758</v>
      </c>
      <c r="CN112" s="96">
        <v>0.04</v>
      </c>
      <c r="CO112" s="96">
        <v>0.38</v>
      </c>
      <c r="CP112" s="96">
        <v>0.56999999999999995</v>
      </c>
      <c r="CQ112" s="96">
        <v>0.01</v>
      </c>
      <c r="CR112" s="96">
        <v>0.59</v>
      </c>
      <c r="CS112" s="96">
        <v>0.48</v>
      </c>
      <c r="CT112" s="96">
        <v>0.43</v>
      </c>
      <c r="CU112" s="902">
        <v>53</v>
      </c>
      <c r="CV112" s="902" t="s">
        <v>758</v>
      </c>
      <c r="CW112" s="902">
        <v>11</v>
      </c>
      <c r="CX112" s="902" t="s">
        <v>758</v>
      </c>
      <c r="CY112" s="949">
        <v>0.08</v>
      </c>
      <c r="CZ112" s="949">
        <v>0.33</v>
      </c>
      <c r="DA112" s="949">
        <v>0.56999999999999995</v>
      </c>
      <c r="DB112" s="949">
        <v>0.02</v>
      </c>
      <c r="DC112" s="949">
        <v>0.55000000000000004</v>
      </c>
      <c r="DD112" s="949">
        <v>0.49</v>
      </c>
      <c r="DE112" s="949">
        <v>0.36</v>
      </c>
      <c r="DF112" s="922">
        <v>125754001183</v>
      </c>
      <c r="DG112" s="892" t="e">
        <f>VLOOKUP(DF112,#REF!,3,0)</f>
        <v>#REF!</v>
      </c>
    </row>
    <row r="113" spans="1:111" ht="24.95" customHeight="1" x14ac:dyDescent="0.2">
      <c r="A113" s="803" t="s">
        <v>19</v>
      </c>
      <c r="B113" s="1" t="s">
        <v>121</v>
      </c>
      <c r="C113" s="12">
        <v>5</v>
      </c>
      <c r="D113" s="12">
        <v>51</v>
      </c>
      <c r="E113" s="12">
        <v>9</v>
      </c>
      <c r="F113" s="66">
        <v>0.06</v>
      </c>
      <c r="G113" s="66">
        <v>0.44</v>
      </c>
      <c r="H113" s="66">
        <v>0.48</v>
      </c>
      <c r="I113" s="66">
        <v>0.02</v>
      </c>
      <c r="J113" s="66">
        <v>0.55000000000000004</v>
      </c>
      <c r="K113" s="66">
        <v>0.55000000000000004</v>
      </c>
      <c r="L113" s="66">
        <v>0.54</v>
      </c>
      <c r="M113" s="12">
        <v>50</v>
      </c>
      <c r="N113" s="12">
        <v>9</v>
      </c>
      <c r="O113" s="40">
        <v>0.09</v>
      </c>
      <c r="P113" s="40">
        <v>0.43</v>
      </c>
      <c r="Q113" s="40">
        <v>0.46</v>
      </c>
      <c r="R113" s="40">
        <v>0.01</v>
      </c>
      <c r="S113" s="40">
        <v>0.5</v>
      </c>
      <c r="T113" s="40">
        <v>0.59</v>
      </c>
      <c r="U113" s="40">
        <v>0.4</v>
      </c>
      <c r="V113" s="12">
        <v>50</v>
      </c>
      <c r="W113" s="12">
        <v>8</v>
      </c>
      <c r="X113" s="66">
        <v>0.04</v>
      </c>
      <c r="Y113" s="66">
        <v>0.48</v>
      </c>
      <c r="Z113" s="66">
        <v>0.47</v>
      </c>
      <c r="AA113" s="66">
        <v>0.01</v>
      </c>
      <c r="AB113" s="66">
        <v>0.54</v>
      </c>
      <c r="AC113" s="66">
        <v>0.4</v>
      </c>
      <c r="AD113" s="66">
        <v>0.55000000000000004</v>
      </c>
      <c r="AE113" s="12">
        <v>50</v>
      </c>
      <c r="AF113" s="12">
        <v>9</v>
      </c>
      <c r="AG113" s="66">
        <v>0.06</v>
      </c>
      <c r="AH113" s="66">
        <v>0.46</v>
      </c>
      <c r="AI113" s="66">
        <v>0.46</v>
      </c>
      <c r="AJ113" s="66">
        <v>0.01</v>
      </c>
      <c r="AK113" s="66">
        <v>0.56999999999999995</v>
      </c>
      <c r="AL113" s="66">
        <v>0.52</v>
      </c>
      <c r="AM113" s="66">
        <v>0.32</v>
      </c>
      <c r="AN113" s="35">
        <v>51</v>
      </c>
      <c r="AO113" s="35">
        <v>9</v>
      </c>
      <c r="AP113" s="40">
        <v>0.05</v>
      </c>
      <c r="AQ113" s="40">
        <v>0.4</v>
      </c>
      <c r="AR113" s="40">
        <v>0.53</v>
      </c>
      <c r="AS113" s="40">
        <v>0.02</v>
      </c>
      <c r="AT113" s="40">
        <v>0.3</v>
      </c>
      <c r="AU113" s="40">
        <v>0.53</v>
      </c>
      <c r="AV113" s="40">
        <v>0.53</v>
      </c>
      <c r="AW113" s="246">
        <v>50</v>
      </c>
      <c r="AX113" s="246" t="s">
        <v>758</v>
      </c>
      <c r="AY113" s="246">
        <v>9</v>
      </c>
      <c r="AZ113" s="246" t="s">
        <v>758</v>
      </c>
      <c r="BA113" s="263">
        <v>0.06</v>
      </c>
      <c r="BB113" s="263">
        <v>0.46</v>
      </c>
      <c r="BC113" s="263">
        <v>0.47</v>
      </c>
      <c r="BD113" s="263">
        <v>0.01</v>
      </c>
      <c r="BE113" s="263">
        <v>0.31</v>
      </c>
      <c r="BF113" s="263">
        <v>0.54</v>
      </c>
      <c r="BG113" s="263">
        <v>0.51</v>
      </c>
      <c r="BH113" s="309">
        <v>53</v>
      </c>
      <c r="BI113" s="309" t="s">
        <v>758</v>
      </c>
      <c r="BJ113" s="309">
        <v>9</v>
      </c>
      <c r="BK113" s="309" t="s">
        <v>758</v>
      </c>
      <c r="BL113" s="464"/>
      <c r="BM113" s="464"/>
      <c r="BN113" s="464"/>
      <c r="BO113" s="327">
        <v>0.04</v>
      </c>
      <c r="BP113" s="327">
        <v>0.31</v>
      </c>
      <c r="BQ113" s="327">
        <v>0.65</v>
      </c>
      <c r="BR113" s="327">
        <v>0.01</v>
      </c>
      <c r="BS113" s="327">
        <v>0.53</v>
      </c>
      <c r="BT113" s="327">
        <v>0.56999999999999995</v>
      </c>
      <c r="BU113" s="476"/>
      <c r="BV113" s="476"/>
      <c r="BW113" s="476"/>
      <c r="BX113" s="327">
        <v>0.37</v>
      </c>
      <c r="BY113" s="424">
        <v>50</v>
      </c>
      <c r="BZ113" s="424" t="s">
        <v>758</v>
      </c>
      <c r="CA113" s="424">
        <v>11</v>
      </c>
      <c r="CB113" s="424" t="s">
        <v>758</v>
      </c>
      <c r="CC113" s="428">
        <v>0.08</v>
      </c>
      <c r="CD113" s="428">
        <v>0.45</v>
      </c>
      <c r="CE113" s="428">
        <v>0.44</v>
      </c>
      <c r="CF113" s="428">
        <v>0.03</v>
      </c>
      <c r="CG113" s="428">
        <v>0.64</v>
      </c>
      <c r="CH113" s="428">
        <v>0.44</v>
      </c>
      <c r="CI113" s="428">
        <v>0.61</v>
      </c>
      <c r="CJ113" s="464">
        <v>53</v>
      </c>
      <c r="CK113" s="464" t="s">
        <v>758</v>
      </c>
      <c r="CL113" s="464">
        <v>9</v>
      </c>
      <c r="CM113" s="464" t="s">
        <v>758</v>
      </c>
      <c r="CN113" s="476">
        <v>0.04</v>
      </c>
      <c r="CO113" s="476">
        <v>0.34</v>
      </c>
      <c r="CP113" s="476">
        <v>0.59</v>
      </c>
      <c r="CQ113" s="476">
        <v>0.04</v>
      </c>
      <c r="CR113" s="476">
        <v>0.6</v>
      </c>
      <c r="CS113" s="476">
        <v>0.53</v>
      </c>
      <c r="CT113" s="476">
        <v>0.41</v>
      </c>
      <c r="CU113" s="902">
        <v>53</v>
      </c>
      <c r="CV113" s="902" t="s">
        <v>758</v>
      </c>
      <c r="CW113" s="902">
        <v>11</v>
      </c>
      <c r="CX113" s="902" t="s">
        <v>758</v>
      </c>
      <c r="CY113" s="949">
        <v>7.0000000000000007E-2</v>
      </c>
      <c r="CZ113" s="949">
        <v>0.32</v>
      </c>
      <c r="DA113" s="949">
        <v>0.54</v>
      </c>
      <c r="DB113" s="949">
        <v>0.06</v>
      </c>
      <c r="DC113" s="949">
        <v>0.56999999999999995</v>
      </c>
      <c r="DD113" s="949">
        <v>0.5</v>
      </c>
      <c r="DE113" s="949">
        <v>0.35</v>
      </c>
      <c r="DF113" s="922">
        <v>125754002066</v>
      </c>
      <c r="DG113" s="892" t="e">
        <f>VLOOKUP(DF113,#REF!,3,0)</f>
        <v>#REF!</v>
      </c>
    </row>
    <row r="114" spans="1:111" ht="24.95" customHeight="1" x14ac:dyDescent="0.2">
      <c r="A114" s="803" t="s">
        <v>71</v>
      </c>
      <c r="B114" s="1" t="s">
        <v>121</v>
      </c>
      <c r="C114" s="12">
        <v>4</v>
      </c>
      <c r="D114" s="12">
        <v>44</v>
      </c>
      <c r="E114" s="12">
        <v>9</v>
      </c>
      <c r="F114" s="66">
        <v>0.12</v>
      </c>
      <c r="G114" s="66">
        <v>0.67</v>
      </c>
      <c r="H114" s="66">
        <v>0.2</v>
      </c>
      <c r="I114" s="66">
        <v>0</v>
      </c>
      <c r="J114" s="66">
        <v>0.66</v>
      </c>
      <c r="K114" s="66">
        <v>0.48</v>
      </c>
      <c r="L114" s="66">
        <v>0.68</v>
      </c>
      <c r="M114" s="12">
        <v>43</v>
      </c>
      <c r="N114" s="12">
        <v>8</v>
      </c>
      <c r="O114" s="40">
        <v>0.17</v>
      </c>
      <c r="P114" s="40">
        <v>0.67</v>
      </c>
      <c r="Q114" s="40">
        <v>0.17</v>
      </c>
      <c r="R114" s="40">
        <v>0</v>
      </c>
      <c r="S114" s="40">
        <v>0.6</v>
      </c>
      <c r="T114" s="40">
        <v>0.68</v>
      </c>
      <c r="U114" s="40">
        <v>0.5</v>
      </c>
      <c r="V114" s="12">
        <v>44</v>
      </c>
      <c r="W114" s="12">
        <v>9</v>
      </c>
      <c r="X114" s="66">
        <v>0.19</v>
      </c>
      <c r="Y114" s="66">
        <v>0.56999999999999995</v>
      </c>
      <c r="Z114" s="66">
        <v>0.23</v>
      </c>
      <c r="AA114" s="66">
        <v>0</v>
      </c>
      <c r="AB114" s="66">
        <v>0.62</v>
      </c>
      <c r="AC114" s="66">
        <v>0.48</v>
      </c>
      <c r="AD114" s="66">
        <v>0.63</v>
      </c>
      <c r="AE114" s="12">
        <v>46</v>
      </c>
      <c r="AF114" s="12">
        <v>10</v>
      </c>
      <c r="AG114" s="66">
        <v>0.15</v>
      </c>
      <c r="AH114" s="66">
        <v>0.56000000000000005</v>
      </c>
      <c r="AI114" s="66">
        <v>0.28999999999999998</v>
      </c>
      <c r="AJ114" s="66">
        <v>0</v>
      </c>
      <c r="AK114" s="66">
        <v>0.61</v>
      </c>
      <c r="AL114" s="66">
        <v>0.56000000000000005</v>
      </c>
      <c r="AM114" s="66">
        <v>0.42</v>
      </c>
      <c r="AN114" s="35">
        <v>47</v>
      </c>
      <c r="AO114" s="35">
        <v>9</v>
      </c>
      <c r="AP114" s="40">
        <v>7.0000000000000007E-2</v>
      </c>
      <c r="AQ114" s="40">
        <v>0.55000000000000004</v>
      </c>
      <c r="AR114" s="40">
        <v>0.39</v>
      </c>
      <c r="AS114" s="40">
        <v>0</v>
      </c>
      <c r="AT114" s="40">
        <v>0.37</v>
      </c>
      <c r="AU114" s="40">
        <v>0.56999999999999995</v>
      </c>
      <c r="AV114" s="40">
        <v>0.57999999999999996</v>
      </c>
      <c r="AW114" s="246">
        <v>47</v>
      </c>
      <c r="AX114" s="246" t="s">
        <v>758</v>
      </c>
      <c r="AY114" s="246">
        <v>8</v>
      </c>
      <c r="AZ114" s="246" t="s">
        <v>758</v>
      </c>
      <c r="BA114" s="263">
        <v>0.04</v>
      </c>
      <c r="BB114" s="263">
        <v>0.62</v>
      </c>
      <c r="BC114" s="263">
        <v>0.33</v>
      </c>
      <c r="BD114" s="263">
        <v>0</v>
      </c>
      <c r="BE114" s="263">
        <v>0.37</v>
      </c>
      <c r="BF114" s="263">
        <v>0.57999999999999996</v>
      </c>
      <c r="BG114" s="263">
        <v>0.56000000000000005</v>
      </c>
      <c r="BH114" s="309">
        <v>48</v>
      </c>
      <c r="BI114" s="309" t="s">
        <v>758</v>
      </c>
      <c r="BJ114" s="309">
        <v>11</v>
      </c>
      <c r="BK114" s="309" t="s">
        <v>758</v>
      </c>
      <c r="BL114" s="464"/>
      <c r="BM114" s="464"/>
      <c r="BN114" s="464"/>
      <c r="BO114" s="327">
        <v>0.13</v>
      </c>
      <c r="BP114" s="327">
        <v>0.47</v>
      </c>
      <c r="BQ114" s="327">
        <v>0.36</v>
      </c>
      <c r="BR114" s="327">
        <v>0.04</v>
      </c>
      <c r="BS114" s="327">
        <v>0.63</v>
      </c>
      <c r="BT114" s="327">
        <v>0.62</v>
      </c>
      <c r="BU114" s="476"/>
      <c r="BV114" s="476"/>
      <c r="BW114" s="476"/>
      <c r="BX114" s="327">
        <v>0.49</v>
      </c>
      <c r="BY114" s="424">
        <v>49</v>
      </c>
      <c r="BZ114" s="424" t="s">
        <v>758</v>
      </c>
      <c r="CA114" s="424">
        <v>10</v>
      </c>
      <c r="CB114" s="424" t="s">
        <v>758</v>
      </c>
      <c r="CC114" s="428">
        <v>0.08</v>
      </c>
      <c r="CD114" s="428">
        <v>0.5</v>
      </c>
      <c r="CE114" s="428">
        <v>0.4</v>
      </c>
      <c r="CF114" s="428">
        <v>0.02</v>
      </c>
      <c r="CG114" s="428">
        <v>0.66</v>
      </c>
      <c r="CH114" s="428">
        <v>0.41</v>
      </c>
      <c r="CI114" s="428">
        <v>0.65</v>
      </c>
      <c r="CJ114" s="464">
        <v>47</v>
      </c>
      <c r="CK114" s="464" t="s">
        <v>758</v>
      </c>
      <c r="CL114" s="464">
        <v>11</v>
      </c>
      <c r="CM114" s="464" t="s">
        <v>758</v>
      </c>
      <c r="CN114" s="476">
        <v>0.11</v>
      </c>
      <c r="CO114" s="476">
        <v>0.53</v>
      </c>
      <c r="CP114" s="476">
        <v>0.35</v>
      </c>
      <c r="CQ114" s="476">
        <v>0.02</v>
      </c>
      <c r="CR114" s="476">
        <v>0.69</v>
      </c>
      <c r="CS114" s="476">
        <v>0.6</v>
      </c>
      <c r="CT114" s="476">
        <v>0.46</v>
      </c>
      <c r="CU114" s="902">
        <v>48</v>
      </c>
      <c r="CV114" s="902" t="s">
        <v>758</v>
      </c>
      <c r="CW114" s="902">
        <v>10</v>
      </c>
      <c r="CX114" s="902" t="s">
        <v>758</v>
      </c>
      <c r="CY114" s="949">
        <v>0.11</v>
      </c>
      <c r="CZ114" s="949">
        <v>0.45</v>
      </c>
      <c r="DA114" s="949">
        <v>0.43</v>
      </c>
      <c r="DB114" s="949">
        <v>0</v>
      </c>
      <c r="DC114" s="949">
        <v>0.63</v>
      </c>
      <c r="DD114" s="949">
        <v>0.56999999999999995</v>
      </c>
      <c r="DE114" s="949">
        <v>0.4</v>
      </c>
      <c r="DF114" s="922">
        <v>125754002538</v>
      </c>
      <c r="DG114" s="892" t="e">
        <f>VLOOKUP(DF114,#REF!,3,0)</f>
        <v>#REF!</v>
      </c>
    </row>
    <row r="115" spans="1:111" ht="24.95" customHeight="1" x14ac:dyDescent="0.2">
      <c r="A115" s="803" t="s">
        <v>20</v>
      </c>
      <c r="B115" s="1" t="s">
        <v>121</v>
      </c>
      <c r="C115" s="12">
        <v>2</v>
      </c>
      <c r="D115" s="12">
        <v>53</v>
      </c>
      <c r="E115" s="12">
        <v>9</v>
      </c>
      <c r="F115" s="66">
        <v>0.02</v>
      </c>
      <c r="G115" s="66">
        <v>0.39</v>
      </c>
      <c r="H115" s="66">
        <v>0.56000000000000005</v>
      </c>
      <c r="I115" s="66">
        <v>0.04</v>
      </c>
      <c r="J115" s="66">
        <v>0.53</v>
      </c>
      <c r="K115" s="66">
        <v>0.45</v>
      </c>
      <c r="L115" s="66">
        <v>0.51</v>
      </c>
      <c r="M115" s="12">
        <v>52</v>
      </c>
      <c r="N115" s="12">
        <v>10</v>
      </c>
      <c r="O115" s="40">
        <v>0.06</v>
      </c>
      <c r="P115" s="40">
        <v>0.34</v>
      </c>
      <c r="Q115" s="40">
        <v>0.57999999999999996</v>
      </c>
      <c r="R115" s="40">
        <v>0.02</v>
      </c>
      <c r="S115" s="40">
        <v>0.47</v>
      </c>
      <c r="T115" s="40">
        <v>0.54</v>
      </c>
      <c r="U115" s="40">
        <v>0.36</v>
      </c>
      <c r="V115" s="12">
        <v>53</v>
      </c>
      <c r="W115" s="12">
        <v>9</v>
      </c>
      <c r="X115" s="66">
        <v>0.03</v>
      </c>
      <c r="Y115" s="66">
        <v>0.39</v>
      </c>
      <c r="Z115" s="66">
        <v>0.55000000000000004</v>
      </c>
      <c r="AA115" s="66">
        <v>0.03</v>
      </c>
      <c r="AB115" s="66">
        <v>0.48</v>
      </c>
      <c r="AC115" s="66">
        <v>0.37</v>
      </c>
      <c r="AD115" s="66">
        <v>0.49</v>
      </c>
      <c r="AE115" s="12">
        <v>52</v>
      </c>
      <c r="AF115" s="12">
        <v>10</v>
      </c>
      <c r="AG115" s="66">
        <v>0.06</v>
      </c>
      <c r="AH115" s="66">
        <v>0.37</v>
      </c>
      <c r="AI115" s="66">
        <v>0.55000000000000004</v>
      </c>
      <c r="AJ115" s="66">
        <v>0.03</v>
      </c>
      <c r="AK115" s="66">
        <v>0.53</v>
      </c>
      <c r="AL115" s="66">
        <v>0.49</v>
      </c>
      <c r="AM115" s="66">
        <v>0.3</v>
      </c>
      <c r="AN115" s="35">
        <v>53</v>
      </c>
      <c r="AO115" s="35">
        <v>10</v>
      </c>
      <c r="AP115" s="40">
        <v>0.03</v>
      </c>
      <c r="AQ115" s="40">
        <v>0.38</v>
      </c>
      <c r="AR115" s="40">
        <v>0.56000000000000005</v>
      </c>
      <c r="AS115" s="40">
        <v>0.04</v>
      </c>
      <c r="AT115" s="40">
        <v>0.28999999999999998</v>
      </c>
      <c r="AU115" s="40">
        <v>0.5</v>
      </c>
      <c r="AV115" s="40">
        <v>0.51</v>
      </c>
      <c r="AW115" s="246">
        <v>51</v>
      </c>
      <c r="AX115" s="246" t="s">
        <v>758</v>
      </c>
      <c r="AY115" s="246">
        <v>10</v>
      </c>
      <c r="AZ115" s="246" t="s">
        <v>758</v>
      </c>
      <c r="BA115" s="263">
        <v>0.06</v>
      </c>
      <c r="BB115" s="263">
        <v>0.44</v>
      </c>
      <c r="BC115" s="263">
        <v>0.49</v>
      </c>
      <c r="BD115" s="263">
        <v>0.01</v>
      </c>
      <c r="BE115" s="263">
        <v>0.31</v>
      </c>
      <c r="BF115" s="263">
        <v>0.53</v>
      </c>
      <c r="BG115" s="263">
        <v>0.49</v>
      </c>
      <c r="BH115" s="309">
        <v>52</v>
      </c>
      <c r="BI115" s="309" t="s">
        <v>758</v>
      </c>
      <c r="BJ115" s="309">
        <v>10</v>
      </c>
      <c r="BK115" s="309" t="s">
        <v>758</v>
      </c>
      <c r="BL115" s="464"/>
      <c r="BM115" s="464"/>
      <c r="BN115" s="464"/>
      <c r="BO115" s="327">
        <v>0.05</v>
      </c>
      <c r="BP115" s="327">
        <v>0.36</v>
      </c>
      <c r="BQ115" s="327">
        <v>0.57999999999999996</v>
      </c>
      <c r="BR115" s="327">
        <v>0.02</v>
      </c>
      <c r="BS115" s="327">
        <v>0.53</v>
      </c>
      <c r="BT115" s="327">
        <v>0.59</v>
      </c>
      <c r="BU115" s="476"/>
      <c r="BV115" s="476"/>
      <c r="BW115" s="476"/>
      <c r="BX115" s="327">
        <v>0.4</v>
      </c>
      <c r="BY115" s="424">
        <v>53</v>
      </c>
      <c r="BZ115" s="424" t="s">
        <v>758</v>
      </c>
      <c r="CA115" s="424">
        <v>10</v>
      </c>
      <c r="CB115" s="424" t="s">
        <v>758</v>
      </c>
      <c r="CC115" s="428">
        <v>0.03</v>
      </c>
      <c r="CD115" s="428">
        <v>0.36</v>
      </c>
      <c r="CE115" s="428">
        <v>0.56999999999999995</v>
      </c>
      <c r="CF115" s="428">
        <v>0.04</v>
      </c>
      <c r="CG115" s="428">
        <v>0.62</v>
      </c>
      <c r="CH115" s="428">
        <v>0.36</v>
      </c>
      <c r="CI115" s="428">
        <v>0.55000000000000004</v>
      </c>
      <c r="CJ115" s="464">
        <v>53</v>
      </c>
      <c r="CK115" s="464" t="s">
        <v>758</v>
      </c>
      <c r="CL115" s="464">
        <v>11</v>
      </c>
      <c r="CM115" s="464" t="s">
        <v>758</v>
      </c>
      <c r="CN115" s="476">
        <v>0.04</v>
      </c>
      <c r="CO115" s="476">
        <v>0.35</v>
      </c>
      <c r="CP115" s="476">
        <v>0.57999999999999996</v>
      </c>
      <c r="CQ115" s="476">
        <v>0.04</v>
      </c>
      <c r="CR115" s="476">
        <v>0.56000000000000005</v>
      </c>
      <c r="CS115" s="476">
        <v>0.53</v>
      </c>
      <c r="CT115" s="476">
        <v>0.41</v>
      </c>
      <c r="CU115" s="902">
        <v>52</v>
      </c>
      <c r="CV115" s="902" t="s">
        <v>758</v>
      </c>
      <c r="CW115" s="902">
        <v>11</v>
      </c>
      <c r="CX115" s="902" t="s">
        <v>758</v>
      </c>
      <c r="CY115" s="949">
        <v>0.08</v>
      </c>
      <c r="CZ115" s="949">
        <v>0.34</v>
      </c>
      <c r="DA115" s="949">
        <v>0.53</v>
      </c>
      <c r="DB115" s="949">
        <v>0.05</v>
      </c>
      <c r="DC115" s="949">
        <v>0.57999999999999996</v>
      </c>
      <c r="DD115" s="949">
        <v>0.47</v>
      </c>
      <c r="DE115" s="949">
        <v>0.39</v>
      </c>
      <c r="DF115" s="922">
        <v>125754000331</v>
      </c>
      <c r="DG115" s="892" t="e">
        <f>VLOOKUP(DF115,#REF!,3,0)</f>
        <v>#REF!</v>
      </c>
    </row>
    <row r="116" spans="1:111" ht="24.95" customHeight="1" x14ac:dyDescent="0.2">
      <c r="A116" s="803" t="s">
        <v>124</v>
      </c>
      <c r="B116" s="1" t="s">
        <v>123</v>
      </c>
      <c r="C116" s="12">
        <v>1</v>
      </c>
      <c r="D116" s="12">
        <v>50</v>
      </c>
      <c r="E116" s="12">
        <v>9</v>
      </c>
      <c r="F116" s="66">
        <v>0.04</v>
      </c>
      <c r="G116" s="66">
        <v>0.5</v>
      </c>
      <c r="H116" s="66">
        <v>0.43</v>
      </c>
      <c r="I116" s="66">
        <v>0.02</v>
      </c>
      <c r="J116" s="66">
        <v>0.56999999999999995</v>
      </c>
      <c r="K116" s="66">
        <v>0.54</v>
      </c>
      <c r="L116" s="66">
        <v>0.54</v>
      </c>
      <c r="M116" s="12">
        <v>55</v>
      </c>
      <c r="N116" s="12">
        <v>8</v>
      </c>
      <c r="O116" s="40">
        <v>0</v>
      </c>
      <c r="P116" s="40">
        <v>0.23</v>
      </c>
      <c r="Q116" s="40">
        <v>0.74</v>
      </c>
      <c r="R116" s="40">
        <v>0.03</v>
      </c>
      <c r="S116" s="40">
        <v>0.44</v>
      </c>
      <c r="T116" s="40">
        <v>0.51</v>
      </c>
      <c r="U116" s="40">
        <v>0.28999999999999998</v>
      </c>
      <c r="V116" s="12">
        <v>56</v>
      </c>
      <c r="W116" s="12">
        <v>8</v>
      </c>
      <c r="X116" s="66">
        <v>0</v>
      </c>
      <c r="Y116" s="66">
        <v>0.32</v>
      </c>
      <c r="Z116" s="66">
        <v>0.63</v>
      </c>
      <c r="AA116" s="66">
        <v>0.05</v>
      </c>
      <c r="AB116" s="66">
        <v>0.45</v>
      </c>
      <c r="AC116" s="66">
        <v>0.34</v>
      </c>
      <c r="AD116" s="66">
        <v>0.44</v>
      </c>
      <c r="AE116" s="12">
        <v>58</v>
      </c>
      <c r="AF116" s="12">
        <v>9</v>
      </c>
      <c r="AG116" s="66">
        <v>0</v>
      </c>
      <c r="AH116" s="66">
        <v>0.14000000000000001</v>
      </c>
      <c r="AI116" s="66">
        <v>0.73</v>
      </c>
      <c r="AJ116" s="66">
        <v>0.14000000000000001</v>
      </c>
      <c r="AK116" s="66">
        <v>0.47</v>
      </c>
      <c r="AL116" s="66">
        <v>0.36</v>
      </c>
      <c r="AM116" s="66">
        <v>0.21</v>
      </c>
      <c r="AN116" s="35">
        <v>57</v>
      </c>
      <c r="AO116" s="35">
        <v>8</v>
      </c>
      <c r="AP116" s="40">
        <v>0</v>
      </c>
      <c r="AQ116" s="40">
        <v>0.18</v>
      </c>
      <c r="AR116" s="40">
        <v>0.78</v>
      </c>
      <c r="AS116" s="40">
        <v>0.04</v>
      </c>
      <c r="AT116" s="40">
        <v>0.21</v>
      </c>
      <c r="AU116" s="40">
        <v>0.41</v>
      </c>
      <c r="AV116" s="40">
        <v>0.45</v>
      </c>
      <c r="AW116" s="246">
        <v>55</v>
      </c>
      <c r="AX116" s="246" t="s">
        <v>758</v>
      </c>
      <c r="AY116" s="246">
        <v>9</v>
      </c>
      <c r="AZ116" s="246" t="s">
        <v>758</v>
      </c>
      <c r="BA116" s="263">
        <v>0.02</v>
      </c>
      <c r="BB116" s="263">
        <v>0.28999999999999998</v>
      </c>
      <c r="BC116" s="263">
        <v>0.64</v>
      </c>
      <c r="BD116" s="263">
        <v>0.05</v>
      </c>
      <c r="BE116" s="263">
        <v>0.25</v>
      </c>
      <c r="BF116" s="263">
        <v>0.45</v>
      </c>
      <c r="BG116" s="263">
        <v>0.42</v>
      </c>
      <c r="BH116" s="309">
        <v>56</v>
      </c>
      <c r="BI116" s="309" t="s">
        <v>758</v>
      </c>
      <c r="BJ116" s="309">
        <v>10</v>
      </c>
      <c r="BK116" s="309" t="s">
        <v>758</v>
      </c>
      <c r="BL116" s="464"/>
      <c r="BM116" s="464"/>
      <c r="BN116" s="464"/>
      <c r="BO116" s="327">
        <v>0</v>
      </c>
      <c r="BP116" s="327">
        <v>0.32</v>
      </c>
      <c r="BQ116" s="327">
        <v>0.62</v>
      </c>
      <c r="BR116" s="327">
        <v>0.06</v>
      </c>
      <c r="BS116" s="327">
        <v>0.44</v>
      </c>
      <c r="BT116" s="327">
        <v>0.56999999999999995</v>
      </c>
      <c r="BU116" s="476"/>
      <c r="BV116" s="476"/>
      <c r="BW116" s="476"/>
      <c r="BX116" s="327">
        <v>0.32</v>
      </c>
      <c r="BY116" s="424">
        <v>59</v>
      </c>
      <c r="BZ116" s="424" t="s">
        <v>758</v>
      </c>
      <c r="CA116" s="424">
        <v>10</v>
      </c>
      <c r="CB116" s="424" t="s">
        <v>758</v>
      </c>
      <c r="CC116" s="428">
        <v>0.02</v>
      </c>
      <c r="CD116" s="428">
        <v>0.2</v>
      </c>
      <c r="CE116" s="428">
        <v>0.61</v>
      </c>
      <c r="CF116" s="428">
        <v>0.17</v>
      </c>
      <c r="CG116" s="428">
        <v>0.5</v>
      </c>
      <c r="CH116" s="428">
        <v>0.3</v>
      </c>
      <c r="CI116" s="428">
        <v>0.44</v>
      </c>
      <c r="CJ116" s="464">
        <v>56</v>
      </c>
      <c r="CK116" s="464" t="s">
        <v>758</v>
      </c>
      <c r="CL116" s="464">
        <v>9</v>
      </c>
      <c r="CM116" s="464" t="s">
        <v>758</v>
      </c>
      <c r="CN116" s="476">
        <v>0.02</v>
      </c>
      <c r="CO116" s="476">
        <v>0.25</v>
      </c>
      <c r="CP116" s="476">
        <v>0.68</v>
      </c>
      <c r="CQ116" s="476">
        <v>0.06</v>
      </c>
      <c r="CR116" s="476">
        <v>0.53</v>
      </c>
      <c r="CS116" s="476">
        <v>0.48</v>
      </c>
      <c r="CT116" s="476">
        <v>0.38</v>
      </c>
      <c r="CU116" s="902">
        <v>59</v>
      </c>
      <c r="CV116" s="902" t="s">
        <v>758</v>
      </c>
      <c r="CW116" s="902">
        <v>11</v>
      </c>
      <c r="CX116" s="902" t="s">
        <v>758</v>
      </c>
      <c r="CY116" s="949">
        <v>0.02</v>
      </c>
      <c r="CZ116" s="949">
        <v>0.18</v>
      </c>
      <c r="DA116" s="949">
        <v>0.66</v>
      </c>
      <c r="DB116" s="949">
        <v>0.15</v>
      </c>
      <c r="DC116" s="949">
        <v>0.49</v>
      </c>
      <c r="DD116" s="949">
        <v>0.41</v>
      </c>
      <c r="DE116" s="949">
        <v>0.3</v>
      </c>
      <c r="DF116" s="922">
        <v>325754001441</v>
      </c>
      <c r="DG116" s="892" t="e">
        <f>VLOOKUP(DF116,#REF!,3,0)</f>
        <v>#REF!</v>
      </c>
    </row>
    <row r="117" spans="1:111" ht="24.95" customHeight="1" x14ac:dyDescent="0.2">
      <c r="A117" s="803" t="s">
        <v>53</v>
      </c>
      <c r="B117" s="1" t="s">
        <v>121</v>
      </c>
      <c r="C117" s="12">
        <v>2</v>
      </c>
      <c r="D117" s="12">
        <v>51</v>
      </c>
      <c r="E117" s="12">
        <v>8</v>
      </c>
      <c r="F117" s="66">
        <v>0.03</v>
      </c>
      <c r="G117" s="66">
        <v>0.49</v>
      </c>
      <c r="H117" s="66">
        <v>0.48</v>
      </c>
      <c r="I117" s="66">
        <v>0.01</v>
      </c>
      <c r="J117" s="66">
        <v>0.56000000000000005</v>
      </c>
      <c r="K117" s="66">
        <v>0.51</v>
      </c>
      <c r="L117" s="66">
        <v>0.55000000000000004</v>
      </c>
      <c r="M117" s="12">
        <v>50</v>
      </c>
      <c r="N117" s="12">
        <v>10</v>
      </c>
      <c r="O117" s="40">
        <v>0.05</v>
      </c>
      <c r="P117" s="40">
        <v>0.46</v>
      </c>
      <c r="Q117" s="40">
        <v>0.47</v>
      </c>
      <c r="R117" s="40">
        <v>0.02</v>
      </c>
      <c r="S117" s="40">
        <v>0.49</v>
      </c>
      <c r="T117" s="40">
        <v>0.56999999999999995</v>
      </c>
      <c r="U117" s="40">
        <v>0.39</v>
      </c>
      <c r="V117" s="12">
        <v>52</v>
      </c>
      <c r="W117" s="12">
        <v>10</v>
      </c>
      <c r="X117" s="66">
        <v>7.0000000000000007E-2</v>
      </c>
      <c r="Y117" s="66">
        <v>0.37</v>
      </c>
      <c r="Z117" s="66">
        <v>0.54</v>
      </c>
      <c r="AA117" s="66">
        <v>0.02</v>
      </c>
      <c r="AB117" s="66">
        <v>0.5</v>
      </c>
      <c r="AC117" s="66">
        <v>0.37</v>
      </c>
      <c r="AD117" s="66">
        <v>0.53</v>
      </c>
      <c r="AE117" s="12">
        <v>52</v>
      </c>
      <c r="AF117" s="12">
        <v>10</v>
      </c>
      <c r="AG117" s="66">
        <v>0.04</v>
      </c>
      <c r="AH117" s="66">
        <v>0.4</v>
      </c>
      <c r="AI117" s="66">
        <v>0.54</v>
      </c>
      <c r="AJ117" s="66">
        <v>0.03</v>
      </c>
      <c r="AK117" s="66">
        <v>0.53</v>
      </c>
      <c r="AL117" s="66">
        <v>0.46</v>
      </c>
      <c r="AM117" s="66">
        <v>0.3</v>
      </c>
      <c r="AN117" s="35">
        <v>52</v>
      </c>
      <c r="AO117" s="35">
        <v>8</v>
      </c>
      <c r="AP117" s="40">
        <v>0.02</v>
      </c>
      <c r="AQ117" s="40">
        <v>0.35</v>
      </c>
      <c r="AR117" s="40">
        <v>0.61</v>
      </c>
      <c r="AS117" s="40">
        <v>0.01</v>
      </c>
      <c r="AT117" s="40">
        <v>0.28000000000000003</v>
      </c>
      <c r="AU117" s="40">
        <v>0.52</v>
      </c>
      <c r="AV117" s="40">
        <v>0.51</v>
      </c>
      <c r="AW117" s="246">
        <v>49</v>
      </c>
      <c r="AX117" s="246" t="s">
        <v>758</v>
      </c>
      <c r="AY117" s="246">
        <v>8</v>
      </c>
      <c r="AZ117" s="246" t="s">
        <v>758</v>
      </c>
      <c r="BA117" s="263">
        <v>0.06</v>
      </c>
      <c r="BB117" s="263">
        <v>0.43</v>
      </c>
      <c r="BC117" s="263">
        <v>0.51</v>
      </c>
      <c r="BD117" s="263">
        <v>0</v>
      </c>
      <c r="BE117" s="263">
        <v>0.32</v>
      </c>
      <c r="BF117" s="263">
        <v>0.55000000000000004</v>
      </c>
      <c r="BG117" s="263">
        <v>0.51</v>
      </c>
      <c r="BH117" s="309">
        <v>50</v>
      </c>
      <c r="BI117" s="309" t="s">
        <v>758</v>
      </c>
      <c r="BJ117" s="309">
        <v>10</v>
      </c>
      <c r="BK117" s="309" t="s">
        <v>758</v>
      </c>
      <c r="BL117" s="464"/>
      <c r="BM117" s="464"/>
      <c r="BN117" s="464"/>
      <c r="BO117" s="327">
        <v>0.09</v>
      </c>
      <c r="BP117" s="327">
        <v>0.43</v>
      </c>
      <c r="BQ117" s="327">
        <v>0.46</v>
      </c>
      <c r="BR117" s="327">
        <v>0.02</v>
      </c>
      <c r="BS117" s="327">
        <v>0.59</v>
      </c>
      <c r="BT117" s="327">
        <v>0.63</v>
      </c>
      <c r="BU117" s="476"/>
      <c r="BV117" s="476"/>
      <c r="BW117" s="476"/>
      <c r="BX117" s="327">
        <v>0.46</v>
      </c>
      <c r="BY117" s="424">
        <v>52</v>
      </c>
      <c r="BZ117" s="424" t="s">
        <v>758</v>
      </c>
      <c r="CA117" s="424">
        <v>9</v>
      </c>
      <c r="CB117" s="424" t="s">
        <v>758</v>
      </c>
      <c r="CC117" s="428">
        <v>0.05</v>
      </c>
      <c r="CD117" s="428">
        <v>0.43</v>
      </c>
      <c r="CE117" s="428">
        <v>0.5</v>
      </c>
      <c r="CF117" s="428">
        <v>0.02</v>
      </c>
      <c r="CG117" s="428">
        <v>0.63</v>
      </c>
      <c r="CH117" s="428">
        <v>0.39</v>
      </c>
      <c r="CI117" s="428">
        <v>0.61</v>
      </c>
      <c r="CJ117" s="464">
        <v>54</v>
      </c>
      <c r="CK117" s="464" t="s">
        <v>758</v>
      </c>
      <c r="CL117" s="464">
        <v>10</v>
      </c>
      <c r="CM117" s="464" t="s">
        <v>758</v>
      </c>
      <c r="CN117" s="476">
        <v>0.03</v>
      </c>
      <c r="CO117" s="476">
        <v>0.34</v>
      </c>
      <c r="CP117" s="476">
        <v>0.6</v>
      </c>
      <c r="CQ117" s="476">
        <v>0.03</v>
      </c>
      <c r="CR117" s="476">
        <v>0.55000000000000004</v>
      </c>
      <c r="CS117" s="476">
        <v>0.51</v>
      </c>
      <c r="CT117" s="476">
        <v>0.41</v>
      </c>
      <c r="CU117" s="902">
        <v>54</v>
      </c>
      <c r="CV117" s="902" t="s">
        <v>758</v>
      </c>
      <c r="CW117" s="902">
        <v>10</v>
      </c>
      <c r="CX117" s="902" t="s">
        <v>758</v>
      </c>
      <c r="CY117" s="949">
        <v>0.05</v>
      </c>
      <c r="CZ117" s="949">
        <v>0.31</v>
      </c>
      <c r="DA117" s="949">
        <v>0.59</v>
      </c>
      <c r="DB117" s="949">
        <v>0.05</v>
      </c>
      <c r="DC117" s="949">
        <v>0.61</v>
      </c>
      <c r="DD117" s="949">
        <v>0.47</v>
      </c>
      <c r="DE117" s="949">
        <v>0.37</v>
      </c>
      <c r="DF117" s="922">
        <v>125754001035</v>
      </c>
      <c r="DG117" s="892" t="e">
        <f>VLOOKUP(DF117,#REF!,3,0)</f>
        <v>#REF!</v>
      </c>
    </row>
    <row r="118" spans="1:111" ht="24.95" customHeight="1" x14ac:dyDescent="0.2">
      <c r="A118" s="803" t="s">
        <v>953</v>
      </c>
      <c r="B118" s="1" t="s">
        <v>121</v>
      </c>
      <c r="C118" s="12">
        <v>4</v>
      </c>
      <c r="D118" s="12">
        <v>52</v>
      </c>
      <c r="E118" s="12">
        <v>10</v>
      </c>
      <c r="F118" s="66">
        <v>0.04</v>
      </c>
      <c r="G118" s="66">
        <v>0.4</v>
      </c>
      <c r="H118" s="66">
        <v>0.52</v>
      </c>
      <c r="I118" s="66">
        <v>0.03</v>
      </c>
      <c r="J118" s="66">
        <v>0.52</v>
      </c>
      <c r="K118" s="66">
        <v>0.46</v>
      </c>
      <c r="L118" s="66">
        <v>0.5</v>
      </c>
      <c r="M118" s="12">
        <v>52</v>
      </c>
      <c r="N118" s="12">
        <v>11</v>
      </c>
      <c r="O118" s="40">
        <v>0.04</v>
      </c>
      <c r="P118" s="40">
        <v>0.39</v>
      </c>
      <c r="Q118" s="40">
        <v>0.53</v>
      </c>
      <c r="R118" s="40">
        <v>0.04</v>
      </c>
      <c r="S118" s="40">
        <v>0.48</v>
      </c>
      <c r="T118" s="40">
        <v>0.54</v>
      </c>
      <c r="U118" s="40">
        <v>0.35</v>
      </c>
      <c r="V118" s="12">
        <v>50</v>
      </c>
      <c r="W118" s="12">
        <v>9</v>
      </c>
      <c r="X118" s="66">
        <v>0.05</v>
      </c>
      <c r="Y118" s="66">
        <v>0.46</v>
      </c>
      <c r="Z118" s="66">
        <v>0.48</v>
      </c>
      <c r="AA118" s="66">
        <v>0.01</v>
      </c>
      <c r="AB118" s="66">
        <v>0.53</v>
      </c>
      <c r="AC118" s="66">
        <v>0.41</v>
      </c>
      <c r="AD118" s="66">
        <v>0.54</v>
      </c>
      <c r="AE118" s="12">
        <v>49</v>
      </c>
      <c r="AF118" s="12">
        <v>9</v>
      </c>
      <c r="AG118" s="66">
        <v>0.06</v>
      </c>
      <c r="AH118" s="66">
        <v>0.52</v>
      </c>
      <c r="AI118" s="66">
        <v>0.4</v>
      </c>
      <c r="AJ118" s="66">
        <v>0.01</v>
      </c>
      <c r="AK118" s="66">
        <v>0.57999999999999996</v>
      </c>
      <c r="AL118" s="66">
        <v>0.52</v>
      </c>
      <c r="AM118" s="66">
        <v>0.34</v>
      </c>
      <c r="AN118" s="35">
        <v>50</v>
      </c>
      <c r="AO118" s="35">
        <v>10</v>
      </c>
      <c r="AP118" s="40">
        <v>0.06</v>
      </c>
      <c r="AQ118" s="40">
        <v>0.4</v>
      </c>
      <c r="AR118" s="40">
        <v>0.53</v>
      </c>
      <c r="AS118" s="40">
        <v>0.01</v>
      </c>
      <c r="AT118" s="40">
        <v>0.32</v>
      </c>
      <c r="AU118" s="40">
        <v>0.52</v>
      </c>
      <c r="AV118" s="40">
        <v>0.53</v>
      </c>
      <c r="AW118" s="246">
        <v>49</v>
      </c>
      <c r="AX118" s="246" t="s">
        <v>758</v>
      </c>
      <c r="AY118" s="246">
        <v>9</v>
      </c>
      <c r="AZ118" s="246" t="s">
        <v>758</v>
      </c>
      <c r="BA118" s="263">
        <v>7.0000000000000007E-2</v>
      </c>
      <c r="BB118" s="263">
        <v>0.48</v>
      </c>
      <c r="BC118" s="263">
        <v>0.43</v>
      </c>
      <c r="BD118" s="263">
        <v>0.01</v>
      </c>
      <c r="BE118" s="263">
        <v>0.32</v>
      </c>
      <c r="BF118" s="263">
        <v>0.55000000000000004</v>
      </c>
      <c r="BG118" s="263">
        <v>0.51</v>
      </c>
      <c r="BH118" s="309">
        <v>50</v>
      </c>
      <c r="BI118" s="309" t="s">
        <v>758</v>
      </c>
      <c r="BJ118" s="309">
        <v>10</v>
      </c>
      <c r="BK118" s="309" t="s">
        <v>758</v>
      </c>
      <c r="BL118" s="464"/>
      <c r="BM118" s="464"/>
      <c r="BN118" s="464"/>
      <c r="BO118" s="327">
        <v>0.06</v>
      </c>
      <c r="BP118" s="327">
        <v>0.45</v>
      </c>
      <c r="BQ118" s="327">
        <v>0.47</v>
      </c>
      <c r="BR118" s="327">
        <v>0.01</v>
      </c>
      <c r="BS118" s="327">
        <v>0.55000000000000004</v>
      </c>
      <c r="BT118" s="327">
        <v>0.64</v>
      </c>
      <c r="BU118" s="476"/>
      <c r="BV118" s="476"/>
      <c r="BW118" s="476"/>
      <c r="BX118" s="327">
        <v>0.44</v>
      </c>
      <c r="BY118" s="424">
        <v>51</v>
      </c>
      <c r="BZ118" s="424" t="s">
        <v>758</v>
      </c>
      <c r="CA118" s="424">
        <v>11</v>
      </c>
      <c r="CB118" s="424" t="s">
        <v>758</v>
      </c>
      <c r="CC118" s="428">
        <v>0.09</v>
      </c>
      <c r="CD118" s="428">
        <v>0.41</v>
      </c>
      <c r="CE118" s="428">
        <v>0.49</v>
      </c>
      <c r="CF118" s="428">
        <v>0.01</v>
      </c>
      <c r="CG118" s="428">
        <v>0.64</v>
      </c>
      <c r="CH118" s="428">
        <v>0.41</v>
      </c>
      <c r="CI118" s="428">
        <v>0.61</v>
      </c>
      <c r="CJ118" s="464">
        <v>51</v>
      </c>
      <c r="CK118" s="464" t="s">
        <v>758</v>
      </c>
      <c r="CL118" s="464">
        <v>11</v>
      </c>
      <c r="CM118" s="464" t="s">
        <v>758</v>
      </c>
      <c r="CN118" s="476">
        <v>0.1</v>
      </c>
      <c r="CO118" s="476">
        <v>0.37</v>
      </c>
      <c r="CP118" s="476">
        <v>0.52</v>
      </c>
      <c r="CQ118" s="476">
        <v>0.01</v>
      </c>
      <c r="CR118" s="476">
        <v>0.59</v>
      </c>
      <c r="CS118" s="476">
        <v>0.56999999999999995</v>
      </c>
      <c r="CT118" s="476">
        <v>0.46</v>
      </c>
      <c r="CU118" s="902">
        <v>50</v>
      </c>
      <c r="CV118" s="902" t="s">
        <v>758</v>
      </c>
      <c r="CW118" s="902">
        <v>11</v>
      </c>
      <c r="CX118" s="902" t="s">
        <v>758</v>
      </c>
      <c r="CY118" s="949">
        <v>0.09</v>
      </c>
      <c r="CZ118" s="949">
        <v>0.47</v>
      </c>
      <c r="DA118" s="949">
        <v>0.41</v>
      </c>
      <c r="DB118" s="949">
        <v>0.03</v>
      </c>
      <c r="DC118" s="949">
        <v>0.65</v>
      </c>
      <c r="DD118" s="949">
        <v>0.55000000000000004</v>
      </c>
      <c r="DE118" s="949">
        <v>0.4</v>
      </c>
      <c r="DF118" s="922">
        <v>125754001159</v>
      </c>
      <c r="DG118" s="892" t="e">
        <f>VLOOKUP(DF118,#REF!,3,0)</f>
        <v>#REF!</v>
      </c>
    </row>
    <row r="119" spans="1:111" ht="24.95" customHeight="1" x14ac:dyDescent="0.2">
      <c r="A119" s="803" t="s">
        <v>954</v>
      </c>
      <c r="B119" s="1" t="s">
        <v>123</v>
      </c>
      <c r="C119" s="12">
        <v>1</v>
      </c>
      <c r="D119" s="12">
        <v>48</v>
      </c>
      <c r="E119" s="12">
        <v>10</v>
      </c>
      <c r="F119" s="66">
        <v>0.12</v>
      </c>
      <c r="G119" s="66">
        <v>0.5</v>
      </c>
      <c r="H119" s="66">
        <v>0.38</v>
      </c>
      <c r="I119" s="66">
        <v>0</v>
      </c>
      <c r="J119" s="66">
        <v>0.61</v>
      </c>
      <c r="K119" s="66">
        <v>0.51</v>
      </c>
      <c r="L119" s="66">
        <v>0.63</v>
      </c>
      <c r="M119" s="12">
        <v>45</v>
      </c>
      <c r="N119" s="12">
        <v>9</v>
      </c>
      <c r="O119" s="40">
        <v>0.18</v>
      </c>
      <c r="P119" s="40">
        <v>0.53</v>
      </c>
      <c r="Q119" s="40">
        <v>0.28999999999999998</v>
      </c>
      <c r="R119" s="40">
        <v>0</v>
      </c>
      <c r="S119" s="40">
        <v>0.6</v>
      </c>
      <c r="T119" s="40">
        <v>0.66</v>
      </c>
      <c r="U119" s="40">
        <v>0.46</v>
      </c>
      <c r="V119" s="12">
        <v>46</v>
      </c>
      <c r="W119" s="12">
        <v>9</v>
      </c>
      <c r="X119" s="66">
        <v>0.14000000000000001</v>
      </c>
      <c r="Y119" s="66">
        <v>0.56999999999999995</v>
      </c>
      <c r="Z119" s="66">
        <v>0.28999999999999998</v>
      </c>
      <c r="AA119" s="66">
        <v>0</v>
      </c>
      <c r="AB119" s="66">
        <v>0.6</v>
      </c>
      <c r="AC119" s="66">
        <v>0.49</v>
      </c>
      <c r="AD119" s="66">
        <v>0.59</v>
      </c>
      <c r="AE119" s="12">
        <v>47</v>
      </c>
      <c r="AF119" s="12">
        <v>9</v>
      </c>
      <c r="AG119" s="66">
        <v>0.04</v>
      </c>
      <c r="AH119" s="66">
        <v>0.61</v>
      </c>
      <c r="AI119" s="66">
        <v>0.35</v>
      </c>
      <c r="AJ119" s="66">
        <v>0</v>
      </c>
      <c r="AK119" s="66">
        <v>0.57999999999999996</v>
      </c>
      <c r="AL119" s="66">
        <v>0.53</v>
      </c>
      <c r="AM119" s="66">
        <v>0.38</v>
      </c>
      <c r="AN119" s="35">
        <v>53</v>
      </c>
      <c r="AO119" s="35">
        <v>8</v>
      </c>
      <c r="AP119" s="40">
        <v>0</v>
      </c>
      <c r="AQ119" s="40">
        <v>0.38</v>
      </c>
      <c r="AR119" s="40">
        <v>0.57999999999999996</v>
      </c>
      <c r="AS119" s="40">
        <v>0.04</v>
      </c>
      <c r="AT119" s="40">
        <v>0.23</v>
      </c>
      <c r="AU119" s="40">
        <v>0.52</v>
      </c>
      <c r="AV119" s="40">
        <v>0.51</v>
      </c>
      <c r="AW119" s="246">
        <v>50</v>
      </c>
      <c r="AX119" s="246" t="s">
        <v>758</v>
      </c>
      <c r="AY119" s="246">
        <v>10</v>
      </c>
      <c r="AZ119" s="246" t="s">
        <v>758</v>
      </c>
      <c r="BA119" s="263">
        <v>0.1</v>
      </c>
      <c r="BB119" s="263">
        <v>0.33</v>
      </c>
      <c r="BC119" s="263">
        <v>0.56999999999999995</v>
      </c>
      <c r="BD119" s="263">
        <v>0</v>
      </c>
      <c r="BE119" s="263">
        <v>0.3</v>
      </c>
      <c r="BF119" s="263">
        <v>0.55000000000000004</v>
      </c>
      <c r="BG119" s="263">
        <v>0.48</v>
      </c>
      <c r="BH119" s="309">
        <v>54</v>
      </c>
      <c r="BI119" s="309" t="s">
        <v>758</v>
      </c>
      <c r="BJ119" s="309">
        <v>8</v>
      </c>
      <c r="BK119" s="309" t="s">
        <v>758</v>
      </c>
      <c r="BL119" s="464"/>
      <c r="BM119" s="464"/>
      <c r="BN119" s="464"/>
      <c r="BO119" s="327">
        <v>0</v>
      </c>
      <c r="BP119" s="327">
        <v>0.38</v>
      </c>
      <c r="BQ119" s="327">
        <v>0.62</v>
      </c>
      <c r="BR119" s="327">
        <v>0</v>
      </c>
      <c r="BS119" s="327">
        <v>0.49</v>
      </c>
      <c r="BT119" s="327">
        <v>0.54</v>
      </c>
      <c r="BU119" s="476"/>
      <c r="BV119" s="476"/>
      <c r="BW119" s="476"/>
      <c r="BX119" s="327">
        <v>0.42</v>
      </c>
      <c r="BY119" s="424">
        <v>54</v>
      </c>
      <c r="BZ119" s="424" t="s">
        <v>758</v>
      </c>
      <c r="CA119" s="424">
        <v>9</v>
      </c>
      <c r="CB119" s="424" t="s">
        <v>758</v>
      </c>
      <c r="CC119" s="428">
        <v>0</v>
      </c>
      <c r="CD119" s="428">
        <v>0.36</v>
      </c>
      <c r="CE119" s="428">
        <v>0.6</v>
      </c>
      <c r="CF119" s="428">
        <v>0.04</v>
      </c>
      <c r="CG119" s="428">
        <v>0.65</v>
      </c>
      <c r="CH119" s="428">
        <v>0.34</v>
      </c>
      <c r="CI119" s="428">
        <v>0.46</v>
      </c>
      <c r="CJ119" s="464">
        <v>59</v>
      </c>
      <c r="CK119" s="464" t="s">
        <v>758</v>
      </c>
      <c r="CL119" s="464">
        <v>8</v>
      </c>
      <c r="CM119" s="464" t="s">
        <v>758</v>
      </c>
      <c r="CN119" s="476">
        <v>0</v>
      </c>
      <c r="CO119" s="476">
        <v>0.16</v>
      </c>
      <c r="CP119" s="476">
        <v>0.74</v>
      </c>
      <c r="CQ119" s="476">
        <v>0.11</v>
      </c>
      <c r="CR119" s="476">
        <v>0.41</v>
      </c>
      <c r="CS119" s="476">
        <v>0.4</v>
      </c>
      <c r="CT119" s="476">
        <v>0.25</v>
      </c>
      <c r="CU119" s="902">
        <v>54</v>
      </c>
      <c r="CV119" s="902" t="s">
        <v>758</v>
      </c>
      <c r="CW119" s="902">
        <v>10</v>
      </c>
      <c r="CX119" s="902" t="s">
        <v>758</v>
      </c>
      <c r="CY119" s="949">
        <v>0</v>
      </c>
      <c r="CZ119" s="949">
        <v>0.44</v>
      </c>
      <c r="DA119" s="949">
        <v>0.44</v>
      </c>
      <c r="DB119" s="949">
        <v>0.12</v>
      </c>
      <c r="DC119" s="949">
        <v>0.54</v>
      </c>
      <c r="DD119" s="949">
        <v>0.47</v>
      </c>
      <c r="DE119" s="949">
        <v>0.35</v>
      </c>
      <c r="DF119" s="922">
        <v>325754002596</v>
      </c>
      <c r="DG119" s="892" t="e">
        <f>VLOOKUP(DF119,#REF!,3,0)</f>
        <v>#REF!</v>
      </c>
    </row>
    <row r="120" spans="1:111" ht="24.95" customHeight="1" x14ac:dyDescent="0.2">
      <c r="A120" s="803" t="s">
        <v>96</v>
      </c>
      <c r="B120" s="1" t="s">
        <v>121</v>
      </c>
      <c r="C120" s="12">
        <v>3</v>
      </c>
      <c r="D120" s="12">
        <v>50</v>
      </c>
      <c r="E120" s="12">
        <v>9</v>
      </c>
      <c r="F120" s="66">
        <v>0.06</v>
      </c>
      <c r="G120" s="66">
        <v>0.5</v>
      </c>
      <c r="H120" s="66">
        <v>0.43</v>
      </c>
      <c r="I120" s="66">
        <v>0.01</v>
      </c>
      <c r="J120" s="66">
        <v>0.56999999999999995</v>
      </c>
      <c r="K120" s="66">
        <v>0.51</v>
      </c>
      <c r="L120" s="66">
        <v>0.59</v>
      </c>
      <c r="M120" s="12">
        <v>50</v>
      </c>
      <c r="N120" s="12">
        <v>9</v>
      </c>
      <c r="O120" s="40">
        <v>7.0000000000000007E-2</v>
      </c>
      <c r="P120" s="40">
        <v>0.45</v>
      </c>
      <c r="Q120" s="40">
        <v>0.48</v>
      </c>
      <c r="R120" s="40">
        <v>0.01</v>
      </c>
      <c r="S120" s="40">
        <v>0.5</v>
      </c>
      <c r="T120" s="40">
        <v>0.59</v>
      </c>
      <c r="U120" s="40">
        <v>0.39</v>
      </c>
      <c r="V120" s="12">
        <v>50</v>
      </c>
      <c r="W120" s="12">
        <v>10</v>
      </c>
      <c r="X120" s="66">
        <v>7.0000000000000007E-2</v>
      </c>
      <c r="Y120" s="66">
        <v>0.45</v>
      </c>
      <c r="Z120" s="66">
        <v>0.47</v>
      </c>
      <c r="AA120" s="66">
        <v>0.01</v>
      </c>
      <c r="AB120" s="66">
        <v>0.52</v>
      </c>
      <c r="AC120" s="66">
        <v>0.4</v>
      </c>
      <c r="AD120" s="66">
        <v>0.53</v>
      </c>
      <c r="AE120" s="12">
        <v>51</v>
      </c>
      <c r="AF120" s="12">
        <v>9</v>
      </c>
      <c r="AG120" s="66">
        <v>0.05</v>
      </c>
      <c r="AH120" s="66">
        <v>0.44</v>
      </c>
      <c r="AI120" s="66">
        <v>0.5</v>
      </c>
      <c r="AJ120" s="66">
        <v>0.01</v>
      </c>
      <c r="AK120" s="66">
        <v>0.56999999999999995</v>
      </c>
      <c r="AL120" s="66">
        <v>0.48</v>
      </c>
      <c r="AM120" s="66">
        <v>0.31</v>
      </c>
      <c r="AN120" s="35">
        <v>49</v>
      </c>
      <c r="AO120" s="35">
        <v>9</v>
      </c>
      <c r="AP120" s="40">
        <v>0.08</v>
      </c>
      <c r="AQ120" s="40">
        <v>0.45</v>
      </c>
      <c r="AR120" s="40">
        <v>0.47</v>
      </c>
      <c r="AS120" s="40">
        <v>0.01</v>
      </c>
      <c r="AT120" s="40">
        <v>0.35</v>
      </c>
      <c r="AU120" s="40">
        <v>0.55000000000000004</v>
      </c>
      <c r="AV120" s="40">
        <v>0.55000000000000004</v>
      </c>
      <c r="AW120" s="246">
        <v>49</v>
      </c>
      <c r="AX120" s="246" t="s">
        <v>758</v>
      </c>
      <c r="AY120" s="246">
        <v>8</v>
      </c>
      <c r="AZ120" s="246" t="s">
        <v>758</v>
      </c>
      <c r="BA120" s="263">
        <v>0.06</v>
      </c>
      <c r="BB120" s="263">
        <v>0.46</v>
      </c>
      <c r="BC120" s="263">
        <v>0.47</v>
      </c>
      <c r="BD120" s="263">
        <v>0.01</v>
      </c>
      <c r="BE120" s="263">
        <v>0.31</v>
      </c>
      <c r="BF120" s="263">
        <v>0.56000000000000005</v>
      </c>
      <c r="BG120" s="263">
        <v>0.52</v>
      </c>
      <c r="BH120" s="309">
        <v>50</v>
      </c>
      <c r="BI120" s="309" t="s">
        <v>758</v>
      </c>
      <c r="BJ120" s="309">
        <v>9</v>
      </c>
      <c r="BK120" s="309" t="s">
        <v>758</v>
      </c>
      <c r="BL120" s="464"/>
      <c r="BM120" s="464"/>
      <c r="BN120" s="464"/>
      <c r="BO120" s="327">
        <v>0.04</v>
      </c>
      <c r="BP120" s="327">
        <v>0.48</v>
      </c>
      <c r="BQ120" s="327">
        <v>0.47</v>
      </c>
      <c r="BR120" s="327">
        <v>0.01</v>
      </c>
      <c r="BS120" s="327">
        <v>0.55000000000000004</v>
      </c>
      <c r="BT120" s="327">
        <v>0.62</v>
      </c>
      <c r="BU120" s="476"/>
      <c r="BV120" s="476"/>
      <c r="BW120" s="476"/>
      <c r="BX120" s="327">
        <v>0.42</v>
      </c>
      <c r="BY120" s="424">
        <v>50</v>
      </c>
      <c r="BZ120" s="424" t="s">
        <v>758</v>
      </c>
      <c r="CA120" s="424">
        <v>9</v>
      </c>
      <c r="CB120" s="424" t="s">
        <v>758</v>
      </c>
      <c r="CC120" s="428">
        <v>7.0000000000000007E-2</v>
      </c>
      <c r="CD120" s="428">
        <v>0.45</v>
      </c>
      <c r="CE120" s="428">
        <v>0.48</v>
      </c>
      <c r="CF120" s="428">
        <v>0.01</v>
      </c>
      <c r="CG120" s="428">
        <v>0.63</v>
      </c>
      <c r="CH120" s="428">
        <v>0.39</v>
      </c>
      <c r="CI120" s="428">
        <v>0.63</v>
      </c>
      <c r="CJ120" s="464">
        <v>51</v>
      </c>
      <c r="CK120" s="464" t="s">
        <v>758</v>
      </c>
      <c r="CL120" s="464">
        <v>11</v>
      </c>
      <c r="CM120" s="464" t="s">
        <v>758</v>
      </c>
      <c r="CN120" s="476">
        <v>0.11</v>
      </c>
      <c r="CO120" s="476">
        <v>0.33</v>
      </c>
      <c r="CP120" s="476">
        <v>0.55000000000000004</v>
      </c>
      <c r="CQ120" s="476">
        <v>0.01</v>
      </c>
      <c r="CR120" s="476">
        <v>0.65</v>
      </c>
      <c r="CS120" s="476">
        <v>0.53</v>
      </c>
      <c r="CT120" s="476">
        <v>0.45</v>
      </c>
      <c r="CU120" s="902">
        <v>50</v>
      </c>
      <c r="CV120" s="902" t="s">
        <v>758</v>
      </c>
      <c r="CW120" s="902">
        <v>9</v>
      </c>
      <c r="CX120" s="902" t="s">
        <v>758</v>
      </c>
      <c r="CY120" s="949">
        <v>7.0000000000000007E-2</v>
      </c>
      <c r="CZ120" s="949">
        <v>0.42</v>
      </c>
      <c r="DA120" s="949">
        <v>0.51</v>
      </c>
      <c r="DB120" s="949">
        <v>0</v>
      </c>
      <c r="DC120" s="949">
        <v>0.66</v>
      </c>
      <c r="DD120" s="949">
        <v>0.54</v>
      </c>
      <c r="DE120" s="949">
        <v>0.38</v>
      </c>
      <c r="DF120" s="922">
        <v>125754000713</v>
      </c>
      <c r="DG120" s="892" t="e">
        <f>VLOOKUP(DF120,#REF!,3,0)</f>
        <v>#REF!</v>
      </c>
    </row>
    <row r="121" spans="1:111" ht="24.95" customHeight="1" x14ac:dyDescent="0.2">
      <c r="A121" s="803" t="s">
        <v>25</v>
      </c>
      <c r="B121" s="1" t="s">
        <v>121</v>
      </c>
      <c r="C121" s="12">
        <v>6</v>
      </c>
      <c r="D121" s="12">
        <v>51</v>
      </c>
      <c r="E121" s="12">
        <v>9</v>
      </c>
      <c r="F121" s="66">
        <v>0.02</v>
      </c>
      <c r="G121" s="66">
        <v>0.52</v>
      </c>
      <c r="H121" s="66">
        <v>0.44</v>
      </c>
      <c r="I121" s="66">
        <v>0.02</v>
      </c>
      <c r="J121" s="66">
        <v>0.54</v>
      </c>
      <c r="K121" s="66">
        <v>0.51</v>
      </c>
      <c r="L121" s="66">
        <v>0.54</v>
      </c>
      <c r="M121" s="12">
        <v>53</v>
      </c>
      <c r="N121" s="12">
        <v>8</v>
      </c>
      <c r="O121" s="40">
        <v>0.01</v>
      </c>
      <c r="P121" s="40">
        <v>0.38</v>
      </c>
      <c r="Q121" s="40">
        <v>0.59</v>
      </c>
      <c r="R121" s="40">
        <v>0.03</v>
      </c>
      <c r="S121" s="40">
        <v>0.48</v>
      </c>
      <c r="T121" s="40">
        <v>0.54</v>
      </c>
      <c r="U121" s="40">
        <v>0.33</v>
      </c>
      <c r="V121" s="12">
        <v>54</v>
      </c>
      <c r="W121" s="12">
        <v>10</v>
      </c>
      <c r="X121" s="66">
        <v>0.04</v>
      </c>
      <c r="Y121" s="66">
        <v>0.28000000000000003</v>
      </c>
      <c r="Z121" s="66">
        <v>0.64</v>
      </c>
      <c r="AA121" s="66">
        <v>0.04</v>
      </c>
      <c r="AB121" s="66">
        <v>0.46</v>
      </c>
      <c r="AC121" s="66">
        <v>0.34</v>
      </c>
      <c r="AD121" s="66">
        <v>0.47</v>
      </c>
      <c r="AE121" s="12">
        <v>53</v>
      </c>
      <c r="AF121" s="12">
        <v>10</v>
      </c>
      <c r="AG121" s="66">
        <v>0.05</v>
      </c>
      <c r="AH121" s="66">
        <v>0.34</v>
      </c>
      <c r="AI121" s="66">
        <v>0.6</v>
      </c>
      <c r="AJ121" s="66">
        <v>0.02</v>
      </c>
      <c r="AK121" s="66">
        <v>0.52</v>
      </c>
      <c r="AL121" s="66">
        <v>0.46</v>
      </c>
      <c r="AM121" s="66">
        <v>0.3</v>
      </c>
      <c r="AN121" s="35">
        <v>53</v>
      </c>
      <c r="AO121" s="35">
        <v>9</v>
      </c>
      <c r="AP121" s="40">
        <v>0.01</v>
      </c>
      <c r="AQ121" s="40">
        <v>0.34</v>
      </c>
      <c r="AR121" s="40">
        <v>0.62</v>
      </c>
      <c r="AS121" s="40">
        <v>0.03</v>
      </c>
      <c r="AT121" s="40">
        <v>0.28000000000000003</v>
      </c>
      <c r="AU121" s="40">
        <v>0.5</v>
      </c>
      <c r="AV121" s="40">
        <v>0.49</v>
      </c>
      <c r="AW121" s="246">
        <v>50</v>
      </c>
      <c r="AX121" s="246" t="s">
        <v>758</v>
      </c>
      <c r="AY121" s="246">
        <v>8</v>
      </c>
      <c r="AZ121" s="246" t="s">
        <v>758</v>
      </c>
      <c r="BA121" s="263">
        <v>0.06</v>
      </c>
      <c r="BB121" s="263">
        <v>0.45</v>
      </c>
      <c r="BC121" s="263">
        <v>0.48</v>
      </c>
      <c r="BD121" s="263">
        <v>0.01</v>
      </c>
      <c r="BE121" s="263">
        <v>0.32</v>
      </c>
      <c r="BF121" s="263">
        <v>0.55000000000000004</v>
      </c>
      <c r="BG121" s="263">
        <v>0.5</v>
      </c>
      <c r="BH121" s="309">
        <v>50</v>
      </c>
      <c r="BI121" s="309" t="s">
        <v>758</v>
      </c>
      <c r="BJ121" s="309">
        <v>11</v>
      </c>
      <c r="BK121" s="309" t="s">
        <v>758</v>
      </c>
      <c r="BL121" s="464"/>
      <c r="BM121" s="464"/>
      <c r="BN121" s="464"/>
      <c r="BO121" s="327">
        <v>0.12</v>
      </c>
      <c r="BP121" s="327">
        <v>0.35</v>
      </c>
      <c r="BQ121" s="327">
        <v>0.52</v>
      </c>
      <c r="BR121" s="327">
        <v>0</v>
      </c>
      <c r="BS121" s="327">
        <v>0.53</v>
      </c>
      <c r="BT121" s="327">
        <v>0.62</v>
      </c>
      <c r="BU121" s="476"/>
      <c r="BV121" s="476"/>
      <c r="BW121" s="476"/>
      <c r="BX121" s="327">
        <v>0.42</v>
      </c>
      <c r="BY121" s="424">
        <v>50</v>
      </c>
      <c r="BZ121" s="424" t="s">
        <v>758</v>
      </c>
      <c r="CA121" s="424">
        <v>11</v>
      </c>
      <c r="CB121" s="424" t="s">
        <v>758</v>
      </c>
      <c r="CC121" s="428">
        <v>0.1</v>
      </c>
      <c r="CD121" s="428">
        <v>0.41</v>
      </c>
      <c r="CE121" s="428">
        <v>0.47</v>
      </c>
      <c r="CF121" s="428">
        <v>0.03</v>
      </c>
      <c r="CG121" s="428">
        <v>0.62</v>
      </c>
      <c r="CH121" s="428">
        <v>0.43</v>
      </c>
      <c r="CI121" s="428">
        <v>0.61</v>
      </c>
      <c r="CJ121" s="464">
        <v>49</v>
      </c>
      <c r="CK121" s="464" t="s">
        <v>758</v>
      </c>
      <c r="CL121" s="464">
        <v>12</v>
      </c>
      <c r="CM121" s="464" t="s">
        <v>758</v>
      </c>
      <c r="CN121" s="476">
        <v>0.11</v>
      </c>
      <c r="CO121" s="476">
        <v>0.46</v>
      </c>
      <c r="CP121" s="476">
        <v>0.39</v>
      </c>
      <c r="CQ121" s="476">
        <v>0.04</v>
      </c>
      <c r="CR121" s="476">
        <v>0.62</v>
      </c>
      <c r="CS121" s="476">
        <v>0.56999999999999995</v>
      </c>
      <c r="CT121" s="476">
        <v>0.48</v>
      </c>
      <c r="CU121" s="902">
        <v>51</v>
      </c>
      <c r="CV121" s="902" t="s">
        <v>758</v>
      </c>
      <c r="CW121" s="902">
        <v>12</v>
      </c>
      <c r="CX121" s="902" t="s">
        <v>758</v>
      </c>
      <c r="CY121" s="949">
        <v>0.09</v>
      </c>
      <c r="CZ121" s="949">
        <v>0.35</v>
      </c>
      <c r="DA121" s="949">
        <v>0.49</v>
      </c>
      <c r="DB121" s="949">
        <v>7.0000000000000007E-2</v>
      </c>
      <c r="DC121" s="949">
        <v>0.62</v>
      </c>
      <c r="DD121" s="949">
        <v>0.52</v>
      </c>
      <c r="DE121" s="949">
        <v>0.4</v>
      </c>
      <c r="DF121" s="922">
        <v>125754001019</v>
      </c>
      <c r="DG121" s="892" t="e">
        <f>VLOOKUP(DF121,#REF!,3,0)</f>
        <v>#REF!</v>
      </c>
    </row>
    <row r="122" spans="1:111" ht="24.95" customHeight="1" x14ac:dyDescent="0.2">
      <c r="A122" s="803" t="s">
        <v>41</v>
      </c>
      <c r="B122" s="1" t="s">
        <v>121</v>
      </c>
      <c r="C122" s="12">
        <v>3</v>
      </c>
      <c r="D122" s="12">
        <v>52</v>
      </c>
      <c r="E122" s="12">
        <v>8</v>
      </c>
      <c r="F122" s="66">
        <v>0.02</v>
      </c>
      <c r="G122" s="66">
        <v>0.43</v>
      </c>
      <c r="H122" s="66">
        <v>0.54</v>
      </c>
      <c r="I122" s="66">
        <v>0.01</v>
      </c>
      <c r="J122" s="66">
        <v>0.55000000000000004</v>
      </c>
      <c r="K122" s="66">
        <v>0.48</v>
      </c>
      <c r="L122" s="66">
        <v>0.56000000000000005</v>
      </c>
      <c r="M122" s="12">
        <v>50</v>
      </c>
      <c r="N122" s="12">
        <v>9</v>
      </c>
      <c r="O122" s="40">
        <v>0.06</v>
      </c>
      <c r="P122" s="40">
        <v>0.43</v>
      </c>
      <c r="Q122" s="40">
        <v>0.5</v>
      </c>
      <c r="R122" s="40">
        <v>0.01</v>
      </c>
      <c r="S122" s="40">
        <v>0.48</v>
      </c>
      <c r="T122" s="40">
        <v>0.57999999999999996</v>
      </c>
      <c r="U122" s="40">
        <v>0.38</v>
      </c>
      <c r="V122" s="12">
        <v>51</v>
      </c>
      <c r="W122" s="12">
        <v>9</v>
      </c>
      <c r="X122" s="66">
        <v>0.04</v>
      </c>
      <c r="Y122" s="66">
        <v>0.42</v>
      </c>
      <c r="Z122" s="66">
        <v>0.54</v>
      </c>
      <c r="AA122" s="66">
        <v>0.01</v>
      </c>
      <c r="AB122" s="66">
        <v>0.5</v>
      </c>
      <c r="AC122" s="66">
        <v>0.39</v>
      </c>
      <c r="AD122" s="66">
        <v>0.52</v>
      </c>
      <c r="AE122" s="12">
        <v>51</v>
      </c>
      <c r="AF122" s="12">
        <v>10</v>
      </c>
      <c r="AG122" s="66">
        <v>0.05</v>
      </c>
      <c r="AH122" s="66">
        <v>0.4</v>
      </c>
      <c r="AI122" s="66">
        <v>0.53</v>
      </c>
      <c r="AJ122" s="66">
        <v>0.02</v>
      </c>
      <c r="AK122" s="66">
        <v>0.54</v>
      </c>
      <c r="AL122" s="66">
        <v>0.49</v>
      </c>
      <c r="AM122" s="66">
        <v>0.32</v>
      </c>
      <c r="AN122" s="35">
        <v>52</v>
      </c>
      <c r="AO122" s="35">
        <v>9</v>
      </c>
      <c r="AP122" s="40">
        <v>0.04</v>
      </c>
      <c r="AQ122" s="40">
        <v>0.37</v>
      </c>
      <c r="AR122" s="40">
        <v>0.56999999999999995</v>
      </c>
      <c r="AS122" s="40">
        <v>0.02</v>
      </c>
      <c r="AT122" s="40">
        <v>0.27</v>
      </c>
      <c r="AU122" s="40">
        <v>0.5</v>
      </c>
      <c r="AV122" s="40">
        <v>0.52</v>
      </c>
      <c r="AW122" s="246">
        <v>49</v>
      </c>
      <c r="AX122" s="246" t="s">
        <v>758</v>
      </c>
      <c r="AY122" s="246">
        <v>8</v>
      </c>
      <c r="AZ122" s="246" t="s">
        <v>758</v>
      </c>
      <c r="BA122" s="263">
        <v>0.06</v>
      </c>
      <c r="BB122" s="263">
        <v>0.5</v>
      </c>
      <c r="BC122" s="263">
        <v>0.43</v>
      </c>
      <c r="BD122" s="263">
        <v>0</v>
      </c>
      <c r="BE122" s="263">
        <v>0.31</v>
      </c>
      <c r="BF122" s="263">
        <v>0.55000000000000004</v>
      </c>
      <c r="BG122" s="263">
        <v>0.53</v>
      </c>
      <c r="BH122" s="309">
        <v>51</v>
      </c>
      <c r="BI122" s="309" t="s">
        <v>758</v>
      </c>
      <c r="BJ122" s="309">
        <v>9</v>
      </c>
      <c r="BK122" s="309" t="s">
        <v>758</v>
      </c>
      <c r="BL122" s="464"/>
      <c r="BM122" s="464"/>
      <c r="BN122" s="464"/>
      <c r="BO122" s="327">
        <v>7.0000000000000007E-2</v>
      </c>
      <c r="BP122" s="327">
        <v>0.42</v>
      </c>
      <c r="BQ122" s="327">
        <v>0.49</v>
      </c>
      <c r="BR122" s="327">
        <v>0.02</v>
      </c>
      <c r="BS122" s="327">
        <v>0.55000000000000004</v>
      </c>
      <c r="BT122" s="327">
        <v>0.63</v>
      </c>
      <c r="BU122" s="476"/>
      <c r="BV122" s="476"/>
      <c r="BW122" s="476"/>
      <c r="BX122" s="327">
        <v>0.43</v>
      </c>
      <c r="BY122" s="424">
        <v>48</v>
      </c>
      <c r="BZ122" s="424" t="s">
        <v>758</v>
      </c>
      <c r="CA122" s="424">
        <v>9</v>
      </c>
      <c r="CB122" s="424" t="s">
        <v>758</v>
      </c>
      <c r="CC122" s="428">
        <v>0.08</v>
      </c>
      <c r="CD122" s="428">
        <v>0.53</v>
      </c>
      <c r="CE122" s="428">
        <v>0.38</v>
      </c>
      <c r="CF122" s="428">
        <v>0.01</v>
      </c>
      <c r="CG122" s="428">
        <v>0.68</v>
      </c>
      <c r="CH122" s="428">
        <v>0.42</v>
      </c>
      <c r="CI122" s="428">
        <v>0.67</v>
      </c>
      <c r="CJ122" s="464">
        <v>51</v>
      </c>
      <c r="CK122" s="464" t="s">
        <v>758</v>
      </c>
      <c r="CL122" s="464">
        <v>11</v>
      </c>
      <c r="CM122" s="464" t="s">
        <v>758</v>
      </c>
      <c r="CN122" s="476">
        <v>0.05</v>
      </c>
      <c r="CO122" s="476">
        <v>0.43</v>
      </c>
      <c r="CP122" s="476">
        <v>0.5</v>
      </c>
      <c r="CQ122" s="476">
        <v>0.03</v>
      </c>
      <c r="CR122" s="476">
        <v>0.61</v>
      </c>
      <c r="CS122" s="476">
        <v>0.55000000000000004</v>
      </c>
      <c r="CT122" s="476">
        <v>0.44</v>
      </c>
      <c r="CU122" s="902">
        <v>50</v>
      </c>
      <c r="CV122" s="902" t="s">
        <v>758</v>
      </c>
      <c r="CW122" s="902">
        <v>10</v>
      </c>
      <c r="CX122" s="902" t="s">
        <v>758</v>
      </c>
      <c r="CY122" s="949">
        <v>0.08</v>
      </c>
      <c r="CZ122" s="949">
        <v>0.42</v>
      </c>
      <c r="DA122" s="949">
        <v>0.47</v>
      </c>
      <c r="DB122" s="949">
        <v>0.02</v>
      </c>
      <c r="DC122" s="949">
        <v>0.63</v>
      </c>
      <c r="DD122" s="949">
        <v>0.54</v>
      </c>
      <c r="DE122" s="949">
        <v>0.38</v>
      </c>
      <c r="DF122" s="922">
        <v>125754003291</v>
      </c>
      <c r="DG122" s="892" t="e">
        <f>VLOOKUP(DF122,#REF!,3,0)</f>
        <v>#REF!</v>
      </c>
    </row>
    <row r="123" spans="1:111" ht="24.95" customHeight="1" x14ac:dyDescent="0.2">
      <c r="A123" s="803" t="s">
        <v>62</v>
      </c>
      <c r="B123" s="1" t="s">
        <v>123</v>
      </c>
      <c r="C123" s="12">
        <v>1</v>
      </c>
      <c r="D123" s="12">
        <v>56</v>
      </c>
      <c r="E123" s="12">
        <v>10</v>
      </c>
      <c r="F123" s="66">
        <v>0.1</v>
      </c>
      <c r="G123" s="66">
        <v>0.19</v>
      </c>
      <c r="H123" s="66">
        <v>0.71</v>
      </c>
      <c r="I123" s="66">
        <v>0</v>
      </c>
      <c r="J123" s="66">
        <v>0.46</v>
      </c>
      <c r="K123" s="66">
        <v>0.38</v>
      </c>
      <c r="L123" s="66">
        <v>0.44</v>
      </c>
      <c r="M123" s="12">
        <v>55</v>
      </c>
      <c r="N123" s="12">
        <v>8</v>
      </c>
      <c r="O123" s="40">
        <v>0.03</v>
      </c>
      <c r="P123" s="40">
        <v>0.26</v>
      </c>
      <c r="Q123" s="40">
        <v>0.68</v>
      </c>
      <c r="R123" s="40">
        <v>0.03</v>
      </c>
      <c r="S123" s="40">
        <v>0.46</v>
      </c>
      <c r="T123" s="40">
        <v>0.51</v>
      </c>
      <c r="U123" s="40">
        <v>0.28999999999999998</v>
      </c>
      <c r="V123" s="12">
        <v>53</v>
      </c>
      <c r="W123" s="12">
        <v>9</v>
      </c>
      <c r="X123" s="66">
        <v>0</v>
      </c>
      <c r="Y123" s="66">
        <v>0.43</v>
      </c>
      <c r="Z123" s="66">
        <v>0.56999999999999995</v>
      </c>
      <c r="AA123" s="66">
        <v>0</v>
      </c>
      <c r="AB123" s="66">
        <v>0.46</v>
      </c>
      <c r="AC123" s="66">
        <v>0.34</v>
      </c>
      <c r="AD123" s="66">
        <v>0.5</v>
      </c>
      <c r="AE123" s="12">
        <v>53</v>
      </c>
      <c r="AF123" s="12">
        <v>11</v>
      </c>
      <c r="AG123" s="66">
        <v>0.08</v>
      </c>
      <c r="AH123" s="66">
        <v>0.32</v>
      </c>
      <c r="AI123" s="66">
        <v>0.59</v>
      </c>
      <c r="AJ123" s="66">
        <v>0</v>
      </c>
      <c r="AK123" s="66">
        <v>0.53</v>
      </c>
      <c r="AL123" s="66">
        <v>0.43</v>
      </c>
      <c r="AM123" s="66">
        <v>0.28000000000000003</v>
      </c>
      <c r="AN123" s="35">
        <v>55</v>
      </c>
      <c r="AO123" s="35">
        <v>11</v>
      </c>
      <c r="AP123" s="40">
        <v>0.05</v>
      </c>
      <c r="AQ123" s="40">
        <v>0.36</v>
      </c>
      <c r="AR123" s="40">
        <v>0.59</v>
      </c>
      <c r="AS123" s="40">
        <v>0</v>
      </c>
      <c r="AT123" s="40">
        <v>0.3</v>
      </c>
      <c r="AU123" s="40">
        <v>0.43</v>
      </c>
      <c r="AV123" s="40">
        <v>0.43</v>
      </c>
      <c r="AW123" s="246">
        <v>51</v>
      </c>
      <c r="AX123" s="246" t="s">
        <v>758</v>
      </c>
      <c r="AY123" s="246">
        <v>9</v>
      </c>
      <c r="AZ123" s="246" t="s">
        <v>758</v>
      </c>
      <c r="BA123" s="263">
        <v>0.03</v>
      </c>
      <c r="BB123" s="263">
        <v>0.35</v>
      </c>
      <c r="BC123" s="263">
        <v>0.62</v>
      </c>
      <c r="BD123" s="263">
        <v>0</v>
      </c>
      <c r="BE123" s="263">
        <v>0.26</v>
      </c>
      <c r="BF123" s="263">
        <v>0.53</v>
      </c>
      <c r="BG123" s="263">
        <v>0.49</v>
      </c>
      <c r="BH123" s="309">
        <v>58</v>
      </c>
      <c r="BI123" s="309" t="s">
        <v>758</v>
      </c>
      <c r="BJ123" s="309">
        <v>9</v>
      </c>
      <c r="BK123" s="309" t="s">
        <v>758</v>
      </c>
      <c r="BL123" s="464"/>
      <c r="BM123" s="464"/>
      <c r="BN123" s="464"/>
      <c r="BO123" s="327">
        <v>0</v>
      </c>
      <c r="BP123" s="327">
        <v>0.21</v>
      </c>
      <c r="BQ123" s="327">
        <v>0.71</v>
      </c>
      <c r="BR123" s="327">
        <v>0.09</v>
      </c>
      <c r="BS123" s="327">
        <v>0.44</v>
      </c>
      <c r="BT123" s="327">
        <v>0.52</v>
      </c>
      <c r="BU123" s="476"/>
      <c r="BV123" s="476"/>
      <c r="BW123" s="476"/>
      <c r="BX123" s="327">
        <v>0.33</v>
      </c>
      <c r="BY123" s="424">
        <v>57</v>
      </c>
      <c r="BZ123" s="424" t="s">
        <v>758</v>
      </c>
      <c r="CA123" s="424">
        <v>9</v>
      </c>
      <c r="CB123" s="424" t="s">
        <v>758</v>
      </c>
      <c r="CC123" s="428">
        <v>0.03</v>
      </c>
      <c r="CD123" s="428">
        <v>0.17</v>
      </c>
      <c r="CE123" s="428">
        <v>0.69</v>
      </c>
      <c r="CF123" s="428">
        <v>0.1</v>
      </c>
      <c r="CG123" s="428">
        <v>0.54</v>
      </c>
      <c r="CH123" s="428">
        <v>0.31</v>
      </c>
      <c r="CI123" s="428">
        <v>0.56000000000000005</v>
      </c>
      <c r="CJ123" s="464">
        <v>57</v>
      </c>
      <c r="CK123" s="464" t="s">
        <v>758</v>
      </c>
      <c r="CL123" s="464">
        <v>11</v>
      </c>
      <c r="CM123" s="464" t="s">
        <v>758</v>
      </c>
      <c r="CN123" s="476">
        <v>0</v>
      </c>
      <c r="CO123" s="476">
        <v>0.31</v>
      </c>
      <c r="CP123" s="476">
        <v>0.54</v>
      </c>
      <c r="CQ123" s="476">
        <v>0.15</v>
      </c>
      <c r="CR123" s="476">
        <v>0.5</v>
      </c>
      <c r="CS123" s="476">
        <v>0.5</v>
      </c>
      <c r="CT123" s="476">
        <v>0.35</v>
      </c>
      <c r="CU123" s="902">
        <v>59</v>
      </c>
      <c r="CV123" s="902" t="s">
        <v>758</v>
      </c>
      <c r="CW123" s="902">
        <v>11</v>
      </c>
      <c r="CX123" s="902" t="s">
        <v>758</v>
      </c>
      <c r="CY123" s="949">
        <v>0.02</v>
      </c>
      <c r="CZ123" s="949">
        <v>0.2</v>
      </c>
      <c r="DA123" s="949">
        <v>0.63</v>
      </c>
      <c r="DB123" s="949">
        <v>0.15</v>
      </c>
      <c r="DC123" s="949">
        <v>0.46</v>
      </c>
      <c r="DD123" s="949">
        <v>0.39</v>
      </c>
      <c r="DE123" s="949">
        <v>0.28999999999999998</v>
      </c>
      <c r="DF123" s="922">
        <v>325754004076</v>
      </c>
      <c r="DG123" s="892" t="e">
        <f>VLOOKUP(DF123,#REF!,3,0)</f>
        <v>#REF!</v>
      </c>
    </row>
    <row r="124" spans="1:111" ht="24.95" customHeight="1" x14ac:dyDescent="0.2">
      <c r="A124" s="803" t="s">
        <v>103</v>
      </c>
      <c r="B124" s="1" t="s">
        <v>121</v>
      </c>
      <c r="C124" s="12">
        <v>4</v>
      </c>
      <c r="D124" s="12">
        <v>44</v>
      </c>
      <c r="E124" s="12">
        <v>9</v>
      </c>
      <c r="F124" s="66">
        <v>0.2</v>
      </c>
      <c r="G124" s="66">
        <v>0.51</v>
      </c>
      <c r="H124" s="66">
        <v>0.28999999999999998</v>
      </c>
      <c r="I124" s="66">
        <v>0</v>
      </c>
      <c r="J124" s="66">
        <v>0.62</v>
      </c>
      <c r="K124" s="66">
        <v>0.61</v>
      </c>
      <c r="L124" s="66">
        <v>0.65</v>
      </c>
      <c r="M124" s="12">
        <v>45</v>
      </c>
      <c r="N124" s="12">
        <v>10</v>
      </c>
      <c r="O124" s="40">
        <v>0.15</v>
      </c>
      <c r="P124" s="40">
        <v>0.59</v>
      </c>
      <c r="Q124" s="40">
        <v>0.26</v>
      </c>
      <c r="R124" s="40">
        <v>0</v>
      </c>
      <c r="S124" s="40">
        <v>0.54</v>
      </c>
      <c r="T124" s="40">
        <v>0.67</v>
      </c>
      <c r="U124" s="40">
        <v>0.49</v>
      </c>
      <c r="V124" s="12">
        <v>42</v>
      </c>
      <c r="W124" s="12">
        <v>8</v>
      </c>
      <c r="X124" s="66">
        <v>0.24</v>
      </c>
      <c r="Y124" s="66">
        <v>0.55000000000000004</v>
      </c>
      <c r="Z124" s="66">
        <v>0.21</v>
      </c>
      <c r="AA124" s="66">
        <v>0</v>
      </c>
      <c r="AB124" s="66">
        <v>0.65</v>
      </c>
      <c r="AC124" s="66">
        <v>0.48</v>
      </c>
      <c r="AD124" s="66">
        <v>0.65</v>
      </c>
      <c r="AE124" s="12">
        <v>47</v>
      </c>
      <c r="AF124" s="12">
        <v>10</v>
      </c>
      <c r="AG124" s="66">
        <v>0.1</v>
      </c>
      <c r="AH124" s="66">
        <v>0.59</v>
      </c>
      <c r="AI124" s="66">
        <v>0.32</v>
      </c>
      <c r="AJ124" s="66">
        <v>0</v>
      </c>
      <c r="AK124" s="66">
        <v>0.6</v>
      </c>
      <c r="AL124" s="66">
        <v>0.52</v>
      </c>
      <c r="AM124" s="66">
        <v>0.39</v>
      </c>
      <c r="AN124" s="35">
        <v>44</v>
      </c>
      <c r="AO124" s="35">
        <v>10</v>
      </c>
      <c r="AP124" s="40">
        <v>0.22</v>
      </c>
      <c r="AQ124" s="40">
        <v>0.47</v>
      </c>
      <c r="AR124" s="40">
        <v>0.31</v>
      </c>
      <c r="AS124" s="40">
        <v>0</v>
      </c>
      <c r="AT124" s="40">
        <v>0.41</v>
      </c>
      <c r="AU124" s="40">
        <v>0.65</v>
      </c>
      <c r="AV124" s="40">
        <v>0.61</v>
      </c>
      <c r="AW124" s="246">
        <v>49</v>
      </c>
      <c r="AX124" s="246" t="s">
        <v>758</v>
      </c>
      <c r="AY124" s="246">
        <v>9</v>
      </c>
      <c r="AZ124" s="246" t="s">
        <v>758</v>
      </c>
      <c r="BA124" s="263">
        <v>0.1</v>
      </c>
      <c r="BB124" s="263">
        <v>0.4</v>
      </c>
      <c r="BC124" s="263">
        <v>0.5</v>
      </c>
      <c r="BD124" s="263">
        <v>0</v>
      </c>
      <c r="BE124" s="263">
        <v>0.35</v>
      </c>
      <c r="BF124" s="263">
        <v>0.53</v>
      </c>
      <c r="BG124" s="263">
        <v>0.51</v>
      </c>
      <c r="BH124" s="309">
        <v>48</v>
      </c>
      <c r="BI124" s="309" t="s">
        <v>758</v>
      </c>
      <c r="BJ124" s="309">
        <v>10</v>
      </c>
      <c r="BK124" s="309" t="s">
        <v>758</v>
      </c>
      <c r="BL124" s="464"/>
      <c r="BM124" s="464"/>
      <c r="BN124" s="464"/>
      <c r="BO124" s="327">
        <v>0.08</v>
      </c>
      <c r="BP124" s="327">
        <v>0.44</v>
      </c>
      <c r="BQ124" s="327">
        <v>0.47</v>
      </c>
      <c r="BR124" s="327">
        <v>0</v>
      </c>
      <c r="BS124" s="327">
        <v>0.6</v>
      </c>
      <c r="BT124" s="327">
        <v>0.67</v>
      </c>
      <c r="BU124" s="476"/>
      <c r="BV124" s="476"/>
      <c r="BW124" s="476"/>
      <c r="BX124" s="327">
        <v>0.44</v>
      </c>
      <c r="BY124" s="424">
        <v>48</v>
      </c>
      <c r="BZ124" s="424" t="s">
        <v>758</v>
      </c>
      <c r="CA124" s="424">
        <v>12</v>
      </c>
      <c r="CB124" s="424" t="s">
        <v>758</v>
      </c>
      <c r="CC124" s="428">
        <v>0.16</v>
      </c>
      <c r="CD124" s="428">
        <v>0.41</v>
      </c>
      <c r="CE124" s="428">
        <v>0.44</v>
      </c>
      <c r="CF124" s="428">
        <v>0</v>
      </c>
      <c r="CG124" s="428">
        <v>0.65</v>
      </c>
      <c r="CH124" s="428">
        <v>0.45</v>
      </c>
      <c r="CI124" s="428">
        <v>0.61</v>
      </c>
      <c r="CJ124" s="464">
        <v>45</v>
      </c>
      <c r="CK124" s="464" t="s">
        <v>760</v>
      </c>
      <c r="CL124" s="464">
        <v>10</v>
      </c>
      <c r="CM124" s="464" t="s">
        <v>758</v>
      </c>
      <c r="CN124" s="476">
        <v>0.2</v>
      </c>
      <c r="CO124" s="476">
        <v>0.47</v>
      </c>
      <c r="CP124" s="476">
        <v>0.33</v>
      </c>
      <c r="CQ124" s="476">
        <v>0</v>
      </c>
      <c r="CR124" s="476">
        <v>0.66</v>
      </c>
      <c r="CS124" s="476">
        <v>0.65</v>
      </c>
      <c r="CT124" s="476">
        <v>0.48</v>
      </c>
      <c r="CU124" s="902">
        <v>48</v>
      </c>
      <c r="CV124" s="902" t="s">
        <v>758</v>
      </c>
      <c r="CW124" s="902">
        <v>11</v>
      </c>
      <c r="CX124" s="902" t="s">
        <v>758</v>
      </c>
      <c r="CY124" s="949">
        <v>0.11</v>
      </c>
      <c r="CZ124" s="949">
        <v>0.43</v>
      </c>
      <c r="DA124" s="949">
        <v>0.46</v>
      </c>
      <c r="DB124" s="949">
        <v>0</v>
      </c>
      <c r="DC124" s="949">
        <v>0.66</v>
      </c>
      <c r="DD124" s="949">
        <v>0.55000000000000004</v>
      </c>
      <c r="DE124" s="949">
        <v>0.4</v>
      </c>
      <c r="DF124" s="922">
        <v>125754000934</v>
      </c>
      <c r="DG124" s="892" t="e">
        <f>VLOOKUP(DF124,#REF!,3,0)</f>
        <v>#REF!</v>
      </c>
    </row>
    <row r="125" spans="1:111" ht="24.95" customHeight="1" x14ac:dyDescent="0.2">
      <c r="A125" s="803" t="s">
        <v>802</v>
      </c>
      <c r="B125" s="1" t="s">
        <v>121</v>
      </c>
      <c r="C125" s="12">
        <v>2</v>
      </c>
      <c r="D125" s="12"/>
      <c r="E125" s="12"/>
      <c r="F125" s="66"/>
      <c r="G125" s="66"/>
      <c r="H125" s="66"/>
      <c r="I125" s="66"/>
      <c r="J125" s="66"/>
      <c r="K125" s="66"/>
      <c r="L125" s="66"/>
      <c r="M125" s="12"/>
      <c r="N125" s="12"/>
      <c r="O125" s="40"/>
      <c r="P125" s="40"/>
      <c r="Q125" s="40"/>
      <c r="R125" s="40"/>
      <c r="S125" s="40"/>
      <c r="T125" s="40"/>
      <c r="U125" s="40"/>
      <c r="V125" s="12"/>
      <c r="W125" s="12"/>
      <c r="X125" s="66"/>
      <c r="Y125" s="66"/>
      <c r="Z125" s="66"/>
      <c r="AA125" s="66"/>
      <c r="AB125" s="66"/>
      <c r="AC125" s="66"/>
      <c r="AD125" s="66"/>
      <c r="AE125" s="12"/>
      <c r="AF125" s="12"/>
      <c r="AG125" s="66"/>
      <c r="AH125" s="66"/>
      <c r="AI125" s="66"/>
      <c r="AJ125" s="66"/>
      <c r="AK125" s="66"/>
      <c r="AL125" s="66"/>
      <c r="AM125" s="66"/>
      <c r="AN125" s="35"/>
      <c r="AO125" s="35"/>
      <c r="AP125" s="40"/>
      <c r="AQ125" s="40"/>
      <c r="AR125" s="40"/>
      <c r="AS125" s="40"/>
      <c r="AT125" s="40"/>
      <c r="AU125" s="40"/>
      <c r="AV125" s="40"/>
      <c r="AW125" s="246"/>
      <c r="AX125" s="246"/>
      <c r="AY125" s="246"/>
      <c r="AZ125" s="246"/>
      <c r="BA125" s="263"/>
      <c r="BB125" s="263"/>
      <c r="BC125" s="263"/>
      <c r="BD125" s="263"/>
      <c r="BE125" s="263"/>
      <c r="BF125" s="263"/>
      <c r="BG125" s="263"/>
      <c r="BH125" s="309">
        <v>52</v>
      </c>
      <c r="BI125" s="309" t="s">
        <v>758</v>
      </c>
      <c r="BJ125" s="309">
        <v>9</v>
      </c>
      <c r="BK125" s="309" t="s">
        <v>758</v>
      </c>
      <c r="BL125" s="464"/>
      <c r="BM125" s="464"/>
      <c r="BN125" s="464"/>
      <c r="BO125" s="327">
        <v>0.05</v>
      </c>
      <c r="BP125" s="327">
        <v>0.32</v>
      </c>
      <c r="BQ125" s="327">
        <v>0.63</v>
      </c>
      <c r="BR125" s="327">
        <v>0</v>
      </c>
      <c r="BS125" s="327">
        <v>0.56000000000000005</v>
      </c>
      <c r="BT125" s="327">
        <v>0.67</v>
      </c>
      <c r="BU125" s="476"/>
      <c r="BV125" s="476"/>
      <c r="BW125" s="476"/>
      <c r="BX125" s="327">
        <v>0.41</v>
      </c>
      <c r="BY125" s="424">
        <v>50</v>
      </c>
      <c r="BZ125" s="424" t="s">
        <v>758</v>
      </c>
      <c r="CA125" s="424">
        <v>9</v>
      </c>
      <c r="CB125" s="424" t="s">
        <v>758</v>
      </c>
      <c r="CC125" s="428">
        <v>0.06</v>
      </c>
      <c r="CD125" s="428">
        <v>0.39</v>
      </c>
      <c r="CE125" s="428">
        <v>0.55000000000000004</v>
      </c>
      <c r="CF125" s="428">
        <v>0</v>
      </c>
      <c r="CG125" s="428">
        <v>0.68</v>
      </c>
      <c r="CH125" s="428">
        <v>0.41</v>
      </c>
      <c r="CI125" s="428">
        <v>0.61</v>
      </c>
      <c r="CJ125" s="464">
        <v>53</v>
      </c>
      <c r="CK125" s="464" t="s">
        <v>758</v>
      </c>
      <c r="CL125" s="464">
        <v>10</v>
      </c>
      <c r="CM125" s="464" t="s">
        <v>758</v>
      </c>
      <c r="CN125" s="476">
        <v>0.04</v>
      </c>
      <c r="CO125" s="476">
        <v>0.38</v>
      </c>
      <c r="CP125" s="476">
        <v>0.53</v>
      </c>
      <c r="CQ125" s="476">
        <v>0.05</v>
      </c>
      <c r="CR125" s="476">
        <v>0.55000000000000004</v>
      </c>
      <c r="CS125" s="476">
        <v>0.54</v>
      </c>
      <c r="CT125" s="476">
        <v>0.36</v>
      </c>
      <c r="CU125" s="902">
        <v>55</v>
      </c>
      <c r="CV125" s="902" t="s">
        <v>758</v>
      </c>
      <c r="CW125" s="902">
        <v>11</v>
      </c>
      <c r="CX125" s="902" t="s">
        <v>758</v>
      </c>
      <c r="CY125" s="949">
        <v>0.03</v>
      </c>
      <c r="CZ125" s="949">
        <v>0.32</v>
      </c>
      <c r="DA125" s="949">
        <v>0.57999999999999996</v>
      </c>
      <c r="DB125" s="949">
        <v>7.0000000000000007E-2</v>
      </c>
      <c r="DC125" s="949">
        <v>0.59</v>
      </c>
      <c r="DD125" s="949">
        <v>0.46</v>
      </c>
      <c r="DE125" s="949">
        <v>0.36</v>
      </c>
      <c r="DF125" s="922">
        <v>125754800141</v>
      </c>
      <c r="DG125" s="892" t="e">
        <f>VLOOKUP(DF125,#REF!,3,0)</f>
        <v>#REF!</v>
      </c>
    </row>
    <row r="126" spans="1:111" ht="24.95" customHeight="1" x14ac:dyDescent="0.2">
      <c r="A126" s="804" t="s">
        <v>74</v>
      </c>
      <c r="B126" s="1" t="s">
        <v>121</v>
      </c>
      <c r="C126" s="328">
        <v>3</v>
      </c>
      <c r="D126" s="328">
        <v>51</v>
      </c>
      <c r="E126" s="328">
        <v>10</v>
      </c>
      <c r="F126" s="333">
        <v>0.05</v>
      </c>
      <c r="G126" s="333">
        <v>0.44</v>
      </c>
      <c r="H126" s="333">
        <v>0.48</v>
      </c>
      <c r="I126" s="333">
        <v>0.04</v>
      </c>
      <c r="J126" s="333">
        <v>0.52</v>
      </c>
      <c r="K126" s="333">
        <v>0.43</v>
      </c>
      <c r="L126" s="333">
        <v>0.51</v>
      </c>
      <c r="M126" s="328">
        <v>50</v>
      </c>
      <c r="N126" s="328">
        <v>9</v>
      </c>
      <c r="O126" s="331">
        <v>0.04</v>
      </c>
      <c r="P126" s="331">
        <v>0.49</v>
      </c>
      <c r="Q126" s="331">
        <v>0.47</v>
      </c>
      <c r="R126" s="331">
        <v>0</v>
      </c>
      <c r="S126" s="331">
        <v>0.5</v>
      </c>
      <c r="T126" s="331">
        <v>0.59</v>
      </c>
      <c r="U126" s="331">
        <v>0.38</v>
      </c>
      <c r="V126" s="328">
        <v>51</v>
      </c>
      <c r="W126" s="328">
        <v>8</v>
      </c>
      <c r="X126" s="333">
        <v>0.03</v>
      </c>
      <c r="Y126" s="333">
        <v>0.41</v>
      </c>
      <c r="Z126" s="333">
        <v>0.56999999999999995</v>
      </c>
      <c r="AA126" s="333">
        <v>0</v>
      </c>
      <c r="AB126" s="333">
        <v>0.51</v>
      </c>
      <c r="AC126" s="333">
        <v>0.38</v>
      </c>
      <c r="AD126" s="333">
        <v>0.54</v>
      </c>
      <c r="AE126" s="328">
        <v>51</v>
      </c>
      <c r="AF126" s="328">
        <v>9</v>
      </c>
      <c r="AG126" s="333">
        <v>0.05</v>
      </c>
      <c r="AH126" s="333">
        <v>0.42</v>
      </c>
      <c r="AI126" s="333">
        <v>0.53</v>
      </c>
      <c r="AJ126" s="333">
        <v>0</v>
      </c>
      <c r="AK126" s="333">
        <v>0.55000000000000004</v>
      </c>
      <c r="AL126" s="333">
        <v>0.51</v>
      </c>
      <c r="AM126" s="333">
        <v>0.31</v>
      </c>
      <c r="AN126" s="311">
        <v>50</v>
      </c>
      <c r="AO126" s="311">
        <v>9</v>
      </c>
      <c r="AP126" s="331">
        <v>0.05</v>
      </c>
      <c r="AQ126" s="331">
        <v>0.41</v>
      </c>
      <c r="AR126" s="331">
        <v>0.53</v>
      </c>
      <c r="AS126" s="331">
        <v>0.01</v>
      </c>
      <c r="AT126" s="331">
        <v>0.32</v>
      </c>
      <c r="AU126" s="331">
        <v>0.54</v>
      </c>
      <c r="AV126" s="331">
        <v>0.52</v>
      </c>
      <c r="AW126" s="312">
        <v>50</v>
      </c>
      <c r="AX126" s="312" t="s">
        <v>758</v>
      </c>
      <c r="AY126" s="312">
        <v>9</v>
      </c>
      <c r="AZ126" s="312" t="s">
        <v>758</v>
      </c>
      <c r="BA126" s="332">
        <v>0.05</v>
      </c>
      <c r="BB126" s="332">
        <v>0.46</v>
      </c>
      <c r="BC126" s="332">
        <v>0.47</v>
      </c>
      <c r="BD126" s="332">
        <v>0.02</v>
      </c>
      <c r="BE126" s="332">
        <v>0.3</v>
      </c>
      <c r="BF126" s="332">
        <v>0.54</v>
      </c>
      <c r="BG126" s="332">
        <v>0.49</v>
      </c>
      <c r="BH126" s="309">
        <v>52</v>
      </c>
      <c r="BI126" s="309" t="s">
        <v>758</v>
      </c>
      <c r="BJ126" s="309">
        <v>11</v>
      </c>
      <c r="BK126" s="309" t="s">
        <v>758</v>
      </c>
      <c r="BL126" s="464"/>
      <c r="BM126" s="464"/>
      <c r="BN126" s="464"/>
      <c r="BO126" s="327">
        <v>0.1</v>
      </c>
      <c r="BP126" s="327">
        <v>0.28999999999999998</v>
      </c>
      <c r="BQ126" s="327">
        <v>0.57999999999999996</v>
      </c>
      <c r="BR126" s="327">
        <v>0.02</v>
      </c>
      <c r="BS126" s="327">
        <v>0.48</v>
      </c>
      <c r="BT126" s="327">
        <v>0.62</v>
      </c>
      <c r="BU126" s="476"/>
      <c r="BV126" s="476"/>
      <c r="BW126" s="476"/>
      <c r="BX126" s="327">
        <v>0.4</v>
      </c>
      <c r="BY126" s="424">
        <v>52</v>
      </c>
      <c r="BZ126" s="424" t="s">
        <v>758</v>
      </c>
      <c r="CA126" s="424">
        <v>9</v>
      </c>
      <c r="CB126" s="424" t="s">
        <v>758</v>
      </c>
      <c r="CC126" s="428">
        <v>0.03</v>
      </c>
      <c r="CD126" s="428">
        <v>0.41</v>
      </c>
      <c r="CE126" s="428">
        <v>0.55000000000000004</v>
      </c>
      <c r="CF126" s="428">
        <v>0.02</v>
      </c>
      <c r="CG126" s="428">
        <v>0.63</v>
      </c>
      <c r="CH126" s="428">
        <v>0.31</v>
      </c>
      <c r="CI126" s="428">
        <v>0.61</v>
      </c>
      <c r="CJ126" s="464">
        <v>53</v>
      </c>
      <c r="CK126" s="464" t="s">
        <v>758</v>
      </c>
      <c r="CL126" s="464">
        <v>11</v>
      </c>
      <c r="CM126" s="464" t="s">
        <v>758</v>
      </c>
      <c r="CN126" s="476">
        <v>0.06</v>
      </c>
      <c r="CO126" s="476">
        <v>0.36</v>
      </c>
      <c r="CP126" s="476">
        <v>0.53</v>
      </c>
      <c r="CQ126" s="476">
        <v>0.05</v>
      </c>
      <c r="CR126" s="476">
        <v>0.56000000000000005</v>
      </c>
      <c r="CS126" s="476">
        <v>0.52</v>
      </c>
      <c r="CT126" s="476">
        <v>0.41</v>
      </c>
      <c r="CU126" s="902">
        <v>51</v>
      </c>
      <c r="CV126" s="902" t="s">
        <v>758</v>
      </c>
      <c r="CW126" s="902">
        <v>10</v>
      </c>
      <c r="CX126" s="902" t="s">
        <v>758</v>
      </c>
      <c r="CY126" s="949">
        <v>0.04</v>
      </c>
      <c r="CZ126" s="949">
        <v>0.45</v>
      </c>
      <c r="DA126" s="949">
        <v>0.48</v>
      </c>
      <c r="DB126" s="949">
        <v>0.04</v>
      </c>
      <c r="DC126" s="949">
        <v>0.62</v>
      </c>
      <c r="DD126" s="949">
        <v>0.51</v>
      </c>
      <c r="DE126" s="949">
        <v>0.43</v>
      </c>
      <c r="DF126" s="922">
        <v>225754000238</v>
      </c>
      <c r="DG126" s="892" t="e">
        <f>VLOOKUP(DF126,#REF!,3,0)</f>
        <v>#REF!</v>
      </c>
    </row>
    <row r="127" spans="1:111" ht="24.95" customHeight="1" x14ac:dyDescent="0.2">
      <c r="A127" s="803" t="s">
        <v>803</v>
      </c>
      <c r="B127" s="1" t="s">
        <v>121</v>
      </c>
      <c r="C127" s="12">
        <v>1</v>
      </c>
      <c r="D127" s="12"/>
      <c r="E127" s="12"/>
      <c r="F127" s="66"/>
      <c r="G127" s="66"/>
      <c r="H127" s="66"/>
      <c r="I127" s="66"/>
      <c r="J127" s="66"/>
      <c r="K127" s="66"/>
      <c r="L127" s="66"/>
      <c r="M127" s="12"/>
      <c r="N127" s="12"/>
      <c r="O127" s="40"/>
      <c r="P127" s="40"/>
      <c r="Q127" s="40"/>
      <c r="R127" s="40"/>
      <c r="S127" s="40"/>
      <c r="T127" s="40"/>
      <c r="U127" s="40"/>
      <c r="V127" s="12"/>
      <c r="W127" s="12"/>
      <c r="X127" s="66"/>
      <c r="Y127" s="66"/>
      <c r="Z127" s="66"/>
      <c r="AA127" s="66"/>
      <c r="AB127" s="66"/>
      <c r="AC127" s="66"/>
      <c r="AD127" s="66"/>
      <c r="AE127" s="12"/>
      <c r="AF127" s="12"/>
      <c r="AG127" s="66"/>
      <c r="AH127" s="66"/>
      <c r="AI127" s="66"/>
      <c r="AJ127" s="66"/>
      <c r="AK127" s="66"/>
      <c r="AL127" s="66"/>
      <c r="AM127" s="66"/>
      <c r="AN127" s="35"/>
      <c r="AO127" s="35"/>
      <c r="AP127" s="40"/>
      <c r="AQ127" s="40"/>
      <c r="AR127" s="40"/>
      <c r="AS127" s="40"/>
      <c r="AT127" s="40"/>
      <c r="AU127" s="40"/>
      <c r="AV127" s="40"/>
      <c r="AW127" s="246"/>
      <c r="AX127" s="246"/>
      <c r="AY127" s="246"/>
      <c r="AZ127" s="246"/>
      <c r="BA127" s="263"/>
      <c r="BB127" s="263"/>
      <c r="BC127" s="263"/>
      <c r="BD127" s="263"/>
      <c r="BE127" s="263"/>
      <c r="BF127" s="263"/>
      <c r="BG127" s="263"/>
      <c r="BH127" s="309">
        <v>51</v>
      </c>
      <c r="BI127" s="309" t="s">
        <v>758</v>
      </c>
      <c r="BJ127" s="309">
        <v>9</v>
      </c>
      <c r="BK127" s="309" t="s">
        <v>758</v>
      </c>
      <c r="BL127" s="464"/>
      <c r="BM127" s="464"/>
      <c r="BN127" s="464"/>
      <c r="BO127" s="327">
        <v>0.05</v>
      </c>
      <c r="BP127" s="327">
        <v>0.46</v>
      </c>
      <c r="BQ127" s="327">
        <v>0.49</v>
      </c>
      <c r="BR127" s="327">
        <v>0</v>
      </c>
      <c r="BS127" s="327">
        <v>0.56000000000000005</v>
      </c>
      <c r="BT127" s="327">
        <v>0.67</v>
      </c>
      <c r="BU127" s="476"/>
      <c r="BV127" s="476"/>
      <c r="BW127" s="476"/>
      <c r="BX127" s="327">
        <v>0.36</v>
      </c>
      <c r="BY127" s="424">
        <v>54</v>
      </c>
      <c r="BZ127" s="424" t="s">
        <v>758</v>
      </c>
      <c r="CA127" s="424">
        <v>8</v>
      </c>
      <c r="CB127" s="424" t="s">
        <v>758</v>
      </c>
      <c r="CC127" s="428">
        <v>0.01</v>
      </c>
      <c r="CD127" s="428">
        <v>0.28999999999999998</v>
      </c>
      <c r="CE127" s="428">
        <v>0.68</v>
      </c>
      <c r="CF127" s="428">
        <v>0.01</v>
      </c>
      <c r="CG127" s="428">
        <v>0.59</v>
      </c>
      <c r="CH127" s="428">
        <v>0.34</v>
      </c>
      <c r="CI127" s="428">
        <v>0.56000000000000005</v>
      </c>
      <c r="CJ127" s="464">
        <v>51</v>
      </c>
      <c r="CK127" s="464" t="s">
        <v>758</v>
      </c>
      <c r="CL127" s="464">
        <v>11</v>
      </c>
      <c r="CM127" s="464" t="s">
        <v>758</v>
      </c>
      <c r="CN127" s="476">
        <v>0.1</v>
      </c>
      <c r="CO127" s="476">
        <v>0.34</v>
      </c>
      <c r="CP127" s="476">
        <v>0.54</v>
      </c>
      <c r="CQ127" s="476">
        <v>0.02</v>
      </c>
      <c r="CR127" s="476">
        <v>0.53</v>
      </c>
      <c r="CS127" s="476">
        <v>0.52</v>
      </c>
      <c r="CT127" s="476">
        <v>0.42</v>
      </c>
      <c r="CU127" s="902">
        <v>54</v>
      </c>
      <c r="CV127" s="902" t="s">
        <v>758</v>
      </c>
      <c r="CW127" s="902">
        <v>10</v>
      </c>
      <c r="CX127" s="902" t="s">
        <v>758</v>
      </c>
      <c r="CY127" s="949">
        <v>0.01</v>
      </c>
      <c r="CZ127" s="949">
        <v>0.39</v>
      </c>
      <c r="DA127" s="949">
        <v>0.59</v>
      </c>
      <c r="DB127" s="949">
        <v>0</v>
      </c>
      <c r="DC127" s="949">
        <v>0.61</v>
      </c>
      <c r="DD127" s="949">
        <v>0.47</v>
      </c>
      <c r="DE127" s="949">
        <v>0.35</v>
      </c>
      <c r="DF127" s="922">
        <v>125754800132</v>
      </c>
      <c r="DG127" s="892" t="e">
        <f>VLOOKUP(DF127,#REF!,3,0)</f>
        <v>#REF!</v>
      </c>
    </row>
    <row r="128" spans="1:111" ht="24.95" customHeight="1" x14ac:dyDescent="0.2">
      <c r="A128" s="804" t="s">
        <v>54</v>
      </c>
      <c r="B128" s="1" t="s">
        <v>121</v>
      </c>
      <c r="C128" s="328">
        <v>1</v>
      </c>
      <c r="D128" s="328">
        <v>54</v>
      </c>
      <c r="E128" s="328">
        <v>9</v>
      </c>
      <c r="F128" s="333">
        <v>0.04</v>
      </c>
      <c r="G128" s="333">
        <v>0.25</v>
      </c>
      <c r="H128" s="333">
        <v>0.7</v>
      </c>
      <c r="I128" s="333">
        <v>0.01</v>
      </c>
      <c r="J128" s="333">
        <v>0.51</v>
      </c>
      <c r="K128" s="333">
        <v>0.43</v>
      </c>
      <c r="L128" s="333">
        <v>0.52</v>
      </c>
      <c r="M128" s="328">
        <v>56</v>
      </c>
      <c r="N128" s="328">
        <v>10</v>
      </c>
      <c r="O128" s="331">
        <v>0.03</v>
      </c>
      <c r="P128" s="331">
        <v>0.25</v>
      </c>
      <c r="Q128" s="331">
        <v>0.66</v>
      </c>
      <c r="R128" s="331">
        <v>0.06</v>
      </c>
      <c r="S128" s="331">
        <v>0.41</v>
      </c>
      <c r="T128" s="331">
        <v>0.49</v>
      </c>
      <c r="U128" s="331">
        <v>0.3</v>
      </c>
      <c r="V128" s="328">
        <v>55</v>
      </c>
      <c r="W128" s="328">
        <v>8</v>
      </c>
      <c r="X128" s="333">
        <v>0</v>
      </c>
      <c r="Y128" s="333">
        <v>0.31</v>
      </c>
      <c r="Z128" s="333">
        <v>0.68</v>
      </c>
      <c r="AA128" s="333">
        <v>0.01</v>
      </c>
      <c r="AB128" s="333">
        <v>0.44</v>
      </c>
      <c r="AC128" s="333">
        <v>0.34</v>
      </c>
      <c r="AD128" s="333">
        <v>0.48</v>
      </c>
      <c r="AE128" s="328">
        <v>55</v>
      </c>
      <c r="AF128" s="328">
        <v>10</v>
      </c>
      <c r="AG128" s="333">
        <v>0.02</v>
      </c>
      <c r="AH128" s="333">
        <v>0.25</v>
      </c>
      <c r="AI128" s="333">
        <v>0.69</v>
      </c>
      <c r="AJ128" s="333">
        <v>0.03</v>
      </c>
      <c r="AK128" s="333">
        <v>0.48</v>
      </c>
      <c r="AL128" s="333">
        <v>0.4</v>
      </c>
      <c r="AM128" s="333">
        <v>0.26</v>
      </c>
      <c r="AN128" s="311">
        <v>56</v>
      </c>
      <c r="AO128" s="311">
        <v>9</v>
      </c>
      <c r="AP128" s="331">
        <v>0.02</v>
      </c>
      <c r="AQ128" s="331">
        <v>0.27</v>
      </c>
      <c r="AR128" s="331">
        <v>0.66</v>
      </c>
      <c r="AS128" s="331">
        <v>0.05</v>
      </c>
      <c r="AT128" s="331">
        <v>0.24</v>
      </c>
      <c r="AU128" s="331">
        <v>0.43</v>
      </c>
      <c r="AV128" s="331">
        <v>0.43</v>
      </c>
      <c r="AW128" s="312">
        <v>52</v>
      </c>
      <c r="AX128" s="312" t="s">
        <v>758</v>
      </c>
      <c r="AY128" s="312">
        <v>10</v>
      </c>
      <c r="AZ128" s="312" t="s">
        <v>758</v>
      </c>
      <c r="BA128" s="332">
        <v>0.04</v>
      </c>
      <c r="BB128" s="332">
        <v>0.38</v>
      </c>
      <c r="BC128" s="332">
        <v>0.54</v>
      </c>
      <c r="BD128" s="332">
        <v>0.04</v>
      </c>
      <c r="BE128" s="332">
        <v>0.28999999999999998</v>
      </c>
      <c r="BF128" s="332">
        <v>0.49</v>
      </c>
      <c r="BG128" s="332">
        <v>0.46</v>
      </c>
      <c r="BH128" s="309">
        <v>53</v>
      </c>
      <c r="BI128" s="309" t="s">
        <v>758</v>
      </c>
      <c r="BJ128" s="309">
        <v>9</v>
      </c>
      <c r="BK128" s="309" t="s">
        <v>758</v>
      </c>
      <c r="BL128" s="464"/>
      <c r="BM128" s="464"/>
      <c r="BN128" s="464"/>
      <c r="BO128" s="327">
        <v>0.05</v>
      </c>
      <c r="BP128" s="327">
        <v>0.3</v>
      </c>
      <c r="BQ128" s="327">
        <v>0.61</v>
      </c>
      <c r="BR128" s="327">
        <v>0.04</v>
      </c>
      <c r="BS128" s="327">
        <v>0.5</v>
      </c>
      <c r="BT128" s="327">
        <v>0.56000000000000005</v>
      </c>
      <c r="BU128" s="476"/>
      <c r="BV128" s="476"/>
      <c r="BW128" s="476"/>
      <c r="BX128" s="327">
        <v>0.37</v>
      </c>
      <c r="BY128" s="424">
        <v>53</v>
      </c>
      <c r="BZ128" s="424" t="s">
        <v>758</v>
      </c>
      <c r="CA128" s="424">
        <v>8</v>
      </c>
      <c r="CB128" s="424" t="s">
        <v>758</v>
      </c>
      <c r="CC128" s="428">
        <v>0.02</v>
      </c>
      <c r="CD128" s="428">
        <v>0.31</v>
      </c>
      <c r="CE128" s="428">
        <v>0.66</v>
      </c>
      <c r="CF128" s="428">
        <v>0.01</v>
      </c>
      <c r="CG128" s="428">
        <v>0.62</v>
      </c>
      <c r="CH128" s="428">
        <v>0.32</v>
      </c>
      <c r="CI128" s="428">
        <v>0.56999999999999995</v>
      </c>
      <c r="CJ128" s="464">
        <v>54</v>
      </c>
      <c r="CK128" s="464" t="s">
        <v>758</v>
      </c>
      <c r="CL128" s="464">
        <v>9</v>
      </c>
      <c r="CM128" s="464" t="s">
        <v>758</v>
      </c>
      <c r="CN128" s="476">
        <v>0.03</v>
      </c>
      <c r="CO128" s="476">
        <v>0.32</v>
      </c>
      <c r="CP128" s="476">
        <v>0.59</v>
      </c>
      <c r="CQ128" s="476">
        <v>0.05</v>
      </c>
      <c r="CR128" s="476">
        <v>0.53</v>
      </c>
      <c r="CS128" s="476">
        <v>0.5</v>
      </c>
      <c r="CT128" s="476">
        <v>0.42</v>
      </c>
      <c r="CU128" s="902">
        <v>52</v>
      </c>
      <c r="CV128" s="902" t="s">
        <v>758</v>
      </c>
      <c r="CW128" s="902">
        <v>9</v>
      </c>
      <c r="CX128" s="902" t="s">
        <v>758</v>
      </c>
      <c r="CY128" s="949">
        <v>0.05</v>
      </c>
      <c r="CZ128" s="949">
        <v>0.38</v>
      </c>
      <c r="DA128" s="949">
        <v>0.56000000000000005</v>
      </c>
      <c r="DB128" s="949">
        <v>0.02</v>
      </c>
      <c r="DC128" s="949">
        <v>0.62</v>
      </c>
      <c r="DD128" s="949">
        <v>0.5</v>
      </c>
      <c r="DE128" s="949">
        <v>0.4</v>
      </c>
      <c r="DF128" s="922">
        <v>125754000250</v>
      </c>
      <c r="DG128" s="892" t="e">
        <f>VLOOKUP(DF128,#REF!,3,0)</f>
        <v>#REF!</v>
      </c>
    </row>
    <row r="129" spans="1:111" ht="24.95" customHeight="1" x14ac:dyDescent="0.2">
      <c r="A129" s="803" t="s">
        <v>34</v>
      </c>
      <c r="B129" s="1" t="s">
        <v>123</v>
      </c>
      <c r="C129" s="12">
        <v>1</v>
      </c>
      <c r="D129" s="12">
        <v>52</v>
      </c>
      <c r="E129" s="12">
        <v>9</v>
      </c>
      <c r="F129" s="66">
        <v>0.05</v>
      </c>
      <c r="G129" s="66">
        <v>0.43</v>
      </c>
      <c r="H129" s="66">
        <v>0.52</v>
      </c>
      <c r="I129" s="66">
        <v>0</v>
      </c>
      <c r="J129" s="66">
        <v>0.54</v>
      </c>
      <c r="K129" s="66">
        <v>0.43</v>
      </c>
      <c r="L129" s="66">
        <v>0.53</v>
      </c>
      <c r="M129" s="12">
        <v>50</v>
      </c>
      <c r="N129" s="12">
        <v>11</v>
      </c>
      <c r="O129" s="40">
        <v>0.08</v>
      </c>
      <c r="P129" s="40">
        <v>0.36</v>
      </c>
      <c r="Q129" s="40">
        <v>0.55000000000000004</v>
      </c>
      <c r="R129" s="40">
        <v>0.01</v>
      </c>
      <c r="S129" s="40">
        <v>0.49</v>
      </c>
      <c r="T129" s="40">
        <v>0.56000000000000005</v>
      </c>
      <c r="U129" s="40">
        <v>0.4</v>
      </c>
      <c r="V129" s="12">
        <v>53</v>
      </c>
      <c r="W129" s="12">
        <v>9</v>
      </c>
      <c r="X129" s="66">
        <v>0.05</v>
      </c>
      <c r="Y129" s="66">
        <v>0.32</v>
      </c>
      <c r="Z129" s="66">
        <v>0.59</v>
      </c>
      <c r="AA129" s="66">
        <v>0.04</v>
      </c>
      <c r="AB129" s="66">
        <v>0.45</v>
      </c>
      <c r="AC129" s="66">
        <v>0.34</v>
      </c>
      <c r="AD129" s="66">
        <v>0.5</v>
      </c>
      <c r="AE129" s="12">
        <v>51</v>
      </c>
      <c r="AF129" s="12">
        <v>9</v>
      </c>
      <c r="AG129" s="66">
        <v>0.05</v>
      </c>
      <c r="AH129" s="66">
        <v>0.39</v>
      </c>
      <c r="AI129" s="66">
        <v>0.56000000000000005</v>
      </c>
      <c r="AJ129" s="66">
        <v>0</v>
      </c>
      <c r="AK129" s="66">
        <v>0.54</v>
      </c>
      <c r="AL129" s="66">
        <v>0.52</v>
      </c>
      <c r="AM129" s="66">
        <v>0.32</v>
      </c>
      <c r="AN129" s="35">
        <v>53</v>
      </c>
      <c r="AO129" s="35">
        <v>8</v>
      </c>
      <c r="AP129" s="40">
        <v>0</v>
      </c>
      <c r="AQ129" s="40">
        <v>0.45</v>
      </c>
      <c r="AR129" s="40">
        <v>0.55000000000000004</v>
      </c>
      <c r="AS129" s="40">
        <v>0</v>
      </c>
      <c r="AT129" s="40">
        <v>0.26</v>
      </c>
      <c r="AU129" s="40">
        <v>0.5</v>
      </c>
      <c r="AV129" s="40">
        <v>0.52</v>
      </c>
      <c r="AW129" s="246">
        <v>51</v>
      </c>
      <c r="AX129" s="246" t="s">
        <v>758</v>
      </c>
      <c r="AY129" s="246">
        <v>12</v>
      </c>
      <c r="AZ129" s="246" t="s">
        <v>758</v>
      </c>
      <c r="BA129" s="263">
        <v>0.11</v>
      </c>
      <c r="BB129" s="263">
        <v>0.33</v>
      </c>
      <c r="BC129" s="263">
        <v>0.48</v>
      </c>
      <c r="BD129" s="263">
        <v>0.08</v>
      </c>
      <c r="BE129" s="263">
        <v>0.32</v>
      </c>
      <c r="BF129" s="263">
        <v>0.51</v>
      </c>
      <c r="BG129" s="263">
        <v>0.49</v>
      </c>
      <c r="BH129" s="309">
        <v>50</v>
      </c>
      <c r="BI129" s="309" t="s">
        <v>758</v>
      </c>
      <c r="BJ129" s="309">
        <v>11</v>
      </c>
      <c r="BK129" s="309" t="s">
        <v>758</v>
      </c>
      <c r="BL129" s="464"/>
      <c r="BM129" s="464"/>
      <c r="BN129" s="464"/>
      <c r="BO129" s="327">
        <v>0.1</v>
      </c>
      <c r="BP129" s="327">
        <v>0.45</v>
      </c>
      <c r="BQ129" s="327">
        <v>0.41</v>
      </c>
      <c r="BR129" s="327">
        <v>0.03</v>
      </c>
      <c r="BS129" s="327">
        <v>0.56999999999999995</v>
      </c>
      <c r="BT129" s="327">
        <v>0.57999999999999996</v>
      </c>
      <c r="BU129" s="476"/>
      <c r="BV129" s="476"/>
      <c r="BW129" s="476"/>
      <c r="BX129" s="327">
        <v>0.42</v>
      </c>
      <c r="BY129" s="651"/>
      <c r="BZ129" s="651"/>
      <c r="CA129" s="651"/>
      <c r="CB129" s="651"/>
      <c r="CC129" s="651"/>
      <c r="CD129" s="651"/>
      <c r="CE129" s="651"/>
      <c r="CF129" s="651"/>
      <c r="CG129" s="651"/>
      <c r="CH129" s="651"/>
      <c r="CI129" s="651"/>
      <c r="CJ129" s="650"/>
      <c r="CK129" s="650"/>
      <c r="CL129" s="650"/>
      <c r="CM129" s="650"/>
      <c r="CN129" s="650"/>
      <c r="CO129" s="650"/>
      <c r="CP129" s="650"/>
      <c r="CQ129" s="650"/>
      <c r="CR129" s="650"/>
      <c r="CS129" s="650"/>
      <c r="CT129" s="650"/>
      <c r="CY129" s="949"/>
      <c r="CZ129" s="949"/>
      <c r="DA129" s="949"/>
      <c r="DB129" s="949"/>
      <c r="DC129" s="949"/>
      <c r="DD129" s="949"/>
      <c r="DE129" s="949"/>
      <c r="DG129" s="892"/>
    </row>
    <row r="130" spans="1:111" ht="24.95" customHeight="1" x14ac:dyDescent="0.2">
      <c r="A130" s="803" t="s">
        <v>804</v>
      </c>
      <c r="B130" s="1" t="s">
        <v>121</v>
      </c>
      <c r="C130" s="12">
        <v>3</v>
      </c>
      <c r="D130" s="12"/>
      <c r="E130" s="12"/>
      <c r="F130" s="66"/>
      <c r="G130" s="66"/>
      <c r="H130" s="66"/>
      <c r="I130" s="66"/>
      <c r="J130" s="66"/>
      <c r="K130" s="66"/>
      <c r="L130" s="66"/>
      <c r="M130" s="12"/>
      <c r="N130" s="12"/>
      <c r="O130" s="40"/>
      <c r="P130" s="40"/>
      <c r="Q130" s="40"/>
      <c r="R130" s="40"/>
      <c r="S130" s="40"/>
      <c r="T130" s="40"/>
      <c r="U130" s="40"/>
      <c r="V130" s="12"/>
      <c r="W130" s="12"/>
      <c r="X130" s="66"/>
      <c r="Y130" s="66"/>
      <c r="Z130" s="66"/>
      <c r="AA130" s="66"/>
      <c r="AB130" s="66"/>
      <c r="AC130" s="66"/>
      <c r="AD130" s="66"/>
      <c r="AE130" s="12"/>
      <c r="AF130" s="12"/>
      <c r="AG130" s="66"/>
      <c r="AH130" s="66"/>
      <c r="AI130" s="66"/>
      <c r="AJ130" s="66"/>
      <c r="AK130" s="66"/>
      <c r="AL130" s="66"/>
      <c r="AM130" s="66"/>
      <c r="AN130" s="35"/>
      <c r="AO130" s="35"/>
      <c r="AP130" s="40"/>
      <c r="AQ130" s="40"/>
      <c r="AR130" s="40"/>
      <c r="AS130" s="40"/>
      <c r="AT130" s="40"/>
      <c r="AU130" s="40"/>
      <c r="AV130" s="40"/>
      <c r="AW130" s="246"/>
      <c r="AX130" s="246"/>
      <c r="AY130" s="246"/>
      <c r="AZ130" s="246"/>
      <c r="BA130" s="263"/>
      <c r="BB130" s="263"/>
      <c r="BC130" s="263"/>
      <c r="BD130" s="263"/>
      <c r="BE130" s="263"/>
      <c r="BF130" s="263"/>
      <c r="BG130" s="263"/>
      <c r="BH130" s="309">
        <v>53</v>
      </c>
      <c r="BI130" s="309" t="s">
        <v>758</v>
      </c>
      <c r="BJ130" s="309">
        <v>9</v>
      </c>
      <c r="BK130" s="309" t="s">
        <v>758</v>
      </c>
      <c r="BL130" s="464"/>
      <c r="BM130" s="464"/>
      <c r="BN130" s="464"/>
      <c r="BO130" s="327">
        <v>0.05</v>
      </c>
      <c r="BP130" s="327">
        <v>0.33</v>
      </c>
      <c r="BQ130" s="327">
        <v>0.62</v>
      </c>
      <c r="BR130" s="327">
        <v>0</v>
      </c>
      <c r="BS130" s="327">
        <v>0.54</v>
      </c>
      <c r="BT130" s="327">
        <v>0.6</v>
      </c>
      <c r="BU130" s="476"/>
      <c r="BV130" s="476"/>
      <c r="BW130" s="476"/>
      <c r="BX130" s="327">
        <v>0.39</v>
      </c>
      <c r="BY130" s="652">
        <v>52</v>
      </c>
      <c r="BZ130" s="652" t="s">
        <v>758</v>
      </c>
      <c r="CA130" s="652">
        <v>10</v>
      </c>
      <c r="CB130" s="652" t="s">
        <v>758</v>
      </c>
      <c r="CC130" s="653">
        <v>0.04</v>
      </c>
      <c r="CD130" s="653">
        <v>0.34</v>
      </c>
      <c r="CE130" s="653">
        <v>0.6</v>
      </c>
      <c r="CF130" s="653">
        <v>0.02</v>
      </c>
      <c r="CG130" s="653">
        <v>0.62</v>
      </c>
      <c r="CH130" s="653">
        <v>0.39</v>
      </c>
      <c r="CI130" s="653">
        <v>0.6</v>
      </c>
      <c r="CJ130" s="74">
        <v>56</v>
      </c>
      <c r="CK130" s="74" t="s">
        <v>758</v>
      </c>
      <c r="CL130" s="74">
        <v>11</v>
      </c>
      <c r="CM130" s="74" t="s">
        <v>758</v>
      </c>
      <c r="CN130" s="96">
        <v>0.04</v>
      </c>
      <c r="CO130" s="96">
        <v>0.22</v>
      </c>
      <c r="CP130" s="96">
        <v>0.7</v>
      </c>
      <c r="CQ130" s="96">
        <v>0.05</v>
      </c>
      <c r="CR130" s="96">
        <v>0.51</v>
      </c>
      <c r="CS130" s="96">
        <v>0.44</v>
      </c>
      <c r="CT130" s="96">
        <v>0.39</v>
      </c>
      <c r="CU130" s="902">
        <v>54</v>
      </c>
      <c r="CV130" s="902" t="s">
        <v>758</v>
      </c>
      <c r="CW130" s="902">
        <v>11</v>
      </c>
      <c r="CX130" s="902" t="s">
        <v>758</v>
      </c>
      <c r="CY130" s="949">
        <v>0.06</v>
      </c>
      <c r="CZ130" s="949">
        <v>0.28000000000000003</v>
      </c>
      <c r="DA130" s="949">
        <v>0.59</v>
      </c>
      <c r="DB130" s="949">
        <v>7.0000000000000007E-2</v>
      </c>
      <c r="DC130" s="949">
        <v>0.56999999999999995</v>
      </c>
      <c r="DD130" s="949">
        <v>0.47</v>
      </c>
      <c r="DE130" s="949">
        <v>0.35</v>
      </c>
      <c r="DF130" s="922">
        <v>125754800329</v>
      </c>
      <c r="DG130" s="892" t="e">
        <f>VLOOKUP(DF130,#REF!,3,0)</f>
        <v>#REF!</v>
      </c>
    </row>
    <row r="131" spans="1:111" ht="24.95" customHeight="1" x14ac:dyDescent="0.2">
      <c r="A131" s="805" t="s">
        <v>176</v>
      </c>
      <c r="B131" s="1" t="s">
        <v>121</v>
      </c>
      <c r="C131" s="328">
        <v>6</v>
      </c>
      <c r="D131" s="328">
        <v>50</v>
      </c>
      <c r="E131" s="328">
        <v>9</v>
      </c>
      <c r="F131" s="333">
        <v>0.06</v>
      </c>
      <c r="G131" s="333">
        <v>0.52</v>
      </c>
      <c r="H131" s="333">
        <v>0.41</v>
      </c>
      <c r="I131" s="333">
        <v>0.01</v>
      </c>
      <c r="J131" s="333">
        <v>0.56999999999999995</v>
      </c>
      <c r="K131" s="333">
        <v>0.46</v>
      </c>
      <c r="L131" s="333">
        <v>0.56999999999999995</v>
      </c>
      <c r="M131" s="328">
        <v>49</v>
      </c>
      <c r="N131" s="328">
        <v>10</v>
      </c>
      <c r="O131" s="331">
        <v>0.1</v>
      </c>
      <c r="P131" s="331">
        <v>0.47</v>
      </c>
      <c r="Q131" s="331">
        <v>0.43</v>
      </c>
      <c r="R131" s="331">
        <v>0.01</v>
      </c>
      <c r="S131" s="331">
        <v>0.51</v>
      </c>
      <c r="T131" s="331">
        <v>0.57999999999999996</v>
      </c>
      <c r="U131" s="331">
        <v>0.4</v>
      </c>
      <c r="V131" s="328">
        <v>49</v>
      </c>
      <c r="W131" s="328">
        <v>9</v>
      </c>
      <c r="X131" s="333">
        <v>0.06</v>
      </c>
      <c r="Y131" s="333">
        <v>0.53</v>
      </c>
      <c r="Z131" s="333">
        <v>0.4</v>
      </c>
      <c r="AA131" s="333">
        <v>0</v>
      </c>
      <c r="AB131" s="333">
        <v>0.54</v>
      </c>
      <c r="AC131" s="333">
        <v>0.4</v>
      </c>
      <c r="AD131" s="333">
        <v>0.56000000000000005</v>
      </c>
      <c r="AE131" s="328">
        <v>51</v>
      </c>
      <c r="AF131" s="328">
        <v>9</v>
      </c>
      <c r="AG131" s="333">
        <v>0.02</v>
      </c>
      <c r="AH131" s="333">
        <v>0.43</v>
      </c>
      <c r="AI131" s="333">
        <v>0.54</v>
      </c>
      <c r="AJ131" s="333">
        <v>0.01</v>
      </c>
      <c r="AK131" s="333">
        <v>0.56999999999999995</v>
      </c>
      <c r="AL131" s="333">
        <v>0.48</v>
      </c>
      <c r="AM131" s="333">
        <v>0.31</v>
      </c>
      <c r="AN131" s="311">
        <v>51</v>
      </c>
      <c r="AO131" s="311">
        <v>10</v>
      </c>
      <c r="AP131" s="331">
        <v>0.05</v>
      </c>
      <c r="AQ131" s="331">
        <v>0.4</v>
      </c>
      <c r="AR131" s="331">
        <v>0.52</v>
      </c>
      <c r="AS131" s="331">
        <v>0.03</v>
      </c>
      <c r="AT131" s="331">
        <v>0.32</v>
      </c>
      <c r="AU131" s="331">
        <v>0.53</v>
      </c>
      <c r="AV131" s="331">
        <v>0.49</v>
      </c>
      <c r="AW131" s="312">
        <v>48</v>
      </c>
      <c r="AX131" s="312" t="s">
        <v>758</v>
      </c>
      <c r="AY131" s="312">
        <v>8</v>
      </c>
      <c r="AZ131" s="312" t="s">
        <v>758</v>
      </c>
      <c r="BA131" s="332">
        <v>0.06</v>
      </c>
      <c r="BB131" s="332">
        <v>0.54</v>
      </c>
      <c r="BC131" s="332">
        <v>0.39</v>
      </c>
      <c r="BD131" s="332">
        <v>0.01</v>
      </c>
      <c r="BE131" s="332">
        <v>0.32</v>
      </c>
      <c r="BF131" s="332">
        <v>0.57999999999999996</v>
      </c>
      <c r="BG131" s="332">
        <v>0.55000000000000004</v>
      </c>
      <c r="BH131" s="309">
        <v>47</v>
      </c>
      <c r="BI131" s="309" t="s">
        <v>758</v>
      </c>
      <c r="BJ131" s="309">
        <v>9</v>
      </c>
      <c r="BK131" s="309" t="s">
        <v>758</v>
      </c>
      <c r="BL131" s="464"/>
      <c r="BM131" s="464"/>
      <c r="BN131" s="464"/>
      <c r="BO131" s="327">
        <v>0.1</v>
      </c>
      <c r="BP131" s="327">
        <v>0.53</v>
      </c>
      <c r="BQ131" s="327">
        <v>0.37</v>
      </c>
      <c r="BR131" s="327">
        <v>0</v>
      </c>
      <c r="BS131" s="327">
        <v>0.62</v>
      </c>
      <c r="BT131" s="327">
        <v>0.7</v>
      </c>
      <c r="BU131" s="476"/>
      <c r="BV131" s="476"/>
      <c r="BW131" s="476"/>
      <c r="BX131" s="327">
        <v>0.45</v>
      </c>
      <c r="BY131" s="424">
        <v>49</v>
      </c>
      <c r="BZ131" s="424" t="s">
        <v>758</v>
      </c>
      <c r="CA131" s="424">
        <v>9</v>
      </c>
      <c r="CB131" s="424" t="s">
        <v>758</v>
      </c>
      <c r="CC131" s="428">
        <v>0.06</v>
      </c>
      <c r="CD131" s="428">
        <v>0.49</v>
      </c>
      <c r="CE131" s="428">
        <v>0.44</v>
      </c>
      <c r="CF131" s="428">
        <v>0.01</v>
      </c>
      <c r="CG131" s="428">
        <v>0.71</v>
      </c>
      <c r="CH131" s="428">
        <v>0.4</v>
      </c>
      <c r="CI131" s="428">
        <v>0.63</v>
      </c>
      <c r="CJ131" s="464">
        <v>53</v>
      </c>
      <c r="CK131" s="464" t="s">
        <v>758</v>
      </c>
      <c r="CL131" s="464">
        <v>11</v>
      </c>
      <c r="CM131" s="464" t="s">
        <v>758</v>
      </c>
      <c r="CN131" s="476">
        <v>0.04</v>
      </c>
      <c r="CO131" s="476">
        <v>0.39</v>
      </c>
      <c r="CP131" s="476">
        <v>0.53</v>
      </c>
      <c r="CQ131" s="476">
        <v>0.04</v>
      </c>
      <c r="CR131" s="476">
        <v>0.56000000000000005</v>
      </c>
      <c r="CS131" s="476">
        <v>0.54</v>
      </c>
      <c r="CT131" s="476">
        <v>0.4</v>
      </c>
      <c r="CU131" s="902">
        <v>51</v>
      </c>
      <c r="CV131" s="902" t="s">
        <v>758</v>
      </c>
      <c r="CW131" s="902">
        <v>11</v>
      </c>
      <c r="CX131" s="902" t="s">
        <v>758</v>
      </c>
      <c r="CY131" s="949">
        <v>0.08</v>
      </c>
      <c r="CZ131" s="949">
        <v>0.41</v>
      </c>
      <c r="DA131" s="949">
        <v>0.49</v>
      </c>
      <c r="DB131" s="949">
        <v>0.02</v>
      </c>
      <c r="DC131" s="949">
        <v>0.59</v>
      </c>
      <c r="DD131" s="949">
        <v>0.5</v>
      </c>
      <c r="DE131" s="949">
        <v>0.38</v>
      </c>
      <c r="DF131" s="922">
        <v>325754005404</v>
      </c>
      <c r="DG131" s="892" t="e">
        <f>VLOOKUP(DF131,#REF!,3,0)</f>
        <v>#REF!</v>
      </c>
    </row>
    <row r="132" spans="1:111" ht="24.95" customHeight="1" x14ac:dyDescent="0.2">
      <c r="A132" s="803" t="s">
        <v>805</v>
      </c>
      <c r="B132" s="1" t="s">
        <v>121</v>
      </c>
      <c r="C132" s="12">
        <v>2</v>
      </c>
      <c r="D132" s="12"/>
      <c r="E132" s="12"/>
      <c r="F132" s="66"/>
      <c r="G132" s="66"/>
      <c r="H132" s="66"/>
      <c r="I132" s="66"/>
      <c r="J132" s="66"/>
      <c r="K132" s="66"/>
      <c r="L132" s="66"/>
      <c r="M132" s="12"/>
      <c r="N132" s="12"/>
      <c r="O132" s="40"/>
      <c r="P132" s="40"/>
      <c r="Q132" s="40"/>
      <c r="R132" s="40"/>
      <c r="S132" s="40"/>
      <c r="T132" s="40"/>
      <c r="U132" s="40"/>
      <c r="V132" s="12"/>
      <c r="W132" s="12"/>
      <c r="X132" s="66"/>
      <c r="Y132" s="66"/>
      <c r="Z132" s="66"/>
      <c r="AA132" s="66"/>
      <c r="AB132" s="66"/>
      <c r="AC132" s="66"/>
      <c r="AD132" s="66"/>
      <c r="AE132" s="12"/>
      <c r="AF132" s="12"/>
      <c r="AG132" s="66"/>
      <c r="AH132" s="66"/>
      <c r="AI132" s="66"/>
      <c r="AJ132" s="66"/>
      <c r="AK132" s="66"/>
      <c r="AL132" s="66"/>
      <c r="AM132" s="66"/>
      <c r="AN132" s="35"/>
      <c r="AO132" s="35"/>
      <c r="AP132" s="40"/>
      <c r="AQ132" s="40"/>
      <c r="AR132" s="40"/>
      <c r="AS132" s="40"/>
      <c r="AT132" s="40"/>
      <c r="AU132" s="40"/>
      <c r="AV132" s="40"/>
      <c r="AW132" s="246"/>
      <c r="AX132" s="246"/>
      <c r="AY132" s="246"/>
      <c r="AZ132" s="246"/>
      <c r="BA132" s="263"/>
      <c r="BB132" s="263"/>
      <c r="BC132" s="263"/>
      <c r="BD132" s="263"/>
      <c r="BE132" s="263"/>
      <c r="BF132" s="263"/>
      <c r="BG132" s="263"/>
      <c r="BH132" s="309">
        <v>49</v>
      </c>
      <c r="BI132" s="309" t="s">
        <v>758</v>
      </c>
      <c r="BJ132" s="309">
        <v>11</v>
      </c>
      <c r="BK132" s="309" t="s">
        <v>758</v>
      </c>
      <c r="BL132" s="464"/>
      <c r="BM132" s="464"/>
      <c r="BN132" s="464"/>
      <c r="BO132" s="327">
        <v>0.15</v>
      </c>
      <c r="BP132" s="327">
        <v>0.39</v>
      </c>
      <c r="BQ132" s="327">
        <v>0.44</v>
      </c>
      <c r="BR132" s="327">
        <v>0.02</v>
      </c>
      <c r="BS132" s="327">
        <v>0.61</v>
      </c>
      <c r="BT132" s="327">
        <v>0.62</v>
      </c>
      <c r="BU132" s="476"/>
      <c r="BV132" s="476"/>
      <c r="BW132" s="476"/>
      <c r="BX132" s="327">
        <v>0.41</v>
      </c>
      <c r="BY132" s="424">
        <v>51</v>
      </c>
      <c r="BZ132" s="424" t="s">
        <v>758</v>
      </c>
      <c r="CA132" s="424">
        <v>10</v>
      </c>
      <c r="CB132" s="424" t="s">
        <v>758</v>
      </c>
      <c r="CC132" s="428">
        <v>0.08</v>
      </c>
      <c r="CD132" s="428">
        <v>0.35</v>
      </c>
      <c r="CE132" s="428">
        <v>0.55000000000000004</v>
      </c>
      <c r="CF132" s="428">
        <v>0.03</v>
      </c>
      <c r="CG132" s="428">
        <v>0.62</v>
      </c>
      <c r="CH132" s="428">
        <v>0.39</v>
      </c>
      <c r="CI132" s="428">
        <v>0.57999999999999996</v>
      </c>
      <c r="CJ132" s="464">
        <v>55</v>
      </c>
      <c r="CK132" s="464" t="s">
        <v>758</v>
      </c>
      <c r="CL132" s="464">
        <v>11</v>
      </c>
      <c r="CM132" s="464" t="s">
        <v>758</v>
      </c>
      <c r="CN132" s="476">
        <v>0.02</v>
      </c>
      <c r="CO132" s="476">
        <v>0.35</v>
      </c>
      <c r="CP132" s="476">
        <v>0.54</v>
      </c>
      <c r="CQ132" s="476">
        <v>0.1</v>
      </c>
      <c r="CR132" s="476">
        <v>0.49</v>
      </c>
      <c r="CS132" s="476">
        <v>0.49</v>
      </c>
      <c r="CT132" s="476">
        <v>0.41</v>
      </c>
      <c r="CU132" s="902">
        <v>56</v>
      </c>
      <c r="CV132" s="902" t="s">
        <v>758</v>
      </c>
      <c r="CW132" s="902">
        <v>10</v>
      </c>
      <c r="CX132" s="902" t="s">
        <v>758</v>
      </c>
      <c r="CY132" s="949">
        <v>0.03</v>
      </c>
      <c r="CZ132" s="949">
        <v>0.24</v>
      </c>
      <c r="DA132" s="949">
        <v>0.67</v>
      </c>
      <c r="DB132" s="949">
        <v>0.06</v>
      </c>
      <c r="DC132" s="949">
        <v>0.59</v>
      </c>
      <c r="DD132" s="949">
        <v>0.44</v>
      </c>
      <c r="DE132" s="949">
        <v>0.31</v>
      </c>
      <c r="DF132" s="922">
        <v>125754800256</v>
      </c>
      <c r="DG132" s="892" t="e">
        <f>VLOOKUP(DF132,#REF!,3,0)</f>
        <v>#REF!</v>
      </c>
    </row>
    <row r="133" spans="1:111" ht="24.95" customHeight="1" x14ac:dyDescent="0.2">
      <c r="A133" s="804" t="s">
        <v>106</v>
      </c>
      <c r="B133" s="1" t="s">
        <v>123</v>
      </c>
      <c r="C133" s="328">
        <v>2</v>
      </c>
      <c r="D133" s="328">
        <v>47</v>
      </c>
      <c r="E133" s="328">
        <v>14</v>
      </c>
      <c r="F133" s="333">
        <v>0</v>
      </c>
      <c r="G133" s="333">
        <v>0.5</v>
      </c>
      <c r="H133" s="333">
        <v>0.5</v>
      </c>
      <c r="I133" s="333">
        <v>0</v>
      </c>
      <c r="J133" s="333">
        <v>0.63</v>
      </c>
      <c r="K133" s="333">
        <v>0.63</v>
      </c>
      <c r="L133" s="333">
        <v>0.56999999999999995</v>
      </c>
      <c r="M133" s="328" t="s">
        <v>126</v>
      </c>
      <c r="N133" s="328" t="s">
        <v>126</v>
      </c>
      <c r="O133" s="331"/>
      <c r="P133" s="331"/>
      <c r="Q133" s="331"/>
      <c r="R133" s="331"/>
      <c r="S133" s="331"/>
      <c r="T133" s="331"/>
      <c r="U133" s="331"/>
      <c r="V133" s="328" t="s">
        <v>126</v>
      </c>
      <c r="W133" s="328" t="s">
        <v>126</v>
      </c>
      <c r="X133" s="328"/>
      <c r="Y133" s="328"/>
      <c r="Z133" s="328"/>
      <c r="AA133" s="328"/>
      <c r="AB133" s="328"/>
      <c r="AC133" s="328"/>
      <c r="AD133" s="328"/>
      <c r="AE133" s="328" t="s">
        <v>126</v>
      </c>
      <c r="AF133" s="328" t="s">
        <v>126</v>
      </c>
      <c r="AG133" s="328"/>
      <c r="AH133" s="328"/>
      <c r="AI133" s="328"/>
      <c r="AJ133" s="328"/>
      <c r="AK133" s="328"/>
      <c r="AL133" s="328"/>
      <c r="AM133" s="328"/>
      <c r="AN133" s="311">
        <v>49</v>
      </c>
      <c r="AO133" s="311">
        <v>10</v>
      </c>
      <c r="AP133" s="331">
        <v>0.09</v>
      </c>
      <c r="AQ133" s="331">
        <v>0.45</v>
      </c>
      <c r="AR133" s="331">
        <v>0.44</v>
      </c>
      <c r="AS133" s="331">
        <v>0.02</v>
      </c>
      <c r="AT133" s="331">
        <v>0.34</v>
      </c>
      <c r="AU133" s="331">
        <v>0.54</v>
      </c>
      <c r="AV133" s="331">
        <v>0.56999999999999995</v>
      </c>
      <c r="AW133" s="312">
        <v>35</v>
      </c>
      <c r="AX133" s="312" t="s">
        <v>760</v>
      </c>
      <c r="AY133" s="312">
        <v>5</v>
      </c>
      <c r="AZ133" s="312" t="s">
        <v>760</v>
      </c>
      <c r="BA133" s="332">
        <v>0.44</v>
      </c>
      <c r="BB133" s="332">
        <v>0.56000000000000005</v>
      </c>
      <c r="BC133" s="332">
        <v>0</v>
      </c>
      <c r="BD133" s="332">
        <v>0</v>
      </c>
      <c r="BE133" s="332">
        <v>0.56999999999999995</v>
      </c>
      <c r="BF133" s="332">
        <v>0.74</v>
      </c>
      <c r="BG133" s="332">
        <v>0.75</v>
      </c>
      <c r="BH133" s="649"/>
      <c r="BI133" s="649"/>
      <c r="BJ133" s="649"/>
      <c r="BK133" s="649"/>
      <c r="BL133" s="650"/>
      <c r="BM133" s="650"/>
      <c r="BN133" s="650"/>
      <c r="BO133" s="649"/>
      <c r="BP133" s="649"/>
      <c r="BQ133" s="649"/>
      <c r="BR133" s="649"/>
      <c r="BS133" s="649"/>
      <c r="BT133" s="649"/>
      <c r="BU133" s="650"/>
      <c r="BV133" s="650"/>
      <c r="BW133" s="650"/>
      <c r="BX133" s="649"/>
      <c r="BY133" s="651"/>
      <c r="BZ133" s="651"/>
      <c r="CA133" s="651"/>
      <c r="CB133" s="651"/>
      <c r="CC133" s="651"/>
      <c r="CD133" s="651"/>
      <c r="CE133" s="651"/>
      <c r="CF133" s="651"/>
      <c r="CG133" s="651"/>
      <c r="CH133" s="651"/>
      <c r="CI133" s="651"/>
      <c r="CJ133" s="464">
        <v>52</v>
      </c>
      <c r="CK133" s="464" t="s">
        <v>758</v>
      </c>
      <c r="CL133" s="464">
        <v>11</v>
      </c>
      <c r="CM133" s="464" t="s">
        <v>758</v>
      </c>
      <c r="CN133" s="476">
        <v>0</v>
      </c>
      <c r="CO133" s="476">
        <v>0.5</v>
      </c>
      <c r="CP133" s="476">
        <v>0.5</v>
      </c>
      <c r="CQ133" s="476">
        <v>0</v>
      </c>
      <c r="CR133" s="476">
        <v>0.44</v>
      </c>
      <c r="CS133" s="476">
        <v>0.56000000000000005</v>
      </c>
      <c r="CT133" s="476">
        <v>0.38</v>
      </c>
      <c r="CU133" s="902">
        <v>47</v>
      </c>
      <c r="CV133" s="902" t="s">
        <v>758</v>
      </c>
      <c r="CW133" s="902">
        <v>11</v>
      </c>
      <c r="CX133" s="902" t="s">
        <v>758</v>
      </c>
      <c r="CY133" s="949">
        <v>0.21</v>
      </c>
      <c r="CZ133" s="949">
        <v>0.38</v>
      </c>
      <c r="DA133" s="949">
        <v>0.41</v>
      </c>
      <c r="DB133" s="949">
        <v>0</v>
      </c>
      <c r="DC133" s="949">
        <v>0.69</v>
      </c>
      <c r="DD133" s="949">
        <v>0.6</v>
      </c>
      <c r="DE133" s="949">
        <v>0.43</v>
      </c>
      <c r="DF133" s="922">
        <v>325754005366</v>
      </c>
      <c r="DG133" s="892" t="e">
        <f>VLOOKUP(DF133,#REF!,3,0)</f>
        <v>#REF!</v>
      </c>
    </row>
    <row r="134" spans="1:111" ht="24.95" customHeight="1" x14ac:dyDescent="0.2">
      <c r="A134" s="803" t="s">
        <v>133</v>
      </c>
      <c r="B134" s="1" t="s">
        <v>123</v>
      </c>
      <c r="C134" s="12">
        <v>4</v>
      </c>
      <c r="D134" s="12"/>
      <c r="E134" s="12"/>
      <c r="F134" s="12"/>
      <c r="G134" s="12"/>
      <c r="H134" s="12"/>
      <c r="I134" s="12"/>
      <c r="J134" s="12"/>
      <c r="K134" s="12"/>
      <c r="L134" s="12"/>
      <c r="M134" s="12" t="s">
        <v>126</v>
      </c>
      <c r="N134" s="12" t="s">
        <v>126</v>
      </c>
      <c r="O134" s="40"/>
      <c r="P134" s="40"/>
      <c r="Q134" s="40"/>
      <c r="R134" s="40"/>
      <c r="S134" s="40"/>
      <c r="T134" s="40"/>
      <c r="U134" s="40"/>
      <c r="V134" s="12">
        <v>54</v>
      </c>
      <c r="W134" s="12">
        <v>1</v>
      </c>
      <c r="X134" s="66">
        <v>0</v>
      </c>
      <c r="Y134" s="66">
        <v>0</v>
      </c>
      <c r="Z134" s="66">
        <v>1</v>
      </c>
      <c r="AA134" s="66">
        <v>0</v>
      </c>
      <c r="AB134" s="66">
        <v>0.42</v>
      </c>
      <c r="AC134" s="66">
        <v>0.36</v>
      </c>
      <c r="AD134" s="66">
        <v>0.62</v>
      </c>
      <c r="AE134" s="12" t="s">
        <v>126</v>
      </c>
      <c r="AF134" s="12" t="s">
        <v>126</v>
      </c>
      <c r="AG134" s="12"/>
      <c r="AH134" s="12"/>
      <c r="AI134" s="12"/>
      <c r="AJ134" s="12"/>
      <c r="AK134" s="12"/>
      <c r="AL134" s="12"/>
      <c r="AM134" s="12"/>
      <c r="AN134" s="41"/>
      <c r="AO134" s="41"/>
      <c r="AP134" s="41"/>
      <c r="AQ134" s="41"/>
      <c r="AR134" s="41"/>
      <c r="AS134" s="41"/>
      <c r="AT134" s="41"/>
      <c r="AU134" s="41"/>
      <c r="AV134" s="41"/>
      <c r="AW134" s="646"/>
      <c r="AX134" s="646"/>
      <c r="AY134" s="646"/>
      <c r="AZ134" s="646"/>
      <c r="BA134" s="646"/>
      <c r="BB134" s="646"/>
      <c r="BC134" s="646"/>
      <c r="BD134" s="646"/>
      <c r="BE134" s="646"/>
      <c r="BF134" s="646"/>
      <c r="BG134" s="646"/>
      <c r="CJ134" s="650"/>
      <c r="CK134" s="650"/>
      <c r="CL134" s="650"/>
      <c r="CM134" s="650"/>
      <c r="CN134" s="650"/>
      <c r="CO134" s="650"/>
      <c r="CP134" s="650"/>
      <c r="CQ134" s="650"/>
      <c r="CR134" s="650"/>
      <c r="CS134" s="650"/>
      <c r="CT134" s="650"/>
      <c r="CY134" s="949"/>
      <c r="CZ134" s="949"/>
      <c r="DA134" s="949"/>
      <c r="DB134" s="949"/>
      <c r="DC134" s="949"/>
      <c r="DD134" s="949"/>
      <c r="DE134" s="949"/>
      <c r="DG134" s="892"/>
    </row>
    <row r="135" spans="1:111" ht="24.95" customHeight="1" x14ac:dyDescent="0.2">
      <c r="A135" s="803" t="s">
        <v>955</v>
      </c>
      <c r="B135" s="1" t="s">
        <v>123</v>
      </c>
      <c r="C135" s="12">
        <v>5</v>
      </c>
      <c r="D135" s="12">
        <v>53</v>
      </c>
      <c r="E135" s="12">
        <v>9</v>
      </c>
      <c r="F135" s="66">
        <v>0.02</v>
      </c>
      <c r="G135" s="66">
        <v>0.4</v>
      </c>
      <c r="H135" s="66">
        <v>0.56000000000000005</v>
      </c>
      <c r="I135" s="66">
        <v>0.02</v>
      </c>
      <c r="J135" s="66">
        <v>0.5</v>
      </c>
      <c r="K135" s="66">
        <v>0.4</v>
      </c>
      <c r="L135" s="66">
        <v>0.53</v>
      </c>
      <c r="M135" s="12">
        <v>54</v>
      </c>
      <c r="N135" s="12">
        <v>8</v>
      </c>
      <c r="O135" s="40">
        <v>0.02</v>
      </c>
      <c r="P135" s="40">
        <v>0.3</v>
      </c>
      <c r="Q135" s="40">
        <v>0.67</v>
      </c>
      <c r="R135" s="40">
        <v>0</v>
      </c>
      <c r="S135" s="40">
        <v>0.43</v>
      </c>
      <c r="T135" s="40">
        <v>0.55000000000000004</v>
      </c>
      <c r="U135" s="40">
        <v>0.32</v>
      </c>
      <c r="V135" s="12">
        <v>53</v>
      </c>
      <c r="W135" s="12">
        <v>9</v>
      </c>
      <c r="X135" s="66">
        <v>0</v>
      </c>
      <c r="Y135" s="66">
        <v>0.45</v>
      </c>
      <c r="Z135" s="66">
        <v>0.52</v>
      </c>
      <c r="AA135" s="66">
        <v>0.02</v>
      </c>
      <c r="AB135" s="66">
        <v>0.48</v>
      </c>
      <c r="AC135" s="66">
        <v>0.37</v>
      </c>
      <c r="AD135" s="66">
        <v>0.52</v>
      </c>
      <c r="AE135" s="12">
        <v>53</v>
      </c>
      <c r="AF135" s="12">
        <v>9</v>
      </c>
      <c r="AG135" s="66">
        <v>0.05</v>
      </c>
      <c r="AH135" s="66">
        <v>0.34</v>
      </c>
      <c r="AI135" s="66">
        <v>0.6</v>
      </c>
      <c r="AJ135" s="66">
        <v>0</v>
      </c>
      <c r="AK135" s="66">
        <v>0.52</v>
      </c>
      <c r="AL135" s="66">
        <v>0.44</v>
      </c>
      <c r="AM135" s="66">
        <v>0.3</v>
      </c>
      <c r="AN135" s="45">
        <v>57</v>
      </c>
      <c r="AO135" s="45">
        <v>11</v>
      </c>
      <c r="AP135" s="46">
        <v>0</v>
      </c>
      <c r="AQ135" s="46">
        <v>0.24</v>
      </c>
      <c r="AR135" s="46">
        <v>0.71</v>
      </c>
      <c r="AS135" s="46">
        <v>0.05</v>
      </c>
      <c r="AT135" s="46">
        <v>0.24</v>
      </c>
      <c r="AU135" s="46">
        <v>0.45</v>
      </c>
      <c r="AV135" s="46">
        <v>0.43</v>
      </c>
      <c r="AW135" s="647">
        <v>50</v>
      </c>
      <c r="AX135" s="647" t="s">
        <v>758</v>
      </c>
      <c r="AY135" s="647">
        <v>11</v>
      </c>
      <c r="AZ135" s="647" t="s">
        <v>758</v>
      </c>
      <c r="BA135" s="648">
        <v>0.12</v>
      </c>
      <c r="BB135" s="648">
        <v>0.38</v>
      </c>
      <c r="BC135" s="648">
        <v>0.5</v>
      </c>
      <c r="BD135" s="648">
        <v>0</v>
      </c>
      <c r="BE135" s="648">
        <v>0.32</v>
      </c>
      <c r="BF135" s="648">
        <v>0.51</v>
      </c>
      <c r="BG135" s="648">
        <v>0.49</v>
      </c>
      <c r="BH135" s="74">
        <v>54</v>
      </c>
      <c r="BI135" s="74" t="s">
        <v>758</v>
      </c>
      <c r="BJ135" s="74">
        <v>10</v>
      </c>
      <c r="BK135" s="74" t="s">
        <v>758</v>
      </c>
      <c r="BL135" s="74"/>
      <c r="BM135" s="74"/>
      <c r="BN135" s="74"/>
      <c r="BO135" s="96">
        <v>0.02</v>
      </c>
      <c r="BP135" s="96">
        <v>0.3</v>
      </c>
      <c r="BQ135" s="96">
        <v>0.64</v>
      </c>
      <c r="BR135" s="96">
        <v>0.03</v>
      </c>
      <c r="BS135" s="96">
        <v>0.5</v>
      </c>
      <c r="BT135" s="96">
        <v>0.56999999999999995</v>
      </c>
      <c r="BU135" s="96"/>
      <c r="BV135" s="96"/>
      <c r="BW135" s="96"/>
      <c r="BX135" s="96">
        <v>0.34</v>
      </c>
      <c r="BY135" s="652">
        <v>55</v>
      </c>
      <c r="BZ135" s="652" t="s">
        <v>758</v>
      </c>
      <c r="CA135" s="652">
        <v>10</v>
      </c>
      <c r="CB135" s="652" t="s">
        <v>758</v>
      </c>
      <c r="CC135" s="653">
        <v>0.06</v>
      </c>
      <c r="CD135" s="653">
        <v>0.24</v>
      </c>
      <c r="CE135" s="653">
        <v>0.67</v>
      </c>
      <c r="CF135" s="653">
        <v>0.04</v>
      </c>
      <c r="CG135" s="653">
        <v>0.56000000000000005</v>
      </c>
      <c r="CH135" s="653">
        <v>0.31</v>
      </c>
      <c r="CI135" s="653">
        <v>0.56999999999999995</v>
      </c>
      <c r="CJ135" s="74">
        <v>53</v>
      </c>
      <c r="CK135" s="74" t="s">
        <v>758</v>
      </c>
      <c r="CL135" s="74">
        <v>11</v>
      </c>
      <c r="CM135" s="74" t="s">
        <v>758</v>
      </c>
      <c r="CN135" s="96">
        <v>0.02</v>
      </c>
      <c r="CO135" s="96">
        <v>0.43</v>
      </c>
      <c r="CP135" s="96">
        <v>0.47</v>
      </c>
      <c r="CQ135" s="96">
        <v>0.08</v>
      </c>
      <c r="CR135" s="96">
        <v>0.6</v>
      </c>
      <c r="CS135" s="96">
        <v>0.49</v>
      </c>
      <c r="CT135" s="96">
        <v>0.39</v>
      </c>
      <c r="CU135" s="902">
        <v>53</v>
      </c>
      <c r="CV135" s="902" t="s">
        <v>758</v>
      </c>
      <c r="CW135" s="902">
        <v>9</v>
      </c>
      <c r="CX135" s="902" t="s">
        <v>758</v>
      </c>
      <c r="CY135" s="949">
        <v>0.01</v>
      </c>
      <c r="CZ135" s="949">
        <v>0.4</v>
      </c>
      <c r="DA135" s="949">
        <v>0.57999999999999996</v>
      </c>
      <c r="DB135" s="949">
        <v>0.01</v>
      </c>
      <c r="DC135" s="949">
        <v>0.65</v>
      </c>
      <c r="DD135" s="949">
        <v>0.49</v>
      </c>
      <c r="DE135" s="949">
        <v>0.42</v>
      </c>
      <c r="DF135" s="922">
        <v>325754005196</v>
      </c>
      <c r="DG135" s="892" t="e">
        <f>VLOOKUP(DF135,#REF!,3,0)</f>
        <v>#REF!</v>
      </c>
    </row>
    <row r="136" spans="1:111" ht="24.95" customHeight="1" x14ac:dyDescent="0.2">
      <c r="A136" s="803" t="s">
        <v>117</v>
      </c>
      <c r="B136" s="1" t="s">
        <v>123</v>
      </c>
      <c r="C136" s="12">
        <v>6</v>
      </c>
      <c r="D136" s="12">
        <v>34</v>
      </c>
      <c r="E136" s="12">
        <v>0</v>
      </c>
      <c r="F136" s="66">
        <v>1</v>
      </c>
      <c r="G136" s="66">
        <v>0</v>
      </c>
      <c r="H136" s="66">
        <v>0</v>
      </c>
      <c r="I136" s="66">
        <v>0</v>
      </c>
      <c r="J136" s="66">
        <v>0.82</v>
      </c>
      <c r="K136" s="66">
        <v>0.67</v>
      </c>
      <c r="L136" s="66">
        <v>0.75</v>
      </c>
      <c r="M136" s="12" t="s">
        <v>128</v>
      </c>
      <c r="N136" s="12" t="s">
        <v>128</v>
      </c>
      <c r="O136" s="40"/>
      <c r="P136" s="40"/>
      <c r="Q136" s="40"/>
      <c r="R136" s="40"/>
      <c r="S136" s="40"/>
      <c r="T136" s="40"/>
      <c r="U136" s="40"/>
      <c r="V136" s="12" t="s">
        <v>126</v>
      </c>
      <c r="W136" s="12" t="s">
        <v>126</v>
      </c>
      <c r="X136" s="12"/>
      <c r="Y136" s="12"/>
      <c r="Z136" s="12"/>
      <c r="AA136" s="12"/>
      <c r="AB136" s="12"/>
      <c r="AC136" s="12"/>
      <c r="AD136" s="12"/>
      <c r="AE136" s="12" t="s">
        <v>126</v>
      </c>
      <c r="AF136" s="12" t="s">
        <v>126</v>
      </c>
      <c r="AG136" s="12"/>
      <c r="AH136" s="12"/>
      <c r="AI136" s="12"/>
      <c r="AJ136" s="12"/>
      <c r="AK136" s="12"/>
      <c r="AL136" s="12"/>
      <c r="AM136" s="12"/>
      <c r="AN136" s="41"/>
      <c r="AO136" s="41"/>
      <c r="AP136" s="41"/>
      <c r="AQ136" s="41"/>
      <c r="AR136" s="41"/>
      <c r="AS136" s="41"/>
      <c r="AT136" s="41"/>
      <c r="AU136" s="41"/>
      <c r="AV136" s="41"/>
      <c r="AW136" s="246">
        <v>47</v>
      </c>
      <c r="AX136" s="246" t="s">
        <v>758</v>
      </c>
      <c r="AY136" s="246">
        <v>0</v>
      </c>
      <c r="AZ136" s="246" t="s">
        <v>760</v>
      </c>
      <c r="BA136" s="263">
        <v>0</v>
      </c>
      <c r="BB136" s="263">
        <v>1</v>
      </c>
      <c r="BC136" s="263">
        <v>0</v>
      </c>
      <c r="BD136" s="263">
        <v>0</v>
      </c>
      <c r="BE136" s="263">
        <v>0.28999999999999998</v>
      </c>
      <c r="BF136" s="263">
        <v>0.63</v>
      </c>
      <c r="BG136" s="263">
        <v>0.55000000000000004</v>
      </c>
      <c r="BH136" s="649"/>
      <c r="BI136" s="649"/>
      <c r="BJ136" s="649"/>
      <c r="BK136" s="649"/>
      <c r="BL136" s="650"/>
      <c r="BM136" s="650"/>
      <c r="BN136" s="650"/>
      <c r="BO136" s="649"/>
      <c r="BP136" s="649"/>
      <c r="BQ136" s="649"/>
      <c r="BR136" s="649"/>
      <c r="BS136" s="649"/>
      <c r="BT136" s="649"/>
      <c r="BU136" s="650"/>
      <c r="BV136" s="650"/>
      <c r="BW136" s="650"/>
      <c r="BX136" s="649"/>
      <c r="BY136" s="651"/>
      <c r="BZ136" s="651"/>
      <c r="CA136" s="651"/>
      <c r="CB136" s="651"/>
      <c r="CC136" s="651"/>
      <c r="CD136" s="651"/>
      <c r="CE136" s="651"/>
      <c r="CF136" s="651"/>
      <c r="CG136" s="651"/>
      <c r="CH136" s="651"/>
      <c r="CI136" s="651"/>
      <c r="CJ136" s="650"/>
      <c r="CK136" s="650"/>
      <c r="CL136" s="650"/>
      <c r="CM136" s="650"/>
      <c r="CN136" s="650"/>
      <c r="CO136" s="650"/>
      <c r="CP136" s="650"/>
      <c r="CQ136" s="650"/>
      <c r="CR136" s="650"/>
      <c r="CS136" s="650"/>
      <c r="CT136" s="650"/>
      <c r="CY136" s="949"/>
      <c r="CZ136" s="949"/>
      <c r="DA136" s="949"/>
      <c r="DB136" s="949"/>
      <c r="DC136" s="949"/>
      <c r="DD136" s="949"/>
      <c r="DE136" s="949"/>
      <c r="DG136" s="892"/>
    </row>
    <row r="137" spans="1:111" ht="24.95" customHeight="1" x14ac:dyDescent="0.2">
      <c r="A137" s="803" t="s">
        <v>69</v>
      </c>
      <c r="B137" s="1" t="s">
        <v>123</v>
      </c>
      <c r="C137" s="12">
        <v>4</v>
      </c>
      <c r="D137" s="12">
        <v>54</v>
      </c>
      <c r="E137" s="12">
        <v>8</v>
      </c>
      <c r="F137" s="66">
        <v>0.06</v>
      </c>
      <c r="G137" s="66">
        <v>0.19</v>
      </c>
      <c r="H137" s="66">
        <v>0.75</v>
      </c>
      <c r="I137" s="66">
        <v>0</v>
      </c>
      <c r="J137" s="66">
        <v>0.48</v>
      </c>
      <c r="K137" s="66">
        <v>0.47</v>
      </c>
      <c r="L137" s="66">
        <v>0.49</v>
      </c>
      <c r="M137" s="12">
        <v>52</v>
      </c>
      <c r="N137" s="12">
        <v>7</v>
      </c>
      <c r="O137" s="40">
        <v>0</v>
      </c>
      <c r="P137" s="40">
        <v>0.4</v>
      </c>
      <c r="Q137" s="40">
        <v>0.6</v>
      </c>
      <c r="R137" s="40">
        <v>0</v>
      </c>
      <c r="S137" s="40">
        <v>0.49</v>
      </c>
      <c r="T137" s="40">
        <v>0.56000000000000005</v>
      </c>
      <c r="U137" s="40">
        <v>0.32</v>
      </c>
      <c r="V137" s="12">
        <v>60</v>
      </c>
      <c r="W137" s="12">
        <v>6</v>
      </c>
      <c r="X137" s="66">
        <v>0</v>
      </c>
      <c r="Y137" s="66">
        <v>0.09</v>
      </c>
      <c r="Z137" s="66">
        <v>0.91</v>
      </c>
      <c r="AA137" s="66">
        <v>0</v>
      </c>
      <c r="AB137" s="66">
        <v>0.31</v>
      </c>
      <c r="AC137" s="66">
        <v>0.28999999999999998</v>
      </c>
      <c r="AD137" s="66">
        <v>0.38</v>
      </c>
      <c r="AE137" s="12">
        <v>54</v>
      </c>
      <c r="AF137" s="12">
        <v>9</v>
      </c>
      <c r="AG137" s="66">
        <v>0</v>
      </c>
      <c r="AH137" s="66">
        <v>0.38</v>
      </c>
      <c r="AI137" s="66">
        <v>0.62</v>
      </c>
      <c r="AJ137" s="66">
        <v>0</v>
      </c>
      <c r="AK137" s="66">
        <v>0.5</v>
      </c>
      <c r="AL137" s="66">
        <v>0.5</v>
      </c>
      <c r="AM137" s="66">
        <v>0.25</v>
      </c>
      <c r="AN137" s="45">
        <v>57</v>
      </c>
      <c r="AO137" s="45">
        <v>10</v>
      </c>
      <c r="AP137" s="46">
        <v>0</v>
      </c>
      <c r="AQ137" s="46">
        <v>0.25</v>
      </c>
      <c r="AR137" s="46">
        <v>0.57999999999999996</v>
      </c>
      <c r="AS137" s="46">
        <v>0.17</v>
      </c>
      <c r="AT137" s="46">
        <v>0.14000000000000001</v>
      </c>
      <c r="AU137" s="46">
        <v>0.5</v>
      </c>
      <c r="AV137" s="46">
        <v>0.42</v>
      </c>
      <c r="AW137" s="246">
        <v>52</v>
      </c>
      <c r="AX137" s="246" t="s">
        <v>758</v>
      </c>
      <c r="AY137" s="246">
        <v>10</v>
      </c>
      <c r="AZ137" s="246" t="s">
        <v>758</v>
      </c>
      <c r="BA137" s="263">
        <v>0.05</v>
      </c>
      <c r="BB137" s="263">
        <v>0.32</v>
      </c>
      <c r="BC137" s="263">
        <v>0.59</v>
      </c>
      <c r="BD137" s="263">
        <v>0.05</v>
      </c>
      <c r="BE137" s="263">
        <v>0.28999999999999998</v>
      </c>
      <c r="BF137" s="263">
        <v>0.48</v>
      </c>
      <c r="BG137" s="263">
        <v>0.49</v>
      </c>
      <c r="BH137" s="74">
        <v>59</v>
      </c>
      <c r="BI137" s="74" t="s">
        <v>758</v>
      </c>
      <c r="BJ137" s="74">
        <v>8</v>
      </c>
      <c r="BK137" s="74" t="s">
        <v>758</v>
      </c>
      <c r="BL137" s="74"/>
      <c r="BM137" s="74"/>
      <c r="BN137" s="74"/>
      <c r="BO137" s="96">
        <v>0</v>
      </c>
      <c r="BP137" s="96">
        <v>0.12</v>
      </c>
      <c r="BQ137" s="96">
        <v>0.82</v>
      </c>
      <c r="BR137" s="96">
        <v>0.06</v>
      </c>
      <c r="BS137" s="96">
        <v>0.33</v>
      </c>
      <c r="BT137" s="96">
        <v>0.36</v>
      </c>
      <c r="BU137" s="96"/>
      <c r="BV137" s="96"/>
      <c r="BW137" s="96"/>
      <c r="BX137" s="96">
        <v>0.22</v>
      </c>
      <c r="BY137" s="652">
        <v>52</v>
      </c>
      <c r="BZ137" s="652" t="s">
        <v>758</v>
      </c>
      <c r="CA137" s="652">
        <v>8</v>
      </c>
      <c r="CB137" s="652" t="s">
        <v>758</v>
      </c>
      <c r="CC137" s="653">
        <v>0</v>
      </c>
      <c r="CD137" s="653">
        <v>0.41</v>
      </c>
      <c r="CE137" s="653">
        <v>0.55000000000000004</v>
      </c>
      <c r="CF137" s="653">
        <v>0.05</v>
      </c>
      <c r="CG137" s="653">
        <v>0.64</v>
      </c>
      <c r="CH137" s="653">
        <v>0.36</v>
      </c>
      <c r="CI137" s="653">
        <v>0.59</v>
      </c>
      <c r="CJ137" s="74">
        <v>59</v>
      </c>
      <c r="CK137" s="74" t="s">
        <v>758</v>
      </c>
      <c r="CL137" s="74">
        <v>9</v>
      </c>
      <c r="CM137" s="74" t="s">
        <v>758</v>
      </c>
      <c r="CN137" s="96">
        <v>0.03</v>
      </c>
      <c r="CO137" s="96">
        <v>0.21</v>
      </c>
      <c r="CP137" s="96">
        <v>0.67</v>
      </c>
      <c r="CQ137" s="96">
        <v>0.09</v>
      </c>
      <c r="CR137" s="96">
        <v>0.43</v>
      </c>
      <c r="CS137" s="96">
        <v>0.45</v>
      </c>
      <c r="CT137" s="96">
        <v>0.36</v>
      </c>
      <c r="CU137" s="902">
        <v>56</v>
      </c>
      <c r="CV137" s="902" t="s">
        <v>758</v>
      </c>
      <c r="CW137" s="902">
        <v>12</v>
      </c>
      <c r="CX137" s="902" t="s">
        <v>758</v>
      </c>
      <c r="CY137" s="949">
        <v>0.03</v>
      </c>
      <c r="CZ137" s="949">
        <v>0.34</v>
      </c>
      <c r="DA137" s="949">
        <v>0.5</v>
      </c>
      <c r="DB137" s="949">
        <v>0.13</v>
      </c>
      <c r="DC137" s="949">
        <v>0.5</v>
      </c>
      <c r="DD137" s="949">
        <v>0.42</v>
      </c>
      <c r="DE137" s="949">
        <v>0.26</v>
      </c>
      <c r="DF137" s="922">
        <v>325754004629</v>
      </c>
      <c r="DG137" s="892" t="e">
        <f>VLOOKUP(DF137,#REF!,3,0)</f>
        <v>#REF!</v>
      </c>
    </row>
    <row r="138" spans="1:111" ht="24.95" customHeight="1" x14ac:dyDescent="0.2">
      <c r="A138" s="803" t="s">
        <v>35</v>
      </c>
      <c r="B138" s="1" t="s">
        <v>123</v>
      </c>
      <c r="C138" s="12">
        <v>6</v>
      </c>
      <c r="D138" s="12">
        <v>53</v>
      </c>
      <c r="E138" s="12">
        <v>9</v>
      </c>
      <c r="F138" s="66">
        <v>0.01</v>
      </c>
      <c r="G138" s="66">
        <v>0.36</v>
      </c>
      <c r="H138" s="66">
        <v>0.61</v>
      </c>
      <c r="I138" s="66">
        <v>0.01</v>
      </c>
      <c r="J138" s="66">
        <v>0.53</v>
      </c>
      <c r="K138" s="66">
        <v>0.47</v>
      </c>
      <c r="L138" s="66">
        <v>0.55000000000000004</v>
      </c>
      <c r="M138" s="12">
        <v>54</v>
      </c>
      <c r="N138" s="12">
        <v>10</v>
      </c>
      <c r="O138" s="40">
        <v>0.03</v>
      </c>
      <c r="P138" s="40">
        <v>0.36</v>
      </c>
      <c r="Q138" s="40">
        <v>0.61</v>
      </c>
      <c r="R138" s="40">
        <v>0.01</v>
      </c>
      <c r="S138" s="40">
        <v>0.43</v>
      </c>
      <c r="T138" s="40">
        <v>0.53</v>
      </c>
      <c r="U138" s="40">
        <v>0.31</v>
      </c>
      <c r="V138" s="12">
        <v>54</v>
      </c>
      <c r="W138" s="12">
        <v>8</v>
      </c>
      <c r="X138" s="66">
        <v>0.02</v>
      </c>
      <c r="Y138" s="66">
        <v>0.28999999999999998</v>
      </c>
      <c r="Z138" s="66">
        <v>0.67</v>
      </c>
      <c r="AA138" s="66">
        <v>0.02</v>
      </c>
      <c r="AB138" s="66">
        <v>0.5</v>
      </c>
      <c r="AC138" s="66">
        <v>0.35</v>
      </c>
      <c r="AD138" s="66">
        <v>0.44</v>
      </c>
      <c r="AE138" s="12">
        <v>55</v>
      </c>
      <c r="AF138" s="12">
        <v>10</v>
      </c>
      <c r="AG138" s="66">
        <v>0.02</v>
      </c>
      <c r="AH138" s="66">
        <v>0.38</v>
      </c>
      <c r="AI138" s="66">
        <v>0.57999999999999996</v>
      </c>
      <c r="AJ138" s="66">
        <v>0.03</v>
      </c>
      <c r="AK138" s="66">
        <v>0.49</v>
      </c>
      <c r="AL138" s="66">
        <v>0.46</v>
      </c>
      <c r="AM138" s="66">
        <v>0.25</v>
      </c>
      <c r="AN138" s="35">
        <v>56</v>
      </c>
      <c r="AO138" s="35">
        <v>10</v>
      </c>
      <c r="AP138" s="40">
        <v>0.04</v>
      </c>
      <c r="AQ138" s="40">
        <v>0.23</v>
      </c>
      <c r="AR138" s="40">
        <v>0.7</v>
      </c>
      <c r="AS138" s="40">
        <v>0.03</v>
      </c>
      <c r="AT138" s="40">
        <v>0.25</v>
      </c>
      <c r="AU138" s="40">
        <v>0.43</v>
      </c>
      <c r="AV138" s="40">
        <v>0.44</v>
      </c>
      <c r="AW138" s="246">
        <v>53</v>
      </c>
      <c r="AX138" s="246" t="s">
        <v>758</v>
      </c>
      <c r="AY138" s="246">
        <v>8</v>
      </c>
      <c r="AZ138" s="246" t="s">
        <v>758</v>
      </c>
      <c r="BA138" s="263">
        <v>0</v>
      </c>
      <c r="BB138" s="263">
        <v>0.35</v>
      </c>
      <c r="BC138" s="263">
        <v>0.65</v>
      </c>
      <c r="BD138" s="263">
        <v>0</v>
      </c>
      <c r="BE138" s="263">
        <v>0.24</v>
      </c>
      <c r="BF138" s="263">
        <v>0.49</v>
      </c>
      <c r="BG138" s="263">
        <v>0.48</v>
      </c>
      <c r="BH138" s="309">
        <v>57</v>
      </c>
      <c r="BI138" s="309" t="s">
        <v>758</v>
      </c>
      <c r="BJ138" s="309">
        <v>8</v>
      </c>
      <c r="BK138" s="309" t="s">
        <v>758</v>
      </c>
      <c r="BL138" s="464"/>
      <c r="BM138" s="464"/>
      <c r="BN138" s="464"/>
      <c r="BO138" s="327">
        <v>0</v>
      </c>
      <c r="BP138" s="327">
        <v>0.2</v>
      </c>
      <c r="BQ138" s="327">
        <v>0.76</v>
      </c>
      <c r="BR138" s="327">
        <v>0.05</v>
      </c>
      <c r="BS138" s="327">
        <v>0.41</v>
      </c>
      <c r="BT138" s="327">
        <v>0.51</v>
      </c>
      <c r="BU138" s="476"/>
      <c r="BV138" s="476"/>
      <c r="BW138" s="476"/>
      <c r="BX138" s="327">
        <v>0.3</v>
      </c>
      <c r="BY138" s="424">
        <v>56</v>
      </c>
      <c r="BZ138" s="424" t="s">
        <v>758</v>
      </c>
      <c r="CA138" s="424">
        <v>9</v>
      </c>
      <c r="CB138" s="424" t="s">
        <v>758</v>
      </c>
      <c r="CC138" s="428">
        <v>0</v>
      </c>
      <c r="CD138" s="428">
        <v>0.27</v>
      </c>
      <c r="CE138" s="428">
        <v>0.68</v>
      </c>
      <c r="CF138" s="428">
        <v>0.05</v>
      </c>
      <c r="CG138" s="428">
        <v>0.6</v>
      </c>
      <c r="CH138" s="428">
        <v>0.33</v>
      </c>
      <c r="CI138" s="428">
        <v>0.53</v>
      </c>
      <c r="CJ138" s="464">
        <v>58</v>
      </c>
      <c r="CK138" s="464" t="s">
        <v>758</v>
      </c>
      <c r="CL138" s="464">
        <v>9</v>
      </c>
      <c r="CM138" s="464" t="s">
        <v>758</v>
      </c>
      <c r="CN138" s="476">
        <v>0.03</v>
      </c>
      <c r="CO138" s="476">
        <v>0.05</v>
      </c>
      <c r="CP138" s="476">
        <v>0.83</v>
      </c>
      <c r="CQ138" s="476">
        <v>0.09</v>
      </c>
      <c r="CR138" s="476">
        <v>0.42</v>
      </c>
      <c r="CS138" s="476">
        <v>0.45</v>
      </c>
      <c r="CT138" s="476">
        <v>0.34</v>
      </c>
      <c r="CU138" s="902">
        <v>60</v>
      </c>
      <c r="CV138" s="902" t="s">
        <v>758</v>
      </c>
      <c r="CW138" s="902">
        <v>9</v>
      </c>
      <c r="CX138" s="902" t="s">
        <v>758</v>
      </c>
      <c r="CY138" s="949">
        <v>0</v>
      </c>
      <c r="CZ138" s="949">
        <v>0.14000000000000001</v>
      </c>
      <c r="DA138" s="949">
        <v>0.75</v>
      </c>
      <c r="DB138" s="949">
        <v>0.12</v>
      </c>
      <c r="DC138" s="949">
        <v>0.5</v>
      </c>
      <c r="DD138" s="949">
        <v>0.33</v>
      </c>
      <c r="DE138" s="949">
        <v>0.33</v>
      </c>
      <c r="DF138" s="922">
        <v>325754003592</v>
      </c>
      <c r="DG138" s="892" t="e">
        <f>VLOOKUP(DF138,#REF!,3,0)</f>
        <v>#REF!</v>
      </c>
    </row>
    <row r="139" spans="1:111" ht="24.95" customHeight="1" x14ac:dyDescent="0.2">
      <c r="A139" s="803" t="s">
        <v>29</v>
      </c>
      <c r="B139" s="1" t="s">
        <v>123</v>
      </c>
      <c r="C139" s="12">
        <v>2</v>
      </c>
      <c r="D139" s="12">
        <v>52</v>
      </c>
      <c r="E139" s="12">
        <v>8</v>
      </c>
      <c r="F139" s="66">
        <v>0</v>
      </c>
      <c r="G139" s="66">
        <v>0.46</v>
      </c>
      <c r="H139" s="66">
        <v>0.54</v>
      </c>
      <c r="I139" s="66">
        <v>0</v>
      </c>
      <c r="J139" s="66">
        <v>0.55000000000000004</v>
      </c>
      <c r="K139" s="66">
        <v>0.44</v>
      </c>
      <c r="L139" s="66">
        <v>0.51</v>
      </c>
      <c r="M139" s="12">
        <v>51</v>
      </c>
      <c r="N139" s="12">
        <v>10</v>
      </c>
      <c r="O139" s="40">
        <v>0.06</v>
      </c>
      <c r="P139" s="40">
        <v>0.36</v>
      </c>
      <c r="Q139" s="40">
        <v>0.53</v>
      </c>
      <c r="R139" s="40">
        <v>0.05</v>
      </c>
      <c r="S139" s="40">
        <v>0.46</v>
      </c>
      <c r="T139" s="40">
        <v>0.56999999999999995</v>
      </c>
      <c r="U139" s="40">
        <v>0.39</v>
      </c>
      <c r="V139" s="12">
        <v>50</v>
      </c>
      <c r="W139" s="12">
        <v>8</v>
      </c>
      <c r="X139" s="66">
        <v>0.05</v>
      </c>
      <c r="Y139" s="66">
        <v>0.43</v>
      </c>
      <c r="Z139" s="66">
        <v>0.52</v>
      </c>
      <c r="AA139" s="66">
        <v>0</v>
      </c>
      <c r="AB139" s="66">
        <v>0.51</v>
      </c>
      <c r="AC139" s="66">
        <v>0.37</v>
      </c>
      <c r="AD139" s="66">
        <v>0.56000000000000005</v>
      </c>
      <c r="AE139" s="12">
        <v>54</v>
      </c>
      <c r="AF139" s="12">
        <v>10</v>
      </c>
      <c r="AG139" s="66">
        <v>0.04</v>
      </c>
      <c r="AH139" s="66">
        <v>0.3</v>
      </c>
      <c r="AI139" s="66">
        <v>0.63</v>
      </c>
      <c r="AJ139" s="66">
        <v>0.03</v>
      </c>
      <c r="AK139" s="66">
        <v>0.51</v>
      </c>
      <c r="AL139" s="66">
        <v>0.48</v>
      </c>
      <c r="AM139" s="66">
        <v>0.26</v>
      </c>
      <c r="AN139" s="35">
        <v>53</v>
      </c>
      <c r="AO139" s="35">
        <v>10</v>
      </c>
      <c r="AP139" s="40">
        <v>0.04</v>
      </c>
      <c r="AQ139" s="40">
        <v>0.33</v>
      </c>
      <c r="AR139" s="40">
        <v>0.61</v>
      </c>
      <c r="AS139" s="40">
        <v>0.02</v>
      </c>
      <c r="AT139" s="40">
        <v>0.28000000000000003</v>
      </c>
      <c r="AU139" s="40">
        <v>0.49</v>
      </c>
      <c r="AV139" s="40">
        <v>0.5</v>
      </c>
      <c r="AW139" s="246">
        <v>50</v>
      </c>
      <c r="AX139" s="246" t="s">
        <v>758</v>
      </c>
      <c r="AY139" s="246">
        <v>10</v>
      </c>
      <c r="AZ139" s="246" t="s">
        <v>758</v>
      </c>
      <c r="BA139" s="263">
        <v>0.06</v>
      </c>
      <c r="BB139" s="263">
        <v>0.41</v>
      </c>
      <c r="BC139" s="263">
        <v>0.51</v>
      </c>
      <c r="BD139" s="263">
        <v>0.02</v>
      </c>
      <c r="BE139" s="263">
        <v>0.3</v>
      </c>
      <c r="BF139" s="263">
        <v>0.53</v>
      </c>
      <c r="BG139" s="263">
        <v>0.48</v>
      </c>
      <c r="BH139" s="309">
        <v>50</v>
      </c>
      <c r="BI139" s="309" t="s">
        <v>758</v>
      </c>
      <c r="BJ139" s="309">
        <v>9</v>
      </c>
      <c r="BK139" s="309" t="s">
        <v>758</v>
      </c>
      <c r="BL139" s="464"/>
      <c r="BM139" s="464"/>
      <c r="BN139" s="464"/>
      <c r="BO139" s="327">
        <v>0.04</v>
      </c>
      <c r="BP139" s="327">
        <v>0.4</v>
      </c>
      <c r="BQ139" s="327">
        <v>0.54</v>
      </c>
      <c r="BR139" s="327">
        <v>0.01</v>
      </c>
      <c r="BS139" s="327">
        <v>0.53</v>
      </c>
      <c r="BT139" s="327">
        <v>0.64</v>
      </c>
      <c r="BU139" s="476"/>
      <c r="BV139" s="476"/>
      <c r="BW139" s="476"/>
      <c r="BX139" s="327">
        <v>0.42</v>
      </c>
      <c r="BY139" s="424">
        <v>54</v>
      </c>
      <c r="BZ139" s="424" t="s">
        <v>758</v>
      </c>
      <c r="CA139" s="424">
        <v>9</v>
      </c>
      <c r="CB139" s="424" t="s">
        <v>758</v>
      </c>
      <c r="CC139" s="428">
        <v>0</v>
      </c>
      <c r="CD139" s="428">
        <v>0.34</v>
      </c>
      <c r="CE139" s="428">
        <v>0.66</v>
      </c>
      <c r="CF139" s="428">
        <v>0</v>
      </c>
      <c r="CG139" s="428">
        <v>0.63</v>
      </c>
      <c r="CH139" s="428">
        <v>0.37</v>
      </c>
      <c r="CI139" s="428">
        <v>0.59</v>
      </c>
      <c r="CJ139" s="464">
        <v>55</v>
      </c>
      <c r="CK139" s="464" t="s">
        <v>758</v>
      </c>
      <c r="CL139" s="464">
        <v>11</v>
      </c>
      <c r="CM139" s="464" t="s">
        <v>758</v>
      </c>
      <c r="CN139" s="476">
        <v>0.03</v>
      </c>
      <c r="CO139" s="476">
        <v>0.21</v>
      </c>
      <c r="CP139" s="476">
        <v>0.68</v>
      </c>
      <c r="CQ139" s="476">
        <v>0.09</v>
      </c>
      <c r="CR139" s="476">
        <v>0.49</v>
      </c>
      <c r="CS139" s="476">
        <v>0.47</v>
      </c>
      <c r="CT139" s="476">
        <v>0.43</v>
      </c>
      <c r="CU139" s="902">
        <v>56</v>
      </c>
      <c r="CV139" s="902" t="s">
        <v>758</v>
      </c>
      <c r="CW139" s="902">
        <v>10</v>
      </c>
      <c r="CX139" s="902" t="s">
        <v>758</v>
      </c>
      <c r="CY139" s="949">
        <v>0.02</v>
      </c>
      <c r="CZ139" s="949">
        <v>0.2</v>
      </c>
      <c r="DA139" s="949">
        <v>0.72</v>
      </c>
      <c r="DB139" s="949">
        <v>7.0000000000000007E-2</v>
      </c>
      <c r="DC139" s="949">
        <v>0.55000000000000004</v>
      </c>
      <c r="DD139" s="949">
        <v>0.41</v>
      </c>
      <c r="DE139" s="949">
        <v>0.26</v>
      </c>
      <c r="DF139" s="922">
        <v>325754003606</v>
      </c>
      <c r="DG139" s="892" t="e">
        <f>VLOOKUP(DF139,#REF!,3,0)</f>
        <v>#REF!</v>
      </c>
    </row>
    <row r="140" spans="1:111" ht="24.95" customHeight="1" x14ac:dyDescent="0.2">
      <c r="A140" s="803" t="s">
        <v>129</v>
      </c>
      <c r="B140" s="1" t="s">
        <v>123</v>
      </c>
      <c r="C140" s="12">
        <v>2</v>
      </c>
      <c r="D140" s="12"/>
      <c r="E140" s="12"/>
      <c r="F140" s="12"/>
      <c r="G140" s="12"/>
      <c r="H140" s="12"/>
      <c r="I140" s="12"/>
      <c r="J140" s="12"/>
      <c r="K140" s="12"/>
      <c r="L140" s="12"/>
      <c r="M140" s="12">
        <v>43</v>
      </c>
      <c r="N140" s="12">
        <v>12</v>
      </c>
      <c r="O140" s="40">
        <v>0.22</v>
      </c>
      <c r="P140" s="40">
        <v>0.44</v>
      </c>
      <c r="Q140" s="40">
        <v>0.33</v>
      </c>
      <c r="R140" s="40">
        <v>0</v>
      </c>
      <c r="S140" s="40">
        <v>0.61</v>
      </c>
      <c r="T140" s="40">
        <v>0.66</v>
      </c>
      <c r="U140" s="40">
        <v>0.5</v>
      </c>
      <c r="V140" s="12" t="s">
        <v>126</v>
      </c>
      <c r="W140" s="12" t="s">
        <v>126</v>
      </c>
      <c r="X140" s="12"/>
      <c r="Y140" s="12"/>
      <c r="Z140" s="12"/>
      <c r="AA140" s="12"/>
      <c r="AB140" s="12"/>
      <c r="AC140" s="12"/>
      <c r="AD140" s="12"/>
      <c r="AE140" s="12" t="s">
        <v>126</v>
      </c>
      <c r="AF140" s="12" t="s">
        <v>126</v>
      </c>
      <c r="AG140" s="12"/>
      <c r="AH140" s="12"/>
      <c r="AI140" s="12"/>
      <c r="AJ140" s="12"/>
      <c r="AK140" s="12"/>
      <c r="AL140" s="12"/>
      <c r="AM140" s="12"/>
      <c r="AN140" s="41"/>
      <c r="AO140" s="41"/>
      <c r="AP140" s="41"/>
      <c r="AQ140" s="41"/>
      <c r="AR140" s="41"/>
      <c r="AS140" s="41"/>
      <c r="AT140" s="41"/>
      <c r="AU140" s="41"/>
      <c r="AV140" s="41"/>
      <c r="AW140" s="646"/>
      <c r="AX140" s="646"/>
      <c r="AY140" s="646"/>
      <c r="AZ140" s="646"/>
      <c r="BA140" s="646"/>
      <c r="BB140" s="646"/>
      <c r="BC140" s="646"/>
      <c r="BD140" s="646"/>
      <c r="BE140" s="646"/>
      <c r="BF140" s="646"/>
      <c r="BG140" s="646"/>
      <c r="BH140" s="309">
        <v>57</v>
      </c>
      <c r="BI140" s="309" t="s">
        <v>758</v>
      </c>
      <c r="BJ140" s="309">
        <v>0</v>
      </c>
      <c r="BK140" s="309" t="s">
        <v>760</v>
      </c>
      <c r="BL140" s="464"/>
      <c r="BM140" s="464"/>
      <c r="BN140" s="464"/>
      <c r="BO140" s="327">
        <v>0</v>
      </c>
      <c r="BP140" s="327">
        <v>0</v>
      </c>
      <c r="BQ140" s="327">
        <v>1</v>
      </c>
      <c r="BR140" s="327">
        <v>0</v>
      </c>
      <c r="BS140" s="327">
        <v>0.38</v>
      </c>
      <c r="BT140" s="327">
        <v>0.8</v>
      </c>
      <c r="BU140" s="476"/>
      <c r="BV140" s="476"/>
      <c r="BW140" s="476"/>
      <c r="BX140" s="327">
        <v>0.25</v>
      </c>
      <c r="BY140" s="424">
        <v>39</v>
      </c>
      <c r="BZ140" s="424" t="s">
        <v>760</v>
      </c>
      <c r="CA140" s="424">
        <v>11</v>
      </c>
      <c r="CB140" s="424" t="s">
        <v>758</v>
      </c>
      <c r="CC140" s="428">
        <v>0.46</v>
      </c>
      <c r="CD140" s="428">
        <v>0.38</v>
      </c>
      <c r="CE140" s="428">
        <v>0.15</v>
      </c>
      <c r="CF140" s="428">
        <v>0</v>
      </c>
      <c r="CG140" s="428">
        <v>0.76</v>
      </c>
      <c r="CH140" s="428">
        <v>0.62</v>
      </c>
      <c r="CI140" s="428">
        <v>0.75</v>
      </c>
      <c r="CJ140" s="641"/>
      <c r="CK140" s="641"/>
      <c r="CL140" s="641"/>
      <c r="CM140" s="641"/>
      <c r="CN140" s="642"/>
      <c r="CO140" s="642"/>
      <c r="CP140" s="642"/>
      <c r="CQ140" s="642"/>
      <c r="CR140" s="642"/>
      <c r="CS140" s="642"/>
      <c r="CT140" s="642"/>
      <c r="CY140" s="949"/>
      <c r="CZ140" s="949"/>
      <c r="DA140" s="949"/>
      <c r="DB140" s="949"/>
      <c r="DC140" s="949"/>
      <c r="DD140" s="949"/>
      <c r="DE140" s="949"/>
      <c r="DG140" s="892"/>
    </row>
    <row r="141" spans="1:111" ht="24.95" customHeight="1" x14ac:dyDescent="0.2">
      <c r="A141" s="803" t="s">
        <v>806</v>
      </c>
      <c r="B141" s="1" t="s">
        <v>123</v>
      </c>
      <c r="C141" s="12">
        <v>4</v>
      </c>
      <c r="D141" s="12"/>
      <c r="E141" s="12"/>
      <c r="F141" s="12"/>
      <c r="G141" s="12"/>
      <c r="H141" s="12"/>
      <c r="I141" s="12"/>
      <c r="J141" s="12"/>
      <c r="K141" s="12"/>
      <c r="L141" s="12"/>
      <c r="M141" s="12"/>
      <c r="N141" s="12"/>
      <c r="O141" s="40"/>
      <c r="P141" s="40"/>
      <c r="Q141" s="40"/>
      <c r="R141" s="40"/>
      <c r="S141" s="40"/>
      <c r="T141" s="40"/>
      <c r="U141" s="40"/>
      <c r="V141" s="12"/>
      <c r="W141" s="12"/>
      <c r="X141" s="12"/>
      <c r="Y141" s="12"/>
      <c r="Z141" s="12"/>
      <c r="AA141" s="12"/>
      <c r="AB141" s="12"/>
      <c r="AC141" s="12"/>
      <c r="AD141" s="12"/>
      <c r="AE141" s="12"/>
      <c r="AF141" s="12"/>
      <c r="AG141" s="12"/>
      <c r="AH141" s="12"/>
      <c r="AI141" s="12"/>
      <c r="AJ141" s="12"/>
      <c r="AK141" s="12"/>
      <c r="AL141" s="12"/>
      <c r="AM141" s="12"/>
      <c r="BH141" s="309">
        <v>46</v>
      </c>
      <c r="BI141" s="309" t="s">
        <v>758</v>
      </c>
      <c r="BJ141" s="309">
        <v>10</v>
      </c>
      <c r="BK141" s="309" t="s">
        <v>758</v>
      </c>
      <c r="BL141" s="464"/>
      <c r="BM141" s="464"/>
      <c r="BN141" s="464"/>
      <c r="BO141" s="327">
        <v>7.0000000000000007E-2</v>
      </c>
      <c r="BP141" s="327">
        <v>0.6</v>
      </c>
      <c r="BQ141" s="327">
        <v>0.33</v>
      </c>
      <c r="BR141" s="327">
        <v>0</v>
      </c>
      <c r="BS141" s="327">
        <v>0.7</v>
      </c>
      <c r="BT141" s="327">
        <v>0.73</v>
      </c>
      <c r="BU141" s="476"/>
      <c r="BV141" s="476"/>
      <c r="BW141" s="476"/>
      <c r="BX141" s="327">
        <v>0.53</v>
      </c>
      <c r="BY141" s="424">
        <v>42</v>
      </c>
      <c r="BZ141" s="424" t="s">
        <v>760</v>
      </c>
      <c r="CA141" s="424">
        <v>8</v>
      </c>
      <c r="CB141" s="424" t="s">
        <v>758</v>
      </c>
      <c r="CC141" s="428">
        <v>0.15</v>
      </c>
      <c r="CD141" s="428">
        <v>0.62</v>
      </c>
      <c r="CE141" s="428">
        <v>0.23</v>
      </c>
      <c r="CF141" s="428">
        <v>0</v>
      </c>
      <c r="CG141" s="428">
        <v>0.73</v>
      </c>
      <c r="CH141" s="428">
        <v>0.6</v>
      </c>
      <c r="CI141" s="428">
        <v>0.72</v>
      </c>
      <c r="CJ141" s="424"/>
      <c r="CK141" s="424"/>
      <c r="CL141" s="424"/>
      <c r="CM141" s="424"/>
      <c r="CN141" s="428"/>
      <c r="CO141" s="428"/>
      <c r="CP141" s="428"/>
      <c r="CQ141" s="428"/>
      <c r="CR141" s="428"/>
      <c r="CS141" s="428"/>
      <c r="CT141" s="428"/>
      <c r="CY141" s="949"/>
      <c r="CZ141" s="949"/>
      <c r="DA141" s="949"/>
      <c r="DB141" s="949"/>
      <c r="DC141" s="949"/>
      <c r="DD141" s="949"/>
      <c r="DE141" s="949"/>
      <c r="DG141" s="892"/>
    </row>
    <row r="142" spans="1:111" ht="24.95" customHeight="1" x14ac:dyDescent="0.2">
      <c r="A142" s="804" t="s">
        <v>87</v>
      </c>
      <c r="B142" s="1" t="s">
        <v>123</v>
      </c>
      <c r="C142" s="328">
        <v>5</v>
      </c>
      <c r="D142" s="328">
        <v>53</v>
      </c>
      <c r="E142" s="328">
        <v>5</v>
      </c>
      <c r="F142" s="333">
        <v>0</v>
      </c>
      <c r="G142" s="333">
        <v>0.33</v>
      </c>
      <c r="H142" s="333">
        <v>0.67</v>
      </c>
      <c r="I142" s="333">
        <v>0</v>
      </c>
      <c r="J142" s="333">
        <v>0.45</v>
      </c>
      <c r="K142" s="333">
        <v>0.71</v>
      </c>
      <c r="L142" s="333">
        <v>0.5</v>
      </c>
      <c r="M142" s="328">
        <v>51</v>
      </c>
      <c r="N142" s="328">
        <v>13</v>
      </c>
      <c r="O142" s="331">
        <v>0.08</v>
      </c>
      <c r="P142" s="331">
        <v>0.25</v>
      </c>
      <c r="Q142" s="331">
        <v>0.57999999999999996</v>
      </c>
      <c r="R142" s="331">
        <v>0.08</v>
      </c>
      <c r="S142" s="331">
        <v>0.46</v>
      </c>
      <c r="T142" s="331">
        <v>0.56000000000000005</v>
      </c>
      <c r="U142" s="331">
        <v>0.41</v>
      </c>
      <c r="V142" s="328">
        <v>52</v>
      </c>
      <c r="W142" s="328">
        <v>4</v>
      </c>
      <c r="X142" s="333">
        <v>0</v>
      </c>
      <c r="Y142" s="333">
        <v>0.5</v>
      </c>
      <c r="Z142" s="333">
        <v>0.5</v>
      </c>
      <c r="AA142" s="333">
        <v>0</v>
      </c>
      <c r="AB142" s="333">
        <v>0.45</v>
      </c>
      <c r="AC142" s="333">
        <v>0.36</v>
      </c>
      <c r="AD142" s="333">
        <v>0.62</v>
      </c>
      <c r="AE142" s="328">
        <v>51</v>
      </c>
      <c r="AF142" s="328">
        <v>11</v>
      </c>
      <c r="AG142" s="333">
        <v>0</v>
      </c>
      <c r="AH142" s="333">
        <v>0.4</v>
      </c>
      <c r="AI142" s="333">
        <v>0.6</v>
      </c>
      <c r="AJ142" s="333">
        <v>0</v>
      </c>
      <c r="AK142" s="333">
        <v>0.54</v>
      </c>
      <c r="AL142" s="333">
        <v>0.44</v>
      </c>
      <c r="AM142" s="333">
        <v>0.3</v>
      </c>
      <c r="AN142" s="45">
        <v>54</v>
      </c>
      <c r="AO142" s="45">
        <v>11</v>
      </c>
      <c r="AP142" s="46">
        <v>0</v>
      </c>
      <c r="AQ142" s="46">
        <v>0.33</v>
      </c>
      <c r="AR142" s="46">
        <v>0.67</v>
      </c>
      <c r="AS142" s="46">
        <v>0</v>
      </c>
      <c r="AT142" s="46">
        <v>0.23</v>
      </c>
      <c r="AU142" s="46">
        <v>0.47</v>
      </c>
      <c r="AV142" s="46">
        <v>0.39</v>
      </c>
      <c r="AW142" s="647">
        <v>54</v>
      </c>
      <c r="AX142" s="647" t="s">
        <v>758</v>
      </c>
      <c r="AY142" s="647">
        <v>6</v>
      </c>
      <c r="AZ142" s="647" t="s">
        <v>760</v>
      </c>
      <c r="BA142" s="648">
        <v>0</v>
      </c>
      <c r="BB142" s="648">
        <v>0.33</v>
      </c>
      <c r="BC142" s="648">
        <v>0.67</v>
      </c>
      <c r="BD142" s="648">
        <v>0</v>
      </c>
      <c r="BE142" s="648">
        <v>0.17</v>
      </c>
      <c r="BF142" s="648">
        <v>0.57999999999999996</v>
      </c>
      <c r="BG142" s="648">
        <v>0.33</v>
      </c>
      <c r="BH142" s="309">
        <v>55</v>
      </c>
      <c r="BI142" s="309" t="s">
        <v>758</v>
      </c>
      <c r="BJ142" s="309">
        <v>6</v>
      </c>
      <c r="BK142" s="309" t="s">
        <v>760</v>
      </c>
      <c r="BL142" s="464"/>
      <c r="BM142" s="464"/>
      <c r="BN142" s="464"/>
      <c r="BO142" s="327">
        <v>0</v>
      </c>
      <c r="BP142" s="327">
        <v>0.25</v>
      </c>
      <c r="BQ142" s="327">
        <v>0.75</v>
      </c>
      <c r="BR142" s="327">
        <v>0</v>
      </c>
      <c r="BS142" s="327">
        <v>0.47</v>
      </c>
      <c r="BT142" s="327">
        <v>0.47</v>
      </c>
      <c r="BU142" s="476"/>
      <c r="BV142" s="476"/>
      <c r="BW142" s="476"/>
      <c r="BX142" s="327">
        <v>0.38</v>
      </c>
      <c r="BY142" s="424">
        <v>52</v>
      </c>
      <c r="BZ142" s="424" t="s">
        <v>758</v>
      </c>
      <c r="CA142" s="424">
        <v>5</v>
      </c>
      <c r="CB142" s="424" t="s">
        <v>760</v>
      </c>
      <c r="CC142" s="428">
        <v>0</v>
      </c>
      <c r="CD142" s="428">
        <v>0.5</v>
      </c>
      <c r="CE142" s="428">
        <v>0.5</v>
      </c>
      <c r="CF142" s="428">
        <v>0</v>
      </c>
      <c r="CG142" s="428">
        <v>0.82</v>
      </c>
      <c r="CH142" s="428">
        <v>0.13</v>
      </c>
      <c r="CI142" s="428">
        <v>0.78</v>
      </c>
      <c r="CJ142" s="654">
        <v>56</v>
      </c>
      <c r="CK142" s="654" t="s">
        <v>758</v>
      </c>
      <c r="CL142" s="654">
        <v>11</v>
      </c>
      <c r="CM142" s="654" t="s">
        <v>758</v>
      </c>
      <c r="CN142" s="655">
        <v>0</v>
      </c>
      <c r="CO142" s="655">
        <v>0.28999999999999998</v>
      </c>
      <c r="CP142" s="655">
        <v>0.71</v>
      </c>
      <c r="CQ142" s="655">
        <v>0</v>
      </c>
      <c r="CR142" s="655">
        <v>0.45</v>
      </c>
      <c r="CS142" s="655">
        <v>0.5</v>
      </c>
      <c r="CT142" s="655">
        <v>0.5</v>
      </c>
      <c r="CU142" s="902">
        <v>53</v>
      </c>
      <c r="CV142" s="902" t="s">
        <v>758</v>
      </c>
      <c r="CW142" s="902">
        <v>9</v>
      </c>
      <c r="CX142" s="902" t="s">
        <v>758</v>
      </c>
      <c r="CY142" s="949">
        <v>0.1</v>
      </c>
      <c r="CZ142" s="949">
        <v>0.2</v>
      </c>
      <c r="DA142" s="949">
        <v>0.7</v>
      </c>
      <c r="DB142" s="949">
        <v>0</v>
      </c>
      <c r="DC142" s="949">
        <v>0.56999999999999995</v>
      </c>
      <c r="DD142" s="949">
        <v>0.4</v>
      </c>
      <c r="DE142" s="949">
        <v>0.4</v>
      </c>
      <c r="DF142" s="922">
        <v>325754004173</v>
      </c>
      <c r="DG142" s="892" t="e">
        <f>VLOOKUP(DF142,#REF!,3,0)</f>
        <v>#REF!</v>
      </c>
    </row>
    <row r="143" spans="1:111" ht="24.95" customHeight="1" x14ac:dyDescent="0.2">
      <c r="A143" s="803" t="s">
        <v>135</v>
      </c>
      <c r="B143" s="1" t="s">
        <v>123</v>
      </c>
      <c r="C143" s="12">
        <v>2</v>
      </c>
      <c r="D143" s="12"/>
      <c r="E143" s="12"/>
      <c r="F143" s="12"/>
      <c r="G143" s="12"/>
      <c r="H143" s="12"/>
      <c r="I143" s="12"/>
      <c r="J143" s="12"/>
      <c r="K143" s="12"/>
      <c r="L143" s="12"/>
      <c r="M143" s="12" t="s">
        <v>126</v>
      </c>
      <c r="N143" s="12" t="s">
        <v>126</v>
      </c>
      <c r="O143" s="40"/>
      <c r="P143" s="40"/>
      <c r="Q143" s="40"/>
      <c r="R143" s="40"/>
      <c r="S143" s="40"/>
      <c r="T143" s="40"/>
      <c r="U143" s="40"/>
      <c r="V143" s="12" t="s">
        <v>126</v>
      </c>
      <c r="W143" s="12" t="s">
        <v>126</v>
      </c>
      <c r="X143" s="12"/>
      <c r="Y143" s="12"/>
      <c r="Z143" s="12"/>
      <c r="AA143" s="12"/>
      <c r="AB143" s="12"/>
      <c r="AC143" s="12"/>
      <c r="AD143" s="12"/>
      <c r="AE143" s="12">
        <v>53</v>
      </c>
      <c r="AF143" s="12">
        <v>10</v>
      </c>
      <c r="AG143" s="66">
        <v>0</v>
      </c>
      <c r="AH143" s="66">
        <v>0.33</v>
      </c>
      <c r="AI143" s="66">
        <v>0.67</v>
      </c>
      <c r="AJ143" s="66">
        <v>0</v>
      </c>
      <c r="AK143" s="66">
        <v>0.53</v>
      </c>
      <c r="AL143" s="66">
        <v>0.45</v>
      </c>
      <c r="AM143" s="66">
        <v>0.28999999999999998</v>
      </c>
      <c r="AN143" s="35">
        <v>47</v>
      </c>
      <c r="AO143" s="35">
        <v>9</v>
      </c>
      <c r="AP143" s="40">
        <v>0</v>
      </c>
      <c r="AQ143" s="40">
        <v>0.67</v>
      </c>
      <c r="AR143" s="40">
        <v>0.33</v>
      </c>
      <c r="AS143" s="40">
        <v>0</v>
      </c>
      <c r="AT143" s="40">
        <v>0.48</v>
      </c>
      <c r="AU143" s="40">
        <v>0.53</v>
      </c>
      <c r="AV143" s="40">
        <v>0.56999999999999995</v>
      </c>
      <c r="AW143" s="246">
        <v>50</v>
      </c>
      <c r="AX143" s="246" t="s">
        <v>758</v>
      </c>
      <c r="AY143" s="246">
        <v>10</v>
      </c>
      <c r="AZ143" s="246" t="s">
        <v>758</v>
      </c>
      <c r="BA143" s="263">
        <v>0.14000000000000001</v>
      </c>
      <c r="BB143" s="263">
        <v>0.28999999999999998</v>
      </c>
      <c r="BC143" s="263">
        <v>0.56999999999999995</v>
      </c>
      <c r="BD143" s="263">
        <v>0</v>
      </c>
      <c r="BE143" s="263">
        <v>0.34</v>
      </c>
      <c r="BF143" s="263">
        <v>0.55000000000000004</v>
      </c>
      <c r="BG143" s="263">
        <v>0.47</v>
      </c>
      <c r="BH143" s="309">
        <v>52</v>
      </c>
      <c r="BI143" s="309" t="s">
        <v>758</v>
      </c>
      <c r="BJ143" s="309">
        <v>8</v>
      </c>
      <c r="BK143" s="309" t="s">
        <v>758</v>
      </c>
      <c r="BL143" s="464"/>
      <c r="BM143" s="464"/>
      <c r="BN143" s="464"/>
      <c r="BO143" s="327">
        <v>0.05</v>
      </c>
      <c r="BP143" s="327">
        <v>0.33</v>
      </c>
      <c r="BQ143" s="327">
        <v>0.62</v>
      </c>
      <c r="BR143" s="327">
        <v>0</v>
      </c>
      <c r="BS143" s="327">
        <v>0.57999999999999996</v>
      </c>
      <c r="BT143" s="327">
        <v>0.6</v>
      </c>
      <c r="BU143" s="476"/>
      <c r="BV143" s="476"/>
      <c r="BW143" s="476"/>
      <c r="BX143" s="327">
        <v>0.37</v>
      </c>
      <c r="BY143" s="424">
        <v>46</v>
      </c>
      <c r="BZ143" s="424" t="s">
        <v>758</v>
      </c>
      <c r="CA143" s="424">
        <v>10</v>
      </c>
      <c r="CB143" s="424" t="s">
        <v>758</v>
      </c>
      <c r="CC143" s="428">
        <v>0.16</v>
      </c>
      <c r="CD143" s="428">
        <v>0.47</v>
      </c>
      <c r="CE143" s="428">
        <v>0.37</v>
      </c>
      <c r="CF143" s="428">
        <v>0</v>
      </c>
      <c r="CG143" s="428">
        <v>0.7</v>
      </c>
      <c r="CH143" s="428">
        <v>0.5</v>
      </c>
      <c r="CI143" s="428">
        <v>0.67</v>
      </c>
      <c r="CJ143" s="464">
        <v>49</v>
      </c>
      <c r="CK143" s="464" t="s">
        <v>758</v>
      </c>
      <c r="CL143" s="464">
        <v>6</v>
      </c>
      <c r="CM143" s="464" t="s">
        <v>760</v>
      </c>
      <c r="CN143" s="476">
        <v>0</v>
      </c>
      <c r="CO143" s="476">
        <v>0.5</v>
      </c>
      <c r="CP143" s="476">
        <v>0.5</v>
      </c>
      <c r="CQ143" s="476">
        <v>0</v>
      </c>
      <c r="CR143" s="476">
        <v>0.52</v>
      </c>
      <c r="CS143" s="476">
        <v>0.68</v>
      </c>
      <c r="CT143" s="476">
        <v>0.52</v>
      </c>
      <c r="CU143" s="902">
        <v>46</v>
      </c>
      <c r="CV143" s="902" t="s">
        <v>760</v>
      </c>
      <c r="CW143" s="902">
        <v>12</v>
      </c>
      <c r="CX143" s="902" t="s">
        <v>758</v>
      </c>
      <c r="CY143" s="949">
        <v>0.25</v>
      </c>
      <c r="CZ143" s="949">
        <v>0.38</v>
      </c>
      <c r="DA143" s="949">
        <v>0.38</v>
      </c>
      <c r="DB143" s="949">
        <v>0</v>
      </c>
      <c r="DC143" s="949">
        <v>0.65</v>
      </c>
      <c r="DD143" s="949">
        <v>0.57999999999999996</v>
      </c>
      <c r="DE143" s="949">
        <v>0.38</v>
      </c>
      <c r="DF143" s="922">
        <v>325754000968</v>
      </c>
      <c r="DG143" s="892" t="e">
        <f>VLOOKUP(DF143,#REF!,3,0)</f>
        <v>#REF!</v>
      </c>
    </row>
    <row r="144" spans="1:111" ht="24.95" customHeight="1" x14ac:dyDescent="0.2">
      <c r="A144" s="803" t="s">
        <v>81</v>
      </c>
      <c r="B144" s="1" t="s">
        <v>123</v>
      </c>
      <c r="C144" s="12">
        <v>2</v>
      </c>
      <c r="D144" s="12">
        <v>49</v>
      </c>
      <c r="E144" s="12">
        <v>10</v>
      </c>
      <c r="F144" s="66">
        <v>0.12</v>
      </c>
      <c r="G144" s="66">
        <v>0.48</v>
      </c>
      <c r="H144" s="66">
        <v>0.4</v>
      </c>
      <c r="I144" s="66">
        <v>0</v>
      </c>
      <c r="J144" s="66">
        <v>0.57999999999999996</v>
      </c>
      <c r="K144" s="66">
        <v>0.57999999999999996</v>
      </c>
      <c r="L144" s="66">
        <v>0.57999999999999996</v>
      </c>
      <c r="M144" s="12">
        <v>56</v>
      </c>
      <c r="N144" s="12">
        <v>9</v>
      </c>
      <c r="O144" s="40">
        <v>0.05</v>
      </c>
      <c r="P144" s="40">
        <v>0.23</v>
      </c>
      <c r="Q144" s="40">
        <v>0.69</v>
      </c>
      <c r="R144" s="40">
        <v>0.03</v>
      </c>
      <c r="S144" s="40">
        <v>0.42</v>
      </c>
      <c r="T144" s="40">
        <v>0.47</v>
      </c>
      <c r="U144" s="40">
        <v>0.32</v>
      </c>
      <c r="V144" s="12">
        <v>54</v>
      </c>
      <c r="W144" s="12">
        <v>10</v>
      </c>
      <c r="X144" s="66">
        <v>0.04</v>
      </c>
      <c r="Y144" s="66">
        <v>0.35</v>
      </c>
      <c r="Z144" s="66">
        <v>0.55000000000000004</v>
      </c>
      <c r="AA144" s="66">
        <v>0.06</v>
      </c>
      <c r="AB144" s="66">
        <v>0.45</v>
      </c>
      <c r="AC144" s="66">
        <v>0.37</v>
      </c>
      <c r="AD144" s="66">
        <v>0.48</v>
      </c>
      <c r="AE144" s="12">
        <v>55</v>
      </c>
      <c r="AF144" s="12">
        <v>9</v>
      </c>
      <c r="AG144" s="66">
        <v>0.02</v>
      </c>
      <c r="AH144" s="66">
        <v>0.18</v>
      </c>
      <c r="AI144" s="66">
        <v>0.77</v>
      </c>
      <c r="AJ144" s="66">
        <v>0.02</v>
      </c>
      <c r="AK144" s="66">
        <v>0.46</v>
      </c>
      <c r="AL144" s="66">
        <v>0.45</v>
      </c>
      <c r="AM144" s="66">
        <v>0.28000000000000003</v>
      </c>
      <c r="AN144" s="35">
        <v>58</v>
      </c>
      <c r="AO144" s="35">
        <v>10</v>
      </c>
      <c r="AP144" s="40">
        <v>0.02</v>
      </c>
      <c r="AQ144" s="40">
        <v>0.21</v>
      </c>
      <c r="AR144" s="40">
        <v>0.68</v>
      </c>
      <c r="AS144" s="40">
        <v>0.09</v>
      </c>
      <c r="AT144" s="40">
        <v>0.22</v>
      </c>
      <c r="AU144" s="40">
        <v>0.4</v>
      </c>
      <c r="AV144" s="40">
        <v>0.43</v>
      </c>
      <c r="AW144" s="246">
        <v>56</v>
      </c>
      <c r="AX144" s="246" t="s">
        <v>758</v>
      </c>
      <c r="AY144" s="246">
        <v>9</v>
      </c>
      <c r="AZ144" s="246" t="s">
        <v>758</v>
      </c>
      <c r="BA144" s="263">
        <v>0.02</v>
      </c>
      <c r="BB144" s="263">
        <v>0.24</v>
      </c>
      <c r="BC144" s="263">
        <v>0.73</v>
      </c>
      <c r="BD144" s="263">
        <v>0.02</v>
      </c>
      <c r="BE144" s="263">
        <v>0.26</v>
      </c>
      <c r="BF144" s="263">
        <v>0.44</v>
      </c>
      <c r="BG144" s="263">
        <v>0.4</v>
      </c>
      <c r="BH144" s="309">
        <v>54</v>
      </c>
      <c r="BI144" s="309" t="s">
        <v>758</v>
      </c>
      <c r="BJ144" s="309">
        <v>10</v>
      </c>
      <c r="BK144" s="309" t="s">
        <v>758</v>
      </c>
      <c r="BL144" s="464"/>
      <c r="BM144" s="464"/>
      <c r="BN144" s="464"/>
      <c r="BO144" s="327">
        <v>0.03</v>
      </c>
      <c r="BP144" s="327">
        <v>0.32</v>
      </c>
      <c r="BQ144" s="327">
        <v>0.61</v>
      </c>
      <c r="BR144" s="327">
        <v>0.04</v>
      </c>
      <c r="BS144" s="327">
        <v>0.47</v>
      </c>
      <c r="BT144" s="327">
        <v>0.59</v>
      </c>
      <c r="BU144" s="476"/>
      <c r="BV144" s="476"/>
      <c r="BW144" s="476"/>
      <c r="BX144" s="327">
        <v>0.36</v>
      </c>
      <c r="BY144" s="424">
        <v>54</v>
      </c>
      <c r="BZ144" s="424" t="s">
        <v>758</v>
      </c>
      <c r="CA144" s="424">
        <v>9</v>
      </c>
      <c r="CB144" s="424" t="s">
        <v>758</v>
      </c>
      <c r="CC144" s="428">
        <v>0.02</v>
      </c>
      <c r="CD144" s="428">
        <v>0.31</v>
      </c>
      <c r="CE144" s="428">
        <v>0.63</v>
      </c>
      <c r="CF144" s="428">
        <v>0.04</v>
      </c>
      <c r="CG144" s="428">
        <v>0.57999999999999996</v>
      </c>
      <c r="CH144" s="428">
        <v>0.34</v>
      </c>
      <c r="CI144" s="428">
        <v>0.57999999999999996</v>
      </c>
      <c r="CJ144" s="464">
        <v>56</v>
      </c>
      <c r="CK144" s="464" t="s">
        <v>758</v>
      </c>
      <c r="CL144" s="464">
        <v>10</v>
      </c>
      <c r="CM144" s="464" t="s">
        <v>758</v>
      </c>
      <c r="CN144" s="476">
        <v>0.03</v>
      </c>
      <c r="CO144" s="476">
        <v>0.24</v>
      </c>
      <c r="CP144" s="476">
        <v>0.66</v>
      </c>
      <c r="CQ144" s="476">
        <v>7.0000000000000007E-2</v>
      </c>
      <c r="CR144" s="476">
        <v>0.52</v>
      </c>
      <c r="CS144" s="476">
        <v>0.48</v>
      </c>
      <c r="CT144" s="476">
        <v>0.36</v>
      </c>
      <c r="CU144" s="902">
        <v>57</v>
      </c>
      <c r="CV144" s="902" t="s">
        <v>758</v>
      </c>
      <c r="CW144" s="902">
        <v>10</v>
      </c>
      <c r="CX144" s="902" t="s">
        <v>758</v>
      </c>
      <c r="CY144" s="949">
        <v>0.01</v>
      </c>
      <c r="CZ144" s="949">
        <v>0.25</v>
      </c>
      <c r="DA144" s="949">
        <v>0.67</v>
      </c>
      <c r="DB144" s="949">
        <v>7.0000000000000007E-2</v>
      </c>
      <c r="DC144" s="949">
        <v>0.56999999999999995</v>
      </c>
      <c r="DD144" s="949">
        <v>0.43</v>
      </c>
      <c r="DE144" s="949">
        <v>0.35</v>
      </c>
      <c r="DF144" s="922">
        <v>325754004530</v>
      </c>
      <c r="DG144" s="892" t="e">
        <f>VLOOKUP(DF144,#REF!,3,0)</f>
        <v>#REF!</v>
      </c>
    </row>
    <row r="145" spans="1:111" ht="24.95" customHeight="1" x14ac:dyDescent="0.2">
      <c r="A145" s="803" t="s">
        <v>114</v>
      </c>
      <c r="B145" s="1" t="s">
        <v>123</v>
      </c>
      <c r="C145" s="12">
        <v>1</v>
      </c>
      <c r="D145" s="12">
        <v>54</v>
      </c>
      <c r="E145" s="12">
        <v>5</v>
      </c>
      <c r="F145" s="66">
        <v>0</v>
      </c>
      <c r="G145" s="66">
        <v>0.28999999999999998</v>
      </c>
      <c r="H145" s="66">
        <v>0.71</v>
      </c>
      <c r="I145" s="66">
        <v>0</v>
      </c>
      <c r="J145" s="66">
        <v>0.5</v>
      </c>
      <c r="K145" s="66">
        <v>0.39</v>
      </c>
      <c r="L145" s="66">
        <v>0.5</v>
      </c>
      <c r="M145" s="12">
        <v>54</v>
      </c>
      <c r="N145" s="12">
        <v>9</v>
      </c>
      <c r="O145" s="40">
        <v>0</v>
      </c>
      <c r="P145" s="40">
        <v>0.38</v>
      </c>
      <c r="Q145" s="40">
        <v>0.62</v>
      </c>
      <c r="R145" s="40">
        <v>0</v>
      </c>
      <c r="S145" s="40">
        <v>0.4</v>
      </c>
      <c r="T145" s="40">
        <v>0.56999999999999995</v>
      </c>
      <c r="U145" s="40">
        <v>0.32</v>
      </c>
      <c r="V145" s="12">
        <v>53</v>
      </c>
      <c r="W145" s="12">
        <v>9</v>
      </c>
      <c r="X145" s="66">
        <v>0</v>
      </c>
      <c r="Y145" s="66">
        <v>0.5</v>
      </c>
      <c r="Z145" s="66">
        <v>0.5</v>
      </c>
      <c r="AA145" s="66">
        <v>0</v>
      </c>
      <c r="AB145" s="66">
        <v>0.48</v>
      </c>
      <c r="AC145" s="66">
        <v>0.3</v>
      </c>
      <c r="AD145" s="66">
        <v>0.56999999999999995</v>
      </c>
      <c r="AE145" s="12">
        <v>55</v>
      </c>
      <c r="AF145" s="12">
        <v>8</v>
      </c>
      <c r="AG145" s="66">
        <v>0</v>
      </c>
      <c r="AH145" s="66">
        <v>0.17</v>
      </c>
      <c r="AI145" s="66">
        <v>0.83</v>
      </c>
      <c r="AJ145" s="66">
        <v>0</v>
      </c>
      <c r="AK145" s="66">
        <v>0.45</v>
      </c>
      <c r="AL145" s="66">
        <v>0.5</v>
      </c>
      <c r="AM145" s="66">
        <v>0.25</v>
      </c>
      <c r="AN145" s="35">
        <v>54</v>
      </c>
      <c r="AO145" s="35">
        <v>11</v>
      </c>
      <c r="AP145" s="40">
        <v>0.08</v>
      </c>
      <c r="AQ145" s="40">
        <v>0.16</v>
      </c>
      <c r="AR145" s="40">
        <v>0.72</v>
      </c>
      <c r="AS145" s="40">
        <v>0.04</v>
      </c>
      <c r="AT145" s="40">
        <v>0.28999999999999998</v>
      </c>
      <c r="AU145" s="40">
        <v>0.42</v>
      </c>
      <c r="AV145" s="40">
        <v>0.52</v>
      </c>
      <c r="AW145" s="246">
        <v>53</v>
      </c>
      <c r="AX145" s="246" t="s">
        <v>758</v>
      </c>
      <c r="AY145" s="246">
        <v>8</v>
      </c>
      <c r="AZ145" s="246" t="s">
        <v>758</v>
      </c>
      <c r="BA145" s="263">
        <v>0</v>
      </c>
      <c r="BB145" s="263">
        <v>0.54</v>
      </c>
      <c r="BC145" s="263">
        <v>0.38</v>
      </c>
      <c r="BD145" s="263">
        <v>0.08</v>
      </c>
      <c r="BE145" s="263">
        <v>0.24</v>
      </c>
      <c r="BF145" s="263">
        <v>0.48</v>
      </c>
      <c r="BG145" s="263">
        <v>0.49</v>
      </c>
      <c r="BH145" s="309">
        <v>53</v>
      </c>
      <c r="BI145" s="309" t="s">
        <v>758</v>
      </c>
      <c r="BJ145" s="309">
        <v>10</v>
      </c>
      <c r="BK145" s="309" t="s">
        <v>758</v>
      </c>
      <c r="BL145" s="464"/>
      <c r="BM145" s="464"/>
      <c r="BN145" s="464"/>
      <c r="BO145" s="327">
        <v>7.0000000000000007E-2</v>
      </c>
      <c r="BP145" s="327">
        <v>0.24</v>
      </c>
      <c r="BQ145" s="327">
        <v>0.69</v>
      </c>
      <c r="BR145" s="327">
        <v>0</v>
      </c>
      <c r="BS145" s="327">
        <v>0.53</v>
      </c>
      <c r="BT145" s="327">
        <v>0.59</v>
      </c>
      <c r="BU145" s="476"/>
      <c r="BV145" s="476"/>
      <c r="BW145" s="476"/>
      <c r="BX145" s="327">
        <v>0.41</v>
      </c>
      <c r="BY145" s="424">
        <v>53</v>
      </c>
      <c r="BZ145" s="424" t="s">
        <v>758</v>
      </c>
      <c r="CA145" s="424">
        <v>8</v>
      </c>
      <c r="CB145" s="424" t="s">
        <v>758</v>
      </c>
      <c r="CC145" s="428">
        <v>0</v>
      </c>
      <c r="CD145" s="428">
        <v>0.36</v>
      </c>
      <c r="CE145" s="428">
        <v>0.62</v>
      </c>
      <c r="CF145" s="428">
        <v>0.02</v>
      </c>
      <c r="CG145" s="428">
        <v>0.61</v>
      </c>
      <c r="CH145" s="428">
        <v>0.36</v>
      </c>
      <c r="CI145" s="428">
        <v>0.56999999999999995</v>
      </c>
      <c r="CJ145" s="464">
        <v>53</v>
      </c>
      <c r="CK145" s="464" t="s">
        <v>758</v>
      </c>
      <c r="CL145" s="464">
        <v>9</v>
      </c>
      <c r="CM145" s="464" t="s">
        <v>758</v>
      </c>
      <c r="CN145" s="476">
        <v>0.06</v>
      </c>
      <c r="CO145" s="476">
        <v>0.35</v>
      </c>
      <c r="CP145" s="476">
        <v>0.55000000000000004</v>
      </c>
      <c r="CQ145" s="476">
        <v>0.04</v>
      </c>
      <c r="CR145" s="476">
        <v>0.53</v>
      </c>
      <c r="CS145" s="476">
        <v>0.51</v>
      </c>
      <c r="CT145" s="476">
        <v>0.44</v>
      </c>
      <c r="CU145" s="902">
        <v>54</v>
      </c>
      <c r="CV145" s="902" t="s">
        <v>758</v>
      </c>
      <c r="CW145" s="902">
        <v>10</v>
      </c>
      <c r="CX145" s="902" t="s">
        <v>758</v>
      </c>
      <c r="CY145" s="949">
        <v>0.02</v>
      </c>
      <c r="CZ145" s="949">
        <v>0.31</v>
      </c>
      <c r="DA145" s="949">
        <v>0.63</v>
      </c>
      <c r="DB145" s="949">
        <v>0.04</v>
      </c>
      <c r="DC145" s="949">
        <v>0.56000000000000005</v>
      </c>
      <c r="DD145" s="949">
        <v>0.46</v>
      </c>
      <c r="DE145" s="949">
        <v>0.31</v>
      </c>
      <c r="DF145" s="922">
        <v>325754003134</v>
      </c>
      <c r="DG145" s="892" t="e">
        <f>VLOOKUP(DF145,#REF!,3,0)</f>
        <v>#REF!</v>
      </c>
    </row>
    <row r="146" spans="1:111" ht="24.95" customHeight="1" x14ac:dyDescent="0.2">
      <c r="A146" s="803" t="s">
        <v>42</v>
      </c>
      <c r="B146" s="1" t="s">
        <v>123</v>
      </c>
      <c r="C146" s="12">
        <v>1</v>
      </c>
      <c r="D146" s="12">
        <v>54</v>
      </c>
      <c r="E146" s="12">
        <v>8</v>
      </c>
      <c r="F146" s="66">
        <v>0.02</v>
      </c>
      <c r="G146" s="66">
        <v>0.31</v>
      </c>
      <c r="H146" s="66">
        <v>0.65</v>
      </c>
      <c r="I146" s="66">
        <v>0.02</v>
      </c>
      <c r="J146" s="66">
        <v>0.49</v>
      </c>
      <c r="K146" s="66">
        <v>0.41</v>
      </c>
      <c r="L146" s="66">
        <v>0.49</v>
      </c>
      <c r="M146" s="12">
        <v>56</v>
      </c>
      <c r="N146" s="12">
        <v>9</v>
      </c>
      <c r="O146" s="40">
        <v>0.01</v>
      </c>
      <c r="P146" s="40">
        <v>0.3</v>
      </c>
      <c r="Q146" s="40">
        <v>0.65</v>
      </c>
      <c r="R146" s="40">
        <v>0.04</v>
      </c>
      <c r="S146" s="40">
        <v>0.44</v>
      </c>
      <c r="T146" s="40">
        <v>0.49</v>
      </c>
      <c r="U146" s="40">
        <v>0.3</v>
      </c>
      <c r="V146" s="12">
        <v>53</v>
      </c>
      <c r="W146" s="12">
        <v>8</v>
      </c>
      <c r="X146" s="66">
        <v>0</v>
      </c>
      <c r="Y146" s="66">
        <v>0.34</v>
      </c>
      <c r="Z146" s="66">
        <v>0.65</v>
      </c>
      <c r="AA146" s="66">
        <v>0.01</v>
      </c>
      <c r="AB146" s="66">
        <v>0.49</v>
      </c>
      <c r="AC146" s="66">
        <v>0.36</v>
      </c>
      <c r="AD146" s="66">
        <v>0.49</v>
      </c>
      <c r="AE146" s="12">
        <v>55</v>
      </c>
      <c r="AF146" s="12">
        <v>8</v>
      </c>
      <c r="AG146" s="66">
        <v>0.02</v>
      </c>
      <c r="AH146" s="66">
        <v>0.22</v>
      </c>
      <c r="AI146" s="66">
        <v>0.75</v>
      </c>
      <c r="AJ146" s="66">
        <v>0.02</v>
      </c>
      <c r="AK146" s="66">
        <v>0.49</v>
      </c>
      <c r="AL146" s="66">
        <v>0.4</v>
      </c>
      <c r="AM146" s="66">
        <v>0.24</v>
      </c>
      <c r="AN146" s="35">
        <v>58</v>
      </c>
      <c r="AO146" s="35">
        <v>9</v>
      </c>
      <c r="AP146" s="40">
        <v>0</v>
      </c>
      <c r="AQ146" s="40">
        <v>0.18</v>
      </c>
      <c r="AR146" s="40">
        <v>0.75</v>
      </c>
      <c r="AS146" s="40">
        <v>7.0000000000000007E-2</v>
      </c>
      <c r="AT146" s="40">
        <v>0.2</v>
      </c>
      <c r="AU146" s="40">
        <v>0.41</v>
      </c>
      <c r="AV146" s="40">
        <v>0.39</v>
      </c>
      <c r="AW146" s="246">
        <v>56</v>
      </c>
      <c r="AX146" s="246" t="s">
        <v>758</v>
      </c>
      <c r="AY146" s="246">
        <v>10</v>
      </c>
      <c r="AZ146" s="246" t="s">
        <v>758</v>
      </c>
      <c r="BA146" s="263">
        <v>0.02</v>
      </c>
      <c r="BB146" s="263">
        <v>0.27</v>
      </c>
      <c r="BC146" s="263">
        <v>0.64</v>
      </c>
      <c r="BD146" s="263">
        <v>0.08</v>
      </c>
      <c r="BE146" s="263">
        <v>0.24</v>
      </c>
      <c r="BF146" s="263">
        <v>0.44</v>
      </c>
      <c r="BG146" s="263">
        <v>0.41</v>
      </c>
      <c r="BH146" s="309">
        <v>59</v>
      </c>
      <c r="BI146" s="309" t="s">
        <v>758</v>
      </c>
      <c r="BJ146" s="309">
        <v>10</v>
      </c>
      <c r="BK146" s="309" t="s">
        <v>758</v>
      </c>
      <c r="BL146" s="464"/>
      <c r="BM146" s="464"/>
      <c r="BN146" s="464"/>
      <c r="BO146" s="327">
        <v>0.01</v>
      </c>
      <c r="BP146" s="327">
        <v>0.19</v>
      </c>
      <c r="BQ146" s="327">
        <v>0.72</v>
      </c>
      <c r="BR146" s="327">
        <v>0.08</v>
      </c>
      <c r="BS146" s="327">
        <v>0.37</v>
      </c>
      <c r="BT146" s="327">
        <v>0.44</v>
      </c>
      <c r="BU146" s="476"/>
      <c r="BV146" s="476"/>
      <c r="BW146" s="476"/>
      <c r="BX146" s="327">
        <v>0.3</v>
      </c>
      <c r="BY146" s="424">
        <v>60</v>
      </c>
      <c r="BZ146" s="424" t="s">
        <v>758</v>
      </c>
      <c r="CA146" s="424">
        <v>10</v>
      </c>
      <c r="CB146" s="424" t="s">
        <v>758</v>
      </c>
      <c r="CC146" s="428">
        <v>0.01</v>
      </c>
      <c r="CD146" s="428">
        <v>0.16</v>
      </c>
      <c r="CE146" s="428">
        <v>0.75</v>
      </c>
      <c r="CF146" s="428">
        <v>0.09</v>
      </c>
      <c r="CG146" s="428">
        <v>0.51</v>
      </c>
      <c r="CH146" s="428">
        <v>0.25</v>
      </c>
      <c r="CI146" s="428">
        <v>0.43</v>
      </c>
      <c r="CJ146" s="464">
        <v>57</v>
      </c>
      <c r="CK146" s="464" t="s">
        <v>758</v>
      </c>
      <c r="CL146" s="464">
        <v>11</v>
      </c>
      <c r="CM146" s="464" t="s">
        <v>758</v>
      </c>
      <c r="CN146" s="476">
        <v>0.05</v>
      </c>
      <c r="CO146" s="476">
        <v>0.18</v>
      </c>
      <c r="CP146" s="476">
        <v>0.73</v>
      </c>
      <c r="CQ146" s="476">
        <v>0.04</v>
      </c>
      <c r="CR146" s="476">
        <v>0.47</v>
      </c>
      <c r="CS146" s="476">
        <v>0.42</v>
      </c>
      <c r="CT146" s="476">
        <v>0.35</v>
      </c>
      <c r="CU146" s="902">
        <v>58</v>
      </c>
      <c r="CV146" s="902" t="s">
        <v>758</v>
      </c>
      <c r="CW146" s="902">
        <v>11</v>
      </c>
      <c r="CX146" s="902" t="s">
        <v>758</v>
      </c>
      <c r="CY146" s="949">
        <v>0.03</v>
      </c>
      <c r="CZ146" s="949">
        <v>0.2</v>
      </c>
      <c r="DA146" s="949">
        <v>0.66</v>
      </c>
      <c r="DB146" s="949">
        <v>0.11</v>
      </c>
      <c r="DC146" s="949">
        <v>0.51</v>
      </c>
      <c r="DD146" s="949">
        <v>0.43</v>
      </c>
      <c r="DE146" s="949">
        <v>0.3</v>
      </c>
      <c r="DF146" s="922">
        <v>325754003410</v>
      </c>
      <c r="DG146" s="892" t="e">
        <f>VLOOKUP(DF146,#REF!,3,0)</f>
        <v>#REF!</v>
      </c>
    </row>
    <row r="147" spans="1:111" ht="24.95" customHeight="1" x14ac:dyDescent="0.2">
      <c r="A147" s="803" t="s">
        <v>774</v>
      </c>
      <c r="B147" s="1" t="s">
        <v>123</v>
      </c>
      <c r="C147" s="12">
        <v>6</v>
      </c>
      <c r="D147" s="12"/>
      <c r="E147" s="12"/>
      <c r="F147" s="66"/>
      <c r="G147" s="66"/>
      <c r="H147" s="66"/>
      <c r="I147" s="66"/>
      <c r="J147" s="66"/>
      <c r="K147" s="66"/>
      <c r="L147" s="66"/>
      <c r="M147" s="12"/>
      <c r="N147" s="12"/>
      <c r="O147" s="40"/>
      <c r="P147" s="40"/>
      <c r="Q147" s="40"/>
      <c r="R147" s="40"/>
      <c r="S147" s="40"/>
      <c r="T147" s="40"/>
      <c r="U147" s="40"/>
      <c r="V147" s="12"/>
      <c r="W147" s="12"/>
      <c r="X147" s="66"/>
      <c r="Y147" s="66"/>
      <c r="Z147" s="66"/>
      <c r="AA147" s="66"/>
      <c r="AB147" s="66"/>
      <c r="AC147" s="66"/>
      <c r="AD147" s="66"/>
      <c r="AE147" s="12"/>
      <c r="AF147" s="12"/>
      <c r="AG147" s="66"/>
      <c r="AH147" s="66"/>
      <c r="AI147" s="66"/>
      <c r="AJ147" s="66"/>
      <c r="AK147" s="66"/>
      <c r="AL147" s="66"/>
      <c r="AM147" s="66"/>
      <c r="AN147" s="35"/>
      <c r="AO147" s="35"/>
      <c r="AP147" s="40"/>
      <c r="AQ147" s="40"/>
      <c r="AR147" s="40"/>
      <c r="AS147" s="40"/>
      <c r="AT147" s="40"/>
      <c r="AU147" s="40"/>
      <c r="AV147" s="40"/>
      <c r="AW147" s="246"/>
      <c r="AX147" s="246"/>
      <c r="AY147" s="246"/>
      <c r="AZ147" s="246"/>
      <c r="BA147" s="263"/>
      <c r="BB147" s="263"/>
      <c r="BC147" s="263"/>
      <c r="BD147" s="263"/>
      <c r="BE147" s="263"/>
      <c r="BF147" s="263"/>
      <c r="BG147" s="263"/>
      <c r="BH147" s="309">
        <v>46</v>
      </c>
      <c r="BI147" s="309" t="s">
        <v>758</v>
      </c>
      <c r="BJ147" s="309">
        <v>10</v>
      </c>
      <c r="BK147" s="309" t="s">
        <v>758</v>
      </c>
      <c r="BL147" s="464"/>
      <c r="BM147" s="464"/>
      <c r="BN147" s="464"/>
      <c r="BO147" s="327">
        <v>0.28999999999999998</v>
      </c>
      <c r="BP147" s="327">
        <v>0.28999999999999998</v>
      </c>
      <c r="BQ147" s="327">
        <v>0.43</v>
      </c>
      <c r="BR147" s="327">
        <v>0</v>
      </c>
      <c r="BS147" s="327">
        <v>0.72</v>
      </c>
      <c r="BT147" s="327">
        <v>0.63</v>
      </c>
      <c r="BU147" s="476"/>
      <c r="BV147" s="476"/>
      <c r="BW147" s="476"/>
      <c r="BX147" s="327">
        <v>0.61</v>
      </c>
      <c r="BY147" s="424">
        <v>42</v>
      </c>
      <c r="BZ147" s="424" t="s">
        <v>760</v>
      </c>
      <c r="CA147" s="424">
        <v>9</v>
      </c>
      <c r="CB147" s="424" t="s">
        <v>758</v>
      </c>
      <c r="CC147" s="428">
        <v>0.17</v>
      </c>
      <c r="CD147" s="428">
        <v>0.5</v>
      </c>
      <c r="CE147" s="428">
        <v>0.33</v>
      </c>
      <c r="CF147" s="428">
        <v>0</v>
      </c>
      <c r="CG147" s="428">
        <v>0.79</v>
      </c>
      <c r="CH147" s="428">
        <v>0.54</v>
      </c>
      <c r="CI147" s="428">
        <v>0.65</v>
      </c>
      <c r="CJ147" s="464">
        <v>43</v>
      </c>
      <c r="CK147" s="464" t="s">
        <v>760</v>
      </c>
      <c r="CL147" s="464">
        <v>3</v>
      </c>
      <c r="CM147" s="464" t="s">
        <v>760</v>
      </c>
      <c r="CN147" s="476">
        <v>0</v>
      </c>
      <c r="CO147" s="476">
        <v>1</v>
      </c>
      <c r="CP147" s="476">
        <v>0</v>
      </c>
      <c r="CQ147" s="476">
        <v>0</v>
      </c>
      <c r="CR147" s="476">
        <v>0.56000000000000005</v>
      </c>
      <c r="CS147" s="476">
        <v>0.75</v>
      </c>
      <c r="CT147" s="476">
        <v>0.5</v>
      </c>
      <c r="CU147" s="902">
        <v>45</v>
      </c>
      <c r="CV147" s="902" t="s">
        <v>760</v>
      </c>
      <c r="CW147" s="902">
        <v>9</v>
      </c>
      <c r="CX147" s="902" t="s">
        <v>758</v>
      </c>
      <c r="CY147" s="949">
        <v>0.11</v>
      </c>
      <c r="CZ147" s="949">
        <v>0.62</v>
      </c>
      <c r="DA147" s="949">
        <v>0.27</v>
      </c>
      <c r="DB147" s="949">
        <v>0</v>
      </c>
      <c r="DC147" s="949">
        <v>0.7</v>
      </c>
      <c r="DD147" s="949">
        <v>0.61</v>
      </c>
      <c r="DE147" s="949">
        <v>0.49</v>
      </c>
      <c r="DF147" s="922">
        <v>325754005498</v>
      </c>
      <c r="DG147" s="892" t="e">
        <f>VLOOKUP(DF147,#REF!,3,0)</f>
        <v>#REF!</v>
      </c>
    </row>
    <row r="148" spans="1:111" ht="24.95" customHeight="1" x14ac:dyDescent="0.2">
      <c r="A148" s="804" t="s">
        <v>24</v>
      </c>
      <c r="B148" s="1" t="s">
        <v>123</v>
      </c>
      <c r="C148" s="328">
        <v>6</v>
      </c>
      <c r="D148" s="328">
        <v>55</v>
      </c>
      <c r="E148" s="328">
        <v>10</v>
      </c>
      <c r="F148" s="333">
        <v>0</v>
      </c>
      <c r="G148" s="333">
        <v>0.45</v>
      </c>
      <c r="H148" s="333">
        <v>0.55000000000000004</v>
      </c>
      <c r="I148" s="333">
        <v>0</v>
      </c>
      <c r="J148" s="333">
        <v>0.47</v>
      </c>
      <c r="K148" s="333">
        <v>0.41</v>
      </c>
      <c r="L148" s="333">
        <v>0.5</v>
      </c>
      <c r="M148" s="328">
        <v>46</v>
      </c>
      <c r="N148" s="328">
        <v>10</v>
      </c>
      <c r="O148" s="331">
        <v>0.17</v>
      </c>
      <c r="P148" s="331">
        <v>0.57999999999999996</v>
      </c>
      <c r="Q148" s="331">
        <v>0.25</v>
      </c>
      <c r="R148" s="331">
        <v>0</v>
      </c>
      <c r="S148" s="331">
        <v>0.62</v>
      </c>
      <c r="T148" s="331">
        <v>0.65</v>
      </c>
      <c r="U148" s="331">
        <v>0.44</v>
      </c>
      <c r="V148" s="328">
        <v>51</v>
      </c>
      <c r="W148" s="328">
        <v>13</v>
      </c>
      <c r="X148" s="333">
        <v>0.13</v>
      </c>
      <c r="Y148" s="333">
        <v>0.38</v>
      </c>
      <c r="Z148" s="333">
        <v>0.5</v>
      </c>
      <c r="AA148" s="333">
        <v>0</v>
      </c>
      <c r="AB148" s="333">
        <v>0.52</v>
      </c>
      <c r="AC148" s="333">
        <v>0.39</v>
      </c>
      <c r="AD148" s="333">
        <v>0.53</v>
      </c>
      <c r="AE148" s="328">
        <v>52</v>
      </c>
      <c r="AF148" s="328">
        <v>11</v>
      </c>
      <c r="AG148" s="333">
        <v>0</v>
      </c>
      <c r="AH148" s="333">
        <v>0.5</v>
      </c>
      <c r="AI148" s="333">
        <v>0.5</v>
      </c>
      <c r="AJ148" s="333">
        <v>0</v>
      </c>
      <c r="AK148" s="333">
        <v>0.61</v>
      </c>
      <c r="AL148" s="333">
        <v>0.49</v>
      </c>
      <c r="AM148" s="333">
        <v>0.37</v>
      </c>
      <c r="AN148" s="311">
        <v>53</v>
      </c>
      <c r="AO148" s="311">
        <v>5</v>
      </c>
      <c r="AP148" s="331">
        <v>0</v>
      </c>
      <c r="AQ148" s="331">
        <v>0.25</v>
      </c>
      <c r="AR148" s="331">
        <v>0.75</v>
      </c>
      <c r="AS148" s="331">
        <v>0</v>
      </c>
      <c r="AT148" s="331">
        <v>0.21</v>
      </c>
      <c r="AU148" s="331">
        <v>0.57999999999999996</v>
      </c>
      <c r="AV148" s="331">
        <v>0.37</v>
      </c>
      <c r="AW148" s="312">
        <v>55</v>
      </c>
      <c r="AX148" s="312" t="s">
        <v>758</v>
      </c>
      <c r="AY148" s="312">
        <v>10</v>
      </c>
      <c r="AZ148" s="312" t="s">
        <v>758</v>
      </c>
      <c r="BA148" s="332">
        <v>0</v>
      </c>
      <c r="BB148" s="332">
        <v>0.4</v>
      </c>
      <c r="BC148" s="332">
        <v>0.4</v>
      </c>
      <c r="BD148" s="332">
        <v>0.2</v>
      </c>
      <c r="BE148" s="332">
        <v>0.23</v>
      </c>
      <c r="BF148" s="332">
        <v>0.44</v>
      </c>
      <c r="BG148" s="332">
        <v>0.46</v>
      </c>
      <c r="BH148" s="309">
        <v>48</v>
      </c>
      <c r="BI148" s="309" t="s">
        <v>758</v>
      </c>
      <c r="BJ148" s="309">
        <v>7</v>
      </c>
      <c r="BK148" s="309" t="s">
        <v>758</v>
      </c>
      <c r="BL148" s="464"/>
      <c r="BM148" s="464"/>
      <c r="BN148" s="464"/>
      <c r="BO148" s="327">
        <v>0</v>
      </c>
      <c r="BP148" s="327">
        <v>0.7</v>
      </c>
      <c r="BQ148" s="327">
        <v>0.3</v>
      </c>
      <c r="BR148" s="327">
        <v>0</v>
      </c>
      <c r="BS148" s="327">
        <v>0.56999999999999995</v>
      </c>
      <c r="BT148" s="327">
        <v>0.64</v>
      </c>
      <c r="BU148" s="476"/>
      <c r="BV148" s="476"/>
      <c r="BW148" s="476"/>
      <c r="BX148" s="327">
        <v>0.55000000000000004</v>
      </c>
      <c r="BY148" s="424">
        <v>53</v>
      </c>
      <c r="BZ148" s="424" t="s">
        <v>758</v>
      </c>
      <c r="CA148" s="424">
        <v>6</v>
      </c>
      <c r="CB148" s="424" t="s">
        <v>760</v>
      </c>
      <c r="CC148" s="428">
        <v>0</v>
      </c>
      <c r="CD148" s="428">
        <v>0.28999999999999998</v>
      </c>
      <c r="CE148" s="428">
        <v>0.71</v>
      </c>
      <c r="CF148" s="428">
        <v>0</v>
      </c>
      <c r="CG148" s="428">
        <v>0.61</v>
      </c>
      <c r="CH148" s="428">
        <v>0.21</v>
      </c>
      <c r="CI148" s="428">
        <v>0.56999999999999995</v>
      </c>
      <c r="CJ148" s="464">
        <v>49</v>
      </c>
      <c r="CK148" s="464" t="s">
        <v>758</v>
      </c>
      <c r="CL148" s="464">
        <v>9</v>
      </c>
      <c r="CM148" s="464" t="s">
        <v>758</v>
      </c>
      <c r="CN148" s="476">
        <v>0.1</v>
      </c>
      <c r="CO148" s="476">
        <v>0.3</v>
      </c>
      <c r="CP148" s="476">
        <v>0.6</v>
      </c>
      <c r="CQ148" s="476">
        <v>0</v>
      </c>
      <c r="CR148" s="476">
        <v>0.76</v>
      </c>
      <c r="CS148" s="476">
        <v>0.5</v>
      </c>
      <c r="CT148" s="476">
        <v>0.6</v>
      </c>
      <c r="CU148" s="902">
        <v>57</v>
      </c>
      <c r="CV148" s="902" t="s">
        <v>758</v>
      </c>
      <c r="CW148" s="902">
        <v>9</v>
      </c>
      <c r="CX148" s="902" t="s">
        <v>758</v>
      </c>
      <c r="CY148" s="949">
        <v>0</v>
      </c>
      <c r="CZ148" s="949">
        <v>0.19</v>
      </c>
      <c r="DA148" s="949">
        <v>0.71</v>
      </c>
      <c r="DB148" s="949">
        <v>0.1</v>
      </c>
      <c r="DC148" s="949">
        <v>0.53</v>
      </c>
      <c r="DD148" s="949">
        <v>0.39</v>
      </c>
      <c r="DE148" s="949">
        <v>0.31</v>
      </c>
      <c r="DF148" s="922">
        <v>325754004050</v>
      </c>
      <c r="DG148" s="892" t="e">
        <f>VLOOKUP(DF148,#REF!,3,0)</f>
        <v>#REF!</v>
      </c>
    </row>
    <row r="149" spans="1:111" ht="24.95" customHeight="1" x14ac:dyDescent="0.2">
      <c r="A149" s="803" t="s">
        <v>36</v>
      </c>
      <c r="B149" s="1" t="s">
        <v>123</v>
      </c>
      <c r="C149" s="12">
        <v>6</v>
      </c>
      <c r="D149" s="12">
        <v>59</v>
      </c>
      <c r="E149" s="12">
        <v>7</v>
      </c>
      <c r="F149" s="66">
        <v>0</v>
      </c>
      <c r="G149" s="66">
        <v>0.14000000000000001</v>
      </c>
      <c r="H149" s="66">
        <v>0.83</v>
      </c>
      <c r="I149" s="66">
        <v>0.03</v>
      </c>
      <c r="J149" s="66">
        <v>0.43</v>
      </c>
      <c r="K149" s="66">
        <v>0.28000000000000003</v>
      </c>
      <c r="L149" s="66">
        <v>0.38</v>
      </c>
      <c r="M149" s="12">
        <v>61</v>
      </c>
      <c r="N149" s="12">
        <v>9</v>
      </c>
      <c r="O149" s="40">
        <v>0</v>
      </c>
      <c r="P149" s="40">
        <v>0.14000000000000001</v>
      </c>
      <c r="Q149" s="40">
        <v>0.74</v>
      </c>
      <c r="R149" s="40">
        <v>0.11</v>
      </c>
      <c r="S149" s="40">
        <v>0.38</v>
      </c>
      <c r="T149" s="40">
        <v>0.41</v>
      </c>
      <c r="U149" s="40">
        <v>0.23</v>
      </c>
      <c r="V149" s="12">
        <v>59</v>
      </c>
      <c r="W149" s="12">
        <v>6</v>
      </c>
      <c r="X149" s="66">
        <v>0</v>
      </c>
      <c r="Y149" s="66">
        <v>0.04</v>
      </c>
      <c r="Z149" s="66">
        <v>0.92</v>
      </c>
      <c r="AA149" s="66">
        <v>0.04</v>
      </c>
      <c r="AB149" s="66">
        <v>0.39</v>
      </c>
      <c r="AC149" s="66">
        <v>0.27</v>
      </c>
      <c r="AD149" s="66">
        <v>0.44</v>
      </c>
      <c r="AE149" s="12">
        <v>60</v>
      </c>
      <c r="AF149" s="12">
        <v>9</v>
      </c>
      <c r="AG149" s="66">
        <v>0</v>
      </c>
      <c r="AH149" s="66">
        <v>0.13</v>
      </c>
      <c r="AI149" s="66">
        <v>0.77</v>
      </c>
      <c r="AJ149" s="66">
        <v>0.1</v>
      </c>
      <c r="AK149" s="66">
        <v>0.38</v>
      </c>
      <c r="AL149" s="66">
        <v>0.35</v>
      </c>
      <c r="AM149" s="66">
        <v>0.21</v>
      </c>
      <c r="AN149" s="35">
        <v>59</v>
      </c>
      <c r="AO149" s="35">
        <v>12</v>
      </c>
      <c r="AP149" s="40">
        <v>0</v>
      </c>
      <c r="AQ149" s="40">
        <v>0.24</v>
      </c>
      <c r="AR149" s="40">
        <v>0.64</v>
      </c>
      <c r="AS149" s="40">
        <v>0.12</v>
      </c>
      <c r="AT149" s="40">
        <v>0.21</v>
      </c>
      <c r="AU149" s="40">
        <v>0.4</v>
      </c>
      <c r="AV149" s="40">
        <v>0.39</v>
      </c>
      <c r="AW149" s="246">
        <v>58</v>
      </c>
      <c r="AX149" s="246" t="s">
        <v>758</v>
      </c>
      <c r="AY149" s="246">
        <v>8</v>
      </c>
      <c r="AZ149" s="246" t="s">
        <v>758</v>
      </c>
      <c r="BA149" s="263">
        <v>0</v>
      </c>
      <c r="BB149" s="263">
        <v>0.19</v>
      </c>
      <c r="BC149" s="263">
        <v>0.74</v>
      </c>
      <c r="BD149" s="263">
        <v>0.06</v>
      </c>
      <c r="BE149" s="263">
        <v>0.19</v>
      </c>
      <c r="BF149" s="263">
        <v>0.41</v>
      </c>
      <c r="BG149" s="263">
        <v>0.37</v>
      </c>
      <c r="BH149" s="309">
        <v>60</v>
      </c>
      <c r="BI149" s="309" t="s">
        <v>758</v>
      </c>
      <c r="BJ149" s="309">
        <v>9</v>
      </c>
      <c r="BK149" s="309" t="s">
        <v>758</v>
      </c>
      <c r="BL149" s="464"/>
      <c r="BM149" s="464"/>
      <c r="BN149" s="464"/>
      <c r="BO149" s="327">
        <v>0</v>
      </c>
      <c r="BP149" s="327">
        <v>0.12</v>
      </c>
      <c r="BQ149" s="327">
        <v>0.81</v>
      </c>
      <c r="BR149" s="327">
        <v>0.08</v>
      </c>
      <c r="BS149" s="327">
        <v>0.42</v>
      </c>
      <c r="BT149" s="327">
        <v>0.43</v>
      </c>
      <c r="BU149" s="476"/>
      <c r="BV149" s="476"/>
      <c r="BW149" s="476"/>
      <c r="BX149" s="327">
        <v>0.3</v>
      </c>
      <c r="BY149" s="424">
        <v>62</v>
      </c>
      <c r="BZ149" s="424" t="s">
        <v>759</v>
      </c>
      <c r="CA149" s="424">
        <v>8</v>
      </c>
      <c r="CB149" s="424" t="s">
        <v>758</v>
      </c>
      <c r="CC149" s="428">
        <v>0</v>
      </c>
      <c r="CD149" s="428">
        <v>0</v>
      </c>
      <c r="CE149" s="428">
        <v>0.74</v>
      </c>
      <c r="CF149" s="428">
        <v>0.26</v>
      </c>
      <c r="CG149" s="428">
        <v>0.41</v>
      </c>
      <c r="CH149" s="428">
        <v>0.25</v>
      </c>
      <c r="CI149" s="428">
        <v>0.41</v>
      </c>
      <c r="CJ149" s="464">
        <v>60</v>
      </c>
      <c r="CK149" s="464" t="s">
        <v>758</v>
      </c>
      <c r="CL149" s="464">
        <v>8</v>
      </c>
      <c r="CM149" s="464" t="s">
        <v>758</v>
      </c>
      <c r="CN149" s="476">
        <v>0</v>
      </c>
      <c r="CO149" s="476">
        <v>0.19</v>
      </c>
      <c r="CP149" s="476">
        <v>0.71</v>
      </c>
      <c r="CQ149" s="476">
        <v>0.1</v>
      </c>
      <c r="CR149" s="476">
        <v>0.49</v>
      </c>
      <c r="CS149" s="476">
        <v>0.42</v>
      </c>
      <c r="CT149" s="476">
        <v>0.32</v>
      </c>
      <c r="CU149" s="902">
        <v>61</v>
      </c>
      <c r="CV149" s="902" t="s">
        <v>758</v>
      </c>
      <c r="CW149" s="902">
        <v>8</v>
      </c>
      <c r="CX149" s="902" t="s">
        <v>758</v>
      </c>
      <c r="CY149" s="949">
        <v>0</v>
      </c>
      <c r="CZ149" s="949">
        <v>0.08</v>
      </c>
      <c r="DA149" s="949">
        <v>0.77</v>
      </c>
      <c r="DB149" s="949">
        <v>0.15</v>
      </c>
      <c r="DC149" s="949">
        <v>0.49</v>
      </c>
      <c r="DD149" s="949">
        <v>0.43</v>
      </c>
      <c r="DE149" s="949">
        <v>0.23</v>
      </c>
      <c r="DF149" s="922">
        <v>425754001551</v>
      </c>
      <c r="DG149" s="892" t="e">
        <f>VLOOKUP(DF149,#REF!,3,0)</f>
        <v>#REF!</v>
      </c>
    </row>
    <row r="150" spans="1:111" ht="24.95" customHeight="1" x14ac:dyDescent="0.2">
      <c r="A150" s="803" t="s">
        <v>728</v>
      </c>
      <c r="B150" s="1" t="s">
        <v>123</v>
      </c>
      <c r="C150" s="12">
        <v>4</v>
      </c>
      <c r="D150" s="12"/>
      <c r="E150" s="12"/>
      <c r="F150" s="66"/>
      <c r="G150" s="66"/>
      <c r="H150" s="66"/>
      <c r="I150" s="66"/>
      <c r="J150" s="66"/>
      <c r="K150" s="66"/>
      <c r="L150" s="66"/>
      <c r="M150" s="12"/>
      <c r="N150" s="12"/>
      <c r="O150" s="40"/>
      <c r="P150" s="40"/>
      <c r="Q150" s="40"/>
      <c r="R150" s="40"/>
      <c r="S150" s="40"/>
      <c r="T150" s="40"/>
      <c r="U150" s="40"/>
      <c r="V150" s="12"/>
      <c r="W150" s="12"/>
      <c r="X150" s="66"/>
      <c r="Y150" s="66"/>
      <c r="Z150" s="66"/>
      <c r="AA150" s="66"/>
      <c r="AB150" s="66"/>
      <c r="AC150" s="66"/>
      <c r="AD150" s="66"/>
      <c r="AE150" s="12"/>
      <c r="AF150" s="12"/>
      <c r="AG150" s="66"/>
      <c r="AH150" s="66"/>
      <c r="AI150" s="66"/>
      <c r="AJ150" s="66"/>
      <c r="AK150" s="66"/>
      <c r="AL150" s="66"/>
      <c r="AM150" s="66"/>
      <c r="AN150" s="35"/>
      <c r="AO150" s="35"/>
      <c r="AP150" s="40"/>
      <c r="AQ150" s="40"/>
      <c r="AR150" s="40"/>
      <c r="AS150" s="40"/>
      <c r="AT150" s="40"/>
      <c r="AU150" s="40"/>
      <c r="AV150" s="40"/>
      <c r="AW150" s="646"/>
      <c r="AX150" s="646"/>
      <c r="AY150" s="646"/>
      <c r="AZ150" s="646"/>
      <c r="BA150" s="646"/>
      <c r="BB150" s="646"/>
      <c r="BC150" s="646"/>
      <c r="BD150" s="646"/>
      <c r="BE150" s="646"/>
      <c r="BF150" s="646"/>
      <c r="BG150" s="646"/>
      <c r="BH150" s="649"/>
      <c r="BI150" s="649"/>
      <c r="BJ150" s="649"/>
      <c r="BK150" s="649"/>
      <c r="BL150" s="650"/>
      <c r="BM150" s="650"/>
      <c r="BN150" s="650"/>
      <c r="BO150" s="649"/>
      <c r="BP150" s="649"/>
      <c r="BQ150" s="649"/>
      <c r="BR150" s="649"/>
      <c r="BS150" s="649"/>
      <c r="BT150" s="649"/>
      <c r="BU150" s="650"/>
      <c r="BV150" s="650"/>
      <c r="BW150" s="650"/>
      <c r="BX150" s="649"/>
      <c r="BY150" s="424">
        <v>54</v>
      </c>
      <c r="BZ150" s="424" t="s">
        <v>758</v>
      </c>
      <c r="CA150" s="424">
        <v>7</v>
      </c>
      <c r="CB150" s="424" t="s">
        <v>758</v>
      </c>
      <c r="CC150" s="428">
        <v>0</v>
      </c>
      <c r="CD150" s="428">
        <v>0.25</v>
      </c>
      <c r="CE150" s="428">
        <v>0.75</v>
      </c>
      <c r="CF150" s="428">
        <v>0</v>
      </c>
      <c r="CG150" s="428">
        <v>0.34</v>
      </c>
      <c r="CH150" s="428">
        <v>0.38</v>
      </c>
      <c r="CI150" s="428">
        <v>0.53</v>
      </c>
      <c r="CJ150" s="641"/>
      <c r="CK150" s="641"/>
      <c r="CL150" s="641"/>
      <c r="CM150" s="641"/>
      <c r="CN150" s="642"/>
      <c r="CO150" s="642"/>
      <c r="CP150" s="642"/>
      <c r="CQ150" s="642"/>
      <c r="CR150" s="642"/>
      <c r="CS150" s="642"/>
      <c r="CT150" s="642"/>
      <c r="CU150" s="902">
        <v>59</v>
      </c>
      <c r="CV150" s="902" t="s">
        <v>758</v>
      </c>
      <c r="CW150" s="902">
        <v>11</v>
      </c>
      <c r="CX150" s="902" t="s">
        <v>758</v>
      </c>
      <c r="CY150" s="949">
        <v>0</v>
      </c>
      <c r="CZ150" s="949">
        <v>0.33</v>
      </c>
      <c r="DA150" s="949">
        <v>0.5</v>
      </c>
      <c r="DB150" s="949">
        <v>0.17</v>
      </c>
      <c r="DC150" s="949">
        <v>0.48</v>
      </c>
      <c r="DD150" s="949">
        <v>0.32</v>
      </c>
      <c r="DE150" s="949">
        <v>0.23</v>
      </c>
      <c r="DF150" s="922">
        <v>325754004203</v>
      </c>
      <c r="DG150" s="892" t="e">
        <f>VLOOKUP(DF150,#REF!,3,0)</f>
        <v>#REF!</v>
      </c>
    </row>
    <row r="151" spans="1:111" ht="24.95" customHeight="1" x14ac:dyDescent="0.2">
      <c r="A151" s="803" t="s">
        <v>80</v>
      </c>
      <c r="B151" s="1" t="s">
        <v>123</v>
      </c>
      <c r="C151" s="12">
        <v>2</v>
      </c>
      <c r="D151" s="12">
        <v>45</v>
      </c>
      <c r="E151" s="12">
        <v>9</v>
      </c>
      <c r="F151" s="66">
        <v>0.19</v>
      </c>
      <c r="G151" s="66">
        <v>0.56000000000000005</v>
      </c>
      <c r="H151" s="66">
        <v>0.25</v>
      </c>
      <c r="I151" s="66">
        <v>0</v>
      </c>
      <c r="J151" s="66">
        <v>0.6</v>
      </c>
      <c r="K151" s="66">
        <v>0.65</v>
      </c>
      <c r="L151" s="66">
        <v>0.63</v>
      </c>
      <c r="M151" s="12">
        <v>53</v>
      </c>
      <c r="N151" s="12">
        <v>9</v>
      </c>
      <c r="O151" s="40">
        <v>0</v>
      </c>
      <c r="P151" s="40">
        <v>0.33</v>
      </c>
      <c r="Q151" s="40">
        <v>0.56000000000000005</v>
      </c>
      <c r="R151" s="40">
        <v>0.11</v>
      </c>
      <c r="S151" s="40">
        <v>0.48</v>
      </c>
      <c r="T151" s="40">
        <v>0.5</v>
      </c>
      <c r="U151" s="40">
        <v>0.39</v>
      </c>
      <c r="V151" s="12">
        <v>51</v>
      </c>
      <c r="W151" s="12">
        <v>10</v>
      </c>
      <c r="X151" s="66">
        <v>7.0000000000000007E-2</v>
      </c>
      <c r="Y151" s="66">
        <v>0.33</v>
      </c>
      <c r="Z151" s="66">
        <v>0.6</v>
      </c>
      <c r="AA151" s="66">
        <v>0</v>
      </c>
      <c r="AB151" s="66">
        <v>0.49</v>
      </c>
      <c r="AC151" s="66">
        <v>0.39</v>
      </c>
      <c r="AD151" s="66">
        <v>0.55000000000000004</v>
      </c>
      <c r="AE151" s="12">
        <v>42</v>
      </c>
      <c r="AF151" s="12">
        <v>9</v>
      </c>
      <c r="AG151" s="66">
        <v>0.27</v>
      </c>
      <c r="AH151" s="66">
        <v>0.55000000000000004</v>
      </c>
      <c r="AI151" s="66">
        <v>0.18</v>
      </c>
      <c r="AJ151" s="66">
        <v>0</v>
      </c>
      <c r="AK151" s="66">
        <v>0.68</v>
      </c>
      <c r="AL151" s="66">
        <v>0.65</v>
      </c>
      <c r="AM151" s="66">
        <v>0.44</v>
      </c>
      <c r="AN151" s="35">
        <v>50</v>
      </c>
      <c r="AO151" s="35">
        <v>9</v>
      </c>
      <c r="AP151" s="40">
        <v>7.0000000000000007E-2</v>
      </c>
      <c r="AQ151" s="40">
        <v>0.36</v>
      </c>
      <c r="AR151" s="40">
        <v>0.56999999999999995</v>
      </c>
      <c r="AS151" s="40">
        <v>0</v>
      </c>
      <c r="AT151" s="40">
        <v>0.32</v>
      </c>
      <c r="AU151" s="40">
        <v>0.51</v>
      </c>
      <c r="AV151" s="40">
        <v>0.51</v>
      </c>
      <c r="AW151" s="647">
        <v>51</v>
      </c>
      <c r="AX151" s="647" t="s">
        <v>758</v>
      </c>
      <c r="AY151" s="647">
        <v>6</v>
      </c>
      <c r="AZ151" s="647" t="s">
        <v>760</v>
      </c>
      <c r="BA151" s="648">
        <v>0</v>
      </c>
      <c r="BB151" s="648">
        <v>0.69</v>
      </c>
      <c r="BC151" s="648">
        <v>0.31</v>
      </c>
      <c r="BD151" s="648">
        <v>0</v>
      </c>
      <c r="BE151" s="648">
        <v>0.26</v>
      </c>
      <c r="BF151" s="648">
        <v>0.55000000000000004</v>
      </c>
      <c r="BG151" s="648">
        <v>0.47</v>
      </c>
      <c r="BH151" s="74">
        <v>54</v>
      </c>
      <c r="BI151" s="74" t="s">
        <v>758</v>
      </c>
      <c r="BJ151" s="74">
        <v>8</v>
      </c>
      <c r="BK151" s="74" t="s">
        <v>758</v>
      </c>
      <c r="BL151" s="74"/>
      <c r="BM151" s="74"/>
      <c r="BN151" s="74"/>
      <c r="BO151" s="96">
        <v>0</v>
      </c>
      <c r="BP151" s="96">
        <v>0.14000000000000001</v>
      </c>
      <c r="BQ151" s="96">
        <v>0.86</v>
      </c>
      <c r="BR151" s="96">
        <v>0</v>
      </c>
      <c r="BS151" s="96">
        <v>0.48</v>
      </c>
      <c r="BT151" s="96">
        <v>0.5</v>
      </c>
      <c r="BU151" s="96"/>
      <c r="BV151" s="96"/>
      <c r="BW151" s="96"/>
      <c r="BX151" s="96">
        <v>0.43</v>
      </c>
      <c r="BY151" s="424">
        <v>53</v>
      </c>
      <c r="BZ151" s="424" t="s">
        <v>758</v>
      </c>
      <c r="CA151" s="424">
        <v>9</v>
      </c>
      <c r="CB151" s="424" t="s">
        <v>758</v>
      </c>
      <c r="CC151" s="428">
        <v>0.11</v>
      </c>
      <c r="CD151" s="428">
        <v>0.26</v>
      </c>
      <c r="CE151" s="428">
        <v>0.63</v>
      </c>
      <c r="CF151" s="428">
        <v>0</v>
      </c>
      <c r="CG151" s="428">
        <v>0.65</v>
      </c>
      <c r="CH151" s="428">
        <v>0.36</v>
      </c>
      <c r="CI151" s="428">
        <v>0.55000000000000004</v>
      </c>
      <c r="CJ151" s="654">
        <v>56</v>
      </c>
      <c r="CK151" s="654" t="s">
        <v>758</v>
      </c>
      <c r="CL151" s="654">
        <v>9</v>
      </c>
      <c r="CM151" s="654" t="s">
        <v>758</v>
      </c>
      <c r="CN151" s="655">
        <v>0</v>
      </c>
      <c r="CO151" s="655">
        <v>0.21</v>
      </c>
      <c r="CP151" s="655">
        <v>0.74</v>
      </c>
      <c r="CQ151" s="655">
        <v>0.05</v>
      </c>
      <c r="CR151" s="655">
        <v>0.5</v>
      </c>
      <c r="CS151" s="655">
        <v>0.49</v>
      </c>
      <c r="CT151" s="655">
        <v>0.36</v>
      </c>
      <c r="CY151" s="949"/>
      <c r="CZ151" s="949"/>
      <c r="DA151" s="949"/>
      <c r="DB151" s="949"/>
      <c r="DC151" s="949"/>
      <c r="DD151" s="949"/>
      <c r="DE151" s="949"/>
      <c r="DG151" s="892"/>
    </row>
    <row r="152" spans="1:111" ht="24.95" customHeight="1" x14ac:dyDescent="0.2">
      <c r="A152" s="803" t="s">
        <v>84</v>
      </c>
      <c r="B152" s="1" t="s">
        <v>123</v>
      </c>
      <c r="C152" s="12">
        <v>5</v>
      </c>
      <c r="D152" s="12">
        <v>49</v>
      </c>
      <c r="E152" s="12">
        <v>10</v>
      </c>
      <c r="F152" s="66">
        <v>7.0000000000000007E-2</v>
      </c>
      <c r="G152" s="66">
        <v>0.6</v>
      </c>
      <c r="H152" s="66">
        <v>0.33</v>
      </c>
      <c r="I152" s="66">
        <v>0</v>
      </c>
      <c r="J152" s="66">
        <v>0.56999999999999995</v>
      </c>
      <c r="K152" s="66">
        <v>0.47</v>
      </c>
      <c r="L152" s="66">
        <v>0.56999999999999995</v>
      </c>
      <c r="M152" s="12">
        <v>47</v>
      </c>
      <c r="N152" s="12">
        <v>11</v>
      </c>
      <c r="O152" s="40">
        <v>0.2</v>
      </c>
      <c r="P152" s="40">
        <v>0.37</v>
      </c>
      <c r="Q152" s="40">
        <v>0.39</v>
      </c>
      <c r="R152" s="40">
        <v>0.05</v>
      </c>
      <c r="S152" s="40">
        <v>0.55000000000000004</v>
      </c>
      <c r="T152" s="40">
        <v>0.63</v>
      </c>
      <c r="U152" s="40">
        <v>0.43</v>
      </c>
      <c r="V152" s="12">
        <v>46</v>
      </c>
      <c r="W152" s="12">
        <v>9</v>
      </c>
      <c r="X152" s="66">
        <v>0.16</v>
      </c>
      <c r="Y152" s="66">
        <v>0.41</v>
      </c>
      <c r="Z152" s="66">
        <v>0.44</v>
      </c>
      <c r="AA152" s="66">
        <v>0</v>
      </c>
      <c r="AB152" s="66">
        <v>0.56999999999999995</v>
      </c>
      <c r="AC152" s="66">
        <v>0.47</v>
      </c>
      <c r="AD152" s="66">
        <v>0.57999999999999996</v>
      </c>
      <c r="AE152" s="12">
        <v>51</v>
      </c>
      <c r="AF152" s="12">
        <v>8</v>
      </c>
      <c r="AG152" s="66">
        <v>0</v>
      </c>
      <c r="AH152" s="66">
        <v>0.5</v>
      </c>
      <c r="AI152" s="66">
        <v>0.5</v>
      </c>
      <c r="AJ152" s="66">
        <v>0</v>
      </c>
      <c r="AK152" s="66">
        <v>0.55000000000000004</v>
      </c>
      <c r="AL152" s="66">
        <v>0.53</v>
      </c>
      <c r="AM152" s="66">
        <v>0.31</v>
      </c>
      <c r="AN152" s="35">
        <v>46</v>
      </c>
      <c r="AO152" s="35">
        <v>10</v>
      </c>
      <c r="AP152" s="40">
        <v>0.22</v>
      </c>
      <c r="AQ152" s="40">
        <v>0.35</v>
      </c>
      <c r="AR152" s="40">
        <v>0.43</v>
      </c>
      <c r="AS152" s="40">
        <v>0</v>
      </c>
      <c r="AT152" s="40">
        <v>0.4</v>
      </c>
      <c r="AU152" s="40">
        <v>0.62</v>
      </c>
      <c r="AV152" s="40">
        <v>0.56000000000000005</v>
      </c>
      <c r="AW152" s="246">
        <v>47</v>
      </c>
      <c r="AX152" s="246" t="s">
        <v>758</v>
      </c>
      <c r="AY152" s="246">
        <v>7</v>
      </c>
      <c r="AZ152" s="246" t="s">
        <v>758</v>
      </c>
      <c r="BA152" s="263">
        <v>0.03</v>
      </c>
      <c r="BB152" s="263">
        <v>0.62</v>
      </c>
      <c r="BC152" s="263">
        <v>0.34</v>
      </c>
      <c r="BD152" s="263">
        <v>0</v>
      </c>
      <c r="BE152" s="263">
        <v>0.35</v>
      </c>
      <c r="BF152" s="263">
        <v>0.59</v>
      </c>
      <c r="BG152" s="263">
        <v>0.6</v>
      </c>
      <c r="BH152" s="309">
        <v>48</v>
      </c>
      <c r="BI152" s="309" t="s">
        <v>758</v>
      </c>
      <c r="BJ152" s="309">
        <v>9</v>
      </c>
      <c r="BK152" s="309" t="s">
        <v>758</v>
      </c>
      <c r="BL152" s="464"/>
      <c r="BM152" s="464"/>
      <c r="BN152" s="464"/>
      <c r="BO152" s="327">
        <v>0.12</v>
      </c>
      <c r="BP152" s="327">
        <v>0.46</v>
      </c>
      <c r="BQ152" s="327">
        <v>0.42</v>
      </c>
      <c r="BR152" s="327">
        <v>0</v>
      </c>
      <c r="BS152" s="327">
        <v>0.59</v>
      </c>
      <c r="BT152" s="327">
        <v>0.73</v>
      </c>
      <c r="BU152" s="476"/>
      <c r="BV152" s="476"/>
      <c r="BW152" s="476"/>
      <c r="BX152" s="327">
        <v>0.38</v>
      </c>
      <c r="BY152" s="424">
        <v>49</v>
      </c>
      <c r="BZ152" s="424" t="s">
        <v>758</v>
      </c>
      <c r="CA152" s="424">
        <v>9</v>
      </c>
      <c r="CB152" s="424" t="s">
        <v>758</v>
      </c>
      <c r="CC152" s="428">
        <v>0.06</v>
      </c>
      <c r="CD152" s="428">
        <v>0.46</v>
      </c>
      <c r="CE152" s="428">
        <v>0.49</v>
      </c>
      <c r="CF152" s="428">
        <v>0</v>
      </c>
      <c r="CG152" s="428">
        <v>0.62</v>
      </c>
      <c r="CH152" s="428">
        <v>0.4</v>
      </c>
      <c r="CI152" s="428">
        <v>0.65</v>
      </c>
      <c r="CJ152" s="464">
        <v>51</v>
      </c>
      <c r="CK152" s="464" t="s">
        <v>758</v>
      </c>
      <c r="CL152" s="464">
        <v>7</v>
      </c>
      <c r="CM152" s="464" t="s">
        <v>760</v>
      </c>
      <c r="CN152" s="476">
        <v>0</v>
      </c>
      <c r="CO152" s="476">
        <v>0.5</v>
      </c>
      <c r="CP152" s="476">
        <v>0.5</v>
      </c>
      <c r="CQ152" s="476">
        <v>0</v>
      </c>
      <c r="CR152" s="476">
        <v>0.67</v>
      </c>
      <c r="CS152" s="476">
        <v>0.6</v>
      </c>
      <c r="CT152" s="476">
        <v>0.45</v>
      </c>
      <c r="CU152" s="902">
        <v>48</v>
      </c>
      <c r="CV152" s="902" t="s">
        <v>758</v>
      </c>
      <c r="CW152" s="902">
        <v>11</v>
      </c>
      <c r="CX152" s="902" t="s">
        <v>758</v>
      </c>
      <c r="CY152" s="949">
        <v>0.11</v>
      </c>
      <c r="CZ152" s="949">
        <v>0.41</v>
      </c>
      <c r="DA152" s="949">
        <v>0.48</v>
      </c>
      <c r="DB152" s="949">
        <v>0</v>
      </c>
      <c r="DC152" s="949">
        <v>0.6</v>
      </c>
      <c r="DD152" s="949">
        <v>0.56999999999999995</v>
      </c>
      <c r="DE152" s="949">
        <v>0.42</v>
      </c>
      <c r="DF152" s="922">
        <v>325754003860</v>
      </c>
      <c r="DG152" s="892" t="e">
        <f>VLOOKUP(DF152,#REF!,3,0)</f>
        <v>#REF!</v>
      </c>
    </row>
    <row r="153" spans="1:111" ht="24.95" customHeight="1" x14ac:dyDescent="0.2">
      <c r="A153" s="803" t="s">
        <v>79</v>
      </c>
      <c r="B153" s="1" t="s">
        <v>123</v>
      </c>
      <c r="C153" s="12">
        <v>2</v>
      </c>
      <c r="D153" s="12">
        <v>45</v>
      </c>
      <c r="E153" s="12">
        <v>11</v>
      </c>
      <c r="F153" s="66">
        <v>0.25</v>
      </c>
      <c r="G153" s="66">
        <v>0.5</v>
      </c>
      <c r="H153" s="66">
        <v>0.25</v>
      </c>
      <c r="I153" s="66">
        <v>0</v>
      </c>
      <c r="J153" s="66">
        <v>0.62</v>
      </c>
      <c r="K153" s="66">
        <v>0.33</v>
      </c>
      <c r="L153" s="66">
        <v>0.59</v>
      </c>
      <c r="M153" s="12">
        <v>54</v>
      </c>
      <c r="N153" s="12">
        <v>8</v>
      </c>
      <c r="O153" s="40">
        <v>0</v>
      </c>
      <c r="P153" s="40">
        <v>0.2</v>
      </c>
      <c r="Q153" s="40">
        <v>0.75</v>
      </c>
      <c r="R153" s="40">
        <v>0.05</v>
      </c>
      <c r="S153" s="40">
        <v>0.45</v>
      </c>
      <c r="T153" s="40">
        <v>0.53</v>
      </c>
      <c r="U153" s="40">
        <v>0.28000000000000003</v>
      </c>
      <c r="V153" s="12">
        <v>53</v>
      </c>
      <c r="W153" s="12">
        <v>8</v>
      </c>
      <c r="X153" s="66">
        <v>0</v>
      </c>
      <c r="Y153" s="66">
        <v>0.35</v>
      </c>
      <c r="Z153" s="66">
        <v>0.61</v>
      </c>
      <c r="AA153" s="66">
        <v>0.04</v>
      </c>
      <c r="AB153" s="66">
        <v>0.5</v>
      </c>
      <c r="AC153" s="66">
        <v>0.37</v>
      </c>
      <c r="AD153" s="66">
        <v>0.5</v>
      </c>
      <c r="AE153" s="12">
        <v>53</v>
      </c>
      <c r="AF153" s="12">
        <v>8</v>
      </c>
      <c r="AG153" s="66">
        <v>0.06</v>
      </c>
      <c r="AH153" s="66">
        <v>0.27</v>
      </c>
      <c r="AI153" s="66">
        <v>0.67</v>
      </c>
      <c r="AJ153" s="66">
        <v>0</v>
      </c>
      <c r="AK153" s="66">
        <v>0.55000000000000004</v>
      </c>
      <c r="AL153" s="66">
        <v>0.51</v>
      </c>
      <c r="AM153" s="66">
        <v>0.24</v>
      </c>
      <c r="AN153" s="35">
        <v>51</v>
      </c>
      <c r="AO153" s="35">
        <v>9</v>
      </c>
      <c r="AP153" s="40">
        <v>0</v>
      </c>
      <c r="AQ153" s="40">
        <v>0.48</v>
      </c>
      <c r="AR153" s="40">
        <v>0.52</v>
      </c>
      <c r="AS153" s="40">
        <v>0</v>
      </c>
      <c r="AT153" s="40">
        <v>0.3</v>
      </c>
      <c r="AU153" s="40">
        <v>0.53</v>
      </c>
      <c r="AV153" s="40">
        <v>0.55000000000000004</v>
      </c>
      <c r="AW153" s="246">
        <v>48</v>
      </c>
      <c r="AX153" s="246" t="s">
        <v>758</v>
      </c>
      <c r="AY153" s="246">
        <v>9</v>
      </c>
      <c r="AZ153" s="246" t="s">
        <v>758</v>
      </c>
      <c r="BA153" s="263">
        <v>0.09</v>
      </c>
      <c r="BB153" s="263">
        <v>0.44</v>
      </c>
      <c r="BC153" s="263">
        <v>0.47</v>
      </c>
      <c r="BD153" s="263">
        <v>0</v>
      </c>
      <c r="BE153" s="263">
        <v>0.33</v>
      </c>
      <c r="BF153" s="263">
        <v>0.57999999999999996</v>
      </c>
      <c r="BG153" s="263">
        <v>0.54</v>
      </c>
      <c r="BH153" s="309">
        <v>52</v>
      </c>
      <c r="BI153" s="309" t="s">
        <v>758</v>
      </c>
      <c r="BJ153" s="309">
        <v>9</v>
      </c>
      <c r="BK153" s="309" t="s">
        <v>758</v>
      </c>
      <c r="BL153" s="464"/>
      <c r="BM153" s="464"/>
      <c r="BN153" s="464"/>
      <c r="BO153" s="327">
        <v>0.03</v>
      </c>
      <c r="BP153" s="327">
        <v>0.43</v>
      </c>
      <c r="BQ153" s="327">
        <v>0.53</v>
      </c>
      <c r="BR153" s="327">
        <v>0.03</v>
      </c>
      <c r="BS153" s="327">
        <v>0.56999999999999995</v>
      </c>
      <c r="BT153" s="327">
        <v>0.64</v>
      </c>
      <c r="BU153" s="476"/>
      <c r="BV153" s="476"/>
      <c r="BW153" s="476"/>
      <c r="BX153" s="327">
        <v>0.41</v>
      </c>
      <c r="BY153" s="424">
        <v>51</v>
      </c>
      <c r="BZ153" s="424" t="s">
        <v>758</v>
      </c>
      <c r="CA153" s="424">
        <v>9</v>
      </c>
      <c r="CB153" s="424" t="s">
        <v>758</v>
      </c>
      <c r="CC153" s="428">
        <v>0.05</v>
      </c>
      <c r="CD153" s="428">
        <v>0.44</v>
      </c>
      <c r="CE153" s="428">
        <v>0.46</v>
      </c>
      <c r="CF153" s="428">
        <v>0.05</v>
      </c>
      <c r="CG153" s="428">
        <v>0.69</v>
      </c>
      <c r="CH153" s="428">
        <v>0.45</v>
      </c>
      <c r="CI153" s="428">
        <v>0.6</v>
      </c>
      <c r="CJ153" s="464">
        <v>51</v>
      </c>
      <c r="CK153" s="464" t="s">
        <v>758</v>
      </c>
      <c r="CL153" s="464">
        <v>10</v>
      </c>
      <c r="CM153" s="464" t="s">
        <v>758</v>
      </c>
      <c r="CN153" s="476">
        <v>0.08</v>
      </c>
      <c r="CO153" s="476">
        <v>0.37</v>
      </c>
      <c r="CP153" s="476">
        <v>0.53</v>
      </c>
      <c r="CQ153" s="476">
        <v>0.03</v>
      </c>
      <c r="CR153" s="476">
        <v>0.57999999999999996</v>
      </c>
      <c r="CS153" s="476">
        <v>0.55000000000000004</v>
      </c>
      <c r="CT153" s="476">
        <v>0.42</v>
      </c>
      <c r="CU153" s="902">
        <v>54</v>
      </c>
      <c r="CV153" s="902" t="s">
        <v>758</v>
      </c>
      <c r="CW153" s="902">
        <v>11</v>
      </c>
      <c r="CX153" s="902" t="s">
        <v>758</v>
      </c>
      <c r="CY153" s="949">
        <v>0.06</v>
      </c>
      <c r="CZ153" s="949">
        <v>0.28999999999999998</v>
      </c>
      <c r="DA153" s="949">
        <v>0.62</v>
      </c>
      <c r="DB153" s="949">
        <v>0.04</v>
      </c>
      <c r="DC153" s="949">
        <v>0.56000000000000005</v>
      </c>
      <c r="DD153" s="949">
        <v>0.46</v>
      </c>
      <c r="DE153" s="949">
        <v>0.33</v>
      </c>
      <c r="DF153" s="922">
        <v>325754001883</v>
      </c>
      <c r="DG153" s="892" t="e">
        <f>VLOOKUP(DF153,#REF!,3,0)</f>
        <v>#REF!</v>
      </c>
    </row>
    <row r="154" spans="1:111" ht="24.95" customHeight="1" x14ac:dyDescent="0.2">
      <c r="A154" s="803" t="s">
        <v>70</v>
      </c>
      <c r="B154" s="1" t="s">
        <v>123</v>
      </c>
      <c r="C154" s="12">
        <v>6</v>
      </c>
      <c r="D154" s="12">
        <v>55</v>
      </c>
      <c r="E154" s="12">
        <v>8</v>
      </c>
      <c r="F154" s="66">
        <v>0.01</v>
      </c>
      <c r="G154" s="66">
        <v>0.3</v>
      </c>
      <c r="H154" s="66">
        <v>0.68</v>
      </c>
      <c r="I154" s="66">
        <v>0.01</v>
      </c>
      <c r="J154" s="66">
        <v>0.52</v>
      </c>
      <c r="K154" s="66">
        <v>0.47</v>
      </c>
      <c r="L154" s="66">
        <v>0.55000000000000004</v>
      </c>
      <c r="M154" s="12">
        <v>55</v>
      </c>
      <c r="N154" s="12">
        <v>9</v>
      </c>
      <c r="O154" s="40">
        <v>0.01</v>
      </c>
      <c r="P154" s="40">
        <v>0.3</v>
      </c>
      <c r="Q154" s="40">
        <v>0.67</v>
      </c>
      <c r="R154" s="40">
        <v>0.02</v>
      </c>
      <c r="S154" s="40">
        <v>0.44</v>
      </c>
      <c r="T154" s="40">
        <v>0.5</v>
      </c>
      <c r="U154" s="40">
        <v>0.31</v>
      </c>
      <c r="V154" s="12">
        <v>54</v>
      </c>
      <c r="W154" s="12">
        <v>9</v>
      </c>
      <c r="X154" s="66">
        <v>0.02</v>
      </c>
      <c r="Y154" s="66">
        <v>0.32</v>
      </c>
      <c r="Z154" s="66">
        <v>0.62</v>
      </c>
      <c r="AA154" s="66">
        <v>0.04</v>
      </c>
      <c r="AB154" s="66">
        <v>0.46</v>
      </c>
      <c r="AC154" s="66">
        <v>0.33</v>
      </c>
      <c r="AD154" s="66">
        <v>0.48</v>
      </c>
      <c r="AE154" s="12">
        <v>54</v>
      </c>
      <c r="AF154" s="12">
        <v>9</v>
      </c>
      <c r="AG154" s="66">
        <v>0.02</v>
      </c>
      <c r="AH154" s="66">
        <v>0.32</v>
      </c>
      <c r="AI154" s="66">
        <v>0.64</v>
      </c>
      <c r="AJ154" s="66">
        <v>0.02</v>
      </c>
      <c r="AK154" s="66">
        <v>0.52</v>
      </c>
      <c r="AL154" s="66">
        <v>0.42</v>
      </c>
      <c r="AM154" s="66">
        <v>0.27</v>
      </c>
      <c r="AN154" s="35">
        <v>52</v>
      </c>
      <c r="AO154" s="35">
        <v>9</v>
      </c>
      <c r="AP154" s="40">
        <v>0.04</v>
      </c>
      <c r="AQ154" s="40">
        <v>0.4</v>
      </c>
      <c r="AR154" s="40">
        <v>0.54</v>
      </c>
      <c r="AS154" s="40">
        <v>0.02</v>
      </c>
      <c r="AT154" s="40">
        <v>0.28000000000000003</v>
      </c>
      <c r="AU154" s="40">
        <v>0.53</v>
      </c>
      <c r="AV154" s="40">
        <v>0.48</v>
      </c>
      <c r="AW154" s="246">
        <v>52</v>
      </c>
      <c r="AX154" s="246" t="s">
        <v>758</v>
      </c>
      <c r="AY154" s="246">
        <v>9</v>
      </c>
      <c r="AZ154" s="246" t="s">
        <v>758</v>
      </c>
      <c r="BA154" s="263">
        <v>0.03</v>
      </c>
      <c r="BB154" s="263">
        <v>0.4</v>
      </c>
      <c r="BC154" s="263">
        <v>0.55000000000000004</v>
      </c>
      <c r="BD154" s="263">
        <v>0.02</v>
      </c>
      <c r="BE154" s="263">
        <v>0.26</v>
      </c>
      <c r="BF154" s="263">
        <v>0.51</v>
      </c>
      <c r="BG154" s="263">
        <v>0.47</v>
      </c>
      <c r="BH154" s="309">
        <v>54</v>
      </c>
      <c r="BI154" s="309" t="s">
        <v>758</v>
      </c>
      <c r="BJ154" s="309">
        <v>11</v>
      </c>
      <c r="BK154" s="309" t="s">
        <v>758</v>
      </c>
      <c r="BL154" s="464"/>
      <c r="BM154" s="464"/>
      <c r="BN154" s="464"/>
      <c r="BO154" s="327">
        <v>0.03</v>
      </c>
      <c r="BP154" s="327">
        <v>0.33</v>
      </c>
      <c r="BQ154" s="327">
        <v>0.59</v>
      </c>
      <c r="BR154" s="327">
        <v>0.05</v>
      </c>
      <c r="BS154" s="327">
        <v>0.49</v>
      </c>
      <c r="BT154" s="327">
        <v>0.59</v>
      </c>
      <c r="BU154" s="476"/>
      <c r="BV154" s="476"/>
      <c r="BW154" s="476"/>
      <c r="BX154" s="327">
        <v>0.35</v>
      </c>
      <c r="BY154" s="424">
        <v>54</v>
      </c>
      <c r="BZ154" s="424" t="s">
        <v>758</v>
      </c>
      <c r="CA154" s="424">
        <v>11</v>
      </c>
      <c r="CB154" s="424" t="s">
        <v>758</v>
      </c>
      <c r="CC154" s="428">
        <v>0.05</v>
      </c>
      <c r="CD154" s="428">
        <v>0.32</v>
      </c>
      <c r="CE154" s="428">
        <v>0.55000000000000004</v>
      </c>
      <c r="CF154" s="428">
        <v>7.0000000000000007E-2</v>
      </c>
      <c r="CG154" s="428">
        <v>0.61</v>
      </c>
      <c r="CH154" s="428">
        <v>0.39</v>
      </c>
      <c r="CI154" s="428">
        <v>0.51</v>
      </c>
      <c r="CJ154" s="464">
        <v>56</v>
      </c>
      <c r="CK154" s="464" t="s">
        <v>758</v>
      </c>
      <c r="CL154" s="464">
        <v>10</v>
      </c>
      <c r="CM154" s="464" t="s">
        <v>758</v>
      </c>
      <c r="CN154" s="476">
        <v>0.03</v>
      </c>
      <c r="CO154" s="476">
        <v>0.28000000000000003</v>
      </c>
      <c r="CP154" s="476">
        <v>0.62</v>
      </c>
      <c r="CQ154" s="476">
        <v>7.0000000000000007E-2</v>
      </c>
      <c r="CR154" s="476">
        <v>0.49</v>
      </c>
      <c r="CS154" s="476">
        <v>0.47</v>
      </c>
      <c r="CT154" s="476">
        <v>0.4</v>
      </c>
      <c r="CU154" s="902">
        <v>57</v>
      </c>
      <c r="CV154" s="902" t="s">
        <v>758</v>
      </c>
      <c r="CW154" s="902">
        <v>11</v>
      </c>
      <c r="CX154" s="902" t="s">
        <v>758</v>
      </c>
      <c r="CY154" s="949">
        <v>0.06</v>
      </c>
      <c r="CZ154" s="949">
        <v>0.21</v>
      </c>
      <c r="DA154" s="949">
        <v>0.63</v>
      </c>
      <c r="DB154" s="949">
        <v>0.11</v>
      </c>
      <c r="DC154" s="949">
        <v>0.56000000000000005</v>
      </c>
      <c r="DD154" s="949">
        <v>0.42</v>
      </c>
      <c r="DE154" s="949">
        <v>0.3</v>
      </c>
      <c r="DF154" s="922">
        <v>325754004238</v>
      </c>
      <c r="DG154" s="892" t="e">
        <f>VLOOKUP(DF154,#REF!,3,0)</f>
        <v>#REF!</v>
      </c>
    </row>
    <row r="155" spans="1:111" ht="24.95" customHeight="1" x14ac:dyDescent="0.2">
      <c r="A155" s="803" t="s">
        <v>108</v>
      </c>
      <c r="B155" s="1" t="s">
        <v>123</v>
      </c>
      <c r="C155" s="12">
        <v>5</v>
      </c>
      <c r="D155" s="12">
        <v>63</v>
      </c>
      <c r="E155" s="12">
        <v>10</v>
      </c>
      <c r="F155" s="66">
        <v>0</v>
      </c>
      <c r="G155" s="66">
        <v>0.13</v>
      </c>
      <c r="H155" s="66">
        <v>0.67</v>
      </c>
      <c r="I155" s="66">
        <v>0.2</v>
      </c>
      <c r="J155" s="66">
        <v>0.34</v>
      </c>
      <c r="K155" s="66">
        <v>0.25</v>
      </c>
      <c r="L155" s="66">
        <v>0.34</v>
      </c>
      <c r="M155" s="12">
        <v>61</v>
      </c>
      <c r="N155" s="12">
        <v>8</v>
      </c>
      <c r="O155" s="40">
        <v>0</v>
      </c>
      <c r="P155" s="40">
        <v>0.13</v>
      </c>
      <c r="Q155" s="40">
        <v>0.74</v>
      </c>
      <c r="R155" s="40">
        <v>0.13</v>
      </c>
      <c r="S155" s="40">
        <v>0.35</v>
      </c>
      <c r="T155" s="40">
        <v>0.33</v>
      </c>
      <c r="U155" s="40">
        <v>0.25</v>
      </c>
      <c r="V155" s="12">
        <v>62</v>
      </c>
      <c r="W155" s="12">
        <v>10</v>
      </c>
      <c r="X155" s="66">
        <v>0</v>
      </c>
      <c r="Y155" s="66">
        <v>0.11</v>
      </c>
      <c r="Z155" s="66">
        <v>0.74</v>
      </c>
      <c r="AA155" s="66">
        <v>0.15</v>
      </c>
      <c r="AB155" s="66">
        <v>0.33</v>
      </c>
      <c r="AC155" s="66">
        <v>0.25</v>
      </c>
      <c r="AD155" s="66">
        <v>0.37</v>
      </c>
      <c r="AE155" s="12">
        <v>58</v>
      </c>
      <c r="AF155" s="12">
        <v>10</v>
      </c>
      <c r="AG155" s="66">
        <v>0.02</v>
      </c>
      <c r="AH155" s="66">
        <v>0.17</v>
      </c>
      <c r="AI155" s="66">
        <v>0.76</v>
      </c>
      <c r="AJ155" s="66">
        <v>0.04</v>
      </c>
      <c r="AK155" s="66">
        <v>0.43</v>
      </c>
      <c r="AL155" s="66">
        <v>0.36</v>
      </c>
      <c r="AM155" s="66">
        <v>0.22</v>
      </c>
      <c r="AN155" s="35">
        <v>58</v>
      </c>
      <c r="AO155" s="35">
        <v>9</v>
      </c>
      <c r="AP155" s="40">
        <v>0</v>
      </c>
      <c r="AQ155" s="40">
        <v>0.17</v>
      </c>
      <c r="AR155" s="40">
        <v>0.75</v>
      </c>
      <c r="AS155" s="40">
        <v>0.08</v>
      </c>
      <c r="AT155" s="40">
        <v>0.19</v>
      </c>
      <c r="AU155" s="40">
        <v>0.42</v>
      </c>
      <c r="AV155" s="40">
        <v>0.41</v>
      </c>
      <c r="AW155" s="246">
        <v>57</v>
      </c>
      <c r="AX155" s="246" t="s">
        <v>758</v>
      </c>
      <c r="AY155" s="246">
        <v>9</v>
      </c>
      <c r="AZ155" s="246" t="s">
        <v>758</v>
      </c>
      <c r="BA155" s="263">
        <v>0.02</v>
      </c>
      <c r="BB155" s="263">
        <v>0.19</v>
      </c>
      <c r="BC155" s="263">
        <v>0.73</v>
      </c>
      <c r="BD155" s="263">
        <v>0.06</v>
      </c>
      <c r="BE155" s="263">
        <v>0.21</v>
      </c>
      <c r="BF155" s="263">
        <v>0.41</v>
      </c>
      <c r="BG155" s="263">
        <v>0.4</v>
      </c>
      <c r="BH155" s="309">
        <v>59</v>
      </c>
      <c r="BI155" s="309" t="s">
        <v>758</v>
      </c>
      <c r="BJ155" s="309">
        <v>11</v>
      </c>
      <c r="BK155" s="309" t="s">
        <v>758</v>
      </c>
      <c r="BL155" s="464"/>
      <c r="BM155" s="464"/>
      <c r="BN155" s="464"/>
      <c r="BO155" s="327">
        <v>0.04</v>
      </c>
      <c r="BP155" s="327">
        <v>0.15</v>
      </c>
      <c r="BQ155" s="327">
        <v>0.7</v>
      </c>
      <c r="BR155" s="327">
        <v>0.11</v>
      </c>
      <c r="BS155" s="327">
        <v>0.41</v>
      </c>
      <c r="BT155" s="327">
        <v>0.4</v>
      </c>
      <c r="BU155" s="476"/>
      <c r="BV155" s="476"/>
      <c r="BW155" s="476"/>
      <c r="BX155" s="327">
        <v>0.28000000000000003</v>
      </c>
      <c r="BY155" s="424">
        <v>61</v>
      </c>
      <c r="BZ155" s="424" t="s">
        <v>759</v>
      </c>
      <c r="CA155" s="424">
        <v>10</v>
      </c>
      <c r="CB155" s="424" t="s">
        <v>758</v>
      </c>
      <c r="CC155" s="428">
        <v>0.01</v>
      </c>
      <c r="CD155" s="428">
        <v>0.12</v>
      </c>
      <c r="CE155" s="428">
        <v>0.72</v>
      </c>
      <c r="CF155" s="428">
        <v>0.14000000000000001</v>
      </c>
      <c r="CG155" s="428">
        <v>0.47</v>
      </c>
      <c r="CH155" s="428">
        <v>0.24</v>
      </c>
      <c r="CI155" s="428">
        <v>0.43</v>
      </c>
      <c r="CJ155" s="464">
        <v>62</v>
      </c>
      <c r="CK155" s="464" t="s">
        <v>759</v>
      </c>
      <c r="CL155" s="464">
        <v>10</v>
      </c>
      <c r="CM155" s="464" t="s">
        <v>758</v>
      </c>
      <c r="CN155" s="476">
        <v>0</v>
      </c>
      <c r="CO155" s="476">
        <v>0.11</v>
      </c>
      <c r="CP155" s="476">
        <v>0.69</v>
      </c>
      <c r="CQ155" s="476">
        <v>0.2</v>
      </c>
      <c r="CR155" s="476">
        <v>0.41</v>
      </c>
      <c r="CS155" s="476">
        <v>0.38</v>
      </c>
      <c r="CT155" s="476">
        <v>0.3</v>
      </c>
      <c r="CU155" s="902">
        <v>58</v>
      </c>
      <c r="CV155" s="902" t="s">
        <v>758</v>
      </c>
      <c r="CW155" s="902">
        <v>12</v>
      </c>
      <c r="CX155" s="902" t="s">
        <v>758</v>
      </c>
      <c r="CY155" s="949">
        <v>0.04</v>
      </c>
      <c r="CZ155" s="949">
        <v>0.19</v>
      </c>
      <c r="DA155" s="949">
        <v>0.65</v>
      </c>
      <c r="DB155" s="949">
        <v>0.13</v>
      </c>
      <c r="DC155" s="949">
        <v>0.46</v>
      </c>
      <c r="DD155" s="949">
        <v>0.41</v>
      </c>
      <c r="DE155" s="949">
        <v>0.31</v>
      </c>
      <c r="DF155" s="922">
        <v>325754005099</v>
      </c>
      <c r="DG155" s="892" t="e">
        <f>VLOOKUP(DF155,#REF!,3,0)</f>
        <v>#REF!</v>
      </c>
    </row>
    <row r="156" spans="1:111" ht="24.95" customHeight="1" x14ac:dyDescent="0.2">
      <c r="A156" s="803" t="s">
        <v>92</v>
      </c>
      <c r="B156" s="1" t="s">
        <v>123</v>
      </c>
      <c r="C156" s="12">
        <v>1</v>
      </c>
      <c r="D156" s="12">
        <v>54</v>
      </c>
      <c r="E156" s="12">
        <v>11</v>
      </c>
      <c r="F156" s="66">
        <v>0.03</v>
      </c>
      <c r="G156" s="66">
        <v>0.42</v>
      </c>
      <c r="H156" s="66">
        <v>0.53</v>
      </c>
      <c r="I156" s="66">
        <v>0.03</v>
      </c>
      <c r="J156" s="66">
        <v>0.51</v>
      </c>
      <c r="K156" s="66">
        <v>0.4</v>
      </c>
      <c r="L156" s="66">
        <v>0.48</v>
      </c>
      <c r="M156" s="12">
        <v>52</v>
      </c>
      <c r="N156" s="12">
        <v>9</v>
      </c>
      <c r="O156" s="40">
        <v>0.06</v>
      </c>
      <c r="P156" s="40">
        <v>0.28999999999999998</v>
      </c>
      <c r="Q156" s="40">
        <v>0.65</v>
      </c>
      <c r="R156" s="40">
        <v>0</v>
      </c>
      <c r="S156" s="40">
        <v>0.48</v>
      </c>
      <c r="T156" s="40">
        <v>0.56000000000000005</v>
      </c>
      <c r="U156" s="40">
        <v>0.36</v>
      </c>
      <c r="V156" s="12">
        <v>51</v>
      </c>
      <c r="W156" s="12">
        <v>11</v>
      </c>
      <c r="X156" s="66">
        <v>0.15</v>
      </c>
      <c r="Y156" s="66">
        <v>0.35</v>
      </c>
      <c r="Z156" s="66">
        <v>0.45</v>
      </c>
      <c r="AA156" s="66">
        <v>0.05</v>
      </c>
      <c r="AB156" s="66">
        <v>0.49</v>
      </c>
      <c r="AC156" s="66">
        <v>0.4</v>
      </c>
      <c r="AD156" s="66">
        <v>0.56000000000000005</v>
      </c>
      <c r="AE156" s="12">
        <v>54</v>
      </c>
      <c r="AF156" s="12">
        <v>11</v>
      </c>
      <c r="AG156" s="66">
        <v>0.04</v>
      </c>
      <c r="AH156" s="66">
        <v>0.36</v>
      </c>
      <c r="AI156" s="66">
        <v>0.56000000000000005</v>
      </c>
      <c r="AJ156" s="66">
        <v>0.04</v>
      </c>
      <c r="AK156" s="66">
        <v>0.49</v>
      </c>
      <c r="AL156" s="66">
        <v>0.48</v>
      </c>
      <c r="AM156" s="66">
        <v>0.3</v>
      </c>
      <c r="AN156" s="35">
        <v>52</v>
      </c>
      <c r="AO156" s="35">
        <v>9</v>
      </c>
      <c r="AP156" s="40">
        <v>0.05</v>
      </c>
      <c r="AQ156" s="40">
        <v>0.36</v>
      </c>
      <c r="AR156" s="40">
        <v>0.56999999999999995</v>
      </c>
      <c r="AS156" s="40">
        <v>0.02</v>
      </c>
      <c r="AT156" s="40">
        <v>0.28000000000000003</v>
      </c>
      <c r="AU156" s="40">
        <v>0.51</v>
      </c>
      <c r="AV156" s="40">
        <v>0.51</v>
      </c>
      <c r="AW156" s="246">
        <v>49</v>
      </c>
      <c r="AX156" s="246" t="s">
        <v>758</v>
      </c>
      <c r="AY156" s="246">
        <v>9</v>
      </c>
      <c r="AZ156" s="246" t="s">
        <v>758</v>
      </c>
      <c r="BA156" s="263">
        <v>0.05</v>
      </c>
      <c r="BB156" s="263">
        <v>0.56999999999999995</v>
      </c>
      <c r="BC156" s="263">
        <v>0.36</v>
      </c>
      <c r="BD156" s="263">
        <v>0.02</v>
      </c>
      <c r="BE156" s="263">
        <v>0.34</v>
      </c>
      <c r="BF156" s="263">
        <v>0.54</v>
      </c>
      <c r="BG156" s="263">
        <v>0.53</v>
      </c>
      <c r="BH156" s="309">
        <v>50</v>
      </c>
      <c r="BI156" s="309" t="s">
        <v>758</v>
      </c>
      <c r="BJ156" s="309">
        <v>10</v>
      </c>
      <c r="BK156" s="309" t="s">
        <v>758</v>
      </c>
      <c r="BL156" s="464"/>
      <c r="BM156" s="464"/>
      <c r="BN156" s="464"/>
      <c r="BO156" s="327">
        <v>0.08</v>
      </c>
      <c r="BP156" s="327">
        <v>0.37</v>
      </c>
      <c r="BQ156" s="327">
        <v>0.56000000000000005</v>
      </c>
      <c r="BR156" s="327">
        <v>0</v>
      </c>
      <c r="BS156" s="327">
        <v>0.56000000000000005</v>
      </c>
      <c r="BT156" s="327">
        <v>0.67</v>
      </c>
      <c r="BU156" s="476"/>
      <c r="BV156" s="476"/>
      <c r="BW156" s="476"/>
      <c r="BX156" s="327">
        <v>0.4</v>
      </c>
      <c r="BY156" s="424">
        <v>54</v>
      </c>
      <c r="BZ156" s="424" t="s">
        <v>758</v>
      </c>
      <c r="CA156" s="424">
        <v>9</v>
      </c>
      <c r="CB156" s="424" t="s">
        <v>758</v>
      </c>
      <c r="CC156" s="428">
        <v>0.04</v>
      </c>
      <c r="CD156" s="428">
        <v>0.33</v>
      </c>
      <c r="CE156" s="428">
        <v>0.6</v>
      </c>
      <c r="CF156" s="428">
        <v>0.02</v>
      </c>
      <c r="CG156" s="428">
        <v>0.59</v>
      </c>
      <c r="CH156" s="428">
        <v>0.34</v>
      </c>
      <c r="CI156" s="428">
        <v>0.56999999999999995</v>
      </c>
      <c r="CJ156" s="464">
        <v>55</v>
      </c>
      <c r="CK156" s="464" t="s">
        <v>758</v>
      </c>
      <c r="CL156" s="464">
        <v>8</v>
      </c>
      <c r="CM156" s="464" t="s">
        <v>758</v>
      </c>
      <c r="CN156" s="476">
        <v>0</v>
      </c>
      <c r="CO156" s="476">
        <v>0.33</v>
      </c>
      <c r="CP156" s="476">
        <v>0.63</v>
      </c>
      <c r="CQ156" s="476">
        <v>0.04</v>
      </c>
      <c r="CR156" s="476">
        <v>0.5</v>
      </c>
      <c r="CS156" s="476">
        <v>0.49</v>
      </c>
      <c r="CT156" s="476">
        <v>0.39</v>
      </c>
      <c r="CU156" s="902">
        <v>55</v>
      </c>
      <c r="CV156" s="902" t="s">
        <v>758</v>
      </c>
      <c r="CW156" s="902">
        <v>10</v>
      </c>
      <c r="CX156" s="902" t="s">
        <v>758</v>
      </c>
      <c r="CY156" s="949">
        <v>0.03</v>
      </c>
      <c r="CZ156" s="949">
        <v>0.33</v>
      </c>
      <c r="DA156" s="949">
        <v>0.59</v>
      </c>
      <c r="DB156" s="949">
        <v>0.05</v>
      </c>
      <c r="DC156" s="949">
        <v>0.56999999999999995</v>
      </c>
      <c r="DD156" s="949">
        <v>0.49</v>
      </c>
      <c r="DE156" s="949">
        <v>0.4</v>
      </c>
      <c r="DF156" s="922">
        <v>325754001905</v>
      </c>
      <c r="DG156" s="892" t="e">
        <f>VLOOKUP(DF156,#REF!,3,0)</f>
        <v>#REF!</v>
      </c>
    </row>
    <row r="157" spans="1:111" ht="24.95" customHeight="1" x14ac:dyDescent="0.2">
      <c r="A157" s="803" t="s">
        <v>130</v>
      </c>
      <c r="B157" s="1" t="s">
        <v>123</v>
      </c>
      <c r="C157" s="12">
        <v>6</v>
      </c>
      <c r="D157" s="12"/>
      <c r="E157" s="12"/>
      <c r="F157" s="12"/>
      <c r="G157" s="12"/>
      <c r="H157" s="12"/>
      <c r="I157" s="12"/>
      <c r="J157" s="12"/>
      <c r="K157" s="12"/>
      <c r="L157" s="12"/>
      <c r="M157" s="12">
        <v>45</v>
      </c>
      <c r="N157" s="12">
        <v>13</v>
      </c>
      <c r="O157" s="40">
        <v>0.17</v>
      </c>
      <c r="P157" s="40">
        <v>0.5</v>
      </c>
      <c r="Q157" s="40">
        <v>0.33</v>
      </c>
      <c r="R157" s="40">
        <v>0</v>
      </c>
      <c r="S157" s="40">
        <v>0.56999999999999995</v>
      </c>
      <c r="T157" s="40">
        <v>0.66</v>
      </c>
      <c r="U157" s="40">
        <v>0.43</v>
      </c>
      <c r="V157" s="12">
        <v>47</v>
      </c>
      <c r="W157" s="12">
        <v>9</v>
      </c>
      <c r="X157" s="66">
        <v>0</v>
      </c>
      <c r="Y157" s="66">
        <v>0.75</v>
      </c>
      <c r="Z157" s="66">
        <v>0.25</v>
      </c>
      <c r="AA157" s="66">
        <v>0</v>
      </c>
      <c r="AB157" s="66">
        <v>0.62</v>
      </c>
      <c r="AC157" s="66">
        <v>0.39</v>
      </c>
      <c r="AD157" s="66">
        <v>0.56000000000000005</v>
      </c>
      <c r="AE157" s="12">
        <v>50</v>
      </c>
      <c r="AF157" s="12">
        <v>12</v>
      </c>
      <c r="AG157" s="66">
        <v>0</v>
      </c>
      <c r="AH157" s="66">
        <v>0.5</v>
      </c>
      <c r="AI157" s="66">
        <v>0.5</v>
      </c>
      <c r="AJ157" s="66">
        <v>0</v>
      </c>
      <c r="AK157" s="66">
        <v>0.61</v>
      </c>
      <c r="AL157" s="66">
        <v>0.33</v>
      </c>
      <c r="AM157" s="66">
        <v>0.38</v>
      </c>
      <c r="AN157" s="35">
        <v>37</v>
      </c>
      <c r="AO157" s="35">
        <v>1</v>
      </c>
      <c r="AP157" s="40">
        <v>0</v>
      </c>
      <c r="AQ157" s="40">
        <v>1</v>
      </c>
      <c r="AR157" s="40">
        <v>0</v>
      </c>
      <c r="AS157" s="40">
        <v>0</v>
      </c>
      <c r="AT157" s="40">
        <v>0.55000000000000004</v>
      </c>
      <c r="AU157" s="40">
        <v>0.83</v>
      </c>
      <c r="AV157" s="40">
        <v>0.71</v>
      </c>
      <c r="AW157" s="646"/>
      <c r="AX157" s="646"/>
      <c r="AY157" s="646"/>
      <c r="AZ157" s="646"/>
      <c r="BA157" s="646"/>
      <c r="BB157" s="646"/>
      <c r="BC157" s="646"/>
      <c r="BD157" s="646"/>
      <c r="BE157" s="646"/>
      <c r="BF157" s="646"/>
      <c r="BG157" s="646"/>
      <c r="BH157" s="649"/>
      <c r="BI157" s="649"/>
      <c r="BJ157" s="649"/>
      <c r="BK157" s="649"/>
      <c r="BL157" s="650"/>
      <c r="BM157" s="650"/>
      <c r="BN157" s="650"/>
      <c r="BO157" s="649"/>
      <c r="BP157" s="649"/>
      <c r="BQ157" s="649"/>
      <c r="BR157" s="649"/>
      <c r="BS157" s="649"/>
      <c r="BT157" s="649"/>
      <c r="BU157" s="650"/>
      <c r="BV157" s="650"/>
      <c r="BW157" s="650"/>
      <c r="BX157" s="649"/>
      <c r="BY157" s="651"/>
      <c r="BZ157" s="651"/>
      <c r="CA157" s="651"/>
      <c r="CB157" s="651"/>
      <c r="CC157" s="651"/>
      <c r="CD157" s="651"/>
      <c r="CE157" s="651"/>
      <c r="CF157" s="651"/>
      <c r="CG157" s="651"/>
      <c r="CH157" s="651"/>
      <c r="CI157" s="651"/>
      <c r="CJ157" s="650"/>
      <c r="CK157" s="650"/>
      <c r="CL157" s="650"/>
      <c r="CM157" s="650"/>
      <c r="CN157" s="650"/>
      <c r="CO157" s="650"/>
      <c r="CP157" s="650"/>
      <c r="CQ157" s="650"/>
      <c r="CR157" s="650"/>
      <c r="CS157" s="650"/>
      <c r="CT157" s="650"/>
      <c r="CY157" s="949"/>
      <c r="CZ157" s="949"/>
      <c r="DA157" s="949"/>
      <c r="DB157" s="949"/>
      <c r="DC157" s="949"/>
      <c r="DD157" s="949"/>
      <c r="DE157" s="949"/>
      <c r="DG157" s="892"/>
    </row>
    <row r="158" spans="1:111" ht="24.95" customHeight="1" x14ac:dyDescent="0.2">
      <c r="A158" s="803" t="s">
        <v>115</v>
      </c>
      <c r="B158" s="1" t="s">
        <v>123</v>
      </c>
      <c r="C158" s="12">
        <v>3</v>
      </c>
      <c r="D158" s="12">
        <v>56</v>
      </c>
      <c r="E158" s="12">
        <v>10</v>
      </c>
      <c r="F158" s="66">
        <v>0.06</v>
      </c>
      <c r="G158" s="66">
        <v>0.19</v>
      </c>
      <c r="H158" s="66">
        <v>0.63</v>
      </c>
      <c r="I158" s="66">
        <v>0.13</v>
      </c>
      <c r="J158" s="66">
        <v>0.5</v>
      </c>
      <c r="K158" s="66">
        <v>0.32</v>
      </c>
      <c r="L158" s="66">
        <v>0.48</v>
      </c>
      <c r="M158" s="12">
        <v>50</v>
      </c>
      <c r="N158" s="12">
        <v>7</v>
      </c>
      <c r="O158" s="40">
        <v>7.0000000000000007E-2</v>
      </c>
      <c r="P158" s="40">
        <v>0.4</v>
      </c>
      <c r="Q158" s="40">
        <v>0.53</v>
      </c>
      <c r="R158" s="40">
        <v>0</v>
      </c>
      <c r="S158" s="40">
        <v>0.45</v>
      </c>
      <c r="T158" s="40">
        <v>0.63</v>
      </c>
      <c r="U158" s="40">
        <v>0.33</v>
      </c>
      <c r="V158" s="12">
        <v>50</v>
      </c>
      <c r="W158" s="12">
        <v>11</v>
      </c>
      <c r="X158" s="66">
        <v>0.13</v>
      </c>
      <c r="Y158" s="66">
        <v>0.38</v>
      </c>
      <c r="Z158" s="66">
        <v>0.5</v>
      </c>
      <c r="AA158" s="66">
        <v>0</v>
      </c>
      <c r="AB158" s="66">
        <v>0.51</v>
      </c>
      <c r="AC158" s="66">
        <v>0.38</v>
      </c>
      <c r="AD158" s="66">
        <v>0.52</v>
      </c>
      <c r="AE158" s="12">
        <v>52</v>
      </c>
      <c r="AF158" s="12">
        <v>11</v>
      </c>
      <c r="AG158" s="66">
        <v>0.05</v>
      </c>
      <c r="AH158" s="66">
        <v>0.45</v>
      </c>
      <c r="AI158" s="66">
        <v>0.45</v>
      </c>
      <c r="AJ158" s="66">
        <v>0.05</v>
      </c>
      <c r="AK158" s="66">
        <v>0.5</v>
      </c>
      <c r="AL158" s="66">
        <v>0.5</v>
      </c>
      <c r="AM158" s="66">
        <v>0.32</v>
      </c>
      <c r="AN158" s="35">
        <v>50</v>
      </c>
      <c r="AO158" s="35">
        <v>9</v>
      </c>
      <c r="AP158" s="40">
        <v>0.04</v>
      </c>
      <c r="AQ158" s="40">
        <v>0.46</v>
      </c>
      <c r="AR158" s="40">
        <v>0.5</v>
      </c>
      <c r="AS158" s="40">
        <v>0</v>
      </c>
      <c r="AT158" s="40">
        <v>0.27</v>
      </c>
      <c r="AU158" s="40">
        <v>0.55000000000000004</v>
      </c>
      <c r="AV158" s="40">
        <v>0.53</v>
      </c>
      <c r="AW158" s="647">
        <v>51</v>
      </c>
      <c r="AX158" s="647" t="s">
        <v>758</v>
      </c>
      <c r="AY158" s="647">
        <v>9</v>
      </c>
      <c r="AZ158" s="647" t="s">
        <v>758</v>
      </c>
      <c r="BA158" s="648">
        <v>0.04</v>
      </c>
      <c r="BB158" s="648">
        <v>0.44</v>
      </c>
      <c r="BC158" s="648">
        <v>0.52</v>
      </c>
      <c r="BD158" s="648">
        <v>0</v>
      </c>
      <c r="BE158" s="648">
        <v>0.3</v>
      </c>
      <c r="BF158" s="648">
        <v>0.53</v>
      </c>
      <c r="BG158" s="648">
        <v>0.45</v>
      </c>
      <c r="BH158" s="74">
        <v>48</v>
      </c>
      <c r="BI158" s="74" t="s">
        <v>758</v>
      </c>
      <c r="BJ158" s="74">
        <v>11</v>
      </c>
      <c r="BK158" s="74" t="s">
        <v>758</v>
      </c>
      <c r="BL158" s="74"/>
      <c r="BM158" s="74"/>
      <c r="BN158" s="74"/>
      <c r="BO158" s="96">
        <v>0.14000000000000001</v>
      </c>
      <c r="BP158" s="96">
        <v>0.43</v>
      </c>
      <c r="BQ158" s="96">
        <v>0.43</v>
      </c>
      <c r="BR158" s="96">
        <v>0</v>
      </c>
      <c r="BS158" s="96">
        <v>0.59</v>
      </c>
      <c r="BT158" s="96">
        <v>0.64</v>
      </c>
      <c r="BU158" s="96"/>
      <c r="BV158" s="96"/>
      <c r="BW158" s="96"/>
      <c r="BX158" s="96">
        <v>0.44</v>
      </c>
      <c r="BY158" s="652">
        <v>52</v>
      </c>
      <c r="BZ158" s="652" t="s">
        <v>758</v>
      </c>
      <c r="CA158" s="652">
        <v>9</v>
      </c>
      <c r="CB158" s="652" t="s">
        <v>758</v>
      </c>
      <c r="CC158" s="653">
        <v>0.04</v>
      </c>
      <c r="CD158" s="653">
        <v>0.35</v>
      </c>
      <c r="CE158" s="653">
        <v>0.62</v>
      </c>
      <c r="CF158" s="653">
        <v>0</v>
      </c>
      <c r="CG158" s="653">
        <v>0.64</v>
      </c>
      <c r="CH158" s="653">
        <v>0.33</v>
      </c>
      <c r="CI158" s="653">
        <v>0.67</v>
      </c>
      <c r="CJ158" s="74">
        <v>52</v>
      </c>
      <c r="CK158" s="74" t="s">
        <v>758</v>
      </c>
      <c r="CL158" s="74">
        <v>10</v>
      </c>
      <c r="CM158" s="74" t="s">
        <v>758</v>
      </c>
      <c r="CN158" s="96">
        <v>0.1</v>
      </c>
      <c r="CO158" s="96">
        <v>0.28000000000000003</v>
      </c>
      <c r="CP158" s="96">
        <v>0.59</v>
      </c>
      <c r="CQ158" s="96">
        <v>0.03</v>
      </c>
      <c r="CR158" s="96">
        <v>0.6</v>
      </c>
      <c r="CS158" s="96">
        <v>0.56000000000000005</v>
      </c>
      <c r="CT158" s="96">
        <v>0.34</v>
      </c>
      <c r="CU158" s="902">
        <v>54</v>
      </c>
      <c r="CV158" s="902" t="s">
        <v>758</v>
      </c>
      <c r="CW158" s="902">
        <v>10</v>
      </c>
      <c r="CX158" s="902" t="s">
        <v>758</v>
      </c>
      <c r="CY158" s="949">
        <v>0</v>
      </c>
      <c r="CZ158" s="949">
        <v>0.33</v>
      </c>
      <c r="DA158" s="949">
        <v>0.56999999999999995</v>
      </c>
      <c r="DB158" s="949">
        <v>0.1</v>
      </c>
      <c r="DC158" s="949">
        <v>0.61</v>
      </c>
      <c r="DD158" s="949">
        <v>0.48</v>
      </c>
      <c r="DE158" s="949">
        <v>0.32</v>
      </c>
      <c r="DF158" s="922">
        <v>325754004033</v>
      </c>
      <c r="DG158" s="892" t="e">
        <f>VLOOKUP(DF158,#REF!,3,0)</f>
        <v>#REF!</v>
      </c>
    </row>
    <row r="159" spans="1:111" ht="24.95" customHeight="1" x14ac:dyDescent="0.2">
      <c r="A159" s="803" t="s">
        <v>37</v>
      </c>
      <c r="B159" s="1" t="s">
        <v>123</v>
      </c>
      <c r="C159" s="12">
        <v>3</v>
      </c>
      <c r="D159" s="12">
        <v>50</v>
      </c>
      <c r="E159" s="12">
        <v>10</v>
      </c>
      <c r="F159" s="66">
        <v>7.0000000000000007E-2</v>
      </c>
      <c r="G159" s="66">
        <v>0.44</v>
      </c>
      <c r="H159" s="66">
        <v>0.49</v>
      </c>
      <c r="I159" s="66">
        <v>0</v>
      </c>
      <c r="J159" s="66">
        <v>0.56999999999999995</v>
      </c>
      <c r="K159" s="66">
        <v>0.49</v>
      </c>
      <c r="L159" s="66">
        <v>0.54</v>
      </c>
      <c r="M159" s="12">
        <v>48</v>
      </c>
      <c r="N159" s="12">
        <v>10</v>
      </c>
      <c r="O159" s="40">
        <v>0.08</v>
      </c>
      <c r="P159" s="40">
        <v>0.57999999999999996</v>
      </c>
      <c r="Q159" s="40">
        <v>0.28999999999999998</v>
      </c>
      <c r="R159" s="40">
        <v>0.04</v>
      </c>
      <c r="S159" s="40">
        <v>0.48</v>
      </c>
      <c r="T159" s="40">
        <v>0.62</v>
      </c>
      <c r="U159" s="40">
        <v>0.43</v>
      </c>
      <c r="V159" s="12">
        <v>48</v>
      </c>
      <c r="W159" s="12">
        <v>9</v>
      </c>
      <c r="X159" s="66">
        <v>0.09</v>
      </c>
      <c r="Y159" s="66">
        <v>0.53</v>
      </c>
      <c r="Z159" s="66">
        <v>0.38</v>
      </c>
      <c r="AA159" s="66">
        <v>0</v>
      </c>
      <c r="AB159" s="66">
        <v>0.55000000000000004</v>
      </c>
      <c r="AC159" s="66">
        <v>0.45</v>
      </c>
      <c r="AD159" s="66">
        <v>0.55000000000000004</v>
      </c>
      <c r="AE159" s="12">
        <v>48</v>
      </c>
      <c r="AF159" s="12">
        <v>10</v>
      </c>
      <c r="AG159" s="66">
        <v>0.11</v>
      </c>
      <c r="AH159" s="66">
        <v>0.56000000000000005</v>
      </c>
      <c r="AI159" s="66">
        <v>0.33</v>
      </c>
      <c r="AJ159" s="66">
        <v>0</v>
      </c>
      <c r="AK159" s="66">
        <v>0.62</v>
      </c>
      <c r="AL159" s="66">
        <v>0.53</v>
      </c>
      <c r="AM159" s="66">
        <v>0.36</v>
      </c>
      <c r="AN159" s="35">
        <v>49</v>
      </c>
      <c r="AO159" s="35">
        <v>6</v>
      </c>
      <c r="AP159" s="40">
        <v>0</v>
      </c>
      <c r="AQ159" s="40">
        <v>0.54</v>
      </c>
      <c r="AR159" s="40">
        <v>0.46</v>
      </c>
      <c r="AS159" s="40">
        <v>0</v>
      </c>
      <c r="AT159" s="40">
        <v>0.35</v>
      </c>
      <c r="AU159" s="40">
        <v>0.49</v>
      </c>
      <c r="AV159" s="40">
        <v>0.62</v>
      </c>
      <c r="AW159" s="246">
        <v>49</v>
      </c>
      <c r="AX159" s="246" t="s">
        <v>758</v>
      </c>
      <c r="AY159" s="246">
        <v>9</v>
      </c>
      <c r="AZ159" s="246" t="s">
        <v>758</v>
      </c>
      <c r="BA159" s="263">
        <v>0.04</v>
      </c>
      <c r="BB159" s="263">
        <v>0.43</v>
      </c>
      <c r="BC159" s="263">
        <v>0.5</v>
      </c>
      <c r="BD159" s="263">
        <v>0.04</v>
      </c>
      <c r="BE159" s="263">
        <v>0.34</v>
      </c>
      <c r="BF159" s="263">
        <v>0.54</v>
      </c>
      <c r="BG159" s="263">
        <v>0.48</v>
      </c>
      <c r="BH159" s="309">
        <v>53</v>
      </c>
      <c r="BI159" s="309" t="s">
        <v>758</v>
      </c>
      <c r="BJ159" s="309">
        <v>9</v>
      </c>
      <c r="BK159" s="309" t="s">
        <v>758</v>
      </c>
      <c r="BL159" s="464"/>
      <c r="BM159" s="464"/>
      <c r="BN159" s="464"/>
      <c r="BO159" s="327">
        <v>0.04</v>
      </c>
      <c r="BP159" s="327">
        <v>0.36</v>
      </c>
      <c r="BQ159" s="327">
        <v>0.61</v>
      </c>
      <c r="BR159" s="327">
        <v>0</v>
      </c>
      <c r="BS159" s="327">
        <v>0.56000000000000005</v>
      </c>
      <c r="BT159" s="327">
        <v>0.56000000000000005</v>
      </c>
      <c r="BU159" s="476"/>
      <c r="BV159" s="476"/>
      <c r="BW159" s="476"/>
      <c r="BX159" s="327">
        <v>0.36</v>
      </c>
      <c r="BY159" s="424">
        <v>51</v>
      </c>
      <c r="BZ159" s="424" t="s">
        <v>758</v>
      </c>
      <c r="CA159" s="424">
        <v>9</v>
      </c>
      <c r="CB159" s="424" t="s">
        <v>758</v>
      </c>
      <c r="CC159" s="428">
        <v>0.06</v>
      </c>
      <c r="CD159" s="428">
        <v>0.38</v>
      </c>
      <c r="CE159" s="428">
        <v>0.56000000000000005</v>
      </c>
      <c r="CF159" s="428">
        <v>0</v>
      </c>
      <c r="CG159" s="428">
        <v>0.61</v>
      </c>
      <c r="CH159" s="428">
        <v>0.43</v>
      </c>
      <c r="CI159" s="428">
        <v>0.64</v>
      </c>
      <c r="CJ159" s="464">
        <v>49</v>
      </c>
      <c r="CK159" s="464" t="s">
        <v>758</v>
      </c>
      <c r="CL159" s="464">
        <v>9</v>
      </c>
      <c r="CM159" s="464" t="s">
        <v>758</v>
      </c>
      <c r="CN159" s="476">
        <v>0.12</v>
      </c>
      <c r="CO159" s="476">
        <v>0.54</v>
      </c>
      <c r="CP159" s="476">
        <v>0.35</v>
      </c>
      <c r="CQ159" s="476">
        <v>0</v>
      </c>
      <c r="CR159" s="476">
        <v>0.61</v>
      </c>
      <c r="CS159" s="476">
        <v>0.59</v>
      </c>
      <c r="CT159" s="476">
        <v>0.45</v>
      </c>
      <c r="CU159" s="902">
        <v>51</v>
      </c>
      <c r="CV159" s="902" t="s">
        <v>758</v>
      </c>
      <c r="CW159" s="902">
        <v>9</v>
      </c>
      <c r="CX159" s="902" t="s">
        <v>758</v>
      </c>
      <c r="CY159" s="949">
        <v>0.03</v>
      </c>
      <c r="CZ159" s="949">
        <v>0.5</v>
      </c>
      <c r="DA159" s="949">
        <v>0.43</v>
      </c>
      <c r="DB159" s="949">
        <v>0.03</v>
      </c>
      <c r="DC159" s="949">
        <v>0.66</v>
      </c>
      <c r="DD159" s="949">
        <v>0.53</v>
      </c>
      <c r="DE159" s="949">
        <v>0.45</v>
      </c>
      <c r="DF159" s="922">
        <v>325754004211</v>
      </c>
      <c r="DG159" s="892" t="e">
        <f>VLOOKUP(DF159,#REF!,3,0)</f>
        <v>#REF!</v>
      </c>
    </row>
    <row r="160" spans="1:111" ht="24.95" customHeight="1" x14ac:dyDescent="0.2">
      <c r="A160" s="803" t="s">
        <v>107</v>
      </c>
      <c r="B160" s="1" t="s">
        <v>123</v>
      </c>
      <c r="C160" s="12">
        <v>5</v>
      </c>
      <c r="D160" s="12">
        <v>59</v>
      </c>
      <c r="E160" s="12">
        <v>8</v>
      </c>
      <c r="F160" s="66">
        <v>0</v>
      </c>
      <c r="G160" s="66">
        <v>0.13</v>
      </c>
      <c r="H160" s="66">
        <v>0.87</v>
      </c>
      <c r="I160" s="66">
        <v>0</v>
      </c>
      <c r="J160" s="66">
        <v>0.42</v>
      </c>
      <c r="K160" s="66">
        <v>0.42</v>
      </c>
      <c r="L160" s="66">
        <v>0.44</v>
      </c>
      <c r="M160" s="12">
        <v>59</v>
      </c>
      <c r="N160" s="12">
        <v>8</v>
      </c>
      <c r="O160" s="40">
        <v>0</v>
      </c>
      <c r="P160" s="40">
        <v>0.12</v>
      </c>
      <c r="Q160" s="40">
        <v>0.82</v>
      </c>
      <c r="R160" s="40">
        <v>0.06</v>
      </c>
      <c r="S160" s="40">
        <v>0.39</v>
      </c>
      <c r="T160" s="40">
        <v>0.42</v>
      </c>
      <c r="U160" s="40">
        <v>0.22</v>
      </c>
      <c r="V160" s="12">
        <v>62</v>
      </c>
      <c r="W160" s="12">
        <v>6</v>
      </c>
      <c r="X160" s="66">
        <v>0</v>
      </c>
      <c r="Y160" s="66">
        <v>0</v>
      </c>
      <c r="Z160" s="66">
        <v>0.84</v>
      </c>
      <c r="AA160" s="66">
        <v>0.16</v>
      </c>
      <c r="AB160" s="66">
        <v>0.27</v>
      </c>
      <c r="AC160" s="66">
        <v>0.27</v>
      </c>
      <c r="AD160" s="66">
        <v>0.37</v>
      </c>
      <c r="AE160" s="12">
        <v>64</v>
      </c>
      <c r="AF160" s="12">
        <v>6</v>
      </c>
      <c r="AG160" s="66">
        <v>0</v>
      </c>
      <c r="AH160" s="66">
        <v>0</v>
      </c>
      <c r="AI160" s="66">
        <v>0.79</v>
      </c>
      <c r="AJ160" s="66">
        <v>0.21</v>
      </c>
      <c r="AK160" s="66">
        <v>0.31</v>
      </c>
      <c r="AL160" s="66">
        <v>0.28000000000000003</v>
      </c>
      <c r="AM160" s="66">
        <v>0.16</v>
      </c>
      <c r="AN160" s="35">
        <v>60</v>
      </c>
      <c r="AO160" s="35">
        <v>7</v>
      </c>
      <c r="AP160" s="40">
        <v>0</v>
      </c>
      <c r="AQ160" s="40">
        <v>0.06</v>
      </c>
      <c r="AR160" s="40">
        <v>0.91</v>
      </c>
      <c r="AS160" s="40">
        <v>0.03</v>
      </c>
      <c r="AT160" s="40">
        <v>0.17</v>
      </c>
      <c r="AU160" s="40">
        <v>0.38</v>
      </c>
      <c r="AV160" s="40">
        <v>0.39</v>
      </c>
      <c r="AW160" s="246">
        <v>62</v>
      </c>
      <c r="AX160" s="246" t="s">
        <v>759</v>
      </c>
      <c r="AY160" s="246">
        <v>9</v>
      </c>
      <c r="AZ160" s="246" t="s">
        <v>758</v>
      </c>
      <c r="BA160" s="263">
        <v>0</v>
      </c>
      <c r="BB160" s="263">
        <v>0.14000000000000001</v>
      </c>
      <c r="BC160" s="263">
        <v>0.7</v>
      </c>
      <c r="BD160" s="263">
        <v>0.16</v>
      </c>
      <c r="BE160" s="263">
        <v>0.16</v>
      </c>
      <c r="BF160" s="263">
        <v>0.32</v>
      </c>
      <c r="BG160" s="263">
        <v>0.28999999999999998</v>
      </c>
      <c r="BH160" s="309">
        <v>58</v>
      </c>
      <c r="BI160" s="309" t="s">
        <v>758</v>
      </c>
      <c r="BJ160" s="309">
        <v>11</v>
      </c>
      <c r="BK160" s="309" t="s">
        <v>758</v>
      </c>
      <c r="BL160" s="464"/>
      <c r="BM160" s="464"/>
      <c r="BN160" s="464"/>
      <c r="BO160" s="327">
        <v>0</v>
      </c>
      <c r="BP160" s="327">
        <v>0.18</v>
      </c>
      <c r="BQ160" s="327">
        <v>0.68</v>
      </c>
      <c r="BR160" s="327">
        <v>0.14000000000000001</v>
      </c>
      <c r="BS160" s="327">
        <v>0.37</v>
      </c>
      <c r="BT160" s="327">
        <v>0.45</v>
      </c>
      <c r="BU160" s="476"/>
      <c r="BV160" s="476"/>
      <c r="BW160" s="476"/>
      <c r="BX160" s="327">
        <v>0.2</v>
      </c>
      <c r="BY160" s="424">
        <v>66</v>
      </c>
      <c r="BZ160" s="424" t="s">
        <v>759</v>
      </c>
      <c r="CA160" s="424">
        <v>7</v>
      </c>
      <c r="CB160" s="424" t="s">
        <v>758</v>
      </c>
      <c r="CC160" s="428">
        <v>0</v>
      </c>
      <c r="CD160" s="428">
        <v>0</v>
      </c>
      <c r="CE160" s="428">
        <v>0.65</v>
      </c>
      <c r="CF160" s="428">
        <v>0.35</v>
      </c>
      <c r="CG160" s="428">
        <v>0.43</v>
      </c>
      <c r="CH160" s="428">
        <v>0.15</v>
      </c>
      <c r="CI160" s="428">
        <v>0.32</v>
      </c>
      <c r="CJ160" s="464">
        <v>64</v>
      </c>
      <c r="CK160" s="464" t="s">
        <v>759</v>
      </c>
      <c r="CL160" s="464">
        <v>10</v>
      </c>
      <c r="CM160" s="464" t="s">
        <v>758</v>
      </c>
      <c r="CN160" s="476">
        <v>0</v>
      </c>
      <c r="CO160" s="476">
        <v>0.12</v>
      </c>
      <c r="CP160" s="476">
        <v>0.67</v>
      </c>
      <c r="CQ160" s="476">
        <v>0.21</v>
      </c>
      <c r="CR160" s="476">
        <v>0.38</v>
      </c>
      <c r="CS160" s="476">
        <v>0.28000000000000003</v>
      </c>
      <c r="CT160" s="476">
        <v>0.22</v>
      </c>
      <c r="CU160" s="902">
        <v>64</v>
      </c>
      <c r="CV160" s="902" t="s">
        <v>759</v>
      </c>
      <c r="CW160" s="902">
        <v>9</v>
      </c>
      <c r="CX160" s="902" t="s">
        <v>758</v>
      </c>
      <c r="CY160" s="949">
        <v>0</v>
      </c>
      <c r="CZ160" s="949">
        <v>0.11</v>
      </c>
      <c r="DA160" s="949">
        <v>0.65</v>
      </c>
      <c r="DB160" s="949">
        <v>0.24</v>
      </c>
      <c r="DC160" s="949">
        <v>0.34</v>
      </c>
      <c r="DD160" s="949">
        <v>0.32</v>
      </c>
      <c r="DE160" s="949">
        <v>0.24</v>
      </c>
      <c r="DF160" s="922">
        <v>325754003517</v>
      </c>
      <c r="DG160" s="892" t="e">
        <f>VLOOKUP(DF160,#REF!,3,0)</f>
        <v>#REF!</v>
      </c>
    </row>
    <row r="161" spans="1:111" ht="24.95" customHeight="1" x14ac:dyDescent="0.2">
      <c r="A161" s="803" t="s">
        <v>18</v>
      </c>
      <c r="B161" s="1" t="s">
        <v>123</v>
      </c>
      <c r="C161" s="12">
        <v>5</v>
      </c>
      <c r="D161" s="12">
        <v>57</v>
      </c>
      <c r="E161" s="12">
        <v>8</v>
      </c>
      <c r="F161" s="66">
        <v>0</v>
      </c>
      <c r="G161" s="66">
        <v>0.24</v>
      </c>
      <c r="H161" s="66">
        <v>0.73</v>
      </c>
      <c r="I161" s="66">
        <v>0.03</v>
      </c>
      <c r="J161" s="66">
        <v>0.45</v>
      </c>
      <c r="K161" s="66">
        <v>0.33</v>
      </c>
      <c r="L161" s="66">
        <v>0.45</v>
      </c>
      <c r="M161" s="12">
        <v>59</v>
      </c>
      <c r="N161" s="12">
        <v>8</v>
      </c>
      <c r="O161" s="40">
        <v>0</v>
      </c>
      <c r="P161" s="40">
        <v>0.22</v>
      </c>
      <c r="Q161" s="40">
        <v>0.73</v>
      </c>
      <c r="R161" s="40">
        <v>0.05</v>
      </c>
      <c r="S161" s="40">
        <v>0.38</v>
      </c>
      <c r="T161" s="40">
        <v>0.45</v>
      </c>
      <c r="U161" s="40">
        <v>0.23</v>
      </c>
      <c r="V161" s="12">
        <v>58</v>
      </c>
      <c r="W161" s="12">
        <v>9</v>
      </c>
      <c r="X161" s="66">
        <v>0</v>
      </c>
      <c r="Y161" s="66">
        <v>0.23</v>
      </c>
      <c r="Z161" s="66">
        <v>0.71</v>
      </c>
      <c r="AA161" s="66">
        <v>0.06</v>
      </c>
      <c r="AB161" s="66">
        <v>0.41</v>
      </c>
      <c r="AC161" s="66">
        <v>0.28000000000000003</v>
      </c>
      <c r="AD161" s="66">
        <v>0.42</v>
      </c>
      <c r="AE161" s="12">
        <v>59</v>
      </c>
      <c r="AF161" s="12">
        <v>7</v>
      </c>
      <c r="AG161" s="66">
        <v>0</v>
      </c>
      <c r="AH161" s="66">
        <v>0.13</v>
      </c>
      <c r="AI161" s="66">
        <v>0.84</v>
      </c>
      <c r="AJ161" s="66">
        <v>0.04</v>
      </c>
      <c r="AK161" s="66">
        <v>0.41</v>
      </c>
      <c r="AL161" s="66">
        <v>0.4</v>
      </c>
      <c r="AM161" s="66">
        <v>0.19</v>
      </c>
      <c r="AN161" s="35">
        <v>58</v>
      </c>
      <c r="AO161" s="35">
        <v>8</v>
      </c>
      <c r="AP161" s="40">
        <v>0</v>
      </c>
      <c r="AQ161" s="40">
        <v>0.17</v>
      </c>
      <c r="AR161" s="40">
        <v>0.78</v>
      </c>
      <c r="AS161" s="40">
        <v>0.05</v>
      </c>
      <c r="AT161" s="40">
        <v>0.2</v>
      </c>
      <c r="AU161" s="40">
        <v>0.41</v>
      </c>
      <c r="AV161" s="40">
        <v>0.41</v>
      </c>
      <c r="AW161" s="246">
        <v>57</v>
      </c>
      <c r="AX161" s="246" t="s">
        <v>758</v>
      </c>
      <c r="AY161" s="246">
        <v>9</v>
      </c>
      <c r="AZ161" s="246" t="s">
        <v>758</v>
      </c>
      <c r="BA161" s="263">
        <v>0.02</v>
      </c>
      <c r="BB161" s="263">
        <v>0.2</v>
      </c>
      <c r="BC161" s="263">
        <v>0.7</v>
      </c>
      <c r="BD161" s="263">
        <v>7.0000000000000007E-2</v>
      </c>
      <c r="BE161" s="263">
        <v>0.2</v>
      </c>
      <c r="BF161" s="263">
        <v>0.43</v>
      </c>
      <c r="BG161" s="263">
        <v>0.4</v>
      </c>
      <c r="BH161" s="309">
        <v>56</v>
      </c>
      <c r="BI161" s="309" t="s">
        <v>758</v>
      </c>
      <c r="BJ161" s="309">
        <v>8</v>
      </c>
      <c r="BK161" s="309" t="s">
        <v>758</v>
      </c>
      <c r="BL161" s="464"/>
      <c r="BM161" s="464"/>
      <c r="BN161" s="464"/>
      <c r="BO161" s="327">
        <v>0</v>
      </c>
      <c r="BP161" s="327">
        <v>0.25</v>
      </c>
      <c r="BQ161" s="327">
        <v>0.73</v>
      </c>
      <c r="BR161" s="327">
        <v>0.03</v>
      </c>
      <c r="BS161" s="327">
        <v>0.44</v>
      </c>
      <c r="BT161" s="327">
        <v>0.54</v>
      </c>
      <c r="BU161" s="476"/>
      <c r="BV161" s="476"/>
      <c r="BW161" s="476"/>
      <c r="BX161" s="327">
        <v>0.32</v>
      </c>
      <c r="BY161" s="424">
        <v>57</v>
      </c>
      <c r="BZ161" s="424" t="s">
        <v>758</v>
      </c>
      <c r="CA161" s="424">
        <v>11</v>
      </c>
      <c r="CB161" s="424" t="s">
        <v>758</v>
      </c>
      <c r="CC161" s="428">
        <v>0.03</v>
      </c>
      <c r="CD161" s="428">
        <v>0.24</v>
      </c>
      <c r="CE161" s="428">
        <v>0.63</v>
      </c>
      <c r="CF161" s="428">
        <v>0.09</v>
      </c>
      <c r="CG161" s="428">
        <v>0.55000000000000004</v>
      </c>
      <c r="CH161" s="428">
        <v>0.3</v>
      </c>
      <c r="CI161" s="428">
        <v>0.48</v>
      </c>
      <c r="CJ161" s="464">
        <v>55</v>
      </c>
      <c r="CK161" s="464" t="s">
        <v>758</v>
      </c>
      <c r="CL161" s="464">
        <v>11</v>
      </c>
      <c r="CM161" s="464" t="s">
        <v>758</v>
      </c>
      <c r="CN161" s="476">
        <v>0.04</v>
      </c>
      <c r="CO161" s="476">
        <v>0.36</v>
      </c>
      <c r="CP161" s="476">
        <v>0.55000000000000004</v>
      </c>
      <c r="CQ161" s="476">
        <v>0.05</v>
      </c>
      <c r="CR161" s="476">
        <v>0.5</v>
      </c>
      <c r="CS161" s="476">
        <v>0.47</v>
      </c>
      <c r="CT161" s="476">
        <v>0.42</v>
      </c>
      <c r="CU161" s="902">
        <v>57</v>
      </c>
      <c r="CV161" s="902" t="s">
        <v>758</v>
      </c>
      <c r="CW161" s="902">
        <v>11</v>
      </c>
      <c r="CX161" s="902" t="s">
        <v>758</v>
      </c>
      <c r="CY161" s="949">
        <v>0.06</v>
      </c>
      <c r="CZ161" s="949">
        <v>0.18</v>
      </c>
      <c r="DA161" s="949">
        <v>0.67</v>
      </c>
      <c r="DB161" s="949">
        <v>0.1</v>
      </c>
      <c r="DC161" s="949">
        <v>0.53</v>
      </c>
      <c r="DD161" s="949">
        <v>0.43</v>
      </c>
      <c r="DE161" s="949">
        <v>0.34</v>
      </c>
      <c r="DF161" s="922">
        <v>325754002901</v>
      </c>
      <c r="DG161" s="892" t="e">
        <f>VLOOKUP(DF161,#REF!,3,0)</f>
        <v>#REF!</v>
      </c>
    </row>
    <row r="162" spans="1:111" ht="24.95" customHeight="1" x14ac:dyDescent="0.2">
      <c r="A162" s="803" t="s">
        <v>68</v>
      </c>
      <c r="B162" s="1" t="s">
        <v>123</v>
      </c>
      <c r="C162" s="12">
        <v>3</v>
      </c>
      <c r="D162" s="12">
        <v>54</v>
      </c>
      <c r="E162" s="12">
        <v>11</v>
      </c>
      <c r="F162" s="66">
        <v>0</v>
      </c>
      <c r="G162" s="66">
        <v>0.47</v>
      </c>
      <c r="H162" s="66">
        <v>0.43</v>
      </c>
      <c r="I162" s="66">
        <v>0.1</v>
      </c>
      <c r="J162" s="66">
        <v>0.53</v>
      </c>
      <c r="K162" s="66">
        <v>0.36</v>
      </c>
      <c r="L162" s="66">
        <v>0.52</v>
      </c>
      <c r="M162" s="12">
        <v>50</v>
      </c>
      <c r="N162" s="12">
        <v>9</v>
      </c>
      <c r="O162" s="40">
        <v>0.04</v>
      </c>
      <c r="P162" s="40">
        <v>0.46</v>
      </c>
      <c r="Q162" s="40">
        <v>0.5</v>
      </c>
      <c r="R162" s="40">
        <v>0</v>
      </c>
      <c r="S162" s="40">
        <v>0.52</v>
      </c>
      <c r="T162" s="40">
        <v>0.59</v>
      </c>
      <c r="U162" s="40">
        <v>0.35</v>
      </c>
      <c r="V162" s="12">
        <v>52</v>
      </c>
      <c r="W162" s="12">
        <v>7</v>
      </c>
      <c r="X162" s="66">
        <v>0.04</v>
      </c>
      <c r="Y162" s="66">
        <v>0.32</v>
      </c>
      <c r="Z162" s="66">
        <v>0.64</v>
      </c>
      <c r="AA162" s="66">
        <v>0</v>
      </c>
      <c r="AB162" s="66">
        <v>0.5</v>
      </c>
      <c r="AC162" s="66">
        <v>0.38</v>
      </c>
      <c r="AD162" s="66">
        <v>0.51</v>
      </c>
      <c r="AE162" s="12">
        <v>56</v>
      </c>
      <c r="AF162" s="12">
        <v>9</v>
      </c>
      <c r="AG162" s="66">
        <v>0</v>
      </c>
      <c r="AH162" s="66">
        <v>0.41</v>
      </c>
      <c r="AI162" s="66">
        <v>0.52</v>
      </c>
      <c r="AJ162" s="66">
        <v>7.0000000000000007E-2</v>
      </c>
      <c r="AK162" s="66">
        <v>0.49</v>
      </c>
      <c r="AL162" s="66">
        <v>0.4</v>
      </c>
      <c r="AM162" s="66">
        <v>0.27</v>
      </c>
      <c r="AN162" s="35">
        <v>53</v>
      </c>
      <c r="AO162" s="35">
        <v>8</v>
      </c>
      <c r="AP162" s="40">
        <v>0.03</v>
      </c>
      <c r="AQ162" s="40">
        <v>0.38</v>
      </c>
      <c r="AR162" s="40">
        <v>0.59</v>
      </c>
      <c r="AS162" s="40">
        <v>0</v>
      </c>
      <c r="AT162" s="40">
        <v>0.28000000000000003</v>
      </c>
      <c r="AU162" s="40">
        <v>0.52</v>
      </c>
      <c r="AV162" s="40">
        <v>0.54</v>
      </c>
      <c r="AW162" s="246">
        <v>56</v>
      </c>
      <c r="AX162" s="246" t="s">
        <v>758</v>
      </c>
      <c r="AY162" s="246">
        <v>8</v>
      </c>
      <c r="AZ162" s="246" t="s">
        <v>758</v>
      </c>
      <c r="BA162" s="263">
        <v>0</v>
      </c>
      <c r="BB162" s="263">
        <v>0.24</v>
      </c>
      <c r="BC162" s="263">
        <v>0.7</v>
      </c>
      <c r="BD162" s="263">
        <v>0.05</v>
      </c>
      <c r="BE162" s="263">
        <v>0.2</v>
      </c>
      <c r="BF162" s="263">
        <v>0.46</v>
      </c>
      <c r="BG162" s="263">
        <v>0.42</v>
      </c>
      <c r="BH162" s="309">
        <v>56</v>
      </c>
      <c r="BI162" s="309" t="s">
        <v>758</v>
      </c>
      <c r="BJ162" s="309">
        <v>11</v>
      </c>
      <c r="BK162" s="309" t="s">
        <v>758</v>
      </c>
      <c r="BL162" s="464"/>
      <c r="BM162" s="464"/>
      <c r="BN162" s="464"/>
      <c r="BO162" s="327">
        <v>0.03</v>
      </c>
      <c r="BP162" s="327">
        <v>0.35</v>
      </c>
      <c r="BQ162" s="327">
        <v>0.55000000000000004</v>
      </c>
      <c r="BR162" s="327">
        <v>0.08</v>
      </c>
      <c r="BS162" s="327">
        <v>0.47</v>
      </c>
      <c r="BT162" s="327">
        <v>0.55000000000000004</v>
      </c>
      <c r="BU162" s="476"/>
      <c r="BV162" s="476"/>
      <c r="BW162" s="476"/>
      <c r="BX162" s="327">
        <v>0.31</v>
      </c>
      <c r="BY162" s="424">
        <v>53</v>
      </c>
      <c r="BZ162" s="424" t="s">
        <v>758</v>
      </c>
      <c r="CA162" s="424">
        <v>10</v>
      </c>
      <c r="CB162" s="424" t="s">
        <v>758</v>
      </c>
      <c r="CC162" s="428">
        <v>7.0000000000000007E-2</v>
      </c>
      <c r="CD162" s="428">
        <v>0.23</v>
      </c>
      <c r="CE162" s="428">
        <v>0.67</v>
      </c>
      <c r="CF162" s="428">
        <v>0.03</v>
      </c>
      <c r="CG162" s="428">
        <v>0.59</v>
      </c>
      <c r="CH162" s="428">
        <v>0.33</v>
      </c>
      <c r="CI162" s="428">
        <v>0.53</v>
      </c>
      <c r="CJ162" s="464">
        <v>47</v>
      </c>
      <c r="CK162" s="464" t="s">
        <v>758</v>
      </c>
      <c r="CL162" s="464">
        <v>10</v>
      </c>
      <c r="CM162" s="464" t="s">
        <v>758</v>
      </c>
      <c r="CN162" s="476">
        <v>0.18</v>
      </c>
      <c r="CO162" s="476">
        <v>0.41</v>
      </c>
      <c r="CP162" s="476">
        <v>0.41</v>
      </c>
      <c r="CQ162" s="476">
        <v>0</v>
      </c>
      <c r="CR162" s="476">
        <v>0.68</v>
      </c>
      <c r="CS162" s="476">
        <v>0.56000000000000005</v>
      </c>
      <c r="CT162" s="476">
        <v>0.56000000000000005</v>
      </c>
      <c r="CU162" s="902">
        <v>51</v>
      </c>
      <c r="CV162" s="902" t="s">
        <v>758</v>
      </c>
      <c r="CW162" s="902">
        <v>13</v>
      </c>
      <c r="CX162" s="902" t="s">
        <v>758</v>
      </c>
      <c r="CY162" s="949">
        <v>0.09</v>
      </c>
      <c r="CZ162" s="949">
        <v>0.41</v>
      </c>
      <c r="DA162" s="949">
        <v>0.5</v>
      </c>
      <c r="DB162" s="949">
        <v>0</v>
      </c>
      <c r="DC162" s="949">
        <v>0.62</v>
      </c>
      <c r="DD162" s="949">
        <v>0.47</v>
      </c>
      <c r="DE162" s="949">
        <v>0.35</v>
      </c>
      <c r="DF162" s="922">
        <v>325754004661</v>
      </c>
      <c r="DG162" s="892" t="e">
        <f>VLOOKUP(DF162,#REF!,3,0)</f>
        <v>#REF!</v>
      </c>
    </row>
    <row r="163" spans="1:111" ht="24.95" customHeight="1" x14ac:dyDescent="0.2">
      <c r="A163" s="803" t="s">
        <v>112</v>
      </c>
      <c r="B163" s="1" t="s">
        <v>123</v>
      </c>
      <c r="C163" s="12">
        <v>5</v>
      </c>
      <c r="D163" s="12">
        <v>49</v>
      </c>
      <c r="E163" s="12">
        <v>9</v>
      </c>
      <c r="F163" s="66">
        <v>0.16</v>
      </c>
      <c r="G163" s="66">
        <v>0.31</v>
      </c>
      <c r="H163" s="66">
        <v>0.53</v>
      </c>
      <c r="I163" s="66">
        <v>0</v>
      </c>
      <c r="J163" s="66">
        <v>0.57999999999999996</v>
      </c>
      <c r="K163" s="66">
        <v>0.47</v>
      </c>
      <c r="L163" s="66">
        <v>0.54</v>
      </c>
      <c r="M163" s="12">
        <v>56</v>
      </c>
      <c r="N163" s="12">
        <v>10</v>
      </c>
      <c r="O163" s="40">
        <v>0.05</v>
      </c>
      <c r="P163" s="40">
        <v>0.23</v>
      </c>
      <c r="Q163" s="40">
        <v>0.7</v>
      </c>
      <c r="R163" s="40">
        <v>0.03</v>
      </c>
      <c r="S163" s="40">
        <v>0.44</v>
      </c>
      <c r="T163" s="40">
        <v>0.47</v>
      </c>
      <c r="U163" s="40">
        <v>0.3</v>
      </c>
      <c r="V163" s="12">
        <v>55</v>
      </c>
      <c r="W163" s="12">
        <v>9</v>
      </c>
      <c r="X163" s="66">
        <v>0</v>
      </c>
      <c r="Y163" s="66">
        <v>0.35</v>
      </c>
      <c r="Z163" s="66">
        <v>0.63</v>
      </c>
      <c r="AA163" s="66">
        <v>0.02</v>
      </c>
      <c r="AB163" s="66">
        <v>0.45</v>
      </c>
      <c r="AC163" s="66">
        <v>0.33</v>
      </c>
      <c r="AD163" s="66">
        <v>0.47</v>
      </c>
      <c r="AE163" s="12">
        <v>55</v>
      </c>
      <c r="AF163" s="12">
        <v>9</v>
      </c>
      <c r="AG163" s="66">
        <v>0.02</v>
      </c>
      <c r="AH163" s="66">
        <v>0.27</v>
      </c>
      <c r="AI163" s="66">
        <v>0.69</v>
      </c>
      <c r="AJ163" s="66">
        <v>0.02</v>
      </c>
      <c r="AK163" s="66">
        <v>0.49</v>
      </c>
      <c r="AL163" s="66">
        <v>0.4</v>
      </c>
      <c r="AM163" s="66">
        <v>0.23</v>
      </c>
      <c r="AN163" s="35">
        <v>59</v>
      </c>
      <c r="AO163" s="35">
        <v>10</v>
      </c>
      <c r="AP163" s="40">
        <v>0</v>
      </c>
      <c r="AQ163" s="40">
        <v>0.22</v>
      </c>
      <c r="AR163" s="40">
        <v>0.73</v>
      </c>
      <c r="AS163" s="40">
        <v>0.05</v>
      </c>
      <c r="AT163" s="40">
        <v>0.19</v>
      </c>
      <c r="AU163" s="40">
        <v>0.39</v>
      </c>
      <c r="AV163" s="40">
        <v>0.45</v>
      </c>
      <c r="AW163" s="246">
        <v>56</v>
      </c>
      <c r="AX163" s="246" t="s">
        <v>758</v>
      </c>
      <c r="AY163" s="246">
        <v>8</v>
      </c>
      <c r="AZ163" s="246" t="s">
        <v>758</v>
      </c>
      <c r="BA163" s="263">
        <v>0</v>
      </c>
      <c r="BB163" s="263">
        <v>0.28000000000000003</v>
      </c>
      <c r="BC163" s="263">
        <v>0.72</v>
      </c>
      <c r="BD163" s="263">
        <v>0</v>
      </c>
      <c r="BE163" s="263">
        <v>0.22</v>
      </c>
      <c r="BF163" s="263">
        <v>0.46</v>
      </c>
      <c r="BG163" s="263">
        <v>0.4</v>
      </c>
      <c r="BH163" s="309">
        <v>58</v>
      </c>
      <c r="BI163" s="309" t="s">
        <v>758</v>
      </c>
      <c r="BJ163" s="309">
        <v>12</v>
      </c>
      <c r="BK163" s="309" t="s">
        <v>758</v>
      </c>
      <c r="BL163" s="464"/>
      <c r="BM163" s="464"/>
      <c r="BN163" s="464"/>
      <c r="BO163" s="327">
        <v>0.02</v>
      </c>
      <c r="BP163" s="327">
        <v>0.15</v>
      </c>
      <c r="BQ163" s="327">
        <v>0.72</v>
      </c>
      <c r="BR163" s="327">
        <v>0.11</v>
      </c>
      <c r="BS163" s="327">
        <v>0.41</v>
      </c>
      <c r="BT163" s="327">
        <v>0.46</v>
      </c>
      <c r="BU163" s="476"/>
      <c r="BV163" s="476"/>
      <c r="BW163" s="476"/>
      <c r="BX163" s="327">
        <v>0.22</v>
      </c>
      <c r="BY163" s="424">
        <v>57</v>
      </c>
      <c r="BZ163" s="424" t="s">
        <v>758</v>
      </c>
      <c r="CA163" s="424">
        <v>9</v>
      </c>
      <c r="CB163" s="424" t="s">
        <v>758</v>
      </c>
      <c r="CC163" s="428">
        <v>0</v>
      </c>
      <c r="CD163" s="428">
        <v>0.2</v>
      </c>
      <c r="CE163" s="428">
        <v>0.73</v>
      </c>
      <c r="CF163" s="428">
        <v>7.0000000000000007E-2</v>
      </c>
      <c r="CG163" s="428">
        <v>0.54</v>
      </c>
      <c r="CH163" s="428">
        <v>0.27</v>
      </c>
      <c r="CI163" s="428">
        <v>0.53</v>
      </c>
      <c r="CJ163" s="464">
        <v>58</v>
      </c>
      <c r="CK163" s="464" t="s">
        <v>758</v>
      </c>
      <c r="CL163" s="464">
        <v>9</v>
      </c>
      <c r="CM163" s="464" t="s">
        <v>758</v>
      </c>
      <c r="CN163" s="476">
        <v>0</v>
      </c>
      <c r="CO163" s="476">
        <v>0.19</v>
      </c>
      <c r="CP163" s="476">
        <v>0.74</v>
      </c>
      <c r="CQ163" s="476">
        <v>7.0000000000000007E-2</v>
      </c>
      <c r="CR163" s="476">
        <v>0.45</v>
      </c>
      <c r="CS163" s="476">
        <v>0.44</v>
      </c>
      <c r="CT163" s="476">
        <v>0.35</v>
      </c>
      <c r="CU163" s="902">
        <v>59</v>
      </c>
      <c r="CV163" s="902" t="s">
        <v>758</v>
      </c>
      <c r="CW163" s="902">
        <v>9</v>
      </c>
      <c r="CX163" s="902" t="s">
        <v>758</v>
      </c>
      <c r="CY163" s="949">
        <v>0.02</v>
      </c>
      <c r="CZ163" s="949">
        <v>0.12</v>
      </c>
      <c r="DA163" s="949">
        <v>0.8</v>
      </c>
      <c r="DB163" s="949">
        <v>7.0000000000000007E-2</v>
      </c>
      <c r="DC163" s="949">
        <v>0.48</v>
      </c>
      <c r="DD163" s="949">
        <v>0.36</v>
      </c>
      <c r="DE163" s="949">
        <v>0.28999999999999998</v>
      </c>
      <c r="DF163" s="922">
        <v>325754004441</v>
      </c>
      <c r="DG163" s="892" t="e">
        <f>VLOOKUP(DF163,#REF!,3,0)</f>
        <v>#REF!</v>
      </c>
    </row>
    <row r="164" spans="1:111" ht="24.95" customHeight="1" x14ac:dyDescent="0.2">
      <c r="A164" s="805" t="s">
        <v>110</v>
      </c>
      <c r="B164" s="1" t="s">
        <v>121</v>
      </c>
      <c r="C164" s="12">
        <v>5</v>
      </c>
      <c r="D164" s="12">
        <v>53</v>
      </c>
      <c r="E164" s="12">
        <v>8</v>
      </c>
      <c r="F164" s="66">
        <v>0.02</v>
      </c>
      <c r="G164" s="66">
        <v>0.33</v>
      </c>
      <c r="H164" s="66">
        <v>0.64</v>
      </c>
      <c r="I164" s="66">
        <v>0.02</v>
      </c>
      <c r="J164" s="66">
        <v>0.5</v>
      </c>
      <c r="K164" s="66">
        <v>0.49</v>
      </c>
      <c r="L164" s="66">
        <v>0.57999999999999996</v>
      </c>
      <c r="M164" s="12">
        <v>56</v>
      </c>
      <c r="N164" s="12">
        <v>9</v>
      </c>
      <c r="O164" s="40">
        <v>0.02</v>
      </c>
      <c r="P164" s="40">
        <v>0.25</v>
      </c>
      <c r="Q164" s="40">
        <v>0.68</v>
      </c>
      <c r="R164" s="40">
        <v>0.06</v>
      </c>
      <c r="S164" s="40">
        <v>0.43</v>
      </c>
      <c r="T164" s="40">
        <v>0.48</v>
      </c>
      <c r="U164" s="40">
        <v>0.28000000000000003</v>
      </c>
      <c r="V164" s="12">
        <v>55</v>
      </c>
      <c r="W164" s="12">
        <v>8</v>
      </c>
      <c r="X164" s="66">
        <v>0.01</v>
      </c>
      <c r="Y164" s="66">
        <v>0.31</v>
      </c>
      <c r="Z164" s="66">
        <v>0.64</v>
      </c>
      <c r="AA164" s="66">
        <v>0.04</v>
      </c>
      <c r="AB164" s="66">
        <v>0.45</v>
      </c>
      <c r="AC164" s="66">
        <v>0.33</v>
      </c>
      <c r="AD164" s="66">
        <v>0.44</v>
      </c>
      <c r="AE164" s="12">
        <v>58</v>
      </c>
      <c r="AF164" s="12">
        <v>8</v>
      </c>
      <c r="AG164" s="66">
        <v>0</v>
      </c>
      <c r="AH164" s="66">
        <v>0.18</v>
      </c>
      <c r="AI164" s="66">
        <v>0.74</v>
      </c>
      <c r="AJ164" s="66">
        <v>0.08</v>
      </c>
      <c r="AK164" s="66">
        <v>0.45</v>
      </c>
      <c r="AL164" s="66">
        <v>0.39</v>
      </c>
      <c r="AM164" s="66">
        <v>0.21</v>
      </c>
      <c r="AN164" s="35">
        <v>60</v>
      </c>
      <c r="AO164" s="35">
        <v>8</v>
      </c>
      <c r="AP164" s="40">
        <v>0</v>
      </c>
      <c r="AQ164" s="40">
        <v>0.14000000000000001</v>
      </c>
      <c r="AR164" s="40">
        <v>0.8</v>
      </c>
      <c r="AS164" s="40">
        <v>0.06</v>
      </c>
      <c r="AT164" s="40">
        <v>0.17</v>
      </c>
      <c r="AU164" s="40">
        <v>0.37</v>
      </c>
      <c r="AV164" s="40">
        <v>0.39</v>
      </c>
      <c r="AW164" s="246">
        <v>56</v>
      </c>
      <c r="AX164" s="246" t="s">
        <v>758</v>
      </c>
      <c r="AY164" s="246">
        <v>8</v>
      </c>
      <c r="AZ164" s="246" t="s">
        <v>758</v>
      </c>
      <c r="BA164" s="263">
        <v>0</v>
      </c>
      <c r="BB164" s="263">
        <v>0.21</v>
      </c>
      <c r="BC164" s="263">
        <v>0.73</v>
      </c>
      <c r="BD164" s="263">
        <v>0.06</v>
      </c>
      <c r="BE164" s="263">
        <v>0.22</v>
      </c>
      <c r="BF164" s="263">
        <v>0.45</v>
      </c>
      <c r="BG164" s="263">
        <v>0.38</v>
      </c>
      <c r="BH164" s="309">
        <v>59</v>
      </c>
      <c r="BI164" s="309" t="s">
        <v>758</v>
      </c>
      <c r="BJ164" s="309">
        <v>9</v>
      </c>
      <c r="BK164" s="309" t="s">
        <v>758</v>
      </c>
      <c r="BL164" s="464"/>
      <c r="BM164" s="464"/>
      <c r="BN164" s="464"/>
      <c r="BO164" s="327">
        <v>0.01</v>
      </c>
      <c r="BP164" s="327">
        <v>0.12</v>
      </c>
      <c r="BQ164" s="327">
        <v>0.8</v>
      </c>
      <c r="BR164" s="327">
        <v>7.0000000000000007E-2</v>
      </c>
      <c r="BS164" s="327">
        <v>0.39</v>
      </c>
      <c r="BT164" s="327">
        <v>0.51</v>
      </c>
      <c r="BU164" s="476"/>
      <c r="BV164" s="476"/>
      <c r="BW164" s="476"/>
      <c r="BX164" s="327">
        <v>0.28999999999999998</v>
      </c>
      <c r="BY164" s="424">
        <v>56</v>
      </c>
      <c r="BZ164" s="424" t="s">
        <v>758</v>
      </c>
      <c r="CA164" s="424">
        <v>10</v>
      </c>
      <c r="CB164" s="424" t="s">
        <v>758</v>
      </c>
      <c r="CC164" s="428">
        <v>0.03</v>
      </c>
      <c r="CD164" s="428">
        <v>0.26</v>
      </c>
      <c r="CE164" s="428">
        <v>0.68</v>
      </c>
      <c r="CF164" s="428">
        <v>0.03</v>
      </c>
      <c r="CG164" s="428">
        <v>0.57999999999999996</v>
      </c>
      <c r="CH164" s="428">
        <v>0.32</v>
      </c>
      <c r="CI164" s="428">
        <v>0.54</v>
      </c>
      <c r="CJ164" s="464">
        <v>59</v>
      </c>
      <c r="CK164" s="464" t="s">
        <v>758</v>
      </c>
      <c r="CL164" s="464">
        <v>10</v>
      </c>
      <c r="CM164" s="464" t="s">
        <v>758</v>
      </c>
      <c r="CN164" s="476">
        <v>0.02</v>
      </c>
      <c r="CO164" s="476">
        <v>0.17</v>
      </c>
      <c r="CP164" s="476">
        <v>0.69</v>
      </c>
      <c r="CQ164" s="476">
        <v>0.12</v>
      </c>
      <c r="CR164" s="476">
        <v>0.52</v>
      </c>
      <c r="CS164" s="476">
        <v>0.42</v>
      </c>
      <c r="CT164" s="476">
        <v>0.34</v>
      </c>
      <c r="CU164" s="902">
        <v>61</v>
      </c>
      <c r="CV164" s="902" t="s">
        <v>758</v>
      </c>
      <c r="CW164" s="902">
        <v>11</v>
      </c>
      <c r="CX164" s="902" t="s">
        <v>758</v>
      </c>
      <c r="CY164" s="949">
        <v>0.01</v>
      </c>
      <c r="CZ164" s="949">
        <v>0.17</v>
      </c>
      <c r="DA164" s="949">
        <v>0.65</v>
      </c>
      <c r="DB164" s="949">
        <v>0.17</v>
      </c>
      <c r="DC164" s="949">
        <v>0.48</v>
      </c>
      <c r="DD164" s="949">
        <v>0.36</v>
      </c>
      <c r="DE164" s="949">
        <v>0.24</v>
      </c>
      <c r="DF164" s="922">
        <v>325754005471</v>
      </c>
      <c r="DG164" s="892" t="e">
        <f>VLOOKUP(DF164,#REF!,3,0)</f>
        <v>#REF!</v>
      </c>
    </row>
    <row r="165" spans="1:111" ht="24.95" customHeight="1" x14ac:dyDescent="0.2">
      <c r="A165" s="803" t="s">
        <v>116</v>
      </c>
      <c r="B165" s="1" t="s">
        <v>123</v>
      </c>
      <c r="C165" s="12">
        <v>5</v>
      </c>
      <c r="D165" s="12">
        <v>56</v>
      </c>
      <c r="E165" s="12">
        <v>8</v>
      </c>
      <c r="F165" s="66">
        <v>0</v>
      </c>
      <c r="G165" s="66">
        <v>0.21</v>
      </c>
      <c r="H165" s="66">
        <v>0.74</v>
      </c>
      <c r="I165" s="66">
        <v>0.05</v>
      </c>
      <c r="J165" s="66">
        <v>0.5</v>
      </c>
      <c r="K165" s="66">
        <v>0.37</v>
      </c>
      <c r="L165" s="66">
        <v>0.51</v>
      </c>
      <c r="M165" s="12">
        <v>57</v>
      </c>
      <c r="N165" s="12">
        <v>10</v>
      </c>
      <c r="O165" s="40">
        <v>7.0000000000000007E-2</v>
      </c>
      <c r="P165" s="40">
        <v>0.14000000000000001</v>
      </c>
      <c r="Q165" s="40">
        <v>0.71</v>
      </c>
      <c r="R165" s="40">
        <v>7.0000000000000007E-2</v>
      </c>
      <c r="S165" s="40">
        <v>0.35</v>
      </c>
      <c r="T165" s="40">
        <v>0.44</v>
      </c>
      <c r="U165" s="40">
        <v>0.32</v>
      </c>
      <c r="V165" s="12">
        <v>59</v>
      </c>
      <c r="W165" s="12">
        <v>8</v>
      </c>
      <c r="X165" s="66">
        <v>0</v>
      </c>
      <c r="Y165" s="66">
        <v>0.11</v>
      </c>
      <c r="Z165" s="66">
        <v>0.8</v>
      </c>
      <c r="AA165" s="66">
        <v>0.09</v>
      </c>
      <c r="AB165" s="66">
        <v>0.35</v>
      </c>
      <c r="AC165" s="66">
        <v>0.33</v>
      </c>
      <c r="AD165" s="66">
        <v>0.4</v>
      </c>
      <c r="AE165" s="12">
        <v>61</v>
      </c>
      <c r="AF165" s="12">
        <v>7</v>
      </c>
      <c r="AG165" s="66">
        <v>0</v>
      </c>
      <c r="AH165" s="66">
        <v>0.05</v>
      </c>
      <c r="AI165" s="66">
        <v>0.9</v>
      </c>
      <c r="AJ165" s="66">
        <v>0.05</v>
      </c>
      <c r="AK165" s="66">
        <v>0.43</v>
      </c>
      <c r="AL165" s="66">
        <v>0.34</v>
      </c>
      <c r="AM165" s="66">
        <v>0.16</v>
      </c>
      <c r="AN165" s="35">
        <v>59</v>
      </c>
      <c r="AO165" s="35">
        <v>8</v>
      </c>
      <c r="AP165" s="40">
        <v>0</v>
      </c>
      <c r="AQ165" s="40">
        <v>0.14000000000000001</v>
      </c>
      <c r="AR165" s="40">
        <v>0.81</v>
      </c>
      <c r="AS165" s="40">
        <v>0.05</v>
      </c>
      <c r="AT165" s="40">
        <v>0.17</v>
      </c>
      <c r="AU165" s="40">
        <v>0.41</v>
      </c>
      <c r="AV165" s="40">
        <v>0.4</v>
      </c>
      <c r="AW165" s="246">
        <v>56</v>
      </c>
      <c r="AX165" s="246" t="s">
        <v>758</v>
      </c>
      <c r="AY165" s="246">
        <v>9</v>
      </c>
      <c r="AZ165" s="246" t="s">
        <v>758</v>
      </c>
      <c r="BA165" s="263">
        <v>0</v>
      </c>
      <c r="BB165" s="263">
        <v>0.23</v>
      </c>
      <c r="BC165" s="263">
        <v>0.7</v>
      </c>
      <c r="BD165" s="263">
        <v>7.0000000000000007E-2</v>
      </c>
      <c r="BE165" s="263">
        <v>0.23</v>
      </c>
      <c r="BF165" s="263">
        <v>0.44</v>
      </c>
      <c r="BG165" s="263">
        <v>0.42</v>
      </c>
      <c r="BH165" s="309">
        <v>58</v>
      </c>
      <c r="BI165" s="309" t="s">
        <v>758</v>
      </c>
      <c r="BJ165" s="309">
        <v>11</v>
      </c>
      <c r="BK165" s="309" t="s">
        <v>758</v>
      </c>
      <c r="BL165" s="464"/>
      <c r="BM165" s="464"/>
      <c r="BN165" s="464"/>
      <c r="BO165" s="327">
        <v>0.03</v>
      </c>
      <c r="BP165" s="327">
        <v>0.18</v>
      </c>
      <c r="BQ165" s="327">
        <v>0.74</v>
      </c>
      <c r="BR165" s="327">
        <v>0.05</v>
      </c>
      <c r="BS165" s="327">
        <v>0.4</v>
      </c>
      <c r="BT165" s="327">
        <v>0.53</v>
      </c>
      <c r="BU165" s="476"/>
      <c r="BV165" s="476"/>
      <c r="BW165" s="476"/>
      <c r="BX165" s="327">
        <v>0.32</v>
      </c>
      <c r="BY165" s="424">
        <v>59</v>
      </c>
      <c r="BZ165" s="424" t="s">
        <v>758</v>
      </c>
      <c r="CA165" s="424">
        <v>9</v>
      </c>
      <c r="CB165" s="424" t="s">
        <v>758</v>
      </c>
      <c r="CC165" s="428">
        <v>0</v>
      </c>
      <c r="CD165" s="428">
        <v>0.15</v>
      </c>
      <c r="CE165" s="428">
        <v>0.74</v>
      </c>
      <c r="CF165" s="428">
        <v>0.11</v>
      </c>
      <c r="CG165" s="428">
        <v>0.53</v>
      </c>
      <c r="CH165" s="428">
        <v>0.32</v>
      </c>
      <c r="CI165" s="428">
        <v>0.44</v>
      </c>
      <c r="CJ165" s="464">
        <v>60</v>
      </c>
      <c r="CK165" s="464" t="s">
        <v>758</v>
      </c>
      <c r="CL165" s="464">
        <v>9</v>
      </c>
      <c r="CM165" s="464" t="s">
        <v>758</v>
      </c>
      <c r="CN165" s="476">
        <v>0</v>
      </c>
      <c r="CO165" s="476">
        <v>0.15</v>
      </c>
      <c r="CP165" s="476">
        <v>0.72</v>
      </c>
      <c r="CQ165" s="476">
        <v>0.13</v>
      </c>
      <c r="CR165" s="476">
        <v>0.46</v>
      </c>
      <c r="CS165" s="476">
        <v>0.4</v>
      </c>
      <c r="CT165" s="476">
        <v>0.28999999999999998</v>
      </c>
      <c r="CU165" s="902">
        <v>60</v>
      </c>
      <c r="CV165" s="902" t="s">
        <v>758</v>
      </c>
      <c r="CW165" s="902">
        <v>9</v>
      </c>
      <c r="CX165" s="902" t="s">
        <v>758</v>
      </c>
      <c r="CY165" s="949">
        <v>0.02</v>
      </c>
      <c r="CZ165" s="949">
        <v>0.15</v>
      </c>
      <c r="DA165" s="949">
        <v>0.68</v>
      </c>
      <c r="DB165" s="949">
        <v>0.16</v>
      </c>
      <c r="DC165" s="949">
        <v>0.47</v>
      </c>
      <c r="DD165" s="949">
        <v>0.38</v>
      </c>
      <c r="DE165" s="949">
        <v>0.23</v>
      </c>
      <c r="DF165" s="922">
        <v>325754003878</v>
      </c>
      <c r="DG165" s="892" t="e">
        <f>VLOOKUP(DF165,#REF!,3,0)</f>
        <v>#REF!</v>
      </c>
    </row>
    <row r="166" spans="1:111" ht="24.95" customHeight="1" x14ac:dyDescent="0.2">
      <c r="A166" s="803" t="s">
        <v>98</v>
      </c>
      <c r="B166" s="1" t="s">
        <v>123</v>
      </c>
      <c r="C166" s="12">
        <v>5</v>
      </c>
      <c r="D166" s="12">
        <v>54</v>
      </c>
      <c r="E166" s="12">
        <v>8</v>
      </c>
      <c r="F166" s="66">
        <v>0</v>
      </c>
      <c r="G166" s="66">
        <v>0.4</v>
      </c>
      <c r="H166" s="66">
        <v>0.56999999999999995</v>
      </c>
      <c r="I166" s="66">
        <v>0.03</v>
      </c>
      <c r="J166" s="66">
        <v>0.51</v>
      </c>
      <c r="K166" s="66">
        <v>0.47</v>
      </c>
      <c r="L166" s="66">
        <v>0.48</v>
      </c>
      <c r="M166" s="12">
        <v>54</v>
      </c>
      <c r="N166" s="12">
        <v>8</v>
      </c>
      <c r="O166" s="40">
        <v>0</v>
      </c>
      <c r="P166" s="40">
        <v>0.31</v>
      </c>
      <c r="Q166" s="40">
        <v>0.69</v>
      </c>
      <c r="R166" s="40">
        <v>0</v>
      </c>
      <c r="S166" s="40">
        <v>0.44</v>
      </c>
      <c r="T166" s="40">
        <v>0.53</v>
      </c>
      <c r="U166" s="40">
        <v>0.32</v>
      </c>
      <c r="V166" s="12">
        <v>56</v>
      </c>
      <c r="W166" s="12">
        <v>7</v>
      </c>
      <c r="X166" s="66">
        <v>0</v>
      </c>
      <c r="Y166" s="66">
        <v>0.28000000000000003</v>
      </c>
      <c r="Z166" s="66">
        <v>0.67</v>
      </c>
      <c r="AA166" s="66">
        <v>0.06</v>
      </c>
      <c r="AB166" s="66">
        <v>0.43</v>
      </c>
      <c r="AC166" s="66">
        <v>0.33</v>
      </c>
      <c r="AD166" s="66">
        <v>0.48</v>
      </c>
      <c r="AE166" s="12">
        <v>57</v>
      </c>
      <c r="AF166" s="12">
        <v>9</v>
      </c>
      <c r="AG166" s="66">
        <v>0</v>
      </c>
      <c r="AH166" s="66">
        <v>0.25</v>
      </c>
      <c r="AI166" s="66">
        <v>0.7</v>
      </c>
      <c r="AJ166" s="66">
        <v>0.05</v>
      </c>
      <c r="AK166" s="66">
        <v>0.46</v>
      </c>
      <c r="AL166" s="66">
        <v>0.39</v>
      </c>
      <c r="AM166" s="66">
        <v>0.23</v>
      </c>
      <c r="AN166" s="35">
        <v>58</v>
      </c>
      <c r="AO166" s="35">
        <v>7</v>
      </c>
      <c r="AP166" s="40">
        <v>0</v>
      </c>
      <c r="AQ166" s="40">
        <v>0.14000000000000001</v>
      </c>
      <c r="AR166" s="40">
        <v>0.86</v>
      </c>
      <c r="AS166" s="40">
        <v>0</v>
      </c>
      <c r="AT166" s="40">
        <v>0.19</v>
      </c>
      <c r="AU166" s="40">
        <v>0.38</v>
      </c>
      <c r="AV166" s="40">
        <v>0.51</v>
      </c>
      <c r="AW166" s="246">
        <v>56</v>
      </c>
      <c r="AX166" s="246" t="s">
        <v>758</v>
      </c>
      <c r="AY166" s="246">
        <v>10</v>
      </c>
      <c r="AZ166" s="246" t="s">
        <v>758</v>
      </c>
      <c r="BA166" s="263">
        <v>0</v>
      </c>
      <c r="BB166" s="263">
        <v>0.43</v>
      </c>
      <c r="BC166" s="263">
        <v>0.5</v>
      </c>
      <c r="BD166" s="263">
        <v>7.0000000000000007E-2</v>
      </c>
      <c r="BE166" s="263">
        <v>0.21</v>
      </c>
      <c r="BF166" s="263">
        <v>0.48</v>
      </c>
      <c r="BG166" s="263">
        <v>0.45</v>
      </c>
      <c r="BH166" s="309">
        <v>60</v>
      </c>
      <c r="BI166" s="309" t="s">
        <v>758</v>
      </c>
      <c r="BJ166" s="309">
        <v>6</v>
      </c>
      <c r="BK166" s="309" t="s">
        <v>760</v>
      </c>
      <c r="BL166" s="464"/>
      <c r="BM166" s="464"/>
      <c r="BN166" s="464"/>
      <c r="BO166" s="327">
        <v>0</v>
      </c>
      <c r="BP166" s="327">
        <v>0.06</v>
      </c>
      <c r="BQ166" s="327">
        <v>0.87</v>
      </c>
      <c r="BR166" s="327">
        <v>0.06</v>
      </c>
      <c r="BS166" s="327">
        <v>0.35</v>
      </c>
      <c r="BT166" s="327">
        <v>0.5</v>
      </c>
      <c r="BU166" s="476"/>
      <c r="BV166" s="476"/>
      <c r="BW166" s="476"/>
      <c r="BX166" s="327">
        <v>0.23</v>
      </c>
      <c r="BY166" s="424">
        <v>57</v>
      </c>
      <c r="BZ166" s="424" t="s">
        <v>758</v>
      </c>
      <c r="CA166" s="424">
        <v>10</v>
      </c>
      <c r="CB166" s="424" t="s">
        <v>758</v>
      </c>
      <c r="CC166" s="428">
        <v>0.02</v>
      </c>
      <c r="CD166" s="428">
        <v>0.21</v>
      </c>
      <c r="CE166" s="428">
        <v>0.67</v>
      </c>
      <c r="CF166" s="428">
        <v>0.1</v>
      </c>
      <c r="CG166" s="428">
        <v>0.51</v>
      </c>
      <c r="CH166" s="428">
        <v>0.32</v>
      </c>
      <c r="CI166" s="428">
        <v>0.5</v>
      </c>
      <c r="CJ166" s="464">
        <v>57</v>
      </c>
      <c r="CK166" s="464" t="s">
        <v>758</v>
      </c>
      <c r="CL166" s="464">
        <v>7</v>
      </c>
      <c r="CM166" s="464" t="s">
        <v>760</v>
      </c>
      <c r="CN166" s="476">
        <v>0</v>
      </c>
      <c r="CO166" s="476">
        <v>0.14000000000000001</v>
      </c>
      <c r="CP166" s="476">
        <v>0.86</v>
      </c>
      <c r="CQ166" s="476">
        <v>0</v>
      </c>
      <c r="CR166" s="476">
        <v>0.54</v>
      </c>
      <c r="CS166" s="476">
        <v>0.48</v>
      </c>
      <c r="CT166" s="476">
        <v>0.32</v>
      </c>
      <c r="CU166" s="902">
        <v>57</v>
      </c>
      <c r="CV166" s="902" t="s">
        <v>758</v>
      </c>
      <c r="CW166" s="902">
        <v>9</v>
      </c>
      <c r="CX166" s="902" t="s">
        <v>758</v>
      </c>
      <c r="CY166" s="949">
        <v>0</v>
      </c>
      <c r="CZ166" s="949">
        <v>0.33</v>
      </c>
      <c r="DA166" s="949">
        <v>0.62</v>
      </c>
      <c r="DB166" s="949">
        <v>0.05</v>
      </c>
      <c r="DC166" s="949">
        <v>0.65</v>
      </c>
      <c r="DD166" s="949">
        <v>0.45</v>
      </c>
      <c r="DE166" s="949">
        <v>0.26</v>
      </c>
      <c r="DF166" s="922">
        <v>325754004262</v>
      </c>
      <c r="DG166" s="892" t="e">
        <f>VLOOKUP(DF166,#REF!,3,0)</f>
        <v>#REF!</v>
      </c>
    </row>
    <row r="167" spans="1:111" ht="24.95" customHeight="1" x14ac:dyDescent="0.2">
      <c r="A167" s="803" t="s">
        <v>175</v>
      </c>
      <c r="B167" s="1" t="s">
        <v>123</v>
      </c>
      <c r="C167" s="12">
        <v>4</v>
      </c>
      <c r="D167" s="12">
        <v>40</v>
      </c>
      <c r="E167" s="12">
        <v>7</v>
      </c>
      <c r="F167" s="66">
        <v>0.5</v>
      </c>
      <c r="G167" s="66">
        <v>0.5</v>
      </c>
      <c r="H167" s="66">
        <v>0</v>
      </c>
      <c r="I167" s="66">
        <v>0</v>
      </c>
      <c r="J167" s="66">
        <v>0.69</v>
      </c>
      <c r="K167" s="66">
        <v>0.64</v>
      </c>
      <c r="L167" s="66">
        <v>0.77</v>
      </c>
      <c r="M167" s="12">
        <v>41</v>
      </c>
      <c r="N167" s="12">
        <v>8</v>
      </c>
      <c r="O167" s="40">
        <v>0.3</v>
      </c>
      <c r="P167" s="40">
        <v>0.6</v>
      </c>
      <c r="Q167" s="40">
        <v>0.1</v>
      </c>
      <c r="R167" s="40">
        <v>0</v>
      </c>
      <c r="S167" s="40">
        <v>0.6</v>
      </c>
      <c r="T167" s="40">
        <v>0.7</v>
      </c>
      <c r="U167" s="40">
        <v>0.54</v>
      </c>
      <c r="V167" s="12">
        <v>47</v>
      </c>
      <c r="W167" s="12">
        <v>8</v>
      </c>
      <c r="X167" s="66">
        <v>0.13</v>
      </c>
      <c r="Y167" s="66">
        <v>0.5</v>
      </c>
      <c r="Z167" s="66">
        <v>0.38</v>
      </c>
      <c r="AA167" s="66">
        <v>0</v>
      </c>
      <c r="AB167" s="66">
        <v>0.52</v>
      </c>
      <c r="AC167" s="66">
        <v>0.52</v>
      </c>
      <c r="AD167" s="66">
        <v>0.6</v>
      </c>
      <c r="AE167" s="12">
        <v>47</v>
      </c>
      <c r="AF167" s="12">
        <v>5</v>
      </c>
      <c r="AG167" s="66">
        <v>0</v>
      </c>
      <c r="AH167" s="66">
        <v>0.75</v>
      </c>
      <c r="AI167" s="66">
        <v>0.25</v>
      </c>
      <c r="AJ167" s="66">
        <v>0</v>
      </c>
      <c r="AK167" s="66">
        <v>0.62</v>
      </c>
      <c r="AL167" s="66">
        <v>0.51</v>
      </c>
      <c r="AM167" s="66">
        <v>0.42</v>
      </c>
      <c r="AN167" s="35">
        <v>39</v>
      </c>
      <c r="AO167" s="35">
        <v>8</v>
      </c>
      <c r="AP167" s="40">
        <v>0.17</v>
      </c>
      <c r="AQ167" s="40">
        <v>0.83</v>
      </c>
      <c r="AR167" s="40">
        <v>0</v>
      </c>
      <c r="AS167" s="40">
        <v>0</v>
      </c>
      <c r="AT167" s="40">
        <v>0.41</v>
      </c>
      <c r="AU167" s="40">
        <v>0.79</v>
      </c>
      <c r="AV167" s="40">
        <v>0.67</v>
      </c>
      <c r="AW167" s="246">
        <v>45</v>
      </c>
      <c r="AX167" s="246" t="s">
        <v>758</v>
      </c>
      <c r="AY167" s="246">
        <v>9</v>
      </c>
      <c r="AZ167" s="246" t="s">
        <v>758</v>
      </c>
      <c r="BA167" s="263">
        <v>0.09</v>
      </c>
      <c r="BB167" s="263">
        <v>0.64</v>
      </c>
      <c r="BC167" s="263">
        <v>0.27</v>
      </c>
      <c r="BD167" s="263">
        <v>0</v>
      </c>
      <c r="BE167" s="263">
        <v>0.43</v>
      </c>
      <c r="BF167" s="263">
        <v>0.63</v>
      </c>
      <c r="BG167" s="263">
        <v>0.51</v>
      </c>
      <c r="BH167" s="309">
        <v>50</v>
      </c>
      <c r="BI167" s="309" t="s">
        <v>758</v>
      </c>
      <c r="BJ167" s="309">
        <v>8</v>
      </c>
      <c r="BK167" s="309" t="s">
        <v>758</v>
      </c>
      <c r="BL167" s="464"/>
      <c r="BM167" s="464"/>
      <c r="BN167" s="464"/>
      <c r="BO167" s="327">
        <v>0.09</v>
      </c>
      <c r="BP167" s="327">
        <v>0.45</v>
      </c>
      <c r="BQ167" s="327">
        <v>0.45</v>
      </c>
      <c r="BR167" s="327">
        <v>0</v>
      </c>
      <c r="BS167" s="327">
        <v>0.61</v>
      </c>
      <c r="BT167" s="327">
        <v>0.56000000000000005</v>
      </c>
      <c r="BU167" s="476"/>
      <c r="BV167" s="476"/>
      <c r="BW167" s="476"/>
      <c r="BX167" s="327">
        <v>0.39</v>
      </c>
      <c r="BY167" s="424">
        <v>48</v>
      </c>
      <c r="BZ167" s="424" t="s">
        <v>758</v>
      </c>
      <c r="CA167" s="424">
        <v>9</v>
      </c>
      <c r="CB167" s="424" t="s">
        <v>758</v>
      </c>
      <c r="CC167" s="428">
        <v>0.1</v>
      </c>
      <c r="CD167" s="428">
        <v>0.6</v>
      </c>
      <c r="CE167" s="428">
        <v>0.3</v>
      </c>
      <c r="CF167" s="428">
        <v>0</v>
      </c>
      <c r="CG167" s="428">
        <v>0.61</v>
      </c>
      <c r="CH167" s="428">
        <v>0.43</v>
      </c>
      <c r="CI167" s="428">
        <v>0.66</v>
      </c>
      <c r="CJ167" s="464">
        <v>51</v>
      </c>
      <c r="CK167" s="464" t="s">
        <v>758</v>
      </c>
      <c r="CL167" s="464">
        <v>9</v>
      </c>
      <c r="CM167" s="464" t="s">
        <v>758</v>
      </c>
      <c r="CN167" s="476">
        <v>0.06</v>
      </c>
      <c r="CO167" s="476">
        <v>0.38</v>
      </c>
      <c r="CP167" s="476">
        <v>0.56000000000000005</v>
      </c>
      <c r="CQ167" s="476">
        <v>0</v>
      </c>
      <c r="CR167" s="476">
        <v>0.63</v>
      </c>
      <c r="CS167" s="476">
        <v>0.52</v>
      </c>
      <c r="CT167" s="476">
        <v>0.38</v>
      </c>
      <c r="CU167" s="902">
        <v>52</v>
      </c>
      <c r="CV167" s="902" t="s">
        <v>758</v>
      </c>
      <c r="CW167" s="902">
        <v>11</v>
      </c>
      <c r="CX167" s="902" t="s">
        <v>758</v>
      </c>
      <c r="CY167" s="949">
        <v>0.06</v>
      </c>
      <c r="CZ167" s="949">
        <v>0.39</v>
      </c>
      <c r="DA167" s="949">
        <v>0.5</v>
      </c>
      <c r="DB167" s="949">
        <v>0.06</v>
      </c>
      <c r="DC167" s="949">
        <v>0.63</v>
      </c>
      <c r="DD167" s="949">
        <v>0.53</v>
      </c>
      <c r="DE167" s="949">
        <v>0.31</v>
      </c>
      <c r="DF167" s="922">
        <v>325754005048</v>
      </c>
      <c r="DG167" s="892" t="e">
        <f>VLOOKUP(DF167,#REF!,3,0)</f>
        <v>#REF!</v>
      </c>
    </row>
    <row r="168" spans="1:111" ht="24.95" customHeight="1" x14ac:dyDescent="0.2">
      <c r="A168" s="126" t="s">
        <v>44</v>
      </c>
      <c r="B168" s="1" t="s">
        <v>123</v>
      </c>
      <c r="C168" s="12">
        <v>6</v>
      </c>
      <c r="D168" s="12">
        <v>54</v>
      </c>
      <c r="E168" s="12">
        <v>8</v>
      </c>
      <c r="F168" s="66">
        <v>0.03</v>
      </c>
      <c r="G168" s="66">
        <v>0.26</v>
      </c>
      <c r="H168" s="66">
        <v>0.7</v>
      </c>
      <c r="I168" s="66">
        <v>0.01</v>
      </c>
      <c r="J168" s="66">
        <v>0.46</v>
      </c>
      <c r="K168" s="66">
        <v>0.37</v>
      </c>
      <c r="L168" s="66">
        <v>0.48</v>
      </c>
      <c r="M168" s="12">
        <v>55</v>
      </c>
      <c r="N168" s="12">
        <v>9</v>
      </c>
      <c r="O168" s="40">
        <v>0.01</v>
      </c>
      <c r="P168" s="40">
        <v>0.28999999999999998</v>
      </c>
      <c r="Q168" s="40">
        <v>0.69</v>
      </c>
      <c r="R168" s="40">
        <v>0.01</v>
      </c>
      <c r="S168" s="40">
        <v>0.45</v>
      </c>
      <c r="T168" s="40">
        <v>0.5</v>
      </c>
      <c r="U168" s="40">
        <v>0.3</v>
      </c>
      <c r="V168" s="12">
        <v>55</v>
      </c>
      <c r="W168" s="12">
        <v>8</v>
      </c>
      <c r="X168" s="66">
        <v>0</v>
      </c>
      <c r="Y168" s="66">
        <v>0.31</v>
      </c>
      <c r="Z168" s="66">
        <v>0.69</v>
      </c>
      <c r="AA168" s="66">
        <v>0</v>
      </c>
      <c r="AB168" s="66">
        <v>0.43</v>
      </c>
      <c r="AC168" s="66">
        <v>0.33</v>
      </c>
      <c r="AD168" s="66">
        <v>0.49</v>
      </c>
      <c r="AE168" s="12">
        <v>55</v>
      </c>
      <c r="AF168" s="12">
        <v>9</v>
      </c>
      <c r="AG168" s="66">
        <v>0.02</v>
      </c>
      <c r="AH168" s="66">
        <v>0.27</v>
      </c>
      <c r="AI168" s="66">
        <v>0.67</v>
      </c>
      <c r="AJ168" s="66">
        <v>0.03</v>
      </c>
      <c r="AK168" s="66">
        <v>0.5</v>
      </c>
      <c r="AL168" s="66">
        <v>0.4</v>
      </c>
      <c r="AM168" s="66">
        <v>0.24</v>
      </c>
      <c r="AN168" s="35">
        <v>54</v>
      </c>
      <c r="AO168" s="35">
        <v>9</v>
      </c>
      <c r="AP168" s="40">
        <v>0.03</v>
      </c>
      <c r="AQ168" s="40">
        <v>0.25</v>
      </c>
      <c r="AR168" s="40">
        <v>0.69</v>
      </c>
      <c r="AS168" s="40">
        <v>0.02</v>
      </c>
      <c r="AT168" s="40">
        <v>0.25</v>
      </c>
      <c r="AU168" s="40">
        <v>0.46</v>
      </c>
      <c r="AV168" s="40">
        <v>0.51</v>
      </c>
      <c r="AW168" s="246">
        <v>55</v>
      </c>
      <c r="AX168" s="246" t="s">
        <v>758</v>
      </c>
      <c r="AY168" s="246">
        <v>7</v>
      </c>
      <c r="AZ168" s="246" t="s">
        <v>758</v>
      </c>
      <c r="BA168" s="263">
        <v>0</v>
      </c>
      <c r="BB168" s="263">
        <v>0.31</v>
      </c>
      <c r="BC168" s="263">
        <v>0.68</v>
      </c>
      <c r="BD168" s="263">
        <v>0.01</v>
      </c>
      <c r="BE168" s="263">
        <v>0.22</v>
      </c>
      <c r="BF168" s="263">
        <v>0.46</v>
      </c>
      <c r="BG168" s="263">
        <v>0.43</v>
      </c>
      <c r="BH168" s="309">
        <v>56</v>
      </c>
      <c r="BI168" s="309" t="s">
        <v>758</v>
      </c>
      <c r="BJ168" s="309">
        <v>9</v>
      </c>
      <c r="BK168" s="309" t="s">
        <v>758</v>
      </c>
      <c r="BL168" s="464"/>
      <c r="BM168" s="464"/>
      <c r="BN168" s="464"/>
      <c r="BO168" s="327">
        <v>0.03</v>
      </c>
      <c r="BP168" s="327">
        <v>0.18</v>
      </c>
      <c r="BQ168" s="327">
        <v>0.78</v>
      </c>
      <c r="BR168" s="327">
        <v>0.02</v>
      </c>
      <c r="BS168" s="327">
        <v>0.45</v>
      </c>
      <c r="BT168" s="327">
        <v>0.56999999999999995</v>
      </c>
      <c r="BU168" s="476"/>
      <c r="BV168" s="476"/>
      <c r="BW168" s="476"/>
      <c r="BX168" s="327">
        <v>0.33</v>
      </c>
      <c r="BY168" s="424">
        <v>56</v>
      </c>
      <c r="BZ168" s="424" t="s">
        <v>758</v>
      </c>
      <c r="CA168" s="424">
        <v>11</v>
      </c>
      <c r="CB168" s="424" t="s">
        <v>758</v>
      </c>
      <c r="CC168" s="428">
        <v>0.05</v>
      </c>
      <c r="CD168" s="428">
        <v>0.22</v>
      </c>
      <c r="CE168" s="428">
        <v>0.68</v>
      </c>
      <c r="CF168" s="428">
        <v>0.06</v>
      </c>
      <c r="CG168" s="428">
        <v>0.56999999999999995</v>
      </c>
      <c r="CH168" s="428">
        <v>0.37</v>
      </c>
      <c r="CI168" s="428">
        <v>0.55000000000000004</v>
      </c>
      <c r="CJ168" s="464">
        <v>58</v>
      </c>
      <c r="CK168" s="464" t="s">
        <v>758</v>
      </c>
      <c r="CL168" s="464">
        <v>10</v>
      </c>
      <c r="CM168" s="464" t="s">
        <v>758</v>
      </c>
      <c r="CN168" s="476">
        <v>0.01</v>
      </c>
      <c r="CO168" s="476">
        <v>0.21</v>
      </c>
      <c r="CP168" s="476">
        <v>0.69</v>
      </c>
      <c r="CQ168" s="476">
        <v>0.09</v>
      </c>
      <c r="CR168" s="476">
        <v>0.47</v>
      </c>
      <c r="CS168" s="476">
        <v>0.42</v>
      </c>
      <c r="CT168" s="476">
        <v>0.28000000000000003</v>
      </c>
      <c r="CU168" s="902">
        <v>56</v>
      </c>
      <c r="CV168" s="902" t="s">
        <v>758</v>
      </c>
      <c r="CW168" s="902">
        <v>9</v>
      </c>
      <c r="CX168" s="902" t="s">
        <v>758</v>
      </c>
      <c r="CY168" s="949">
        <v>0.03</v>
      </c>
      <c r="CZ168" s="949">
        <v>0.23</v>
      </c>
      <c r="DA168" s="949">
        <v>0.7</v>
      </c>
      <c r="DB168" s="949">
        <v>0.05</v>
      </c>
      <c r="DC168" s="949">
        <v>0.56000000000000005</v>
      </c>
      <c r="DD168" s="949">
        <v>0.44</v>
      </c>
      <c r="DE168" s="949">
        <v>0.28000000000000003</v>
      </c>
      <c r="DF168" s="922">
        <v>325754001841</v>
      </c>
      <c r="DG168" s="892" t="e">
        <f>VLOOKUP(DF168,#REF!,3,0)</f>
        <v>#REF!</v>
      </c>
    </row>
    <row r="169" spans="1:111" s="892" customFormat="1" ht="24.95" customHeight="1" x14ac:dyDescent="0.2">
      <c r="A169" s="866" t="s">
        <v>961</v>
      </c>
      <c r="B169" s="1" t="s">
        <v>123</v>
      </c>
      <c r="C169" s="868">
        <v>5</v>
      </c>
      <c r="D169" s="868"/>
      <c r="E169" s="868"/>
      <c r="F169" s="908"/>
      <c r="G169" s="908"/>
      <c r="H169" s="908"/>
      <c r="I169" s="908"/>
      <c r="J169" s="908"/>
      <c r="K169" s="908"/>
      <c r="L169" s="908"/>
      <c r="M169" s="868"/>
      <c r="N169" s="868"/>
      <c r="O169" s="910"/>
      <c r="P169" s="910"/>
      <c r="Q169" s="910"/>
      <c r="R169" s="910"/>
      <c r="S169" s="910"/>
      <c r="T169" s="910"/>
      <c r="U169" s="910"/>
      <c r="V169" s="868"/>
      <c r="W169" s="868"/>
      <c r="X169" s="908"/>
      <c r="Y169" s="908"/>
      <c r="Z169" s="908"/>
      <c r="AA169" s="908"/>
      <c r="AB169" s="908"/>
      <c r="AC169" s="908"/>
      <c r="AD169" s="908"/>
      <c r="AE169" s="868"/>
      <c r="AF169" s="868"/>
      <c r="AG169" s="908"/>
      <c r="AH169" s="908"/>
      <c r="AI169" s="908"/>
      <c r="AJ169" s="908"/>
      <c r="AK169" s="908"/>
      <c r="AL169" s="908"/>
      <c r="AM169" s="908"/>
      <c r="AN169" s="909"/>
      <c r="AO169" s="909"/>
      <c r="AP169" s="910"/>
      <c r="AQ169" s="910"/>
      <c r="AR169" s="910"/>
      <c r="AS169" s="910"/>
      <c r="AT169" s="910"/>
      <c r="AU169" s="910"/>
      <c r="AV169" s="910"/>
      <c r="AW169" s="911"/>
      <c r="AX169" s="911"/>
      <c r="AY169" s="911"/>
      <c r="AZ169" s="911"/>
      <c r="BA169" s="912"/>
      <c r="BB169" s="912"/>
      <c r="BC169" s="912"/>
      <c r="BD169" s="912"/>
      <c r="BE169" s="912"/>
      <c r="BF169" s="912"/>
      <c r="BG169" s="912"/>
      <c r="BH169" s="867"/>
      <c r="BI169" s="867"/>
      <c r="BJ169" s="867"/>
      <c r="BK169" s="867"/>
      <c r="BL169" s="867"/>
      <c r="BM169" s="867"/>
      <c r="BN169" s="867"/>
      <c r="BO169" s="906"/>
      <c r="BP169" s="906"/>
      <c r="BQ169" s="906"/>
      <c r="BR169" s="906"/>
      <c r="BS169" s="906"/>
      <c r="BT169" s="906"/>
      <c r="BU169" s="906"/>
      <c r="BV169" s="906"/>
      <c r="BW169" s="906"/>
      <c r="BX169" s="906"/>
      <c r="BY169" s="913"/>
      <c r="BZ169" s="913"/>
      <c r="CA169" s="913"/>
      <c r="CB169" s="913"/>
      <c r="CC169" s="914"/>
      <c r="CD169" s="914"/>
      <c r="CE169" s="914"/>
      <c r="CF169" s="914"/>
      <c r="CG169" s="914"/>
      <c r="CH169" s="914"/>
      <c r="CI169" s="914"/>
      <c r="CJ169" s="867"/>
      <c r="CK169" s="867"/>
      <c r="CL169" s="867"/>
      <c r="CM169" s="867"/>
      <c r="CN169" s="906"/>
      <c r="CO169" s="906"/>
      <c r="CP169" s="906"/>
      <c r="CQ169" s="906"/>
      <c r="CR169" s="906"/>
      <c r="CS169" s="906"/>
      <c r="CT169" s="906"/>
      <c r="CU169" s="902">
        <v>58</v>
      </c>
      <c r="CV169" s="902" t="s">
        <v>758</v>
      </c>
      <c r="CW169" s="902">
        <v>7</v>
      </c>
      <c r="CX169" s="902" t="s">
        <v>760</v>
      </c>
      <c r="CY169" s="949">
        <v>0</v>
      </c>
      <c r="CZ169" s="949">
        <v>0.13</v>
      </c>
      <c r="DA169" s="949">
        <v>0.88</v>
      </c>
      <c r="DB169" s="949">
        <v>0</v>
      </c>
      <c r="DC169" s="949">
        <v>0.51</v>
      </c>
      <c r="DD169" s="949">
        <v>0.52</v>
      </c>
      <c r="DE169" s="949">
        <v>0.19</v>
      </c>
      <c r="DF169" s="922">
        <v>325754800107</v>
      </c>
      <c r="DG169" s="892" t="e">
        <f>VLOOKUP(DF169,#REF!,3,0)</f>
        <v>#REF!</v>
      </c>
    </row>
    <row r="170" spans="1:111" ht="24.95" customHeight="1" x14ac:dyDescent="0.2">
      <c r="A170" s="126" t="s">
        <v>113</v>
      </c>
      <c r="B170" s="1" t="s">
        <v>123</v>
      </c>
      <c r="C170" s="12">
        <v>4</v>
      </c>
      <c r="D170" s="12">
        <v>55</v>
      </c>
      <c r="E170" s="12">
        <v>8</v>
      </c>
      <c r="F170" s="66">
        <v>0.08</v>
      </c>
      <c r="G170" s="66">
        <v>0.08</v>
      </c>
      <c r="H170" s="66">
        <v>0.83</v>
      </c>
      <c r="I170" s="66">
        <v>0</v>
      </c>
      <c r="J170" s="66">
        <v>0.49</v>
      </c>
      <c r="K170" s="66">
        <v>0.41</v>
      </c>
      <c r="L170" s="66">
        <v>0.52</v>
      </c>
      <c r="M170" s="12">
        <v>57</v>
      </c>
      <c r="N170" s="12">
        <v>8</v>
      </c>
      <c r="O170" s="40">
        <v>0</v>
      </c>
      <c r="P170" s="40">
        <v>0.25</v>
      </c>
      <c r="Q170" s="40">
        <v>0.75</v>
      </c>
      <c r="R170" s="40">
        <v>0</v>
      </c>
      <c r="S170" s="40">
        <v>0.41</v>
      </c>
      <c r="T170" s="40">
        <v>0.46</v>
      </c>
      <c r="U170" s="40">
        <v>0.26</v>
      </c>
      <c r="V170" s="12">
        <v>56</v>
      </c>
      <c r="W170" s="12">
        <v>6</v>
      </c>
      <c r="X170" s="66">
        <v>0</v>
      </c>
      <c r="Y170" s="66">
        <v>0.13</v>
      </c>
      <c r="Z170" s="66">
        <v>0.87</v>
      </c>
      <c r="AA170" s="66">
        <v>0</v>
      </c>
      <c r="AB170" s="66">
        <v>0.41</v>
      </c>
      <c r="AC170" s="66">
        <v>0.33</v>
      </c>
      <c r="AD170" s="66">
        <v>0.46</v>
      </c>
      <c r="AE170" s="12">
        <v>58</v>
      </c>
      <c r="AF170" s="12">
        <v>9</v>
      </c>
      <c r="AG170" s="66">
        <v>0</v>
      </c>
      <c r="AH170" s="66">
        <v>0.11</v>
      </c>
      <c r="AI170" s="66">
        <v>0.78</v>
      </c>
      <c r="AJ170" s="66">
        <v>0.11</v>
      </c>
      <c r="AK170" s="66">
        <v>0.45</v>
      </c>
      <c r="AL170" s="66">
        <v>0.33</v>
      </c>
      <c r="AM170" s="66">
        <v>0.21</v>
      </c>
      <c r="AN170" s="35">
        <v>52</v>
      </c>
      <c r="AO170" s="35">
        <v>11</v>
      </c>
      <c r="AP170" s="40">
        <v>0.06</v>
      </c>
      <c r="AQ170" s="40">
        <v>0.31</v>
      </c>
      <c r="AR170" s="40">
        <v>0.56000000000000005</v>
      </c>
      <c r="AS170" s="40">
        <v>0.06</v>
      </c>
      <c r="AT170" s="40">
        <v>0.27</v>
      </c>
      <c r="AU170" s="40">
        <v>0.55000000000000004</v>
      </c>
      <c r="AV170" s="40">
        <v>0.52</v>
      </c>
      <c r="AW170" s="246">
        <v>56</v>
      </c>
      <c r="AX170" s="246" t="s">
        <v>758</v>
      </c>
      <c r="AY170" s="246">
        <v>9</v>
      </c>
      <c r="AZ170" s="246" t="s">
        <v>758</v>
      </c>
      <c r="BA170" s="263">
        <v>0.06</v>
      </c>
      <c r="BB170" s="263">
        <v>0</v>
      </c>
      <c r="BC170" s="263">
        <v>0.88</v>
      </c>
      <c r="BD170" s="263">
        <v>0.06</v>
      </c>
      <c r="BE170" s="263">
        <v>0.24</v>
      </c>
      <c r="BF170" s="263">
        <v>0.4</v>
      </c>
      <c r="BG170" s="263">
        <v>0.39</v>
      </c>
      <c r="BH170" s="309">
        <v>55</v>
      </c>
      <c r="BI170" s="309" t="s">
        <v>758</v>
      </c>
      <c r="BJ170" s="309">
        <v>9</v>
      </c>
      <c r="BK170" s="309" t="s">
        <v>758</v>
      </c>
      <c r="BL170" s="464"/>
      <c r="BM170" s="464"/>
      <c r="BN170" s="464"/>
      <c r="BO170" s="327">
        <v>0.05</v>
      </c>
      <c r="BP170" s="327">
        <v>0.21</v>
      </c>
      <c r="BQ170" s="327">
        <v>0.74</v>
      </c>
      <c r="BR170" s="327">
        <v>0</v>
      </c>
      <c r="BS170" s="327">
        <v>0.4</v>
      </c>
      <c r="BT170" s="327">
        <v>0.62</v>
      </c>
      <c r="BU170" s="476"/>
      <c r="BV170" s="476"/>
      <c r="BW170" s="476"/>
      <c r="BX170" s="327">
        <v>0.33</v>
      </c>
      <c r="BY170" s="424">
        <v>55</v>
      </c>
      <c r="BZ170" s="424" t="s">
        <v>758</v>
      </c>
      <c r="CA170" s="424">
        <v>14</v>
      </c>
      <c r="CB170" s="424" t="s">
        <v>759</v>
      </c>
      <c r="CC170" s="428">
        <v>0</v>
      </c>
      <c r="CD170" s="428">
        <v>0.3</v>
      </c>
      <c r="CE170" s="428">
        <v>0.61</v>
      </c>
      <c r="CF170" s="428">
        <v>0.09</v>
      </c>
      <c r="CG170" s="428">
        <v>0.63</v>
      </c>
      <c r="CH170" s="428">
        <v>0.26</v>
      </c>
      <c r="CI170" s="428">
        <v>0.59</v>
      </c>
      <c r="CJ170" s="464">
        <v>62</v>
      </c>
      <c r="CK170" s="464" t="s">
        <v>759</v>
      </c>
      <c r="CL170" s="464">
        <v>9</v>
      </c>
      <c r="CM170" s="464" t="s">
        <v>758</v>
      </c>
      <c r="CN170" s="476">
        <v>0.04</v>
      </c>
      <c r="CO170" s="476">
        <v>0</v>
      </c>
      <c r="CP170" s="476">
        <v>0.88</v>
      </c>
      <c r="CQ170" s="476">
        <v>0.08</v>
      </c>
      <c r="CR170" s="476">
        <v>0.45</v>
      </c>
      <c r="CS170" s="476">
        <v>0.38</v>
      </c>
      <c r="CT170" s="476">
        <v>0.17</v>
      </c>
      <c r="CU170" s="902">
        <v>63</v>
      </c>
      <c r="CV170" s="902" t="s">
        <v>759</v>
      </c>
      <c r="CW170" s="902">
        <v>9</v>
      </c>
      <c r="CX170" s="902" t="s">
        <v>758</v>
      </c>
      <c r="CY170" s="949">
        <v>0</v>
      </c>
      <c r="CZ170" s="949">
        <v>0.1</v>
      </c>
      <c r="DA170" s="949">
        <v>0.7</v>
      </c>
      <c r="DB170" s="949">
        <v>0.2</v>
      </c>
      <c r="DC170" s="949">
        <v>0.38</v>
      </c>
      <c r="DD170" s="949">
        <v>0.36</v>
      </c>
      <c r="DE170" s="949">
        <v>0.16</v>
      </c>
      <c r="DF170" s="922">
        <v>325754003771</v>
      </c>
      <c r="DG170" s="892" t="e">
        <f>VLOOKUP(DF170,#REF!,3,0)</f>
        <v>#REF!</v>
      </c>
    </row>
    <row r="171" spans="1:111" ht="24.95" customHeight="1" x14ac:dyDescent="0.2">
      <c r="A171" s="126" t="s">
        <v>59</v>
      </c>
      <c r="B171" s="1" t="s">
        <v>123</v>
      </c>
      <c r="C171" s="12">
        <v>5</v>
      </c>
      <c r="D171" s="12">
        <v>56</v>
      </c>
      <c r="E171" s="12">
        <v>8</v>
      </c>
      <c r="F171" s="66">
        <v>0</v>
      </c>
      <c r="G171" s="66">
        <v>0.21</v>
      </c>
      <c r="H171" s="66">
        <v>0.79</v>
      </c>
      <c r="I171" s="66">
        <v>0</v>
      </c>
      <c r="J171" s="66">
        <v>0.53</v>
      </c>
      <c r="K171" s="66">
        <v>0.4</v>
      </c>
      <c r="L171" s="66">
        <v>0.5</v>
      </c>
      <c r="M171" s="12">
        <v>57</v>
      </c>
      <c r="N171" s="12">
        <v>10</v>
      </c>
      <c r="O171" s="40">
        <v>0.04</v>
      </c>
      <c r="P171" s="40">
        <v>0.08</v>
      </c>
      <c r="Q171" s="40">
        <v>0.83</v>
      </c>
      <c r="R171" s="40">
        <v>0.04</v>
      </c>
      <c r="S171" s="40">
        <v>0.39</v>
      </c>
      <c r="T171" s="40">
        <v>0.47</v>
      </c>
      <c r="U171" s="40">
        <v>0.28000000000000003</v>
      </c>
      <c r="V171" s="12">
        <v>56</v>
      </c>
      <c r="W171" s="12">
        <v>6</v>
      </c>
      <c r="X171" s="66">
        <v>0</v>
      </c>
      <c r="Y171" s="66">
        <v>0.24</v>
      </c>
      <c r="Z171" s="66">
        <v>0.76</v>
      </c>
      <c r="AA171" s="66">
        <v>0</v>
      </c>
      <c r="AB171" s="66">
        <v>0.39</v>
      </c>
      <c r="AC171" s="66">
        <v>0.32</v>
      </c>
      <c r="AD171" s="66">
        <v>0.45</v>
      </c>
      <c r="AE171" s="12">
        <v>57</v>
      </c>
      <c r="AF171" s="12">
        <v>8</v>
      </c>
      <c r="AG171" s="66">
        <v>0</v>
      </c>
      <c r="AH171" s="66">
        <v>0.24</v>
      </c>
      <c r="AI171" s="66">
        <v>0.71</v>
      </c>
      <c r="AJ171" s="66">
        <v>0.05</v>
      </c>
      <c r="AK171" s="66">
        <v>0.44</v>
      </c>
      <c r="AL171" s="66">
        <v>0.42</v>
      </c>
      <c r="AM171" s="66">
        <v>0.19</v>
      </c>
      <c r="AN171" s="35">
        <v>60</v>
      </c>
      <c r="AO171" s="35">
        <v>12</v>
      </c>
      <c r="AP171" s="40">
        <v>0</v>
      </c>
      <c r="AQ171" s="40">
        <v>0.11</v>
      </c>
      <c r="AR171" s="40">
        <v>0.74</v>
      </c>
      <c r="AS171" s="40">
        <v>0.16</v>
      </c>
      <c r="AT171" s="40">
        <v>0.12</v>
      </c>
      <c r="AU171" s="40">
        <v>0.44</v>
      </c>
      <c r="AV171" s="40">
        <v>0.38</v>
      </c>
      <c r="AW171" s="246">
        <v>54</v>
      </c>
      <c r="AX171" s="246" t="s">
        <v>758</v>
      </c>
      <c r="AY171" s="246">
        <v>8</v>
      </c>
      <c r="AZ171" s="246" t="s">
        <v>758</v>
      </c>
      <c r="BA171" s="263">
        <v>0.04</v>
      </c>
      <c r="BB171" s="263">
        <v>0.31</v>
      </c>
      <c r="BC171" s="263">
        <v>0.65</v>
      </c>
      <c r="BD171" s="263">
        <v>0</v>
      </c>
      <c r="BE171" s="263">
        <v>0.23</v>
      </c>
      <c r="BF171" s="263">
        <v>0.49</v>
      </c>
      <c r="BG171" s="263">
        <v>0.43</v>
      </c>
      <c r="BH171" s="309">
        <v>57</v>
      </c>
      <c r="BI171" s="309" t="s">
        <v>758</v>
      </c>
      <c r="BJ171" s="309">
        <v>6</v>
      </c>
      <c r="BK171" s="309" t="s">
        <v>760</v>
      </c>
      <c r="BL171" s="464"/>
      <c r="BM171" s="464"/>
      <c r="BN171" s="464"/>
      <c r="BO171" s="327">
        <v>0</v>
      </c>
      <c r="BP171" s="327">
        <v>0.17</v>
      </c>
      <c r="BQ171" s="327">
        <v>0.83</v>
      </c>
      <c r="BR171" s="327">
        <v>0</v>
      </c>
      <c r="BS171" s="327">
        <v>0.42</v>
      </c>
      <c r="BT171" s="327">
        <v>0.53</v>
      </c>
      <c r="BU171" s="476"/>
      <c r="BV171" s="476"/>
      <c r="BW171" s="476"/>
      <c r="BX171" s="327">
        <v>0.28999999999999998</v>
      </c>
      <c r="BY171" s="424">
        <v>58</v>
      </c>
      <c r="BZ171" s="424" t="s">
        <v>758</v>
      </c>
      <c r="CA171" s="424">
        <v>9</v>
      </c>
      <c r="CB171" s="424" t="s">
        <v>758</v>
      </c>
      <c r="CC171" s="428">
        <v>0</v>
      </c>
      <c r="CD171" s="428">
        <v>0.24</v>
      </c>
      <c r="CE171" s="428">
        <v>0.67</v>
      </c>
      <c r="CF171" s="428">
        <v>0.1</v>
      </c>
      <c r="CG171" s="428">
        <v>0.62</v>
      </c>
      <c r="CH171" s="428">
        <v>0.25</v>
      </c>
      <c r="CI171" s="428">
        <v>0.53</v>
      </c>
      <c r="CJ171" s="464">
        <v>54</v>
      </c>
      <c r="CK171" s="464" t="s">
        <v>758</v>
      </c>
      <c r="CL171" s="464">
        <v>12</v>
      </c>
      <c r="CM171" s="464" t="s">
        <v>758</v>
      </c>
      <c r="CN171" s="476">
        <v>0</v>
      </c>
      <c r="CO171" s="476">
        <v>0.46</v>
      </c>
      <c r="CP171" s="476">
        <v>0.39</v>
      </c>
      <c r="CQ171" s="476">
        <v>0.14000000000000001</v>
      </c>
      <c r="CR171" s="476">
        <v>0.49</v>
      </c>
      <c r="CS171" s="476">
        <v>0.46</v>
      </c>
      <c r="CT171" s="476">
        <v>0.35</v>
      </c>
      <c r="CU171" s="902">
        <v>55</v>
      </c>
      <c r="CV171" s="902" t="s">
        <v>758</v>
      </c>
      <c r="CW171" s="902">
        <v>10</v>
      </c>
      <c r="CX171" s="902" t="s">
        <v>758</v>
      </c>
      <c r="CY171" s="949">
        <v>0.05</v>
      </c>
      <c r="CZ171" s="949">
        <v>0.21</v>
      </c>
      <c r="DA171" s="949">
        <v>0.74</v>
      </c>
      <c r="DB171" s="949">
        <v>0</v>
      </c>
      <c r="DC171" s="949">
        <v>0.54</v>
      </c>
      <c r="DD171" s="949">
        <v>0.46</v>
      </c>
      <c r="DE171" s="949">
        <v>0.38</v>
      </c>
      <c r="DF171" s="922">
        <v>325754001123</v>
      </c>
      <c r="DG171" s="892" t="e">
        <f>VLOOKUP(DF171,#REF!,3,0)</f>
        <v>#REF!</v>
      </c>
    </row>
    <row r="172" spans="1:111" ht="24.95" customHeight="1" x14ac:dyDescent="0.2">
      <c r="A172" s="126" t="s">
        <v>45</v>
      </c>
      <c r="B172" s="1" t="s">
        <v>123</v>
      </c>
      <c r="C172" s="12">
        <v>2</v>
      </c>
      <c r="D172" s="12">
        <v>49</v>
      </c>
      <c r="E172" s="12">
        <v>8</v>
      </c>
      <c r="F172" s="66">
        <v>0.05</v>
      </c>
      <c r="G172" s="66">
        <v>0.45</v>
      </c>
      <c r="H172" s="66">
        <v>0.5</v>
      </c>
      <c r="I172" s="66">
        <v>0</v>
      </c>
      <c r="J172" s="66">
        <v>0.56000000000000005</v>
      </c>
      <c r="K172" s="66">
        <v>0.46</v>
      </c>
      <c r="L172" s="66">
        <v>0.59</v>
      </c>
      <c r="M172" s="12">
        <v>50</v>
      </c>
      <c r="N172" s="12">
        <v>9</v>
      </c>
      <c r="O172" s="40">
        <v>0.02</v>
      </c>
      <c r="P172" s="40">
        <v>0.53</v>
      </c>
      <c r="Q172" s="40">
        <v>0.44</v>
      </c>
      <c r="R172" s="40">
        <v>0</v>
      </c>
      <c r="S172" s="40">
        <v>0.47</v>
      </c>
      <c r="T172" s="40">
        <v>0.56999999999999995</v>
      </c>
      <c r="U172" s="40">
        <v>0.36</v>
      </c>
      <c r="V172" s="12">
        <v>50</v>
      </c>
      <c r="W172" s="12">
        <v>9</v>
      </c>
      <c r="X172" s="66">
        <v>0.03</v>
      </c>
      <c r="Y172" s="66">
        <v>0.53</v>
      </c>
      <c r="Z172" s="66">
        <v>0.42</v>
      </c>
      <c r="AA172" s="66">
        <v>0.03</v>
      </c>
      <c r="AB172" s="66">
        <v>0.5</v>
      </c>
      <c r="AC172" s="66">
        <v>0.44</v>
      </c>
      <c r="AD172" s="66">
        <v>0.53</v>
      </c>
      <c r="AE172" s="12">
        <v>53</v>
      </c>
      <c r="AF172" s="12">
        <v>11</v>
      </c>
      <c r="AG172" s="66">
        <v>0.11</v>
      </c>
      <c r="AH172" s="66">
        <v>0.28000000000000003</v>
      </c>
      <c r="AI172" s="66">
        <v>0.56000000000000005</v>
      </c>
      <c r="AJ172" s="66">
        <v>0.06</v>
      </c>
      <c r="AK172" s="66">
        <v>0.52</v>
      </c>
      <c r="AL172" s="66">
        <v>0.48</v>
      </c>
      <c r="AM172" s="66">
        <v>0.28999999999999998</v>
      </c>
      <c r="AN172" s="35">
        <v>51</v>
      </c>
      <c r="AO172" s="35">
        <v>7</v>
      </c>
      <c r="AP172" s="40">
        <v>0</v>
      </c>
      <c r="AQ172" s="40">
        <v>0.4</v>
      </c>
      <c r="AR172" s="40">
        <v>0.6</v>
      </c>
      <c r="AS172" s="40">
        <v>0</v>
      </c>
      <c r="AT172" s="40">
        <v>0.26</v>
      </c>
      <c r="AU172" s="40">
        <v>0.53</v>
      </c>
      <c r="AV172" s="40">
        <v>0.56999999999999995</v>
      </c>
      <c r="AW172" s="246">
        <v>51</v>
      </c>
      <c r="AX172" s="246" t="s">
        <v>758</v>
      </c>
      <c r="AY172" s="246">
        <v>10</v>
      </c>
      <c r="AZ172" s="246" t="s">
        <v>758</v>
      </c>
      <c r="BA172" s="263">
        <v>0.06</v>
      </c>
      <c r="BB172" s="263">
        <v>0.37</v>
      </c>
      <c r="BC172" s="263">
        <v>0.54</v>
      </c>
      <c r="BD172" s="263">
        <v>0.03</v>
      </c>
      <c r="BE172" s="263">
        <v>0.28999999999999998</v>
      </c>
      <c r="BF172" s="263">
        <v>0.5</v>
      </c>
      <c r="BG172" s="263">
        <v>0.51</v>
      </c>
      <c r="BH172" s="309">
        <v>55</v>
      </c>
      <c r="BI172" s="309" t="s">
        <v>758</v>
      </c>
      <c r="BJ172" s="309">
        <v>9</v>
      </c>
      <c r="BK172" s="309" t="s">
        <v>758</v>
      </c>
      <c r="BL172" s="464"/>
      <c r="BM172" s="464"/>
      <c r="BN172" s="464"/>
      <c r="BO172" s="327">
        <v>0</v>
      </c>
      <c r="BP172" s="327">
        <v>0.27</v>
      </c>
      <c r="BQ172" s="327">
        <v>0.68</v>
      </c>
      <c r="BR172" s="327">
        <v>0.05</v>
      </c>
      <c r="BS172" s="327">
        <v>0.51</v>
      </c>
      <c r="BT172" s="327">
        <v>0.46</v>
      </c>
      <c r="BU172" s="476"/>
      <c r="BV172" s="476"/>
      <c r="BW172" s="476"/>
      <c r="BX172" s="327">
        <v>0.32</v>
      </c>
      <c r="BY172" s="424">
        <v>56</v>
      </c>
      <c r="BZ172" s="424" t="s">
        <v>758</v>
      </c>
      <c r="CA172" s="424">
        <v>9</v>
      </c>
      <c r="CB172" s="424" t="s">
        <v>758</v>
      </c>
      <c r="CC172" s="428">
        <v>0</v>
      </c>
      <c r="CD172" s="428">
        <v>0.23</v>
      </c>
      <c r="CE172" s="428">
        <v>0.7</v>
      </c>
      <c r="CF172" s="428">
        <v>7.0000000000000007E-2</v>
      </c>
      <c r="CG172" s="428">
        <v>0.49</v>
      </c>
      <c r="CH172" s="428">
        <v>0.26</v>
      </c>
      <c r="CI172" s="428">
        <v>0.55000000000000004</v>
      </c>
      <c r="CJ172" s="464">
        <v>51</v>
      </c>
      <c r="CK172" s="464" t="s">
        <v>758</v>
      </c>
      <c r="CL172" s="464">
        <v>12</v>
      </c>
      <c r="CM172" s="464" t="s">
        <v>758</v>
      </c>
      <c r="CN172" s="476">
        <v>0.11</v>
      </c>
      <c r="CO172" s="476">
        <v>0.36</v>
      </c>
      <c r="CP172" s="476">
        <v>0.51</v>
      </c>
      <c r="CQ172" s="476">
        <v>0.02</v>
      </c>
      <c r="CR172" s="476">
        <v>0.62</v>
      </c>
      <c r="CS172" s="476">
        <v>0.53</v>
      </c>
      <c r="CT172" s="476">
        <v>0.44</v>
      </c>
      <c r="CU172" s="902">
        <v>56</v>
      </c>
      <c r="CV172" s="902" t="s">
        <v>758</v>
      </c>
      <c r="CW172" s="902">
        <v>10</v>
      </c>
      <c r="CX172" s="902" t="s">
        <v>758</v>
      </c>
      <c r="CY172" s="949">
        <v>0.02</v>
      </c>
      <c r="CZ172" s="949">
        <v>0.31</v>
      </c>
      <c r="DA172" s="949">
        <v>0.62</v>
      </c>
      <c r="DB172" s="949">
        <v>0.05</v>
      </c>
      <c r="DC172" s="949">
        <v>0.57999999999999996</v>
      </c>
      <c r="DD172" s="949">
        <v>0.47</v>
      </c>
      <c r="DE172" s="949">
        <v>0.32</v>
      </c>
      <c r="DF172" s="922">
        <v>325754003886</v>
      </c>
      <c r="DG172" s="892" t="e">
        <f>VLOOKUP(DF172,#REF!,3,0)</f>
        <v>#REF!</v>
      </c>
    </row>
    <row r="173" spans="1:111" ht="24.95" customHeight="1" x14ac:dyDescent="0.2">
      <c r="A173" s="126" t="s">
        <v>950</v>
      </c>
      <c r="B173" s="43" t="s">
        <v>123</v>
      </c>
      <c r="C173" s="12">
        <v>1</v>
      </c>
      <c r="D173" s="12"/>
      <c r="E173" s="12"/>
      <c r="F173" s="66"/>
      <c r="G173" s="66"/>
      <c r="H173" s="66"/>
      <c r="I173" s="66"/>
      <c r="J173" s="66"/>
      <c r="K173" s="66"/>
      <c r="L173" s="66"/>
      <c r="M173" s="12"/>
      <c r="N173" s="12"/>
      <c r="O173" s="40"/>
      <c r="P173" s="40"/>
      <c r="Q173" s="40"/>
      <c r="R173" s="40"/>
      <c r="S173" s="40"/>
      <c r="T173" s="40"/>
      <c r="U173" s="40"/>
      <c r="V173" s="12"/>
      <c r="W173" s="12"/>
      <c r="X173" s="66"/>
      <c r="Y173" s="66"/>
      <c r="Z173" s="66"/>
      <c r="AA173" s="66"/>
      <c r="AB173" s="66"/>
      <c r="AC173" s="66"/>
      <c r="AD173" s="66"/>
      <c r="AE173" s="12"/>
      <c r="AF173" s="12"/>
      <c r="AG173" s="66"/>
      <c r="AH173" s="66"/>
      <c r="AI173" s="66"/>
      <c r="AJ173" s="66"/>
      <c r="AK173" s="66"/>
      <c r="AL173" s="66"/>
      <c r="AM173" s="66"/>
      <c r="AN173" s="35"/>
      <c r="AO173" s="35"/>
      <c r="AP173" s="40"/>
      <c r="AQ173" s="40"/>
      <c r="AR173" s="40"/>
      <c r="AS173" s="40"/>
      <c r="AT173" s="40"/>
      <c r="AU173" s="40"/>
      <c r="AV173" s="40"/>
      <c r="AW173" s="246"/>
      <c r="AX173" s="246"/>
      <c r="AY173" s="246"/>
      <c r="AZ173" s="246"/>
      <c r="BA173" s="263"/>
      <c r="BB173" s="263"/>
      <c r="BC173" s="263"/>
      <c r="BD173" s="263"/>
      <c r="BE173" s="263"/>
      <c r="BF173" s="263"/>
      <c r="BG173" s="263"/>
      <c r="BH173" s="309"/>
      <c r="BI173" s="309"/>
      <c r="BJ173" s="309"/>
      <c r="BK173" s="309"/>
      <c r="BL173" s="464"/>
      <c r="BM173" s="464"/>
      <c r="BN173" s="464"/>
      <c r="BO173" s="327"/>
      <c r="BP173" s="327"/>
      <c r="BQ173" s="327"/>
      <c r="BR173" s="327"/>
      <c r="BS173" s="327"/>
      <c r="BT173" s="327"/>
      <c r="BU173" s="476"/>
      <c r="BV173" s="476"/>
      <c r="BW173" s="476"/>
      <c r="BX173" s="327"/>
      <c r="BY173" s="424"/>
      <c r="BZ173" s="424"/>
      <c r="CA173" s="424"/>
      <c r="CB173" s="424"/>
      <c r="CC173" s="428"/>
      <c r="CD173" s="428"/>
      <c r="CE173" s="428"/>
      <c r="CF173" s="428"/>
      <c r="CG173" s="428"/>
      <c r="CH173" s="428"/>
      <c r="CI173" s="428"/>
      <c r="CJ173" s="641">
        <v>53</v>
      </c>
      <c r="CK173" s="641" t="s">
        <v>758</v>
      </c>
      <c r="CL173" s="641">
        <v>8</v>
      </c>
      <c r="CM173" s="641" t="s">
        <v>758</v>
      </c>
      <c r="CN173" s="642">
        <v>0</v>
      </c>
      <c r="CO173" s="642">
        <v>0.43</v>
      </c>
      <c r="CP173" s="642">
        <v>0.56999999999999995</v>
      </c>
      <c r="CQ173" s="642">
        <v>0</v>
      </c>
      <c r="CR173" s="476">
        <v>0.45</v>
      </c>
      <c r="CS173" s="476">
        <v>0.56000000000000005</v>
      </c>
      <c r="CT173" s="476">
        <v>0.35</v>
      </c>
      <c r="CU173" s="902">
        <v>51</v>
      </c>
      <c r="CV173" s="902" t="s">
        <v>758</v>
      </c>
      <c r="CW173" s="902">
        <v>14</v>
      </c>
      <c r="CX173" s="902" t="s">
        <v>758</v>
      </c>
      <c r="CY173" s="949">
        <v>0.09</v>
      </c>
      <c r="CZ173" s="949">
        <v>0.44</v>
      </c>
      <c r="DA173" s="949">
        <v>0.44</v>
      </c>
      <c r="DB173" s="949">
        <v>0.03</v>
      </c>
      <c r="DC173" s="949">
        <v>0.68</v>
      </c>
      <c r="DD173" s="949">
        <v>0.56000000000000005</v>
      </c>
      <c r="DE173" s="949">
        <v>0.41</v>
      </c>
      <c r="DF173" s="922">
        <v>325754800115</v>
      </c>
      <c r="DG173" s="892" t="e">
        <f>VLOOKUP(DF173,#REF!,3,0)</f>
        <v>#REF!</v>
      </c>
    </row>
    <row r="175" spans="1:111" x14ac:dyDescent="0.2">
      <c r="D175" s="15"/>
      <c r="E175" s="15"/>
      <c r="F175" s="15"/>
      <c r="G175" s="15"/>
      <c r="H175" s="15"/>
      <c r="I175" s="15"/>
      <c r="J175" s="15"/>
      <c r="K175" s="15"/>
      <c r="L175" s="15"/>
      <c r="M175" s="15"/>
      <c r="N175" s="15"/>
      <c r="O175" s="15"/>
      <c r="P175" s="15"/>
      <c r="Q175" s="15"/>
      <c r="R175" s="15"/>
      <c r="S175" s="15"/>
      <c r="T175" s="15"/>
      <c r="U175" s="15"/>
      <c r="V175" s="15"/>
      <c r="W175" s="15"/>
      <c r="X175" s="15"/>
      <c r="Y175" s="15"/>
      <c r="Z175" s="15"/>
      <c r="AA175" s="15"/>
      <c r="AB175" s="15"/>
      <c r="AC175" s="15"/>
      <c r="AD175" s="15"/>
      <c r="AE175" s="15"/>
      <c r="AF175" s="15"/>
      <c r="AG175" s="15"/>
      <c r="AH175" s="15"/>
      <c r="AI175" s="15"/>
      <c r="AJ175" s="15"/>
      <c r="AK175" s="15"/>
      <c r="AL175" s="15"/>
      <c r="AM175" s="15"/>
    </row>
    <row r="178" spans="4:40" ht="12.75" customHeight="1" x14ac:dyDescent="0.2">
      <c r="D178" s="1051" t="s">
        <v>153</v>
      </c>
      <c r="E178" s="1052"/>
      <c r="F178" s="1052"/>
      <c r="G178" s="1052"/>
      <c r="H178" s="1052"/>
      <c r="I178" s="1052"/>
      <c r="J178" s="1052"/>
      <c r="K178" s="1052"/>
      <c r="L178" s="1052"/>
      <c r="M178" s="1052"/>
      <c r="N178" s="1052"/>
      <c r="O178" s="1052"/>
      <c r="P178" s="1052"/>
      <c r="Y178" s="1053" t="s">
        <v>153</v>
      </c>
      <c r="Z178" s="1054"/>
      <c r="AA178" s="1054"/>
      <c r="AB178" s="1054"/>
      <c r="AC178" s="1054"/>
      <c r="AD178" s="1054"/>
      <c r="AE178" s="1054"/>
      <c r="AF178" s="1054"/>
      <c r="AG178" s="1054"/>
      <c r="AH178" s="1054"/>
      <c r="AI178" s="73"/>
      <c r="AJ178" s="73"/>
      <c r="AK178" s="73"/>
      <c r="AL178" s="73"/>
      <c r="AM178" s="73"/>
      <c r="AN178" s="73"/>
    </row>
    <row r="179" spans="4:40" x14ac:dyDescent="0.2">
      <c r="D179" s="1228"/>
      <c r="E179" s="1046">
        <v>2016</v>
      </c>
      <c r="F179" s="1050"/>
      <c r="G179" s="1050">
        <v>2017</v>
      </c>
      <c r="H179" s="1050"/>
      <c r="I179" s="1050">
        <v>2018</v>
      </c>
      <c r="J179" s="1050"/>
      <c r="K179" s="1050">
        <v>2019</v>
      </c>
      <c r="L179" s="1050"/>
      <c r="M179" s="1050">
        <v>2020</v>
      </c>
      <c r="N179" s="1050"/>
      <c r="O179" s="1050">
        <v>2021</v>
      </c>
      <c r="P179" s="1050"/>
      <c r="Q179" s="1050">
        <v>2022</v>
      </c>
      <c r="R179" s="1050"/>
      <c r="S179" s="1050">
        <v>2023</v>
      </c>
      <c r="T179" s="1050"/>
      <c r="U179" s="1050">
        <v>2024</v>
      </c>
      <c r="V179" s="1050"/>
      <c r="Y179" s="28"/>
      <c r="Z179" s="28">
        <v>2016</v>
      </c>
      <c r="AA179" s="29">
        <v>2017</v>
      </c>
      <c r="AB179" s="28">
        <v>2018</v>
      </c>
      <c r="AC179" s="28">
        <v>2019</v>
      </c>
      <c r="AD179" s="28">
        <v>2020</v>
      </c>
      <c r="AE179" s="28">
        <v>2021</v>
      </c>
      <c r="AF179" s="28">
        <v>2022</v>
      </c>
      <c r="AG179" s="28">
        <v>2023</v>
      </c>
      <c r="AH179" s="28">
        <v>2024</v>
      </c>
      <c r="AI179" s="73"/>
      <c r="AJ179" s="73"/>
      <c r="AK179" s="73"/>
      <c r="AL179" s="73"/>
      <c r="AM179" s="73"/>
      <c r="AN179" s="73"/>
    </row>
    <row r="180" spans="4:40" x14ac:dyDescent="0.2">
      <c r="D180" s="1197"/>
      <c r="E180" s="7" t="s">
        <v>120</v>
      </c>
      <c r="F180" s="7" t="s">
        <v>147</v>
      </c>
      <c r="G180" s="7" t="s">
        <v>120</v>
      </c>
      <c r="H180" s="7" t="s">
        <v>147</v>
      </c>
      <c r="I180" s="7" t="s">
        <v>120</v>
      </c>
      <c r="J180" s="7" t="s">
        <v>147</v>
      </c>
      <c r="K180" s="7" t="s">
        <v>120</v>
      </c>
      <c r="L180" s="7" t="s">
        <v>147</v>
      </c>
      <c r="M180" s="7" t="s">
        <v>120</v>
      </c>
      <c r="N180" s="34" t="s">
        <v>147</v>
      </c>
      <c r="O180" s="7" t="s">
        <v>120</v>
      </c>
      <c r="P180" s="34" t="s">
        <v>147</v>
      </c>
      <c r="Q180" s="7" t="s">
        <v>120</v>
      </c>
      <c r="R180" s="34" t="s">
        <v>147</v>
      </c>
      <c r="S180" s="7" t="s">
        <v>120</v>
      </c>
      <c r="T180" s="34" t="s">
        <v>147</v>
      </c>
      <c r="U180" s="7" t="s">
        <v>120</v>
      </c>
      <c r="V180" s="34" t="s">
        <v>147</v>
      </c>
      <c r="Y180" s="27" t="s">
        <v>140</v>
      </c>
      <c r="Z180" s="27">
        <v>51.823529411764703</v>
      </c>
      <c r="AA180" s="27">
        <v>51.625</v>
      </c>
      <c r="AB180" s="27">
        <v>51.823529411764703</v>
      </c>
      <c r="AC180" s="27">
        <v>52.647058823529413</v>
      </c>
      <c r="AD180" s="27">
        <v>53.294117647058826</v>
      </c>
      <c r="AE180" s="27">
        <v>52.470588235294116</v>
      </c>
      <c r="AF180" s="27">
        <v>52.444444444444443</v>
      </c>
      <c r="AG180" s="27">
        <v>53.647058823529413</v>
      </c>
      <c r="AH180" s="27">
        <v>53.833333333333336</v>
      </c>
      <c r="AI180" s="72"/>
      <c r="AJ180" s="72"/>
      <c r="AK180" s="72"/>
      <c r="AL180" s="72"/>
      <c r="AM180" s="72"/>
    </row>
    <row r="181" spans="4:40" x14ac:dyDescent="0.2">
      <c r="D181" s="5" t="s">
        <v>0</v>
      </c>
      <c r="E181" s="23">
        <v>52</v>
      </c>
      <c r="F181" s="23">
        <v>9</v>
      </c>
      <c r="G181" s="23">
        <v>52</v>
      </c>
      <c r="H181" s="24">
        <v>8</v>
      </c>
      <c r="I181" s="23">
        <v>52</v>
      </c>
      <c r="J181" s="24">
        <v>9</v>
      </c>
      <c r="K181" s="23">
        <v>53</v>
      </c>
      <c r="L181" s="23">
        <v>10</v>
      </c>
      <c r="M181" s="23">
        <v>53</v>
      </c>
      <c r="N181" s="23">
        <v>10</v>
      </c>
      <c r="O181" s="23">
        <v>52</v>
      </c>
      <c r="P181" s="23">
        <v>10</v>
      </c>
      <c r="Q181" s="23">
        <v>52</v>
      </c>
      <c r="R181" s="23">
        <v>10</v>
      </c>
      <c r="S181" s="23">
        <v>52</v>
      </c>
      <c r="T181" s="23">
        <v>10</v>
      </c>
      <c r="U181" s="23">
        <v>54</v>
      </c>
      <c r="V181" s="23">
        <v>11</v>
      </c>
      <c r="Y181" s="27" t="s">
        <v>141</v>
      </c>
      <c r="Z181" s="27">
        <v>52.6</v>
      </c>
      <c r="AA181" s="27">
        <v>52.157894736842103</v>
      </c>
      <c r="AB181" s="27">
        <v>52.842105263157897</v>
      </c>
      <c r="AC181" s="27">
        <v>53.75</v>
      </c>
      <c r="AD181" s="27">
        <v>52.791666666666664</v>
      </c>
      <c r="AE181" s="27">
        <v>52.18181818181818</v>
      </c>
      <c r="AF181" s="27">
        <v>53.96</v>
      </c>
      <c r="AG181" s="27">
        <v>52.807692307692307</v>
      </c>
      <c r="AH181" s="27">
        <v>54.958333333333336</v>
      </c>
      <c r="AI181" s="47"/>
      <c r="AJ181" s="47"/>
      <c r="AK181" s="47"/>
      <c r="AL181" s="47"/>
      <c r="AM181" s="47"/>
    </row>
    <row r="182" spans="4:40" x14ac:dyDescent="0.2">
      <c r="D182" s="27" t="s">
        <v>140</v>
      </c>
      <c r="E182" s="27">
        <f>AVERAGEIF(C36:C173,"=1",D36:D173)</f>
        <v>51.823529411764703</v>
      </c>
      <c r="F182" s="27">
        <f>AVERAGEIF(C36:C173,"=1",E36:E173)</f>
        <v>9</v>
      </c>
      <c r="G182" s="27">
        <f>AVERAGEIF(C36:C173,"=1",M36:M173)</f>
        <v>51.625</v>
      </c>
      <c r="H182" s="27">
        <f>AVERAGEIF(C36:C173,"=1",N36:N173)</f>
        <v>9.0625</v>
      </c>
      <c r="I182" s="27">
        <f>AVERAGEIF(C36:C173,"=1",V36:V173)</f>
        <v>51.823529411764703</v>
      </c>
      <c r="J182" s="27">
        <f>AVERAGEIF(C36:C173,"=1",W36:W173)</f>
        <v>8.9411764705882355</v>
      </c>
      <c r="K182" s="27">
        <f>AVERAGEIF(C36:C173,"=1",AE36:AE173)</f>
        <v>52.647058823529413</v>
      </c>
      <c r="L182" s="27">
        <f>AVERAGEIF(C36:C173,"=1",AF36:AF173)</f>
        <v>9.235294117647058</v>
      </c>
      <c r="M182" s="27">
        <f>AVERAGEIF($C$36:$C$173,"=1",$AN$36:$AN$173)</f>
        <v>53.294117647058826</v>
      </c>
      <c r="N182" s="27">
        <f>AVERAGEIF($C$36:$C$173,"=1",$AO$36:$AO$173)</f>
        <v>9.117647058823529</v>
      </c>
      <c r="O182" s="27">
        <f>AVERAGEIF($C$36:$C$173,"=1",$AW$36:$AW$173)</f>
        <v>52.470588235294116</v>
      </c>
      <c r="P182" s="27">
        <f>AVERAGEIF($C$36:$C$173,"=1",$AY$36:$AY$173)</f>
        <v>8.8235294117647065</v>
      </c>
      <c r="Q182" s="27">
        <f>AVERAGEIF($C$36:$C$173,"=1",$BH$36:$BH$173)</f>
        <v>52.444444444444443</v>
      </c>
      <c r="R182" s="27">
        <f>AVERAGEIF($C$36:$C$173,"=1",$BJ$36:$BJ$173)</f>
        <v>9.2777777777777786</v>
      </c>
      <c r="S182" s="27">
        <f>AVERAGEIF($C$36:$C$173,"=1",$BY$36:$BY$173)</f>
        <v>53.647058823529413</v>
      </c>
      <c r="T182" s="27">
        <f>AVERAGEIF($C$36:$C$173,"=1",$CA$36:$CA$173)</f>
        <v>9.117647058823529</v>
      </c>
      <c r="U182" s="27">
        <v>53.882352941176471</v>
      </c>
      <c r="V182" s="27">
        <v>9.7222222222222214</v>
      </c>
      <c r="Y182" s="27" t="s">
        <v>142</v>
      </c>
      <c r="Z182" s="27">
        <v>53.25</v>
      </c>
      <c r="AA182" s="27">
        <v>52.058823529411768</v>
      </c>
      <c r="AB182" s="27">
        <v>52.823529411764703</v>
      </c>
      <c r="AC182" s="27">
        <v>53</v>
      </c>
      <c r="AD182" s="27">
        <v>53.94736842105263</v>
      </c>
      <c r="AE182" s="27">
        <v>52.6</v>
      </c>
      <c r="AF182" s="27">
        <v>53.81818181818182</v>
      </c>
      <c r="AG182" s="27">
        <v>53.772727272727273</v>
      </c>
      <c r="AH182" s="27">
        <v>54.454545454545453</v>
      </c>
      <c r="AI182" s="32"/>
      <c r="AJ182" s="32"/>
      <c r="AK182" s="32"/>
      <c r="AL182" s="32"/>
      <c r="AM182" s="32"/>
    </row>
    <row r="183" spans="4:40" x14ac:dyDescent="0.2">
      <c r="D183" s="27" t="s">
        <v>141</v>
      </c>
      <c r="E183" s="27">
        <f>AVERAGEIF(C36:C173,"=2",D36:D173)</f>
        <v>52.6</v>
      </c>
      <c r="F183" s="27">
        <f>AVERAGEIF(C36:C173,"=2",E36:E173)</f>
        <v>8.65</v>
      </c>
      <c r="G183" s="27">
        <f>AVERAGEIF(C36:C173,"=2",M36:M173)</f>
        <v>52.157894736842103</v>
      </c>
      <c r="H183" s="27">
        <f>AVERAGEIF(C36:C173,"=2",N36:N173)</f>
        <v>9.2631578947368425</v>
      </c>
      <c r="I183" s="27">
        <f>AVERAGEIF(C36:C173,"=2",V36:V173)</f>
        <v>52.842105263157897</v>
      </c>
      <c r="J183" s="27">
        <f>AVERAGEIF(C36:C173,"=2",W36:W173)</f>
        <v>8.6315789473684212</v>
      </c>
      <c r="K183" s="27">
        <f>AVERAGEIF(C36:C173,"=2",AE36:AE173)</f>
        <v>53.75</v>
      </c>
      <c r="L183" s="27">
        <f>AVERAGEIF(C36:C173,"=2",AF36:AF173)</f>
        <v>9.1</v>
      </c>
      <c r="M183" s="27">
        <f>AVERAGEIF($C$36:$C$173,"=2",$AN$36:$AN$173)</f>
        <v>52.791666666666664</v>
      </c>
      <c r="N183" s="27">
        <f>AVERAGEIF($C$36:$C$173,"=2",$AO$36:$AO$173)</f>
        <v>7.833333333333333</v>
      </c>
      <c r="O183" s="27">
        <f>AVERAGEIF($C$36:$C$173,"=2",$AW$36:$AW$173)</f>
        <v>52.18181818181818</v>
      </c>
      <c r="P183" s="27">
        <f>AVERAGEIF($C$36:$C$173,"=2",$AY$36:$AY$173)</f>
        <v>8</v>
      </c>
      <c r="Q183" s="27">
        <f>AVERAGEIF($C$36:$C$173,"=2",$BH$36:$BH$173)</f>
        <v>53.96</v>
      </c>
      <c r="R183" s="27">
        <f>AVERAGEIF($C$36:$C$173,"=2",$BJ$36:$BJ$173)</f>
        <v>9.48</v>
      </c>
      <c r="S183" s="27">
        <f>AVERAGEIF($C$36:$C$173,"=2",$BY$36:$BY$173)</f>
        <v>52.807692307692307</v>
      </c>
      <c r="T183" s="27">
        <f>AVERAGEIF($C$36:$C$173,"=2",$CA$36:$CA$173)</f>
        <v>8.8076923076923084</v>
      </c>
      <c r="U183" s="27">
        <v>54.958333333333336</v>
      </c>
      <c r="V183" s="27">
        <v>9.4166666666666661</v>
      </c>
      <c r="Y183" s="27" t="s">
        <v>143</v>
      </c>
      <c r="Z183" s="27">
        <v>48.357142857142854</v>
      </c>
      <c r="AA183" s="27">
        <v>49.666666666666664</v>
      </c>
      <c r="AB183" s="27">
        <v>50.466666666666669</v>
      </c>
      <c r="AC183" s="27">
        <v>49.714285714285715</v>
      </c>
      <c r="AD183" s="27">
        <v>49.153846153846153</v>
      </c>
      <c r="AE183" s="27">
        <v>48.5</v>
      </c>
      <c r="AF183" s="27">
        <v>50.714285714285715</v>
      </c>
      <c r="AG183" s="27">
        <v>49.93333333333333</v>
      </c>
      <c r="AH183" s="27">
        <v>52.153846153846153</v>
      </c>
      <c r="AI183" s="32"/>
      <c r="AJ183" s="32"/>
      <c r="AK183" s="32"/>
      <c r="AL183" s="32"/>
      <c r="AM183" s="32"/>
    </row>
    <row r="184" spans="4:40" x14ac:dyDescent="0.2">
      <c r="D184" s="27" t="s">
        <v>142</v>
      </c>
      <c r="E184" s="27">
        <f>AVERAGEIF(C36:C173,"=3",D36:D173)</f>
        <v>53</v>
      </c>
      <c r="F184" s="27">
        <f>AVERAGEIF(C36:C173,"=3",E36:E173)</f>
        <v>8.6666666666666661</v>
      </c>
      <c r="G184" s="27">
        <f>AVERAGEIF(C36:C173,"=3",M36:M173)</f>
        <v>51.89473684210526</v>
      </c>
      <c r="H184" s="27">
        <f>AVERAGEIF(C36:C173,"=3",N36:N173)</f>
        <v>9.2105263157894743</v>
      </c>
      <c r="I184" s="27">
        <f>AVERAGEIF(C36:C173,"=3",V36:V173)</f>
        <v>52.684210526315788</v>
      </c>
      <c r="J184" s="27">
        <f>AVERAGEIF(C36:C173,"=3",W36:W173)</f>
        <v>9.2105263157894743</v>
      </c>
      <c r="K184" s="27">
        <f>AVERAGEIF(C36:C173,"=3",AE36:AE173)</f>
        <v>52.789473684210527</v>
      </c>
      <c r="L184" s="27">
        <f>AVERAGEIF(C36:C173,"=3",AF36:AF173)</f>
        <v>9.2105263157894743</v>
      </c>
      <c r="M184" s="27">
        <f>AVERAGEIF($C$36:$C$173,"=3",$AN$36:$AN$173)</f>
        <v>53.9</v>
      </c>
      <c r="N184" s="27">
        <f>AVERAGEIF($C$36:$C$173,"=3",$AO$36:$AO$173)</f>
        <v>8.65</v>
      </c>
      <c r="O184" s="27">
        <f>AVERAGEIF($C$36:$C$173,"=3",$AW$36:$AW$173)</f>
        <v>52.6</v>
      </c>
      <c r="P184" s="27">
        <f>AVERAGEIF($C$36:$C$173,"=3",$AY$36:$AY$173)</f>
        <v>8.5500000000000007</v>
      </c>
      <c r="Q184" s="27">
        <f>AVERAGEIF($C$36:$C$173,"=3",$BH$36:$BH$173)</f>
        <v>53.81818181818182</v>
      </c>
      <c r="R184" s="27">
        <f>AVERAGEIF($C$36:$C$173,"=3",$BJ$36:$BJ$173)</f>
        <v>9.5</v>
      </c>
      <c r="S184" s="27">
        <f>AVERAGEIF($C$36:$C$173,"=3",$BY$36:$BY$173)</f>
        <v>53.772727272727273</v>
      </c>
      <c r="T184" s="27">
        <f>AVERAGEIF($C$36:$C$173,"=3",$CA$36:$CA$173)</f>
        <v>9.8636363636363633</v>
      </c>
      <c r="U184" s="27">
        <v>54.454545454545453</v>
      </c>
      <c r="V184" s="27">
        <v>9.954545454545455</v>
      </c>
      <c r="Y184" s="27" t="s">
        <v>144</v>
      </c>
      <c r="Z184" s="27">
        <v>54.470588235294116</v>
      </c>
      <c r="AA184" s="27">
        <v>54.705882352941174</v>
      </c>
      <c r="AB184" s="27">
        <v>54.777777777777779</v>
      </c>
      <c r="AC184" s="27">
        <v>55.368421052631582</v>
      </c>
      <c r="AD184" s="27">
        <v>55.944444444444443</v>
      </c>
      <c r="AE184" s="27">
        <v>54.277777777777779</v>
      </c>
      <c r="AF184" s="27">
        <v>55.882352941176471</v>
      </c>
      <c r="AG184" s="27">
        <v>55.823529411764703</v>
      </c>
      <c r="AH184" s="27">
        <v>55.888888888888886</v>
      </c>
      <c r="AI184" s="32"/>
      <c r="AJ184" s="32"/>
      <c r="AK184" s="32"/>
      <c r="AL184" s="32"/>
      <c r="AM184" s="32"/>
    </row>
    <row r="185" spans="4:40" x14ac:dyDescent="0.2">
      <c r="D185" s="27" t="s">
        <v>143</v>
      </c>
      <c r="E185" s="27">
        <f>AVERAGEIF(C36:C173,"=4",D36:D173)</f>
        <v>48.357142857142854</v>
      </c>
      <c r="F185" s="27">
        <f>AVERAGEIF(C36:C173,"=4",E36:E173)</f>
        <v>8.7857142857142865</v>
      </c>
      <c r="G185" s="27">
        <f>AVERAGEIF(C36:C173,"=4",M36:M173)</f>
        <v>49.666666666666664</v>
      </c>
      <c r="H185" s="27">
        <f>AVERAGEIF(C36:C173,"=4",N36:N173)</f>
        <v>8.6666666666666661</v>
      </c>
      <c r="I185" s="27">
        <f>AVERAGEIF(C36:C173,"=4",V36:V173)</f>
        <v>50.466666666666669</v>
      </c>
      <c r="J185" s="27">
        <f>AVERAGEIF(C36:C173,"=4",W36:W173)</f>
        <v>8.7333333333333325</v>
      </c>
      <c r="K185" s="27">
        <f>AVERAGEIF(C36:C173,"=4",AE36:AE173)</f>
        <v>49.714285714285715</v>
      </c>
      <c r="L185" s="27">
        <f>AVERAGEIF(C36:C173,"=4",AF36:AF173)</f>
        <v>8.7857142857142865</v>
      </c>
      <c r="M185" s="27">
        <f>AVERAGEIF($C$36:$C$173,"=4",$AN$36:$AN$173)</f>
        <v>49.153846153846153</v>
      </c>
      <c r="N185" s="27">
        <f>AVERAGEIF($C$36:$C$173,"=4",$AO$36:$AO$173)</f>
        <v>9.1538461538461533</v>
      </c>
      <c r="O185" s="27">
        <f>AVERAGEIF($C$36:$C$173,"=4",$AW$36:$AW$173)</f>
        <v>48.5</v>
      </c>
      <c r="P185" s="27">
        <f>AVERAGEIF($C$36:$C$173,"=4",$AY$36:$AY$173)</f>
        <v>8.5714285714285712</v>
      </c>
      <c r="Q185" s="27">
        <f>AVERAGEIF($C$36:$C$173,"=4",$BH$36:$BH$173)</f>
        <v>50.714285714285715</v>
      </c>
      <c r="R185" s="27">
        <f>AVERAGEIF($C$36:$C$173,"=4",$BJ$36:$BJ$173)</f>
        <v>9.5714285714285712</v>
      </c>
      <c r="S185" s="27">
        <f>AVERAGEIF($C$36:$C$173,"=4",$BY$36:$BY$173)</f>
        <v>49.93333333333333</v>
      </c>
      <c r="T185" s="27">
        <f>AVERAGEIF($C$36:$C$173,"=4",$CA$36:$CA$173)</f>
        <v>9.6666666666666661</v>
      </c>
      <c r="U185" s="27">
        <v>52.153846153846153</v>
      </c>
      <c r="V185" s="27">
        <v>10.307692307692308</v>
      </c>
      <c r="Y185" s="27" t="s">
        <v>145</v>
      </c>
      <c r="Z185" s="27">
        <v>52.266666666666666</v>
      </c>
      <c r="AA185" s="27">
        <v>51</v>
      </c>
      <c r="AB185" s="27">
        <v>52.142857142857146</v>
      </c>
      <c r="AC185" s="27">
        <v>53.6</v>
      </c>
      <c r="AD185" s="27">
        <v>52.117647058823529</v>
      </c>
      <c r="AE185" s="27">
        <v>51.6875</v>
      </c>
      <c r="AF185" s="27">
        <v>52.05263157894737</v>
      </c>
      <c r="AG185" s="27">
        <v>53.5</v>
      </c>
      <c r="AH185" s="27">
        <v>53.666666666666664</v>
      </c>
      <c r="AI185" s="32"/>
      <c r="AJ185" s="32"/>
      <c r="AK185" s="32"/>
      <c r="AL185" s="32"/>
      <c r="AM185" s="32"/>
    </row>
    <row r="186" spans="4:40" x14ac:dyDescent="0.2">
      <c r="D186" s="27" t="s">
        <v>144</v>
      </c>
      <c r="E186" s="27">
        <f>AVERAGEIF(C36:C173,"=5",D36:D173)</f>
        <v>54.470588235294116</v>
      </c>
      <c r="F186" s="27">
        <f>AVERAGEIF(C36:C173,"=5",E36:E173)</f>
        <v>8.2941176470588243</v>
      </c>
      <c r="G186" s="27">
        <f>AVERAGEIF(C36:C173,"=5",M36:M173)</f>
        <v>54.705882352941174</v>
      </c>
      <c r="H186" s="27">
        <f>AVERAGEIF(C36:C173,"=5",N36:N173)</f>
        <v>9.4705882352941178</v>
      </c>
      <c r="I186" s="27">
        <f>AVERAGEIF(C36:C173,"=5",V36:V173)</f>
        <v>54.777777777777779</v>
      </c>
      <c r="J186" s="27">
        <f>AVERAGEIF(C36:C173,"=5",W36:W173)</f>
        <v>8.4444444444444446</v>
      </c>
      <c r="K186" s="27">
        <f>AVERAGEIF(C36:C173,"=5",AE36:AE173)</f>
        <v>55.368421052631582</v>
      </c>
      <c r="L186" s="27">
        <f>AVERAGEIF(C36:C173,"=5",AF36:AF173)</f>
        <v>8.526315789473685</v>
      </c>
      <c r="M186" s="27">
        <f>AVERAGEIF($C$36:$C$173,"=5",$AN$36:$AN$173)</f>
        <v>55.944444444444443</v>
      </c>
      <c r="N186" s="27">
        <f>AVERAGEIF($C$36:$C$173,"=5",$AO$36:$AO$173)</f>
        <v>9.0555555555555554</v>
      </c>
      <c r="O186" s="27">
        <f>AVERAGEIF($C$36:$C$173,"=5",$AW$36:$AW$173)</f>
        <v>54.277777777777779</v>
      </c>
      <c r="P186" s="27">
        <f>AVERAGEIF($C$36:$C$173,"=5",$AY$36:$AY$173)</f>
        <v>9</v>
      </c>
      <c r="Q186" s="27">
        <f>AVERAGEIF($C$36:$C$173,"=5",$BH$36:$BH$173)</f>
        <v>55.882352941176471</v>
      </c>
      <c r="R186" s="27">
        <f>AVERAGEIF($C$36:$C$173,"=5",$BJ$36:$BJ$173)</f>
        <v>9.117647058823529</v>
      </c>
      <c r="S186" s="27">
        <f>AVERAGEIF($C$36:$C$173,"=5",$BY$36:$BY$173)</f>
        <v>55.823529411764703</v>
      </c>
      <c r="T186" s="27">
        <f>AVERAGEIF($C$36:$C$173,"=5",$CA$36:$CA$173)</f>
        <v>9.1764705882352935</v>
      </c>
      <c r="U186" s="27">
        <v>56.294117647058826</v>
      </c>
      <c r="V186" s="27">
        <v>9.5555555555555554</v>
      </c>
      <c r="X186" s="32"/>
      <c r="Y186" s="32"/>
      <c r="Z186" s="32"/>
      <c r="AA186" s="32"/>
      <c r="AB186" s="32"/>
      <c r="AC186" s="32"/>
      <c r="AD186" s="32"/>
      <c r="AG186" s="32"/>
      <c r="AH186" s="32"/>
      <c r="AI186" s="32"/>
      <c r="AJ186" s="32"/>
      <c r="AK186" s="32"/>
      <c r="AL186" s="32"/>
      <c r="AM186" s="32"/>
    </row>
    <row r="187" spans="4:40" x14ac:dyDescent="0.2">
      <c r="D187" s="27" t="s">
        <v>145</v>
      </c>
      <c r="E187" s="27">
        <f>AVERAGEIF(C36:C173,"=6",D36:D173)</f>
        <v>52.266666666666666</v>
      </c>
      <c r="F187" s="27">
        <f>AVERAGEIF(C36:C173,"=6",E36:E173)</f>
        <v>7.8666666666666663</v>
      </c>
      <c r="G187" s="27">
        <f>AVERAGEIF(C36:C173,"=6",M36:M173)</f>
        <v>51</v>
      </c>
      <c r="H187" s="27">
        <f>AVERAGEIF(C36:C173,"=6",N36:N173)</f>
        <v>9.8666666666666671</v>
      </c>
      <c r="I187" s="27">
        <f>AVERAGEIF(C36:C173,"=6",V36:V173)</f>
        <v>52.142857142857146</v>
      </c>
      <c r="J187" s="27">
        <f>AVERAGEIF(C36:C173,"=6",W36:W173)</f>
        <v>8.7142857142857135</v>
      </c>
      <c r="K187" s="27">
        <f>AVERAGEIF(C36:C173,"=6",AE36:AE173)</f>
        <v>53.6</v>
      </c>
      <c r="L187" s="27">
        <f>AVERAGEIF(C36:C173,"=6",AF36:AF173)</f>
        <v>10.6</v>
      </c>
      <c r="M187" s="27">
        <f>AVERAGEIF($C$36:$C$173,"=6",$AN$36:$AN$173)</f>
        <v>52.117647058823529</v>
      </c>
      <c r="N187" s="27">
        <f>AVERAGEIF($C$36:$C$173,"=6",$AO$36:$AO$173)</f>
        <v>8.9411764705882355</v>
      </c>
      <c r="O187" s="27">
        <f>AVERAGEIF($C$36:$C$173,"=6",$AW$36:$AW$173)</f>
        <v>51.647058823529413</v>
      </c>
      <c r="P187" s="27">
        <f>AVERAGEIF($C$36:$C$173,"=6",$AY$36:$AY$173)</f>
        <v>7.5294117647058822</v>
      </c>
      <c r="Q187" s="27">
        <f>AVERAGEIF($C$36:$C$173,"=6",$BH$36:$BH$173)</f>
        <v>52.05263157894737</v>
      </c>
      <c r="R187" s="27">
        <f>AVERAGEIF($C$36:$C$173,"=6",$BJ$36:$BJ$173)</f>
        <v>10.105263157894736</v>
      </c>
      <c r="S187" s="27">
        <f>AVERAGEIF($C$36:$C$173,"=6",$BY$36:$BY$173)</f>
        <v>53.5</v>
      </c>
      <c r="T187" s="27">
        <f>AVERAGEIF($C$36:$C$173,"=6",$CA$36:$CA$173)</f>
        <v>8.85</v>
      </c>
      <c r="U187" s="27">
        <v>53.666666666666664</v>
      </c>
      <c r="V187" s="27">
        <v>9.5</v>
      </c>
      <c r="X187" s="32"/>
      <c r="Y187" s="32"/>
      <c r="Z187" s="32"/>
      <c r="AA187" s="32"/>
      <c r="AB187" s="32"/>
      <c r="AC187" s="32"/>
      <c r="AD187" s="32"/>
      <c r="AG187" s="32"/>
      <c r="AH187" s="32"/>
      <c r="AI187" s="32"/>
      <c r="AJ187" s="32"/>
      <c r="AK187" s="32"/>
      <c r="AL187" s="32"/>
      <c r="AM187" s="32"/>
    </row>
    <row r="188" spans="4:40" x14ac:dyDescent="0.2">
      <c r="M188" t="s">
        <v>152</v>
      </c>
    </row>
    <row r="190" spans="4:40" x14ac:dyDescent="0.2">
      <c r="D190" s="28"/>
      <c r="E190" s="1046">
        <v>2016</v>
      </c>
      <c r="F190" s="1050"/>
      <c r="G190" s="1050"/>
      <c r="H190" s="1050"/>
      <c r="I190" s="1046">
        <v>2017</v>
      </c>
      <c r="J190" s="1050"/>
      <c r="K190" s="1050"/>
      <c r="L190" s="1050"/>
      <c r="M190" s="1046">
        <v>2018</v>
      </c>
      <c r="N190" s="1050"/>
      <c r="O190" s="1050"/>
      <c r="P190" s="1047"/>
      <c r="Q190" s="1046">
        <v>2019</v>
      </c>
      <c r="R190" s="1050"/>
      <c r="S190" s="1050"/>
      <c r="T190" s="1050"/>
      <c r="U190" s="1046">
        <v>2020</v>
      </c>
      <c r="V190" s="1050"/>
      <c r="W190" s="1050"/>
      <c r="X190" s="1050"/>
      <c r="Y190" s="1046">
        <v>2021</v>
      </c>
      <c r="Z190" s="1050"/>
      <c r="AA190" s="1050"/>
      <c r="AB190" s="1050"/>
      <c r="AC190" s="1046">
        <v>2022</v>
      </c>
      <c r="AD190" s="1050"/>
      <c r="AE190" s="1050"/>
      <c r="AF190" s="1050"/>
      <c r="AG190" s="1046">
        <v>2023</v>
      </c>
      <c r="AH190" s="1050"/>
      <c r="AI190" s="1050"/>
      <c r="AJ190" s="1050"/>
      <c r="AK190" s="1046">
        <v>2024</v>
      </c>
      <c r="AL190" s="1050"/>
      <c r="AM190" s="1050"/>
      <c r="AN190" s="1050"/>
    </row>
    <row r="191" spans="4:40" x14ac:dyDescent="0.2">
      <c r="D191" s="28"/>
      <c r="E191" s="1046" t="s">
        <v>148</v>
      </c>
      <c r="F191" s="1050"/>
      <c r="G191" s="1046" t="s">
        <v>149</v>
      </c>
      <c r="H191" s="1050"/>
      <c r="I191" s="1046" t="s">
        <v>148</v>
      </c>
      <c r="J191" s="1050"/>
      <c r="K191" s="1046" t="s">
        <v>149</v>
      </c>
      <c r="L191" s="1050"/>
      <c r="M191" s="1046" t="s">
        <v>148</v>
      </c>
      <c r="N191" s="1047"/>
      <c r="O191" s="1046" t="s">
        <v>149</v>
      </c>
      <c r="P191" s="1047"/>
      <c r="Q191" s="1046" t="s">
        <v>148</v>
      </c>
      <c r="R191" s="1047"/>
      <c r="S191" s="1046" t="s">
        <v>149</v>
      </c>
      <c r="T191" s="1050"/>
      <c r="U191" s="1046" t="s">
        <v>148</v>
      </c>
      <c r="V191" s="1047"/>
      <c r="W191" s="1046" t="s">
        <v>149</v>
      </c>
      <c r="X191" s="1050"/>
      <c r="Y191" s="1046" t="s">
        <v>148</v>
      </c>
      <c r="Z191" s="1047"/>
      <c r="AA191" s="1046" t="s">
        <v>149</v>
      </c>
      <c r="AB191" s="1050"/>
      <c r="AC191" s="1046" t="s">
        <v>148</v>
      </c>
      <c r="AD191" s="1047"/>
      <c r="AE191" s="1046" t="s">
        <v>149</v>
      </c>
      <c r="AF191" s="1050"/>
      <c r="AG191" s="1046" t="s">
        <v>148</v>
      </c>
      <c r="AH191" s="1047"/>
      <c r="AI191" s="1046" t="s">
        <v>149</v>
      </c>
      <c r="AJ191" s="1050"/>
      <c r="AK191" s="1046" t="s">
        <v>148</v>
      </c>
      <c r="AL191" s="1047"/>
      <c r="AM191" s="1046" t="s">
        <v>149</v>
      </c>
      <c r="AN191" s="1050"/>
    </row>
    <row r="192" spans="4:40" x14ac:dyDescent="0.2">
      <c r="D192" s="28"/>
      <c r="E192" s="7" t="s">
        <v>120</v>
      </c>
      <c r="F192" s="7" t="s">
        <v>147</v>
      </c>
      <c r="G192" s="7" t="s">
        <v>120</v>
      </c>
      <c r="H192" s="7" t="s">
        <v>147</v>
      </c>
      <c r="I192" s="7" t="s">
        <v>120</v>
      </c>
      <c r="J192" s="7" t="s">
        <v>147</v>
      </c>
      <c r="K192" s="7" t="s">
        <v>120</v>
      </c>
      <c r="L192" s="7" t="s">
        <v>147</v>
      </c>
      <c r="M192" s="7" t="s">
        <v>120</v>
      </c>
      <c r="N192" s="7" t="s">
        <v>147</v>
      </c>
      <c r="O192" s="7" t="s">
        <v>120</v>
      </c>
      <c r="P192" s="7" t="s">
        <v>147</v>
      </c>
      <c r="Q192" s="7" t="s">
        <v>120</v>
      </c>
      <c r="R192" s="7" t="s">
        <v>147</v>
      </c>
      <c r="S192" s="7" t="s">
        <v>120</v>
      </c>
      <c r="T192" s="34" t="s">
        <v>147</v>
      </c>
      <c r="U192" s="7" t="s">
        <v>120</v>
      </c>
      <c r="V192" s="7" t="s">
        <v>147</v>
      </c>
      <c r="W192" s="7" t="s">
        <v>120</v>
      </c>
      <c r="X192" s="34" t="s">
        <v>147</v>
      </c>
      <c r="Y192" s="7" t="s">
        <v>120</v>
      </c>
      <c r="Z192" s="7" t="s">
        <v>147</v>
      </c>
      <c r="AA192" s="7" t="s">
        <v>120</v>
      </c>
      <c r="AB192" s="34" t="s">
        <v>147</v>
      </c>
      <c r="AC192" s="7" t="s">
        <v>120</v>
      </c>
      <c r="AD192" s="7" t="s">
        <v>147</v>
      </c>
      <c r="AE192" s="7" t="s">
        <v>120</v>
      </c>
      <c r="AF192" s="34" t="s">
        <v>147</v>
      </c>
      <c r="AG192" s="7" t="s">
        <v>120</v>
      </c>
      <c r="AH192" s="7" t="s">
        <v>147</v>
      </c>
      <c r="AI192" s="7" t="s">
        <v>120</v>
      </c>
      <c r="AJ192" s="34" t="s">
        <v>147</v>
      </c>
      <c r="AK192" s="7" t="s">
        <v>120</v>
      </c>
      <c r="AL192" s="7" t="s">
        <v>147</v>
      </c>
      <c r="AM192" s="7" t="s">
        <v>120</v>
      </c>
      <c r="AN192" s="34" t="s">
        <v>147</v>
      </c>
    </row>
    <row r="193" spans="4:48" x14ac:dyDescent="0.2">
      <c r="D193" s="5" t="s">
        <v>0</v>
      </c>
      <c r="E193" s="10">
        <v>51</v>
      </c>
      <c r="F193" s="10">
        <v>9</v>
      </c>
      <c r="G193" s="10">
        <v>54</v>
      </c>
      <c r="H193" s="10">
        <v>9</v>
      </c>
      <c r="I193" s="10">
        <v>50</v>
      </c>
      <c r="J193" s="10">
        <v>8</v>
      </c>
      <c r="K193" s="10">
        <v>53</v>
      </c>
      <c r="L193" s="10">
        <v>8</v>
      </c>
      <c r="M193" s="30">
        <v>52</v>
      </c>
      <c r="N193" s="30">
        <v>9</v>
      </c>
      <c r="O193" s="30">
        <v>54</v>
      </c>
      <c r="P193" s="30">
        <v>9</v>
      </c>
      <c r="Q193" s="30">
        <v>52</v>
      </c>
      <c r="R193" s="30">
        <v>9</v>
      </c>
      <c r="S193" s="30">
        <v>55</v>
      </c>
      <c r="T193" s="76">
        <v>10</v>
      </c>
      <c r="U193" s="76">
        <v>52</v>
      </c>
      <c r="V193" s="76">
        <v>9</v>
      </c>
      <c r="W193" s="76">
        <v>55</v>
      </c>
      <c r="X193" s="30">
        <v>10</v>
      </c>
      <c r="Y193" s="76">
        <v>52</v>
      </c>
      <c r="Z193" s="76">
        <v>9</v>
      </c>
      <c r="AA193" s="76">
        <v>55</v>
      </c>
      <c r="AB193" s="30">
        <v>10</v>
      </c>
      <c r="AC193" s="76">
        <v>52</v>
      </c>
      <c r="AD193" s="76">
        <v>9</v>
      </c>
      <c r="AE193" s="76">
        <v>55</v>
      </c>
      <c r="AF193" s="30">
        <v>10</v>
      </c>
      <c r="AG193" s="76">
        <v>52</v>
      </c>
      <c r="AH193" s="76">
        <v>9</v>
      </c>
      <c r="AI193" s="76">
        <v>55</v>
      </c>
      <c r="AJ193" s="30">
        <v>10</v>
      </c>
      <c r="AK193" s="76">
        <v>54</v>
      </c>
      <c r="AL193" s="76">
        <v>11</v>
      </c>
      <c r="AM193" s="76">
        <v>56</v>
      </c>
      <c r="AN193" s="30">
        <v>10</v>
      </c>
    </row>
    <row r="194" spans="4:48" x14ac:dyDescent="0.2">
      <c r="D194" s="27" t="s">
        <v>140</v>
      </c>
      <c r="E194" s="27">
        <f>AVERAGEIFS(D$36:D$173,$C$36:$C$173,"=1", $B$36:$B$173,"OFICIAL")</f>
        <v>52.5</v>
      </c>
      <c r="F194" s="27">
        <f>AVERAGEIFS(E36:E173,C36:C173,"=1", B36:B173,"OFICIAL")</f>
        <v>9.5</v>
      </c>
      <c r="G194" s="27">
        <f>AVERAGEIFS(D36:D173,C36:C173,"=1", B36:B173,"NO OFICIAL")</f>
        <v>51.615384615384613</v>
      </c>
      <c r="H194" s="27">
        <f>AVERAGEIFS(E36:E173,C36:C173,"=1", B36:B173,"NO OFICIAL")</f>
        <v>8.8461538461538467</v>
      </c>
      <c r="I194" s="27">
        <f>AVERAGEIFS(M36:M173,C36:C173,"=1", B36:B173,"OFICIAL")</f>
        <v>51.75</v>
      </c>
      <c r="J194" s="27">
        <f>AVERAGEIFS(N36:N173,C36:C173,"=1", B36:B173,"OFICIAL")</f>
        <v>9.25</v>
      </c>
      <c r="K194" s="27">
        <f>AVERAGEIFS(M36:M173,C36:C173,"=1", B36:B173,"NO OFICIAL")</f>
        <v>51.583333333333336</v>
      </c>
      <c r="L194" s="27">
        <f>AVERAGEIFS(N36:N173,C36:C173,"=1", B36:B173,"NO OFICIAL")</f>
        <v>9</v>
      </c>
      <c r="M194" s="27">
        <f>AVERAGEIFS(V36:V173,C36:C173,"=1", B36:B173,"OFICIAL")</f>
        <v>51.75</v>
      </c>
      <c r="N194" s="27">
        <f>AVERAGEIFS(W36:W173,C36:C173,"=1", B36:B173,"OFICIAL")</f>
        <v>8.75</v>
      </c>
      <c r="O194" s="27">
        <f>AVERAGEIFS(V36:V173,C36:C173,"=1", B36:B173,"NO OFICIAL")</f>
        <v>51.846153846153847</v>
      </c>
      <c r="P194" s="27">
        <f>AVERAGEIFS(W36:W173,C36:C173,"=1", B36:B173,"NO OFICIAL")</f>
        <v>9</v>
      </c>
      <c r="Q194" s="27">
        <f>AVERAGEIFS(AE36:AE173,C36:C173,"=1", B36:B173,"OFICIAL")</f>
        <v>52.5</v>
      </c>
      <c r="R194" s="27">
        <f>AVERAGEIFS(AF36:AF173,C36:C173,"=1", B36:B173,"OFICIAL")</f>
        <v>9.5</v>
      </c>
      <c r="S194" s="27">
        <f>AVERAGEIFS(AE36:AE173,C36:C173,"=1", B36:B173,"NO OFICIAL")</f>
        <v>52.692307692307693</v>
      </c>
      <c r="T194" s="71">
        <f>AVERAGEIFS(AF36:AF173,C36:C173,"=1", B36:B173,"NO OFICIAL")</f>
        <v>9.1538461538461533</v>
      </c>
      <c r="U194" s="27">
        <f>AVERAGEIFS($AN$36:$AN$173,$C$36:$C$173,"=1", $B$36:$B$173,"OFICIAL")</f>
        <v>52.5</v>
      </c>
      <c r="V194" s="27">
        <f>AVERAGEIFS($AO$36:$AO$173,$C$36:$C$173,"=1", $B$36:$B$173,"OFICIAL")</f>
        <v>9.25</v>
      </c>
      <c r="W194" s="27">
        <f>AVERAGEIFS($AN$36:$AN$173,$C$36:$C$173,"=1", $B$36:$B$173,"NO OFICIAL")</f>
        <v>53.53846153846154</v>
      </c>
      <c r="X194" s="27">
        <f>AVERAGEIFS($AO$36:$AO$173,$C$36:$C$173,"=1", $B$36:$B$173,"NO OFICIAL")</f>
        <v>9.0769230769230766</v>
      </c>
      <c r="Y194" s="27">
        <f>AVERAGEIFS($AW$36:$AW$173,$C$36:$C$173,"=1", $B$36:$B$173,"OFICIAL")</f>
        <v>51.25</v>
      </c>
      <c r="Z194" s="27">
        <f>AVERAGEIFS($AY$36:$AY$173,$C$36:$C$173,"=1", $B$36:$B$173,"OFICIAL")</f>
        <v>9</v>
      </c>
      <c r="AA194" s="27">
        <f>AVERAGEIFS($AW$36:$AW$173,$C$36:$C$173,"=1", $B$36:$B$173,"NO OFICIAL")</f>
        <v>52.846153846153847</v>
      </c>
      <c r="AB194" s="27">
        <f>AVERAGEIFS($AY$36:$AY$173,$C$36:$C$173,"=1", $B$36:$B$173,"NO OFICIAL")</f>
        <v>8.7692307692307701</v>
      </c>
      <c r="AC194" s="27">
        <f>AVERAGEIFS($BH$36:$BH$173,$C$36:$C$173,"=1", $B$36:$B$173,"OFICIAL")</f>
        <v>51</v>
      </c>
      <c r="AD194" s="27">
        <f>AVERAGEIFS($BJ$36:$BJ$173,$C$36:$C$173,"=1", $B$36:$B$173,"OFICIAL")</f>
        <v>9</v>
      </c>
      <c r="AE194" s="27">
        <f>AVERAGEIFS($BH$36:$BH$173,$C$36:$C$173,"=1", $B$36:$B$173,"NO OFICIAL")</f>
        <v>53</v>
      </c>
      <c r="AF194" s="27">
        <f>AVERAGEIFS($BJ$36:$BJ$173,$C$36:$C$173,"=1", $B$36:$B$173,"NO OFICIAL")</f>
        <v>9.384615384615385</v>
      </c>
      <c r="AG194" s="27">
        <f>AVERAGEIFS($BY$36:$BY$173,$C$36:$C$173,"=1", $B$36:$B$173,"OFICIAL")</f>
        <v>52.2</v>
      </c>
      <c r="AH194" s="27">
        <f>AVERAGEIFS($CA$36:$CA$173,$C$36:$C$173,"=1", $B$36:$B$173,"OFICIAL")</f>
        <v>9.1999999999999993</v>
      </c>
      <c r="AI194" s="27">
        <v>54.25</v>
      </c>
      <c r="AJ194" s="27">
        <f>AVERAGEIFS($CA$36:$CA$173,$C$36:$C$173,"=1", $B$36:$B$173,"NO OFICIAL")</f>
        <v>9.0833333333333339</v>
      </c>
      <c r="AK194" s="27">
        <v>52.4</v>
      </c>
      <c r="AL194" s="27">
        <v>10.199999999999999</v>
      </c>
      <c r="AM194" s="27">
        <v>54.384615384615387</v>
      </c>
      <c r="AN194" s="27">
        <v>9.5384615384615383</v>
      </c>
    </row>
    <row r="195" spans="4:48" x14ac:dyDescent="0.2">
      <c r="D195" s="27" t="s">
        <v>141</v>
      </c>
      <c r="E195" s="27">
        <f>AVERAGEIFS(D36:D173,C36:C173,"=2", B36:B173,"OFICIAL")</f>
        <v>52</v>
      </c>
      <c r="F195" s="27">
        <f>AVERAGEIFS(E36:E173,C36:C173,"=2", B36:B173,"OFICIAL")</f>
        <v>8.5</v>
      </c>
      <c r="G195" s="27">
        <f>AVERAGEIFS(D36:D173,C36:C173,"=2", B36:B173,"NO OFICIAL")</f>
        <v>52.666666666666664</v>
      </c>
      <c r="H195" s="27">
        <f>AVERAGEIFS(E36:E173,C36:C173,"=2", B36:B173,"NO OFICIAL")</f>
        <v>8.6666666666666661</v>
      </c>
      <c r="I195" s="27">
        <f>AVERAGEIFS(M36:M173,C36:C173,"=2", B36:B173,"OFICIAL")</f>
        <v>51</v>
      </c>
      <c r="J195" s="27">
        <f>AVERAGEIFS(N36:N173,C36:C173,"=2", B36:B173,"OFICIAL")</f>
        <v>10</v>
      </c>
      <c r="K195" s="27">
        <f>AVERAGEIFS(M36:M173,C36:C173,"=2", B36:B173,"NO OFICIAL")</f>
        <v>52.294117647058826</v>
      </c>
      <c r="L195" s="27">
        <f>AVERAGEIFS(N36:N173,C36:C173,"=2", B36:B173,"NO OFICIAL")</f>
        <v>9.1764705882352935</v>
      </c>
      <c r="M195" s="27">
        <f>AVERAGEIFS(V36:V173,C36:C173,"=2", B36:B173,"OFICIAL")</f>
        <v>52.5</v>
      </c>
      <c r="N195" s="27">
        <f>AVERAGEIFS(W36:W173,C36:C173,"=2", B36:B173,"OFICIAL")</f>
        <v>9.5</v>
      </c>
      <c r="O195" s="27">
        <f>AVERAGEIFS(V36:V173,C36:C173,"=2", B36:B173,"NO OFICIAL")</f>
        <v>52.882352941176471</v>
      </c>
      <c r="P195" s="27">
        <f>AVERAGEIFS(W36:W173,C36:C173,"=2", B36:B173,"NO OFICIAL")</f>
        <v>8.5294117647058822</v>
      </c>
      <c r="Q195" s="27">
        <f>AVERAGEIFS(AE36:AE173,C36:C173,"=2", B36:B173,"OFICIAL")</f>
        <v>52</v>
      </c>
      <c r="R195" s="27">
        <f>AVERAGEIFS(AF36:AF173,C36:C173,"=2", B36:B173,"OFICIAL")</f>
        <v>10</v>
      </c>
      <c r="S195" s="27">
        <f>AVERAGEIFS(AE36:AE173,C36:C173,"=2", B36:B173,"NO OFICIAL")</f>
        <v>53.944444444444443</v>
      </c>
      <c r="T195" s="71">
        <f>AVERAGEIFS(AF36:AF173,C36:C173,"=2", B36:B173,"NO OFICIAL")</f>
        <v>9</v>
      </c>
      <c r="U195" s="27">
        <f>AVERAGEIFS($AN$36:$AN$173,$C$36:$C$173,"=2", $B$36:$B$173,"OFICIAL")</f>
        <v>52.5</v>
      </c>
      <c r="V195" s="27">
        <f>AVERAGEIFS($AO$36:$AO$173,$C$36:$C$173,"=2", $B$36:$B$173,"OFICIAL")</f>
        <v>9</v>
      </c>
      <c r="W195" s="27">
        <f>AVERAGEIFS($AN$36:$AN$173,$C$36:$C$173,"=2", $B$36:$B$173,"NO OFICIAL")</f>
        <v>52.81818181818182</v>
      </c>
      <c r="X195" s="27">
        <f>AVERAGEIFS($AO$36:$AO$173,$C$36:$C$173,"=2", $B$36:$B$173,"NO OFICIAL")</f>
        <v>7.7272727272727275</v>
      </c>
      <c r="Y195" s="27">
        <f>AVERAGEIFS($AW$36:$AW$173,$C$36:$C$173,"=2", $B$36:$B$173,"OFICIAL")</f>
        <v>50</v>
      </c>
      <c r="Z195" s="27">
        <f>AVERAGEIFS($AY$36:$AY$173,$C$36:$C$173,"=2", $B$36:$B$173,"OFICIAL")</f>
        <v>9</v>
      </c>
      <c r="AA195" s="27">
        <f>AVERAGEIFS($AW$36:$AW$173,$C$36:$C$173,"=2", $B$36:$B$173,"NO OFICIAL")</f>
        <v>52.4</v>
      </c>
      <c r="AB195" s="27">
        <f>AVERAGEIFS($AY$36:$AY$173,$C$36:$C$173,"=2", $B$36:$B$173,"NO OFICIAL")</f>
        <v>7.9</v>
      </c>
      <c r="AC195" s="27">
        <f>AVERAGEIFS($BH$36:$BH$173,$C$36:$C$173,"=2", $B$36:$B$173,"OFICIAL")</f>
        <v>50.75</v>
      </c>
      <c r="AD195" s="27">
        <f>AVERAGEIFS($BJ$36:$BJ$173,$C$36:$C$173,"=2", $B$36:$B$173,"OFICIAL")</f>
        <v>10</v>
      </c>
      <c r="AE195" s="27">
        <f>AVERAGEIFS($BH$36:$BH$173,$C$36:$C$173,"=2", $B$36:$B$173,"NO OFICIAL")</f>
        <v>54.571428571428569</v>
      </c>
      <c r="AF195" s="27">
        <f>AVERAGEIFS($BJ$36:$BJ$173,$C$36:$C$173,"=2", $B$36:$B$173,"NO OFICIAL")</f>
        <v>9.3809523809523814</v>
      </c>
      <c r="AG195" s="27">
        <f>AVERAGEIFS($BY$36:$BY$173,$C$36:$C$173,"=2", $B$36:$B$173,"OFICIAL")</f>
        <v>51.5</v>
      </c>
      <c r="AH195" s="27">
        <f>AVERAGEIFS($CA$36:$CA$173,$C$36:$C$173,"=2", $B$36:$B$173,"OFICIAL")</f>
        <v>9.5</v>
      </c>
      <c r="AI195" s="27">
        <v>53.045454545454547</v>
      </c>
      <c r="AJ195" s="27">
        <f>AVERAGEIFS($CA$36:$CA$173,$C$36:$C$173,"=2", $B$36:$B$173,"NO OFICIAL")</f>
        <v>8.6818181818181817</v>
      </c>
      <c r="AK195" s="27">
        <v>53.75</v>
      </c>
      <c r="AL195" s="27">
        <v>10.5</v>
      </c>
      <c r="AM195" s="27">
        <v>55.2</v>
      </c>
      <c r="AN195" s="27">
        <v>9.1999999999999993</v>
      </c>
    </row>
    <row r="196" spans="4:48" x14ac:dyDescent="0.2">
      <c r="D196" s="27" t="s">
        <v>142</v>
      </c>
      <c r="E196" s="27">
        <f>AVERAGEIFS(D36:D173,C36:C173,"=3", B36:B173,"OFICIAL")</f>
        <v>51</v>
      </c>
      <c r="F196" s="27">
        <f>AVERAGEIFS(E36:E173,C36:C173,"=3", B36:B173,"OFICIAL")</f>
        <v>8.8000000000000007</v>
      </c>
      <c r="G196" s="27">
        <f>AVERAGEIFS(D36:D173,C36:C173,"=3", B36:B173,"NO OFICIAL")</f>
        <v>53.769230769230766</v>
      </c>
      <c r="H196" s="27">
        <f>AVERAGEIFS(E36:E173,C36:C173,"=3", B36:B173,"NO OFICIAL")</f>
        <v>8.615384615384615</v>
      </c>
      <c r="I196" s="27">
        <f>AVERAGEIFS(M36:M173,C36:C173,"=3", B36:B173,"OFICIAL")</f>
        <v>50.2</v>
      </c>
      <c r="J196" s="27">
        <f>AVERAGEIFS(N36:N173,C36:C173,"=3", B36:B173,"OFICIAL")</f>
        <v>9</v>
      </c>
      <c r="K196" s="27">
        <f>AVERAGEIFS(M36:M173,C36:C173,"=3", B36:B173,"NO OFICIAL")</f>
        <v>52.5</v>
      </c>
      <c r="L196" s="27">
        <f>AVERAGEIFS(N36:N173,C36:C173,"=3", B36:B173,"NO OFICIAL")</f>
        <v>9.2857142857142865</v>
      </c>
      <c r="M196" s="27">
        <f>AVERAGEIFS(V36:V173,C36:C173,"=3", B36:B173,"OFICIAL")</f>
        <v>51</v>
      </c>
      <c r="N196" s="27">
        <f>AVERAGEIFS(W36:W173,C36:C173,"=3", B36:B173,"OFICIAL")</f>
        <v>9.1999999999999993</v>
      </c>
      <c r="O196" s="27">
        <f>AVERAGEIFS(V36:V173,C36:C173,"=3", B36:B173,"NO OFICIAL")</f>
        <v>53.285714285714285</v>
      </c>
      <c r="P196" s="27">
        <f>AVERAGEIFS(W36:W173,C36:C173,"=3", B36:B173,"NO OFICIAL")</f>
        <v>9.2142857142857135</v>
      </c>
      <c r="Q196" s="27">
        <f>AVERAGEIFS(AE36:AE173,C36:C173,"=3", B36:B173,"OFICIAL")</f>
        <v>51</v>
      </c>
      <c r="R196" s="27">
        <f>AVERAGEIFS(AF36:AF173,C36:C173,"=3", B36:B173,"OFICIAL")</f>
        <v>9.4</v>
      </c>
      <c r="S196" s="27">
        <f>AVERAGEIFS(AE36:AE173,C36:C173,"=3", B36:B173,"NO OFICIAL")</f>
        <v>53.428571428571431</v>
      </c>
      <c r="T196" s="71">
        <f>AVERAGEIFS(AF36:AF173,C36:C173,"=3", B36:B173,"NO OFICIAL")</f>
        <v>9.1428571428571423</v>
      </c>
      <c r="U196" s="27">
        <f>AVERAGEIFS($AN$36:$AN$173,$C$36:$C$173,"=3", $B$36:$B$173,"OFICIAL")</f>
        <v>51.6</v>
      </c>
      <c r="V196" s="27">
        <f>AVERAGEIFS($AO$36:$AO$173,$C$36:$C$173,"=3", $B$36:$B$173,"OFICIAL")</f>
        <v>9</v>
      </c>
      <c r="W196" s="27">
        <f>AVERAGEIFS($AN$36:$AN$173,$C$36:$C$173,"=3", $B$36:$B$173,"NO OFICIAL")</f>
        <v>54.666666666666664</v>
      </c>
      <c r="X196" s="27">
        <f>AVERAGEIFS($AO$36:$AO$173,$C$36:$C$173,"=3", $B$36:$B$173,"NO OFICIAL")</f>
        <v>8.5333333333333332</v>
      </c>
      <c r="Y196" s="27">
        <f>AVERAGEIFS($AW$36:$AW$173,$C$36:$C$173,"=3", $B$36:$B$173,"OFICIAL")</f>
        <v>50.2</v>
      </c>
      <c r="Z196" s="27">
        <f>AVERAGEIFS($AY$36:$AY$173,$C$36:$C$173,"=3", $B$36:$B$173,"OFICIAL")</f>
        <v>8.6</v>
      </c>
      <c r="AA196" s="27">
        <f>AVERAGEIFS($AW$36:$AW$173,$C$36:$C$173,"=3", $B$36:$B$173,"NO OFICIAL")</f>
        <v>53.4</v>
      </c>
      <c r="AB196" s="27">
        <f>AVERAGEIFS($AY$36:$AY$173,$C$36:$C$173,"=3", $B$36:$B$173,"NO OFICIAL")</f>
        <v>8.5333333333333332</v>
      </c>
      <c r="AC196" s="27">
        <f>AVERAGEIFS($BH$36:$BH$173,$C$36:$C$173,"=3", $B$36:$B$173,"OFICIAL")</f>
        <v>52.333333333333336</v>
      </c>
      <c r="AD196" s="27">
        <f>AVERAGEIFS($BJ$36:$BJ$173,$C$36:$C$173,"=3", $B$36:$B$173,"OFICIAL")</f>
        <v>9.5</v>
      </c>
      <c r="AE196" s="27">
        <f>AVERAGEIFS($BH$36:$BH$173,$C$36:$C$173,"=3", $B$36:$B$173,"NO OFICIAL")</f>
        <v>54.375</v>
      </c>
      <c r="AF196" s="27">
        <f>AVERAGEIFS($BJ$36:$BJ$173,$C$36:$C$173,"=3", $B$36:$B$173,"NO OFICIAL")</f>
        <v>9.5</v>
      </c>
      <c r="AG196" s="27">
        <f>AVERAGEIFS($BY$36:$BY$173,$C$36:$C$173,"=3", $B$36:$B$173,"OFICIAL")</f>
        <v>51.333333333333336</v>
      </c>
      <c r="AH196" s="27">
        <f>AVERAGEIFS($CA$36:$CA$173,$C$36:$C$173,"=3", $B$36:$B$173,"OFICIAL")</f>
        <v>9.6666666666666661</v>
      </c>
      <c r="AI196" s="27">
        <v>54.6875</v>
      </c>
      <c r="AJ196" s="27">
        <f>AVERAGEIFS($CA$36:$CA$173,$C$36:$C$173,"=3", $B$36:$B$173,"NO OFICIAL")</f>
        <v>9.9375</v>
      </c>
      <c r="AK196" s="27">
        <v>53.5</v>
      </c>
      <c r="AL196" s="27">
        <v>10.666666666666666</v>
      </c>
      <c r="AM196" s="27">
        <v>54.8125</v>
      </c>
      <c r="AN196" s="27">
        <v>9.6875</v>
      </c>
    </row>
    <row r="197" spans="4:48" x14ac:dyDescent="0.2">
      <c r="D197" s="27" t="s">
        <v>143</v>
      </c>
      <c r="E197" s="27">
        <f>AVERAGEIFS(D36:D173,C36:C173,"=4", B36:B173,"OFICIAL")</f>
        <v>47.166666666666664</v>
      </c>
      <c r="F197" s="27">
        <f>AVERAGEIFS(E36:E173,C36:C173,"=4", B36:B173,"OFICIAL")</f>
        <v>9.1666666666666661</v>
      </c>
      <c r="G197" s="27">
        <f>AVERAGEIFS(D36:D173,C36:C173,"=4", B36:B173,"NO OFICIAL")</f>
        <v>49.25</v>
      </c>
      <c r="H197" s="27">
        <f>AVERAGEIFS(E36:E173,C36:C173,"=4", B36:B173,"NO OFICIAL")</f>
        <v>8.5</v>
      </c>
      <c r="I197" s="27">
        <f>AVERAGEIFS(M36:M173,C36:C173,"=4", B36:B173,"OFICIAL")</f>
        <v>47.5</v>
      </c>
      <c r="J197" s="27">
        <f>AVERAGEIFS(N36:N173,C36:C173,"=4", B36:B173,"OFICIAL")</f>
        <v>9.8333333333333339</v>
      </c>
      <c r="K197" s="27">
        <f>AVERAGEIFS(M36:M173,C36:C173,"=4", B36:B173,"NO OFICIAL")</f>
        <v>51.111111111111114</v>
      </c>
      <c r="L197" s="27">
        <f>AVERAGEIFS(N36:N173,C36:C173,"=4", B36:B173,"NO OFICIAL")</f>
        <v>7.8888888888888893</v>
      </c>
      <c r="M197" s="27">
        <f>AVERAGEIFS(V36:V173,C36:C173,"=4", B36:B173,"OFICIAL")</f>
        <v>47.166666666666664</v>
      </c>
      <c r="N197" s="27">
        <f>AVERAGEIFS(W36:W173,C36:C173,"=4", B36:B173,"OFICIAL")</f>
        <v>9.5</v>
      </c>
      <c r="O197" s="27">
        <f>AVERAGEIFS(V36:V173,C36:C173,"=4", B36:B173,"NO OFICIAL")</f>
        <v>52.666666666666664</v>
      </c>
      <c r="P197" s="27">
        <f>AVERAGEIFS(W36:W173,C36:C173,"=4", B36:B173,"NO OFICIAL")</f>
        <v>8.2222222222222214</v>
      </c>
      <c r="Q197" s="27">
        <f>AVERAGEIFS(AE36:AE173,C36:C173,"=4", B36:B173,"OFICIAL")</f>
        <v>47</v>
      </c>
      <c r="R197" s="27">
        <f>AVERAGEIFS(AF36:AF173,C36:C173,"=4", B36:B173,"OFICIAL")</f>
        <v>9.3333333333333339</v>
      </c>
      <c r="S197" s="27">
        <f>AVERAGEIFS(AE36:AE173,C36:C173,"=4", B36:B173,"NO OFICIAL")</f>
        <v>51.75</v>
      </c>
      <c r="T197" s="71">
        <f>AVERAGEIFS(AF36:AF173,C36:C173,"=4", B36:B173,"NO OFICIAL")</f>
        <v>8.375</v>
      </c>
      <c r="U197" s="27">
        <f>AVERAGEIFS($AN$36:$AN$173,$C$36:$C$173,"=4", $B$36:$B$173,"OFICIAL")</f>
        <v>47.333333333333336</v>
      </c>
      <c r="V197" s="27">
        <f>AVERAGEIFS($AO$36:$AO$173,$C$36:$C$173,"=4", $B$36:$B$173,"OFICIAL")</f>
        <v>9.1666666666666661</v>
      </c>
      <c r="W197" s="27">
        <f>AVERAGEIFS($AN$36:$AN$173,$C$36:$C$173,"=4", $B$36:$B$173,"NO OFICIAL")</f>
        <v>50.714285714285715</v>
      </c>
      <c r="X197" s="27">
        <f>AVERAGEIFS($AO$36:$AO$173,$C$36:$C$173,"=4", $B$36:$B$173,"NO OFICIAL")</f>
        <v>9.1428571428571423</v>
      </c>
      <c r="Y197" s="27">
        <f>AVERAGEIFS($AW$36:$AW$173,$C$36:$C$173,"=4", $B$36:$B$173,"OFICIAL")</f>
        <v>47.166666666666664</v>
      </c>
      <c r="Z197" s="27">
        <f>AVERAGEIFS($AY$36:$AY$173,$C$36:$C$173,"=4", $B$36:$B$173,"OFICIAL")</f>
        <v>9</v>
      </c>
      <c r="AA197" s="27">
        <f>AVERAGEIFS($AW$36:$AW$173,$C$36:$C$173,"=4", $B$36:$B$173,"NO OFICIAL")</f>
        <v>49.5</v>
      </c>
      <c r="AB197" s="27">
        <f>AVERAGEIFS($AY$36:$AY$173,$C$36:$C$173,"=4", $B$36:$B$173,"NO OFICIAL")</f>
        <v>8.25</v>
      </c>
      <c r="AC197" s="27">
        <f>AVERAGEIFS($BH$36:$BH$173,$C$36:$C$173,"=4", $B$36:$B$173,"OFICIAL")</f>
        <v>48.333333333333336</v>
      </c>
      <c r="AD197" s="27">
        <f>AVERAGEIFS($BJ$36:$BJ$173,$C$36:$C$173,"=4", $B$36:$B$173,"OFICIAL")</f>
        <v>10</v>
      </c>
      <c r="AE197" s="27">
        <f>AVERAGEIFS($BH$36:$BH$173,$C$36:$C$173,"=4", $B$36:$B$173,"NO OFICIAL")</f>
        <v>52.5</v>
      </c>
      <c r="AF197" s="27">
        <f>AVERAGEIFS($BJ$36:$BJ$173,$C$36:$C$173,"=4", $B$36:$B$173,"NO OFICIAL")</f>
        <v>9.25</v>
      </c>
      <c r="AG197" s="27">
        <f>AVERAGEIFS($BY$36:$BY$173,$C$36:$C$173,"=4", $B$36:$B$173,"OFICIAL")</f>
        <v>48.333333333333336</v>
      </c>
      <c r="AH197" s="27">
        <f>AVERAGEIFS($CA$36:$CA$173,$C$36:$C$173,"=4", $B$36:$B$173,"OFICIAL")</f>
        <v>10.666666666666666</v>
      </c>
      <c r="AI197" s="27">
        <v>51</v>
      </c>
      <c r="AJ197" s="27">
        <f>AVERAGEIFS($CA$36:$CA$173,$C$36:$C$173,"=4", $B$36:$B$173,"NO OFICIAL")</f>
        <v>9</v>
      </c>
      <c r="AK197" s="27">
        <v>48</v>
      </c>
      <c r="AL197" s="27">
        <v>11</v>
      </c>
      <c r="AM197" s="27">
        <v>55.714285714285715</v>
      </c>
      <c r="AN197" s="27">
        <v>9.7142857142857135</v>
      </c>
    </row>
    <row r="198" spans="4:48" x14ac:dyDescent="0.2">
      <c r="D198" s="27" t="s">
        <v>144</v>
      </c>
      <c r="E198" s="27">
        <f>AVERAGEIFS(D36:D173,C36:C173,"=5", B36:B173,"OFICIAL")</f>
        <v>52.333333333333336</v>
      </c>
      <c r="F198" s="27">
        <f>AVERAGEIFS(E36:E173,C36:C173,"=5", B36:B173,"OFICIAL")</f>
        <v>8.6666666666666661</v>
      </c>
      <c r="G198" s="27">
        <f>AVERAGEIFS(D36:D173,C36:C173,"=5", B36:B173,"NO OFICIAL")</f>
        <v>54.928571428571431</v>
      </c>
      <c r="H198" s="27">
        <f>AVERAGEIFS(E36:E173,C36:C173,"=5", B36:B173,"NO OFICIAL")</f>
        <v>8.2142857142857135</v>
      </c>
      <c r="I198" s="27">
        <f>AVERAGEIFS(M36:M173,C36:C173,"=5", B36:B173,"OFICIAL")</f>
        <v>53</v>
      </c>
      <c r="J198" s="27">
        <f>AVERAGEIFS(N36:N173,C36:C173,"=5", B36:B173,"OFICIAL")</f>
        <v>9.3333333333333339</v>
      </c>
      <c r="K198" s="27">
        <f>AVERAGEIFS(M36:M173,C36:C173,"=5", B36:B173,"NO OFICIAL")</f>
        <v>55.071428571428569</v>
      </c>
      <c r="L198" s="27">
        <f>AVERAGEIFS(N36:N173,C36:C173,"=5", B36:B173,"NO OFICIAL")</f>
        <v>9.5</v>
      </c>
      <c r="M198" s="27">
        <f>AVERAGEIFS(V36:V173,C36:C173,"=5", B36:B173,"OFICIAL")</f>
        <v>52</v>
      </c>
      <c r="N198" s="27">
        <f>AVERAGEIFS(W36:W173,C36:C173,"=5", B36:B173,"OFICIAL")</f>
        <v>8.3333333333333339</v>
      </c>
      <c r="O198" s="27">
        <f>AVERAGEIFS(V36:V173,C36:C173,"=5", B36:B173,"NO OFICIAL")</f>
        <v>55.333333333333336</v>
      </c>
      <c r="P198" s="27">
        <f>AVERAGEIFS(W36:W173,C36:C173,"=5", B36:B173,"NO OFICIAL")</f>
        <v>8.4666666666666668</v>
      </c>
      <c r="Q198" s="27">
        <f>AVERAGEIFS(AE36:AE173,C36:C173,"=5", B36:B173,"OFICIAL")</f>
        <v>54</v>
      </c>
      <c r="R198" s="27">
        <f>AVERAGEIFS(AF36:AF173,C36:C173,"=5", B36:B173,"OFICIAL")</f>
        <v>8.6666666666666661</v>
      </c>
      <c r="S198" s="27">
        <f>AVERAGEIFS(AE36:AE173,C36:C173,"=5", B36:B173,"NO OFICIAL")</f>
        <v>55.625</v>
      </c>
      <c r="T198" s="71">
        <f>AVERAGEIFS(AF36:AF173,C36:C173,"=5", B36:B173,"NO OFICIAL")</f>
        <v>8.5</v>
      </c>
      <c r="U198" s="27">
        <f>AVERAGEIFS($AN$36:$AN$173,$C$36:$C$173,"=5", $B$36:$B$173,"OFICIAL")</f>
        <v>54.666666666666664</v>
      </c>
      <c r="V198" s="27">
        <f>AVERAGEIFS($AO$36:$AO$173,$C$36:$C$173,"=5", $B$36:$B$173,"OFICIAL")</f>
        <v>8.3333333333333339</v>
      </c>
      <c r="W198" s="27">
        <f>AVERAGEIFS($AN$36:$AN$173,$C$36:$C$173,"=5", $B$36:$B$173,"NO OFICIAL")</f>
        <v>56.2</v>
      </c>
      <c r="X198" s="27">
        <f>AVERAGEIFS($AO$36:$AO$173,$C$36:$C$173,"=5", $B$36:$B$173,"NO OFICIAL")</f>
        <v>9.1999999999999993</v>
      </c>
      <c r="Y198" s="27">
        <f>AVERAGEIFS($AW$36:$AW$173,$C$36:$C$173,"=5", $B$36:$B$173,"OFICIAL")</f>
        <v>52.333333333333336</v>
      </c>
      <c r="Z198" s="27">
        <f>AVERAGEIFS($AY$36:$AY$173,$C$36:$C$173,"=5", $B$36:$B$173,"OFICIAL")</f>
        <v>9</v>
      </c>
      <c r="AA198" s="27">
        <f>AVERAGEIFS($AW$36:$AW$173,$C$36:$C$173,"=5", $B$36:$B$173,"NO OFICIAL")</f>
        <v>54.666666666666664</v>
      </c>
      <c r="AB198" s="27">
        <f>AVERAGEIFS($AY$36:$AY$173,$C$36:$C$173,"=5", $B$36:$B$173,"NO OFICIAL")</f>
        <v>9</v>
      </c>
      <c r="AC198" s="27">
        <f>AVERAGEIFS($BH$36:$BH$173,$C$36:$C$173,"=5", $B$36:$B$173,"OFICIAL")</f>
        <v>54.666666666666664</v>
      </c>
      <c r="AD198" s="27">
        <f>AVERAGEIFS($BJ$36:$BJ$173,$C$36:$C$173,"=5", $B$36:$B$173,"OFICIAL")</f>
        <v>9.3333333333333339</v>
      </c>
      <c r="AE198" s="27">
        <f>AVERAGEIFS($BH$36:$BH$173,$C$36:$C$173,"=5", $B$36:$B$173,"NO OFICIAL")</f>
        <v>56.142857142857146</v>
      </c>
      <c r="AF198" s="27">
        <f>AVERAGEIFS($BJ$36:$BJ$173,$C$36:$C$173,"=5", $B$36:$B$173,"NO OFICIAL")</f>
        <v>9.0714285714285712</v>
      </c>
      <c r="AG198" s="27">
        <f>AVERAGEIFS($BY$36:$BY$173,$C$36:$C$173,"=5", $B$36:$B$173,"OFICIAL")</f>
        <v>53</v>
      </c>
      <c r="AH198" s="27">
        <f>AVERAGEIFS($CA$36:$CA$173,$C$36:$C$173,"=5", $B$36:$B$173,"OFICIAL")</f>
        <v>10.333333333333334</v>
      </c>
      <c r="AI198" s="27">
        <v>56.4</v>
      </c>
      <c r="AJ198" s="27">
        <f>AVERAGEIFS($CA$36:$CA$173,$C$36:$C$173,"=5", $B$36:$B$173,"NO OFICIAL")</f>
        <v>8.9285714285714288</v>
      </c>
      <c r="AK198" s="27">
        <v>55.666666666666664</v>
      </c>
      <c r="AL198" s="27">
        <v>10</v>
      </c>
      <c r="AM198" s="27">
        <v>55.93333333333333</v>
      </c>
      <c r="AN198" s="27">
        <v>9.4666666666666668</v>
      </c>
    </row>
    <row r="199" spans="4:48" x14ac:dyDescent="0.2">
      <c r="D199" s="27" t="s">
        <v>145</v>
      </c>
      <c r="E199" s="27">
        <f>AVERAGEIFS(D36:D173,C36:C173,"=6", B36:B173,"OFICIAL")</f>
        <v>50.75</v>
      </c>
      <c r="F199" s="27">
        <f>AVERAGEIFS(E36:E173,C36:C173,"=6", B36:B173,"OFICIAL")</f>
        <v>9.25</v>
      </c>
      <c r="G199" s="27">
        <f>AVERAGEIFS(D36:D173,C36:C173,"=6", B36:B173,"NO OFICIAL")</f>
        <v>52.81818181818182</v>
      </c>
      <c r="H199" s="27">
        <f>AVERAGEIFS(E36:E173,C36:C173,"=6", B36:B173,"NO OFICIAL")</f>
        <v>7.3636363636363633</v>
      </c>
      <c r="I199" s="27">
        <f>AVERAGEIFS(M36:M173,C36:C173,"=6", B36:B173,"OFICIAL")</f>
        <v>50.75</v>
      </c>
      <c r="J199" s="27">
        <f>AVERAGEIFS(N36:N173,C36:C173,"=6", B36:B173,"OFICIAL")</f>
        <v>9.5</v>
      </c>
      <c r="K199" s="27">
        <f>AVERAGEIFS(M36:M173,C36:C173,"=6", B36:B173,"NO OFICIAL")</f>
        <v>51.090909090909093</v>
      </c>
      <c r="L199" s="27">
        <f>AVERAGEIFS(N36:N173,C36:C173,"=6", B36:B173,"NO OFICIAL")</f>
        <v>10</v>
      </c>
      <c r="M199" s="27">
        <f>AVERAGEIFS(V36:V173,C36:C173,"=6", B36:B173,"OFICIAL")</f>
        <v>50.5</v>
      </c>
      <c r="N199" s="27">
        <f>AVERAGEIFS(W36:W173,C36:C173,"=6", B36:B173,"OFICIAL")</f>
        <v>9.25</v>
      </c>
      <c r="O199" s="27">
        <f>AVERAGEIFS(V36:V173,C36:C173,"=6", B36:B173,"NO OFICIAL")</f>
        <v>52.8</v>
      </c>
      <c r="P199" s="27">
        <f>AVERAGEIFS(W36:W173,C36:C173,"=6", B36:B173,"NO OFICIAL")</f>
        <v>8.5</v>
      </c>
      <c r="Q199" s="27">
        <f>AVERAGEIFS(AE36:AE173,C36:C173,"=6", B36:B173,"OFICIAL")</f>
        <v>51.75</v>
      </c>
      <c r="R199" s="27">
        <f>AVERAGEIFS(AF36:AF173,C36:C173,"=6", B36:B173,"OFICIAL")</f>
        <v>9.25</v>
      </c>
      <c r="S199" s="27">
        <f>AVERAGEIFS(AE36:AE173,C36:C173,"=6", B36:B173,"NO OFICIAL")</f>
        <v>54.272727272727273</v>
      </c>
      <c r="T199" s="71">
        <f>AVERAGEIFS(AF36:AF173,C36:C173,"=6", B36:B173,"NO OFICIAL")</f>
        <v>11.090909090909092</v>
      </c>
      <c r="U199" s="27">
        <f>AVERAGEIFS($AN$36:$AN$173,$C$36:$C$173,"=6", $B$36:$B$173,"OFICIAL")</f>
        <v>52.25</v>
      </c>
      <c r="V199" s="27">
        <f>AVERAGEIFS($AO$36:$AO$173,$C$36:$C$173,"=6", $B$36:$B$173,"OFICIAL")</f>
        <v>9.25</v>
      </c>
      <c r="W199" s="27">
        <f>AVERAGEIFS($AN$36:$AN$173,$C$36:$C$173,"=6", $B$36:$B$173,"NO OFICIAL")</f>
        <v>52.07692307692308</v>
      </c>
      <c r="X199" s="27">
        <f>AVERAGEIFS($AO$36:$AO$173,$C$36:$C$173,"=6", $B$36:$B$173,"NO OFICIAL")</f>
        <v>8.8461538461538467</v>
      </c>
      <c r="Y199" s="27">
        <f>AVERAGEIFS($AW$36:$AW$173,$C$36:$C$173,"=6", $B$36:$B$173,"OFICIAL")</f>
        <v>49.75</v>
      </c>
      <c r="Z199" s="27">
        <f>AVERAGEIFS($AY$36:$AY$173,$C$36:$C$173,"=6", $B$36:$B$173,"OFICIAL")</f>
        <v>8.5</v>
      </c>
      <c r="AA199" s="27">
        <f>AVERAGEIFS($AW$36:$AW$173,$C$36:$C$173,"=6", $B$36:$B$173,"NO OFICIAL")</f>
        <v>52.230769230769234</v>
      </c>
      <c r="AB199" s="27">
        <f>AVERAGEIFS($AY$36:$AY$173,$C$36:$C$173,"=6", $B$36:$B$173,"NO OFICIAL")</f>
        <v>7.2307692307692308</v>
      </c>
      <c r="AC199" s="27">
        <f>AVERAGEIFS($BH$36:$BH$173,$C$36:$C$173,"=6", $B$36:$B$173,"OFICIAL")</f>
        <v>50.25</v>
      </c>
      <c r="AD199" s="27">
        <f>AVERAGEIFS($BJ$36:$BJ$173,$C$36:$C$173,"=6", $B$36:$B$173,"OFICIAL")</f>
        <v>10.25</v>
      </c>
      <c r="AE199" s="27">
        <f>AVERAGEIFS($BH$36:$BH$173,$C$36:$C$173,"=6", $B$36:$B$173,"NO OFICIAL")</f>
        <v>52.533333333333331</v>
      </c>
      <c r="AF199" s="27">
        <f>AVERAGEIFS($BJ$36:$BJ$173,$C$36:$C$173,"=6", $B$36:$B$173,"NO OFICIAL")</f>
        <v>10.066666666666666</v>
      </c>
      <c r="AG199" s="27">
        <f>AVERAGEIFS($BY$36:$BY$173,$C$36:$C$173,"=6", $B$36:$B$173,"OFICIAL")</f>
        <v>50.5</v>
      </c>
      <c r="AH199" s="27">
        <f>AVERAGEIFS($CA$36:$CA$173,$C$36:$C$173,"=6", $B$36:$B$173,"OFICIAL")</f>
        <v>10.25</v>
      </c>
      <c r="AI199" s="27">
        <v>53.941176470588232</v>
      </c>
      <c r="AJ199" s="27">
        <f>AVERAGEIFS($CA$36:$CA$173,$C$36:$C$173,"=6", $B$36:$B$173,"NO OFICIAL")</f>
        <v>8.5</v>
      </c>
      <c r="AK199" s="27">
        <v>51.25</v>
      </c>
      <c r="AL199" s="27">
        <v>10.5</v>
      </c>
      <c r="AM199" s="27">
        <v>54.357142857142854</v>
      </c>
      <c r="AN199" s="27">
        <v>9.2142857142857135</v>
      </c>
    </row>
    <row r="200" spans="4:48" x14ac:dyDescent="0.2">
      <c r="D200" s="32"/>
      <c r="E200" s="32"/>
      <c r="F200" s="32"/>
      <c r="G200" s="32"/>
      <c r="H200" s="32"/>
      <c r="I200" s="32"/>
      <c r="J200" s="32"/>
      <c r="K200" s="32"/>
      <c r="L200" s="32"/>
      <c r="M200" s="32"/>
      <c r="N200" s="32"/>
      <c r="O200" s="32"/>
      <c r="P200" s="32"/>
      <c r="Q200" s="32"/>
      <c r="R200" s="32"/>
      <c r="S200" s="32"/>
      <c r="T200" s="32"/>
      <c r="U200" s="32"/>
      <c r="V200" s="32"/>
      <c r="W200" s="32"/>
      <c r="X200" s="32"/>
      <c r="Y200" s="32"/>
      <c r="Z200" s="32"/>
      <c r="AA200" s="32"/>
      <c r="AB200" s="32"/>
      <c r="AC200" s="32"/>
      <c r="AD200" s="32"/>
      <c r="AE200" s="32"/>
      <c r="AF200" s="32"/>
      <c r="AG200" s="32"/>
      <c r="AH200" s="32"/>
      <c r="AI200" s="32"/>
      <c r="AJ200" s="32"/>
      <c r="AK200" s="32"/>
      <c r="AL200" s="32"/>
      <c r="AM200" s="32"/>
      <c r="AN200" s="32"/>
      <c r="AO200" s="32"/>
      <c r="AP200" s="32"/>
      <c r="AQ200" s="32"/>
      <c r="AR200" s="32"/>
      <c r="AS200" s="32"/>
      <c r="AT200" s="32"/>
      <c r="AU200" s="32"/>
      <c r="AV200" s="32"/>
    </row>
    <row r="201" spans="4:48" x14ac:dyDescent="0.2">
      <c r="E201" s="1054" t="s">
        <v>148</v>
      </c>
      <c r="F201" s="1054"/>
      <c r="G201" s="1054"/>
      <c r="H201" s="1054"/>
      <c r="I201" s="1054"/>
      <c r="J201" s="1054"/>
      <c r="K201" s="1054"/>
      <c r="L201" s="1054"/>
      <c r="M201" s="1054"/>
      <c r="N201" s="1054"/>
      <c r="R201" s="1054" t="s">
        <v>149</v>
      </c>
      <c r="S201" s="1054"/>
      <c r="T201" s="1054"/>
      <c r="U201" s="1054"/>
      <c r="V201" s="1054"/>
      <c r="W201" s="1054"/>
      <c r="X201" s="1054"/>
      <c r="Y201" s="1054"/>
      <c r="Z201" s="1054"/>
      <c r="AA201" s="1054"/>
      <c r="AD201" s="72"/>
      <c r="AL201" s="73"/>
      <c r="AM201" s="73"/>
      <c r="AN201" s="73"/>
      <c r="AO201" s="73"/>
      <c r="AP201" s="73"/>
      <c r="AQ201" s="73"/>
    </row>
    <row r="202" spans="4:48" x14ac:dyDescent="0.2">
      <c r="E202" s="28"/>
      <c r="F202" s="28">
        <v>2016</v>
      </c>
      <c r="G202" s="29">
        <v>2017</v>
      </c>
      <c r="H202" s="28">
        <v>2018</v>
      </c>
      <c r="I202" s="28">
        <v>2019</v>
      </c>
      <c r="J202" s="28">
        <v>2020</v>
      </c>
      <c r="K202" s="28">
        <v>2021</v>
      </c>
      <c r="L202" s="29">
        <v>2022</v>
      </c>
      <c r="M202" s="29">
        <v>2023</v>
      </c>
      <c r="N202" s="29">
        <v>2024</v>
      </c>
      <c r="R202" s="28"/>
      <c r="S202" s="28">
        <v>2016</v>
      </c>
      <c r="T202" s="29">
        <v>2017</v>
      </c>
      <c r="U202" s="28">
        <v>2018</v>
      </c>
      <c r="V202" s="28">
        <v>2019</v>
      </c>
      <c r="W202" s="28">
        <v>2020</v>
      </c>
      <c r="X202" s="28">
        <v>2021</v>
      </c>
      <c r="Y202" s="29">
        <v>2022</v>
      </c>
      <c r="Z202" s="29">
        <v>2023</v>
      </c>
      <c r="AA202" s="29">
        <v>2024</v>
      </c>
      <c r="AD202" s="72"/>
      <c r="AL202" s="72"/>
      <c r="AM202" s="72"/>
    </row>
    <row r="203" spans="4:48" x14ac:dyDescent="0.2">
      <c r="E203" s="27" t="s">
        <v>140</v>
      </c>
      <c r="F203" s="27">
        <v>52.5</v>
      </c>
      <c r="G203" s="27">
        <v>51.75</v>
      </c>
      <c r="H203" s="27">
        <v>51.75</v>
      </c>
      <c r="I203" s="27">
        <v>52.5</v>
      </c>
      <c r="J203" s="27">
        <v>52.5</v>
      </c>
      <c r="K203" s="27">
        <v>51.25</v>
      </c>
      <c r="L203" s="27">
        <v>51</v>
      </c>
      <c r="M203" s="27">
        <v>52.2</v>
      </c>
      <c r="N203" s="27">
        <v>52.4</v>
      </c>
      <c r="R203" s="27" t="s">
        <v>140</v>
      </c>
      <c r="S203" s="27">
        <v>51.615384615384613</v>
      </c>
      <c r="T203" s="27">
        <v>51.583333333333336</v>
      </c>
      <c r="U203" s="27">
        <v>51.846153846153847</v>
      </c>
      <c r="V203" s="27">
        <v>52.692307692307693</v>
      </c>
      <c r="W203" s="27">
        <v>53.53846153846154</v>
      </c>
      <c r="X203" s="27">
        <v>52.846153846153847</v>
      </c>
      <c r="Y203" s="27">
        <v>53</v>
      </c>
      <c r="Z203" s="27">
        <v>54.25</v>
      </c>
      <c r="AA203" s="27">
        <v>54.384615384615387</v>
      </c>
      <c r="AD203" s="32"/>
      <c r="AL203" s="32"/>
      <c r="AM203" s="32"/>
    </row>
    <row r="204" spans="4:48" x14ac:dyDescent="0.2">
      <c r="E204" s="27" t="s">
        <v>141</v>
      </c>
      <c r="F204" s="27">
        <v>52</v>
      </c>
      <c r="G204" s="27">
        <v>51</v>
      </c>
      <c r="H204" s="27">
        <v>52.5</v>
      </c>
      <c r="I204" s="27">
        <v>52</v>
      </c>
      <c r="J204" s="27">
        <v>52.5</v>
      </c>
      <c r="K204" s="27">
        <v>50</v>
      </c>
      <c r="L204" s="27">
        <v>50.75</v>
      </c>
      <c r="M204" s="27">
        <v>51.5</v>
      </c>
      <c r="N204" s="27">
        <v>53.75</v>
      </c>
      <c r="R204" s="27" t="s">
        <v>141</v>
      </c>
      <c r="S204" s="27">
        <v>52.666666666666664</v>
      </c>
      <c r="T204" s="27">
        <v>52.294117647058826</v>
      </c>
      <c r="U204" s="27">
        <v>52.882352941176471</v>
      </c>
      <c r="V204" s="27">
        <v>53.944444444444443</v>
      </c>
      <c r="W204" s="27">
        <v>52.81818181818182</v>
      </c>
      <c r="X204" s="27">
        <v>52.4</v>
      </c>
      <c r="Y204" s="27">
        <v>54.571428571428569</v>
      </c>
      <c r="Z204" s="27">
        <v>53.045454545454547</v>
      </c>
      <c r="AA204" s="27">
        <v>55.2</v>
      </c>
      <c r="AD204" s="32"/>
      <c r="AK204" s="26"/>
      <c r="AL204" s="32"/>
    </row>
    <row r="205" spans="4:48" x14ac:dyDescent="0.2">
      <c r="E205" s="27" t="s">
        <v>142</v>
      </c>
      <c r="F205" s="27">
        <v>51</v>
      </c>
      <c r="G205" s="27">
        <v>50</v>
      </c>
      <c r="H205" s="27">
        <v>50.666666666666664</v>
      </c>
      <c r="I205" s="27">
        <v>51</v>
      </c>
      <c r="J205" s="27">
        <v>51.25</v>
      </c>
      <c r="K205" s="27">
        <v>50.2</v>
      </c>
      <c r="L205" s="27">
        <v>52.333333333333336</v>
      </c>
      <c r="M205" s="27">
        <v>51.333333333333336</v>
      </c>
      <c r="N205" s="27">
        <v>53.5</v>
      </c>
      <c r="R205" s="27" t="s">
        <v>142</v>
      </c>
      <c r="S205" s="27">
        <v>53.769230769230766</v>
      </c>
      <c r="T205" s="27">
        <v>52.5</v>
      </c>
      <c r="U205" s="27">
        <v>53.285714285714285</v>
      </c>
      <c r="V205" s="27">
        <v>53.428571428571431</v>
      </c>
      <c r="W205" s="27">
        <v>54.666666666666664</v>
      </c>
      <c r="X205" s="27">
        <v>53.4</v>
      </c>
      <c r="Y205" s="27">
        <v>54.375</v>
      </c>
      <c r="Z205" s="27">
        <v>54.6875</v>
      </c>
      <c r="AA205" s="27">
        <v>54.8125</v>
      </c>
      <c r="AD205" s="32"/>
      <c r="AK205" s="26"/>
      <c r="AL205" s="32"/>
    </row>
    <row r="206" spans="4:48" x14ac:dyDescent="0.2">
      <c r="E206" s="27" t="s">
        <v>143</v>
      </c>
      <c r="F206" s="27">
        <v>47.166666666666664</v>
      </c>
      <c r="G206" s="27">
        <v>47.5</v>
      </c>
      <c r="H206" s="27">
        <v>47.166666666666664</v>
      </c>
      <c r="I206" s="27">
        <v>47</v>
      </c>
      <c r="J206" s="27">
        <v>47.333333333333336</v>
      </c>
      <c r="K206" s="27">
        <v>47.166666666666664</v>
      </c>
      <c r="L206" s="27">
        <v>48.333333333333336</v>
      </c>
      <c r="M206" s="27">
        <v>48.333333333333336</v>
      </c>
      <c r="N206" s="27">
        <v>48</v>
      </c>
      <c r="R206" s="27" t="s">
        <v>143</v>
      </c>
      <c r="S206" s="27">
        <v>49.25</v>
      </c>
      <c r="T206" s="27">
        <v>51.111111111111114</v>
      </c>
      <c r="U206" s="27">
        <v>52.666666666666664</v>
      </c>
      <c r="V206" s="27">
        <v>51.75</v>
      </c>
      <c r="W206" s="27">
        <v>50.714285714285715</v>
      </c>
      <c r="X206" s="27">
        <v>49.5</v>
      </c>
      <c r="Y206" s="27">
        <v>52.5</v>
      </c>
      <c r="Z206" s="27">
        <v>51</v>
      </c>
      <c r="AA206" s="27">
        <v>55.714285714285715</v>
      </c>
      <c r="AD206" s="32"/>
      <c r="AK206" s="26"/>
      <c r="AL206" s="32"/>
    </row>
    <row r="207" spans="4:48" x14ac:dyDescent="0.2">
      <c r="E207" s="27" t="s">
        <v>144</v>
      </c>
      <c r="F207" s="27">
        <v>52</v>
      </c>
      <c r="G207" s="27">
        <v>51.5</v>
      </c>
      <c r="H207" s="27">
        <v>50.5</v>
      </c>
      <c r="I207" s="27">
        <v>52</v>
      </c>
      <c r="J207" s="27">
        <v>52</v>
      </c>
      <c r="K207" s="27">
        <v>50.5</v>
      </c>
      <c r="L207" s="27">
        <v>52.5</v>
      </c>
      <c r="M207" s="27">
        <v>51.5</v>
      </c>
      <c r="N207" s="27">
        <v>55.666666666666664</v>
      </c>
      <c r="R207" s="27" t="s">
        <v>144</v>
      </c>
      <c r="S207" s="27">
        <v>54.8</v>
      </c>
      <c r="T207" s="27">
        <v>55.133333333333333</v>
      </c>
      <c r="U207" s="27">
        <v>55.3125</v>
      </c>
      <c r="V207" s="27">
        <v>55.764705882352942</v>
      </c>
      <c r="W207" s="27">
        <v>56.4375</v>
      </c>
      <c r="X207" s="27">
        <v>54.75</v>
      </c>
      <c r="Y207" s="27">
        <v>56.333333333333336</v>
      </c>
      <c r="Z207" s="27">
        <v>56.4</v>
      </c>
      <c r="AA207" s="27">
        <v>56.125</v>
      </c>
      <c r="AD207" s="32"/>
      <c r="AK207" s="26"/>
      <c r="AL207" s="32"/>
    </row>
    <row r="208" spans="4:48" x14ac:dyDescent="0.2">
      <c r="E208" s="27" t="s">
        <v>145</v>
      </c>
      <c r="F208" s="27">
        <v>51</v>
      </c>
      <c r="G208" s="27">
        <v>51.333333333333336</v>
      </c>
      <c r="H208" s="27">
        <v>51</v>
      </c>
      <c r="I208" s="27">
        <v>52</v>
      </c>
      <c r="J208" s="27">
        <v>52.666666666666664</v>
      </c>
      <c r="K208" s="27">
        <v>50.333333333333336</v>
      </c>
      <c r="L208" s="27">
        <v>51.333333333333336</v>
      </c>
      <c r="M208" s="27">
        <v>51</v>
      </c>
      <c r="N208" s="27">
        <v>51.25</v>
      </c>
      <c r="R208" s="27" t="s">
        <v>145</v>
      </c>
      <c r="S208" s="27">
        <v>52.583333333333336</v>
      </c>
      <c r="T208" s="27">
        <v>50.916666666666664</v>
      </c>
      <c r="U208" s="27">
        <v>52.454545454545453</v>
      </c>
      <c r="V208" s="27">
        <v>54</v>
      </c>
      <c r="W208" s="27">
        <v>52</v>
      </c>
      <c r="X208" s="27">
        <v>51.928571428571431</v>
      </c>
      <c r="Y208" s="27">
        <v>52.1875</v>
      </c>
      <c r="Z208" s="27">
        <v>53.941176470588232</v>
      </c>
      <c r="AA208" s="27">
        <v>54.266666666666666</v>
      </c>
      <c r="AB208" s="32"/>
      <c r="AC208" s="32"/>
      <c r="AD208" s="32"/>
      <c r="AL208" s="32"/>
      <c r="AM208" s="32"/>
    </row>
    <row r="209" spans="19:55" x14ac:dyDescent="0.2">
      <c r="Y209" s="95"/>
      <c r="Z209" s="95"/>
    </row>
    <row r="210" spans="19:55" x14ac:dyDescent="0.2">
      <c r="S210" s="86"/>
      <c r="T210" s="86"/>
      <c r="U210" s="86"/>
      <c r="V210" s="86"/>
      <c r="W210" s="86"/>
      <c r="X210" s="86"/>
      <c r="Y210" s="95"/>
      <c r="Z210" s="95"/>
      <c r="AA210" s="86"/>
      <c r="AB210" s="86"/>
      <c r="AC210" s="86"/>
    </row>
    <row r="211" spans="19:55" x14ac:dyDescent="0.2">
      <c r="S211" s="86"/>
      <c r="T211" s="86"/>
      <c r="U211" s="86"/>
      <c r="V211" s="86"/>
      <c r="W211" s="86"/>
      <c r="X211" s="86"/>
      <c r="Y211" s="86"/>
      <c r="Z211" s="86"/>
      <c r="AA211" s="86"/>
      <c r="AB211" s="86"/>
      <c r="AC211" s="86"/>
    </row>
    <row r="212" spans="19:55" x14ac:dyDescent="0.2">
      <c r="S212" s="86"/>
      <c r="T212" s="95"/>
      <c r="U212" s="95"/>
      <c r="V212" s="95"/>
      <c r="W212" s="95"/>
      <c r="X212" s="95"/>
      <c r="Y212" s="95"/>
      <c r="Z212" s="95"/>
      <c r="AA212" s="95"/>
      <c r="AB212" s="95"/>
      <c r="AC212" s="95"/>
    </row>
    <row r="213" spans="19:55" x14ac:dyDescent="0.2">
      <c r="S213" s="86"/>
      <c r="T213" s="95"/>
      <c r="U213" s="95"/>
      <c r="V213" s="95"/>
      <c r="W213" s="95"/>
      <c r="X213" s="95"/>
      <c r="Y213" s="95"/>
      <c r="Z213" s="95"/>
      <c r="AA213" s="95"/>
      <c r="AB213" s="95"/>
      <c r="AC213" s="95"/>
    </row>
    <row r="214" spans="19:55" x14ac:dyDescent="0.2">
      <c r="S214" s="15"/>
      <c r="T214" s="95"/>
      <c r="U214" s="95"/>
      <c r="V214" s="95"/>
      <c r="W214" s="95"/>
      <c r="X214" s="95"/>
      <c r="Y214" s="95"/>
      <c r="Z214" s="95"/>
      <c r="AA214" s="95"/>
      <c r="AB214" s="95"/>
      <c r="AC214" s="95"/>
    </row>
    <row r="215" spans="19:55" x14ac:dyDescent="0.2">
      <c r="S215" s="15"/>
      <c r="T215" s="95"/>
      <c r="U215" s="95"/>
      <c r="V215" s="95"/>
      <c r="W215" s="95"/>
      <c r="X215" s="95"/>
      <c r="Y215" s="95"/>
      <c r="Z215" s="95"/>
      <c r="AA215" s="95"/>
      <c r="AB215" s="95"/>
      <c r="AC215" s="95"/>
    </row>
    <row r="217" spans="19:55" ht="12.75" customHeight="1" x14ac:dyDescent="0.2">
      <c r="S217" s="1053" t="s">
        <v>210</v>
      </c>
      <c r="T217" s="1054"/>
      <c r="U217" s="1054"/>
      <c r="V217" s="1054"/>
      <c r="W217" s="1054"/>
      <c r="X217" s="1054"/>
      <c r="Y217" s="1054"/>
      <c r="Z217" s="1054"/>
      <c r="AA217" s="1054"/>
      <c r="AB217" s="1054"/>
      <c r="AC217" s="1054"/>
      <c r="AD217" s="1054"/>
      <c r="AE217" s="1054"/>
      <c r="AF217" s="1054"/>
      <c r="AG217" s="1054"/>
      <c r="AH217" s="1054"/>
      <c r="AI217" s="1054"/>
      <c r="AJ217" s="1054"/>
      <c r="AK217" s="1054"/>
      <c r="AL217" s="1054"/>
      <c r="AM217" s="1054"/>
    </row>
    <row r="218" spans="19:55" x14ac:dyDescent="0.2">
      <c r="S218" s="28"/>
      <c r="T218" s="1053">
        <v>2016</v>
      </c>
      <c r="U218" s="1054"/>
      <c r="V218" s="1054"/>
      <c r="W218" s="1190"/>
      <c r="X218" s="1053">
        <v>2017</v>
      </c>
      <c r="Y218" s="1054"/>
      <c r="Z218" s="1054"/>
      <c r="AA218" s="1190"/>
      <c r="AB218" s="1053">
        <v>2018</v>
      </c>
      <c r="AC218" s="1054"/>
      <c r="AD218" s="1054"/>
      <c r="AE218" s="1190"/>
      <c r="AF218" s="1053">
        <v>2019</v>
      </c>
      <c r="AG218" s="1054"/>
      <c r="AH218" s="1054"/>
      <c r="AI218" s="1190"/>
      <c r="AJ218" s="1232">
        <v>2020</v>
      </c>
      <c r="AK218" s="1054"/>
      <c r="AL218" s="1054"/>
      <c r="AM218" s="1229"/>
      <c r="AN218" s="1054">
        <v>2021</v>
      </c>
      <c r="AO218" s="1054"/>
      <c r="AP218" s="1054"/>
      <c r="AQ218" s="1229"/>
      <c r="AR218" s="1054">
        <v>2022</v>
      </c>
      <c r="AS218" s="1054"/>
      <c r="AT218" s="1054"/>
      <c r="AU218" s="1229"/>
      <c r="AV218" s="204">
        <v>2023</v>
      </c>
      <c r="AW218" s="204"/>
      <c r="AX218" s="204"/>
      <c r="AY218" s="534"/>
      <c r="AZ218" s="1054">
        <v>2024</v>
      </c>
      <c r="BA218" s="1054"/>
      <c r="BB218" s="1054"/>
      <c r="BC218" s="1054"/>
    </row>
    <row r="219" spans="19:55" x14ac:dyDescent="0.2">
      <c r="T219" s="67" t="s">
        <v>10</v>
      </c>
      <c r="U219" t="s">
        <v>0</v>
      </c>
      <c r="V219" t="s">
        <v>208</v>
      </c>
      <c r="W219" t="s">
        <v>209</v>
      </c>
      <c r="X219" s="67" t="s">
        <v>10</v>
      </c>
      <c r="Y219" s="67" t="s">
        <v>0</v>
      </c>
      <c r="Z219" t="s">
        <v>208</v>
      </c>
      <c r="AA219" t="s">
        <v>209</v>
      </c>
      <c r="AB219" s="67" t="s">
        <v>10</v>
      </c>
      <c r="AC219" s="67" t="s">
        <v>0</v>
      </c>
      <c r="AD219" t="s">
        <v>208</v>
      </c>
      <c r="AE219" t="s">
        <v>209</v>
      </c>
      <c r="AF219" s="67" t="s">
        <v>10</v>
      </c>
      <c r="AG219" s="67" t="s">
        <v>0</v>
      </c>
      <c r="AH219" t="s">
        <v>208</v>
      </c>
      <c r="AI219" t="s">
        <v>209</v>
      </c>
      <c r="AJ219" s="67" t="s">
        <v>10</v>
      </c>
      <c r="AK219" s="67" t="s">
        <v>0</v>
      </c>
      <c r="AL219" t="s">
        <v>208</v>
      </c>
      <c r="AM219" s="509" t="s">
        <v>209</v>
      </c>
      <c r="AN219" s="67" t="s">
        <v>10</v>
      </c>
      <c r="AO219" s="67" t="s">
        <v>0</v>
      </c>
      <c r="AP219" t="s">
        <v>208</v>
      </c>
      <c r="AQ219" s="509" t="s">
        <v>209</v>
      </c>
      <c r="AR219" s="67" t="s">
        <v>10</v>
      </c>
      <c r="AS219" s="67" t="s">
        <v>0</v>
      </c>
      <c r="AT219" t="s">
        <v>208</v>
      </c>
      <c r="AU219" s="509" t="s">
        <v>209</v>
      </c>
      <c r="AV219" s="67" t="s">
        <v>10</v>
      </c>
      <c r="AW219" s="67" t="s">
        <v>0</v>
      </c>
      <c r="AX219" t="s">
        <v>208</v>
      </c>
      <c r="AY219" s="509" t="s">
        <v>209</v>
      </c>
      <c r="AZ219" s="67" t="s">
        <v>10</v>
      </c>
      <c r="BA219" s="67" t="s">
        <v>0</v>
      </c>
      <c r="BB219" t="s">
        <v>208</v>
      </c>
      <c r="BC219" t="s">
        <v>209</v>
      </c>
    </row>
    <row r="220" spans="19:55" x14ac:dyDescent="0.2">
      <c r="S220" s="26">
        <v>1</v>
      </c>
      <c r="T220" s="64">
        <v>0.08</v>
      </c>
      <c r="U220" s="62">
        <v>0.04</v>
      </c>
      <c r="V220" s="95">
        <v>0.05</v>
      </c>
      <c r="W220" s="95">
        <v>0.04</v>
      </c>
      <c r="X220" s="55">
        <v>0.09</v>
      </c>
      <c r="Y220" s="56">
        <v>0.05</v>
      </c>
      <c r="Z220" s="95">
        <v>0.06</v>
      </c>
      <c r="AA220" s="95">
        <v>0.04</v>
      </c>
      <c r="AB220" s="64">
        <v>0.08</v>
      </c>
      <c r="AC220" s="62">
        <v>0.04</v>
      </c>
      <c r="AD220" s="95">
        <v>0.06</v>
      </c>
      <c r="AE220" s="95">
        <v>0.02</v>
      </c>
      <c r="AF220" s="64">
        <v>0.08</v>
      </c>
      <c r="AG220" s="62">
        <v>0.04</v>
      </c>
      <c r="AH220" s="95">
        <v>0.05</v>
      </c>
      <c r="AI220" s="95">
        <v>0.03</v>
      </c>
      <c r="AJ220" s="58">
        <v>7.0000000000000007E-2</v>
      </c>
      <c r="AK220" s="59">
        <v>0.04</v>
      </c>
      <c r="AL220" s="95">
        <v>0.04</v>
      </c>
      <c r="AM220" s="518">
        <v>0.03</v>
      </c>
      <c r="AN220" s="517">
        <v>0.1</v>
      </c>
      <c r="AO220" s="301">
        <v>0.05</v>
      </c>
      <c r="AP220" s="302">
        <v>0.06</v>
      </c>
      <c r="AQ220" s="516">
        <v>0.04</v>
      </c>
      <c r="AR220" s="515">
        <v>0.1</v>
      </c>
      <c r="AS220" s="288">
        <v>0.05</v>
      </c>
      <c r="AT220" s="291">
        <v>7.0000000000000007E-2</v>
      </c>
      <c r="AU220" s="510">
        <v>0.04</v>
      </c>
      <c r="AV220" s="512">
        <v>0.09</v>
      </c>
      <c r="AW220" s="426">
        <v>0.05</v>
      </c>
      <c r="AX220" s="427">
        <v>7.0000000000000007E-2</v>
      </c>
      <c r="AY220" s="513">
        <v>0.04</v>
      </c>
      <c r="AZ220" s="512">
        <v>0.09</v>
      </c>
      <c r="BA220" s="426">
        <v>0.05</v>
      </c>
      <c r="BB220" s="427">
        <v>0.06</v>
      </c>
      <c r="BC220" s="427">
        <v>0.03</v>
      </c>
    </row>
    <row r="221" spans="19:55" x14ac:dyDescent="0.2">
      <c r="S221" s="26">
        <v>2</v>
      </c>
      <c r="T221" s="64">
        <v>0.37</v>
      </c>
      <c r="U221" s="62">
        <v>0.39</v>
      </c>
      <c r="V221" s="95">
        <v>0.44</v>
      </c>
      <c r="W221" s="95">
        <v>0.34</v>
      </c>
      <c r="X221" s="55">
        <v>0.38</v>
      </c>
      <c r="Y221" s="56">
        <v>0.38</v>
      </c>
      <c r="Z221" s="95">
        <v>0.42</v>
      </c>
      <c r="AA221" s="95">
        <v>0.33</v>
      </c>
      <c r="AB221" s="64">
        <v>0.38</v>
      </c>
      <c r="AC221" s="62">
        <v>0.38</v>
      </c>
      <c r="AD221" s="95">
        <v>0.43</v>
      </c>
      <c r="AE221" s="95">
        <v>0.32</v>
      </c>
      <c r="AF221" s="64">
        <v>0.36</v>
      </c>
      <c r="AG221" s="62">
        <v>0.36</v>
      </c>
      <c r="AH221" s="95">
        <v>0.41</v>
      </c>
      <c r="AI221" s="95">
        <v>0.28999999999999998</v>
      </c>
      <c r="AJ221" s="58">
        <v>0.37</v>
      </c>
      <c r="AK221" s="59">
        <v>0.34</v>
      </c>
      <c r="AL221" s="95">
        <v>0.39</v>
      </c>
      <c r="AM221" s="518">
        <v>0.3</v>
      </c>
      <c r="AN221" s="517">
        <v>0.4</v>
      </c>
      <c r="AO221" s="301">
        <v>0.39</v>
      </c>
      <c r="AP221" s="302">
        <v>0.45</v>
      </c>
      <c r="AQ221" s="516">
        <v>0.32</v>
      </c>
      <c r="AR221" s="515">
        <v>0.35</v>
      </c>
      <c r="AS221" s="288">
        <v>0.33</v>
      </c>
      <c r="AT221" s="291">
        <v>0.39</v>
      </c>
      <c r="AU221" s="510">
        <v>0.27</v>
      </c>
      <c r="AV221" s="512">
        <v>0.35</v>
      </c>
      <c r="AW221" s="426">
        <v>0.34</v>
      </c>
      <c r="AX221" s="427">
        <v>0.4</v>
      </c>
      <c r="AY221" s="513">
        <v>0.27</v>
      </c>
      <c r="AZ221" s="512">
        <v>0.33</v>
      </c>
      <c r="BA221" s="426">
        <v>0.31</v>
      </c>
      <c r="BB221" s="427">
        <v>0.36</v>
      </c>
      <c r="BC221" s="427">
        <v>0.26</v>
      </c>
    </row>
    <row r="222" spans="19:55" x14ac:dyDescent="0.2">
      <c r="S222" s="26">
        <v>3</v>
      </c>
      <c r="T222" s="64">
        <v>0.5</v>
      </c>
      <c r="U222" s="62">
        <v>0.55000000000000004</v>
      </c>
      <c r="V222" s="95">
        <v>0.5</v>
      </c>
      <c r="W222" s="95">
        <v>0.6</v>
      </c>
      <c r="X222" s="55">
        <v>0.48</v>
      </c>
      <c r="Y222" s="56">
        <v>0.54</v>
      </c>
      <c r="Z222" s="95">
        <v>0.5</v>
      </c>
      <c r="AA222" s="95">
        <v>0.59</v>
      </c>
      <c r="AB222" s="64">
        <v>0.49</v>
      </c>
      <c r="AC222" s="62">
        <v>0.55000000000000004</v>
      </c>
      <c r="AD222" s="95">
        <v>0.5</v>
      </c>
      <c r="AE222" s="95">
        <v>0.62</v>
      </c>
      <c r="AF222" s="64">
        <v>0.51</v>
      </c>
      <c r="AG222" s="62">
        <v>0.56999999999999995</v>
      </c>
      <c r="AH222" s="95">
        <v>0.52</v>
      </c>
      <c r="AI222" s="95">
        <v>0.64</v>
      </c>
      <c r="AJ222" s="58">
        <v>0.5</v>
      </c>
      <c r="AK222" s="59">
        <v>0.59</v>
      </c>
      <c r="AL222" s="95">
        <v>0.54</v>
      </c>
      <c r="AM222" s="518">
        <v>0.64</v>
      </c>
      <c r="AN222" s="517">
        <v>0.46</v>
      </c>
      <c r="AO222" s="301">
        <v>0.54</v>
      </c>
      <c r="AP222" s="302">
        <v>0.48</v>
      </c>
      <c r="AQ222" s="516">
        <v>0.6</v>
      </c>
      <c r="AR222" s="515">
        <v>0.49</v>
      </c>
      <c r="AS222" s="288">
        <v>0.57999999999999996</v>
      </c>
      <c r="AT222" s="291">
        <v>0.52</v>
      </c>
      <c r="AU222" s="510">
        <v>0.64</v>
      </c>
      <c r="AV222" s="512">
        <v>0.49</v>
      </c>
      <c r="AW222" s="426">
        <v>0.56000000000000005</v>
      </c>
      <c r="AX222" s="427">
        <v>0.51</v>
      </c>
      <c r="AY222" s="513">
        <v>0.63</v>
      </c>
      <c r="AZ222" s="512">
        <v>0.5</v>
      </c>
      <c r="BA222" s="426">
        <v>0.57999999999999996</v>
      </c>
      <c r="BB222" s="427">
        <v>0.54</v>
      </c>
      <c r="BC222" s="427">
        <v>0.63</v>
      </c>
    </row>
    <row r="223" spans="19:55" x14ac:dyDescent="0.2">
      <c r="S223" s="26">
        <v>4</v>
      </c>
      <c r="T223" s="64">
        <v>0.05</v>
      </c>
      <c r="U223" s="62">
        <v>0.02</v>
      </c>
      <c r="V223" s="95">
        <v>0.02</v>
      </c>
      <c r="W223" s="95">
        <v>0.02</v>
      </c>
      <c r="X223" s="55">
        <v>0.05</v>
      </c>
      <c r="Y223" s="56">
        <v>0.03</v>
      </c>
      <c r="Z223" s="95">
        <v>0.02</v>
      </c>
      <c r="AA223" s="95">
        <v>0.03</v>
      </c>
      <c r="AB223" s="64">
        <v>0.05</v>
      </c>
      <c r="AC223" s="62">
        <v>0.02</v>
      </c>
      <c r="AD223" s="95">
        <v>0.01</v>
      </c>
      <c r="AE223" s="95">
        <v>0.03</v>
      </c>
      <c r="AF223" s="64">
        <v>0.06</v>
      </c>
      <c r="AG223" s="62">
        <v>0.03</v>
      </c>
      <c r="AH223" s="95">
        <v>0.02</v>
      </c>
      <c r="AI223" s="95">
        <v>0.04</v>
      </c>
      <c r="AJ223" s="58">
        <v>0.05</v>
      </c>
      <c r="AK223" s="59">
        <v>0.03</v>
      </c>
      <c r="AL223" s="95">
        <v>0.02</v>
      </c>
      <c r="AM223" s="518">
        <v>0.04</v>
      </c>
      <c r="AN223" s="517">
        <v>0.04</v>
      </c>
      <c r="AO223" s="301">
        <v>0.03</v>
      </c>
      <c r="AP223" s="302">
        <v>0.01</v>
      </c>
      <c r="AQ223" s="516">
        <v>0.04</v>
      </c>
      <c r="AR223" s="515">
        <v>0.05</v>
      </c>
      <c r="AS223" s="288">
        <v>0.03</v>
      </c>
      <c r="AT223" s="291">
        <v>0.02</v>
      </c>
      <c r="AU223" s="510">
        <v>0.05</v>
      </c>
      <c r="AV223" s="512">
        <v>7.0000000000000007E-2</v>
      </c>
      <c r="AW223" s="426">
        <v>0.04</v>
      </c>
      <c r="AX223" s="427">
        <v>0.03</v>
      </c>
      <c r="AY223" s="513">
        <v>0.06</v>
      </c>
      <c r="AZ223" s="512">
        <v>0.08</v>
      </c>
      <c r="BA223" s="426">
        <v>0.06</v>
      </c>
      <c r="BB223" s="427">
        <v>0.04</v>
      </c>
      <c r="BC223" s="427">
        <v>0.08</v>
      </c>
    </row>
    <row r="224" spans="19:55" x14ac:dyDescent="0.2">
      <c r="S224" s="67"/>
      <c r="T224" s="1056"/>
      <c r="U224" s="1056"/>
      <c r="V224" s="1056"/>
      <c r="W224" s="1056"/>
      <c r="X224" s="1056"/>
      <c r="Y224" s="1056"/>
      <c r="Z224" s="1056"/>
      <c r="AA224" s="1056"/>
      <c r="AB224" s="1056"/>
      <c r="AC224" s="1056"/>
    </row>
    <row r="225" spans="19:132" x14ac:dyDescent="0.2">
      <c r="S225" s="73"/>
      <c r="T225" s="72"/>
      <c r="U225" s="72"/>
      <c r="V225" s="72"/>
      <c r="W225" s="72"/>
      <c r="X225" s="72"/>
      <c r="Y225" s="72"/>
      <c r="Z225" s="72"/>
      <c r="AA225" s="72"/>
      <c r="AB225" s="72"/>
      <c r="AC225" s="72"/>
    </row>
    <row r="226" spans="19:132" x14ac:dyDescent="0.2">
      <c r="S226" s="47"/>
      <c r="T226" s="96"/>
      <c r="U226" s="96"/>
      <c r="V226" s="96"/>
      <c r="W226" s="96"/>
      <c r="X226" s="96"/>
      <c r="Y226" s="96"/>
      <c r="Z226" s="96"/>
      <c r="AA226" s="96"/>
      <c r="AB226" s="96"/>
      <c r="AC226" s="96"/>
    </row>
    <row r="227" spans="19:132" x14ac:dyDescent="0.2">
      <c r="S227" s="47"/>
      <c r="T227" s="96"/>
      <c r="U227" s="96"/>
      <c r="V227" s="96"/>
      <c r="W227" s="96"/>
      <c r="X227" s="96"/>
      <c r="Y227" s="96"/>
      <c r="Z227" s="96"/>
      <c r="AA227" s="96"/>
      <c r="AB227" s="96"/>
      <c r="AC227" s="96"/>
    </row>
    <row r="228" spans="19:132" x14ac:dyDescent="0.2">
      <c r="S228" s="69"/>
      <c r="T228" s="96"/>
      <c r="U228" s="96"/>
      <c r="V228" s="96"/>
      <c r="W228" s="96"/>
      <c r="X228" s="96"/>
      <c r="Y228" s="96"/>
      <c r="Z228" s="96"/>
      <c r="AA228" s="96"/>
      <c r="AB228" s="96"/>
      <c r="AC228" s="96"/>
    </row>
    <row r="229" spans="19:132" x14ac:dyDescent="0.2">
      <c r="S229" s="69"/>
      <c r="T229" s="96"/>
      <c r="U229" s="96"/>
      <c r="V229" s="96"/>
      <c r="W229" s="96"/>
      <c r="X229" s="96"/>
      <c r="Y229" s="96"/>
      <c r="Z229" s="96"/>
      <c r="AA229" s="96"/>
      <c r="AB229" s="96"/>
      <c r="AC229" s="96"/>
    </row>
    <row r="237" spans="19:132" x14ac:dyDescent="0.2">
      <c r="BF237" s="296"/>
      <c r="BG237" s="296"/>
      <c r="BH237" s="296"/>
      <c r="BI237" s="296"/>
      <c r="BJ237" s="296"/>
      <c r="BK237" s="296"/>
      <c r="BL237" s="296"/>
      <c r="BM237" s="296"/>
      <c r="BN237" s="296"/>
      <c r="BO237" s="296"/>
      <c r="BP237" s="296"/>
      <c r="BQ237" s="296"/>
      <c r="BR237" s="296"/>
      <c r="BS237" s="296"/>
      <c r="BT237" s="296"/>
      <c r="BU237" s="296"/>
      <c r="BV237" s="296"/>
      <c r="BW237" s="296"/>
      <c r="BX237" s="296"/>
      <c r="BY237" s="296"/>
      <c r="BZ237" s="296"/>
      <c r="CA237" s="296"/>
      <c r="CB237" s="296"/>
      <c r="CC237" s="296"/>
      <c r="CD237" s="296"/>
      <c r="CE237" s="296"/>
      <c r="CF237" s="296"/>
      <c r="CG237" s="296"/>
      <c r="CH237" s="296"/>
      <c r="CI237" s="296"/>
      <c r="CJ237" s="296"/>
      <c r="CK237" s="296"/>
      <c r="CL237" s="296"/>
      <c r="CM237" s="296"/>
      <c r="CN237" s="296"/>
      <c r="CO237" s="296"/>
      <c r="CP237" s="296"/>
      <c r="CQ237" s="296"/>
      <c r="CR237" s="296"/>
      <c r="CS237" s="296"/>
      <c r="CT237" s="296"/>
      <c r="CU237" s="949"/>
      <c r="CV237" s="949"/>
      <c r="CW237" s="949"/>
      <c r="CX237" s="949"/>
      <c r="CY237" s="949"/>
      <c r="CZ237" s="949"/>
      <c r="DA237" s="949"/>
      <c r="DB237" s="949"/>
      <c r="DC237" s="949"/>
      <c r="DD237" s="949"/>
      <c r="DE237" s="949"/>
      <c r="DF237" s="923"/>
      <c r="DG237" s="296"/>
      <c r="DH237" s="296"/>
      <c r="DI237" s="296"/>
      <c r="DJ237" s="296"/>
      <c r="DK237" s="296"/>
      <c r="DL237" s="296"/>
      <c r="DM237" s="296"/>
      <c r="DN237" s="296"/>
      <c r="DO237" s="296"/>
      <c r="DP237" s="296"/>
      <c r="DQ237" s="296"/>
      <c r="DR237" s="296"/>
      <c r="DS237" s="296"/>
      <c r="DT237" s="296"/>
      <c r="DU237" s="296"/>
      <c r="DV237" s="296"/>
      <c r="DW237" s="296"/>
      <c r="DX237" s="296"/>
      <c r="DY237" s="296"/>
      <c r="DZ237" s="296"/>
      <c r="EA237" s="296"/>
      <c r="EB237" s="296"/>
    </row>
    <row r="238" spans="19:132" x14ac:dyDescent="0.2">
      <c r="BF238" s="296"/>
      <c r="BG238" s="296"/>
      <c r="BH238" s="296"/>
      <c r="BI238" s="296"/>
      <c r="BJ238" s="296"/>
      <c r="BK238" s="296"/>
      <c r="BL238" s="296"/>
      <c r="BM238" s="296"/>
      <c r="BN238" s="296"/>
      <c r="BO238" s="296"/>
      <c r="BP238" s="296"/>
      <c r="BQ238" s="296"/>
      <c r="BR238" s="296"/>
      <c r="BS238" s="296"/>
      <c r="BT238" s="296"/>
      <c r="BU238" s="296"/>
      <c r="BV238" s="296"/>
      <c r="BW238" s="296"/>
      <c r="BX238" s="296"/>
      <c r="BY238" s="296"/>
      <c r="BZ238" s="296"/>
      <c r="CA238" s="296"/>
      <c r="CB238" s="296"/>
      <c r="CC238" s="296"/>
      <c r="CD238" s="296"/>
      <c r="CE238" s="296"/>
      <c r="CF238" s="296"/>
      <c r="CG238" s="296"/>
      <c r="CH238" s="296"/>
      <c r="CI238" s="296"/>
      <c r="CJ238" s="296"/>
      <c r="CK238" s="296"/>
      <c r="CL238" s="296"/>
      <c r="CM238" s="296"/>
      <c r="CN238" s="296"/>
      <c r="CO238" s="296"/>
      <c r="CP238" s="296"/>
      <c r="CQ238" s="296"/>
      <c r="CR238" s="296"/>
      <c r="CS238" s="296"/>
      <c r="CT238" s="296"/>
      <c r="CU238" s="949"/>
      <c r="CV238" s="949"/>
      <c r="CW238" s="949"/>
      <c r="CX238" s="949"/>
      <c r="CY238" s="949"/>
      <c r="CZ238" s="949"/>
      <c r="DA238" s="949"/>
      <c r="DB238" s="949"/>
      <c r="DC238" s="949"/>
      <c r="DD238" s="949"/>
      <c r="DE238" s="949"/>
      <c r="DF238" s="923"/>
      <c r="DG238" s="296"/>
      <c r="DH238" s="296"/>
      <c r="DI238" s="296"/>
      <c r="DJ238" s="296"/>
      <c r="DK238" s="296"/>
      <c r="DL238" s="296"/>
      <c r="DM238" s="296"/>
      <c r="DN238" s="296"/>
      <c r="DO238" s="296"/>
      <c r="DP238" s="296"/>
      <c r="DQ238" s="296"/>
      <c r="DR238" s="296"/>
      <c r="DS238" s="296"/>
      <c r="DT238" s="296"/>
      <c r="DU238" s="296"/>
      <c r="DV238" s="296"/>
      <c r="DW238" s="296"/>
      <c r="DX238" s="296"/>
      <c r="DY238" s="296"/>
      <c r="DZ238" s="296"/>
      <c r="EA238" s="296"/>
      <c r="EB238" s="296"/>
    </row>
    <row r="239" spans="19:132" x14ac:dyDescent="0.2">
      <c r="BF239" s="296"/>
      <c r="BG239" s="296"/>
      <c r="BH239" s="296"/>
      <c r="BI239" s="296"/>
      <c r="BJ239" s="296"/>
      <c r="BK239" s="296"/>
      <c r="BL239" s="296"/>
      <c r="BM239" s="296"/>
      <c r="BN239" s="296"/>
      <c r="BO239" s="296"/>
      <c r="BP239" s="296"/>
      <c r="BQ239" s="296"/>
      <c r="BR239" s="296"/>
      <c r="BS239" s="296"/>
      <c r="BT239" s="296"/>
      <c r="BU239" s="296"/>
      <c r="BV239" s="296"/>
      <c r="BW239" s="296"/>
      <c r="BX239" s="296"/>
      <c r="BY239" s="296"/>
      <c r="BZ239" s="296"/>
      <c r="CA239" s="296"/>
      <c r="CB239" s="296"/>
      <c r="CC239" s="296"/>
      <c r="CD239" s="296"/>
      <c r="CE239" s="296"/>
      <c r="CF239" s="296"/>
      <c r="CG239" s="296"/>
      <c r="CH239" s="296"/>
      <c r="CI239" s="296"/>
      <c r="CJ239" s="296"/>
      <c r="CK239" s="296"/>
      <c r="CL239" s="296"/>
      <c r="CM239" s="296"/>
      <c r="CN239" s="296"/>
      <c r="CO239" s="296"/>
      <c r="CP239" s="296"/>
      <c r="CQ239" s="296"/>
      <c r="CR239" s="296"/>
      <c r="CS239" s="296"/>
      <c r="CT239" s="296"/>
      <c r="CU239" s="949"/>
      <c r="CV239" s="949"/>
      <c r="CW239" s="949"/>
      <c r="CX239" s="949"/>
      <c r="CY239" s="949"/>
      <c r="CZ239" s="949"/>
      <c r="DA239" s="949"/>
      <c r="DB239" s="949"/>
      <c r="DC239" s="949"/>
      <c r="DD239" s="949"/>
      <c r="DE239" s="949"/>
      <c r="DF239" s="923"/>
      <c r="DG239" s="296"/>
      <c r="DH239" s="296"/>
      <c r="DI239" s="296"/>
      <c r="DJ239" s="296"/>
      <c r="DK239" s="296"/>
      <c r="DL239" s="296"/>
      <c r="DM239" s="296"/>
      <c r="DN239" s="296"/>
      <c r="DO239" s="296"/>
      <c r="DP239" s="296"/>
      <c r="DQ239" s="296"/>
      <c r="DR239" s="296"/>
      <c r="DS239" s="296"/>
      <c r="DT239" s="296"/>
      <c r="DU239" s="296"/>
      <c r="DV239" s="296"/>
      <c r="DW239" s="296"/>
      <c r="DX239" s="296"/>
      <c r="DY239" s="296"/>
      <c r="DZ239" s="296"/>
      <c r="EA239" s="296"/>
      <c r="EB239" s="296"/>
    </row>
    <row r="243" spans="2:152" x14ac:dyDescent="0.2">
      <c r="C243" s="1216">
        <v>2016</v>
      </c>
      <c r="D243" s="1216"/>
      <c r="E243" s="1216"/>
      <c r="F243" s="1216">
        <v>2017</v>
      </c>
      <c r="G243" s="1216"/>
      <c r="H243" s="1216"/>
      <c r="I243" s="1216">
        <v>2018</v>
      </c>
      <c r="J243" s="1216"/>
      <c r="K243" s="1216"/>
      <c r="L243" s="1216">
        <v>2019</v>
      </c>
      <c r="M243" s="1216"/>
      <c r="N243" s="1216"/>
      <c r="O243" s="1216">
        <v>2020</v>
      </c>
      <c r="P243" s="1216"/>
      <c r="Q243" s="1216"/>
      <c r="R243" s="1216">
        <v>2021</v>
      </c>
      <c r="S243" s="1216"/>
      <c r="T243" s="1216"/>
      <c r="U243" s="1216">
        <v>2022</v>
      </c>
      <c r="V243" s="1216"/>
      <c r="W243" s="1216"/>
      <c r="X243" s="1216">
        <v>2023</v>
      </c>
      <c r="Y243" s="1216"/>
      <c r="Z243" s="1218"/>
      <c r="AA243" s="1216">
        <v>2024</v>
      </c>
      <c r="AB243" s="1216"/>
      <c r="AC243" s="1216"/>
      <c r="BF243" t="s">
        <v>793</v>
      </c>
    </row>
    <row r="244" spans="2:152" x14ac:dyDescent="0.2">
      <c r="C244" s="551" t="s">
        <v>791</v>
      </c>
      <c r="D244" s="201" t="s">
        <v>788</v>
      </c>
      <c r="E244" s="201" t="s">
        <v>792</v>
      </c>
      <c r="F244" s="201" t="s">
        <v>792</v>
      </c>
      <c r="G244" s="201" t="s">
        <v>791</v>
      </c>
      <c r="H244" s="201" t="s">
        <v>788</v>
      </c>
      <c r="I244" s="201" t="s">
        <v>792</v>
      </c>
      <c r="J244" s="511" t="s">
        <v>788</v>
      </c>
      <c r="K244" s="201" t="s">
        <v>791</v>
      </c>
      <c r="L244" s="201" t="s">
        <v>792</v>
      </c>
      <c r="M244" s="201" t="s">
        <v>791</v>
      </c>
      <c r="N244" s="201" t="s">
        <v>788</v>
      </c>
      <c r="O244" s="201" t="s">
        <v>788</v>
      </c>
      <c r="P244" s="201" t="s">
        <v>791</v>
      </c>
      <c r="Q244" s="201" t="s">
        <v>792</v>
      </c>
      <c r="R244" s="201" t="s">
        <v>788</v>
      </c>
      <c r="S244" s="201" t="s">
        <v>792</v>
      </c>
      <c r="T244" s="201" t="s">
        <v>791</v>
      </c>
      <c r="U244" s="511" t="s">
        <v>791</v>
      </c>
      <c r="V244" s="201" t="s">
        <v>792</v>
      </c>
      <c r="W244" s="201" t="s">
        <v>788</v>
      </c>
      <c r="X244" s="511" t="s">
        <v>791</v>
      </c>
      <c r="Y244" s="201" t="s">
        <v>792</v>
      </c>
      <c r="Z244" s="201" t="s">
        <v>788</v>
      </c>
      <c r="AA244" s="554" t="s">
        <v>791</v>
      </c>
      <c r="AB244" s="201" t="s">
        <v>792</v>
      </c>
      <c r="AC244" s="511" t="s">
        <v>788</v>
      </c>
      <c r="BF244" s="530" t="s">
        <v>140</v>
      </c>
      <c r="BG244" s="531"/>
      <c r="BH244" s="531"/>
      <c r="BI244" s="531"/>
      <c r="BJ244" s="531"/>
      <c r="BK244" s="531"/>
      <c r="BL244" s="531"/>
      <c r="BM244" s="531"/>
      <c r="BN244" s="532"/>
      <c r="BO244" s="530" t="s">
        <v>141</v>
      </c>
      <c r="BP244" s="531"/>
      <c r="BQ244" s="531"/>
      <c r="BR244" s="531"/>
      <c r="BS244" s="531"/>
      <c r="BT244" s="531"/>
      <c r="BU244" s="531"/>
      <c r="BV244" s="531"/>
      <c r="BW244" s="532"/>
      <c r="BX244" s="530" t="s">
        <v>142</v>
      </c>
      <c r="BY244" s="531"/>
      <c r="BZ244" s="531"/>
      <c r="CA244" s="531"/>
      <c r="CB244" s="531"/>
      <c r="CC244" s="531"/>
      <c r="CD244" s="531"/>
      <c r="CE244" s="531"/>
      <c r="CF244" s="532"/>
      <c r="CG244" s="530" t="s">
        <v>143</v>
      </c>
      <c r="CH244" s="531"/>
      <c r="CI244" s="531"/>
      <c r="CJ244" s="531"/>
      <c r="CK244" s="531"/>
      <c r="CL244" s="531"/>
      <c r="CM244" s="531"/>
      <c r="CN244" s="531"/>
      <c r="CO244" s="532"/>
      <c r="CP244" s="533" t="s">
        <v>144</v>
      </c>
      <c r="CQ244" s="531"/>
      <c r="CR244" s="531"/>
      <c r="CS244" s="531"/>
      <c r="CT244" s="531"/>
      <c r="CU244" s="904"/>
      <c r="CV244" s="951"/>
      <c r="CW244" s="904"/>
      <c r="CX244" s="904"/>
      <c r="CY244" s="952" t="s">
        <v>145</v>
      </c>
      <c r="CZ244" s="904"/>
      <c r="DA244" s="904"/>
      <c r="DB244" s="904"/>
      <c r="DC244" s="904"/>
      <c r="DD244" s="904"/>
      <c r="DE244" s="951"/>
      <c r="DF244" s="924"/>
      <c r="DG244" s="532"/>
      <c r="EP244" s="201"/>
    </row>
    <row r="245" spans="2:152" x14ac:dyDescent="0.2">
      <c r="B245" s="543" t="s">
        <v>140</v>
      </c>
      <c r="C245" s="546">
        <f>AVERAGEIF($C$36:$C$173,"=1",$K$36:$K$173)</f>
        <v>0.4594117647058823</v>
      </c>
      <c r="D245" s="475">
        <f>AVERAGEIF($C$36:$C$173,"=1",$J$36:$J$173)</f>
        <v>0.53235294117647058</v>
      </c>
      <c r="E245" s="475">
        <f>AVERAGEIF($C$36:$C$173,"=1",$L$36:$L$173)</f>
        <v>0.53941176470588237</v>
      </c>
      <c r="F245" s="475">
        <f>AVERAGEIF($C$36:$C$173,"=1",$T$36:$T$173)</f>
        <v>0.56166666666666676</v>
      </c>
      <c r="G245" s="475">
        <f>AVERAGEIF($C$36:$C$173,"=1",$S$36:$S$173)</f>
        <v>0.48388888888888892</v>
      </c>
      <c r="H245" s="475">
        <f>AVERAGEIF($C$36:$C$173,"=1",$U$36:$U$173)</f>
        <v>0.36000000000000004</v>
      </c>
      <c r="I245" s="475">
        <f>AVERAGEIF($C$36:$C$173,"=1",$AB$36:$AB$173)</f>
        <v>0.4861111111111111</v>
      </c>
      <c r="J245" s="550">
        <f>AVERAGEIF($C$36:$C$173,"=1",$AC$36:$AC$173)</f>
        <v>0.37111111111111111</v>
      </c>
      <c r="K245" s="550">
        <f>AVERAGEIF($C$36:$C$173,"=1",$AD$36:$AD$173)</f>
        <v>0.52444444444444449</v>
      </c>
      <c r="L245" s="496">
        <f>AVERAGEIF($C$36:$C$173,"=1",$AK$36:$AK$173)</f>
        <v>0.51777777777777789</v>
      </c>
      <c r="M245" s="475">
        <f>AVERAGEIF($C$36:$C$173,"=1",$AL$36:$AL$173)</f>
        <v>0.45944444444444454</v>
      </c>
      <c r="N245" s="475">
        <f>AVERAGEIF($C$36:$C$173,"=1",$AM$36:$AM$173)</f>
        <v>0.28222222222222221</v>
      </c>
      <c r="O245" s="475">
        <f>AVERAGEIF($C$36:$C$173,"=1",$AT$36:$AT$173)</f>
        <v>0.26647058823529413</v>
      </c>
      <c r="P245" s="475">
        <f>AVERAGEIF($C$36:$C$173,"=1",$AV$36:$AV$173)</f>
        <v>0.50235294117647056</v>
      </c>
      <c r="Q245" s="475">
        <f>AVERAGEIF($C$36:$C$173,"=1",$AU$36:$AU$173)</f>
        <v>0.48882352941176471</v>
      </c>
      <c r="R245" s="475">
        <f>AVERAGEIF($C$36:$C$173,"=1",$BE$36:$BE$173)</f>
        <v>0.27411764705882347</v>
      </c>
      <c r="S245" s="475">
        <f>AVERAGEIF($C$36:$C$173,"=1",$BF$36:$BF$173)</f>
        <v>0.50000000000000011</v>
      </c>
      <c r="T245" s="475">
        <f>AVERAGEIF($C$36:$C$173,"=1",$BG$36:$BG$173)</f>
        <v>0.45941176470588241</v>
      </c>
      <c r="U245" s="475">
        <v>0.59</v>
      </c>
      <c r="V245" s="475">
        <v>0.51888888888888884</v>
      </c>
      <c r="W245" s="475">
        <v>0.37666666666666671</v>
      </c>
      <c r="X245" s="475">
        <v>0.59941176470588231</v>
      </c>
      <c r="Y245" s="475">
        <v>0.55294117647058838</v>
      </c>
      <c r="Z245" s="550">
        <v>0.35705882352941171</v>
      </c>
      <c r="AA245" s="546">
        <v>0.53166666666666673</v>
      </c>
      <c r="AB245" s="475">
        <v>0.50777777777777777</v>
      </c>
      <c r="AC245" s="510">
        <v>0.38555555555555554</v>
      </c>
      <c r="BF245" s="29">
        <v>2016</v>
      </c>
      <c r="BG245" s="29">
        <v>2017</v>
      </c>
      <c r="BH245" s="29">
        <v>2018</v>
      </c>
      <c r="BI245" s="29">
        <v>2019</v>
      </c>
      <c r="BJ245" s="29">
        <v>2020</v>
      </c>
      <c r="BK245" s="29">
        <v>2021</v>
      </c>
      <c r="BL245" s="29">
        <v>2022</v>
      </c>
      <c r="BM245" s="29">
        <v>2023</v>
      </c>
      <c r="BN245" s="29">
        <v>2024</v>
      </c>
      <c r="BO245" s="29">
        <v>2016</v>
      </c>
      <c r="BP245" s="29">
        <v>2017</v>
      </c>
      <c r="BQ245" s="29">
        <v>2018</v>
      </c>
      <c r="BR245" s="29">
        <v>2019</v>
      </c>
      <c r="BS245" s="29">
        <v>2020</v>
      </c>
      <c r="BT245" s="29">
        <v>2021</v>
      </c>
      <c r="BU245" s="29">
        <v>2022</v>
      </c>
      <c r="BV245" s="29">
        <v>2023</v>
      </c>
      <c r="BW245" s="29">
        <v>2024</v>
      </c>
      <c r="BX245" s="29">
        <v>2016</v>
      </c>
      <c r="BY245" s="29">
        <v>2017</v>
      </c>
      <c r="BZ245" s="29">
        <v>2018</v>
      </c>
      <c r="CA245" s="29">
        <v>2019</v>
      </c>
      <c r="CB245" s="29">
        <v>2020</v>
      </c>
      <c r="CC245" s="29">
        <v>2021</v>
      </c>
      <c r="CD245" s="29">
        <v>2022</v>
      </c>
      <c r="CE245" s="29">
        <v>2023</v>
      </c>
      <c r="CF245" s="29">
        <v>2024</v>
      </c>
      <c r="CG245" s="29">
        <v>2016</v>
      </c>
      <c r="CH245" s="29">
        <v>2017</v>
      </c>
      <c r="CI245" s="29">
        <v>2018</v>
      </c>
      <c r="CJ245" s="29">
        <v>2019</v>
      </c>
      <c r="CK245" s="29">
        <v>2020</v>
      </c>
      <c r="CL245" s="29">
        <v>2021</v>
      </c>
      <c r="CM245" s="29">
        <v>2022</v>
      </c>
      <c r="CN245" s="29">
        <v>2023</v>
      </c>
      <c r="CO245" s="29">
        <v>2024</v>
      </c>
      <c r="CP245" s="29">
        <v>2016</v>
      </c>
      <c r="CQ245" s="29">
        <v>2017</v>
      </c>
      <c r="CR245" s="29">
        <v>2018</v>
      </c>
      <c r="CS245" s="29">
        <v>2019</v>
      </c>
      <c r="CT245" s="29">
        <v>2020</v>
      </c>
      <c r="CU245" s="895">
        <v>2021</v>
      </c>
      <c r="CV245" s="895">
        <v>2022</v>
      </c>
      <c r="CW245" s="895">
        <v>2023</v>
      </c>
      <c r="CX245" s="895">
        <v>2024</v>
      </c>
      <c r="CY245" s="536">
        <v>2016</v>
      </c>
      <c r="CZ245" s="895">
        <v>2017</v>
      </c>
      <c r="DA245" s="895">
        <v>2018</v>
      </c>
      <c r="DB245" s="895">
        <v>2019</v>
      </c>
      <c r="DC245" s="895">
        <v>2020</v>
      </c>
      <c r="DD245" s="895">
        <v>2021</v>
      </c>
      <c r="DE245" s="895">
        <v>2022</v>
      </c>
      <c r="DF245" s="925">
        <v>2023</v>
      </c>
      <c r="DG245" s="514">
        <v>2024</v>
      </c>
    </row>
    <row r="246" spans="2:152" x14ac:dyDescent="0.2">
      <c r="B246" s="543" t="s">
        <v>141</v>
      </c>
      <c r="C246" s="546">
        <f>AVERAGEIF($C$36:$C$173,"=2",$K$36:$K$173)</f>
        <v>0.44950000000000012</v>
      </c>
      <c r="D246" s="475">
        <f>AVERAGEIF($C$36:$C$173,"=2",$J$36:$J$173)</f>
        <v>0.52899999999999991</v>
      </c>
      <c r="E246" s="475">
        <f>AVERAGEIF($C$36:$C$173,"=2",$L$36:$L$173)</f>
        <v>0.52600000000000002</v>
      </c>
      <c r="F246" s="475">
        <f>AVERAGEIF($C$36:$C$173,"=2",$T$36:$T$173)</f>
        <v>0.54315789473684217</v>
      </c>
      <c r="G246" s="475">
        <f>AVERAGEIF($C$36:$C$173,"=2",$S$36:$S$173)</f>
        <v>0.47000000000000008</v>
      </c>
      <c r="H246" s="475">
        <f>AVERAGEIF($C$36:$C$173,"=2",$U$36:$U$173)</f>
        <v>0.36526315789473685</v>
      </c>
      <c r="I246" s="475">
        <f>AVERAGEIF($C$36:$C$173,"=2",$AB$36:$AB$173)</f>
        <v>0.47210526315789469</v>
      </c>
      <c r="J246" s="550">
        <f>AVERAGEIF($C$36:$C$173,"=2",$AC$36:$AC$173)</f>
        <v>0.37157894736842106</v>
      </c>
      <c r="K246" s="550">
        <f>AVERAGEIF($C$36:$C$173,"=2",$AD$36:$AD$173)</f>
        <v>0.50421052631578944</v>
      </c>
      <c r="L246" s="496">
        <f>AVERAGEIF($C$36:$C$173,"=2",$AK$36:$AK$173)</f>
        <v>0.51800000000000002</v>
      </c>
      <c r="M246" s="475">
        <f>AVERAGEIF($C$36:$C$173,"=2",$AL$36:$AL$173)</f>
        <v>0.45650000000000002</v>
      </c>
      <c r="N246" s="475">
        <f>AVERAGEIF($C$36:$C$173,"=2",$AM$36:$AM$173)</f>
        <v>0.26900000000000002</v>
      </c>
      <c r="O246" s="475">
        <f>AVERAGEIF($C$36:$C$173,"=2",$AT$36:$AT$173)</f>
        <v>0.27666666666666667</v>
      </c>
      <c r="P246" s="475">
        <f>AVERAGEIF($C$36:$C$173,"=2",$AV$36:$AV$173)</f>
        <v>0.50833333333333341</v>
      </c>
      <c r="Q246" s="475">
        <f>AVERAGEIF($C$36:$C$173,"=2",$AU$36:$AU$173)</f>
        <v>0.49874999999999997</v>
      </c>
      <c r="R246" s="475">
        <f>AVERAGEIF($C$36:$C$173,"=2",$BE$36:$BE$173)</f>
        <v>0.28590909090909089</v>
      </c>
      <c r="S246" s="475">
        <f>AVERAGEIF($C$36:$C$173,"=2",$BF$36:$BF$173)</f>
        <v>0.5027272727272728</v>
      </c>
      <c r="T246" s="475">
        <f>AVERAGEIF($C$36:$C$173,"=2",$BG$36:$BG$173)</f>
        <v>0.46318181818181831</v>
      </c>
      <c r="U246" s="475">
        <v>0.56320000000000003</v>
      </c>
      <c r="V246" s="475">
        <v>0.48560000000000003</v>
      </c>
      <c r="W246" s="475">
        <v>0.37719999999999998</v>
      </c>
      <c r="X246" s="475">
        <v>0.59923076923076923</v>
      </c>
      <c r="Y246" s="475">
        <v>0.55615384615384622</v>
      </c>
      <c r="Z246" s="550">
        <v>0.39076923076923065</v>
      </c>
      <c r="AA246" s="546">
        <v>0.51916666666666655</v>
      </c>
      <c r="AB246" s="475">
        <v>0.48791666666666672</v>
      </c>
      <c r="AC246" s="510">
        <v>0.38999999999999996</v>
      </c>
      <c r="BE246" s="537">
        <v>1</v>
      </c>
      <c r="BF246" s="535">
        <v>4.5000000000000005E-2</v>
      </c>
      <c r="BG246" s="535">
        <v>4.2500000000000003E-2</v>
      </c>
      <c r="BH246" s="535">
        <v>3.2500000000000001E-2</v>
      </c>
      <c r="BI246" s="535">
        <v>3.7499999999999999E-2</v>
      </c>
      <c r="BJ246" s="535">
        <v>4.7499999999999994E-2</v>
      </c>
      <c r="BK246" s="535">
        <v>4.5000000000000005E-2</v>
      </c>
      <c r="BL246" s="535">
        <v>0.05</v>
      </c>
      <c r="BM246" s="535">
        <v>0.04</v>
      </c>
      <c r="BN246" s="535">
        <f>AVERAGEIFS(CN$36:CN$173,$C$36:$C$173,"=1", $B$36:$B$173,"OFICIAL")</f>
        <v>5.6000000000000008E-2</v>
      </c>
      <c r="BO246" s="535">
        <v>2.5000000000000001E-2</v>
      </c>
      <c r="BP246" s="535">
        <v>5.5E-2</v>
      </c>
      <c r="BQ246" s="535">
        <v>0.05</v>
      </c>
      <c r="BR246" s="535">
        <v>0.05</v>
      </c>
      <c r="BS246" s="535">
        <v>2.5000000000000001E-2</v>
      </c>
      <c r="BT246" s="535">
        <v>0.06</v>
      </c>
      <c r="BU246" s="535">
        <v>0.09</v>
      </c>
      <c r="BV246" s="535">
        <v>0.06</v>
      </c>
      <c r="BW246" s="535">
        <f>AVERAGEIFS(CN$36:CN$173,$C$36:$C$173,"=2", $B$36:$B$173,"OFICIAL")</f>
        <v>3.2500000000000001E-2</v>
      </c>
      <c r="BX246" s="535">
        <v>3.7999999999999999E-2</v>
      </c>
      <c r="BY246" s="535">
        <v>5.5999999999999994E-2</v>
      </c>
      <c r="BZ246" s="535">
        <v>4.4000000000000004E-2</v>
      </c>
      <c r="CA246" s="535">
        <v>5.5999999999999994E-2</v>
      </c>
      <c r="CB246" s="535">
        <v>4.4000000000000004E-2</v>
      </c>
      <c r="CC246" s="535">
        <v>0.05</v>
      </c>
      <c r="CD246" s="535">
        <v>0.06</v>
      </c>
      <c r="CE246" s="535">
        <v>0.06</v>
      </c>
      <c r="CF246" s="535">
        <f>AVERAGEIFS(CN$36:CN$173,$C$36:$C$173,"=3", $B$36:$B$173,"OFICIAL")</f>
        <v>4.9999999999999996E-2</v>
      </c>
      <c r="CG246" s="535">
        <v>9.9999999999999992E-2</v>
      </c>
      <c r="CH246" s="535">
        <v>0.115</v>
      </c>
      <c r="CI246" s="535">
        <v>0.13500000000000001</v>
      </c>
      <c r="CJ246" s="535">
        <v>9.9999999999999992E-2</v>
      </c>
      <c r="CK246" s="535">
        <v>0.10833333333333334</v>
      </c>
      <c r="CL246" s="535">
        <v>0.10666666666666667</v>
      </c>
      <c r="CM246" s="535">
        <v>0.09</v>
      </c>
      <c r="CN246" s="535">
        <v>0.12</v>
      </c>
      <c r="CO246" s="535">
        <f>AVERAGEIFS(CN$36:CN$173,$C$36:$C$173,"=4", $B$36:$B$173,"OFICIAL")</f>
        <v>0.14833333333333332</v>
      </c>
      <c r="CP246" s="535">
        <v>0.05</v>
      </c>
      <c r="CQ246" s="535">
        <v>7.0000000000000007E-2</v>
      </c>
      <c r="CR246" s="535">
        <v>0.05</v>
      </c>
      <c r="CS246" s="535">
        <v>0.04</v>
      </c>
      <c r="CT246" s="535">
        <v>0.04</v>
      </c>
      <c r="CU246" s="535">
        <v>0.06</v>
      </c>
      <c r="CV246" s="535">
        <v>0.05</v>
      </c>
      <c r="CW246" s="535">
        <v>0.08</v>
      </c>
      <c r="CX246" s="535">
        <v>3.6666666666666667E-2</v>
      </c>
      <c r="CY246" s="535">
        <v>0.03</v>
      </c>
      <c r="CZ246" s="535">
        <v>0.05</v>
      </c>
      <c r="DA246" s="535">
        <v>0.05</v>
      </c>
      <c r="DB246" s="535">
        <v>0.05</v>
      </c>
      <c r="DC246" s="535">
        <v>0.02</v>
      </c>
      <c r="DD246" s="535">
        <v>0.05</v>
      </c>
      <c r="DE246" s="535">
        <v>0.09</v>
      </c>
      <c r="DF246" s="926">
        <v>0.08</v>
      </c>
      <c r="DG246" s="535">
        <v>6.25E-2</v>
      </c>
      <c r="DM246" s="296"/>
      <c r="DN246" s="296"/>
      <c r="DO246" s="296"/>
      <c r="DP246" s="296"/>
      <c r="DQ246" s="296"/>
      <c r="DR246" s="296"/>
      <c r="DS246" s="296"/>
      <c r="DT246" s="296"/>
      <c r="DU246" s="296"/>
      <c r="DV246" s="296"/>
      <c r="DW246" s="296"/>
      <c r="DX246" s="296"/>
      <c r="DY246" s="296"/>
      <c r="DZ246" s="296"/>
      <c r="EA246" s="296"/>
      <c r="EB246" s="296"/>
      <c r="EC246" s="296"/>
      <c r="ED246" s="296"/>
      <c r="EE246" s="296"/>
      <c r="EF246" s="296"/>
      <c r="EG246" s="296"/>
      <c r="EH246" s="296"/>
      <c r="EI246" s="296"/>
      <c r="EJ246" s="296"/>
      <c r="EK246" s="296"/>
      <c r="EL246" s="296"/>
      <c r="EM246" s="296"/>
      <c r="EN246" s="296"/>
      <c r="EO246" s="296"/>
      <c r="EP246" s="296"/>
      <c r="EQ246" s="296"/>
      <c r="ER246" s="296"/>
      <c r="ES246" s="296"/>
      <c r="ET246" s="296"/>
      <c r="EU246" s="296"/>
      <c r="EV246" s="296"/>
    </row>
    <row r="247" spans="2:152" x14ac:dyDescent="0.2">
      <c r="B247" s="543" t="s">
        <v>142</v>
      </c>
      <c r="C247" s="546">
        <f>AVERAGEIF($C$36:$C$173,"=3",$K$36:$K$173)</f>
        <v>0.44611111111111107</v>
      </c>
      <c r="D247" s="475">
        <f>AVERAGEIF($C$36:$C$173,"=3",$J$36:$J$173)</f>
        <v>0.51444444444444448</v>
      </c>
      <c r="E247" s="475">
        <f>AVERAGEIF($C$36:$C$173,"=3",$L$36:$L$173)</f>
        <v>0.51777777777777778</v>
      </c>
      <c r="F247" s="475">
        <f>AVERAGEIF($C$36:$C$173,"=3",$T$36:$T$173)</f>
        <v>0.54722222222222228</v>
      </c>
      <c r="G247" s="475">
        <f>AVERAGEIF($C$36:$C$173,"=3",$S$36:$S$173)</f>
        <v>0.46666666666666667</v>
      </c>
      <c r="H247" s="475">
        <f>AVERAGEIF($C$36:$C$173,"=3",$U$36:$U$173)</f>
        <v>0.33999999999999997</v>
      </c>
      <c r="I247" s="475">
        <f>AVERAGEIF($C$36:$C$173,"=3",$AB$36:$AB$173)</f>
        <v>0.47222222222222221</v>
      </c>
      <c r="J247" s="550">
        <f>AVERAGEIF($C$36:$C$173,"=3",$AC$36:$AC$173)</f>
        <v>0.36222222222222222</v>
      </c>
      <c r="K247" s="550">
        <f>AVERAGEIF($C$36:$C$173,"=3",$AD$36:$AD$173)</f>
        <v>0.50111111111111117</v>
      </c>
      <c r="L247" s="496">
        <f>AVERAGEIF($C$36:$C$173,"=3",$AK$36:$AK$173)</f>
        <v>0.51944444444444438</v>
      </c>
      <c r="M247" s="475">
        <f>AVERAGEIF($C$36:$C$173,"=3",$AL$36:$AL$173)</f>
        <v>0.45777777777777778</v>
      </c>
      <c r="N247" s="475">
        <f>AVERAGEIF($C$36:$C$173,"=3",$AM$36:$AM$173)</f>
        <v>0.27555555555555561</v>
      </c>
      <c r="O247" s="475">
        <f>AVERAGEIF($C$36:$C$173,"=3",$AT$36:$AT$173)</f>
        <v>0.26149999999999995</v>
      </c>
      <c r="P247" s="475">
        <f>AVERAGEIF($C$36:$C$173,"=3",$AV$36:$AV$173)</f>
        <v>0.4955</v>
      </c>
      <c r="Q247" s="475">
        <f>AVERAGEIF($C$36:$C$173,"=3",$AU$36:$AU$173)</f>
        <v>0.47400000000000003</v>
      </c>
      <c r="R247" s="475">
        <f>AVERAGEIF($C$36:$C$173,"=3",$BE$36:$BE$173)</f>
        <v>0.27449999999999991</v>
      </c>
      <c r="S247" s="475">
        <f>AVERAGEIF($C$36:$C$173,"=3",$BF$36:$BF$173)</f>
        <v>0.49199999999999999</v>
      </c>
      <c r="T247" s="475">
        <f>AVERAGEIF($C$36:$C$173,"=3",$BG$36:$BG$173)</f>
        <v>0.45150000000000007</v>
      </c>
      <c r="U247" s="475">
        <v>0.55909090909090908</v>
      </c>
      <c r="V247" s="475">
        <v>0.49136363636363645</v>
      </c>
      <c r="W247" s="475">
        <v>0.34636363636363643</v>
      </c>
      <c r="X247" s="475">
        <v>0.60318181818181826</v>
      </c>
      <c r="Y247" s="475">
        <v>0.56181818181818177</v>
      </c>
      <c r="Z247" s="550">
        <v>0.33999999999999991</v>
      </c>
      <c r="AA247" s="546">
        <v>0.53863636363636358</v>
      </c>
      <c r="AB247" s="475">
        <v>0.4859090909090909</v>
      </c>
      <c r="AC247" s="510">
        <v>0.38954545454545458</v>
      </c>
      <c r="BE247" s="538">
        <v>2</v>
      </c>
      <c r="BF247" s="535">
        <v>0.36749999999999999</v>
      </c>
      <c r="BG247" s="535">
        <v>0.39249999999999996</v>
      </c>
      <c r="BH247" s="535">
        <v>0.41249999999999998</v>
      </c>
      <c r="BI247" s="535">
        <v>0.34249999999999997</v>
      </c>
      <c r="BJ247" s="535">
        <v>0.36249999999999999</v>
      </c>
      <c r="BK247" s="535">
        <v>0.40500000000000003</v>
      </c>
      <c r="BL247" s="535">
        <v>0.4</v>
      </c>
      <c r="BM247" s="535">
        <v>0.36</v>
      </c>
      <c r="BN247" s="535">
        <f>AVERAGEIFS(CO$36:CO$173,$C$36:$C$173,"=1", $B$36:$B$173,"OFICIAL")</f>
        <v>0.37</v>
      </c>
      <c r="BO247" s="535">
        <v>0.44</v>
      </c>
      <c r="BP247" s="535">
        <v>0.4</v>
      </c>
      <c r="BQ247" s="535">
        <v>0.38</v>
      </c>
      <c r="BR247" s="535">
        <v>0.38500000000000001</v>
      </c>
      <c r="BS247" s="535">
        <v>0.36499999999999999</v>
      </c>
      <c r="BT247" s="535">
        <v>0.435</v>
      </c>
      <c r="BU247" s="535">
        <v>0.38</v>
      </c>
      <c r="BV247" s="535">
        <v>0.38</v>
      </c>
      <c r="BW247" s="535">
        <f>AVERAGEIFS(CO$36:CO$173,$C$36:$C$173,"=2", $B$36:$B$173,"OFICIAL")</f>
        <v>0.35499999999999998</v>
      </c>
      <c r="BX247" s="535">
        <v>0.46600000000000003</v>
      </c>
      <c r="BY247" s="535">
        <v>0.43599999999999994</v>
      </c>
      <c r="BZ247" s="535">
        <v>0.41799999999999998</v>
      </c>
      <c r="CA247" s="535">
        <v>0.41600000000000004</v>
      </c>
      <c r="CB247" s="535">
        <v>0.372</v>
      </c>
      <c r="CC247" s="535">
        <v>0.44800000000000006</v>
      </c>
      <c r="CD247" s="535">
        <v>0.35</v>
      </c>
      <c r="CE247" s="535">
        <v>0.41</v>
      </c>
      <c r="CF247" s="535">
        <f>AVERAGEIFS(CO$36:CO$173,$C$36:$C$173,"=3", $B$36:$B$173,"OFICIAL")</f>
        <v>0.32999999999999996</v>
      </c>
      <c r="CG247" s="535">
        <v>0.54333333333333333</v>
      </c>
      <c r="CH247" s="535">
        <v>0.51666666666666672</v>
      </c>
      <c r="CI247" s="535">
        <v>0.48</v>
      </c>
      <c r="CJ247" s="535">
        <v>0.56166666666666665</v>
      </c>
      <c r="CK247" s="535">
        <v>0.48166666666666663</v>
      </c>
      <c r="CL247" s="535">
        <v>0.49499999999999994</v>
      </c>
      <c r="CM247" s="535">
        <v>0.48</v>
      </c>
      <c r="CN247" s="535">
        <v>0.48</v>
      </c>
      <c r="CO247" s="535">
        <f>AVERAGEIFS(CO$36:CO$173,$C$36:$C$173,"=4", $B$36:$B$173,"OFICIAL")</f>
        <v>0.4283333333333334</v>
      </c>
      <c r="CP247" s="535">
        <v>0.4</v>
      </c>
      <c r="CQ247" s="535">
        <v>0.39</v>
      </c>
      <c r="CR247" s="535">
        <v>0.47</v>
      </c>
      <c r="CS247" s="535">
        <v>0.41</v>
      </c>
      <c r="CT247" s="535">
        <v>0.39</v>
      </c>
      <c r="CU247" s="535">
        <v>0.43</v>
      </c>
      <c r="CV247" s="535">
        <v>0.35</v>
      </c>
      <c r="CW247" s="535">
        <v>0.38</v>
      </c>
      <c r="CX247" s="535">
        <v>0.2466666666666667</v>
      </c>
      <c r="CY247" s="535">
        <v>0.49</v>
      </c>
      <c r="CZ247" s="535">
        <v>0.41</v>
      </c>
      <c r="DA247" s="535">
        <v>0.44</v>
      </c>
      <c r="DB247" s="535">
        <v>0.36</v>
      </c>
      <c r="DC247" s="535">
        <v>0.38</v>
      </c>
      <c r="DD247" s="535">
        <v>0.47</v>
      </c>
      <c r="DE247" s="535">
        <v>0.38</v>
      </c>
      <c r="DF247" s="926">
        <v>0.41</v>
      </c>
      <c r="DG247" s="535">
        <v>0.41000000000000003</v>
      </c>
      <c r="DM247" s="296"/>
      <c r="DN247" s="296"/>
      <c r="DO247" s="296"/>
      <c r="DP247" s="296"/>
      <c r="DQ247" s="296"/>
      <c r="DR247" s="296"/>
      <c r="DS247" s="296"/>
      <c r="DT247" s="296"/>
      <c r="DU247" s="296"/>
      <c r="DV247" s="296"/>
      <c r="DW247" s="296"/>
      <c r="DX247" s="296"/>
      <c r="DY247" s="296"/>
      <c r="DZ247" s="296"/>
      <c r="EA247" s="296"/>
      <c r="EB247" s="296"/>
      <c r="EC247" s="296"/>
      <c r="ED247" s="296"/>
      <c r="EE247" s="296"/>
      <c r="EF247" s="296"/>
      <c r="EG247" s="296"/>
      <c r="EH247" s="296"/>
      <c r="EI247" s="296"/>
      <c r="EJ247" s="296"/>
      <c r="EK247" s="296"/>
      <c r="EL247" s="296"/>
      <c r="EM247" s="296"/>
      <c r="EN247" s="296"/>
      <c r="EO247" s="296"/>
      <c r="EP247" s="296"/>
      <c r="EQ247" s="296"/>
      <c r="ER247" s="296"/>
      <c r="ES247" s="296"/>
      <c r="ET247" s="296"/>
      <c r="EU247" s="296"/>
      <c r="EV247" s="296"/>
    </row>
    <row r="248" spans="2:152" x14ac:dyDescent="0.2">
      <c r="B248" s="543" t="s">
        <v>143</v>
      </c>
      <c r="C248" s="546">
        <f>AVERAGEIF($C$36:$C$173,"=4",$K$36:$K$173)</f>
        <v>0.50428571428571434</v>
      </c>
      <c r="D248" s="475">
        <f>AVERAGEIF($C$36:$C$173,"=4",$J$36:$J$173)</f>
        <v>0.57285714285714284</v>
      </c>
      <c r="E248" s="475">
        <f>AVERAGEIF($C$36:$C$173,"=4",$L$36:$L$173)</f>
        <v>0.59785714285714298</v>
      </c>
      <c r="F248" s="475">
        <f>AVERAGEIF($C$36:$C$173,"=4",$T$36:$T$173)</f>
        <v>0.57928571428571429</v>
      </c>
      <c r="G248" s="475">
        <f>AVERAGEIF($C$36:$C$173,"=4",$S$36:$S$173)</f>
        <v>0.50642857142857134</v>
      </c>
      <c r="H248" s="475">
        <f>AVERAGEIF($C$36:$C$173,"=4",$U$36:$U$173)</f>
        <v>0.38071428571428573</v>
      </c>
      <c r="I248" s="475">
        <f>AVERAGEIF($C$36:$C$173,"=4",$AB$36:$AB$173)</f>
        <v>0.50642857142857145</v>
      </c>
      <c r="J248" s="550">
        <f>AVERAGEIF($C$36:$C$173,"=4",$AC$36:$AC$173)</f>
        <v>0.40571428571428569</v>
      </c>
      <c r="K248" s="550">
        <f>AVERAGEIF($C$36:$C$173,"=4",$AD$36:$AD$173)</f>
        <v>0.5407142857142857</v>
      </c>
      <c r="L248" s="496">
        <f>AVERAGEIF($C$36:$C$173,"=4",$AK$36:$AK$173)</f>
        <v>0.57538461538461538</v>
      </c>
      <c r="M248" s="475">
        <f>AVERAGEIF($C$36:$C$173,"=4",$AL$36:$AL$173)</f>
        <v>0.51153846153846161</v>
      </c>
      <c r="N248" s="475">
        <f>AVERAGEIF($C$36:$C$173,"=4",$AM$36:$AM$173)</f>
        <v>0.34461538461538466</v>
      </c>
      <c r="O248" s="475">
        <f>AVERAGEIF($C$36:$C$173,"=4",$AT$36:$AT$173)</f>
        <v>0.31769230769230777</v>
      </c>
      <c r="P248" s="475">
        <f>AVERAGEIF($C$36:$C$173,"=4",$AV$36:$AV$173)</f>
        <v>0.54846153846153856</v>
      </c>
      <c r="Q248" s="475">
        <f>AVERAGEIF($C$36:$C$173,"=4",$AU$36:$AU$173)</f>
        <v>0.56384615384615389</v>
      </c>
      <c r="R248" s="475">
        <f>AVERAGEIF($C$36:$C$173,"=4",$BE$36:$BE$173)</f>
        <v>0.35857142857142854</v>
      </c>
      <c r="S248" s="475">
        <f>AVERAGEIF($C$36:$C$173,"=4",$BF$36:$BF$173)</f>
        <v>0.54214285714285715</v>
      </c>
      <c r="T248" s="475">
        <f>AVERAGEIF($C$36:$C$173,"=4",$BG$36:$BG$173)</f>
        <v>0.51928571428571424</v>
      </c>
      <c r="U248" s="475">
        <v>0.6171428571428571</v>
      </c>
      <c r="V248" s="475">
        <v>0.54142857142857148</v>
      </c>
      <c r="W248" s="475">
        <v>0.40857142857142853</v>
      </c>
      <c r="X248" s="475">
        <v>0.62533333333333341</v>
      </c>
      <c r="Y248" s="475">
        <v>0.61466666666666669</v>
      </c>
      <c r="Z248" s="550">
        <v>0.41866666666666663</v>
      </c>
      <c r="AA248" s="546">
        <v>0.57461538461538453</v>
      </c>
      <c r="AB248" s="475">
        <v>0.52769230769230768</v>
      </c>
      <c r="AC248" s="510">
        <v>0.4169230769230769</v>
      </c>
      <c r="BE248" s="538">
        <v>3</v>
      </c>
      <c r="BF248" s="535">
        <v>0.57250000000000001</v>
      </c>
      <c r="BG248" s="535">
        <v>0.53749999999999998</v>
      </c>
      <c r="BH248" s="535">
        <v>0.54249999999999998</v>
      </c>
      <c r="BI248" s="535">
        <v>0.59749999999999992</v>
      </c>
      <c r="BJ248" s="535">
        <v>0.5625</v>
      </c>
      <c r="BK248" s="535">
        <v>0.53249999999999997</v>
      </c>
      <c r="BL248" s="535">
        <v>0.54</v>
      </c>
      <c r="BM248" s="535">
        <v>0.57999999999999996</v>
      </c>
      <c r="BN248" s="535">
        <f>AVERAGEIFS(CP$36:CP$173,$C$36:$C$173,"=1", $B$36:$B$173,"OFICIAL")</f>
        <v>0.52799999999999991</v>
      </c>
      <c r="BO248" s="535">
        <v>0.52</v>
      </c>
      <c r="BP248" s="535">
        <v>0.52499999999999991</v>
      </c>
      <c r="BQ248" s="535">
        <v>0.54500000000000004</v>
      </c>
      <c r="BR248" s="535">
        <v>0.54500000000000004</v>
      </c>
      <c r="BS248" s="535">
        <v>0.58499999999999996</v>
      </c>
      <c r="BT248" s="535">
        <v>0.5</v>
      </c>
      <c r="BU248" s="535">
        <v>0.53</v>
      </c>
      <c r="BV248" s="535">
        <v>0.54</v>
      </c>
      <c r="BW248" s="535">
        <f>AVERAGEIFS(CP$36:CP$173,$C$36:$C$173,"=2", $B$36:$B$173,"OFICIAL")</f>
        <v>0.5625</v>
      </c>
      <c r="BX248" s="535">
        <v>0.48200000000000004</v>
      </c>
      <c r="BY248" s="535">
        <v>0.502</v>
      </c>
      <c r="BZ248" s="535">
        <v>0.53199999999999992</v>
      </c>
      <c r="CA248" s="535">
        <v>0.52000000000000013</v>
      </c>
      <c r="CB248" s="535">
        <v>0.56400000000000006</v>
      </c>
      <c r="CC248" s="535">
        <v>0.48599999999999993</v>
      </c>
      <c r="CD248" s="535">
        <v>0.56999999999999995</v>
      </c>
      <c r="CE248" s="535">
        <v>0.51</v>
      </c>
      <c r="CF248" s="535">
        <f>AVERAGEIFS(CP$36:CP$173,$C$36:$C$173,"=3", $B$36:$B$173,"OFICIAL")</f>
        <v>0.57666666666666666</v>
      </c>
      <c r="CG248" s="535">
        <v>0.34666666666666662</v>
      </c>
      <c r="CH248" s="535">
        <v>0.35833333333333334</v>
      </c>
      <c r="CI248" s="535">
        <v>0.375</v>
      </c>
      <c r="CJ248" s="535">
        <v>0.33166666666666667</v>
      </c>
      <c r="CK248" s="535">
        <v>0.41000000000000009</v>
      </c>
      <c r="CL248" s="535">
        <v>0.38999999999999996</v>
      </c>
      <c r="CM248" s="535">
        <v>0.4</v>
      </c>
      <c r="CN248" s="535">
        <v>0.4</v>
      </c>
      <c r="CO248" s="535">
        <f>AVERAGEIFS(CP$36:CP$173,$C$36:$C$173,"=4", $B$36:$B$173,"OFICIAL")</f>
        <v>0.40833333333333338</v>
      </c>
      <c r="CP248" s="535">
        <v>0.54</v>
      </c>
      <c r="CQ248" s="535">
        <v>0.52</v>
      </c>
      <c r="CR248" s="535">
        <v>0.48</v>
      </c>
      <c r="CS248" s="535">
        <v>0.53</v>
      </c>
      <c r="CT248" s="535">
        <v>0.56000000000000005</v>
      </c>
      <c r="CU248" s="535">
        <v>0.49</v>
      </c>
      <c r="CV248" s="535">
        <v>0.61</v>
      </c>
      <c r="CW248" s="535">
        <v>0.51</v>
      </c>
      <c r="CX248" s="535">
        <v>0.64333333333333331</v>
      </c>
      <c r="CY248" s="535">
        <v>0.47</v>
      </c>
      <c r="CZ248" s="535">
        <v>0.52</v>
      </c>
      <c r="DA248" s="535">
        <v>0.5</v>
      </c>
      <c r="DB248" s="535">
        <v>0.57999999999999996</v>
      </c>
      <c r="DC248" s="535">
        <v>0.56000000000000005</v>
      </c>
      <c r="DD248" s="535">
        <v>0.46</v>
      </c>
      <c r="DE248" s="535">
        <v>0.52</v>
      </c>
      <c r="DF248" s="926">
        <v>0.48</v>
      </c>
      <c r="DG248" s="535">
        <v>0.49500000000000005</v>
      </c>
      <c r="DM248" s="296"/>
      <c r="DN248" s="296"/>
      <c r="DO248" s="296"/>
      <c r="DP248" s="296"/>
      <c r="DQ248" s="296"/>
      <c r="DR248" s="296"/>
      <c r="DS248" s="296"/>
      <c r="DT248" s="296"/>
      <c r="DU248" s="296"/>
      <c r="DV248" s="296"/>
      <c r="DW248" s="296"/>
      <c r="DX248" s="296"/>
      <c r="DY248" s="296"/>
      <c r="DZ248" s="296"/>
      <c r="EA248" s="296"/>
      <c r="EB248" s="296"/>
      <c r="EC248" s="296"/>
      <c r="ED248" s="296"/>
      <c r="EE248" s="296"/>
      <c r="EF248" s="296"/>
      <c r="EG248" s="296"/>
      <c r="EH248" s="296"/>
      <c r="EI248" s="296"/>
      <c r="EJ248" s="296"/>
      <c r="EK248" s="296"/>
      <c r="EL248" s="296"/>
      <c r="EM248" s="296"/>
      <c r="EN248" s="296"/>
      <c r="EO248" s="296"/>
      <c r="EP248" s="296"/>
      <c r="EQ248" s="296"/>
      <c r="ER248" s="296"/>
      <c r="ES248" s="296"/>
      <c r="ET248" s="296"/>
      <c r="EU248" s="296"/>
      <c r="EV248" s="296"/>
    </row>
    <row r="249" spans="2:152" x14ac:dyDescent="0.2">
      <c r="B249" s="543" t="s">
        <v>144</v>
      </c>
      <c r="C249" s="546">
        <f>AVERAGEIF($C$36:$C$173,"=5",$K$36:$K$173)</f>
        <v>0.44117647058823528</v>
      </c>
      <c r="D249" s="475">
        <f>AVERAGEIF($C$36:$C$173,"=5",$J$36:$J$173)</f>
        <v>0.49294117647058816</v>
      </c>
      <c r="E249" s="475">
        <f>AVERAGEIF($C$36:$C$173,"=5",$L$36:$L$173)</f>
        <v>0.49882352941176472</v>
      </c>
      <c r="F249" s="475">
        <f>AVERAGEIF($C$36:$C$173,"=5",$T$36:$T$173)</f>
        <v>0.50352941176470589</v>
      </c>
      <c r="G249" s="475">
        <f>AVERAGEIF($C$36:$C$173,"=5",$S$36:$S$173)</f>
        <v>0.44058823529411761</v>
      </c>
      <c r="H249" s="475">
        <f>AVERAGEIF($C$36:$C$173,"=5",$U$36:$U$173)</f>
        <v>0.31882352941176478</v>
      </c>
      <c r="I249" s="475">
        <f>AVERAGEIF($C$36:$C$173,"=5",$AB$36:$AB$173)</f>
        <v>0.43999999999999995</v>
      </c>
      <c r="J249" s="550">
        <f>AVERAGEIF($C$36:$C$173,"=5",$AC$36:$AC$173)</f>
        <v>0.34823529411764703</v>
      </c>
      <c r="K249" s="550">
        <f>AVERAGEIF($C$36:$C$173,"=5",$AD$36:$AD$173)</f>
        <v>0.47882352941176465</v>
      </c>
      <c r="L249" s="496">
        <f>AVERAGEIF($C$36:$C$173,"=5",$AK$36:$AK$173)</f>
        <v>0.48222222222222222</v>
      </c>
      <c r="M249" s="475">
        <f>AVERAGEIF($C$36:$C$173,"=5",$AL$36:$AL$173)</f>
        <v>0.41555555555555557</v>
      </c>
      <c r="N249" s="475">
        <f>AVERAGEIF($C$36:$C$173,"=5",$AM$36:$AM$173)</f>
        <v>0.25000000000000006</v>
      </c>
      <c r="O249" s="475">
        <f>AVERAGEIF($C$36:$C$173,"=5",$AT$36:$AT$173)</f>
        <v>0.22444444444444439</v>
      </c>
      <c r="P249" s="475">
        <f>AVERAGEIF($C$36:$C$173,"=5",$AV$36:$AV$173)</f>
        <v>0.44555555555555554</v>
      </c>
      <c r="Q249" s="475">
        <f>AVERAGEIF($C$36:$C$173,"=5",$AU$36:$AU$173)</f>
        <v>0.45499999999999996</v>
      </c>
      <c r="R249" s="475">
        <f>AVERAGEIF($C$36:$C$173,"=5",$BE$36:$BE$173)</f>
        <v>0.24500000000000005</v>
      </c>
      <c r="S249" s="475">
        <f>AVERAGEIF($C$36:$C$173,"=5",$BF$36:$BF$173)</f>
        <v>0.47500000000000003</v>
      </c>
      <c r="T249" s="475">
        <f>AVERAGEIF($C$36:$C$173,"=5",$BG$36:$BG$173)</f>
        <v>0.42888888888888893</v>
      </c>
      <c r="U249" s="475">
        <v>0.52647058823529402</v>
      </c>
      <c r="V249" s="475">
        <v>0.45117647058823529</v>
      </c>
      <c r="W249" s="475">
        <v>0.32176470588235295</v>
      </c>
      <c r="X249" s="475">
        <v>0.57588235294117629</v>
      </c>
      <c r="Y249" s="475">
        <v>0.53764705882352937</v>
      </c>
      <c r="Z249" s="550">
        <v>0.30588235294117649</v>
      </c>
      <c r="AA249" s="546">
        <v>0.5261111111111112</v>
      </c>
      <c r="AB249" s="475">
        <v>0.46833333333333343</v>
      </c>
      <c r="AC249" s="510">
        <v>0.3816666666666666</v>
      </c>
      <c r="BE249" s="539">
        <v>4</v>
      </c>
      <c r="BF249" s="535">
        <v>1.7500000000000002E-2</v>
      </c>
      <c r="BG249" s="535">
        <v>2.5000000000000001E-2</v>
      </c>
      <c r="BH249" s="535">
        <v>1.2500000000000001E-2</v>
      </c>
      <c r="BI249" s="535">
        <v>2.2499999999999999E-2</v>
      </c>
      <c r="BJ249" s="535">
        <v>0.03</v>
      </c>
      <c r="BK249" s="535">
        <v>1.4999999999999999E-2</v>
      </c>
      <c r="BL249" s="535">
        <v>0.01</v>
      </c>
      <c r="BM249" s="535">
        <v>0.02</v>
      </c>
      <c r="BN249" s="535">
        <f>AVERAGEIFS(CQ$36:CQ$173,$C$36:$C$173,"=1", $B$36:$B$173,"OFICIAL")</f>
        <v>4.3999999999999997E-2</v>
      </c>
      <c r="BO249" s="535">
        <v>2.5000000000000001E-2</v>
      </c>
      <c r="BP249" s="535">
        <v>0.02</v>
      </c>
      <c r="BQ249" s="535">
        <v>2.5000000000000001E-2</v>
      </c>
      <c r="BR249" s="535">
        <v>0.03</v>
      </c>
      <c r="BS249" s="535">
        <v>2.5000000000000001E-2</v>
      </c>
      <c r="BT249" s="535">
        <v>5.0000000000000001E-3</v>
      </c>
      <c r="BU249" s="535">
        <v>0.02</v>
      </c>
      <c r="BV249" s="535">
        <v>0.02</v>
      </c>
      <c r="BW249" s="535">
        <f>AVERAGEIFS(CQ$36:CQ$173,$C$36:$C$173,"=2", $B$36:$B$173,"OFICIAL")</f>
        <v>5.5000000000000007E-2</v>
      </c>
      <c r="BX249" s="535">
        <v>1.6E-2</v>
      </c>
      <c r="BY249" s="535">
        <v>6.0000000000000001E-3</v>
      </c>
      <c r="BZ249" s="535">
        <v>8.0000000000000002E-3</v>
      </c>
      <c r="CA249" s="535">
        <v>0.01</v>
      </c>
      <c r="CB249" s="535">
        <v>1.9999999999999997E-2</v>
      </c>
      <c r="CC249" s="535">
        <v>1.2E-2</v>
      </c>
      <c r="CD249" s="535">
        <v>0.02</v>
      </c>
      <c r="CE249" s="535">
        <v>0.03</v>
      </c>
      <c r="CF249" s="535">
        <f>AVERAGEIFS(CQ$36:CQ$173,$C$36:$C$173,"=3", $B$36:$B$173,"OFICIAL")</f>
        <v>4.5000000000000005E-2</v>
      </c>
      <c r="CG249" s="535">
        <v>6.6666666666666671E-3</v>
      </c>
      <c r="CH249" s="535">
        <v>1.1666666666666667E-2</v>
      </c>
      <c r="CI249" s="535">
        <v>8.3333333333333332E-3</v>
      </c>
      <c r="CJ249" s="535">
        <v>6.6666666666666671E-3</v>
      </c>
      <c r="CK249" s="535">
        <v>3.3333333333333335E-3</v>
      </c>
      <c r="CL249" s="535">
        <v>3.3333333333333335E-3</v>
      </c>
      <c r="CM249" s="535">
        <v>0.02</v>
      </c>
      <c r="CN249" s="535">
        <v>0.02</v>
      </c>
      <c r="CO249" s="535">
        <f>AVERAGEIFS(CQ$36:CQ$173,$C$36:$C$173,"=4", $B$36:$B$173,"OFICIAL")</f>
        <v>0.02</v>
      </c>
      <c r="CP249" s="535">
        <v>0.02</v>
      </c>
      <c r="CQ249" s="535">
        <v>0.02</v>
      </c>
      <c r="CR249" s="535">
        <v>0.02</v>
      </c>
      <c r="CS249" s="535">
        <v>0.03</v>
      </c>
      <c r="CT249" s="535">
        <v>0.02</v>
      </c>
      <c r="CU249" s="535">
        <v>0.03</v>
      </c>
      <c r="CV249" s="535">
        <v>0.01</v>
      </c>
      <c r="CW249" s="535">
        <v>0.04</v>
      </c>
      <c r="CX249" s="535">
        <v>0.08</v>
      </c>
      <c r="CY249" s="535">
        <v>0.01</v>
      </c>
      <c r="CZ249" s="535">
        <v>0.02</v>
      </c>
      <c r="DA249" s="535">
        <v>0.02</v>
      </c>
      <c r="DB249" s="535">
        <v>0.01</v>
      </c>
      <c r="DC249" s="535">
        <v>0.04</v>
      </c>
      <c r="DD249" s="535">
        <v>0.02</v>
      </c>
      <c r="DE249" s="535">
        <v>0.01</v>
      </c>
      <c r="DF249" s="926">
        <v>0.04</v>
      </c>
      <c r="DG249" s="535">
        <v>0.03</v>
      </c>
      <c r="DM249" s="296"/>
      <c r="DN249" s="296"/>
      <c r="DO249" s="296"/>
      <c r="DP249" s="296"/>
      <c r="DQ249" s="296"/>
      <c r="DR249" s="296"/>
      <c r="DS249" s="296"/>
      <c r="DT249" s="296"/>
      <c r="DU249" s="296"/>
      <c r="DV249" s="296"/>
      <c r="DW249" s="296"/>
      <c r="DX249" s="296"/>
      <c r="DY249" s="296"/>
      <c r="DZ249" s="296"/>
      <c r="EA249" s="296"/>
      <c r="EB249" s="296"/>
      <c r="EC249" s="296"/>
      <c r="ED249" s="296"/>
      <c r="EE249" s="296"/>
      <c r="EF249" s="296"/>
      <c r="EG249" s="296"/>
      <c r="EH249" s="296"/>
      <c r="EI249" s="296"/>
      <c r="EJ249" s="296"/>
      <c r="EK249" s="296"/>
      <c r="EL249" s="296"/>
      <c r="EM249" s="296"/>
      <c r="EN249" s="296"/>
      <c r="EO249" s="296"/>
      <c r="EP249" s="296"/>
      <c r="EQ249" s="296"/>
      <c r="ER249" s="296"/>
      <c r="ES249" s="296"/>
      <c r="ET249" s="296"/>
      <c r="EU249" s="296"/>
      <c r="EV249" s="296"/>
    </row>
    <row r="250" spans="2:152" x14ac:dyDescent="0.2">
      <c r="B250" s="543" t="s">
        <v>145</v>
      </c>
      <c r="C250" s="547">
        <f>AVERAGEIF($C$36:$C$173,"=6",$K$36:$K$173)</f>
        <v>0.4393333333333333</v>
      </c>
      <c r="D250" s="548">
        <f>AVERAGEIF($C$36:$C$173,"=6",$J$36:$J$173)</f>
        <v>0.52266666666666672</v>
      </c>
      <c r="E250" s="548">
        <f>AVERAGEIF($C$36:$C$173,"=6",$L$36:$L$173)</f>
        <v>0.52666666666666673</v>
      </c>
      <c r="F250" s="548">
        <f>AVERAGEIF($C$36:$C$173,"=6",$T$36:$T$173)</f>
        <v>0.56000000000000016</v>
      </c>
      <c r="G250" s="548">
        <f>AVERAGEIF($C$36:$C$173,"=6",$S$36:$S$173)</f>
        <v>0.4913333333333334</v>
      </c>
      <c r="H250" s="548">
        <f>AVERAGEIF($C$36:$C$173,"=6",$U$36:$U$173)</f>
        <v>0.36466666666666664</v>
      </c>
      <c r="I250" s="548">
        <f>AVERAGEIF($C$36:$C$173,"=6",$AB$36:$AB$173)</f>
        <v>0.49999999999999994</v>
      </c>
      <c r="J250" s="553">
        <f>AVERAGEIF($C$36:$C$173,"=6",$AC$36:$AC$173)</f>
        <v>0.36874999999999997</v>
      </c>
      <c r="K250" s="553">
        <f>AVERAGEIF($C$36:$C$173,"=6",$AD$36:$AD$173)</f>
        <v>0.51875000000000004</v>
      </c>
      <c r="L250" s="552">
        <f>AVERAGEIF($C$36:$C$173,"=6",$AK$36:$AK$173)</f>
        <v>0.52</v>
      </c>
      <c r="M250" s="548">
        <f>AVERAGEIF($C$36:$C$173,"=6",$AL$36:$AL$173)</f>
        <v>0.4535294117647059</v>
      </c>
      <c r="N250" s="548">
        <f>AVERAGEIF($C$36:$C$173,"=6",$AM$36:$AM$173)</f>
        <v>0.29411764705882359</v>
      </c>
      <c r="O250" s="548">
        <f>AVERAGEIF($C$36:$C$173,"=6",$AT$36:$AT$173)</f>
        <v>0.29058823529411759</v>
      </c>
      <c r="P250" s="548">
        <f>AVERAGEIF($C$36:$C$173,"=6",$AV$36:$AV$173)</f>
        <v>0.50352941176470589</v>
      </c>
      <c r="Q250" s="548">
        <f>AVERAGEIF($C$36:$C$173,"=6",$AU$36:$AU$173)</f>
        <v>0.51235294117647079</v>
      </c>
      <c r="R250" s="548">
        <f>AVERAGEIF($C$36:$C$173,"=6",$BE$36:$BE$173)</f>
        <v>0.26588235294117646</v>
      </c>
      <c r="S250" s="548">
        <f>AVERAGEIF($C$36:$C$173,"=6",$BF$36:$BF$173)</f>
        <v>0.52000000000000013</v>
      </c>
      <c r="T250" s="548">
        <f>AVERAGEIF($C$36:$C$173,"=6",$BG$36:$BG$173)</f>
        <v>0.4864705882352941</v>
      </c>
      <c r="U250" s="548">
        <v>0.59526315789473694</v>
      </c>
      <c r="V250" s="548">
        <v>0.52052631578947361</v>
      </c>
      <c r="W250" s="548">
        <v>0.38999999999999996</v>
      </c>
      <c r="X250" s="548">
        <v>0.60499999999999987</v>
      </c>
      <c r="Y250" s="548">
        <v>0.56850000000000001</v>
      </c>
      <c r="Z250" s="553">
        <v>0.35299999999999998</v>
      </c>
      <c r="AA250" s="547">
        <v>0.55277777777777781</v>
      </c>
      <c r="AB250" s="548">
        <v>0.50222222222222224</v>
      </c>
      <c r="AC250" s="549">
        <v>0.4044444444444445</v>
      </c>
      <c r="BY250" s="296"/>
      <c r="CH250" s="296"/>
      <c r="CQ250" s="296"/>
      <c r="CW250" s="949"/>
    </row>
    <row r="252" spans="2:152" x14ac:dyDescent="0.2">
      <c r="B252" s="86"/>
      <c r="C252" s="1216">
        <v>2016</v>
      </c>
      <c r="D252" s="1216"/>
      <c r="E252" s="1216"/>
      <c r="F252" s="1216"/>
      <c r="G252" s="1216"/>
      <c r="H252" s="1216"/>
      <c r="I252" s="1217">
        <v>2017</v>
      </c>
      <c r="J252" s="1217"/>
      <c r="K252" s="1217"/>
      <c r="L252" s="1217"/>
      <c r="M252" s="1217"/>
      <c r="N252" s="1217"/>
      <c r="O252" s="1216">
        <v>2018</v>
      </c>
      <c r="P252" s="1216"/>
      <c r="Q252" s="1216"/>
      <c r="R252" s="1216"/>
      <c r="S252" s="1216"/>
      <c r="T252" s="1216"/>
      <c r="U252" s="1216">
        <v>2019</v>
      </c>
      <c r="V252" s="1216"/>
      <c r="W252" s="1216"/>
      <c r="X252" s="1216"/>
      <c r="Y252" s="1216"/>
      <c r="Z252" s="1216"/>
      <c r="AA252" s="1216">
        <v>2020</v>
      </c>
      <c r="AB252" s="1216"/>
      <c r="AC252" s="1216"/>
      <c r="AD252" s="1216"/>
      <c r="AE252" s="1216"/>
      <c r="AF252" s="1216"/>
      <c r="AG252" s="1216">
        <v>2021</v>
      </c>
      <c r="AH252" s="1216"/>
      <c r="AI252" s="1216"/>
      <c r="AJ252" s="1216"/>
      <c r="AK252" s="1216"/>
      <c r="AL252" s="1216"/>
      <c r="AM252" s="1216">
        <v>2022</v>
      </c>
      <c r="AN252" s="1216"/>
      <c r="AO252" s="1216"/>
      <c r="AP252" s="1216"/>
      <c r="AQ252" s="1216"/>
      <c r="AR252" s="1216"/>
      <c r="AS252" s="1216">
        <v>2023</v>
      </c>
      <c r="AT252" s="1216"/>
      <c r="AU252" s="1216"/>
      <c r="AV252" s="1216"/>
      <c r="AW252" s="1216"/>
      <c r="AX252" s="1216"/>
      <c r="AY252" s="1216">
        <v>2024</v>
      </c>
      <c r="AZ252" s="1216"/>
      <c r="BA252" s="1216"/>
      <c r="BB252" s="1216"/>
      <c r="BC252" s="1216"/>
      <c r="BD252" s="1216"/>
    </row>
    <row r="253" spans="2:152" x14ac:dyDescent="0.2">
      <c r="B253" s="86"/>
      <c r="C253" s="1216" t="s">
        <v>148</v>
      </c>
      <c r="D253" s="1216"/>
      <c r="E253" s="1216"/>
      <c r="F253" s="1216" t="s">
        <v>149</v>
      </c>
      <c r="G253" s="1216"/>
      <c r="H253" s="1216"/>
      <c r="I253" s="1216" t="s">
        <v>148</v>
      </c>
      <c r="J253" s="1216"/>
      <c r="K253" s="1216"/>
      <c r="L253" s="1216" t="s">
        <v>149</v>
      </c>
      <c r="M253" s="1216"/>
      <c r="N253" s="1216"/>
      <c r="O253" s="1216" t="s">
        <v>148</v>
      </c>
      <c r="P253" s="1216"/>
      <c r="Q253" s="1216"/>
      <c r="R253" s="1216" t="s">
        <v>149</v>
      </c>
      <c r="S253" s="1216"/>
      <c r="T253" s="1216"/>
      <c r="U253" s="1216" t="s">
        <v>148</v>
      </c>
      <c r="V253" s="1216"/>
      <c r="W253" s="1216"/>
      <c r="X253" s="1216" t="s">
        <v>149</v>
      </c>
      <c r="Y253" s="1216"/>
      <c r="Z253" s="1216"/>
      <c r="AA253" s="1216" t="s">
        <v>148</v>
      </c>
      <c r="AB253" s="1216"/>
      <c r="AC253" s="1216"/>
      <c r="AD253" s="1216" t="s">
        <v>149</v>
      </c>
      <c r="AE253" s="1216"/>
      <c r="AF253" s="1216"/>
      <c r="AG253" s="1216" t="s">
        <v>148</v>
      </c>
      <c r="AH253" s="1216"/>
      <c r="AI253" s="1216"/>
      <c r="AJ253" s="1216" t="s">
        <v>149</v>
      </c>
      <c r="AK253" s="1216"/>
      <c r="AL253" s="1216"/>
      <c r="AM253" s="1216" t="s">
        <v>148</v>
      </c>
      <c r="AN253" s="1216"/>
      <c r="AO253" s="1216"/>
      <c r="AP253" s="1216" t="s">
        <v>149</v>
      </c>
      <c r="AQ253" s="1216"/>
      <c r="AR253" s="1216"/>
      <c r="AS253" s="1216" t="s">
        <v>148</v>
      </c>
      <c r="AT253" s="1216"/>
      <c r="AU253" s="1216"/>
      <c r="AV253" s="1216" t="s">
        <v>149</v>
      </c>
      <c r="AW253" s="1216"/>
      <c r="AX253" s="1216"/>
      <c r="AY253" s="1216" t="s">
        <v>148</v>
      </c>
      <c r="AZ253" s="1216"/>
      <c r="BA253" s="1216"/>
      <c r="BB253" s="1216" t="s">
        <v>149</v>
      </c>
      <c r="BC253" s="1216"/>
      <c r="BD253" s="1216"/>
    </row>
    <row r="254" spans="2:152" x14ac:dyDescent="0.2">
      <c r="B254" s="86"/>
      <c r="C254" s="544" t="s">
        <v>791</v>
      </c>
      <c r="D254" s="542" t="s">
        <v>788</v>
      </c>
      <c r="E254" s="542" t="s">
        <v>792</v>
      </c>
      <c r="F254" s="542" t="s">
        <v>791</v>
      </c>
      <c r="G254" s="542" t="s">
        <v>788</v>
      </c>
      <c r="H254" s="545" t="s">
        <v>792</v>
      </c>
      <c r="I254" s="544" t="s">
        <v>792</v>
      </c>
      <c r="J254" s="542" t="s">
        <v>791</v>
      </c>
      <c r="K254" s="542" t="s">
        <v>788</v>
      </c>
      <c r="L254" s="542" t="s">
        <v>792</v>
      </c>
      <c r="M254" s="542" t="s">
        <v>791</v>
      </c>
      <c r="N254" s="545" t="s">
        <v>788</v>
      </c>
      <c r="O254" s="544" t="s">
        <v>792</v>
      </c>
      <c r="P254" s="542" t="s">
        <v>788</v>
      </c>
      <c r="Q254" s="542" t="s">
        <v>791</v>
      </c>
      <c r="R254" s="542" t="s">
        <v>792</v>
      </c>
      <c r="S254" s="542" t="s">
        <v>788</v>
      </c>
      <c r="T254" s="545" t="s">
        <v>791</v>
      </c>
      <c r="U254" s="544" t="s">
        <v>792</v>
      </c>
      <c r="V254" s="542" t="s">
        <v>791</v>
      </c>
      <c r="W254" s="542" t="s">
        <v>788</v>
      </c>
      <c r="X254" s="542" t="s">
        <v>792</v>
      </c>
      <c r="Y254" s="542" t="s">
        <v>791</v>
      </c>
      <c r="Z254" s="545" t="s">
        <v>788</v>
      </c>
      <c r="AA254" s="542" t="s">
        <v>788</v>
      </c>
      <c r="AB254" s="542" t="s">
        <v>791</v>
      </c>
      <c r="AC254" s="542" t="s">
        <v>792</v>
      </c>
      <c r="AD254" s="542" t="s">
        <v>788</v>
      </c>
      <c r="AE254" s="542" t="s">
        <v>791</v>
      </c>
      <c r="AF254" s="542" t="s">
        <v>792</v>
      </c>
      <c r="AG254" s="544" t="s">
        <v>788</v>
      </c>
      <c r="AH254" s="542" t="s">
        <v>792</v>
      </c>
      <c r="AI254" s="542" t="s">
        <v>791</v>
      </c>
      <c r="AJ254" s="542" t="s">
        <v>788</v>
      </c>
      <c r="AK254" s="542" t="s">
        <v>792</v>
      </c>
      <c r="AL254" s="545" t="s">
        <v>791</v>
      </c>
      <c r="AM254" s="554" t="s">
        <v>791</v>
      </c>
      <c r="AN254" s="201" t="s">
        <v>792</v>
      </c>
      <c r="AO254" s="511" t="s">
        <v>788</v>
      </c>
      <c r="AP254" s="554" t="s">
        <v>791</v>
      </c>
      <c r="AQ254" s="201" t="s">
        <v>792</v>
      </c>
      <c r="AR254" s="511" t="s">
        <v>788</v>
      </c>
      <c r="AS254" s="554" t="s">
        <v>791</v>
      </c>
      <c r="AT254" s="201" t="s">
        <v>792</v>
      </c>
      <c r="AU254" s="511" t="s">
        <v>788</v>
      </c>
      <c r="AV254" s="554" t="s">
        <v>791</v>
      </c>
      <c r="AW254" s="201" t="s">
        <v>792</v>
      </c>
      <c r="AX254" s="511" t="s">
        <v>788</v>
      </c>
      <c r="AY254" s="554" t="s">
        <v>791</v>
      </c>
      <c r="AZ254" s="201" t="s">
        <v>792</v>
      </c>
      <c r="BA254" s="511" t="s">
        <v>788</v>
      </c>
      <c r="BB254" s="554" t="s">
        <v>791</v>
      </c>
      <c r="BC254" s="201" t="s">
        <v>792</v>
      </c>
      <c r="BD254" s="511" t="s">
        <v>788</v>
      </c>
    </row>
    <row r="255" spans="2:152" x14ac:dyDescent="0.2">
      <c r="B255" s="543" t="s">
        <v>140</v>
      </c>
      <c r="C255" s="546">
        <f>AVERAGEIFS($K$36:$K$173,$C$36:$C$173,"=1", $B$36:$B$173,"OFICIAL")</f>
        <v>0.45749999999999996</v>
      </c>
      <c r="D255" s="475">
        <f>AVERAGEIFS($J$36:$J$173,$C$36:$C$173,"=1", $B$36:$B$173,"OFICIAL")</f>
        <v>0.53500000000000003</v>
      </c>
      <c r="E255" s="475">
        <f>AVERAGEIFS($L$36:$L$173,$C$36:$C$173,"=1", $B$36:$B$173,"OFICIAL")</f>
        <v>0.5475000000000001</v>
      </c>
      <c r="F255" s="475">
        <f>AVERAGEIFS($K$36:$K$173,$C$36:$C$173,"=1", $B$36:$B$173,"NO OFICIAL")</f>
        <v>0.45999999999999996</v>
      </c>
      <c r="G255" s="475">
        <f>AVERAGEIFS($J$36:$J$173,$C$36:$C$173,"=1", $B$36:$B$173,"NO OFICIAL")</f>
        <v>0.53153846153846152</v>
      </c>
      <c r="H255" s="510">
        <f>AVERAGEIFS($L$36:$L$173,$C$36:$C$173,"=1", $B$36:$B$173,"NO OFICIAL")</f>
        <v>0.53692307692307695</v>
      </c>
      <c r="I255" s="546">
        <f>AVERAGEIFS($T$36:$T$173,$C$36:$C$173,"=1", $B$36:$B$173,"OFICIAL")</f>
        <v>0.55499999999999994</v>
      </c>
      <c r="J255" s="475">
        <f>AVERAGEIFS($S$36:$S$173,$C$36:$C$173,"=1", $B$36:$B$173,"OFICIAL")</f>
        <v>0.47749999999999998</v>
      </c>
      <c r="K255" s="475">
        <f>AVERAGEIFS($U$36:$U$173,$C$36:$C$173,"=1", $B$36:$B$173,"OFICIAL")</f>
        <v>0.35500000000000004</v>
      </c>
      <c r="L255" s="475">
        <f>AVERAGEIFS($T$36:$T$173,$C$36:$C$173,"=1", $B$36:$B$173,"NO OFICIAL")</f>
        <v>0.56357142857142861</v>
      </c>
      <c r="M255" s="475">
        <f>AVERAGEIFS($S$36:$S$173,$C$36:$C$173,"=1", $B$36:$B$173,"NO OFICIAL")</f>
        <v>0.48571428571428577</v>
      </c>
      <c r="N255" s="510">
        <f>AVERAGEIFS($U$36:$U$173,$C$36:$C$173,"=1", $B$36:$B$173,"NO OFICIAL")</f>
        <v>0.36142857142857149</v>
      </c>
      <c r="O255" s="546">
        <f>AVERAGEIFS($AB$36:$AB$173,$C$36:$C$173,"=1", $B$36:$B$173,"OFICIAL")</f>
        <v>0.49249999999999999</v>
      </c>
      <c r="P255" s="475">
        <f>AVERAGEIFS($AC$36:$AC$173,$C$36:$C$173,"=1", $B$36:$B$173,"OFICIAL")</f>
        <v>0.3775</v>
      </c>
      <c r="Q255" s="475">
        <f>AVERAGEIFS($AD$36:$AD$173,$C$36:$C$173,"=1", $B$36:$B$173,"OFICIAL")</f>
        <v>0.53249999999999997</v>
      </c>
      <c r="R255" s="475">
        <f>AVERAGEIFS($AB$36:$AB$173,$C$36:$C$173,"=1", $B$36:$B$173,"NO OFICIAL")</f>
        <v>0.48428571428571437</v>
      </c>
      <c r="S255" s="475">
        <f>AVERAGEIFS($AC$36:$AC$173,$C$36:$C$173,"=1", $B$36:$B$173,"NO OFICIAL")</f>
        <v>0.36928571428571427</v>
      </c>
      <c r="T255" s="510">
        <f>AVERAGEIFS($AD$36:$AD$173,$C$36:$C$173,"=1", $B$36:$B$173,"NO OFICIAL")</f>
        <v>0.52214285714285713</v>
      </c>
      <c r="U255" s="546">
        <f>AVERAGEIFS($AK$36:$AK$173,$C$36:$C$173,"=1", $B$36:$B$173,"OFICIAL")</f>
        <v>0.53</v>
      </c>
      <c r="V255" s="475">
        <f>AVERAGEIFS($AL$36:$AL$173,$C$36:$C$173,"=1", $B$36:$B$173,"OFICIAL")</f>
        <v>0.45750000000000002</v>
      </c>
      <c r="W255" s="475">
        <f>AVERAGEIFS($AM$36:$AM$173,$C$36:$C$173,"=1", $B$36:$B$173,"OFICIAL")</f>
        <v>0.28749999999999998</v>
      </c>
      <c r="X255" s="475">
        <f>AVERAGEIFS($AK$36:$AK$173,$C$36:$C$173,"=1", $B$36:$B$173,"NO OFICIAL")</f>
        <v>0.51428571428571435</v>
      </c>
      <c r="Y255" s="475">
        <f>AVERAGEIFS($AL$36:$AL$173,$C$36:$C$173,"=1", $B$36:$B$173,"NO OFICIAL")</f>
        <v>0.46000000000000008</v>
      </c>
      <c r="Z255" s="510">
        <f t="shared" ref="Z255:Z260" si="108">AVERAGEIFS($AM$36:$AM$173,$C$36:$C$173,"=1", $B$36:$B$173,"NO OFICIAL")</f>
        <v>0.28071428571428569</v>
      </c>
      <c r="AA255" s="496">
        <f>AVERAGEIFS($AT$36:$AT$173,$C$36:$C$173,"=1", $B$36:$B$173,"OFICIAL")</f>
        <v>0.28250000000000003</v>
      </c>
      <c r="AB255" s="39">
        <f>AVERAGEIFS($AV$36:$AV$173,$C$36:$C$173,"=1", $B$36:$B$173,"OFICIAL")</f>
        <v>0.51250000000000007</v>
      </c>
      <c r="AC255" s="39">
        <f>AVERAGEIFS($AU$36:$AU$173,$C$36:$C$173,"=1", $B$36:$B$173,"OFICIAL")</f>
        <v>0.495</v>
      </c>
      <c r="AD255" s="39">
        <f>AVERAGEIFS($AT$36:$AT$173,$C$36:$C$173,"=1", $B$36:$B$173,"NO OFICIAL")</f>
        <v>0.26153846153846155</v>
      </c>
      <c r="AE255" s="39">
        <f>AVERAGEIFS($AV$36:$AV$173,$C$36:$C$173,"=1", $B$36:$B$173,"NO OFICIAL")</f>
        <v>0.4992307692307692</v>
      </c>
      <c r="AF255" s="550">
        <f>AVERAGEIFS($AU$36:$AU$173,$C$36:$C$173,"=1", $B$36:$B$173,"NO OFICIAL")</f>
        <v>0.4869230769230769</v>
      </c>
      <c r="AG255" s="546">
        <f>AVERAGEIFS($BE$36:$BE$173,$C$36:$C$173,"=1", $B$36:$B$173,"OFICIAL")</f>
        <v>0.29499999999999998</v>
      </c>
      <c r="AH255" s="475">
        <f>AVERAGEIFS($BF$36:$BF$173,$C$36:$C$173,"=1", $B$36:$B$173,"OFICIAL")</f>
        <v>0.52</v>
      </c>
      <c r="AI255" s="475">
        <f>AVERAGEIFS($BG$36:$BG$173,$C$36:$C$173,"=1", $B$36:$B$173,"OFICIAL")</f>
        <v>0.48</v>
      </c>
      <c r="AJ255" s="475">
        <f>AVERAGEIFS($BE$36:$BE$173,$C$36:$C$173,"=1", $B$36:$B$173,"NO OFICIAL")</f>
        <v>0.26769230769230767</v>
      </c>
      <c r="AK255" s="475">
        <f>AVERAGEIFS($BF$36:$BF$173,$C$36:$C$173,"=1", $B$36:$B$173,"NO OFICIAL")</f>
        <v>0.49384615384615399</v>
      </c>
      <c r="AL255" s="510">
        <f>AVERAGEIFS($BG$36:$BG$173,$C$36:$C$173,"=1", $B$36:$B$173,"NO OFICIAL")</f>
        <v>0.4530769230769231</v>
      </c>
      <c r="AM255" s="546">
        <v>0.61599999999999999</v>
      </c>
      <c r="AN255" s="475">
        <v>0.54</v>
      </c>
      <c r="AO255" s="475">
        <v>0.4</v>
      </c>
      <c r="AP255" s="475">
        <v>0.57999999999999996</v>
      </c>
      <c r="AQ255" s="475">
        <v>0.51076923076923086</v>
      </c>
      <c r="AR255" s="510">
        <v>0.36769230769230771</v>
      </c>
      <c r="AS255" s="546">
        <v>0.61</v>
      </c>
      <c r="AT255" s="475">
        <v>0.58199999999999996</v>
      </c>
      <c r="AU255" s="475">
        <v>0.372</v>
      </c>
      <c r="AV255" s="475">
        <v>0.59500000000000008</v>
      </c>
      <c r="AW255" s="475">
        <v>0.54083333333333339</v>
      </c>
      <c r="AX255" s="550">
        <v>0.35083333333333327</v>
      </c>
      <c r="AY255" s="546">
        <v>0.55000000000000004</v>
      </c>
      <c r="AZ255" s="475">
        <v>0.52</v>
      </c>
      <c r="BA255" s="475">
        <v>0.41399999999999998</v>
      </c>
      <c r="BB255" s="475">
        <v>0.52461538461538459</v>
      </c>
      <c r="BC255" s="475">
        <v>0.5030769230769232</v>
      </c>
      <c r="BD255" s="510">
        <v>0.37461538461538457</v>
      </c>
    </row>
    <row r="256" spans="2:152" x14ac:dyDescent="0.2">
      <c r="B256" s="543" t="s">
        <v>141</v>
      </c>
      <c r="C256" s="546">
        <f>AVERAGEIFS($K$36:$K$173,$C$36:$C$173,"=2", $B$36:$B$173,"OFICIAL")</f>
        <v>0.48</v>
      </c>
      <c r="D256" s="475">
        <f>AVERAGEIFS($J$36:$J$173,$C$36:$C$173,"=2", $B$36:$B$173,"OFICIAL")</f>
        <v>0.54500000000000004</v>
      </c>
      <c r="E256" s="475">
        <f>AVERAGEIFS($L$36:$L$173,$C$36:$C$173,"=2", $B$36:$B$173,"OFICIAL")</f>
        <v>0.53</v>
      </c>
      <c r="F256" s="475">
        <f>AVERAGEIFS($K$36:$K$173,$C$36:$C$173,"=2", $B$36:$B$173,"NO OFICIAL")</f>
        <v>0.44611111111111118</v>
      </c>
      <c r="G256" s="475">
        <f>AVERAGEIFS($J$36:$J$173,$C$36:$C$173,"=2", $B$36:$B$173,"NO OFICIAL")</f>
        <v>0.52722222222222215</v>
      </c>
      <c r="H256" s="510">
        <f>AVERAGEIFS($L$36:$L$173,$C$36:$C$173,"=2", $B$36:$B$173,"NO OFICIAL")</f>
        <v>0.52555555555555555</v>
      </c>
      <c r="I256" s="546">
        <f>AVERAGEIFS($T$36:$T$173,$C$36:$C$173,"=2", $B$36:$B$173,"OFICIAL")</f>
        <v>0.55499999999999994</v>
      </c>
      <c r="J256" s="475">
        <f>AVERAGEIFS($S$36:$S$173,$C$36:$C$173,"=2", $B$36:$B$173,"OFICIAL")</f>
        <v>0.48</v>
      </c>
      <c r="K256" s="475">
        <f>AVERAGEIFS($U$36:$U$173,$C$36:$C$173,"=2", $B$36:$B$173,"OFICIAL")</f>
        <v>0.375</v>
      </c>
      <c r="L256" s="475">
        <f>AVERAGEIFS($T$36:$T$173,$C$36:$C$173,"=2", $B$36:$B$173,"NO OFICIAL")</f>
        <v>0.54176470588235293</v>
      </c>
      <c r="M256" s="475">
        <f>AVERAGEIFS($S$36:$S$173,$C$36:$C$173,"=2", $B$36:$B$173,"NO OFICIAL")</f>
        <v>0.46882352941176475</v>
      </c>
      <c r="N256" s="510">
        <f>AVERAGEIFS($U$36:$U$173,$C$36:$C$173,"=2", $B$36:$B$173,"NO OFICIAL")</f>
        <v>0.36411764705882355</v>
      </c>
      <c r="O256" s="546">
        <f>AVERAGEIFS($AB$36:$AB$173,$C$36:$C$173,"=2", $B$36:$B$173,"OFICIAL")</f>
        <v>0.49</v>
      </c>
      <c r="P256" s="475">
        <f>AVERAGEIFS($AC$36:$AC$173,$C$36:$C$173,"=2", $B$36:$B$173,"OFICIAL")</f>
        <v>0.37</v>
      </c>
      <c r="Q256" s="475">
        <f>AVERAGEIFS($AD$36:$AD$173,$C$36:$C$173,"=2", $B$36:$B$173,"OFICIAL")</f>
        <v>0.51</v>
      </c>
      <c r="R256" s="475">
        <f>AVERAGEIFS($AB$36:$AB$173,$C$36:$C$173,"=2", $B$36:$B$173,"NO OFICIAL")</f>
        <v>0.47000000000000003</v>
      </c>
      <c r="S256" s="475">
        <f>AVERAGEIFS($AC$36:$AC$173,$C$36:$C$173,"=2", $B$36:$B$173,"NO OFICIAL")</f>
        <v>0.37176470588235294</v>
      </c>
      <c r="T256" s="510">
        <f>AVERAGEIFS($AD$36:$AD$173,$C$36:$C$173,"=2", $B$36:$B$173,"NO OFICIAL")</f>
        <v>0.50352941176470589</v>
      </c>
      <c r="U256" s="546">
        <f>AVERAGEIFS($AK$36:$AK$173,$C$36:$C$173,"=2", $B$36:$B$173,"OFICIAL")</f>
        <v>0.53</v>
      </c>
      <c r="V256" s="475">
        <f>AVERAGEIFS($AL$36:$AL$173,$C$36:$C$173,"=2", $B$36:$B$173,"OFICIAL")</f>
        <v>0.47499999999999998</v>
      </c>
      <c r="W256" s="475">
        <f>AVERAGEIFS($AM$36:$AM$173,$C$36:$C$173,"=2", $B$36:$B$173,"OFICIAL")</f>
        <v>0.3</v>
      </c>
      <c r="X256" s="475">
        <f>AVERAGEIFS($AK$36:$AK$173,$C$36:$C$173,"=2", $B$36:$B$173,"NO OFICIAL")</f>
        <v>0.51666666666666672</v>
      </c>
      <c r="Y256" s="475">
        <f>AVERAGEIFS($AL$36:$AL$173,$C$36:$C$173,"=2", $B$36:$B$173,"NO OFICIAL")</f>
        <v>0.45444444444444443</v>
      </c>
      <c r="Z256" s="510">
        <f t="shared" si="108"/>
        <v>0.28071428571428569</v>
      </c>
      <c r="AA256" s="496">
        <f>AVERAGEIFS($AT$36:$AT$173,$C$36:$C$173,"=2", $B$36:$B$173,"OFICIAL")</f>
        <v>0.28500000000000003</v>
      </c>
      <c r="AB256" s="39">
        <f>AVERAGEIFS($AV$36:$AV$173,$C$36:$C$173,"=2", $B$36:$B$173,"OFICIAL")</f>
        <v>0.51</v>
      </c>
      <c r="AC256" s="39">
        <f>AVERAGEIFS($AU$36:$AU$173,$C$36:$C$173,"=2", $B$36:$B$173,"OFICIAL")</f>
        <v>0.51</v>
      </c>
      <c r="AD256" s="39">
        <f>AVERAGEIFS($AT$36:$AT$173,$C$36:$C$173,"=2", $B$36:$B$173,"NO OFICIAL")</f>
        <v>0.27590909090909094</v>
      </c>
      <c r="AE256" s="39">
        <f>AVERAGEIFS($AV$36:$AV$173,$C$36:$C$173,"=2", $B$36:$B$173,"NO OFICIAL")</f>
        <v>0.50818181818181829</v>
      </c>
      <c r="AF256" s="550">
        <f>AVERAGEIFS($AU$36:$AU$173,$C$36:$C$173,"=2", $B$36:$B$173,"NO OFICIAL")</f>
        <v>0.49772727272727263</v>
      </c>
      <c r="AG256" s="546">
        <f>AVERAGEIFS($BE$36:$BE$173,$C$36:$C$173,"=2", $B$36:$B$173,"OFICIAL")</f>
        <v>0.315</v>
      </c>
      <c r="AH256" s="475">
        <f>AVERAGEIFS($BF$36:$BF$173,$C$36:$C$173,"=2", $B$36:$B$173,"OFICIAL")</f>
        <v>0.54</v>
      </c>
      <c r="AI256" s="475">
        <f>AVERAGEIFS($BG$36:$BG$173,$C$36:$C$173,"=2", $B$36:$B$173,"OFICIAL")</f>
        <v>0.5</v>
      </c>
      <c r="AJ256" s="475">
        <f>AVERAGEIFS($BE$36:$BE$173,$C$36:$C$173,"=2", $B$36:$B$173,"NO OFICIAL")</f>
        <v>0.28299999999999997</v>
      </c>
      <c r="AK256" s="475">
        <f>AVERAGEIFS($BF$36:$BF$173,$C$36:$C$173,"=2", $B$36:$B$173,"NO OFICIAL")</f>
        <v>0.49900000000000011</v>
      </c>
      <c r="AL256" s="510">
        <f>AVERAGEIFS($BG$36:$BG$173,$C$36:$C$173,"=2", $B$36:$B$173,"NO OFICIAL")</f>
        <v>0.45949999999999996</v>
      </c>
      <c r="AM256" s="546">
        <v>0.62750000000000006</v>
      </c>
      <c r="AN256" s="475">
        <v>0.57250000000000001</v>
      </c>
      <c r="AO256" s="475">
        <v>0.42</v>
      </c>
      <c r="AP256" s="475">
        <v>0.55095238095238097</v>
      </c>
      <c r="AQ256" s="475">
        <v>0.4690476190476191</v>
      </c>
      <c r="AR256" s="510">
        <v>0.36904761904761907</v>
      </c>
      <c r="AS256" s="546">
        <v>0.63750000000000007</v>
      </c>
      <c r="AT256" s="475">
        <v>0.58750000000000002</v>
      </c>
      <c r="AU256" s="475">
        <v>0.38749999999999996</v>
      </c>
      <c r="AV256" s="475">
        <v>0.59227272727272728</v>
      </c>
      <c r="AW256" s="475">
        <v>0.55045454545454553</v>
      </c>
      <c r="AX256" s="550">
        <v>0.39136363636363636</v>
      </c>
      <c r="AY256" s="546">
        <v>0.53750000000000009</v>
      </c>
      <c r="AZ256" s="475">
        <v>0.51750000000000007</v>
      </c>
      <c r="BA256" s="475">
        <v>0.39749999999999996</v>
      </c>
      <c r="BB256" s="475">
        <v>0.51549999999999996</v>
      </c>
      <c r="BC256" s="475">
        <v>0.48199999999999993</v>
      </c>
      <c r="BD256" s="510">
        <v>0.38850000000000001</v>
      </c>
    </row>
    <row r="257" spans="2:91" x14ac:dyDescent="0.2">
      <c r="B257" s="543" t="s">
        <v>142</v>
      </c>
      <c r="C257" s="546">
        <f>AVERAGEIFS($K$36:$K$173,$C$36:$C$173,"=3", $B$36:$B$173,"OFICIAL")</f>
        <v>0.496</v>
      </c>
      <c r="D257" s="475">
        <f>AVERAGEIFS($J$36:$J$173,$C$36:$C$173,"=3", $B$36:$B$173,"OFICIAL")</f>
        <v>0.53800000000000003</v>
      </c>
      <c r="E257" s="475">
        <f>AVERAGEIFS($L$36:$L$173,$C$36:$C$173,"=3", $B$36:$B$173,"OFICIAL")</f>
        <v>0.56199999999999994</v>
      </c>
      <c r="F257" s="475">
        <f>AVERAGEIFS($K$36:$K$173,$C$36:$C$173,"=3", $B$36:$B$173,"NO OFICIAL")</f>
        <v>0.42692307692307696</v>
      </c>
      <c r="G257" s="475">
        <f>AVERAGEIFS($J$36:$J$173,$C$36:$C$173,"=3", $B$36:$B$173,"NO OFICIAL")</f>
        <v>0.50538461538461532</v>
      </c>
      <c r="H257" s="510">
        <f>AVERAGEIFS($L$36:$L$173,$C$36:$C$173,"=3", $B$36:$B$173,"NO OFICIAL")</f>
        <v>0.50076923076923074</v>
      </c>
      <c r="I257" s="546">
        <f>AVERAGEIFS($T$36:$T$173,$C$36:$C$173,"=3", $B$36:$B$173,"OFICIAL")</f>
        <v>0.58599999999999997</v>
      </c>
      <c r="J257" s="475">
        <f>AVERAGEIFS($S$36:$S$173,$C$36:$C$173,"=3", $B$36:$B$173,"OFICIAL")</f>
        <v>0.49199999999999999</v>
      </c>
      <c r="K257" s="475">
        <f>AVERAGEIFS($U$36:$U$173,$C$36:$C$173,"=3", $B$36:$B$173,"OFICIAL")</f>
        <v>0.38400000000000001</v>
      </c>
      <c r="L257" s="475">
        <f>AVERAGEIFS($T$36:$T$173,$C$36:$C$173,"=3", $B$36:$B$173,"NO OFICIAL")</f>
        <v>0.53230769230769237</v>
      </c>
      <c r="M257" s="475">
        <f>AVERAGEIFS($S$36:$S$173,$C$36:$C$173,"=3", $B$36:$B$173,"NO OFICIAL")</f>
        <v>0.45692307692307688</v>
      </c>
      <c r="N257" s="510">
        <f>AVERAGEIFS($U$36:$U$173,$C$36:$C$173,"=3", $B$36:$B$173,"NO OFICIAL")</f>
        <v>0.32307692307692309</v>
      </c>
      <c r="O257" s="546">
        <f>AVERAGEIFS($AB$36:$AB$173,$C$36:$C$173,"=3", $B$36:$B$173,"OFICIAL")</f>
        <v>0.51</v>
      </c>
      <c r="P257" s="475">
        <f>AVERAGEIFS($AC$36:$AC$173,$C$36:$C$173,"=3", $B$36:$B$173,"OFICIAL")</f>
        <v>0.39200000000000002</v>
      </c>
      <c r="Q257" s="475">
        <f>AVERAGEIFS($AD$36:$AD$173,$C$36:$C$173,"=3", $B$36:$B$173,"OFICIAL")</f>
        <v>0.52800000000000002</v>
      </c>
      <c r="R257" s="475">
        <f>AVERAGEIFS($AB$36:$AB$173,$C$36:$C$173,"=3", $B$36:$B$173,"NO OFICIAL")</f>
        <v>0.45769230769230762</v>
      </c>
      <c r="S257" s="475">
        <f>AVERAGEIFS($AC$36:$AC$173,$C$36:$C$173,"=3", $B$36:$B$173,"NO OFICIAL")</f>
        <v>0.35076923076923072</v>
      </c>
      <c r="T257" s="510">
        <f>AVERAGEIFS($AD$36:$AD$173,$C$36:$C$173,"=3", $B$36:$B$173,"NO OFICIAL")</f>
        <v>0.49076923076923074</v>
      </c>
      <c r="U257" s="546">
        <f>AVERAGEIFS($AK$36:$AK$173,$C$36:$C$173,"=3", $B$36:$B$173,"OFICIAL")</f>
        <v>0.55399999999999994</v>
      </c>
      <c r="V257" s="475">
        <f>AVERAGEIFS($AL$36:$AL$173,$C$36:$C$173,"=3", $B$36:$B$173,"OFICIAL")</f>
        <v>0.49000000000000005</v>
      </c>
      <c r="W257" s="475">
        <f>AVERAGEIFS($AM$36:$AM$173,$C$36:$C$173,"=3", $B$36:$B$173,"OFICIAL")</f>
        <v>0.314</v>
      </c>
      <c r="X257" s="475">
        <f>AVERAGEIFS($AK$36:$AK$173,$C$36:$C$173,"=3", $B$36:$B$173,"NO OFICIAL")</f>
        <v>0.50615384615384618</v>
      </c>
      <c r="Y257" s="475">
        <f>AVERAGEIFS($AL$36:$AL$173,$C$36:$C$173,"=3", $B$36:$B$173,"NO OFICIAL")</f>
        <v>0.44538461538461543</v>
      </c>
      <c r="Z257" s="510">
        <f t="shared" si="108"/>
        <v>0.28071428571428569</v>
      </c>
      <c r="AA257" s="496">
        <f>AVERAGEIFS($AT$36:$AT$173,$C$36:$C$173,"=3", $B$36:$B$173,"OFICIAL")</f>
        <v>0.28999999999999998</v>
      </c>
      <c r="AB257" s="39">
        <f>AVERAGEIFS($AV$36:$AV$173,$C$36:$C$173,"=3", $B$36:$B$173,"OFICIAL")</f>
        <v>0.51800000000000002</v>
      </c>
      <c r="AC257" s="39">
        <f>AVERAGEIFS($AU$36:$AU$173,$C$36:$C$173,"=3", $B$36:$B$173,"OFICIAL")</f>
        <v>0.51600000000000001</v>
      </c>
      <c r="AD257" s="39">
        <f>AVERAGEIFS($AT$36:$AT$173,$C$36:$C$173,"=3", $B$36:$B$173,"NO OFICIAL")</f>
        <v>0.252</v>
      </c>
      <c r="AE257" s="39">
        <f>AVERAGEIFS($AV$36:$AV$173,$C$36:$C$173,"=3", $B$36:$B$173,"NO OFICIAL")</f>
        <v>0.48800000000000004</v>
      </c>
      <c r="AF257" s="550">
        <f>AVERAGEIFS($AU$36:$AU$173,$C$36:$C$173,"=3", $B$36:$B$173,"NO OFICIAL")</f>
        <v>0.46</v>
      </c>
      <c r="AG257" s="546">
        <f>AVERAGEIFS($BE$36:$BE$173,$C$36:$C$173,"=3", $B$36:$B$173,"OFICIAL")</f>
        <v>0.30000000000000004</v>
      </c>
      <c r="AH257" s="475">
        <f>AVERAGEIFS($BF$36:$BF$173,$C$36:$C$173,"=3", $B$36:$B$173,"OFICIAL")</f>
        <v>0.53600000000000003</v>
      </c>
      <c r="AI257" s="475">
        <f>AVERAGEIFS($BG$36:$BG$173,$C$36:$C$173,"=3", $B$36:$B$173,"OFICIAL")</f>
        <v>0.49800000000000005</v>
      </c>
      <c r="AJ257" s="475">
        <f>AVERAGEIFS($BE$36:$BE$173,$C$36:$C$173,"=3", $B$36:$B$173,"NO OFICIAL")</f>
        <v>0.26599999999999996</v>
      </c>
      <c r="AK257" s="475">
        <f>AVERAGEIFS($BF$36:$BF$173,$C$36:$C$173,"=3", $B$36:$B$173,"NO OFICIAL")</f>
        <v>0.47733333333333333</v>
      </c>
      <c r="AL257" s="510">
        <f>AVERAGEIFS($BG$36:$BG$173,$C$36:$C$173,"=3", $B$36:$B$173,"NO OFICIAL")</f>
        <v>0.43600000000000005</v>
      </c>
      <c r="AM257" s="546">
        <v>0.60499999999999998</v>
      </c>
      <c r="AN257" s="475">
        <v>0.51833333333333331</v>
      </c>
      <c r="AO257" s="475">
        <v>0.39500000000000002</v>
      </c>
      <c r="AP257" s="475">
        <v>0.54187500000000011</v>
      </c>
      <c r="AQ257" s="475">
        <v>0.4812499999999999</v>
      </c>
      <c r="AR257" s="510">
        <v>0.32812500000000006</v>
      </c>
      <c r="AS257" s="546">
        <v>0.6216666666666667</v>
      </c>
      <c r="AT257" s="475">
        <v>0.61333333333333329</v>
      </c>
      <c r="AU257" s="475">
        <v>0.375</v>
      </c>
      <c r="AV257" s="475">
        <v>0.59625000000000006</v>
      </c>
      <c r="AW257" s="475">
        <v>0.54249999999999998</v>
      </c>
      <c r="AX257" s="550">
        <v>0.32687499999999997</v>
      </c>
      <c r="AY257" s="546">
        <v>0.56666666666666676</v>
      </c>
      <c r="AZ257" s="475">
        <v>0.5033333333333333</v>
      </c>
      <c r="BA257" s="475">
        <v>0.41</v>
      </c>
      <c r="BB257" s="475">
        <v>0.52812500000000007</v>
      </c>
      <c r="BC257" s="475">
        <v>0.479375</v>
      </c>
      <c r="BD257" s="510">
        <v>0.38187499999999996</v>
      </c>
    </row>
    <row r="258" spans="2:91" x14ac:dyDescent="0.2">
      <c r="B258" s="543" t="s">
        <v>143</v>
      </c>
      <c r="C258" s="546">
        <f>AVERAGEIFS($K$36:$K$173,$C$36:$C$173,"=4", $B$36:$B$173,"OFICIAL")</f>
        <v>0.5149999999999999</v>
      </c>
      <c r="D258" s="475">
        <f>AVERAGEIFS($J$36:$J$173,$C$36:$C$173,"=4", $B$36:$B$173,"OFICIAL")</f>
        <v>0.59666666666666668</v>
      </c>
      <c r="E258" s="475">
        <f>AVERAGEIFS($L$36:$L$173,$C$36:$C$173,"=4", $B$36:$B$173,"OFICIAL")</f>
        <v>0.60666666666666669</v>
      </c>
      <c r="F258" s="475">
        <f>AVERAGEIFS($K$36:$K$173,$C$36:$C$173,"=4", $B$36:$B$173,"NO OFICIAL")</f>
        <v>0.49625000000000002</v>
      </c>
      <c r="G258" s="475">
        <f>AVERAGEIFS($J$36:$J$173,$C$36:$C$173,"=4", $B$36:$B$173,"NO OFICIAL")</f>
        <v>0.55499999999999994</v>
      </c>
      <c r="H258" s="510">
        <f>AVERAGEIFS($L$36:$L$173,$C$36:$C$173,"=4", $B$36:$B$173,"NO OFICIAL")</f>
        <v>0.59125000000000005</v>
      </c>
      <c r="I258" s="546">
        <f>AVERAGEIFS($T$36:$T$173,$C$36:$C$173,"=4", $B$36:$B$173,"OFICIAL")</f>
        <v>0.61166666666666669</v>
      </c>
      <c r="J258" s="475">
        <f>AVERAGEIFS($S$36:$S$173,$C$36:$C$173,"=4", $B$36:$B$173,"OFICIAL")</f>
        <v>0.52666666666666673</v>
      </c>
      <c r="K258" s="475">
        <f>AVERAGEIFS($U$36:$U$173,$C$36:$C$173,"=4", $B$36:$B$173,"OFICIAL")</f>
        <v>0.43166666666666664</v>
      </c>
      <c r="L258" s="475">
        <f>AVERAGEIFS($T$36:$T$173,$C$36:$C$173,"=4", $B$36:$B$173,"NO OFICIAL")</f>
        <v>0.55500000000000005</v>
      </c>
      <c r="M258" s="475">
        <f>AVERAGEIFS($S$36:$S$173,$C$36:$C$173,"=4", $B$36:$B$173,"NO OFICIAL")</f>
        <v>0.49125000000000002</v>
      </c>
      <c r="N258" s="510">
        <f>AVERAGEIFS($U$36:$U$173,$C$36:$C$173,"=4", $B$36:$B$173,"NO OFICIAL")</f>
        <v>0.34250000000000003</v>
      </c>
      <c r="O258" s="546">
        <f>AVERAGEIFS($AB$36:$AB$173,$C$36:$C$173,"=4", $B$36:$B$173,"OFICIAL")</f>
        <v>0.56166666666666665</v>
      </c>
      <c r="P258" s="475">
        <f>AVERAGEIFS($AC$36:$AC$173,$C$36:$C$173,"=4", $B$36:$B$173,"OFICIAL")</f>
        <v>0.44</v>
      </c>
      <c r="Q258" s="475">
        <f>AVERAGEIFS($AD$36:$AD$173,$C$36:$C$173,"=4", $B$36:$B$173,"OFICIAL")</f>
        <v>0.58333333333333337</v>
      </c>
      <c r="R258" s="475">
        <f>AVERAGEIFS($AB$36:$AB$173,$C$36:$C$173,"=4", $B$36:$B$173,"NO OFICIAL")</f>
        <v>0.46500000000000002</v>
      </c>
      <c r="S258" s="475">
        <f>AVERAGEIFS($AC$36:$AC$173,$C$36:$C$173,"=4", $B$36:$B$173,"NO OFICIAL")</f>
        <v>0.38</v>
      </c>
      <c r="T258" s="510">
        <f>AVERAGEIFS($AD$36:$AD$173,$C$36:$C$173,"=4", $B$36:$B$173,"NO OFICIAL")</f>
        <v>0.50875000000000004</v>
      </c>
      <c r="U258" s="546">
        <f>AVERAGEIFS($AK$36:$AK$173,$C$36:$C$173,"=4", $B$36:$B$173,"OFICIAL")</f>
        <v>0.60666666666666669</v>
      </c>
      <c r="V258" s="475">
        <f>AVERAGEIFS($AL$36:$AL$173,$C$36:$C$173,"=4", $B$36:$B$173,"OFICIAL")</f>
        <v>0.54</v>
      </c>
      <c r="W258" s="475">
        <f>AVERAGEIFS($AM$36:$AM$173,$C$36:$C$173,"=4", $B$36:$B$173,"OFICIAL")</f>
        <v>0.37666666666666665</v>
      </c>
      <c r="X258" s="475">
        <f>AVERAGEIFS($AK$36:$AK$173,$C$36:$C$173,"=4", $B$36:$B$173,"NO OFICIAL")</f>
        <v>0.5485714285714286</v>
      </c>
      <c r="Y258" s="475">
        <f>AVERAGEIFS($AL$36:$AL$173,$C$36:$C$173,"=4", $B$36:$B$173,"NO OFICIAL")</f>
        <v>0.48714285714285716</v>
      </c>
      <c r="Z258" s="510">
        <f t="shared" si="108"/>
        <v>0.28071428571428569</v>
      </c>
      <c r="AA258" s="496">
        <f>AVERAGEIFS($AT$36:$AT$173,$C$36:$C$173,"=4", $B$36:$B$173,"OFICIAL")</f>
        <v>0.35833333333333334</v>
      </c>
      <c r="AB258" s="39">
        <f>AVERAGEIFS($AV$36:$AV$173,$C$36:$C$173,"=4", $B$36:$B$173,"OFICIAL")</f>
        <v>0.57333333333333336</v>
      </c>
      <c r="AC258" s="39">
        <f>AVERAGEIFS($AU$36:$AU$173,$C$36:$C$173,"=4", $B$36:$B$173,"OFICIAL")</f>
        <v>0.57666666666666666</v>
      </c>
      <c r="AD258" s="39">
        <f>AVERAGEIFS($AT$36:$AT$173,$C$36:$C$173,"=4", $B$36:$B$173,"NO OFICIAL")</f>
        <v>0.28285714285714286</v>
      </c>
      <c r="AE258" s="39">
        <f>AVERAGEIFS($AV$36:$AV$173,$C$36:$C$173,"=4", $B$36:$B$173,"NO OFICIAL")</f>
        <v>0.52714285714285714</v>
      </c>
      <c r="AF258" s="550">
        <f>AVERAGEIFS($AU$36:$AU$173,$C$36:$C$173,"=4", $B$36:$B$173,"NO OFICIAL")</f>
        <v>0.55285714285714282</v>
      </c>
      <c r="AG258" s="546">
        <f>AVERAGEIFS($BE$36:$BE$173,$C$36:$C$173,"=4", $B$36:$B$173,"OFICIAL")</f>
        <v>0.36000000000000004</v>
      </c>
      <c r="AH258" s="475">
        <f>AVERAGEIFS($BF$36:$BF$173,$C$36:$C$173,"=4", $B$36:$B$173,"OFICIAL")</f>
        <v>0.57166666666666677</v>
      </c>
      <c r="AI258" s="475">
        <f>AVERAGEIFS($BG$36:$BG$173,$C$36:$C$173,"=4", $B$36:$B$173,"OFICIAL")</f>
        <v>0.53500000000000003</v>
      </c>
      <c r="AJ258" s="475">
        <f>AVERAGEIFS($BE$36:$BE$173,$C$36:$C$173,"=4", $B$36:$B$173,"NO OFICIAL")</f>
        <v>0.35750000000000004</v>
      </c>
      <c r="AK258" s="475">
        <f>AVERAGEIFS($BF$36:$BF$173,$C$36:$C$173,"=4", $B$36:$B$173,"NO OFICIAL")</f>
        <v>0.51999999999999991</v>
      </c>
      <c r="AL258" s="510">
        <f>AVERAGEIFS($BG$36:$BG$173,$C$36:$C$173,"=4", $B$36:$B$173,"NO OFICIAL")</f>
        <v>0.50749999999999995</v>
      </c>
      <c r="AM258" s="546">
        <v>0.65166666666666673</v>
      </c>
      <c r="AN258" s="475">
        <v>0.59</v>
      </c>
      <c r="AO258" s="475">
        <v>0.45500000000000002</v>
      </c>
      <c r="AP258" s="475">
        <v>0.59124999999999994</v>
      </c>
      <c r="AQ258" s="475">
        <v>0.505</v>
      </c>
      <c r="AR258" s="510">
        <v>0.37375000000000003</v>
      </c>
      <c r="AS258" s="546">
        <v>0.65833333333333333</v>
      </c>
      <c r="AT258" s="475">
        <v>0.63</v>
      </c>
      <c r="AU258" s="475">
        <v>0.44</v>
      </c>
      <c r="AV258" s="475">
        <v>0.60333333333333339</v>
      </c>
      <c r="AW258" s="475">
        <v>0.60444444444444445</v>
      </c>
      <c r="AX258" s="550">
        <v>0.40444444444444438</v>
      </c>
      <c r="AY258" s="546">
        <v>0.6333333333333333</v>
      </c>
      <c r="AZ258" s="475">
        <v>0.59499999999999997</v>
      </c>
      <c r="BA258" s="475">
        <v>0.47</v>
      </c>
      <c r="BB258" s="475">
        <v>0.52428571428571435</v>
      </c>
      <c r="BC258" s="475">
        <v>0.47000000000000003</v>
      </c>
      <c r="BD258" s="510">
        <v>0.37142857142857139</v>
      </c>
    </row>
    <row r="259" spans="2:91" x14ac:dyDescent="0.2">
      <c r="B259" s="543" t="s">
        <v>144</v>
      </c>
      <c r="C259" s="546">
        <f>AVERAGEIFS($K$36:$K$173,$C$36:$C$173,"=5", $B$36:$B$173,"OFICIAL")</f>
        <v>0.48333333333333334</v>
      </c>
      <c r="D259" s="475">
        <f>AVERAGEIFS($J$36:$J$173,$C$36:$C$173,"=5", $B$36:$B$173,"OFICIAL")</f>
        <v>0.52</v>
      </c>
      <c r="E259" s="475">
        <f>AVERAGEIFS($L$36:$L$173,$C$36:$C$173,"=5", $B$36:$B$173,"OFICIAL")</f>
        <v>0.54</v>
      </c>
      <c r="F259" s="475">
        <f>AVERAGEIFS($K$36:$K$173,$C$36:$C$173,"=5", $B$36:$B$173,"NO OFICIAL")</f>
        <v>0.43214285714285711</v>
      </c>
      <c r="G259" s="475">
        <f>AVERAGEIFS($J$36:$J$173,$C$36:$C$173,"=5", $B$36:$B$173,"NO OFICIAL")</f>
        <v>0.48714285714285716</v>
      </c>
      <c r="H259" s="510">
        <f>AVERAGEIFS($L$36:$L$173,$C$36:$C$173,"=5", $B$36:$B$173,"NO OFICIAL")</f>
        <v>0.48999999999999994</v>
      </c>
      <c r="I259" s="546">
        <f>AVERAGEIFS($T$36:$T$173,$C$36:$C$173,"=5", $B$36:$B$173,"OFICIAL")</f>
        <v>0.53333333333333333</v>
      </c>
      <c r="J259" s="475">
        <f>AVERAGEIFS($S$36:$S$173,$C$36:$C$173,"=5", $B$36:$B$173,"OFICIAL")</f>
        <v>0.46333333333333332</v>
      </c>
      <c r="K259" s="475">
        <f>AVERAGEIFS($U$36:$U$173,$C$36:$C$173,"=5", $B$36:$B$173,"OFICIAL")</f>
        <v>0.34</v>
      </c>
      <c r="L259" s="475">
        <f>AVERAGEIFS($T$36:$T$173,$C$36:$C$173,"=5", $B$36:$B$173,"NO OFICIAL")</f>
        <v>0.49714285714285716</v>
      </c>
      <c r="M259" s="475">
        <f>AVERAGEIFS($S$36:$S$173,$C$36:$C$173,"=5", $B$36:$B$173,"NO OFICIAL")</f>
        <v>0.43571428571428578</v>
      </c>
      <c r="N259" s="510">
        <f>AVERAGEIFS($U$36:$U$173,$C$36:$C$173,"=5", $B$36:$B$173,"NO OFICIAL")</f>
        <v>0.31428571428571433</v>
      </c>
      <c r="O259" s="546">
        <f>AVERAGEIFS($AB$36:$AB$173,$C$36:$C$173,"=5", $B$36:$B$173,"OFICIAL")</f>
        <v>0.5</v>
      </c>
      <c r="P259" s="475">
        <f>AVERAGEIFS($AC$36:$AC$173,$C$36:$C$173,"=5", $B$36:$B$173,"OFICIAL")</f>
        <v>0.37000000000000005</v>
      </c>
      <c r="Q259" s="475">
        <f>AVERAGEIFS($AD$36:$AD$173,$C$36:$C$173,"=5", $B$36:$B$173,"OFICIAL")</f>
        <v>0.5033333333333333</v>
      </c>
      <c r="R259" s="475">
        <f>AVERAGEIFS($AB$36:$AB$173,$C$36:$C$173,"=5", $B$36:$B$173,"NO OFICIAL")</f>
        <v>0.4271428571428571</v>
      </c>
      <c r="S259" s="475">
        <f>AVERAGEIFS($AC$36:$AC$173,$C$36:$C$173,"=5", $B$36:$B$173,"NO OFICIAL")</f>
        <v>0.34357142857142858</v>
      </c>
      <c r="T259" s="510">
        <f>AVERAGEIFS($AD$36:$AD$173,$C$36:$C$173,"=5", $B$36:$B$173,"NO OFICIAL")</f>
        <v>0.47357142857142859</v>
      </c>
      <c r="U259" s="546">
        <f>AVERAGEIFS($AK$36:$AK$173,$C$36:$C$173,"=5", $B$36:$B$173,"OFICIAL")</f>
        <v>0.51</v>
      </c>
      <c r="V259" s="475">
        <f>AVERAGEIFS($AL$36:$AL$173,$C$36:$C$173,"=5", $B$36:$B$173,"OFICIAL")</f>
        <v>0.45</v>
      </c>
      <c r="W259" s="475">
        <f>AVERAGEIFS($AM$36:$AM$173,$C$36:$C$173,"=5", $B$36:$B$173,"OFICIAL")</f>
        <v>0.27</v>
      </c>
      <c r="X259" s="475">
        <f>AVERAGEIFS($AK$36:$AK$173,$C$36:$C$173,"=5", $B$36:$B$173,"NO OFICIAL")</f>
        <v>0.47666666666666668</v>
      </c>
      <c r="Y259" s="475">
        <f>AVERAGEIFS($AL$36:$AL$173,$C$36:$C$173,"=5", $B$36:$B$173,"NO OFICIAL")</f>
        <v>0.40866666666666668</v>
      </c>
      <c r="Z259" s="510">
        <f t="shared" si="108"/>
        <v>0.28071428571428569</v>
      </c>
      <c r="AA259" s="496">
        <f>AVERAGEIFS($AT$36:$AT$173,$C$36:$C$173,"=5", $B$36:$B$173,"OFICIAL")</f>
        <v>0.25000000000000006</v>
      </c>
      <c r="AB259" s="39">
        <f>AVERAGEIFS($AV$36:$AV$173,$C$36:$C$173,"=5", $B$36:$B$173,"OFICIAL")</f>
        <v>0.47333333333333333</v>
      </c>
      <c r="AC259" s="39">
        <f>AVERAGEIFS($AU$36:$AU$173,$C$36:$C$173,"=5", $B$36:$B$173,"OFICIAL")</f>
        <v>0.46666666666666662</v>
      </c>
      <c r="AD259" s="39">
        <f>AVERAGEIFS($AT$36:$AT$173,$C$36:$C$173,"=5", $B$36:$B$173,"NO OFICIAL")</f>
        <v>0.21933333333333332</v>
      </c>
      <c r="AE259" s="39">
        <f>AVERAGEIFS($AV$36:$AV$173,$C$36:$C$173,"=5", $B$36:$B$173,"NO OFICIAL")</f>
        <v>0.44000000000000006</v>
      </c>
      <c r="AF259" s="550">
        <f>AVERAGEIFS($AU$36:$AU$173,$C$36:$C$173,"=5", $B$36:$B$173,"NO OFICIAL")</f>
        <v>0.45266666666666666</v>
      </c>
      <c r="AG259" s="546">
        <f>AVERAGEIFS($BE$36:$BE$173,$C$36:$C$173,"=5", $B$36:$B$173,"OFICIAL")</f>
        <v>0.27</v>
      </c>
      <c r="AH259" s="475">
        <f>AVERAGEIFS($BF$36:$BF$173,$C$36:$C$173,"=5", $B$36:$B$173,"OFICIAL")</f>
        <v>0.5</v>
      </c>
      <c r="AI259" s="475">
        <f>AVERAGEIFS($BG$36:$BG$173,$C$36:$C$173,"=5", $B$36:$B$173,"OFICIAL")</f>
        <v>0.45333333333333331</v>
      </c>
      <c r="AJ259" s="475">
        <f>AVERAGEIFS($BE$36:$BE$173,$C$36:$C$173,"=5", $B$36:$B$173,"NO OFICIAL")</f>
        <v>0.24000000000000005</v>
      </c>
      <c r="AK259" s="475">
        <f>AVERAGEIFS($BF$36:$BF$173,$C$36:$C$173,"=5", $B$36:$B$173,"NO OFICIAL")</f>
        <v>0.47000000000000003</v>
      </c>
      <c r="AL259" s="510">
        <f>AVERAGEIFS($BG$36:$BG$173,$C$36:$C$173,"=5", $B$36:$B$173,"NO OFICIAL")</f>
        <v>0.42400000000000004</v>
      </c>
      <c r="AM259" s="546">
        <v>0.57499999999999996</v>
      </c>
      <c r="AN259" s="475">
        <v>0.54500000000000004</v>
      </c>
      <c r="AO259" s="475">
        <v>0.39</v>
      </c>
      <c r="AP259" s="475">
        <v>0.52</v>
      </c>
      <c r="AQ259" s="475">
        <v>0.43866666666666665</v>
      </c>
      <c r="AR259" s="510">
        <v>0.31266666666666676</v>
      </c>
      <c r="AS259" s="546">
        <v>0.63</v>
      </c>
      <c r="AT259" s="475">
        <v>0.59499999999999997</v>
      </c>
      <c r="AU259" s="475">
        <v>0.41000000000000003</v>
      </c>
      <c r="AV259" s="475">
        <v>0.56866666666666665</v>
      </c>
      <c r="AW259" s="475">
        <v>0.53</v>
      </c>
      <c r="AX259" s="550">
        <v>0.29199999999999998</v>
      </c>
      <c r="AY259" s="546">
        <v>0.54333333333333333</v>
      </c>
      <c r="AZ259" s="475">
        <v>0.47</v>
      </c>
      <c r="BA259" s="475">
        <v>0.37666666666666671</v>
      </c>
      <c r="BB259" s="475">
        <v>0.52266666666666672</v>
      </c>
      <c r="BC259" s="475">
        <v>0.46800000000000003</v>
      </c>
      <c r="BD259" s="510">
        <v>0.3826666666666666</v>
      </c>
    </row>
    <row r="260" spans="2:91" x14ac:dyDescent="0.2">
      <c r="B260" s="543" t="s">
        <v>145</v>
      </c>
      <c r="C260" s="547">
        <f>AVERAGEIFS($K$36:$K$173,$C$36:$C$173,"=6", $B$36:$B$173,"OFICIAL")</f>
        <v>0.45750000000000002</v>
      </c>
      <c r="D260" s="548">
        <f>AVERAGEIFS($J$36:$J$173,$C$36:$C$173,"=6", $B$36:$B$173,"OFICIAL")</f>
        <v>0.53749999999999998</v>
      </c>
      <c r="E260" s="548">
        <f>AVERAGEIFS($L$36:$L$173,$C$36:$C$173,"=6", $B$36:$B$173,"OFICIAL")</f>
        <v>0.55000000000000004</v>
      </c>
      <c r="F260" s="548">
        <f>AVERAGEIFS($K$36:$K$173,$C$36:$C$173,"=6", $B$36:$B$173,"NO OFICIAL")</f>
        <v>0.43272727272727268</v>
      </c>
      <c r="G260" s="548">
        <f>AVERAGEIFS($J$36:$J$173,$C$36:$C$173,"=6", $B$36:$B$173,"NO OFICIAL")</f>
        <v>0.51727272727272711</v>
      </c>
      <c r="H260" s="549">
        <f>AVERAGEIFS($L$36:$L$173,$C$36:$C$173,"=6", $B$36:$B$173,"NO OFICIAL")</f>
        <v>0.51818181818181808</v>
      </c>
      <c r="I260" s="547">
        <f>AVERAGEIFS($T$36:$T$173,$C$36:$C$173,"=6", $B$36:$B$173,"OFICIAL")</f>
        <v>0.5675</v>
      </c>
      <c r="J260" s="548">
        <f>AVERAGEIFS($S$36:$S$173,$C$36:$C$173,"=6", $B$36:$B$173,"OFICIAL")</f>
        <v>0.495</v>
      </c>
      <c r="K260" s="548">
        <f>AVERAGEIFS($U$36:$U$173,$C$36:$C$173,"=6", $B$36:$B$173,"OFICIAL")</f>
        <v>0.36499999999999999</v>
      </c>
      <c r="L260" s="548">
        <f>AVERAGEIFS($T$36:$T$173,$C$36:$C$173,"=6", $B$36:$B$173,"NO OFICIAL")</f>
        <v>0.55727272727272736</v>
      </c>
      <c r="M260" s="548">
        <f>AVERAGEIFS($S$36:$S$173,$C$36:$C$173,"=6", $B$36:$B$173,"NO OFICIAL")</f>
        <v>0.49000000000000005</v>
      </c>
      <c r="N260" s="549">
        <f>AVERAGEIFS($U$36:$U$173,$C$36:$C$173,"=6", $B$36:$B$173,"NO OFICIAL")</f>
        <v>0.36454545454545451</v>
      </c>
      <c r="O260" s="547">
        <f>AVERAGEIFS($AB$36:$AB$173,$C$36:$C$173,"=6", $B$36:$B$173,"OFICIAL")</f>
        <v>0.51249999999999996</v>
      </c>
      <c r="P260" s="548">
        <f>AVERAGEIFS($AC$36:$AC$173,$C$36:$C$173,"=6", $B$36:$B$173,"OFICIAL")</f>
        <v>0.38750000000000007</v>
      </c>
      <c r="Q260" s="548">
        <f>AVERAGEIFS($AD$36:$AD$173,$C$36:$C$173,"=6", $B$36:$B$173,"OFICIAL")</f>
        <v>0.54249999999999998</v>
      </c>
      <c r="R260" s="548">
        <f>AVERAGEIFS($AB$36:$AB$173,$C$36:$C$173,"=6", $B$36:$B$173,"NO OFICIAL")</f>
        <v>0.49583333333333335</v>
      </c>
      <c r="S260" s="548">
        <f>AVERAGEIFS($AC$36:$AC$173,$C$36:$C$173,"=6", $B$36:$B$173,"NO OFICIAL")</f>
        <v>0.36250000000000004</v>
      </c>
      <c r="T260" s="549">
        <f>AVERAGEIFS($AD$36:$AD$173,$C$36:$C$173,"=6", $B$36:$B$173,"NO OFICIAL")</f>
        <v>0.51083333333333336</v>
      </c>
      <c r="U260" s="547">
        <f>AVERAGEIFS($AK$36:$AK$173,$C$36:$C$173,"=6", $B$36:$B$173,"OFICIAL")</f>
        <v>0.54500000000000004</v>
      </c>
      <c r="V260" s="548">
        <f>AVERAGEIFS($AL$36:$AL$173,$C$36:$C$173,"=6", $B$36:$B$173,"OFICIAL")</f>
        <v>0.47499999999999998</v>
      </c>
      <c r="W260" s="548">
        <f>AVERAGEIFS($AM$36:$AM$173,$C$36:$C$173,"=6", $B$36:$B$173,"OFICIAL")</f>
        <v>0.30499999999999999</v>
      </c>
      <c r="X260" s="548">
        <f>AVERAGEIFS($AK$36:$AK$173,$C$36:$C$173,"=6", $B$36:$B$173,"NO OFICIAL")</f>
        <v>0.51230769230769235</v>
      </c>
      <c r="Y260" s="548">
        <f>AVERAGEIFS($AL$36:$AL$173,$C$36:$C$173,"=6", $B$36:$B$173,"NO OFICIAL")</f>
        <v>0.44692307692307698</v>
      </c>
      <c r="Z260" s="549">
        <f t="shared" si="108"/>
        <v>0.28071428571428569</v>
      </c>
      <c r="AA260" s="496">
        <f>AVERAGEIFS($AT$36:$AT$173,$C$36:$C$173,"=6", $B$36:$B$173,"OFICIAL")</f>
        <v>0.28000000000000003</v>
      </c>
      <c r="AB260" s="39">
        <f>AVERAGEIFS($AV$36:$AV$173,$C$36:$C$173,"=6", $B$36:$B$173,"OFICIAL")</f>
        <v>0.50750000000000006</v>
      </c>
      <c r="AC260" s="39">
        <f>AVERAGEIFS($AU$36:$AU$173,$C$36:$C$173,"=6", $B$36:$B$173,"OFICIAL")</f>
        <v>0.51</v>
      </c>
      <c r="AD260" s="39">
        <f>AVERAGEIFS($AT$36:$AT$173,$C$36:$C$173,"=6", $B$36:$B$173,"NO OFICIAL")</f>
        <v>0.29384615384615381</v>
      </c>
      <c r="AE260" s="39">
        <f>AVERAGEIFS($AV$36:$AV$173,$C$36:$C$173,"=6", $B$36:$B$173,"NO OFICIAL")</f>
        <v>0.50230769230769234</v>
      </c>
      <c r="AF260" s="550">
        <f>AVERAGEIFS($AU$36:$AU$173,$C$36:$C$173,"=6", $B$36:$B$173,"NO OFICIAL")</f>
        <v>0.5130769230769231</v>
      </c>
      <c r="AG260" s="547">
        <f>AVERAGEIFS($BE$36:$BE$173,$C$36:$C$173,"=6", $B$36:$B$173,"OFICIAL")</f>
        <v>0.3175</v>
      </c>
      <c r="AH260" s="548">
        <f>AVERAGEIFS($BF$36:$BF$173,$C$36:$C$173,"=6", $B$36:$B$173,"OFICIAL")</f>
        <v>0.54500000000000004</v>
      </c>
      <c r="AI260" s="548">
        <f>AVERAGEIFS($BG$36:$BG$173,$C$36:$C$173,"=6", $B$36:$B$173,"OFICIAL")</f>
        <v>0.51500000000000001</v>
      </c>
      <c r="AJ260" s="548">
        <f>AVERAGEIFS($BE$36:$BE$173,$C$36:$C$173,"=6", $B$36:$B$173,"NO OFICIAL")</f>
        <v>0.24999999999999997</v>
      </c>
      <c r="AK260" s="548">
        <f>AVERAGEIFS($BF$36:$BF$173,$C$36:$C$173,"=6", $B$36:$B$173,"NO OFICIAL")</f>
        <v>0.51230769230769235</v>
      </c>
      <c r="AL260" s="549">
        <f>AVERAGEIFS($BG$36:$BG$173,$C$36:$C$173,"=6", $B$36:$B$173,"NO OFICIAL")</f>
        <v>0.47769230769230769</v>
      </c>
      <c r="AM260" s="547">
        <v>0.59666666666666668</v>
      </c>
      <c r="AN260" s="548">
        <v>0.51666666666666672</v>
      </c>
      <c r="AO260" s="548">
        <v>0.38666666666666666</v>
      </c>
      <c r="AP260" s="548">
        <v>0.59499999999999997</v>
      </c>
      <c r="AQ260" s="548">
        <v>0.52124999999999999</v>
      </c>
      <c r="AR260" s="549">
        <v>0.390625</v>
      </c>
      <c r="AS260" s="547">
        <v>0.63</v>
      </c>
      <c r="AT260" s="548">
        <v>0.59</v>
      </c>
      <c r="AU260" s="548">
        <v>0.39999999999999997</v>
      </c>
      <c r="AV260" s="548">
        <v>0.60058823529411764</v>
      </c>
      <c r="AW260" s="548">
        <v>0.56470588235294128</v>
      </c>
      <c r="AX260" s="553">
        <v>0.34470588235294114</v>
      </c>
      <c r="AY260" s="547">
        <v>0.59750000000000003</v>
      </c>
      <c r="AZ260" s="548">
        <v>0.54249999999999998</v>
      </c>
      <c r="BA260" s="548">
        <v>0.42999999999999994</v>
      </c>
      <c r="BB260" s="548">
        <v>0.53999999999999992</v>
      </c>
      <c r="BC260" s="548">
        <v>0.49071428571428566</v>
      </c>
      <c r="BD260" s="549">
        <v>0.39714285714285719</v>
      </c>
    </row>
    <row r="269" spans="2:91" x14ac:dyDescent="0.2">
      <c r="AY269" s="85"/>
      <c r="AZ269" s="85"/>
      <c r="BA269" s="85"/>
    </row>
    <row r="270" spans="2:91" x14ac:dyDescent="0.2">
      <c r="AY270" s="85"/>
      <c r="AZ270" s="85"/>
      <c r="BA270" s="85"/>
      <c r="CJ270" s="85"/>
      <c r="CK270" s="85"/>
      <c r="CL270" s="85"/>
      <c r="CM270" s="85"/>
    </row>
    <row r="271" spans="2:91" x14ac:dyDescent="0.2">
      <c r="AY271" s="85"/>
      <c r="AZ271" s="85"/>
      <c r="BA271" s="85"/>
      <c r="CJ271" s="85"/>
      <c r="CK271" s="85"/>
      <c r="CL271" s="85"/>
      <c r="CM271" s="85"/>
    </row>
    <row r="272" spans="2:91" x14ac:dyDescent="0.2">
      <c r="AY272" s="85"/>
      <c r="AZ272" s="85"/>
      <c r="BA272" s="85"/>
      <c r="CJ272" s="85"/>
      <c r="CK272" s="85"/>
      <c r="CL272" s="85"/>
      <c r="CM272" s="85"/>
    </row>
    <row r="273" spans="88:91" x14ac:dyDescent="0.2">
      <c r="CJ273" s="85"/>
      <c r="CK273" s="85"/>
      <c r="CL273" s="85"/>
      <c r="CM273" s="85"/>
    </row>
    <row r="291" spans="57:111" x14ac:dyDescent="0.2">
      <c r="BF291" s="201" t="s">
        <v>794</v>
      </c>
    </row>
    <row r="292" spans="57:111" x14ac:dyDescent="0.2">
      <c r="BF292" s="530" t="s">
        <v>140</v>
      </c>
      <c r="BG292" s="531"/>
      <c r="BH292" s="531"/>
      <c r="BI292" s="531"/>
      <c r="BJ292" s="531"/>
      <c r="BK292" s="531"/>
      <c r="BL292" s="531"/>
      <c r="BM292" s="531"/>
      <c r="BN292" s="532"/>
      <c r="BO292" s="530" t="s">
        <v>141</v>
      </c>
      <c r="BP292" s="531"/>
      <c r="BQ292" s="531"/>
      <c r="BR292" s="531"/>
      <c r="BS292" s="531"/>
      <c r="BT292" s="531"/>
      <c r="BU292" s="531"/>
      <c r="BV292" s="531"/>
      <c r="BW292" s="532"/>
      <c r="BX292" s="530" t="s">
        <v>142</v>
      </c>
      <c r="BY292" s="531"/>
      <c r="BZ292" s="531"/>
      <c r="CA292" s="531"/>
      <c r="CB292" s="531"/>
      <c r="CC292" s="531"/>
      <c r="CD292" s="531"/>
      <c r="CE292" s="531"/>
      <c r="CF292" s="532"/>
      <c r="CG292" s="530" t="s">
        <v>143</v>
      </c>
      <c r="CH292" s="531"/>
      <c r="CI292" s="531"/>
      <c r="CJ292" s="531"/>
      <c r="CK292" s="531"/>
      <c r="CL292" s="531"/>
      <c r="CM292" s="531"/>
      <c r="CN292" s="531"/>
      <c r="CO292" s="532"/>
      <c r="CP292" s="533" t="s">
        <v>144</v>
      </c>
      <c r="CQ292" s="531"/>
      <c r="CR292" s="531"/>
      <c r="CS292" s="531"/>
      <c r="CT292" s="531"/>
      <c r="CU292" s="904"/>
      <c r="CV292" s="951"/>
      <c r="CW292" s="904"/>
      <c r="CX292" s="904"/>
      <c r="CY292" s="952" t="s">
        <v>145</v>
      </c>
      <c r="CZ292" s="904"/>
      <c r="DA292" s="904"/>
      <c r="DB292" s="904"/>
      <c r="DC292" s="904"/>
      <c r="DD292" s="904"/>
      <c r="DE292" s="951"/>
      <c r="DF292" s="924"/>
      <c r="DG292" s="532"/>
    </row>
    <row r="293" spans="57:111" x14ac:dyDescent="0.2">
      <c r="BF293" s="29">
        <v>2016</v>
      </c>
      <c r="BG293" s="29">
        <v>2017</v>
      </c>
      <c r="BH293" s="29">
        <v>2018</v>
      </c>
      <c r="BI293" s="29">
        <v>2019</v>
      </c>
      <c r="BJ293" s="29">
        <v>2020</v>
      </c>
      <c r="BK293" s="29">
        <v>2021</v>
      </c>
      <c r="BL293" s="29">
        <v>2022</v>
      </c>
      <c r="BM293" s="29">
        <v>2023</v>
      </c>
      <c r="BN293" s="29">
        <v>2024</v>
      </c>
      <c r="BO293" s="29">
        <v>2016</v>
      </c>
      <c r="BP293" s="29">
        <v>2017</v>
      </c>
      <c r="BQ293" s="29">
        <v>2018</v>
      </c>
      <c r="BR293" s="29">
        <v>2019</v>
      </c>
      <c r="BS293" s="29">
        <v>2020</v>
      </c>
      <c r="BT293" s="29">
        <v>2021</v>
      </c>
      <c r="BU293" s="29">
        <v>2022</v>
      </c>
      <c r="BV293" s="29">
        <v>2023</v>
      </c>
      <c r="BW293" s="29">
        <v>2024</v>
      </c>
      <c r="BX293" s="29">
        <v>2016</v>
      </c>
      <c r="BY293" s="29">
        <v>2017</v>
      </c>
      <c r="BZ293" s="29">
        <v>2018</v>
      </c>
      <c r="CA293" s="29">
        <v>2019</v>
      </c>
      <c r="CB293" s="29">
        <v>2020</v>
      </c>
      <c r="CC293" s="29">
        <v>2021</v>
      </c>
      <c r="CD293" s="29">
        <v>2022</v>
      </c>
      <c r="CE293" s="29">
        <v>2023</v>
      </c>
      <c r="CF293" s="29">
        <v>2024</v>
      </c>
      <c r="CG293" s="29">
        <v>2016</v>
      </c>
      <c r="CH293" s="29">
        <v>2017</v>
      </c>
      <c r="CI293" s="29">
        <v>2018</v>
      </c>
      <c r="CJ293" s="29">
        <v>2019</v>
      </c>
      <c r="CK293" s="29">
        <v>2020</v>
      </c>
      <c r="CL293" s="29">
        <v>2021</v>
      </c>
      <c r="CM293" s="29">
        <v>2022</v>
      </c>
      <c r="CN293" s="29">
        <v>2023</v>
      </c>
      <c r="CO293" s="29">
        <v>2024</v>
      </c>
      <c r="CP293" s="29">
        <v>2016</v>
      </c>
      <c r="CQ293" s="29">
        <v>2017</v>
      </c>
      <c r="CR293" s="29">
        <v>2018</v>
      </c>
      <c r="CS293" s="29">
        <v>2019</v>
      </c>
      <c r="CT293" s="29">
        <v>2020</v>
      </c>
      <c r="CU293" s="895">
        <v>2021</v>
      </c>
      <c r="CV293" s="895">
        <v>2022</v>
      </c>
      <c r="CW293" s="895">
        <v>2023</v>
      </c>
      <c r="CX293" s="895">
        <v>2024</v>
      </c>
      <c r="CY293" s="536">
        <v>2016</v>
      </c>
      <c r="CZ293" s="895">
        <v>2017</v>
      </c>
      <c r="DA293" s="895">
        <v>2018</v>
      </c>
      <c r="DB293" s="895">
        <v>2019</v>
      </c>
      <c r="DC293" s="895">
        <v>2020</v>
      </c>
      <c r="DD293" s="895">
        <v>2021</v>
      </c>
      <c r="DE293" s="895">
        <v>2022</v>
      </c>
      <c r="DF293" s="925">
        <v>2023</v>
      </c>
      <c r="DG293" s="514">
        <v>2024</v>
      </c>
    </row>
    <row r="294" spans="57:111" x14ac:dyDescent="0.2">
      <c r="BE294" s="537">
        <v>1</v>
      </c>
      <c r="BF294" s="535">
        <v>5.5833333333333339E-2</v>
      </c>
      <c r="BG294" s="535">
        <v>5.0769230769230761E-2</v>
      </c>
      <c r="BH294" s="535">
        <v>4.9230769230769231E-2</v>
      </c>
      <c r="BI294" s="535">
        <v>3.3846153846153845E-2</v>
      </c>
      <c r="BJ294" s="535">
        <v>3.1538461538461543E-2</v>
      </c>
      <c r="BK294" s="535">
        <v>4.3076923076923082E-2</v>
      </c>
      <c r="BL294" s="535">
        <v>0.05</v>
      </c>
      <c r="BM294" s="535">
        <v>0.03</v>
      </c>
      <c r="BN294" s="535">
        <f>AVERAGEIFS(CN$36:CN$173,$C$36:$C$173,"=1", $B$36:$B$173,"NO OFICIAL")</f>
        <v>3.4615384615384617E-2</v>
      </c>
      <c r="BO294" s="535">
        <v>5.4000000000000006E-2</v>
      </c>
      <c r="BP294" s="535">
        <v>5.9374999999999997E-2</v>
      </c>
      <c r="BQ294" s="535">
        <v>3.5625000000000004E-2</v>
      </c>
      <c r="BR294" s="535">
        <v>3.5294117647058823E-2</v>
      </c>
      <c r="BS294" s="535">
        <v>3.2222222222222215E-2</v>
      </c>
      <c r="BT294" s="535">
        <v>6.1176470588235297E-2</v>
      </c>
      <c r="BU294" s="535">
        <v>7.0000000000000007E-2</v>
      </c>
      <c r="BV294" s="535">
        <v>0.06</v>
      </c>
      <c r="BW294" s="535">
        <f>AVERAGEIFS(CN$36:CN$173,$C$36:$C$173,"=2", $B$36:$B$173,"NO OFICIAL")</f>
        <v>3.1E-2</v>
      </c>
      <c r="BX294" s="535">
        <v>3.7999999999999999E-2</v>
      </c>
      <c r="BY294" s="535">
        <v>5.5999999999999994E-2</v>
      </c>
      <c r="BZ294" s="535">
        <v>4.4000000000000004E-2</v>
      </c>
      <c r="CA294" s="535">
        <v>5.5999999999999994E-2</v>
      </c>
      <c r="CB294" s="535">
        <v>4.4000000000000004E-2</v>
      </c>
      <c r="CC294" s="535">
        <v>0.05</v>
      </c>
      <c r="CD294" s="535">
        <v>0.05</v>
      </c>
      <c r="CE294" s="535">
        <v>0.06</v>
      </c>
      <c r="CF294" s="535">
        <f>AVERAGEIFS(CN$36:CN$173,$C$36:$C$173,"=3", $B$36:$B$173,"NO OFICIAL")</f>
        <v>5.6249999999999994E-2</v>
      </c>
      <c r="CG294" s="535">
        <v>0.14000000000000001</v>
      </c>
      <c r="CH294" s="535">
        <v>0.09</v>
      </c>
      <c r="CI294" s="535">
        <v>0.04</v>
      </c>
      <c r="CJ294" s="535">
        <v>0.04</v>
      </c>
      <c r="CK294" s="535">
        <v>0.04</v>
      </c>
      <c r="CL294" s="535">
        <v>0.02</v>
      </c>
      <c r="CM294" s="535">
        <v>0.05</v>
      </c>
      <c r="CN294" s="535">
        <v>0.04</v>
      </c>
      <c r="CO294" s="535">
        <v>0.04</v>
      </c>
      <c r="CP294" s="535">
        <v>0.02</v>
      </c>
      <c r="CQ294" s="535">
        <v>0.03</v>
      </c>
      <c r="CR294" s="535">
        <v>0.02</v>
      </c>
      <c r="CS294" s="535">
        <v>0.01</v>
      </c>
      <c r="CT294" s="535">
        <v>0.02</v>
      </c>
      <c r="CU294" s="535">
        <v>0.02</v>
      </c>
      <c r="CV294" s="535">
        <v>0.02</v>
      </c>
      <c r="CW294" s="535">
        <v>0.02</v>
      </c>
      <c r="CX294" s="535">
        <v>4.0000000000000001E-3</v>
      </c>
      <c r="CY294" s="535">
        <v>0.1</v>
      </c>
      <c r="CZ294" s="535">
        <v>0.09</v>
      </c>
      <c r="DA294" s="535">
        <v>0.03</v>
      </c>
      <c r="DB294" s="535">
        <v>0.04</v>
      </c>
      <c r="DC294" s="535">
        <v>0.03</v>
      </c>
      <c r="DD294" s="535">
        <v>0.03</v>
      </c>
      <c r="DE294" s="535">
        <v>0.08</v>
      </c>
      <c r="DF294" s="926">
        <v>0.04</v>
      </c>
      <c r="DG294" s="535">
        <v>3.2857142857142863E-2</v>
      </c>
    </row>
    <row r="295" spans="57:111" x14ac:dyDescent="0.2">
      <c r="BE295" s="538">
        <v>2</v>
      </c>
      <c r="BF295" s="535">
        <v>0.39666666666666667</v>
      </c>
      <c r="BG295" s="535">
        <v>0.38923076923076927</v>
      </c>
      <c r="BH295" s="535">
        <v>0.38923076923076916</v>
      </c>
      <c r="BI295" s="535">
        <v>0.35461538461538467</v>
      </c>
      <c r="BJ295" s="535">
        <v>0.35923076923076924</v>
      </c>
      <c r="BK295" s="535">
        <v>0.35615384615384621</v>
      </c>
      <c r="BL295" s="535">
        <v>0.34</v>
      </c>
      <c r="BM295" s="535">
        <v>0.35</v>
      </c>
      <c r="BN295" s="535">
        <f>AVERAGEIFS(CO$36:CO$173,$C$36:$C$173,"=1", $B$36:$B$173,"NO OFICIAL")</f>
        <v>0.30384615384615388</v>
      </c>
      <c r="BO295" s="535">
        <v>0.35533333333333333</v>
      </c>
      <c r="BP295" s="535">
        <v>0.33500000000000008</v>
      </c>
      <c r="BQ295" s="535">
        <v>0.33750000000000002</v>
      </c>
      <c r="BR295" s="535">
        <v>0.30941176470588239</v>
      </c>
      <c r="BS295" s="535">
        <v>0.28611111111111115</v>
      </c>
      <c r="BT295" s="535">
        <v>0.35352941176470598</v>
      </c>
      <c r="BU295" s="535">
        <v>0.24</v>
      </c>
      <c r="BV295" s="535">
        <v>0.35</v>
      </c>
      <c r="BW295" s="535">
        <f>AVERAGEIFS(CO$36:CO$173,$C$36:$C$173,"=2", $B$36:$B$173,"NO OFICIAL")</f>
        <v>0.26950000000000002</v>
      </c>
      <c r="BX295" s="535">
        <v>0.46600000000000003</v>
      </c>
      <c r="BY295" s="535">
        <v>0.43599999999999994</v>
      </c>
      <c r="BZ295" s="535">
        <v>0.41799999999999998</v>
      </c>
      <c r="CA295" s="535">
        <v>0.41600000000000004</v>
      </c>
      <c r="CB295" s="535">
        <v>0.372</v>
      </c>
      <c r="CC295" s="535">
        <v>0.44800000000000006</v>
      </c>
      <c r="CD295" s="535">
        <v>0.28000000000000003</v>
      </c>
      <c r="CE295" s="535">
        <v>0.27</v>
      </c>
      <c r="CF295" s="535">
        <f>AVERAGEIFS(CO$36:CO$173,$C$36:$C$173,"=3", $B$36:$B$173,"NO OFICIAL")</f>
        <v>0.28562500000000007</v>
      </c>
      <c r="CG295" s="535">
        <v>0.4</v>
      </c>
      <c r="CH295" s="535">
        <v>0.36</v>
      </c>
      <c r="CI295" s="535">
        <v>0.32</v>
      </c>
      <c r="CJ295" s="535">
        <v>0.43</v>
      </c>
      <c r="CK295" s="535">
        <v>0.48</v>
      </c>
      <c r="CL295" s="535">
        <v>0.32</v>
      </c>
      <c r="CM295" s="535">
        <v>0.36</v>
      </c>
      <c r="CN295" s="535">
        <v>0.41</v>
      </c>
      <c r="CO295" s="535">
        <v>0.3</v>
      </c>
      <c r="CP295" s="535">
        <v>0.28999999999999998</v>
      </c>
      <c r="CQ295" s="535">
        <v>0.27</v>
      </c>
      <c r="CR295" s="535">
        <v>0.31</v>
      </c>
      <c r="CS295" s="535">
        <v>0.27</v>
      </c>
      <c r="CT295" s="535">
        <v>0.24</v>
      </c>
      <c r="CU295" s="535">
        <v>0.32</v>
      </c>
      <c r="CV295" s="535">
        <v>0.22</v>
      </c>
      <c r="CW295" s="535">
        <v>0.26</v>
      </c>
      <c r="CX295" s="535">
        <v>0.316</v>
      </c>
      <c r="CY295" s="535">
        <v>0.31</v>
      </c>
      <c r="CZ295" s="535">
        <v>0.38</v>
      </c>
      <c r="DA295" s="535">
        <v>0.41</v>
      </c>
      <c r="DB295" s="535">
        <v>0.35</v>
      </c>
      <c r="DC295" s="535">
        <v>0.37</v>
      </c>
      <c r="DD295" s="535">
        <v>0.44</v>
      </c>
      <c r="DE295" s="535">
        <v>0.36</v>
      </c>
      <c r="DF295" s="926">
        <v>0.27</v>
      </c>
      <c r="DG295" s="535">
        <v>0.33785714285714291</v>
      </c>
    </row>
    <row r="296" spans="57:111" x14ac:dyDescent="0.2">
      <c r="BE296" s="538">
        <v>3</v>
      </c>
      <c r="BF296" s="535">
        <v>0.53</v>
      </c>
      <c r="BG296" s="535">
        <v>0.53307692307692311</v>
      </c>
      <c r="BH296" s="535">
        <v>0.52615384615384619</v>
      </c>
      <c r="BI296" s="535">
        <v>0.58615384615384625</v>
      </c>
      <c r="BJ296" s="535">
        <v>0.57692307692307687</v>
      </c>
      <c r="BK296" s="535">
        <v>0.57076923076923081</v>
      </c>
      <c r="BL296" s="535">
        <v>0.57999999999999996</v>
      </c>
      <c r="BM296" s="535">
        <v>0.56000000000000005</v>
      </c>
      <c r="BN296" s="535">
        <f>AVERAGEIFS(CP$36:CP$173,$C$36:$C$173,"=1", $B$36:$B$173,"NO OFICIAL")</f>
        <v>0.60615384615384615</v>
      </c>
      <c r="BO296" s="535">
        <v>0.57133333333333336</v>
      </c>
      <c r="BP296" s="535">
        <v>0.55937499999999996</v>
      </c>
      <c r="BQ296" s="535">
        <v>0.61312499999999992</v>
      </c>
      <c r="BR296" s="535">
        <v>0.6164705882352941</v>
      </c>
      <c r="BS296" s="535">
        <v>0.6399999999999999</v>
      </c>
      <c r="BT296" s="535">
        <v>0.55588235294117638</v>
      </c>
      <c r="BU296" s="535">
        <v>0.65</v>
      </c>
      <c r="BV296" s="535">
        <v>0.54</v>
      </c>
      <c r="BW296" s="535">
        <f>AVERAGEIFS(CP$36:CP$173,$C$36:$C$173,"=2", $B$36:$B$173,"NO OFICIAL")</f>
        <v>0.6399999999999999</v>
      </c>
      <c r="BX296" s="535">
        <v>0.48200000000000004</v>
      </c>
      <c r="BY296" s="535">
        <v>0.502</v>
      </c>
      <c r="BZ296" s="535">
        <v>0.53199999999999992</v>
      </c>
      <c r="CA296" s="535">
        <v>0.52000000000000013</v>
      </c>
      <c r="CB296" s="535">
        <v>0.56400000000000006</v>
      </c>
      <c r="CC296" s="535">
        <v>0.48599999999999993</v>
      </c>
      <c r="CD296" s="535">
        <v>0.62</v>
      </c>
      <c r="CE296" s="535">
        <v>0.62</v>
      </c>
      <c r="CF296" s="535">
        <f>AVERAGEIFS(CP$36:CP$173,$C$36:$C$173,"=3", $B$36:$B$173,"NO OFICIAL")</f>
        <v>0.59750000000000003</v>
      </c>
      <c r="CG296" s="535">
        <v>0.46</v>
      </c>
      <c r="CH296" s="535">
        <v>0.54</v>
      </c>
      <c r="CI296" s="535">
        <v>0.63</v>
      </c>
      <c r="CJ296" s="535">
        <v>0.5</v>
      </c>
      <c r="CK296" s="535">
        <v>0.44</v>
      </c>
      <c r="CL296" s="535">
        <v>0.61</v>
      </c>
      <c r="CM296" s="535">
        <v>0.56999999999999995</v>
      </c>
      <c r="CN296" s="535">
        <v>0.53</v>
      </c>
      <c r="CO296" s="535">
        <v>0.6</v>
      </c>
      <c r="CP296" s="535">
        <v>0.66</v>
      </c>
      <c r="CQ296" s="535">
        <v>0.65</v>
      </c>
      <c r="CR296" s="535">
        <v>0.62</v>
      </c>
      <c r="CS296" s="535">
        <v>0.67</v>
      </c>
      <c r="CT296" s="535">
        <v>0.7</v>
      </c>
      <c r="CU296" s="535">
        <v>0.61</v>
      </c>
      <c r="CV296" s="535">
        <v>0.71</v>
      </c>
      <c r="CW296" s="535">
        <v>0.64</v>
      </c>
      <c r="CX296" s="535">
        <v>0.61399999999999999</v>
      </c>
      <c r="CY296" s="535">
        <v>0.57999999999999996</v>
      </c>
      <c r="CZ296" s="535">
        <v>0.51</v>
      </c>
      <c r="DA296" s="535">
        <v>0.55000000000000004</v>
      </c>
      <c r="DB296" s="535">
        <v>0.56999999999999995</v>
      </c>
      <c r="DC296" s="535">
        <v>0.56999999999999995</v>
      </c>
      <c r="DD296" s="535">
        <v>0.49</v>
      </c>
      <c r="DE296" s="535">
        <v>0.51</v>
      </c>
      <c r="DF296" s="926">
        <v>0.65</v>
      </c>
      <c r="DG296" s="535">
        <v>0.56999999999999995</v>
      </c>
    </row>
    <row r="297" spans="57:111" x14ac:dyDescent="0.2">
      <c r="BE297" s="539">
        <v>4</v>
      </c>
      <c r="BF297" s="535">
        <v>7.4999999999999997E-3</v>
      </c>
      <c r="BG297" s="535">
        <v>2.8461538461538465E-2</v>
      </c>
      <c r="BH297" s="535">
        <v>3.692307692307692E-2</v>
      </c>
      <c r="BI297" s="535">
        <v>2.6923076923076925E-2</v>
      </c>
      <c r="BJ297" s="535">
        <v>3.3846153846153845E-2</v>
      </c>
      <c r="BK297" s="535">
        <v>3.0769230769230774E-2</v>
      </c>
      <c r="BL297" s="535">
        <v>0.03</v>
      </c>
      <c r="BM297" s="535">
        <v>0.06</v>
      </c>
      <c r="BN297" s="535">
        <f>AVERAGEIFS(CQ$36:CQ$173,$C$36:$C$173,"=1", $B$36:$B$173,"NO OFICIAL")</f>
        <v>5.692307692307693E-2</v>
      </c>
      <c r="BO297" s="535">
        <v>1.9333333333333334E-2</v>
      </c>
      <c r="BP297" s="535">
        <v>4.4375000000000005E-2</v>
      </c>
      <c r="BQ297" s="535">
        <v>1.6250000000000001E-2</v>
      </c>
      <c r="BR297" s="535">
        <v>4.0000000000000008E-2</v>
      </c>
      <c r="BS297" s="535">
        <v>4.055555555555556E-2</v>
      </c>
      <c r="BT297" s="535">
        <v>3.1176470588235295E-2</v>
      </c>
      <c r="BU297" s="535">
        <v>0.04</v>
      </c>
      <c r="BV297" s="535">
        <v>0.05</v>
      </c>
      <c r="BW297" s="535">
        <f>AVERAGEIFS(CQ$36:CQ$173,$C$36:$C$173,"=2", $B$36:$B$173,"NO OFICIAL")</f>
        <v>6.2000000000000013E-2</v>
      </c>
      <c r="BX297" s="535">
        <v>1.6E-2</v>
      </c>
      <c r="BY297" s="535">
        <v>6.0000000000000001E-3</v>
      </c>
      <c r="BZ297" s="535">
        <v>8.0000000000000002E-3</v>
      </c>
      <c r="CA297" s="535">
        <v>0.01</v>
      </c>
      <c r="CB297" s="535">
        <v>1.9999999999999997E-2</v>
      </c>
      <c r="CC297" s="535">
        <v>1.2E-2</v>
      </c>
      <c r="CD297" s="535">
        <v>0.06</v>
      </c>
      <c r="CE297" s="535">
        <v>0.06</v>
      </c>
      <c r="CF297" s="535">
        <f>AVERAGEIFS(CQ$36:CQ$173,$C$36:$C$173,"=3", $B$36:$B$173,"NO OFICIAL")</f>
        <v>6.1874999999999999E-2</v>
      </c>
      <c r="CG297" s="535">
        <v>0</v>
      </c>
      <c r="CH297" s="535">
        <v>0.01</v>
      </c>
      <c r="CI297" s="535">
        <v>0.01</v>
      </c>
      <c r="CJ297" s="535">
        <v>0.03</v>
      </c>
      <c r="CK297" s="535">
        <v>0.04</v>
      </c>
      <c r="CL297" s="535">
        <v>0.05</v>
      </c>
      <c r="CM297" s="535">
        <v>0.02</v>
      </c>
      <c r="CN297" s="535">
        <v>0.02</v>
      </c>
      <c r="CO297" s="535">
        <v>0.06</v>
      </c>
      <c r="CP297" s="535">
        <v>0.03</v>
      </c>
      <c r="CQ297" s="535">
        <v>0.05</v>
      </c>
      <c r="CR297" s="535">
        <v>0.05</v>
      </c>
      <c r="CS297" s="535">
        <v>0.05</v>
      </c>
      <c r="CT297" s="535">
        <v>0.05</v>
      </c>
      <c r="CU297" s="535">
        <v>0.05</v>
      </c>
      <c r="CV297" s="535">
        <v>0.05</v>
      </c>
      <c r="CW297" s="535">
        <v>0.08</v>
      </c>
      <c r="CX297" s="535">
        <v>6.5333333333333327E-2</v>
      </c>
      <c r="CY297" s="535">
        <v>0.01</v>
      </c>
      <c r="CZ297" s="535">
        <v>0.02</v>
      </c>
      <c r="DA297" s="535">
        <v>0.02</v>
      </c>
      <c r="DB297" s="535">
        <v>0.04</v>
      </c>
      <c r="DC297" s="535">
        <v>0.03</v>
      </c>
      <c r="DD297" s="535">
        <v>0.03</v>
      </c>
      <c r="DE297" s="535">
        <v>0.05</v>
      </c>
      <c r="DF297" s="926">
        <v>0.04</v>
      </c>
      <c r="DG297" s="535">
        <v>0.06</v>
      </c>
    </row>
  </sheetData>
  <sheetProtection algorithmName="SHA-512" hashValue="BSr7xbQJwsq1F6vMnSanzIybPvEPvHSHQIdLy85gOi3CIEBROuoNE0OawNEOfGtMCzvaH0CdQs0LqDBuwKFdaw==" saltValue="hZGA+eSUl2VPeQ2rHBySvQ==" spinCount="100000" sheet="1" objects="1" scenarios="1"/>
  <autoFilter ref="A9:EV173" xr:uid="{409F64FE-403B-419D-9E46-CEA6FEBDE494}"/>
  <sortState ref="A38:AV173">
    <sortCondition ref="A38:A173"/>
  </sortState>
  <mergeCells count="137">
    <mergeCell ref="CU7:DE7"/>
    <mergeCell ref="AR218:AU218"/>
    <mergeCell ref="AI191:AJ191"/>
    <mergeCell ref="T224:U224"/>
    <mergeCell ref="V224:W224"/>
    <mergeCell ref="X224:Y224"/>
    <mergeCell ref="Z224:AA224"/>
    <mergeCell ref="AB224:AC224"/>
    <mergeCell ref="S191:T191"/>
    <mergeCell ref="U190:X190"/>
    <mergeCell ref="U191:V191"/>
    <mergeCell ref="V8:V9"/>
    <mergeCell ref="W8:W9"/>
    <mergeCell ref="AE8:AE9"/>
    <mergeCell ref="V7:AD7"/>
    <mergeCell ref="X8:AA8"/>
    <mergeCell ref="AB8:AD8"/>
    <mergeCell ref="AK8:AM8"/>
    <mergeCell ref="AF218:AI218"/>
    <mergeCell ref="AJ218:AM218"/>
    <mergeCell ref="W191:X191"/>
    <mergeCell ref="BK8:BK9"/>
    <mergeCell ref="AN7:AV7"/>
    <mergeCell ref="AF8:AF9"/>
    <mergeCell ref="D179:D180"/>
    <mergeCell ref="O179:P179"/>
    <mergeCell ref="Y190:AB190"/>
    <mergeCell ref="Y191:Z191"/>
    <mergeCell ref="AA191:AB191"/>
    <mergeCell ref="AN218:AQ218"/>
    <mergeCell ref="D178:P178"/>
    <mergeCell ref="E191:F191"/>
    <mergeCell ref="G191:H191"/>
    <mergeCell ref="E190:H190"/>
    <mergeCell ref="I190:L190"/>
    <mergeCell ref="I191:J191"/>
    <mergeCell ref="K191:L191"/>
    <mergeCell ref="O191:P191"/>
    <mergeCell ref="Q191:R191"/>
    <mergeCell ref="M190:P190"/>
    <mergeCell ref="Q190:T190"/>
    <mergeCell ref="M179:N179"/>
    <mergeCell ref="M191:N191"/>
    <mergeCell ref="S217:AM217"/>
    <mergeCell ref="T218:W218"/>
    <mergeCell ref="X218:AA218"/>
    <mergeCell ref="AB218:AE218"/>
    <mergeCell ref="E179:F179"/>
    <mergeCell ref="A1:N1"/>
    <mergeCell ref="A3:N3"/>
    <mergeCell ref="D7:L7"/>
    <mergeCell ref="D8:D9"/>
    <mergeCell ref="E8:E9"/>
    <mergeCell ref="M8:M9"/>
    <mergeCell ref="N8:N9"/>
    <mergeCell ref="M7:U7"/>
    <mergeCell ref="A7:A9"/>
    <mergeCell ref="B7:B9"/>
    <mergeCell ref="A4:N4"/>
    <mergeCell ref="F8:I8"/>
    <mergeCell ref="J8:L8"/>
    <mergeCell ref="O8:R8"/>
    <mergeCell ref="S8:U8"/>
    <mergeCell ref="C7:C9"/>
    <mergeCell ref="G179:H179"/>
    <mergeCell ref="I179:J179"/>
    <mergeCell ref="K179:L179"/>
    <mergeCell ref="S179:T179"/>
    <mergeCell ref="AC190:AF190"/>
    <mergeCell ref="AC191:AD191"/>
    <mergeCell ref="AE191:AF191"/>
    <mergeCell ref="AG190:AJ190"/>
    <mergeCell ref="AG191:AH191"/>
    <mergeCell ref="Q179:R179"/>
    <mergeCell ref="E201:N201"/>
    <mergeCell ref="R201:AA201"/>
    <mergeCell ref="U179:V179"/>
    <mergeCell ref="AK190:AN190"/>
    <mergeCell ref="AK191:AL191"/>
    <mergeCell ref="AM191:AN191"/>
    <mergeCell ref="CJ7:CT7"/>
    <mergeCell ref="AZ218:BC218"/>
    <mergeCell ref="Y178:AH178"/>
    <mergeCell ref="BY7:CI7"/>
    <mergeCell ref="AW7:BG7"/>
    <mergeCell ref="AW8:AW9"/>
    <mergeCell ref="AY8:AY9"/>
    <mergeCell ref="AX8:AX9"/>
    <mergeCell ref="AZ8:AZ9"/>
    <mergeCell ref="AE7:AM7"/>
    <mergeCell ref="BY8:BY9"/>
    <mergeCell ref="BZ8:BZ9"/>
    <mergeCell ref="CA8:CA9"/>
    <mergeCell ref="CB8:CB9"/>
    <mergeCell ref="BH7:BX7"/>
    <mergeCell ref="BH8:BH9"/>
    <mergeCell ref="BI8:BI9"/>
    <mergeCell ref="BJ8:BJ9"/>
    <mergeCell ref="AN8:AN9"/>
    <mergeCell ref="AO8:AO9"/>
    <mergeCell ref="AG8:AJ8"/>
    <mergeCell ref="AS252:AX252"/>
    <mergeCell ref="AY252:BD252"/>
    <mergeCell ref="AD253:AF253"/>
    <mergeCell ref="AG253:AI253"/>
    <mergeCell ref="AJ253:AL253"/>
    <mergeCell ref="AM253:AO253"/>
    <mergeCell ref="AP253:AR253"/>
    <mergeCell ref="AS253:AU253"/>
    <mergeCell ref="AV253:AX253"/>
    <mergeCell ref="AY253:BA253"/>
    <mergeCell ref="BB253:BD253"/>
    <mergeCell ref="C252:H252"/>
    <mergeCell ref="I252:N252"/>
    <mergeCell ref="O252:T252"/>
    <mergeCell ref="U252:Z252"/>
    <mergeCell ref="AA252:AF252"/>
    <mergeCell ref="AG252:AL252"/>
    <mergeCell ref="AM252:AR252"/>
    <mergeCell ref="C243:E243"/>
    <mergeCell ref="F243:H243"/>
    <mergeCell ref="I243:K243"/>
    <mergeCell ref="L243:N243"/>
    <mergeCell ref="O243:Q243"/>
    <mergeCell ref="R243:T243"/>
    <mergeCell ref="U243:W243"/>
    <mergeCell ref="X243:Z243"/>
    <mergeCell ref="AA243:AC243"/>
    <mergeCell ref="I253:K253"/>
    <mergeCell ref="L253:N253"/>
    <mergeCell ref="F253:H253"/>
    <mergeCell ref="C253:E253"/>
    <mergeCell ref="O253:Q253"/>
    <mergeCell ref="R253:T253"/>
    <mergeCell ref="U253:W253"/>
    <mergeCell ref="X253:Z253"/>
    <mergeCell ref="AA253:AC253"/>
  </mergeCells>
  <phoneticPr fontId="25" type="noConversion"/>
  <conditionalFormatting sqref="A131">
    <cfRule type="duplicateValues" dxfId="56" priority="1"/>
    <cfRule type="duplicateValues" dxfId="55" priority="2"/>
  </conditionalFormatting>
  <conditionalFormatting sqref="A164">
    <cfRule type="duplicateValues" dxfId="54" priority="3"/>
    <cfRule type="duplicateValues" dxfId="53" priority="4"/>
  </conditionalFormatting>
  <pageMargins left="0.75" right="0.75" top="1" bottom="1" header="0.5" footer="0.5"/>
  <pageSetup orientation="portrait" horizontalDpi="300" verticalDpi="300" r:id="rId1"/>
  <headerFooter alignWithMargins="0"/>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8">
    <pageSetUpPr autoPageBreaks="0"/>
  </sheetPr>
  <dimension ref="A1:EE288"/>
  <sheetViews>
    <sheetView zoomScale="90" zoomScaleNormal="90" workbookViewId="0">
      <pane xSplit="1" topLeftCell="DM1" activePane="topRight" state="frozen"/>
      <selection activeCell="K23" sqref="K23"/>
      <selection pane="topRight" activeCell="DW11" sqref="DW11"/>
    </sheetView>
  </sheetViews>
  <sheetFormatPr baseColWidth="10" defaultColWidth="9.140625" defaultRowHeight="12.75" x14ac:dyDescent="0.2"/>
  <cols>
    <col min="1" max="1" width="71.42578125" bestFit="1" customWidth="1"/>
    <col min="2" max="2" width="15.140625" bestFit="1" customWidth="1"/>
    <col min="3" max="3" width="10" customWidth="1"/>
    <col min="4" max="9" width="7.5703125" customWidth="1"/>
    <col min="10" max="15" width="14.28515625" customWidth="1"/>
    <col min="16" max="16" width="12" customWidth="1"/>
    <col min="17" max="21" width="12.5703125" customWidth="1"/>
    <col min="22" max="22" width="13" customWidth="1"/>
    <col min="23" max="23" width="13.140625" customWidth="1"/>
    <col min="24" max="24" width="12.5703125" customWidth="1"/>
    <col min="25" max="25" width="14.85546875" customWidth="1"/>
    <col min="26" max="26" width="14" customWidth="1"/>
    <col min="27" max="27" width="13.7109375" customWidth="1"/>
    <col min="28" max="28" width="10.7109375" customWidth="1"/>
    <col min="29" max="39" width="14" customWidth="1"/>
    <col min="40" max="40" width="10.5703125" customWidth="1"/>
    <col min="41" max="46" width="11.7109375" customWidth="1"/>
    <col min="47" max="47" width="13.5703125" customWidth="1"/>
    <col min="48" max="48" width="14.42578125" customWidth="1"/>
    <col min="49" max="49" width="13.140625" customWidth="1"/>
    <col min="50" max="51" width="13.7109375" customWidth="1"/>
    <col min="52" max="52" width="11" customWidth="1"/>
    <col min="53" max="53" width="12" customWidth="1"/>
    <col min="54" max="54" width="10.42578125" customWidth="1"/>
    <col min="55" max="55" width="12.140625" customWidth="1"/>
    <col min="56" max="56" width="10.42578125" customWidth="1"/>
    <col min="57" max="57" width="11.7109375" customWidth="1"/>
    <col min="58" max="58" width="12.85546875" customWidth="1"/>
    <col min="59" max="59" width="14.140625" customWidth="1"/>
    <col min="60" max="61" width="13.28515625" customWidth="1"/>
    <col min="62" max="62" width="12.85546875" customWidth="1"/>
    <col min="63" max="63" width="13.85546875" customWidth="1"/>
    <col min="64" max="64" width="11.7109375" customWidth="1"/>
    <col min="65" max="65" width="13.28515625" customWidth="1"/>
    <col min="66" max="66" width="12.28515625" customWidth="1"/>
    <col min="67" max="67" width="13.7109375" customWidth="1"/>
    <col min="72" max="72" width="13.7109375" customWidth="1"/>
    <col min="73" max="73" width="14.7109375" customWidth="1"/>
    <col min="74" max="74" width="14.42578125" customWidth="1"/>
    <col min="75" max="75" width="15.28515625" customWidth="1"/>
    <col min="76" max="76" width="14.7109375" customWidth="1"/>
    <col min="77" max="77" width="15.5703125" customWidth="1"/>
    <col min="86" max="86" width="13.7109375" customWidth="1"/>
    <col min="87" max="87" width="14.7109375" customWidth="1"/>
    <col min="88" max="88" width="12.7109375" customWidth="1"/>
    <col min="89" max="90" width="14.7109375" customWidth="1"/>
    <col min="91" max="91" width="15.85546875" customWidth="1"/>
    <col min="100" max="100" width="14.140625" customWidth="1"/>
    <col min="101" max="101" width="16.42578125" customWidth="1"/>
    <col min="102" max="102" width="15" customWidth="1"/>
    <col min="103" max="103" width="15.28515625" customWidth="1"/>
    <col min="104" max="104" width="15.85546875" customWidth="1"/>
    <col min="105" max="105" width="14.7109375" customWidth="1"/>
    <col min="114" max="114" width="16.42578125" customWidth="1"/>
    <col min="115" max="115" width="15.28515625" customWidth="1"/>
    <col min="116" max="116" width="15" customWidth="1"/>
    <col min="117" max="117" width="15.85546875" customWidth="1"/>
    <col min="118" max="118" width="14.7109375" customWidth="1"/>
    <col min="119" max="119" width="14.140625" customWidth="1"/>
    <col min="120" max="133" width="8" style="902" customWidth="1"/>
    <col min="134" max="134" width="43.28515625" style="921" customWidth="1"/>
  </cols>
  <sheetData>
    <row r="1" spans="1:133" x14ac:dyDescent="0.2">
      <c r="A1" s="1057"/>
      <c r="B1" s="1057"/>
      <c r="C1" s="1057"/>
      <c r="D1" s="1057"/>
      <c r="E1" s="1057"/>
      <c r="F1" s="1057"/>
      <c r="G1" s="1057"/>
      <c r="H1" s="1057"/>
      <c r="I1" s="1057"/>
      <c r="J1" s="1057"/>
      <c r="K1" s="1057"/>
      <c r="L1" s="1057"/>
      <c r="M1" s="1057"/>
      <c r="N1" s="1057"/>
      <c r="O1" s="1057"/>
      <c r="P1" s="1057"/>
      <c r="Q1" s="1057"/>
    </row>
    <row r="3" spans="1:133" x14ac:dyDescent="0.2">
      <c r="A3" s="1057"/>
      <c r="B3" s="1057"/>
      <c r="C3" s="1057"/>
      <c r="D3" s="1057"/>
      <c r="E3" s="1057"/>
      <c r="F3" s="1057"/>
      <c r="G3" s="1057"/>
      <c r="H3" s="1057"/>
      <c r="I3" s="1057"/>
      <c r="J3" s="1057"/>
      <c r="K3" s="1057"/>
      <c r="L3" s="1057"/>
      <c r="M3" s="1057"/>
      <c r="N3" s="1057"/>
      <c r="O3" s="1057"/>
      <c r="P3" s="1057"/>
      <c r="Q3" s="1057"/>
    </row>
    <row r="4" spans="1:133" x14ac:dyDescent="0.2">
      <c r="A4" s="1057"/>
      <c r="B4" s="1057"/>
      <c r="C4" s="1057"/>
      <c r="D4" s="1057"/>
      <c r="E4" s="1057"/>
      <c r="F4" s="1057"/>
      <c r="G4" s="1057"/>
      <c r="H4" s="1057"/>
      <c r="I4" s="1057"/>
      <c r="J4" s="1057"/>
      <c r="K4" s="1057"/>
      <c r="L4" s="1057"/>
      <c r="M4" s="1057"/>
      <c r="N4" s="1057"/>
      <c r="O4" s="1057"/>
      <c r="P4" s="1057"/>
      <c r="Q4" s="1057"/>
    </row>
    <row r="6" spans="1:133" x14ac:dyDescent="0.2">
      <c r="A6">
        <v>1</v>
      </c>
      <c r="B6">
        <v>2</v>
      </c>
      <c r="C6">
        <v>3</v>
      </c>
      <c r="D6">
        <v>4</v>
      </c>
      <c r="E6">
        <v>5</v>
      </c>
      <c r="F6">
        <v>6</v>
      </c>
      <c r="G6">
        <v>7</v>
      </c>
      <c r="H6">
        <v>8</v>
      </c>
      <c r="I6">
        <v>9</v>
      </c>
      <c r="J6">
        <v>10</v>
      </c>
      <c r="K6">
        <v>11</v>
      </c>
      <c r="L6">
        <v>12</v>
      </c>
      <c r="M6">
        <v>13</v>
      </c>
      <c r="N6">
        <v>14</v>
      </c>
      <c r="O6">
        <v>15</v>
      </c>
      <c r="P6">
        <v>16</v>
      </c>
      <c r="Q6">
        <v>17</v>
      </c>
      <c r="R6">
        <v>18</v>
      </c>
      <c r="S6">
        <v>19</v>
      </c>
      <c r="T6">
        <v>20</v>
      </c>
      <c r="U6">
        <v>21</v>
      </c>
      <c r="V6">
        <v>22</v>
      </c>
      <c r="W6">
        <v>23</v>
      </c>
      <c r="X6">
        <v>24</v>
      </c>
      <c r="Y6">
        <v>25</v>
      </c>
      <c r="Z6">
        <v>26</v>
      </c>
      <c r="AA6">
        <v>27</v>
      </c>
      <c r="AB6">
        <v>28</v>
      </c>
      <c r="AC6">
        <v>29</v>
      </c>
      <c r="AD6">
        <v>30</v>
      </c>
      <c r="AE6">
        <v>31</v>
      </c>
      <c r="AF6">
        <v>32</v>
      </c>
      <c r="AG6">
        <v>33</v>
      </c>
      <c r="AH6">
        <v>34</v>
      </c>
      <c r="AI6">
        <v>35</v>
      </c>
      <c r="AJ6">
        <v>36</v>
      </c>
      <c r="AK6">
        <v>37</v>
      </c>
      <c r="AL6">
        <v>38</v>
      </c>
      <c r="AM6">
        <v>39</v>
      </c>
      <c r="AN6">
        <v>40</v>
      </c>
      <c r="AO6">
        <v>41</v>
      </c>
      <c r="AP6">
        <v>42</v>
      </c>
      <c r="AQ6">
        <v>43</v>
      </c>
      <c r="AR6">
        <v>44</v>
      </c>
      <c r="AS6">
        <v>45</v>
      </c>
      <c r="AT6">
        <v>46</v>
      </c>
      <c r="AU6">
        <v>47</v>
      </c>
      <c r="AV6">
        <v>48</v>
      </c>
      <c r="AW6">
        <v>49</v>
      </c>
      <c r="AX6">
        <v>50</v>
      </c>
      <c r="AY6">
        <v>51</v>
      </c>
      <c r="AZ6">
        <v>52</v>
      </c>
      <c r="BA6">
        <v>53</v>
      </c>
      <c r="BB6">
        <v>54</v>
      </c>
      <c r="BC6">
        <v>55</v>
      </c>
      <c r="BD6">
        <v>56</v>
      </c>
      <c r="BE6">
        <v>57</v>
      </c>
      <c r="BF6">
        <v>58</v>
      </c>
      <c r="BG6">
        <v>59</v>
      </c>
      <c r="BH6">
        <v>60</v>
      </c>
      <c r="BI6">
        <v>61</v>
      </c>
      <c r="BJ6">
        <v>62</v>
      </c>
      <c r="BK6">
        <v>63</v>
      </c>
      <c r="BL6">
        <v>64</v>
      </c>
      <c r="BM6">
        <v>65</v>
      </c>
      <c r="BN6">
        <v>66</v>
      </c>
      <c r="BO6">
        <v>67</v>
      </c>
      <c r="BP6">
        <v>68</v>
      </c>
      <c r="BQ6">
        <v>69</v>
      </c>
      <c r="BR6">
        <v>70</v>
      </c>
      <c r="BS6">
        <v>71</v>
      </c>
      <c r="BT6">
        <v>72</v>
      </c>
      <c r="BU6">
        <v>73</v>
      </c>
      <c r="BV6">
        <v>74</v>
      </c>
      <c r="BW6">
        <v>75</v>
      </c>
      <c r="BX6">
        <v>76</v>
      </c>
      <c r="BY6">
        <v>77</v>
      </c>
      <c r="BZ6">
        <v>78</v>
      </c>
      <c r="CA6">
        <v>79</v>
      </c>
      <c r="CB6">
        <v>80</v>
      </c>
      <c r="CC6">
        <v>81</v>
      </c>
      <c r="CD6">
        <v>82</v>
      </c>
      <c r="CE6">
        <v>83</v>
      </c>
      <c r="CF6">
        <v>84</v>
      </c>
      <c r="CG6">
        <v>85</v>
      </c>
      <c r="CH6">
        <v>86</v>
      </c>
      <c r="CI6">
        <v>87</v>
      </c>
      <c r="CJ6">
        <v>88</v>
      </c>
      <c r="CK6">
        <v>89</v>
      </c>
      <c r="CL6">
        <v>90</v>
      </c>
      <c r="CM6">
        <v>91</v>
      </c>
      <c r="CN6">
        <v>92</v>
      </c>
      <c r="CO6">
        <v>93</v>
      </c>
      <c r="CP6">
        <v>94</v>
      </c>
      <c r="CQ6">
        <v>95</v>
      </c>
      <c r="CR6">
        <v>96</v>
      </c>
      <c r="CS6">
        <v>97</v>
      </c>
      <c r="CT6">
        <v>98</v>
      </c>
      <c r="CU6">
        <v>99</v>
      </c>
      <c r="CV6">
        <v>100</v>
      </c>
      <c r="CW6">
        <v>101</v>
      </c>
      <c r="CX6">
        <v>102</v>
      </c>
      <c r="CY6">
        <v>103</v>
      </c>
      <c r="CZ6">
        <v>104</v>
      </c>
      <c r="DA6">
        <v>105</v>
      </c>
      <c r="DB6">
        <v>106</v>
      </c>
      <c r="DC6">
        <v>107</v>
      </c>
      <c r="DD6">
        <v>108</v>
      </c>
      <c r="DE6">
        <v>109</v>
      </c>
      <c r="DF6">
        <v>110</v>
      </c>
      <c r="DG6">
        <v>111</v>
      </c>
      <c r="DH6">
        <v>112</v>
      </c>
      <c r="DI6">
        <v>113</v>
      </c>
      <c r="DJ6">
        <v>114</v>
      </c>
      <c r="DK6">
        <v>115</v>
      </c>
      <c r="DL6">
        <v>116</v>
      </c>
      <c r="DM6">
        <v>117</v>
      </c>
      <c r="DN6">
        <v>118</v>
      </c>
      <c r="DO6">
        <v>119</v>
      </c>
      <c r="DP6" s="960">
        <v>120</v>
      </c>
      <c r="DQ6" s="960">
        <v>121</v>
      </c>
      <c r="DR6" s="960">
        <v>122</v>
      </c>
      <c r="DS6" s="960">
        <v>123</v>
      </c>
      <c r="DT6" s="960">
        <v>124</v>
      </c>
      <c r="DU6" s="960">
        <v>125</v>
      </c>
      <c r="DV6" s="960">
        <v>126</v>
      </c>
      <c r="DW6" s="960">
        <v>127</v>
      </c>
      <c r="DX6" s="960">
        <v>128</v>
      </c>
      <c r="DY6" s="960">
        <v>129</v>
      </c>
      <c r="DZ6" s="960">
        <v>130</v>
      </c>
      <c r="EA6" s="960">
        <v>131</v>
      </c>
      <c r="EB6" s="960">
        <v>132</v>
      </c>
      <c r="EC6" s="960">
        <v>133</v>
      </c>
    </row>
    <row r="7" spans="1:133" ht="12.75" customHeight="1" x14ac:dyDescent="0.2">
      <c r="A7" s="1054" t="s">
        <v>5</v>
      </c>
      <c r="B7" s="1054" t="s">
        <v>138</v>
      </c>
      <c r="C7" s="1054" t="s">
        <v>139</v>
      </c>
      <c r="D7" s="1053">
        <v>2016</v>
      </c>
      <c r="E7" s="1054"/>
      <c r="F7" s="1054"/>
      <c r="G7" s="1054"/>
      <c r="H7" s="1054"/>
      <c r="I7" s="1054"/>
      <c r="J7" s="1054"/>
      <c r="K7" s="1054"/>
      <c r="L7" s="1054"/>
      <c r="M7" s="1054"/>
      <c r="N7" s="1054"/>
      <c r="O7" s="1054"/>
      <c r="P7" s="1053">
        <v>2017</v>
      </c>
      <c r="Q7" s="1054"/>
      <c r="R7" s="1054"/>
      <c r="S7" s="1054"/>
      <c r="T7" s="1054"/>
      <c r="U7" s="1054"/>
      <c r="V7" s="1054"/>
      <c r="W7" s="1054"/>
      <c r="X7" s="1054"/>
      <c r="Y7" s="1054"/>
      <c r="Z7" s="1054"/>
      <c r="AA7" s="1054"/>
      <c r="AB7" s="1053">
        <v>2018</v>
      </c>
      <c r="AC7" s="1054"/>
      <c r="AD7" s="1054"/>
      <c r="AE7" s="1054"/>
      <c r="AF7" s="1054"/>
      <c r="AG7" s="1054"/>
      <c r="AH7" s="1054"/>
      <c r="AI7" s="1054"/>
      <c r="AJ7" s="1054"/>
      <c r="AK7" s="1054"/>
      <c r="AL7" s="1054"/>
      <c r="AM7" s="1054"/>
      <c r="AN7" s="1053">
        <v>2019</v>
      </c>
      <c r="AO7" s="1054"/>
      <c r="AP7" s="1054"/>
      <c r="AQ7" s="1054"/>
      <c r="AR7" s="1054"/>
      <c r="AS7" s="1054"/>
      <c r="AT7" s="1054"/>
      <c r="AU7" s="1054"/>
      <c r="AV7" s="1054"/>
      <c r="AW7" s="1054"/>
      <c r="AX7" s="1054"/>
      <c r="AY7" s="1054"/>
      <c r="AZ7" s="1053">
        <v>2020</v>
      </c>
      <c r="BA7" s="1054"/>
      <c r="BB7" s="1054"/>
      <c r="BC7" s="1054"/>
      <c r="BD7" s="1054"/>
      <c r="BE7" s="1054"/>
      <c r="BF7" s="1054"/>
      <c r="BG7" s="1054"/>
      <c r="BH7" s="1054"/>
      <c r="BI7" s="1054"/>
      <c r="BJ7" s="1054"/>
      <c r="BK7" s="1054"/>
      <c r="BL7" s="1053">
        <v>2021</v>
      </c>
      <c r="BM7" s="1054"/>
      <c r="BN7" s="1054"/>
      <c r="BO7" s="1054"/>
      <c r="BP7" s="1054"/>
      <c r="BQ7" s="1054"/>
      <c r="BR7" s="1054"/>
      <c r="BS7" s="1054"/>
      <c r="BT7" s="1054"/>
      <c r="BU7" s="1054"/>
      <c r="BV7" s="1054"/>
      <c r="BW7" s="1054"/>
      <c r="BX7" s="1054"/>
      <c r="BY7" s="1054"/>
      <c r="BZ7" s="1053">
        <v>2022</v>
      </c>
      <c r="CA7" s="1054"/>
      <c r="CB7" s="1054"/>
      <c r="CC7" s="1054"/>
      <c r="CD7" s="1054"/>
      <c r="CE7" s="1054"/>
      <c r="CF7" s="1054"/>
      <c r="CG7" s="1054"/>
      <c r="CH7" s="1054"/>
      <c r="CI7" s="1054"/>
      <c r="CJ7" s="1054"/>
      <c r="CK7" s="1054"/>
      <c r="CL7" s="1054"/>
      <c r="CM7" s="1054"/>
      <c r="CN7" s="1233">
        <v>2023</v>
      </c>
      <c r="CO7" s="1234"/>
      <c r="CP7" s="1234"/>
      <c r="CQ7" s="1234"/>
      <c r="CR7" s="1234"/>
      <c r="CS7" s="1234"/>
      <c r="CT7" s="1234"/>
      <c r="CU7" s="1234"/>
      <c r="CV7" s="1234"/>
      <c r="CW7" s="1234"/>
      <c r="CX7" s="1234"/>
      <c r="CY7" s="1234"/>
      <c r="CZ7" s="1234"/>
      <c r="DA7" s="1234"/>
      <c r="DB7" s="1244">
        <v>2024</v>
      </c>
      <c r="DC7" s="1245"/>
      <c r="DD7" s="1245"/>
      <c r="DE7" s="1245"/>
      <c r="DF7" s="1245"/>
      <c r="DG7" s="1245"/>
      <c r="DH7" s="1245"/>
      <c r="DI7" s="1245"/>
      <c r="DJ7" s="1245"/>
      <c r="DK7" s="1245"/>
      <c r="DL7" s="1245"/>
      <c r="DM7" s="1245"/>
      <c r="DN7" s="1245"/>
      <c r="DO7" s="1245"/>
      <c r="DP7" s="1242">
        <v>2025</v>
      </c>
      <c r="DQ7" s="1243"/>
      <c r="DR7" s="1243"/>
      <c r="DS7" s="1243"/>
      <c r="DT7" s="1243"/>
      <c r="DU7" s="1243"/>
      <c r="DV7" s="1243"/>
      <c r="DW7" s="1243"/>
      <c r="DX7" s="1243"/>
      <c r="DY7" s="1243"/>
      <c r="DZ7" s="1243"/>
      <c r="EA7" s="1243"/>
      <c r="EB7" s="1243"/>
      <c r="EC7" s="1243"/>
    </row>
    <row r="8" spans="1:133" x14ac:dyDescent="0.2">
      <c r="A8" s="1054"/>
      <c r="B8" s="1054"/>
      <c r="C8" s="1054"/>
      <c r="D8" s="1208" t="s">
        <v>120</v>
      </c>
      <c r="E8" s="1207" t="s">
        <v>119</v>
      </c>
      <c r="F8" s="1192" t="s">
        <v>168</v>
      </c>
      <c r="G8" s="1210"/>
      <c r="H8" s="1210"/>
      <c r="I8" s="1210"/>
      <c r="J8" s="1192" t="s">
        <v>169</v>
      </c>
      <c r="K8" s="1210"/>
      <c r="L8" s="1210"/>
      <c r="M8" s="1210"/>
      <c r="N8" s="1210"/>
      <c r="O8" s="1210"/>
      <c r="P8" s="1208" t="s">
        <v>120</v>
      </c>
      <c r="Q8" s="1207" t="s">
        <v>119</v>
      </c>
      <c r="R8" s="1209" t="s">
        <v>168</v>
      </c>
      <c r="S8" s="1210"/>
      <c r="T8" s="1210"/>
      <c r="U8" s="1210"/>
      <c r="V8" s="1209" t="s">
        <v>169</v>
      </c>
      <c r="W8" s="1210"/>
      <c r="X8" s="1210"/>
      <c r="Y8" s="1210"/>
      <c r="Z8" s="1210"/>
      <c r="AA8" s="1210"/>
      <c r="AB8" s="1188" t="s">
        <v>120</v>
      </c>
      <c r="AC8" s="1190" t="s">
        <v>119</v>
      </c>
      <c r="AD8" s="1192" t="s">
        <v>168</v>
      </c>
      <c r="AE8" s="1057"/>
      <c r="AF8" s="1057"/>
      <c r="AG8" s="1057"/>
      <c r="AH8" s="1192" t="s">
        <v>169</v>
      </c>
      <c r="AI8" s="1057"/>
      <c r="AJ8" s="1057"/>
      <c r="AK8" s="1057"/>
      <c r="AL8" s="1057"/>
      <c r="AM8" s="1057"/>
      <c r="AN8" s="1188" t="s">
        <v>120</v>
      </c>
      <c r="AO8" s="1190" t="s">
        <v>119</v>
      </c>
      <c r="AP8" s="1192" t="s">
        <v>168</v>
      </c>
      <c r="AQ8" s="1057"/>
      <c r="AR8" s="1057"/>
      <c r="AS8" s="1057"/>
      <c r="AT8" s="1192" t="s">
        <v>169</v>
      </c>
      <c r="AU8" s="1057"/>
      <c r="AV8" s="1057"/>
      <c r="AW8" s="1057"/>
      <c r="AX8" s="1057"/>
      <c r="AY8" s="1057"/>
      <c r="AZ8" s="1188" t="s">
        <v>120</v>
      </c>
      <c r="BA8" s="1190" t="s">
        <v>119</v>
      </c>
      <c r="BB8" s="51" t="s">
        <v>168</v>
      </c>
      <c r="BC8" s="52"/>
      <c r="BD8" s="52"/>
      <c r="BE8" s="53"/>
      <c r="BF8" s="51" t="s">
        <v>169</v>
      </c>
      <c r="BG8" s="52"/>
      <c r="BH8" s="52"/>
      <c r="BI8" s="52"/>
      <c r="BJ8" s="52"/>
      <c r="BK8" s="53"/>
      <c r="BL8" s="1188" t="s">
        <v>120</v>
      </c>
      <c r="BM8" s="1235" t="s">
        <v>771</v>
      </c>
      <c r="BN8" s="1190" t="s">
        <v>119</v>
      </c>
      <c r="BO8" s="1235" t="s">
        <v>772</v>
      </c>
      <c r="BP8" s="1236" t="s">
        <v>168</v>
      </c>
      <c r="BQ8" s="1237"/>
      <c r="BR8" s="1237"/>
      <c r="BS8" s="1238"/>
      <c r="BT8" s="1239" t="s">
        <v>169</v>
      </c>
      <c r="BU8" s="1240"/>
      <c r="BV8" s="1240"/>
      <c r="BW8" s="1240"/>
      <c r="BX8" s="1240"/>
      <c r="BY8" s="1241"/>
      <c r="BZ8" s="1188" t="s">
        <v>120</v>
      </c>
      <c r="CA8" s="1235" t="s">
        <v>771</v>
      </c>
      <c r="CB8" s="1190" t="s">
        <v>119</v>
      </c>
      <c r="CC8" s="1235" t="s">
        <v>772</v>
      </c>
      <c r="CD8" s="1236" t="s">
        <v>168</v>
      </c>
      <c r="CE8" s="1237"/>
      <c r="CF8" s="1237"/>
      <c r="CG8" s="1238"/>
      <c r="CH8" s="1239" t="s">
        <v>169</v>
      </c>
      <c r="CI8" s="1240"/>
      <c r="CJ8" s="1240"/>
      <c r="CK8" s="1240"/>
      <c r="CL8" s="1240"/>
      <c r="CM8" s="1241"/>
      <c r="CN8" s="1188" t="s">
        <v>120</v>
      </c>
      <c r="CO8" s="1235" t="s">
        <v>771</v>
      </c>
      <c r="CP8" s="1190" t="s">
        <v>119</v>
      </c>
      <c r="CQ8" s="1235" t="s">
        <v>772</v>
      </c>
      <c r="CR8" s="1236" t="s">
        <v>168</v>
      </c>
      <c r="CS8" s="1237"/>
      <c r="CT8" s="1237"/>
      <c r="CU8" s="1238"/>
      <c r="CV8" s="1239" t="s">
        <v>169</v>
      </c>
      <c r="CW8" s="1240"/>
      <c r="CX8" s="1240"/>
      <c r="CY8" s="1240"/>
      <c r="CZ8" s="1240"/>
      <c r="DA8" s="1241"/>
      <c r="DB8" s="1188" t="s">
        <v>120</v>
      </c>
      <c r="DC8" s="1235" t="s">
        <v>771</v>
      </c>
      <c r="DD8" s="1190" t="s">
        <v>119</v>
      </c>
      <c r="DE8" s="1235" t="s">
        <v>772</v>
      </c>
      <c r="DF8" s="1236" t="s">
        <v>168</v>
      </c>
      <c r="DG8" s="1237"/>
      <c r="DH8" s="1237"/>
      <c r="DI8" s="1238"/>
      <c r="DJ8" s="588" t="s">
        <v>169</v>
      </c>
      <c r="DK8" s="588" t="s">
        <v>169</v>
      </c>
      <c r="DL8" s="588" t="s">
        <v>169</v>
      </c>
      <c r="DM8" s="588" t="s">
        <v>169</v>
      </c>
      <c r="DN8" s="588" t="s">
        <v>169</v>
      </c>
      <c r="DO8" s="588" t="s">
        <v>169</v>
      </c>
      <c r="DP8" s="1188" t="s">
        <v>120</v>
      </c>
      <c r="DQ8" s="1235" t="s">
        <v>771</v>
      </c>
      <c r="DR8" s="1190" t="s">
        <v>119</v>
      </c>
      <c r="DS8" s="1235" t="s">
        <v>772</v>
      </c>
      <c r="DT8" s="1236" t="s">
        <v>168</v>
      </c>
      <c r="DU8" s="1237"/>
      <c r="DV8" s="1237"/>
      <c r="DW8" s="1238"/>
      <c r="DX8" s="903" t="s">
        <v>169</v>
      </c>
      <c r="DY8" s="903" t="s">
        <v>169</v>
      </c>
      <c r="DZ8" s="903" t="s">
        <v>169</v>
      </c>
      <c r="EA8" s="903" t="s">
        <v>169</v>
      </c>
      <c r="EB8" s="903" t="s">
        <v>169</v>
      </c>
      <c r="EC8" s="903" t="s">
        <v>169</v>
      </c>
    </row>
    <row r="9" spans="1:133" ht="49.5" customHeight="1" x14ac:dyDescent="0.2">
      <c r="A9" s="1065"/>
      <c r="B9" s="1065"/>
      <c r="C9" s="1065"/>
      <c r="D9" s="1189"/>
      <c r="E9" s="1191"/>
      <c r="F9" s="7" t="s">
        <v>105</v>
      </c>
      <c r="G9" s="7" t="s">
        <v>48</v>
      </c>
      <c r="H9" s="7" t="s">
        <v>88</v>
      </c>
      <c r="I9" s="7" t="s">
        <v>57</v>
      </c>
      <c r="J9" s="7" t="s">
        <v>241</v>
      </c>
      <c r="K9" s="7" t="s">
        <v>246</v>
      </c>
      <c r="L9" s="7" t="s">
        <v>247</v>
      </c>
      <c r="M9" s="7" t="s">
        <v>239</v>
      </c>
      <c r="N9" s="7" t="s">
        <v>235</v>
      </c>
      <c r="O9" s="7" t="s">
        <v>231</v>
      </c>
      <c r="P9" s="1189"/>
      <c r="Q9" s="1191"/>
      <c r="R9" s="16" t="s">
        <v>105</v>
      </c>
      <c r="S9" s="16" t="s">
        <v>48</v>
      </c>
      <c r="T9" s="16" t="s">
        <v>88</v>
      </c>
      <c r="U9" s="16" t="s">
        <v>57</v>
      </c>
      <c r="V9" s="16" t="s">
        <v>241</v>
      </c>
      <c r="W9" s="16" t="s">
        <v>246</v>
      </c>
      <c r="X9" s="16" t="s">
        <v>247</v>
      </c>
      <c r="Y9" s="16" t="s">
        <v>239</v>
      </c>
      <c r="Z9" s="16" t="s">
        <v>235</v>
      </c>
      <c r="AA9" s="16" t="s">
        <v>231</v>
      </c>
      <c r="AB9" s="1189"/>
      <c r="AC9" s="1191"/>
      <c r="AD9" s="7" t="s">
        <v>105</v>
      </c>
      <c r="AE9" s="7" t="s">
        <v>48</v>
      </c>
      <c r="AF9" s="7" t="s">
        <v>88</v>
      </c>
      <c r="AG9" s="7" t="s">
        <v>57</v>
      </c>
      <c r="AH9" s="7" t="s">
        <v>237</v>
      </c>
      <c r="AI9" s="7" t="s">
        <v>246</v>
      </c>
      <c r="AJ9" s="7" t="s">
        <v>240</v>
      </c>
      <c r="AK9" s="7" t="s">
        <v>242</v>
      </c>
      <c r="AL9" s="7" t="s">
        <v>232</v>
      </c>
      <c r="AM9" s="7" t="s">
        <v>248</v>
      </c>
      <c r="AN9" s="1189"/>
      <c r="AO9" s="1191"/>
      <c r="AP9" s="7">
        <v>1</v>
      </c>
      <c r="AQ9" s="7">
        <v>2</v>
      </c>
      <c r="AR9" s="7">
        <v>3</v>
      </c>
      <c r="AS9" s="7">
        <v>4</v>
      </c>
      <c r="AT9" s="7" t="s">
        <v>249</v>
      </c>
      <c r="AU9" s="7" t="s">
        <v>233</v>
      </c>
      <c r="AV9" s="7" t="s">
        <v>236</v>
      </c>
      <c r="AW9" s="7" t="s">
        <v>239</v>
      </c>
      <c r="AX9" s="7" t="s">
        <v>243</v>
      </c>
      <c r="AY9" s="7" t="s">
        <v>245</v>
      </c>
      <c r="AZ9" s="1189"/>
      <c r="BA9" s="1191"/>
      <c r="BB9" s="54" t="s">
        <v>105</v>
      </c>
      <c r="BC9" s="54" t="s">
        <v>48</v>
      </c>
      <c r="BD9" s="54" t="s">
        <v>88</v>
      </c>
      <c r="BE9" s="54" t="s">
        <v>57</v>
      </c>
      <c r="BF9" s="16" t="s">
        <v>234</v>
      </c>
      <c r="BG9" s="16" t="s">
        <v>238</v>
      </c>
      <c r="BH9" s="16" t="s">
        <v>244</v>
      </c>
      <c r="BI9" s="16" t="s">
        <v>250</v>
      </c>
      <c r="BJ9" s="16" t="s">
        <v>235</v>
      </c>
      <c r="BK9" s="16" t="s">
        <v>245</v>
      </c>
      <c r="BL9" s="1189"/>
      <c r="BM9" s="1235" t="s">
        <v>11</v>
      </c>
      <c r="BN9" s="1191"/>
      <c r="BO9" s="1235"/>
      <c r="BP9" s="54" t="s">
        <v>105</v>
      </c>
      <c r="BQ9" s="54" t="s">
        <v>48</v>
      </c>
      <c r="BR9" s="54" t="s">
        <v>88</v>
      </c>
      <c r="BS9" s="54" t="s">
        <v>57</v>
      </c>
      <c r="BT9" s="7" t="s">
        <v>249</v>
      </c>
      <c r="BU9" s="7" t="s">
        <v>767</v>
      </c>
      <c r="BV9" s="7" t="s">
        <v>768</v>
      </c>
      <c r="BW9" s="7" t="s">
        <v>769</v>
      </c>
      <c r="BX9" s="7" t="s">
        <v>770</v>
      </c>
      <c r="BY9" s="7" t="s">
        <v>245</v>
      </c>
      <c r="BZ9" s="1189"/>
      <c r="CA9" s="1235" t="s">
        <v>11</v>
      </c>
      <c r="CB9" s="1191"/>
      <c r="CC9" s="1235"/>
      <c r="CD9" s="54" t="s">
        <v>105</v>
      </c>
      <c r="CE9" s="54" t="s">
        <v>48</v>
      </c>
      <c r="CF9" s="54" t="s">
        <v>88</v>
      </c>
      <c r="CG9" s="54" t="s">
        <v>57</v>
      </c>
      <c r="CH9" s="7" t="s">
        <v>808</v>
      </c>
      <c r="CI9" s="7" t="s">
        <v>246</v>
      </c>
      <c r="CJ9" s="7" t="s">
        <v>244</v>
      </c>
      <c r="CK9" s="7" t="s">
        <v>807</v>
      </c>
      <c r="CL9" s="7" t="s">
        <v>235</v>
      </c>
      <c r="CM9" s="7" t="s">
        <v>248</v>
      </c>
      <c r="CN9" s="1189"/>
      <c r="CO9" s="1235" t="s">
        <v>11</v>
      </c>
      <c r="CP9" s="1191"/>
      <c r="CQ9" s="1235"/>
      <c r="CR9" s="54" t="s">
        <v>105</v>
      </c>
      <c r="CS9" s="54" t="s">
        <v>48</v>
      </c>
      <c r="CT9" s="54" t="s">
        <v>88</v>
      </c>
      <c r="CU9" s="54" t="s">
        <v>57</v>
      </c>
      <c r="CV9" s="7" t="s">
        <v>808</v>
      </c>
      <c r="CW9" s="7" t="s">
        <v>246</v>
      </c>
      <c r="CX9" s="7" t="s">
        <v>244</v>
      </c>
      <c r="CY9" s="7" t="s">
        <v>807</v>
      </c>
      <c r="CZ9" s="7" t="s">
        <v>235</v>
      </c>
      <c r="DA9" s="7" t="s">
        <v>248</v>
      </c>
      <c r="DB9" s="1189"/>
      <c r="DC9" s="1235" t="s">
        <v>11</v>
      </c>
      <c r="DD9" s="1191"/>
      <c r="DE9" s="1235"/>
      <c r="DF9" s="54">
        <v>1</v>
      </c>
      <c r="DG9" s="54">
        <v>2</v>
      </c>
      <c r="DH9" s="54">
        <v>3</v>
      </c>
      <c r="DI9" s="54">
        <v>4</v>
      </c>
      <c r="DJ9" s="472" t="s">
        <v>170</v>
      </c>
      <c r="DK9" s="472" t="s">
        <v>171</v>
      </c>
      <c r="DL9" s="472" t="s">
        <v>172</v>
      </c>
      <c r="DM9" s="472" t="s">
        <v>178</v>
      </c>
      <c r="DN9" s="472" t="s">
        <v>179</v>
      </c>
      <c r="DO9" s="472" t="s">
        <v>180</v>
      </c>
      <c r="DP9" s="1189"/>
      <c r="DQ9" s="1235" t="s">
        <v>11</v>
      </c>
      <c r="DR9" s="1191"/>
      <c r="DS9" s="1235"/>
      <c r="DT9" s="54">
        <v>1</v>
      </c>
      <c r="DU9" s="54">
        <v>2</v>
      </c>
      <c r="DV9" s="54">
        <v>3</v>
      </c>
      <c r="DW9" s="54">
        <v>4</v>
      </c>
      <c r="DX9" s="472" t="s">
        <v>170</v>
      </c>
      <c r="DY9" s="472" t="s">
        <v>171</v>
      </c>
      <c r="DZ9" s="472" t="s">
        <v>172</v>
      </c>
      <c r="EA9" s="472" t="s">
        <v>178</v>
      </c>
      <c r="EB9" s="472" t="s">
        <v>179</v>
      </c>
      <c r="EC9" s="472" t="s">
        <v>180</v>
      </c>
    </row>
    <row r="10" spans="1:133" ht="24.95" customHeight="1" x14ac:dyDescent="0.2">
      <c r="A10" s="3" t="s">
        <v>10</v>
      </c>
      <c r="B10" s="3"/>
      <c r="C10" s="3"/>
      <c r="D10" s="17">
        <v>52</v>
      </c>
      <c r="E10" s="17">
        <v>11</v>
      </c>
      <c r="F10" s="64">
        <v>0.17</v>
      </c>
      <c r="G10" s="64">
        <v>0.47</v>
      </c>
      <c r="H10" s="64">
        <v>0.32</v>
      </c>
      <c r="I10" s="64">
        <v>0.03</v>
      </c>
      <c r="J10" s="64">
        <v>0.55000000000000004</v>
      </c>
      <c r="K10" s="64">
        <v>0.51</v>
      </c>
      <c r="L10" s="64">
        <v>0.57999999999999996</v>
      </c>
      <c r="M10" s="64">
        <v>0.43</v>
      </c>
      <c r="N10" s="64">
        <v>0.44</v>
      </c>
      <c r="O10" s="64">
        <v>0.49</v>
      </c>
      <c r="P10" s="17">
        <v>51</v>
      </c>
      <c r="Q10" s="17">
        <v>11</v>
      </c>
      <c r="R10" s="58">
        <v>0.17</v>
      </c>
      <c r="S10" s="58">
        <v>0.47</v>
      </c>
      <c r="T10" s="58">
        <v>0.32</v>
      </c>
      <c r="U10" s="58">
        <v>0.04</v>
      </c>
      <c r="V10" s="58">
        <v>0.43</v>
      </c>
      <c r="W10" s="58">
        <v>0.48</v>
      </c>
      <c r="X10" s="58">
        <v>0.54</v>
      </c>
      <c r="Y10" s="58">
        <v>0.44</v>
      </c>
      <c r="Z10" s="58">
        <v>0.41</v>
      </c>
      <c r="AA10" s="58">
        <v>0.48</v>
      </c>
      <c r="AB10" s="17">
        <v>49</v>
      </c>
      <c r="AC10" s="17">
        <v>12</v>
      </c>
      <c r="AD10" s="37">
        <v>0.25</v>
      </c>
      <c r="AE10" s="37">
        <v>0.43</v>
      </c>
      <c r="AF10" s="37">
        <v>0.28000000000000003</v>
      </c>
      <c r="AG10" s="37">
        <v>0.04</v>
      </c>
      <c r="AH10" s="37">
        <v>0.43</v>
      </c>
      <c r="AI10" s="37">
        <v>0.44</v>
      </c>
      <c r="AJ10" s="37">
        <v>0.42</v>
      </c>
      <c r="AK10" s="37">
        <v>0.5</v>
      </c>
      <c r="AL10" s="37">
        <v>0.53</v>
      </c>
      <c r="AM10" s="37">
        <v>0.52</v>
      </c>
      <c r="AN10" s="17">
        <v>48</v>
      </c>
      <c r="AO10" s="17">
        <v>12</v>
      </c>
      <c r="AP10" s="37">
        <v>0.32</v>
      </c>
      <c r="AQ10" s="37">
        <v>0.41</v>
      </c>
      <c r="AR10" s="37">
        <v>0.24</v>
      </c>
      <c r="AS10" s="37">
        <v>0.03</v>
      </c>
      <c r="AT10" s="37">
        <v>0.55000000000000004</v>
      </c>
      <c r="AU10" s="37">
        <v>0.48</v>
      </c>
      <c r="AV10" s="37">
        <v>0.46</v>
      </c>
      <c r="AW10" s="37">
        <v>0.48</v>
      </c>
      <c r="AX10" s="37">
        <v>0.49</v>
      </c>
      <c r="AY10" s="37">
        <v>0.49</v>
      </c>
      <c r="AZ10" s="48">
        <v>49</v>
      </c>
      <c r="BA10" s="48">
        <v>12</v>
      </c>
      <c r="BB10" s="55">
        <v>0.27</v>
      </c>
      <c r="BC10" s="55">
        <v>0.42</v>
      </c>
      <c r="BD10" s="55">
        <v>0.27</v>
      </c>
      <c r="BE10" s="55">
        <v>0.04</v>
      </c>
      <c r="BF10" s="55">
        <v>0.5</v>
      </c>
      <c r="BG10" s="55">
        <v>0.49</v>
      </c>
      <c r="BH10" s="55">
        <v>0.49</v>
      </c>
      <c r="BI10" s="55">
        <v>0.56000000000000005</v>
      </c>
      <c r="BJ10" s="55">
        <v>0.44</v>
      </c>
      <c r="BK10" s="55">
        <v>0.45</v>
      </c>
      <c r="BL10" s="245">
        <v>48</v>
      </c>
      <c r="BM10" s="245" t="s">
        <v>758</v>
      </c>
      <c r="BN10" s="245">
        <v>12</v>
      </c>
      <c r="BO10" s="245" t="s">
        <v>758</v>
      </c>
      <c r="BP10" s="260">
        <v>0.31</v>
      </c>
      <c r="BQ10" s="260">
        <v>0.42</v>
      </c>
      <c r="BR10" s="260">
        <v>0.24</v>
      </c>
      <c r="BS10" s="260">
        <v>0.03</v>
      </c>
      <c r="BT10" s="260">
        <v>0.46</v>
      </c>
      <c r="BU10" s="260">
        <v>0.51</v>
      </c>
      <c r="BV10" s="260">
        <v>0.57999999999999996</v>
      </c>
      <c r="BW10" s="260">
        <v>0.46</v>
      </c>
      <c r="BX10" s="260">
        <v>0.5</v>
      </c>
      <c r="BY10" s="260">
        <v>0.55000000000000004</v>
      </c>
      <c r="BZ10" s="313">
        <v>48</v>
      </c>
      <c r="CA10" s="313" t="s">
        <v>758</v>
      </c>
      <c r="CB10" s="313">
        <v>12</v>
      </c>
      <c r="CC10" s="313" t="s">
        <v>758</v>
      </c>
      <c r="CD10" s="287">
        <v>0.28999999999999998</v>
      </c>
      <c r="CE10" s="287">
        <v>0.41</v>
      </c>
      <c r="CF10" s="287">
        <v>0.27</v>
      </c>
      <c r="CG10" s="287">
        <v>0.03</v>
      </c>
      <c r="CH10" s="287">
        <v>0.52</v>
      </c>
      <c r="CI10" s="287">
        <v>0.43</v>
      </c>
      <c r="CJ10" s="287">
        <v>0.57999999999999996</v>
      </c>
      <c r="CK10" s="287">
        <v>0.56000000000000005</v>
      </c>
      <c r="CL10" s="287">
        <v>0.45</v>
      </c>
      <c r="CM10" s="287">
        <v>0.57999999999999996</v>
      </c>
      <c r="CN10" s="421">
        <v>49</v>
      </c>
      <c r="CO10" s="421" t="s">
        <v>758</v>
      </c>
      <c r="CP10" s="421">
        <v>12</v>
      </c>
      <c r="CQ10" s="421" t="s">
        <v>758</v>
      </c>
      <c r="CR10" s="425">
        <v>0.27</v>
      </c>
      <c r="CS10" s="425">
        <v>0.42</v>
      </c>
      <c r="CT10" s="425">
        <v>0.27</v>
      </c>
      <c r="CU10" s="425">
        <v>0.04</v>
      </c>
      <c r="CV10" s="425">
        <v>0.39</v>
      </c>
      <c r="CW10" s="425">
        <v>0.55000000000000004</v>
      </c>
      <c r="CX10" s="425">
        <v>0.56999999999999995</v>
      </c>
      <c r="CY10" s="425">
        <v>0.61</v>
      </c>
      <c r="CZ10" s="425">
        <v>0.56000000000000005</v>
      </c>
      <c r="DA10" s="425">
        <v>0.55000000000000004</v>
      </c>
      <c r="DB10" s="421">
        <v>49</v>
      </c>
      <c r="DC10" s="421" t="s">
        <v>758</v>
      </c>
      <c r="DD10" s="421">
        <v>12</v>
      </c>
      <c r="DE10" s="421" t="s">
        <v>758</v>
      </c>
      <c r="DF10" s="425">
        <v>0.27</v>
      </c>
      <c r="DG10" s="425">
        <v>0.41</v>
      </c>
      <c r="DH10" s="425">
        <v>0.28000000000000003</v>
      </c>
      <c r="DI10" s="425">
        <v>0.04</v>
      </c>
      <c r="DJ10" s="425">
        <v>0.51</v>
      </c>
      <c r="DK10" s="425">
        <v>0.5</v>
      </c>
      <c r="DL10" s="425">
        <v>0.51</v>
      </c>
      <c r="DM10" s="425">
        <v>0.62</v>
      </c>
      <c r="DN10" s="425">
        <v>0.53</v>
      </c>
      <c r="DO10" s="425">
        <v>0.41</v>
      </c>
      <c r="DP10" s="953">
        <v>49</v>
      </c>
      <c r="DQ10" s="953" t="s">
        <v>758</v>
      </c>
      <c r="DR10" s="953">
        <v>12</v>
      </c>
      <c r="DS10" s="953" t="s">
        <v>758</v>
      </c>
      <c r="DT10" s="954">
        <v>0.3</v>
      </c>
      <c r="DU10" s="954">
        <v>0.39</v>
      </c>
      <c r="DV10" s="954">
        <v>0.27</v>
      </c>
      <c r="DW10" s="954">
        <v>0.04</v>
      </c>
      <c r="DX10" s="954">
        <v>0.52</v>
      </c>
      <c r="DY10" s="954">
        <v>0.42</v>
      </c>
      <c r="DZ10" s="954">
        <v>0.69</v>
      </c>
      <c r="EA10" s="954">
        <v>0.5</v>
      </c>
      <c r="EB10" s="954">
        <v>0.56999999999999995</v>
      </c>
      <c r="EC10" s="954">
        <v>0.42</v>
      </c>
    </row>
    <row r="11" spans="1:133" ht="24.95" customHeight="1" x14ac:dyDescent="0.2">
      <c r="A11" s="4" t="s">
        <v>0</v>
      </c>
      <c r="B11" s="4"/>
      <c r="C11" s="4"/>
      <c r="D11" s="19">
        <v>52</v>
      </c>
      <c r="E11" s="19">
        <v>9</v>
      </c>
      <c r="F11" s="62">
        <v>0.13</v>
      </c>
      <c r="G11" s="62">
        <v>0.52</v>
      </c>
      <c r="H11" s="62">
        <v>0.33</v>
      </c>
      <c r="I11" s="62">
        <v>0.01</v>
      </c>
      <c r="J11" s="62">
        <v>0.53</v>
      </c>
      <c r="K11" s="62">
        <v>0.49</v>
      </c>
      <c r="L11" s="62">
        <v>0.57999999999999996</v>
      </c>
      <c r="M11" s="62">
        <v>0.41</v>
      </c>
      <c r="N11" s="62">
        <v>0.41</v>
      </c>
      <c r="O11" s="62">
        <v>0.5</v>
      </c>
      <c r="P11" s="19">
        <v>52</v>
      </c>
      <c r="Q11" s="19">
        <v>10</v>
      </c>
      <c r="R11" s="59">
        <v>0.13</v>
      </c>
      <c r="S11" s="59">
        <v>0.51</v>
      </c>
      <c r="T11" s="59">
        <v>0.33</v>
      </c>
      <c r="U11" s="59">
        <v>0.02</v>
      </c>
      <c r="V11" s="59">
        <v>0.41</v>
      </c>
      <c r="W11" s="59">
        <v>0.47</v>
      </c>
      <c r="X11" s="59">
        <v>0.55000000000000004</v>
      </c>
      <c r="Y11" s="59">
        <v>0.44</v>
      </c>
      <c r="Z11" s="59">
        <v>0.42</v>
      </c>
      <c r="AA11" s="59">
        <v>0.49</v>
      </c>
      <c r="AB11" s="19">
        <v>50</v>
      </c>
      <c r="AC11" s="19">
        <v>10</v>
      </c>
      <c r="AD11" s="38">
        <v>0.21</v>
      </c>
      <c r="AE11" s="38">
        <v>0.49</v>
      </c>
      <c r="AF11" s="38">
        <v>0.28999999999999998</v>
      </c>
      <c r="AG11" s="38">
        <v>0.02</v>
      </c>
      <c r="AH11" s="38">
        <v>0.43</v>
      </c>
      <c r="AI11" s="38">
        <v>0.43</v>
      </c>
      <c r="AJ11" s="38">
        <v>0.41</v>
      </c>
      <c r="AK11" s="38">
        <v>0.5</v>
      </c>
      <c r="AL11" s="38">
        <v>0.55000000000000004</v>
      </c>
      <c r="AM11" s="38">
        <v>0.52</v>
      </c>
      <c r="AN11" s="19">
        <v>48</v>
      </c>
      <c r="AO11" s="19">
        <v>11</v>
      </c>
      <c r="AP11" s="38">
        <v>0.26</v>
      </c>
      <c r="AQ11" s="38">
        <v>0.47</v>
      </c>
      <c r="AR11" s="38">
        <v>0.25</v>
      </c>
      <c r="AS11" s="38">
        <v>0.01</v>
      </c>
      <c r="AT11" s="38">
        <v>0.55000000000000004</v>
      </c>
      <c r="AU11" s="38">
        <v>0.48</v>
      </c>
      <c r="AV11" s="38">
        <v>0.46</v>
      </c>
      <c r="AW11" s="38">
        <v>0.47</v>
      </c>
      <c r="AX11" s="38">
        <v>0.48</v>
      </c>
      <c r="AY11" s="38">
        <v>0.48</v>
      </c>
      <c r="AZ11" s="49">
        <v>50</v>
      </c>
      <c r="BA11" s="49">
        <v>11</v>
      </c>
      <c r="BB11" s="56">
        <v>0.19</v>
      </c>
      <c r="BC11" s="56">
        <v>0.47</v>
      </c>
      <c r="BD11" s="56">
        <v>0.31</v>
      </c>
      <c r="BE11" s="56">
        <v>0.02</v>
      </c>
      <c r="BF11" s="56">
        <v>0.48</v>
      </c>
      <c r="BG11" s="56">
        <v>0.47</v>
      </c>
      <c r="BH11" s="56">
        <v>0.46</v>
      </c>
      <c r="BI11" s="56">
        <v>0.54</v>
      </c>
      <c r="BJ11" s="56">
        <v>0.42</v>
      </c>
      <c r="BK11" s="56">
        <v>0.41</v>
      </c>
      <c r="BL11" s="243">
        <v>49</v>
      </c>
      <c r="BM11" s="243" t="s">
        <v>11</v>
      </c>
      <c r="BN11" s="243">
        <v>11</v>
      </c>
      <c r="BO11" s="243" t="s">
        <v>11</v>
      </c>
      <c r="BP11" s="261">
        <v>0.23</v>
      </c>
      <c r="BQ11" s="261">
        <v>0.48</v>
      </c>
      <c r="BR11" s="261">
        <v>0.27</v>
      </c>
      <c r="BS11" s="261">
        <v>0.02</v>
      </c>
      <c r="BT11" s="261">
        <v>0.46</v>
      </c>
      <c r="BU11" s="261">
        <v>0.48</v>
      </c>
      <c r="BV11" s="261">
        <v>0.56000000000000005</v>
      </c>
      <c r="BW11" s="261">
        <v>0.43</v>
      </c>
      <c r="BX11" s="261">
        <v>0.47</v>
      </c>
      <c r="BY11" s="261">
        <v>0.53</v>
      </c>
      <c r="BZ11" s="314">
        <v>50</v>
      </c>
      <c r="CA11" s="314" t="s">
        <v>11</v>
      </c>
      <c r="CB11" s="314">
        <v>11</v>
      </c>
      <c r="CC11" s="314" t="s">
        <v>11</v>
      </c>
      <c r="CD11" s="288">
        <v>0.21</v>
      </c>
      <c r="CE11" s="288">
        <v>0.46</v>
      </c>
      <c r="CF11" s="288">
        <v>0.31</v>
      </c>
      <c r="CG11" s="288">
        <v>0.02</v>
      </c>
      <c r="CH11" s="288">
        <v>0.49</v>
      </c>
      <c r="CI11" s="288">
        <v>0.39</v>
      </c>
      <c r="CJ11" s="288">
        <v>0.56000000000000005</v>
      </c>
      <c r="CK11" s="288">
        <v>0.54</v>
      </c>
      <c r="CL11" s="288">
        <v>0.43</v>
      </c>
      <c r="CM11" s="288">
        <v>0.56999999999999995</v>
      </c>
      <c r="CN11" s="422">
        <v>50</v>
      </c>
      <c r="CO11" s="422" t="s">
        <v>11</v>
      </c>
      <c r="CP11" s="422">
        <v>11</v>
      </c>
      <c r="CQ11" s="422" t="s">
        <v>11</v>
      </c>
      <c r="CR11" s="426">
        <v>0.2</v>
      </c>
      <c r="CS11" s="426">
        <v>0.48</v>
      </c>
      <c r="CT11" s="426">
        <v>0.31</v>
      </c>
      <c r="CU11" s="426">
        <v>0.02</v>
      </c>
      <c r="CV11" s="426">
        <v>0.36</v>
      </c>
      <c r="CW11" s="426">
        <v>0.54</v>
      </c>
      <c r="CX11" s="426">
        <v>0.56000000000000005</v>
      </c>
      <c r="CY11" s="426">
        <v>0.63</v>
      </c>
      <c r="CZ11" s="519">
        <v>0.55000000000000004</v>
      </c>
      <c r="DA11" s="519">
        <v>0.55000000000000004</v>
      </c>
      <c r="DB11" s="520">
        <v>50</v>
      </c>
      <c r="DC11" s="520" t="s">
        <v>11</v>
      </c>
      <c r="DD11" s="520">
        <v>11</v>
      </c>
      <c r="DE11" s="520" t="s">
        <v>11</v>
      </c>
      <c r="DF11" s="519">
        <v>0.2</v>
      </c>
      <c r="DG11" s="519">
        <v>0.46</v>
      </c>
      <c r="DH11" s="519">
        <v>0.31</v>
      </c>
      <c r="DI11" s="519">
        <v>0.03</v>
      </c>
      <c r="DJ11" s="519">
        <v>0.49</v>
      </c>
      <c r="DK11" s="519">
        <v>0.48</v>
      </c>
      <c r="DL11" s="519">
        <v>0.48</v>
      </c>
      <c r="DM11" s="519">
        <v>0.63</v>
      </c>
      <c r="DN11" s="519">
        <v>0.52</v>
      </c>
      <c r="DO11" s="519">
        <v>0.4</v>
      </c>
      <c r="DP11" s="955">
        <v>50</v>
      </c>
      <c r="DQ11" s="955" t="s">
        <v>11</v>
      </c>
      <c r="DR11" s="955">
        <v>11</v>
      </c>
      <c r="DS11" s="955" t="s">
        <v>11</v>
      </c>
      <c r="DT11" s="956">
        <v>0.21</v>
      </c>
      <c r="DU11" s="956">
        <v>0.45</v>
      </c>
      <c r="DV11" s="956">
        <v>0.31</v>
      </c>
      <c r="DW11" s="956">
        <v>0.03</v>
      </c>
      <c r="DX11" s="956">
        <v>0.48</v>
      </c>
      <c r="DY11" s="956">
        <v>0.39</v>
      </c>
      <c r="DZ11" s="956">
        <v>0.69</v>
      </c>
      <c r="EA11" s="956">
        <v>0.47</v>
      </c>
      <c r="EB11" s="956">
        <v>0.56000000000000005</v>
      </c>
      <c r="EC11" s="956">
        <v>0.38</v>
      </c>
    </row>
    <row r="12" spans="1:133" ht="24.95" customHeight="1" x14ac:dyDescent="0.2">
      <c r="A12" s="6" t="s">
        <v>12</v>
      </c>
      <c r="B12" s="6"/>
      <c r="C12" s="6"/>
      <c r="D12" s="21">
        <v>51</v>
      </c>
      <c r="E12" s="21">
        <v>9</v>
      </c>
      <c r="F12" s="65">
        <v>0.16</v>
      </c>
      <c r="G12" s="65">
        <v>0.55000000000000004</v>
      </c>
      <c r="H12" s="65">
        <v>0.28000000000000003</v>
      </c>
      <c r="I12" s="65">
        <v>0.01</v>
      </c>
      <c r="J12" s="39">
        <f t="shared" ref="J12:O12" si="0">AVERAGEIFS(J$36:J$173,$B$36:$B$173,"=oficial")</f>
        <v>0.56159999999999999</v>
      </c>
      <c r="K12" s="39">
        <f t="shared" si="0"/>
        <v>0.51200000000000001</v>
      </c>
      <c r="L12" s="39">
        <f t="shared" si="0"/>
        <v>0.5960000000000002</v>
      </c>
      <c r="M12" s="39">
        <f t="shared" si="0"/>
        <v>0.44279999999999992</v>
      </c>
      <c r="N12" s="39">
        <f t="shared" si="0"/>
        <v>0.44640000000000002</v>
      </c>
      <c r="O12" s="39">
        <f t="shared" si="0"/>
        <v>0.53079999999999994</v>
      </c>
      <c r="P12" s="21">
        <v>50</v>
      </c>
      <c r="Q12" s="21">
        <v>10</v>
      </c>
      <c r="R12" s="60">
        <v>0.16</v>
      </c>
      <c r="S12" s="60">
        <v>0.54</v>
      </c>
      <c r="T12" s="60">
        <v>0.28999999999999998</v>
      </c>
      <c r="U12" s="60">
        <v>0.01</v>
      </c>
      <c r="V12" s="39">
        <f t="shared" ref="V12:AA12" si="1">AVERAGEIFS(V$36:V$173,$B$36:$B$173,"=oficial")</f>
        <v>0.44240000000000002</v>
      </c>
      <c r="W12" s="39">
        <f t="shared" si="1"/>
        <v>0.49920000000000003</v>
      </c>
      <c r="X12" s="39">
        <f t="shared" si="1"/>
        <v>0.56600000000000017</v>
      </c>
      <c r="Y12" s="39">
        <f t="shared" si="1"/>
        <v>0.46920000000000006</v>
      </c>
      <c r="Z12" s="39">
        <f t="shared" si="1"/>
        <v>0.43800000000000006</v>
      </c>
      <c r="AA12" s="39">
        <f t="shared" si="1"/>
        <v>0.51880000000000004</v>
      </c>
      <c r="AB12" s="21">
        <v>48</v>
      </c>
      <c r="AC12" s="21">
        <v>10</v>
      </c>
      <c r="AD12" s="39">
        <v>0.25</v>
      </c>
      <c r="AE12" s="39">
        <v>0.51</v>
      </c>
      <c r="AF12" s="39">
        <v>0.24</v>
      </c>
      <c r="AG12" s="39">
        <v>0.01</v>
      </c>
      <c r="AH12" s="39">
        <f t="shared" ref="AH12:AM12" si="2">AVERAGEIFS(AH$36:AH$173,$B$36:$B$173,"=oficial")</f>
        <v>0.46</v>
      </c>
      <c r="AI12" s="39">
        <f t="shared" si="2"/>
        <v>0.46159999999999995</v>
      </c>
      <c r="AJ12" s="39">
        <f t="shared" si="2"/>
        <v>0.44</v>
      </c>
      <c r="AK12" s="39">
        <f t="shared" si="2"/>
        <v>0.53039999999999987</v>
      </c>
      <c r="AL12" s="39">
        <f t="shared" si="2"/>
        <v>0.57920000000000005</v>
      </c>
      <c r="AM12" s="39">
        <f t="shared" si="2"/>
        <v>0.54719999999999991</v>
      </c>
      <c r="AN12" s="21">
        <v>47</v>
      </c>
      <c r="AO12" s="21">
        <v>11</v>
      </c>
      <c r="AP12" s="39">
        <v>0.31</v>
      </c>
      <c r="AQ12" s="39">
        <v>0.48</v>
      </c>
      <c r="AR12" s="39">
        <v>0.2</v>
      </c>
      <c r="AS12" s="39">
        <v>0.01</v>
      </c>
      <c r="AT12" s="39">
        <f t="shared" ref="AT12:AY12" si="3">AVERAGEIFS(AT$36:AT$173,$B$36:$B$173,"=oficial")</f>
        <v>0.5776</v>
      </c>
      <c r="AU12" s="39">
        <f t="shared" si="3"/>
        <v>0.50240000000000007</v>
      </c>
      <c r="AV12" s="39">
        <f t="shared" si="3"/>
        <v>0.48720000000000013</v>
      </c>
      <c r="AW12" s="39">
        <f t="shared" si="3"/>
        <v>0.50120000000000009</v>
      </c>
      <c r="AX12" s="39">
        <f t="shared" si="3"/>
        <v>0.51480000000000004</v>
      </c>
      <c r="AY12" s="39">
        <f t="shared" si="3"/>
        <v>0.50599999999999989</v>
      </c>
      <c r="AZ12" s="50">
        <v>49</v>
      </c>
      <c r="BA12" s="50">
        <v>10</v>
      </c>
      <c r="BB12" s="57">
        <v>0.22</v>
      </c>
      <c r="BC12" s="57">
        <v>0.5</v>
      </c>
      <c r="BD12" s="57">
        <v>0.26</v>
      </c>
      <c r="BE12" s="57">
        <v>0.01</v>
      </c>
      <c r="BF12" s="39">
        <f t="shared" ref="BF12:BK12" si="4">AVERAGEIFS(BF$36:BF$173,$B$36:$B$173,"=oficial")</f>
        <v>0.51400000000000001</v>
      </c>
      <c r="BG12" s="39">
        <f t="shared" si="4"/>
        <v>0.49400000000000005</v>
      </c>
      <c r="BH12" s="39">
        <f t="shared" si="4"/>
        <v>0.49599999999999994</v>
      </c>
      <c r="BI12" s="39">
        <f t="shared" si="4"/>
        <v>0.57719999999999994</v>
      </c>
      <c r="BJ12" s="39">
        <f t="shared" si="4"/>
        <v>0.44359999999999999</v>
      </c>
      <c r="BK12" s="39">
        <f t="shared" si="4"/>
        <v>0.44160000000000005</v>
      </c>
      <c r="BL12" s="244">
        <v>47</v>
      </c>
      <c r="BM12" s="244" t="s">
        <v>758</v>
      </c>
      <c r="BN12" s="244">
        <v>10</v>
      </c>
      <c r="BO12" s="244" t="s">
        <v>758</v>
      </c>
      <c r="BP12" s="262">
        <v>0.28000000000000003</v>
      </c>
      <c r="BQ12" s="262">
        <v>0.5</v>
      </c>
      <c r="BR12" s="262">
        <v>0.21</v>
      </c>
      <c r="BS12" s="262">
        <v>0.01</v>
      </c>
      <c r="BT12" s="39">
        <f t="shared" ref="BT12:BY12" si="5">AVERAGEIFS(BT$36:BT$173,$B$36:$B$173,"=oficial")</f>
        <v>0.49240000000000012</v>
      </c>
      <c r="BU12" s="39">
        <f t="shared" si="5"/>
        <v>0.52039999999999986</v>
      </c>
      <c r="BV12" s="39">
        <f t="shared" si="5"/>
        <v>0.60280000000000011</v>
      </c>
      <c r="BW12" s="39">
        <f t="shared" si="5"/>
        <v>0.4632</v>
      </c>
      <c r="BX12" s="39">
        <f t="shared" si="5"/>
        <v>0.50519999999999998</v>
      </c>
      <c r="BY12" s="39">
        <f t="shared" si="5"/>
        <v>0.57040000000000002</v>
      </c>
      <c r="BZ12" s="315">
        <v>48</v>
      </c>
      <c r="CA12" s="315" t="s">
        <v>758</v>
      </c>
      <c r="CB12" s="315">
        <v>10</v>
      </c>
      <c r="CC12" s="315" t="s">
        <v>758</v>
      </c>
      <c r="CD12" s="291">
        <v>0.25</v>
      </c>
      <c r="CE12" s="291">
        <v>0.5</v>
      </c>
      <c r="CF12" s="291">
        <v>0.23</v>
      </c>
      <c r="CG12" s="291">
        <v>0.01</v>
      </c>
      <c r="CH12" s="39">
        <f t="shared" ref="CH12:CM12" si="6">AVERAGEIFS(CH$36:CH$173,$B$36:$B$173,"=oficial")</f>
        <v>0.51034482758620681</v>
      </c>
      <c r="CI12" s="39">
        <f t="shared" si="6"/>
        <v>0.43793103448275855</v>
      </c>
      <c r="CJ12" s="39">
        <f t="shared" si="6"/>
        <v>0.59551724137931028</v>
      </c>
      <c r="CK12" s="39">
        <f t="shared" si="6"/>
        <v>0.57172413793103471</v>
      </c>
      <c r="CL12" s="39">
        <f t="shared" si="6"/>
        <v>0.45689655172413796</v>
      </c>
      <c r="CM12" s="39">
        <f t="shared" si="6"/>
        <v>0.59586206896551719</v>
      </c>
      <c r="CN12" s="423">
        <v>48</v>
      </c>
      <c r="CO12" s="423" t="s">
        <v>758</v>
      </c>
      <c r="CP12" s="423">
        <v>10</v>
      </c>
      <c r="CQ12" s="423" t="s">
        <v>758</v>
      </c>
      <c r="CR12" s="427">
        <v>0.24</v>
      </c>
      <c r="CS12" s="427">
        <v>0.51</v>
      </c>
      <c r="CT12" s="427">
        <v>0.24</v>
      </c>
      <c r="CU12" s="427">
        <v>0.01</v>
      </c>
      <c r="CV12" s="423" t="s">
        <v>173</v>
      </c>
      <c r="CW12" s="423" t="s">
        <v>173</v>
      </c>
      <c r="CX12" s="423" t="s">
        <v>173</v>
      </c>
      <c r="CY12" s="423" t="s">
        <v>173</v>
      </c>
      <c r="CZ12" s="521" t="s">
        <v>173</v>
      </c>
      <c r="DA12" s="521" t="s">
        <v>173</v>
      </c>
      <c r="DB12" s="521">
        <v>49</v>
      </c>
      <c r="DC12" s="521" t="s">
        <v>758</v>
      </c>
      <c r="DD12" s="521">
        <v>11</v>
      </c>
      <c r="DE12" s="521" t="s">
        <v>758</v>
      </c>
      <c r="DF12" s="486">
        <v>0.24</v>
      </c>
      <c r="DG12" s="486">
        <v>0.49</v>
      </c>
      <c r="DH12" s="486">
        <v>0.26</v>
      </c>
      <c r="DI12" s="486">
        <v>0.02</v>
      </c>
      <c r="DJ12" s="521" t="s">
        <v>173</v>
      </c>
      <c r="DK12" s="521" t="s">
        <v>173</v>
      </c>
      <c r="DL12" s="521" t="s">
        <v>173</v>
      </c>
      <c r="DM12" s="521" t="s">
        <v>173</v>
      </c>
      <c r="DN12" s="521" t="s">
        <v>173</v>
      </c>
      <c r="DO12" s="521" t="s">
        <v>173</v>
      </c>
      <c r="DP12" s="957">
        <v>48</v>
      </c>
      <c r="DQ12" s="957" t="s">
        <v>758</v>
      </c>
      <c r="DR12" s="957">
        <v>11</v>
      </c>
      <c r="DS12" s="957" t="s">
        <v>758</v>
      </c>
      <c r="DT12" s="958">
        <v>0.25</v>
      </c>
      <c r="DU12" s="958">
        <v>0.47</v>
      </c>
      <c r="DV12" s="958">
        <v>0.26</v>
      </c>
      <c r="DW12" s="958">
        <v>0.02</v>
      </c>
      <c r="DX12" s="958" t="s">
        <v>173</v>
      </c>
      <c r="DY12" s="958" t="s">
        <v>173</v>
      </c>
      <c r="DZ12" s="957" t="s">
        <v>173</v>
      </c>
      <c r="EA12" s="958" t="s">
        <v>173</v>
      </c>
      <c r="EB12" s="957" t="s">
        <v>173</v>
      </c>
      <c r="EC12" s="958" t="s">
        <v>173</v>
      </c>
    </row>
    <row r="13" spans="1:133" ht="24.95" customHeight="1" x14ac:dyDescent="0.2">
      <c r="A13" s="6" t="s">
        <v>13</v>
      </c>
      <c r="B13" s="6"/>
      <c r="C13" s="6"/>
      <c r="D13" s="21">
        <v>50</v>
      </c>
      <c r="E13" s="21">
        <v>9</v>
      </c>
      <c r="F13" s="65">
        <v>0.15</v>
      </c>
      <c r="G13" s="65">
        <v>0.54</v>
      </c>
      <c r="H13" s="65">
        <v>0.32</v>
      </c>
      <c r="I13" s="65">
        <v>0</v>
      </c>
      <c r="J13" s="39">
        <f t="shared" ref="J13:O13" si="7">J100</f>
        <v>0</v>
      </c>
      <c r="K13" s="39">
        <f t="shared" si="7"/>
        <v>0</v>
      </c>
      <c r="L13" s="39">
        <f t="shared" si="7"/>
        <v>0</v>
      </c>
      <c r="M13" s="39">
        <f t="shared" si="7"/>
        <v>0</v>
      </c>
      <c r="N13" s="39">
        <f t="shared" si="7"/>
        <v>0</v>
      </c>
      <c r="O13" s="39">
        <f t="shared" si="7"/>
        <v>0</v>
      </c>
      <c r="P13" s="21">
        <v>49</v>
      </c>
      <c r="Q13" s="21">
        <v>9</v>
      </c>
      <c r="R13" s="60">
        <v>0.19</v>
      </c>
      <c r="S13" s="60">
        <v>0.6</v>
      </c>
      <c r="T13" s="60">
        <v>0.21</v>
      </c>
      <c r="U13" s="60">
        <v>0</v>
      </c>
      <c r="V13" s="39">
        <f t="shared" ref="V13:AA13" si="8">V100</f>
        <v>0.3</v>
      </c>
      <c r="W13" s="39">
        <f t="shared" si="8"/>
        <v>0.25</v>
      </c>
      <c r="X13" s="39">
        <f t="shared" si="8"/>
        <v>0.25</v>
      </c>
      <c r="Y13" s="39">
        <f t="shared" si="8"/>
        <v>0.25</v>
      </c>
      <c r="Z13" s="39">
        <f t="shared" si="8"/>
        <v>0.27</v>
      </c>
      <c r="AA13" s="39">
        <f t="shared" si="8"/>
        <v>0</v>
      </c>
      <c r="AB13" s="21">
        <v>46</v>
      </c>
      <c r="AC13" s="21">
        <v>11</v>
      </c>
      <c r="AD13" s="39">
        <v>0.32</v>
      </c>
      <c r="AE13" s="39">
        <v>0.41</v>
      </c>
      <c r="AF13" s="39">
        <v>0.26</v>
      </c>
      <c r="AG13" s="39">
        <v>0</v>
      </c>
      <c r="AH13" s="39">
        <f t="shared" ref="AH13:AM13" si="9">AH100</f>
        <v>0</v>
      </c>
      <c r="AI13" s="39">
        <f t="shared" si="9"/>
        <v>0</v>
      </c>
      <c r="AJ13" s="39">
        <f t="shared" si="9"/>
        <v>0</v>
      </c>
      <c r="AK13" s="39">
        <f t="shared" si="9"/>
        <v>0</v>
      </c>
      <c r="AL13" s="39">
        <f t="shared" si="9"/>
        <v>0</v>
      </c>
      <c r="AM13" s="39">
        <f t="shared" si="9"/>
        <v>0</v>
      </c>
      <c r="AN13" s="21">
        <v>46</v>
      </c>
      <c r="AO13" s="21">
        <v>12</v>
      </c>
      <c r="AP13" s="39">
        <v>0.35</v>
      </c>
      <c r="AQ13" s="39">
        <v>0.41</v>
      </c>
      <c r="AR13" s="39">
        <v>0.22</v>
      </c>
      <c r="AS13" s="39">
        <v>0.02</v>
      </c>
      <c r="AT13" s="39">
        <f t="shared" ref="AT13:AY13" si="10">AT100</f>
        <v>0</v>
      </c>
      <c r="AU13" s="39">
        <f t="shared" si="10"/>
        <v>0</v>
      </c>
      <c r="AV13" s="39">
        <f t="shared" si="10"/>
        <v>0</v>
      </c>
      <c r="AW13" s="39">
        <f t="shared" si="10"/>
        <v>0</v>
      </c>
      <c r="AX13" s="39">
        <f t="shared" si="10"/>
        <v>0</v>
      </c>
      <c r="AY13" s="39">
        <f t="shared" si="10"/>
        <v>0</v>
      </c>
      <c r="AZ13" s="50">
        <v>48</v>
      </c>
      <c r="BA13" s="50">
        <v>12</v>
      </c>
      <c r="BB13" s="57">
        <v>0.28999999999999998</v>
      </c>
      <c r="BC13" s="57">
        <v>0.47</v>
      </c>
      <c r="BD13" s="57">
        <v>0.24</v>
      </c>
      <c r="BE13" s="57">
        <v>0</v>
      </c>
      <c r="BF13" s="39">
        <f t="shared" ref="BF13:BK13" si="11">BF100</f>
        <v>0</v>
      </c>
      <c r="BG13" s="39">
        <f t="shared" si="11"/>
        <v>0</v>
      </c>
      <c r="BH13" s="39">
        <f t="shared" si="11"/>
        <v>0</v>
      </c>
      <c r="BI13" s="39">
        <f t="shared" si="11"/>
        <v>0</v>
      </c>
      <c r="BJ13" s="39">
        <f t="shared" si="11"/>
        <v>0</v>
      </c>
      <c r="BK13" s="39">
        <f t="shared" si="11"/>
        <v>0</v>
      </c>
      <c r="BL13" s="244">
        <v>46</v>
      </c>
      <c r="BM13" s="244" t="s">
        <v>758</v>
      </c>
      <c r="BN13" s="244">
        <v>10</v>
      </c>
      <c r="BO13" s="244" t="s">
        <v>758</v>
      </c>
      <c r="BP13" s="262">
        <v>0.3</v>
      </c>
      <c r="BQ13" s="262">
        <v>0.5</v>
      </c>
      <c r="BR13" s="262">
        <v>0.2</v>
      </c>
      <c r="BS13" s="262">
        <v>0</v>
      </c>
      <c r="BT13" s="39">
        <f t="shared" ref="BT13:BY13" si="12">BT100</f>
        <v>0</v>
      </c>
      <c r="BU13" s="39">
        <f t="shared" si="12"/>
        <v>0</v>
      </c>
      <c r="BV13" s="39">
        <f t="shared" si="12"/>
        <v>0</v>
      </c>
      <c r="BW13" s="39">
        <f t="shared" si="12"/>
        <v>0</v>
      </c>
      <c r="BX13" s="39">
        <f t="shared" si="12"/>
        <v>0</v>
      </c>
      <c r="BY13" s="39">
        <f t="shared" si="12"/>
        <v>0</v>
      </c>
      <c r="BZ13" s="315">
        <v>46</v>
      </c>
      <c r="CA13" s="315" t="s">
        <v>760</v>
      </c>
      <c r="CB13" s="315">
        <v>11</v>
      </c>
      <c r="CC13" s="315" t="s">
        <v>758</v>
      </c>
      <c r="CD13" s="291">
        <v>0.33</v>
      </c>
      <c r="CE13" s="291">
        <v>0.48</v>
      </c>
      <c r="CF13" s="291">
        <v>0.2</v>
      </c>
      <c r="CG13" s="291">
        <v>0</v>
      </c>
      <c r="CH13" s="39">
        <f t="shared" ref="CH13:CM13" si="13">CH100</f>
        <v>0</v>
      </c>
      <c r="CI13" s="39">
        <f t="shared" si="13"/>
        <v>0</v>
      </c>
      <c r="CJ13" s="39">
        <f t="shared" si="13"/>
        <v>0</v>
      </c>
      <c r="CK13" s="39">
        <f t="shared" si="13"/>
        <v>0</v>
      </c>
      <c r="CL13" s="39">
        <f t="shared" si="13"/>
        <v>0</v>
      </c>
      <c r="CM13" s="39">
        <f t="shared" si="13"/>
        <v>0</v>
      </c>
      <c r="CN13" s="423">
        <v>46</v>
      </c>
      <c r="CO13" s="423" t="s">
        <v>760</v>
      </c>
      <c r="CP13" s="423">
        <v>11</v>
      </c>
      <c r="CQ13" s="423" t="s">
        <v>758</v>
      </c>
      <c r="CR13" s="427">
        <v>0.38</v>
      </c>
      <c r="CS13" s="427">
        <v>0.42</v>
      </c>
      <c r="CT13" s="427">
        <v>0.18</v>
      </c>
      <c r="CU13" s="427">
        <v>0.02</v>
      </c>
      <c r="CV13" s="423" t="s">
        <v>173</v>
      </c>
      <c r="CW13" s="423" t="s">
        <v>173</v>
      </c>
      <c r="CX13" s="423" t="s">
        <v>173</v>
      </c>
      <c r="CY13" s="423" t="s">
        <v>173</v>
      </c>
      <c r="CZ13" s="521" t="s">
        <v>173</v>
      </c>
      <c r="DA13" s="521" t="s">
        <v>173</v>
      </c>
      <c r="DB13" s="521">
        <v>44</v>
      </c>
      <c r="DC13" s="521" t="s">
        <v>760</v>
      </c>
      <c r="DD13" s="521">
        <v>10</v>
      </c>
      <c r="DE13" s="521" t="s">
        <v>758</v>
      </c>
      <c r="DF13" s="486">
        <v>0.4</v>
      </c>
      <c r="DG13" s="486">
        <v>0.49</v>
      </c>
      <c r="DH13" s="486">
        <v>0.11</v>
      </c>
      <c r="DI13" s="486">
        <v>0</v>
      </c>
      <c r="DJ13" s="521" t="s">
        <v>173</v>
      </c>
      <c r="DK13" s="521" t="s">
        <v>173</v>
      </c>
      <c r="DL13" s="521" t="s">
        <v>173</v>
      </c>
      <c r="DM13" s="521" t="s">
        <v>173</v>
      </c>
      <c r="DN13" s="521" t="s">
        <v>173</v>
      </c>
      <c r="DO13" s="521" t="s">
        <v>173</v>
      </c>
      <c r="DP13" s="957">
        <v>47</v>
      </c>
      <c r="DQ13" s="957" t="s">
        <v>758</v>
      </c>
      <c r="DR13" s="957">
        <v>10</v>
      </c>
      <c r="DS13" s="957" t="s">
        <v>758</v>
      </c>
      <c r="DT13" s="958">
        <v>0.28999999999999998</v>
      </c>
      <c r="DU13" s="958">
        <v>0.5</v>
      </c>
      <c r="DV13" s="958">
        <v>0.21</v>
      </c>
      <c r="DW13" s="958">
        <v>0</v>
      </c>
      <c r="DX13" s="958" t="s">
        <v>173</v>
      </c>
      <c r="DY13" s="958" t="s">
        <v>173</v>
      </c>
      <c r="DZ13" s="957" t="s">
        <v>173</v>
      </c>
      <c r="EA13" s="958" t="s">
        <v>173</v>
      </c>
      <c r="EB13" s="957" t="s">
        <v>173</v>
      </c>
      <c r="EC13" s="958" t="s">
        <v>173</v>
      </c>
    </row>
    <row r="14" spans="1:133" ht="24.95" customHeight="1" x14ac:dyDescent="0.2">
      <c r="A14" s="6" t="s">
        <v>14</v>
      </c>
      <c r="B14" s="6"/>
      <c r="C14" s="6"/>
      <c r="D14" s="21">
        <v>53</v>
      </c>
      <c r="E14" s="21">
        <v>9</v>
      </c>
      <c r="F14" s="65">
        <v>0.11</v>
      </c>
      <c r="G14" s="65">
        <v>0.5</v>
      </c>
      <c r="H14" s="65">
        <v>0.38</v>
      </c>
      <c r="I14" s="65">
        <v>0.02</v>
      </c>
      <c r="J14" s="39">
        <f t="shared" ref="J14:O14" si="14">AVERAGEIFS(J$36:J$173,$B$36:$B$173,"=no oficial")</f>
        <v>0.52</v>
      </c>
      <c r="K14" s="39">
        <f t="shared" si="14"/>
        <v>0.48246753246753238</v>
      </c>
      <c r="L14" s="39">
        <f t="shared" si="14"/>
        <v>0.57129870129870119</v>
      </c>
      <c r="M14" s="39">
        <f t="shared" si="14"/>
        <v>0.39571428571428574</v>
      </c>
      <c r="N14" s="39">
        <f t="shared" si="14"/>
        <v>0.41818181818181821</v>
      </c>
      <c r="O14" s="39">
        <f t="shared" si="14"/>
        <v>0.48324675324675326</v>
      </c>
      <c r="P14" s="21">
        <v>53</v>
      </c>
      <c r="Q14" s="21">
        <v>10</v>
      </c>
      <c r="R14" s="60">
        <v>0.11</v>
      </c>
      <c r="S14" s="60">
        <v>0.48</v>
      </c>
      <c r="T14" s="60">
        <v>0.39</v>
      </c>
      <c r="U14" s="60">
        <v>0.03</v>
      </c>
      <c r="V14" s="39">
        <f t="shared" ref="V14:AA14" si="15">AVERAGEIFS(V$36:V$173,$B$36:$B$173,"=no oficial")</f>
        <v>0.39103896103896113</v>
      </c>
      <c r="W14" s="39">
        <f t="shared" si="15"/>
        <v>0.45688311688311689</v>
      </c>
      <c r="X14" s="39">
        <f t="shared" si="15"/>
        <v>0.53779220779220782</v>
      </c>
      <c r="Y14" s="39">
        <f t="shared" si="15"/>
        <v>0.43363636363636365</v>
      </c>
      <c r="Z14" s="39">
        <f t="shared" si="15"/>
        <v>0.41623376623376618</v>
      </c>
      <c r="AA14" s="39">
        <f t="shared" si="15"/>
        <v>0.47207792207792193</v>
      </c>
      <c r="AB14" s="21">
        <v>52</v>
      </c>
      <c r="AC14" s="21">
        <v>10</v>
      </c>
      <c r="AD14" s="39">
        <v>0.16</v>
      </c>
      <c r="AE14" s="39">
        <v>0.47</v>
      </c>
      <c r="AF14" s="39">
        <v>0.35</v>
      </c>
      <c r="AG14" s="39">
        <v>0.03</v>
      </c>
      <c r="AH14" s="39">
        <f t="shared" ref="AH14:AM14" si="16">AVERAGEIFS(AH$36:AH$173,$B$36:$B$173,"=no oficial")</f>
        <v>0.40910256410256407</v>
      </c>
      <c r="AI14" s="39">
        <f t="shared" si="16"/>
        <v>0.41076923076923083</v>
      </c>
      <c r="AJ14" s="39">
        <f t="shared" si="16"/>
        <v>0.38038461538461538</v>
      </c>
      <c r="AK14" s="39">
        <f t="shared" si="16"/>
        <v>0.46807692307692306</v>
      </c>
      <c r="AL14" s="39">
        <f t="shared" si="16"/>
        <v>0.53307692307692311</v>
      </c>
      <c r="AM14" s="39">
        <f t="shared" si="16"/>
        <v>0.50500000000000023</v>
      </c>
      <c r="AN14" s="21">
        <v>50</v>
      </c>
      <c r="AO14" s="21">
        <v>11</v>
      </c>
      <c r="AP14" s="39">
        <v>0.21</v>
      </c>
      <c r="AQ14" s="39">
        <v>0.46</v>
      </c>
      <c r="AR14" s="39">
        <v>0.31</v>
      </c>
      <c r="AS14" s="39">
        <v>0.02</v>
      </c>
      <c r="AT14" s="39">
        <f t="shared" ref="AT14:AY14" si="17">AVERAGEIFS(AT$36:AT$173,$B$36:$B$173,"=no oficial")</f>
        <v>0.52912500000000007</v>
      </c>
      <c r="AU14" s="39">
        <f t="shared" si="17"/>
        <v>0.45212499999999994</v>
      </c>
      <c r="AV14" s="39">
        <f t="shared" si="17"/>
        <v>0.43899999999999989</v>
      </c>
      <c r="AW14" s="39">
        <f t="shared" si="17"/>
        <v>0.45337499999999986</v>
      </c>
      <c r="AX14" s="39">
        <f t="shared" si="17"/>
        <v>0.4592500000000001</v>
      </c>
      <c r="AY14" s="39">
        <f t="shared" si="17"/>
        <v>0.46799999999999997</v>
      </c>
      <c r="AZ14" s="50">
        <v>52</v>
      </c>
      <c r="BA14" s="50">
        <v>11</v>
      </c>
      <c r="BB14" s="57">
        <v>0.16</v>
      </c>
      <c r="BC14" s="57">
        <v>0.45</v>
      </c>
      <c r="BD14" s="57">
        <v>0.36</v>
      </c>
      <c r="BE14" s="57">
        <v>0.03</v>
      </c>
      <c r="BF14" s="39">
        <f t="shared" ref="BF14:BK14" si="18">AVERAGEIFS(BF$36:BF$173,$B$36:$B$173,"=no oficial")</f>
        <v>0.46976470588235292</v>
      </c>
      <c r="BG14" s="39">
        <f t="shared" si="18"/>
        <v>0.45235294117647068</v>
      </c>
      <c r="BH14" s="39">
        <f t="shared" si="18"/>
        <v>0.44741176470588234</v>
      </c>
      <c r="BI14" s="39">
        <f t="shared" si="18"/>
        <v>0.52564705882352936</v>
      </c>
      <c r="BJ14" s="39">
        <f t="shared" si="18"/>
        <v>0.40576470588235297</v>
      </c>
      <c r="BK14" s="39">
        <f t="shared" si="18"/>
        <v>0.38917647058823535</v>
      </c>
      <c r="BL14" s="244">
        <v>51</v>
      </c>
      <c r="BM14" s="244" t="s">
        <v>758</v>
      </c>
      <c r="BN14" s="244">
        <v>11</v>
      </c>
      <c r="BO14" s="244" t="s">
        <v>758</v>
      </c>
      <c r="BP14" s="262">
        <v>0.19</v>
      </c>
      <c r="BQ14" s="262">
        <v>0.45</v>
      </c>
      <c r="BR14" s="262">
        <v>0.33</v>
      </c>
      <c r="BS14" s="262">
        <v>0.03</v>
      </c>
      <c r="BT14" s="39">
        <f t="shared" ref="BT14:BY14" si="19">AVERAGEIFS(BT$36:BT$173,$B$36:$B$173,"=no oficial")</f>
        <v>0.43202380952380942</v>
      </c>
      <c r="BU14" s="39">
        <f t="shared" si="19"/>
        <v>0.45773809523809544</v>
      </c>
      <c r="BV14" s="39">
        <f t="shared" si="19"/>
        <v>0.53892857142857142</v>
      </c>
      <c r="BW14" s="39">
        <f t="shared" si="19"/>
        <v>0.42488095238095225</v>
      </c>
      <c r="BX14" s="39">
        <f t="shared" si="19"/>
        <v>0.45714285714285696</v>
      </c>
      <c r="BY14" s="39">
        <f t="shared" si="19"/>
        <v>0.52380952380952395</v>
      </c>
      <c r="BZ14" s="315">
        <v>52</v>
      </c>
      <c r="CA14" s="315" t="s">
        <v>758</v>
      </c>
      <c r="CB14" s="315">
        <v>11</v>
      </c>
      <c r="CC14" s="315" t="s">
        <v>758</v>
      </c>
      <c r="CD14" s="291">
        <v>0.16</v>
      </c>
      <c r="CE14" s="291">
        <v>0.42</v>
      </c>
      <c r="CF14" s="291">
        <v>0.39</v>
      </c>
      <c r="CG14" s="291">
        <v>0.03</v>
      </c>
      <c r="CH14" s="39">
        <f t="shared" ref="CH14:CM14" si="20">AVERAGEIFS(CH$36:CH$173,$B$36:$B$173,"=no oficial")</f>
        <v>0.47883720930232559</v>
      </c>
      <c r="CI14" s="39">
        <f t="shared" si="20"/>
        <v>0.36264367816091969</v>
      </c>
      <c r="CJ14" s="39">
        <f t="shared" si="20"/>
        <v>0.54816091954022983</v>
      </c>
      <c r="CK14" s="39">
        <f t="shared" si="20"/>
        <v>0.51425287356321847</v>
      </c>
      <c r="CL14" s="39">
        <f t="shared" si="20"/>
        <v>0.42080459770114925</v>
      </c>
      <c r="CM14" s="39">
        <f t="shared" si="20"/>
        <v>0.53655172413793084</v>
      </c>
      <c r="CN14" s="423">
        <v>53</v>
      </c>
      <c r="CO14" s="423" t="s">
        <v>758</v>
      </c>
      <c r="CP14" s="423">
        <v>11</v>
      </c>
      <c r="CQ14" s="423" t="s">
        <v>758</v>
      </c>
      <c r="CR14" s="427">
        <v>0.14000000000000001</v>
      </c>
      <c r="CS14" s="427">
        <v>0.44</v>
      </c>
      <c r="CT14" s="427">
        <v>0.38</v>
      </c>
      <c r="CU14" s="427">
        <v>0.03</v>
      </c>
      <c r="CV14" s="423" t="s">
        <v>173</v>
      </c>
      <c r="CW14" s="423" t="s">
        <v>173</v>
      </c>
      <c r="CX14" s="423" t="s">
        <v>173</v>
      </c>
      <c r="CY14" s="423" t="s">
        <v>173</v>
      </c>
      <c r="CZ14" s="521" t="s">
        <v>173</v>
      </c>
      <c r="DA14" s="521" t="s">
        <v>173</v>
      </c>
      <c r="DB14" s="521">
        <v>53</v>
      </c>
      <c r="DC14" s="521" t="s">
        <v>758</v>
      </c>
      <c r="DD14" s="521">
        <v>11</v>
      </c>
      <c r="DE14" s="521" t="s">
        <v>758</v>
      </c>
      <c r="DF14" s="486">
        <v>0.15</v>
      </c>
      <c r="DG14" s="486">
        <v>0.43</v>
      </c>
      <c r="DH14" s="486">
        <v>0.37</v>
      </c>
      <c r="DI14" s="486">
        <v>0.04</v>
      </c>
      <c r="DJ14" s="521" t="s">
        <v>173</v>
      </c>
      <c r="DK14" s="521" t="s">
        <v>173</v>
      </c>
      <c r="DL14" s="521" t="s">
        <v>173</v>
      </c>
      <c r="DM14" s="521" t="s">
        <v>173</v>
      </c>
      <c r="DN14" s="521" t="s">
        <v>173</v>
      </c>
      <c r="DO14" s="521" t="s">
        <v>173</v>
      </c>
      <c r="DP14" s="957">
        <v>53</v>
      </c>
      <c r="DQ14" s="957" t="s">
        <v>758</v>
      </c>
      <c r="DR14" s="957">
        <v>11</v>
      </c>
      <c r="DS14" s="957" t="s">
        <v>758</v>
      </c>
      <c r="DT14" s="958">
        <v>0.15</v>
      </c>
      <c r="DU14" s="958">
        <v>0.44</v>
      </c>
      <c r="DV14" s="958">
        <v>0.37</v>
      </c>
      <c r="DW14" s="958">
        <v>0.04</v>
      </c>
      <c r="DX14" s="958" t="s">
        <v>173</v>
      </c>
      <c r="DY14" s="958" t="s">
        <v>173</v>
      </c>
      <c r="DZ14" s="957" t="s">
        <v>173</v>
      </c>
      <c r="EA14" s="958" t="s">
        <v>173</v>
      </c>
      <c r="EB14" s="957" t="s">
        <v>173</v>
      </c>
      <c r="EC14" s="958" t="s">
        <v>173</v>
      </c>
    </row>
    <row r="15" spans="1:133" ht="24.95" customHeight="1" x14ac:dyDescent="0.2">
      <c r="A15" s="6" t="s">
        <v>15</v>
      </c>
      <c r="B15" s="6"/>
      <c r="C15" s="6"/>
      <c r="D15" s="21">
        <v>50</v>
      </c>
      <c r="E15" s="21">
        <v>9</v>
      </c>
      <c r="F15" s="65">
        <v>0.18</v>
      </c>
      <c r="G15" s="65">
        <v>0.56000000000000005</v>
      </c>
      <c r="H15" s="65">
        <v>0.25</v>
      </c>
      <c r="I15" s="65">
        <v>0</v>
      </c>
      <c r="J15" s="11" t="s">
        <v>173</v>
      </c>
      <c r="K15" s="11" t="s">
        <v>173</v>
      </c>
      <c r="L15" s="11" t="s">
        <v>173</v>
      </c>
      <c r="M15" s="21" t="s">
        <v>173</v>
      </c>
      <c r="N15" s="21" t="s">
        <v>173</v>
      </c>
      <c r="O15" s="21" t="s">
        <v>173</v>
      </c>
      <c r="P15" s="21">
        <v>50</v>
      </c>
      <c r="Q15" s="21">
        <v>10</v>
      </c>
      <c r="R15" s="60">
        <v>0.17</v>
      </c>
      <c r="S15" s="60">
        <v>0.53</v>
      </c>
      <c r="T15" s="60">
        <v>0.28000000000000003</v>
      </c>
      <c r="U15" s="60">
        <v>0.01</v>
      </c>
      <c r="V15" s="11" t="s">
        <v>173</v>
      </c>
      <c r="W15" s="11" t="s">
        <v>173</v>
      </c>
      <c r="X15" s="11" t="s">
        <v>173</v>
      </c>
      <c r="Y15" s="21" t="s">
        <v>173</v>
      </c>
      <c r="Z15" s="21" t="s">
        <v>173</v>
      </c>
      <c r="AA15" s="21" t="s">
        <v>173</v>
      </c>
      <c r="AB15" s="21">
        <v>48</v>
      </c>
      <c r="AC15" s="21">
        <v>10</v>
      </c>
      <c r="AD15" s="39">
        <v>0.26</v>
      </c>
      <c r="AE15" s="39">
        <v>0.51</v>
      </c>
      <c r="AF15" s="39">
        <v>0.23</v>
      </c>
      <c r="AG15" s="39">
        <v>0.01</v>
      </c>
      <c r="AH15" s="11" t="s">
        <v>173</v>
      </c>
      <c r="AI15" s="11" t="s">
        <v>173</v>
      </c>
      <c r="AJ15" s="11" t="s">
        <v>173</v>
      </c>
      <c r="AK15" s="21" t="s">
        <v>173</v>
      </c>
      <c r="AL15" s="21" t="s">
        <v>173</v>
      </c>
      <c r="AM15" s="21" t="s">
        <v>173</v>
      </c>
      <c r="AN15" s="21">
        <v>46</v>
      </c>
      <c r="AO15" s="21">
        <v>11</v>
      </c>
      <c r="AP15" s="39">
        <v>0.33</v>
      </c>
      <c r="AQ15" s="39">
        <v>0.46</v>
      </c>
      <c r="AR15" s="39">
        <v>0.2</v>
      </c>
      <c r="AS15" s="39">
        <v>0.01</v>
      </c>
      <c r="AT15" s="11" t="s">
        <v>173</v>
      </c>
      <c r="AU15" s="11" t="s">
        <v>173</v>
      </c>
      <c r="AV15" s="11" t="s">
        <v>173</v>
      </c>
      <c r="AW15" s="21" t="s">
        <v>173</v>
      </c>
      <c r="AX15" s="21" t="s">
        <v>173</v>
      </c>
      <c r="AY15" s="21" t="s">
        <v>173</v>
      </c>
      <c r="AZ15" s="50">
        <v>48</v>
      </c>
      <c r="BA15" s="50">
        <v>10</v>
      </c>
      <c r="BB15" s="57">
        <v>0.24</v>
      </c>
      <c r="BC15" s="57">
        <v>0.52</v>
      </c>
      <c r="BD15" s="57">
        <v>0.22</v>
      </c>
      <c r="BE15" s="57">
        <v>0.01</v>
      </c>
      <c r="BF15" s="11" t="s">
        <v>173</v>
      </c>
      <c r="BG15" s="11" t="s">
        <v>173</v>
      </c>
      <c r="BH15" s="11" t="s">
        <v>173</v>
      </c>
      <c r="BI15" s="21" t="s">
        <v>173</v>
      </c>
      <c r="BJ15" s="21" t="s">
        <v>173</v>
      </c>
      <c r="BK15" s="21" t="s">
        <v>173</v>
      </c>
      <c r="BL15" s="244">
        <v>46</v>
      </c>
      <c r="BM15" s="244" t="s">
        <v>758</v>
      </c>
      <c r="BN15" s="244">
        <v>10</v>
      </c>
      <c r="BO15" s="244" t="s">
        <v>758</v>
      </c>
      <c r="BP15" s="262">
        <v>0.31</v>
      </c>
      <c r="BQ15" s="262">
        <v>0.49</v>
      </c>
      <c r="BR15" s="262">
        <v>0.19</v>
      </c>
      <c r="BS15" s="262">
        <v>0.01</v>
      </c>
      <c r="BT15" s="244" t="s">
        <v>173</v>
      </c>
      <c r="BU15" s="244" t="s">
        <v>173</v>
      </c>
      <c r="BV15" s="244" t="s">
        <v>173</v>
      </c>
      <c r="BW15" s="244" t="s">
        <v>173</v>
      </c>
      <c r="BX15" s="244" t="s">
        <v>173</v>
      </c>
      <c r="BY15" s="244" t="s">
        <v>173</v>
      </c>
      <c r="BZ15" s="315">
        <v>47</v>
      </c>
      <c r="CA15" s="315" t="s">
        <v>758</v>
      </c>
      <c r="CB15" s="315">
        <v>10</v>
      </c>
      <c r="CC15" s="315" t="s">
        <v>758</v>
      </c>
      <c r="CD15" s="291">
        <v>0.28999999999999998</v>
      </c>
      <c r="CE15" s="291">
        <v>0.49</v>
      </c>
      <c r="CF15" s="291">
        <v>0.21</v>
      </c>
      <c r="CG15" s="291">
        <v>0.01</v>
      </c>
      <c r="CH15" s="315" t="s">
        <v>173</v>
      </c>
      <c r="CI15" s="315" t="s">
        <v>173</v>
      </c>
      <c r="CJ15" s="315" t="s">
        <v>173</v>
      </c>
      <c r="CK15" s="315" t="s">
        <v>173</v>
      </c>
      <c r="CL15" s="315" t="s">
        <v>173</v>
      </c>
      <c r="CM15" s="315" t="s">
        <v>173</v>
      </c>
      <c r="CN15" s="423">
        <v>48</v>
      </c>
      <c r="CO15" s="423" t="s">
        <v>758</v>
      </c>
      <c r="CP15" s="423">
        <v>10</v>
      </c>
      <c r="CQ15" s="423" t="s">
        <v>758</v>
      </c>
      <c r="CR15" s="427">
        <v>0.26</v>
      </c>
      <c r="CS15" s="427">
        <v>0.51</v>
      </c>
      <c r="CT15" s="427">
        <v>0.22</v>
      </c>
      <c r="CU15" s="427">
        <v>0.01</v>
      </c>
      <c r="CV15" s="423" t="s">
        <v>173</v>
      </c>
      <c r="CW15" s="423" t="s">
        <v>173</v>
      </c>
      <c r="CX15" s="423" t="s">
        <v>173</v>
      </c>
      <c r="CY15" s="423" t="s">
        <v>173</v>
      </c>
      <c r="CZ15" s="521" t="s">
        <v>173</v>
      </c>
      <c r="DA15" s="521" t="s">
        <v>173</v>
      </c>
      <c r="DB15" s="521">
        <v>47</v>
      </c>
      <c r="DC15" s="521" t="s">
        <v>758</v>
      </c>
      <c r="DD15" s="521">
        <v>10</v>
      </c>
      <c r="DE15" s="521" t="s">
        <v>758</v>
      </c>
      <c r="DF15" s="486">
        <v>0.3</v>
      </c>
      <c r="DG15" s="486">
        <v>0.48</v>
      </c>
      <c r="DH15" s="486">
        <v>0.21</v>
      </c>
      <c r="DI15" s="486">
        <v>0.01</v>
      </c>
      <c r="DJ15" s="521" t="s">
        <v>173</v>
      </c>
      <c r="DK15" s="521" t="s">
        <v>173</v>
      </c>
      <c r="DL15" s="521" t="s">
        <v>173</v>
      </c>
      <c r="DM15" s="521" t="s">
        <v>173</v>
      </c>
      <c r="DN15" s="521" t="s">
        <v>173</v>
      </c>
      <c r="DO15" s="521" t="s">
        <v>173</v>
      </c>
    </row>
    <row r="16" spans="1:133" ht="24.95" customHeight="1" x14ac:dyDescent="0.2">
      <c r="A16" s="6" t="s">
        <v>16</v>
      </c>
      <c r="B16" s="6"/>
      <c r="C16" s="6"/>
      <c r="D16" s="21">
        <v>53</v>
      </c>
      <c r="E16" s="21">
        <v>9</v>
      </c>
      <c r="F16" s="65">
        <v>0.11</v>
      </c>
      <c r="G16" s="65">
        <v>0.51</v>
      </c>
      <c r="H16" s="65">
        <v>0.37</v>
      </c>
      <c r="I16" s="65">
        <v>0.02</v>
      </c>
      <c r="J16" s="11" t="s">
        <v>173</v>
      </c>
      <c r="K16" s="11" t="s">
        <v>173</v>
      </c>
      <c r="L16" s="11" t="s">
        <v>173</v>
      </c>
      <c r="M16" s="21" t="s">
        <v>173</v>
      </c>
      <c r="N16" s="21" t="s">
        <v>173</v>
      </c>
      <c r="O16" s="21" t="s">
        <v>173</v>
      </c>
      <c r="P16" s="21">
        <v>53</v>
      </c>
      <c r="Q16" s="21">
        <v>10</v>
      </c>
      <c r="R16" s="60">
        <v>0.11</v>
      </c>
      <c r="S16" s="60">
        <v>0.49</v>
      </c>
      <c r="T16" s="60">
        <v>0.37</v>
      </c>
      <c r="U16" s="60">
        <v>0.03</v>
      </c>
      <c r="V16" s="11" t="s">
        <v>173</v>
      </c>
      <c r="W16" s="11" t="s">
        <v>173</v>
      </c>
      <c r="X16" s="11" t="s">
        <v>173</v>
      </c>
      <c r="Y16" s="21" t="s">
        <v>173</v>
      </c>
      <c r="Z16" s="21" t="s">
        <v>173</v>
      </c>
      <c r="AA16" s="21" t="s">
        <v>173</v>
      </c>
      <c r="AB16" s="21">
        <v>51</v>
      </c>
      <c r="AC16" s="21">
        <v>10</v>
      </c>
      <c r="AD16" s="39">
        <v>0.17</v>
      </c>
      <c r="AE16" s="39">
        <v>0.48</v>
      </c>
      <c r="AF16" s="39">
        <v>0.33</v>
      </c>
      <c r="AG16" s="39">
        <v>0.02</v>
      </c>
      <c r="AH16" s="11" t="s">
        <v>173</v>
      </c>
      <c r="AI16" s="11" t="s">
        <v>173</v>
      </c>
      <c r="AJ16" s="11" t="s">
        <v>173</v>
      </c>
      <c r="AK16" s="21" t="s">
        <v>173</v>
      </c>
      <c r="AL16" s="21" t="s">
        <v>173</v>
      </c>
      <c r="AM16" s="21" t="s">
        <v>173</v>
      </c>
      <c r="AN16" s="21">
        <v>49</v>
      </c>
      <c r="AO16" s="21">
        <v>11</v>
      </c>
      <c r="AP16" s="39">
        <v>0.22</v>
      </c>
      <c r="AQ16" s="39">
        <v>0.48</v>
      </c>
      <c r="AR16" s="39">
        <v>0.28000000000000003</v>
      </c>
      <c r="AS16" s="39">
        <v>0.02</v>
      </c>
      <c r="AT16" s="11" t="s">
        <v>173</v>
      </c>
      <c r="AU16" s="11" t="s">
        <v>173</v>
      </c>
      <c r="AV16" s="11" t="s">
        <v>173</v>
      </c>
      <c r="AW16" s="21" t="s">
        <v>173</v>
      </c>
      <c r="AX16" s="21" t="s">
        <v>173</v>
      </c>
      <c r="AY16" s="21" t="s">
        <v>173</v>
      </c>
      <c r="AZ16" s="50">
        <v>51</v>
      </c>
      <c r="BA16" s="50">
        <v>11</v>
      </c>
      <c r="BB16" s="57">
        <v>0.17</v>
      </c>
      <c r="BC16" s="57">
        <v>0.46</v>
      </c>
      <c r="BD16" s="57">
        <v>0.34</v>
      </c>
      <c r="BE16" s="57">
        <v>0.03</v>
      </c>
      <c r="BF16" s="11" t="s">
        <v>173</v>
      </c>
      <c r="BG16" s="11" t="s">
        <v>173</v>
      </c>
      <c r="BH16" s="11" t="s">
        <v>173</v>
      </c>
      <c r="BI16" s="21" t="s">
        <v>173</v>
      </c>
      <c r="BJ16" s="21" t="s">
        <v>173</v>
      </c>
      <c r="BK16" s="21" t="s">
        <v>173</v>
      </c>
      <c r="BL16" s="244">
        <v>50</v>
      </c>
      <c r="BM16" s="244" t="s">
        <v>758</v>
      </c>
      <c r="BN16" s="244">
        <v>11</v>
      </c>
      <c r="BO16" s="244" t="s">
        <v>758</v>
      </c>
      <c r="BP16" s="262">
        <v>0.21</v>
      </c>
      <c r="BQ16" s="262">
        <v>0.47</v>
      </c>
      <c r="BR16" s="262">
        <v>0.3</v>
      </c>
      <c r="BS16" s="262">
        <v>0.02</v>
      </c>
      <c r="BT16" s="244" t="s">
        <v>173</v>
      </c>
      <c r="BU16" s="244" t="s">
        <v>173</v>
      </c>
      <c r="BV16" s="244" t="s">
        <v>173</v>
      </c>
      <c r="BW16" s="244" t="s">
        <v>173</v>
      </c>
      <c r="BX16" s="244" t="s">
        <v>173</v>
      </c>
      <c r="BY16" s="244" t="s">
        <v>173</v>
      </c>
      <c r="BZ16" s="315">
        <v>51</v>
      </c>
      <c r="CA16" s="315" t="s">
        <v>758</v>
      </c>
      <c r="CB16" s="315">
        <v>11</v>
      </c>
      <c r="CC16" s="315" t="s">
        <v>758</v>
      </c>
      <c r="CD16" s="291">
        <v>0.17</v>
      </c>
      <c r="CE16" s="291">
        <v>0.45</v>
      </c>
      <c r="CF16" s="291">
        <v>0.35</v>
      </c>
      <c r="CG16" s="291">
        <v>0.03</v>
      </c>
      <c r="CH16" s="315" t="s">
        <v>173</v>
      </c>
      <c r="CI16" s="315" t="s">
        <v>173</v>
      </c>
      <c r="CJ16" s="315" t="s">
        <v>173</v>
      </c>
      <c r="CK16" s="315" t="s">
        <v>173</v>
      </c>
      <c r="CL16" s="315" t="s">
        <v>173</v>
      </c>
      <c r="CM16" s="315" t="s">
        <v>173</v>
      </c>
      <c r="CN16" s="423">
        <v>52</v>
      </c>
      <c r="CO16" s="423" t="s">
        <v>758</v>
      </c>
      <c r="CP16" s="423">
        <v>10</v>
      </c>
      <c r="CQ16" s="423" t="s">
        <v>758</v>
      </c>
      <c r="CR16" s="427">
        <v>0.16</v>
      </c>
      <c r="CS16" s="427">
        <v>0.46</v>
      </c>
      <c r="CT16" s="427">
        <v>0.36</v>
      </c>
      <c r="CU16" s="427">
        <v>0.03</v>
      </c>
      <c r="CV16" s="423" t="s">
        <v>173</v>
      </c>
      <c r="CW16" s="423" t="s">
        <v>173</v>
      </c>
      <c r="CX16" s="423" t="s">
        <v>173</v>
      </c>
      <c r="CY16" s="423" t="s">
        <v>173</v>
      </c>
      <c r="CZ16" s="521" t="s">
        <v>173</v>
      </c>
      <c r="DA16" s="521" t="s">
        <v>173</v>
      </c>
      <c r="DB16" s="521">
        <v>51</v>
      </c>
      <c r="DC16" s="521" t="s">
        <v>758</v>
      </c>
      <c r="DD16" s="521">
        <v>11</v>
      </c>
      <c r="DE16" s="521" t="s">
        <v>758</v>
      </c>
      <c r="DF16" s="486">
        <v>0.19</v>
      </c>
      <c r="DG16" s="486">
        <v>0.46</v>
      </c>
      <c r="DH16" s="486">
        <v>0.32</v>
      </c>
      <c r="DI16" s="486">
        <v>0.03</v>
      </c>
      <c r="DJ16" s="521" t="s">
        <v>173</v>
      </c>
      <c r="DK16" s="521" t="s">
        <v>173</v>
      </c>
      <c r="DL16" s="521" t="s">
        <v>173</v>
      </c>
      <c r="DM16" s="521" t="s">
        <v>173</v>
      </c>
      <c r="DN16" s="521" t="s">
        <v>173</v>
      </c>
      <c r="DO16" s="521" t="s">
        <v>173</v>
      </c>
    </row>
    <row r="17" spans="1:133" ht="24.95" customHeight="1" x14ac:dyDescent="0.2">
      <c r="A17" s="292" t="s">
        <v>17</v>
      </c>
      <c r="B17" s="292"/>
      <c r="C17" s="292"/>
      <c r="D17" s="316"/>
      <c r="E17" s="316"/>
      <c r="F17" s="325"/>
      <c r="G17" s="325"/>
      <c r="H17" s="325"/>
      <c r="I17" s="325"/>
      <c r="J17" s="315"/>
      <c r="K17" s="315"/>
      <c r="L17" s="315"/>
      <c r="M17" s="316"/>
      <c r="N17" s="316"/>
      <c r="O17" s="316"/>
      <c r="P17" s="316"/>
      <c r="Q17" s="316"/>
      <c r="R17" s="324"/>
      <c r="S17" s="324"/>
      <c r="T17" s="324"/>
      <c r="U17" s="324"/>
      <c r="V17" s="315"/>
      <c r="W17" s="315"/>
      <c r="X17" s="315"/>
      <c r="Y17" s="316"/>
      <c r="Z17" s="316"/>
      <c r="AA17" s="316"/>
      <c r="AB17" s="316"/>
      <c r="AC17" s="316"/>
      <c r="AD17" s="291"/>
      <c r="AE17" s="291"/>
      <c r="AF17" s="291"/>
      <c r="AG17" s="291"/>
      <c r="AH17" s="315"/>
      <c r="AI17" s="315"/>
      <c r="AJ17" s="315"/>
      <c r="AK17" s="316"/>
      <c r="AL17" s="316"/>
      <c r="AM17" s="316"/>
      <c r="AN17" s="316"/>
      <c r="AO17" s="316"/>
      <c r="AP17" s="291"/>
      <c r="AQ17" s="291"/>
      <c r="AR17" s="291"/>
      <c r="AS17" s="291"/>
      <c r="AT17" s="315"/>
      <c r="AU17" s="315"/>
      <c r="AV17" s="315"/>
      <c r="AW17" s="316"/>
      <c r="AX17" s="316"/>
      <c r="AY17" s="316"/>
      <c r="AZ17" s="335"/>
      <c r="BA17" s="335"/>
      <c r="BB17" s="334"/>
      <c r="BC17" s="334"/>
      <c r="BD17" s="334"/>
      <c r="BE17" s="334"/>
      <c r="BF17" s="315"/>
      <c r="BG17" s="315"/>
      <c r="BH17" s="315"/>
      <c r="BI17" s="316"/>
      <c r="BJ17" s="316"/>
      <c r="BK17" s="316"/>
      <c r="BL17" s="318"/>
      <c r="BM17" s="336"/>
      <c r="BN17" s="318"/>
      <c r="BO17" s="336"/>
      <c r="BP17" s="326"/>
      <c r="BQ17" s="326"/>
      <c r="BR17" s="326"/>
      <c r="BS17" s="326"/>
      <c r="BT17" s="318"/>
      <c r="BU17" s="318"/>
      <c r="BV17" s="318"/>
      <c r="BW17" s="318"/>
      <c r="BX17" s="318"/>
      <c r="BY17" s="318"/>
      <c r="BZ17" s="315">
        <v>61</v>
      </c>
      <c r="CA17" s="315" t="s">
        <v>759</v>
      </c>
      <c r="CB17" s="315">
        <v>10</v>
      </c>
      <c r="CC17" s="315" t="s">
        <v>758</v>
      </c>
      <c r="CD17" s="291">
        <v>0</v>
      </c>
      <c r="CE17" s="291">
        <v>0.33</v>
      </c>
      <c r="CF17" s="291">
        <v>0.33</v>
      </c>
      <c r="CG17" s="291">
        <v>0.33</v>
      </c>
      <c r="CH17" s="315" t="s">
        <v>173</v>
      </c>
      <c r="CI17" s="315" t="s">
        <v>173</v>
      </c>
      <c r="CJ17" s="315" t="s">
        <v>173</v>
      </c>
      <c r="CK17" s="315" t="s">
        <v>173</v>
      </c>
      <c r="CL17" s="315" t="s">
        <v>173</v>
      </c>
      <c r="CM17" s="315" t="s">
        <v>173</v>
      </c>
      <c r="CZ17" s="495"/>
      <c r="DA17" s="495"/>
      <c r="DB17" s="521">
        <v>59</v>
      </c>
      <c r="DC17" s="521" t="s">
        <v>759</v>
      </c>
      <c r="DD17" s="521">
        <v>11</v>
      </c>
      <c r="DE17" s="521" t="s">
        <v>758</v>
      </c>
      <c r="DF17" s="486">
        <v>0.03</v>
      </c>
      <c r="DG17" s="486">
        <v>0.39</v>
      </c>
      <c r="DH17" s="486">
        <v>0.42</v>
      </c>
      <c r="DI17" s="486">
        <v>0.17</v>
      </c>
      <c r="DJ17" s="521" t="s">
        <v>173</v>
      </c>
      <c r="DK17" s="521" t="s">
        <v>173</v>
      </c>
      <c r="DL17" s="521" t="s">
        <v>173</v>
      </c>
      <c r="DM17" s="521" t="s">
        <v>173</v>
      </c>
      <c r="DN17" s="521" t="s">
        <v>173</v>
      </c>
      <c r="DO17" s="521" t="s">
        <v>173</v>
      </c>
    </row>
    <row r="18" spans="1:133" ht="24.95" customHeight="1" x14ac:dyDescent="0.2">
      <c r="A18" s="197" t="s">
        <v>140</v>
      </c>
      <c r="B18" s="6"/>
      <c r="C18" s="6"/>
      <c r="D18" s="129">
        <f>AVERAGEIF($C$36:$C$173,"=1",D$36:D$173)</f>
        <v>50.588235294117645</v>
      </c>
      <c r="E18" s="129">
        <f>AVERAGEIF($C$36:$C$173,"=1",E$36:E$173)</f>
        <v>8.3529411764705888</v>
      </c>
      <c r="F18" s="39">
        <f>AVERAGEIF($C$36:$C$173,"=1",F$36:F$173)</f>
        <v>0.1735294117647059</v>
      </c>
      <c r="G18" s="39">
        <f t="shared" ref="G18:O18" si="21">AVERAGEIF($C$36:$C$173,"=1",G$36:G$173)</f>
        <v>0.53647058823529414</v>
      </c>
      <c r="H18" s="39">
        <f t="shared" si="21"/>
        <v>0.28764705882352942</v>
      </c>
      <c r="I18" s="39">
        <f t="shared" si="21"/>
        <v>1.764705882352941E-3</v>
      </c>
      <c r="J18" s="39">
        <f t="shared" si="21"/>
        <v>0.5458823529411766</v>
      </c>
      <c r="K18" s="39">
        <f t="shared" si="21"/>
        <v>0.51411764705882357</v>
      </c>
      <c r="L18" s="39">
        <f t="shared" si="21"/>
        <v>0.63235294117647067</v>
      </c>
      <c r="M18" s="39">
        <f t="shared" si="21"/>
        <v>0.41647058823529415</v>
      </c>
      <c r="N18" s="39">
        <f t="shared" si="21"/>
        <v>0.44117647058823534</v>
      </c>
      <c r="O18" s="39">
        <f t="shared" si="21"/>
        <v>0.51882352941176468</v>
      </c>
      <c r="P18" s="129">
        <f>AVERAGEIF($C$36:$C$173,"=1",P$36:P$173)</f>
        <v>50.8125</v>
      </c>
      <c r="Q18" s="129">
        <f>AVERAGEIF($C$36:$C$173,"=1",Q$36:Q$173)</f>
        <v>9.0625</v>
      </c>
      <c r="R18" s="39">
        <f>AVERAGEIF($C$36:$C$173,"=1",R$36:R$173)</f>
        <v>0.15624999999999994</v>
      </c>
      <c r="S18" s="39">
        <f t="shared" ref="S18:AA18" si="22">AVERAGEIF($C$36:$C$173,"=1",S$36:S$173)</f>
        <v>0.51500000000000001</v>
      </c>
      <c r="T18" s="39">
        <f t="shared" si="22"/>
        <v>0.30875000000000002</v>
      </c>
      <c r="U18" s="39">
        <f t="shared" si="22"/>
        <v>1.9374999999999996E-2</v>
      </c>
      <c r="V18" s="39">
        <f t="shared" si="22"/>
        <v>0.42624999999999996</v>
      </c>
      <c r="W18" s="39">
        <f t="shared" si="22"/>
        <v>0.479375</v>
      </c>
      <c r="X18" s="39">
        <f t="shared" si="22"/>
        <v>0.56874999999999998</v>
      </c>
      <c r="Y18" s="39">
        <f t="shared" si="22"/>
        <v>0.44562499999999994</v>
      </c>
      <c r="Z18" s="39">
        <f t="shared" si="22"/>
        <v>0.43687499999999996</v>
      </c>
      <c r="AA18" s="39">
        <f t="shared" si="22"/>
        <v>0.51437500000000003</v>
      </c>
      <c r="AB18" s="129">
        <f>AVERAGEIF($C$36:$C$173,"=1",AB$36:AB$173)</f>
        <v>48.882352941176471</v>
      </c>
      <c r="AC18" s="129">
        <f>AVERAGEIF($C$36:$C$173,"=1",AC$36:AC$173)</f>
        <v>10.058823529411764</v>
      </c>
      <c r="AD18" s="39">
        <f>AVERAGEIF($C$36:$C$173,"=1",AD$36:AD$173)</f>
        <v>0.23117647058823532</v>
      </c>
      <c r="AE18" s="39">
        <f t="shared" ref="AE18:AM18" si="23">AVERAGEIF($C$36:$C$173,"=1",AE$36:AE$173)</f>
        <v>0.49411764705882355</v>
      </c>
      <c r="AF18" s="39">
        <f t="shared" si="23"/>
        <v>0.25352941176470584</v>
      </c>
      <c r="AG18" s="39">
        <f t="shared" si="23"/>
        <v>2.2352941176470589E-2</v>
      </c>
      <c r="AH18" s="39">
        <f t="shared" si="23"/>
        <v>0.44470588235294128</v>
      </c>
      <c r="AI18" s="39">
        <f t="shared" si="23"/>
        <v>0.45411764705882357</v>
      </c>
      <c r="AJ18" s="39">
        <f t="shared" si="23"/>
        <v>0.41352941176470592</v>
      </c>
      <c r="AK18" s="39">
        <f t="shared" si="23"/>
        <v>0.50411764705882356</v>
      </c>
      <c r="AL18" s="39">
        <f t="shared" si="23"/>
        <v>0.55882352941176472</v>
      </c>
      <c r="AM18" s="39">
        <f t="shared" si="23"/>
        <v>0.55058823529411771</v>
      </c>
      <c r="AN18" s="129">
        <f>AVERAGEIF($C$36:$C$173,"=1",AN$36:AN$173)</f>
        <v>46.941176470588232</v>
      </c>
      <c r="AO18" s="129">
        <f>AVERAGEIF($C$36:$C$173,"=1",AO$36:AO$173)</f>
        <v>10.176470588235293</v>
      </c>
      <c r="AP18" s="39">
        <f>AVERAGEIF($C$36:$C$173,"=1",AP$36:AP$173)</f>
        <v>0.29705882352941188</v>
      </c>
      <c r="AQ18" s="39">
        <f t="shared" ref="AQ18:AY18" si="24">AVERAGEIF($C$36:$C$173,"=1",AQ$36:AQ$173)</f>
        <v>0.48235294117647065</v>
      </c>
      <c r="AR18" s="39">
        <f t="shared" si="24"/>
        <v>0.21411764705882352</v>
      </c>
      <c r="AS18" s="39">
        <f t="shared" si="24"/>
        <v>8.8235294117647058E-3</v>
      </c>
      <c r="AT18" s="39">
        <f t="shared" si="24"/>
        <v>0.55823529411764694</v>
      </c>
      <c r="AU18" s="39">
        <f t="shared" si="24"/>
        <v>0.49529411764705883</v>
      </c>
      <c r="AV18" s="39">
        <f t="shared" si="24"/>
        <v>0.48</v>
      </c>
      <c r="AW18" s="39">
        <f t="shared" si="24"/>
        <v>0.48588235294117643</v>
      </c>
      <c r="AX18" s="39">
        <f t="shared" si="24"/>
        <v>0.51117647058823534</v>
      </c>
      <c r="AY18" s="39">
        <f t="shared" si="24"/>
        <v>0.50058823529411778</v>
      </c>
      <c r="AZ18" s="129">
        <f>AVERAGEIF($C$36:$C$173,"=1",AZ$36:AZ$173)</f>
        <v>50.058823529411768</v>
      </c>
      <c r="BA18" s="129">
        <f>AVERAGEIF($C$36:$C$173,"=1",BA$36:BA$173)</f>
        <v>9.882352941176471</v>
      </c>
      <c r="BB18" s="39">
        <f>AVERAGEIF($C$36:$C$173,"=1",BB$36:BB$173)</f>
        <v>0.20705882352941171</v>
      </c>
      <c r="BC18" s="39">
        <f t="shared" ref="BC18:BK18" si="25">AVERAGEIF($C$36:$C$173,"=1",BC$36:BC$173)</f>
        <v>0.47764705882352937</v>
      </c>
      <c r="BD18" s="39">
        <f t="shared" si="25"/>
        <v>0.29647058823529415</v>
      </c>
      <c r="BE18" s="39">
        <f t="shared" si="25"/>
        <v>1.8823529411764708E-2</v>
      </c>
      <c r="BF18" s="39">
        <f t="shared" si="25"/>
        <v>0.501764705882353</v>
      </c>
      <c r="BG18" s="39">
        <f t="shared" si="25"/>
        <v>0.47764705882352948</v>
      </c>
      <c r="BH18" s="39">
        <f t="shared" si="25"/>
        <v>0.47764705882352937</v>
      </c>
      <c r="BI18" s="39">
        <f t="shared" si="25"/>
        <v>0.54058823529411781</v>
      </c>
      <c r="BJ18" s="39">
        <f t="shared" si="25"/>
        <v>0.42470588235294121</v>
      </c>
      <c r="BK18" s="39">
        <f t="shared" si="25"/>
        <v>0.41823529411764709</v>
      </c>
      <c r="BL18" s="129">
        <f>AVERAGEIF($C$36:$C$173,"=1",BL$36:BL$173)</f>
        <v>48.823529411764703</v>
      </c>
      <c r="BN18" s="129">
        <f>AVERAGEIF($C$36:$C$173,"=1",BN$36:BN$173)</f>
        <v>9.7058823529411757</v>
      </c>
      <c r="BP18" s="39">
        <f>AVERAGEIF($C$36:$C$173,"=1",BP$36:BP$173)</f>
        <v>0.21411764705882352</v>
      </c>
      <c r="BQ18" s="39">
        <f t="shared" ref="BQ18:BY18" si="26">AVERAGEIF($C$36:$C$173,"=1",BQ$36:BQ$173)</f>
        <v>0.53117647058823536</v>
      </c>
      <c r="BR18" s="39">
        <f t="shared" si="26"/>
        <v>0.24117647058823527</v>
      </c>
      <c r="BS18" s="39">
        <f t="shared" si="26"/>
        <v>1.3529411764705882E-2</v>
      </c>
      <c r="BT18" s="39">
        <f t="shared" si="26"/>
        <v>0.48352941176470593</v>
      </c>
      <c r="BU18" s="39">
        <f t="shared" si="26"/>
        <v>0.47588235294117659</v>
      </c>
      <c r="BV18" s="39">
        <f t="shared" si="26"/>
        <v>0.60176470588235309</v>
      </c>
      <c r="BW18" s="39">
        <f t="shared" si="26"/>
        <v>0.43470588235294116</v>
      </c>
      <c r="BX18" s="39">
        <f t="shared" si="26"/>
        <v>0.4747058823529412</v>
      </c>
      <c r="BY18" s="39">
        <f t="shared" si="26"/>
        <v>0.53588235294117659</v>
      </c>
      <c r="BZ18" s="129">
        <f>AVERAGEIF($C$36:$C$173,"=1",BZ$36:BZ$173)</f>
        <v>49.388888888888886</v>
      </c>
      <c r="CB18" s="129">
        <f>AVERAGEIF($C$36:$C$173,"=1",CB$36:CB$173)</f>
        <v>10.333333333333334</v>
      </c>
      <c r="CD18" s="342">
        <f>AVERAGEIF($C$36:$C$173,"=1",CD$36:CD$173)</f>
        <v>0.2277777777777778</v>
      </c>
      <c r="CE18" s="342">
        <f t="shared" ref="CE18:CM18" si="27">AVERAGEIF($C$36:$C$173,"=1",CE$36:CE$173)</f>
        <v>0.43555555555555553</v>
      </c>
      <c r="CF18" s="342">
        <f t="shared" si="27"/>
        <v>0.3255555555555556</v>
      </c>
      <c r="CG18" s="342">
        <f t="shared" si="27"/>
        <v>1.0000000000000002E-2</v>
      </c>
      <c r="CH18" s="342">
        <f t="shared" si="27"/>
        <v>0.53055555555555556</v>
      </c>
      <c r="CI18" s="342">
        <f t="shared" si="27"/>
        <v>0.42388888888888887</v>
      </c>
      <c r="CJ18" s="342">
        <f t="shared" si="27"/>
        <v>0.58333333333333348</v>
      </c>
      <c r="CK18" s="342">
        <f t="shared" si="27"/>
        <v>0.54444444444444451</v>
      </c>
      <c r="CL18" s="342">
        <f t="shared" si="27"/>
        <v>0.43444444444444452</v>
      </c>
      <c r="CM18" s="342">
        <f t="shared" si="27"/>
        <v>0.56944444444444431</v>
      </c>
      <c r="CN18" s="129">
        <f>AVERAGEIF($C$36:$C$173,"=1",CN$36:CN$173)</f>
        <v>50.058823529411768</v>
      </c>
      <c r="CP18" s="129">
        <f>AVERAGEIF($C$36:$C$173,"=1",CP$36:CP$173)</f>
        <v>9.764705882352942</v>
      </c>
      <c r="CR18" s="342">
        <f>AVERAGEIF($C$36:$C$173,"=1",CR$36:CR$173)</f>
        <v>0.18470588235294116</v>
      </c>
      <c r="CS18" s="342">
        <f t="shared" ref="CS18:DA18" si="28">AVERAGEIF($C$36:$C$173,"=1",CS$36:CS$173)</f>
        <v>0.5</v>
      </c>
      <c r="CT18" s="342">
        <f t="shared" si="28"/>
        <v>0.3023529411764706</v>
      </c>
      <c r="CU18" s="342">
        <f t="shared" si="28"/>
        <v>1.2941176470588235E-2</v>
      </c>
      <c r="CV18" s="342">
        <f t="shared" si="28"/>
        <v>0.36529411764705877</v>
      </c>
      <c r="CW18" s="342">
        <f t="shared" si="28"/>
        <v>0.53882352941176481</v>
      </c>
      <c r="CX18" s="342">
        <f t="shared" si="28"/>
        <v>0.56705882352941184</v>
      </c>
      <c r="CY18" s="342">
        <f t="shared" si="28"/>
        <v>0.59235294117647075</v>
      </c>
      <c r="CZ18" s="342">
        <f t="shared" si="28"/>
        <v>0.5623529411764705</v>
      </c>
      <c r="DA18" s="342">
        <f t="shared" si="28"/>
        <v>0.57529411764705884</v>
      </c>
      <c r="DB18" s="129">
        <f>AVERAGEIF($C$36:$C$173,"=1",DB$36:DB$173)</f>
        <v>49.777777777777779</v>
      </c>
      <c r="DC18" s="495"/>
      <c r="DD18" s="129">
        <f>AVERAGEIF($C$36:$C$173,"=1",DD$36:DD$173)</f>
        <v>10.388888888888889</v>
      </c>
      <c r="DE18" s="495"/>
      <c r="DF18" s="342">
        <f t="shared" ref="DF18:DN18" si="29">AVERAGEIF($C$36:$C$173,"=1",DF$36:DF$173)</f>
        <v>0.20111111111111113</v>
      </c>
      <c r="DG18" s="342">
        <f t="shared" si="29"/>
        <v>0.48055555555555557</v>
      </c>
      <c r="DH18" s="342">
        <f t="shared" si="29"/>
        <v>0.2961111111111111</v>
      </c>
      <c r="DI18" s="342">
        <f t="shared" si="29"/>
        <v>2.0000000000000004E-2</v>
      </c>
      <c r="DJ18" s="342">
        <f>AVERAGEIF($C$36:$C$173,"=1",DJ$36:DJ$173)</f>
        <v>0.49944444444444447</v>
      </c>
      <c r="DK18" s="342">
        <f>AVERAGEIF($C$36:$C$173,"=1",DK$36:DK$173)</f>
        <v>0.48888888888888893</v>
      </c>
      <c r="DL18" s="342">
        <f t="shared" si="29"/>
        <v>0.48388888888888892</v>
      </c>
      <c r="DM18" s="342">
        <f t="shared" si="29"/>
        <v>0.62722222222222235</v>
      </c>
      <c r="DN18" s="342">
        <f t="shared" si="29"/>
        <v>0.55222222222222217</v>
      </c>
      <c r="DO18" s="342">
        <f>AVERAGEIF($C$36:$C$173,"=1",DO$36:DO$173)</f>
        <v>0.41499999999999998</v>
      </c>
      <c r="DP18" s="129">
        <f>AVERAGEIF($C$36:$C$173,"=1",DP$36:DP$173)</f>
        <v>50.277777777777779</v>
      </c>
      <c r="DQ18" s="896"/>
      <c r="DR18" s="129">
        <f>AVERAGEIF($C$36:$C$173,"=1",DR$36:DR$173)</f>
        <v>10.388888888888889</v>
      </c>
      <c r="DS18" s="896"/>
      <c r="DT18" s="342">
        <f>AVERAGEIF($C$36:$C$173,"=1",DT$36:DT$173)</f>
        <v>0.19</v>
      </c>
      <c r="DU18" s="342">
        <f t="shared" ref="DU18:EC18" si="30">AVERAGEIF($C$36:$C$173,"=1",DU$36:DU$173)</f>
        <v>0.48666666666666664</v>
      </c>
      <c r="DV18" s="342">
        <f t="shared" si="30"/>
        <v>0.30555555555555558</v>
      </c>
      <c r="DW18" s="342">
        <f t="shared" si="30"/>
        <v>1.9444444444444448E-2</v>
      </c>
      <c r="DX18" s="342">
        <f t="shared" si="30"/>
        <v>0.48055555555555546</v>
      </c>
      <c r="DY18" s="342">
        <f t="shared" si="30"/>
        <v>0.38444444444444442</v>
      </c>
      <c r="DZ18" s="342">
        <f t="shared" si="30"/>
        <v>0.73277777777777786</v>
      </c>
      <c r="EA18" s="342">
        <f t="shared" si="30"/>
        <v>0.46611111111111125</v>
      </c>
      <c r="EB18" s="342">
        <f t="shared" si="30"/>
        <v>0.55944444444444441</v>
      </c>
      <c r="EC18" s="342">
        <f t="shared" si="30"/>
        <v>0.3888888888888889</v>
      </c>
    </row>
    <row r="19" spans="1:133" ht="24.95" customHeight="1" x14ac:dyDescent="0.2">
      <c r="A19" s="197" t="s">
        <v>141</v>
      </c>
      <c r="B19" s="6"/>
      <c r="C19" s="6"/>
      <c r="D19" s="129">
        <f>AVERAGEIF($C$36:$C$173,"=2",D$36:D$173)</f>
        <v>52.9</v>
      </c>
      <c r="E19" s="129">
        <f>AVERAGEIF($C$36:$C$173,"=2",E$36:E$173)</f>
        <v>7.95</v>
      </c>
      <c r="F19" s="39">
        <f>AVERAGEIF($C$36:$C$173,"=2",F$36:F$173)</f>
        <v>0.13</v>
      </c>
      <c r="G19" s="39">
        <f t="shared" ref="G19:O19" si="31">AVERAGEIF($C$36:$C$173,"=2",G$36:G$173)</f>
        <v>0.45050000000000001</v>
      </c>
      <c r="H19" s="39">
        <f t="shared" si="31"/>
        <v>0.40500000000000008</v>
      </c>
      <c r="I19" s="39">
        <f t="shared" si="31"/>
        <v>1.5000000000000003E-2</v>
      </c>
      <c r="J19" s="39">
        <f t="shared" si="31"/>
        <v>0.50700000000000001</v>
      </c>
      <c r="K19" s="39">
        <f t="shared" si="31"/>
        <v>0.48399999999999999</v>
      </c>
      <c r="L19" s="39">
        <f t="shared" si="31"/>
        <v>0.55500000000000005</v>
      </c>
      <c r="M19" s="39">
        <f t="shared" si="31"/>
        <v>0.38700000000000001</v>
      </c>
      <c r="N19" s="39">
        <f t="shared" si="31"/>
        <v>0.41549999999999992</v>
      </c>
      <c r="O19" s="39">
        <f t="shared" si="31"/>
        <v>0.46050000000000002</v>
      </c>
      <c r="P19" s="129">
        <f>AVERAGEIF($C$36:$C$173,"=2",P$36:P$173)</f>
        <v>52.421052631578945</v>
      </c>
      <c r="Q19" s="129">
        <f>AVERAGEIF($C$36:$C$173,"=2",Q$36:Q$173)</f>
        <v>9</v>
      </c>
      <c r="R19" s="39">
        <f>AVERAGEIF($C$36:$C$173,"=2",R$36:R$173)</f>
        <v>0.13473684210526315</v>
      </c>
      <c r="S19" s="39">
        <f t="shared" ref="S19:AA19" si="32">AVERAGEIF($C$36:$C$173,"=2",S$36:S$173)</f>
        <v>0.47736842105263166</v>
      </c>
      <c r="T19" s="39">
        <f t="shared" si="32"/>
        <v>0.36315789473684207</v>
      </c>
      <c r="U19" s="39">
        <f t="shared" si="32"/>
        <v>2.68421052631579E-2</v>
      </c>
      <c r="V19" s="39">
        <f t="shared" si="32"/>
        <v>0.39210526315789468</v>
      </c>
      <c r="W19" s="39">
        <f t="shared" si="32"/>
        <v>0.45894736842105266</v>
      </c>
      <c r="X19" s="39">
        <f t="shared" si="32"/>
        <v>0.5368421052631579</v>
      </c>
      <c r="Y19" s="39">
        <f t="shared" si="32"/>
        <v>0.44210526315789478</v>
      </c>
      <c r="Z19" s="39">
        <f t="shared" si="32"/>
        <v>0.40947368421052638</v>
      </c>
      <c r="AA19" s="39">
        <f t="shared" si="32"/>
        <v>0.46894736842105261</v>
      </c>
      <c r="AB19" s="129">
        <f>AVERAGEIF($C$36:$C$173,"=2",AB$36:AB$173)</f>
        <v>50.684210526315788</v>
      </c>
      <c r="AC19" s="129">
        <f>AVERAGEIF($C$36:$C$173,"=2",AC$36:AC$173)</f>
        <v>9.3157894736842106</v>
      </c>
      <c r="AD19" s="39">
        <f>AVERAGEIF($C$36:$C$173,"=2",AD$36:AD$173)</f>
        <v>0.22368421052631585</v>
      </c>
      <c r="AE19" s="39">
        <f t="shared" ref="AE19:AM19" si="33">AVERAGEIF($C$36:$C$173,"=2",AE$36:AE$173)</f>
        <v>0.42473684210526308</v>
      </c>
      <c r="AF19" s="39">
        <f t="shared" si="33"/>
        <v>0.3242105263157895</v>
      </c>
      <c r="AG19" s="39">
        <f t="shared" si="33"/>
        <v>2.8947368421052635E-2</v>
      </c>
      <c r="AH19" s="39">
        <f t="shared" si="33"/>
        <v>0.41736842105263161</v>
      </c>
      <c r="AI19" s="39">
        <f t="shared" si="33"/>
        <v>0.40842105263157896</v>
      </c>
      <c r="AJ19" s="39">
        <f t="shared" si="33"/>
        <v>0.39473684210526316</v>
      </c>
      <c r="AK19" s="39">
        <f t="shared" si="33"/>
        <v>0.48842105263157903</v>
      </c>
      <c r="AL19" s="39">
        <f t="shared" si="33"/>
        <v>0.52631578947368407</v>
      </c>
      <c r="AM19" s="39">
        <f t="shared" si="33"/>
        <v>0.49473684210526309</v>
      </c>
      <c r="AN19" s="129">
        <f>AVERAGEIF($C$36:$C$173,"=2",AN$36:AN$173)</f>
        <v>49.65</v>
      </c>
      <c r="AO19" s="129">
        <f>AVERAGEIF($C$36:$C$173,"=2",AO$36:AO$173)</f>
        <v>9.9</v>
      </c>
      <c r="AP19" s="39">
        <f>AVERAGEIF($C$36:$C$173,"=2",AP$36:AP$173)</f>
        <v>0.20400000000000001</v>
      </c>
      <c r="AQ19" s="39">
        <f t="shared" ref="AQ19:AY19" si="34">AVERAGEIF($C$36:$C$173,"=2",AQ$36:AQ$173)</f>
        <v>0.47749999999999992</v>
      </c>
      <c r="AR19" s="39">
        <f t="shared" si="34"/>
        <v>0.30099999999999993</v>
      </c>
      <c r="AS19" s="39">
        <f t="shared" si="34"/>
        <v>1.8500000000000006E-2</v>
      </c>
      <c r="AT19" s="39">
        <f t="shared" si="34"/>
        <v>0.52100000000000013</v>
      </c>
      <c r="AU19" s="39">
        <f t="shared" si="34"/>
        <v>0.43200000000000005</v>
      </c>
      <c r="AV19" s="39">
        <f t="shared" si="34"/>
        <v>0.43050000000000016</v>
      </c>
      <c r="AW19" s="39">
        <f t="shared" si="34"/>
        <v>0.4405</v>
      </c>
      <c r="AX19" s="39">
        <f t="shared" si="34"/>
        <v>0.44849999999999995</v>
      </c>
      <c r="AY19" s="39">
        <f t="shared" si="34"/>
        <v>0.46349999999999997</v>
      </c>
      <c r="AZ19" s="129">
        <f>AVERAGEIF($C$36:$C$173,"=2",AZ$36:AZ$173)</f>
        <v>51.083333333333336</v>
      </c>
      <c r="BA19" s="129">
        <f>AVERAGEIF($C$36:$C$173,"=2",BA$36:BA$173)</f>
        <v>9.125</v>
      </c>
      <c r="BB19" s="39">
        <f>AVERAGEIF($C$36:$C$173,"=2",BB$36:BB$173)</f>
        <v>0.2108333333333334</v>
      </c>
      <c r="BC19" s="39">
        <f t="shared" ref="BC19:BK19" si="35">AVERAGEIF($C$36:$C$173,"=2",BC$36:BC$173)</f>
        <v>0.46083333333333337</v>
      </c>
      <c r="BD19" s="39">
        <f t="shared" si="35"/>
        <v>0.29958333333333337</v>
      </c>
      <c r="BE19" s="39">
        <f t="shared" si="35"/>
        <v>0.03</v>
      </c>
      <c r="BF19" s="39">
        <f t="shared" si="35"/>
        <v>0.46416666666666662</v>
      </c>
      <c r="BG19" s="39">
        <f t="shared" si="35"/>
        <v>0.45999999999999996</v>
      </c>
      <c r="BH19" s="39">
        <f t="shared" si="35"/>
        <v>0.45000000000000012</v>
      </c>
      <c r="BI19" s="39">
        <f t="shared" si="35"/>
        <v>0.53249999999999997</v>
      </c>
      <c r="BJ19" s="39">
        <f t="shared" si="35"/>
        <v>0.40791666666666665</v>
      </c>
      <c r="BK19" s="39">
        <f t="shared" si="35"/>
        <v>0.37541666666666668</v>
      </c>
      <c r="BL19" s="129">
        <f>AVERAGEIF($C$36:$C$173,"=2",BL$36:BL$173)</f>
        <v>48.636363636363633</v>
      </c>
      <c r="BN19" s="129">
        <f>AVERAGEIF($C$36:$C$173,"=2",BN$36:BN$173)</f>
        <v>9.4090909090909083</v>
      </c>
      <c r="BP19" s="39">
        <f>AVERAGEIF($C$36:$C$173,"=2",BP$36:BP$173)</f>
        <v>0.26727272727272733</v>
      </c>
      <c r="BQ19" s="39">
        <f t="shared" ref="BQ19:BY19" si="36">AVERAGEIF($C$36:$C$173,"=2",BQ$36:BQ$173)</f>
        <v>0.42818181818181827</v>
      </c>
      <c r="BR19" s="39">
        <f t="shared" si="36"/>
        <v>0.2845454545454546</v>
      </c>
      <c r="BS19" s="39">
        <f t="shared" si="36"/>
        <v>2.3181818181818178E-2</v>
      </c>
      <c r="BT19" s="39">
        <f t="shared" si="36"/>
        <v>0.45500000000000007</v>
      </c>
      <c r="BU19" s="39">
        <f t="shared" si="36"/>
        <v>0.46727272727272723</v>
      </c>
      <c r="BV19" s="39">
        <f t="shared" si="36"/>
        <v>0.55772727272727263</v>
      </c>
      <c r="BW19" s="39">
        <f t="shared" si="36"/>
        <v>0.4527272727272727</v>
      </c>
      <c r="BX19" s="39">
        <f t="shared" si="36"/>
        <v>0.47772727272727272</v>
      </c>
      <c r="BY19" s="39">
        <f t="shared" si="36"/>
        <v>0.53454545454545466</v>
      </c>
      <c r="BZ19" s="129">
        <f>AVERAGEIF($C$36:$C$173,"=2",BZ$36:BZ$173)</f>
        <v>51.08</v>
      </c>
      <c r="CB19" s="129">
        <f>AVERAGEIF($C$36:$C$173,"=2",CB$36:CB$173)</f>
        <v>9.92</v>
      </c>
      <c r="CD19" s="342">
        <f>AVERAGEIF($C$36:$C$173,"=2",CD$36:CD$173)</f>
        <v>0.1928</v>
      </c>
      <c r="CE19" s="342">
        <f t="shared" ref="CE19:CM19" si="37">AVERAGEIF($C$36:$C$173,"=2",CE$36:CE$173)</f>
        <v>0.42680000000000007</v>
      </c>
      <c r="CF19" s="342">
        <f t="shared" si="37"/>
        <v>0.3524000000000001</v>
      </c>
      <c r="CG19" s="342">
        <f t="shared" si="37"/>
        <v>3.1200000000000009E-2</v>
      </c>
      <c r="CH19" s="342">
        <f t="shared" si="37"/>
        <v>0.48749999999999999</v>
      </c>
      <c r="CI19" s="342">
        <f t="shared" si="37"/>
        <v>0.36759999999999993</v>
      </c>
      <c r="CJ19" s="342">
        <f t="shared" si="37"/>
        <v>0.5544</v>
      </c>
      <c r="CK19" s="342">
        <f t="shared" si="37"/>
        <v>0.50640000000000007</v>
      </c>
      <c r="CL19" s="342">
        <f t="shared" si="37"/>
        <v>0.43759999999999999</v>
      </c>
      <c r="CM19" s="342">
        <f t="shared" si="37"/>
        <v>0.53880000000000006</v>
      </c>
      <c r="CN19" s="129">
        <f>AVERAGEIF($C$36:$C$173,"=2",CN$36:CN$173)</f>
        <v>51.5</v>
      </c>
      <c r="CP19" s="129">
        <f>AVERAGEIF($C$36:$C$173,"=2",CP$36:CP$173)</f>
        <v>9.384615384615385</v>
      </c>
      <c r="CR19" s="342">
        <f>AVERAGEIF($C$36:$C$173,"=2",CR$36:CR$173)</f>
        <v>0.16153846153846155</v>
      </c>
      <c r="CS19" s="342">
        <f t="shared" ref="CS19:DB19" si="38">AVERAGEIF($C$36:$C$173,"=2",CS$36:CS$173)</f>
        <v>0.4834615384615385</v>
      </c>
      <c r="CT19" s="342">
        <f t="shared" si="38"/>
        <v>0.32615384615384613</v>
      </c>
      <c r="CU19" s="342">
        <f t="shared" si="38"/>
        <v>3.0000000000000009E-2</v>
      </c>
      <c r="CV19" s="342">
        <f t="shared" si="38"/>
        <v>0.33615384615384625</v>
      </c>
      <c r="CW19" s="342">
        <f t="shared" si="38"/>
        <v>0.49461538461538457</v>
      </c>
      <c r="CX19" s="342">
        <f t="shared" si="38"/>
        <v>0.5623076923076924</v>
      </c>
      <c r="CY19" s="342">
        <f t="shared" si="38"/>
        <v>0.69480000000000008</v>
      </c>
      <c r="CZ19" s="342">
        <f t="shared" si="38"/>
        <v>0.51807692307692299</v>
      </c>
      <c r="DA19" s="342">
        <f t="shared" si="38"/>
        <v>0.52307692307692311</v>
      </c>
      <c r="DB19" s="129">
        <f t="shared" si="38"/>
        <v>51.583333333333336</v>
      </c>
      <c r="DC19" s="495"/>
      <c r="DD19" s="129">
        <f>AVERAGEIF($C$36:$C$173,"=2",DD$36:DD$173)</f>
        <v>10.208333333333334</v>
      </c>
      <c r="DE19" s="495"/>
      <c r="DF19" s="342">
        <f t="shared" ref="DF19:DN19" si="39">AVERAGEIF($C$36:$C$173,"=2",DF$36:DF$173)</f>
        <v>0.1925</v>
      </c>
      <c r="DG19" s="342">
        <f t="shared" si="39"/>
        <v>0.39874999999999999</v>
      </c>
      <c r="DH19" s="342">
        <f t="shared" si="39"/>
        <v>0.36166666666666675</v>
      </c>
      <c r="DI19" s="342">
        <f t="shared" si="39"/>
        <v>4.5000000000000012E-2</v>
      </c>
      <c r="DJ19" s="342">
        <f>AVERAGEIF($C$36:$C$173,"=2",DJ$36:DJ$173)</f>
        <v>0.47958333333333325</v>
      </c>
      <c r="DK19" s="342">
        <f>AVERAGEIF($C$36:$C$173,"=2",DK$36:DK$173)</f>
        <v>0.40416666666666673</v>
      </c>
      <c r="DL19" s="342">
        <f t="shared" si="39"/>
        <v>0.43958333333333338</v>
      </c>
      <c r="DM19" s="342">
        <f t="shared" si="39"/>
        <v>0.60250000000000004</v>
      </c>
      <c r="DN19" s="342">
        <f t="shared" si="39"/>
        <v>0.51833333333333342</v>
      </c>
      <c r="DO19" s="342">
        <f>AVERAGEIF($C$36:$C$173,"=2",DO$36:DO$173)</f>
        <v>0.36956521739130443</v>
      </c>
      <c r="DP19" s="129">
        <f>AVERAGEIF($C$36:$C$173,"=2",DP$36:DP$173)</f>
        <v>50.481481481481481</v>
      </c>
      <c r="DQ19" s="896"/>
      <c r="DR19" s="129">
        <f>AVERAGEIF($C$36:$C$173,"=2",DR$36:DR$173)</f>
        <v>9.0740740740740744</v>
      </c>
      <c r="DS19" s="896"/>
      <c r="DT19" s="342">
        <f>AVERAGEIF($C$36:$C$173,"=2",DT$36:DT$173)</f>
        <v>0.18407407407407408</v>
      </c>
      <c r="DU19" s="342">
        <f t="shared" ref="DU19:EC19" si="40">AVERAGEIF($C$36:$C$173,"=2",DU$36:DU$173)</f>
        <v>0.47000000000000014</v>
      </c>
      <c r="DV19" s="342">
        <f t="shared" si="40"/>
        <v>0.32370370370370366</v>
      </c>
      <c r="DW19" s="342">
        <f t="shared" si="40"/>
        <v>2.1851851851851855E-2</v>
      </c>
      <c r="DX19" s="342">
        <f t="shared" si="40"/>
        <v>0.48962962962962969</v>
      </c>
      <c r="DY19" s="342">
        <f t="shared" si="40"/>
        <v>0.40148148148148161</v>
      </c>
      <c r="DZ19" s="342">
        <f t="shared" si="40"/>
        <v>0.6873076923076924</v>
      </c>
      <c r="EA19" s="342">
        <f t="shared" si="40"/>
        <v>0.46518518518518526</v>
      </c>
      <c r="EB19" s="342">
        <f t="shared" si="40"/>
        <v>0.57333333333333347</v>
      </c>
      <c r="EC19" s="342">
        <f t="shared" si="40"/>
        <v>0.35740740740740734</v>
      </c>
    </row>
    <row r="20" spans="1:133" ht="24.95" customHeight="1" x14ac:dyDescent="0.2">
      <c r="A20" s="197" t="s">
        <v>142</v>
      </c>
      <c r="B20" s="6"/>
      <c r="C20" s="6"/>
      <c r="D20" s="129">
        <f>AVERAGEIF($C$36:$C$173,"=3",D$36:D$173)</f>
        <v>52.166666666666664</v>
      </c>
      <c r="E20" s="129">
        <f>AVERAGEIF($C$36:$C$173,"=3",E$36:E$173)</f>
        <v>8.7222222222222214</v>
      </c>
      <c r="F20" s="39">
        <f>AVERAGEIF($C$36:$C$173,"=3",F$36:F$173)</f>
        <v>0.10944444444444446</v>
      </c>
      <c r="G20" s="39">
        <f t="shared" ref="G20:O20" si="41">AVERAGEIF($C$36:$C$173,"=3",G$36:G$173)</f>
        <v>0.53277777777777791</v>
      </c>
      <c r="H20" s="39">
        <f t="shared" si="41"/>
        <v>0.34833333333333338</v>
      </c>
      <c r="I20" s="39">
        <f t="shared" si="41"/>
        <v>1.2222222222222225E-2</v>
      </c>
      <c r="J20" s="39">
        <f t="shared" si="41"/>
        <v>0.52833333333333332</v>
      </c>
      <c r="K20" s="39">
        <f t="shared" si="41"/>
        <v>0.48333333333333328</v>
      </c>
      <c r="L20" s="39">
        <f t="shared" si="41"/>
        <v>0.57277777777777783</v>
      </c>
      <c r="M20" s="39">
        <f t="shared" si="41"/>
        <v>0.40611111111111109</v>
      </c>
      <c r="N20" s="39">
        <f t="shared" si="41"/>
        <v>0.41833333333333339</v>
      </c>
      <c r="O20" s="39">
        <f t="shared" si="41"/>
        <v>0.47333333333333333</v>
      </c>
      <c r="P20" s="129">
        <f>AVERAGEIF($C$36:$C$173,"=3",P$36:P$173)</f>
        <v>52.473684210526315</v>
      </c>
      <c r="Q20" s="129">
        <f>AVERAGEIF($C$36:$C$173,"=3",Q$36:Q$173)</f>
        <v>9.526315789473685</v>
      </c>
      <c r="R20" s="39">
        <f>AVERAGEIF($C$36:$C$173,"=3",R$36:R$173)</f>
        <v>0.10526315789473686</v>
      </c>
      <c r="S20" s="39">
        <f t="shared" ref="S20:AA20" si="42">AVERAGEIF($C$36:$C$173,"=3",S$36:S$173)</f>
        <v>0.50684210526315787</v>
      </c>
      <c r="T20" s="39">
        <f t="shared" si="42"/>
        <v>0.35894736842105263</v>
      </c>
      <c r="U20" s="39">
        <f t="shared" si="42"/>
        <v>3.0000000000000002E-2</v>
      </c>
      <c r="V20" s="39">
        <f t="shared" si="42"/>
        <v>0.39947368421052637</v>
      </c>
      <c r="W20" s="39">
        <f t="shared" si="42"/>
        <v>0.46105263157894744</v>
      </c>
      <c r="X20" s="39">
        <f t="shared" si="42"/>
        <v>0.54105263157894734</v>
      </c>
      <c r="Y20" s="39">
        <f t="shared" si="42"/>
        <v>0.44105263157894731</v>
      </c>
      <c r="Z20" s="39">
        <f t="shared" si="42"/>
        <v>0.41263157894736846</v>
      </c>
      <c r="AA20" s="39">
        <f t="shared" si="42"/>
        <v>0.4678947368421052</v>
      </c>
      <c r="AB20" s="129">
        <f>AVERAGEIF($C$36:$C$173,"=3",AB$36:AB$173)</f>
        <v>51.10526315789474</v>
      </c>
      <c r="AC20" s="129">
        <f>AVERAGEIF($C$36:$C$173,"=3",AC$36:AC$173)</f>
        <v>9.8333333333333339</v>
      </c>
      <c r="AD20" s="39">
        <f>AVERAGEIF($C$36:$C$173,"=3",AD$36:AD$173)</f>
        <v>0.16210526315789472</v>
      </c>
      <c r="AE20" s="39">
        <f t="shared" ref="AE20:AM20" si="43">AVERAGEIF($C$36:$C$173,"=3",AE$36:AE$173)</f>
        <v>0.47578947368421065</v>
      </c>
      <c r="AF20" s="39">
        <f t="shared" si="43"/>
        <v>0.34052631578947362</v>
      </c>
      <c r="AG20" s="39">
        <f t="shared" si="43"/>
        <v>1.947368421052632E-2</v>
      </c>
      <c r="AH20" s="39">
        <f t="shared" si="43"/>
        <v>0.40578947368421064</v>
      </c>
      <c r="AI20" s="39">
        <f t="shared" si="43"/>
        <v>0.40157894736842109</v>
      </c>
      <c r="AJ20" s="39">
        <f t="shared" si="43"/>
        <v>0.38789473684210524</v>
      </c>
      <c r="AK20" s="39">
        <f t="shared" si="43"/>
        <v>0.47157894736842099</v>
      </c>
      <c r="AL20" s="39">
        <f t="shared" si="43"/>
        <v>0.53947368421052633</v>
      </c>
      <c r="AM20" s="39">
        <f t="shared" si="43"/>
        <v>0.50210526315789472</v>
      </c>
      <c r="AN20" s="129">
        <f>AVERAGEIF($C$36:$C$173,"=3",AN$36:AN$173)</f>
        <v>48.684210526315788</v>
      </c>
      <c r="AO20" s="129">
        <f>AVERAGEIF($C$36:$C$173,"=3",AO$36:AO$173)</f>
        <v>10.277777777777779</v>
      </c>
      <c r="AP20" s="39">
        <f>AVERAGEIF($C$36:$C$173,"=3",AP$36:AP$173)</f>
        <v>0.24631578947368418</v>
      </c>
      <c r="AQ20" s="39">
        <f t="shared" ref="AQ20:AY20" si="44">AVERAGEIF($C$36:$C$173,"=3",AQ$36:AQ$173)</f>
        <v>0.47263157894736846</v>
      </c>
      <c r="AR20" s="39">
        <f t="shared" si="44"/>
        <v>0.26736842105263159</v>
      </c>
      <c r="AS20" s="39">
        <f t="shared" si="44"/>
        <v>1.368421052631579E-2</v>
      </c>
      <c r="AT20" s="39">
        <f t="shared" si="44"/>
        <v>0.55052631578947375</v>
      </c>
      <c r="AU20" s="39">
        <f t="shared" si="44"/>
        <v>0.46526315789473677</v>
      </c>
      <c r="AV20" s="39">
        <f t="shared" si="44"/>
        <v>0.44842105263157894</v>
      </c>
      <c r="AW20" s="39">
        <f t="shared" si="44"/>
        <v>0.47105263157894733</v>
      </c>
      <c r="AX20" s="39">
        <f t="shared" si="44"/>
        <v>0.46789473684210531</v>
      </c>
      <c r="AY20" s="39">
        <f t="shared" si="44"/>
        <v>0.473157894736842</v>
      </c>
      <c r="AZ20" s="129">
        <f>AVERAGEIF($C$36:$C$173,"=3",AZ$36:AZ$173)</f>
        <v>51.6</v>
      </c>
      <c r="BA20" s="129">
        <f>AVERAGEIF($C$36:$C$173,"=3",BA$36:BA$173)</f>
        <v>10.25</v>
      </c>
      <c r="BB20" s="39">
        <f>AVERAGEIF($C$36:$C$173,"=3",BB$36:BB$173)</f>
        <v>0.15950000000000003</v>
      </c>
      <c r="BC20" s="39">
        <f t="shared" ref="BC20:BK20" si="45">AVERAGEIF($C$36:$C$173,"=3",BC$36:BC$173)</f>
        <v>0.46599999999999991</v>
      </c>
      <c r="BD20" s="39">
        <f t="shared" si="45"/>
        <v>0.33950000000000002</v>
      </c>
      <c r="BE20" s="39">
        <f t="shared" si="45"/>
        <v>3.5500000000000004E-2</v>
      </c>
      <c r="BF20" s="39">
        <f t="shared" si="45"/>
        <v>0.46000000000000008</v>
      </c>
      <c r="BG20" s="39">
        <f t="shared" si="45"/>
        <v>0.43649999999999994</v>
      </c>
      <c r="BH20" s="39">
        <f t="shared" si="45"/>
        <v>0.4425</v>
      </c>
      <c r="BI20" s="39">
        <f t="shared" si="45"/>
        <v>0.53400000000000003</v>
      </c>
      <c r="BJ20" s="39">
        <f t="shared" si="45"/>
        <v>0.41299999999999998</v>
      </c>
      <c r="BK20" s="39">
        <f t="shared" si="45"/>
        <v>0.38649999999999995</v>
      </c>
      <c r="BL20" s="129">
        <f>AVERAGEIF($C$36:$C$173,"=3",BL$36:BL$173)</f>
        <v>50.05</v>
      </c>
      <c r="BN20" s="129">
        <f>AVERAGEIF($C$36:$C$173,"=3",BN$36:BN$173)</f>
        <v>10.199999999999999</v>
      </c>
      <c r="BP20" s="39">
        <f>AVERAGEIF($C$36:$C$173,"=3",BP$36:BP$173)</f>
        <v>0.20500000000000002</v>
      </c>
      <c r="BQ20" s="39">
        <f t="shared" ref="BQ20:BY20" si="46">AVERAGEIF($C$36:$C$173,"=3",BQ$36:BQ$173)</f>
        <v>0.47050000000000003</v>
      </c>
      <c r="BR20" s="39">
        <f t="shared" si="46"/>
        <v>0.30399999999999999</v>
      </c>
      <c r="BS20" s="39">
        <f t="shared" si="46"/>
        <v>2.1499999999999998E-2</v>
      </c>
      <c r="BT20" s="39">
        <f t="shared" si="46"/>
        <v>0.4365</v>
      </c>
      <c r="BU20" s="39">
        <f t="shared" si="46"/>
        <v>0.45800000000000002</v>
      </c>
      <c r="BV20" s="39">
        <f t="shared" si="46"/>
        <v>0.5595</v>
      </c>
      <c r="BW20" s="39">
        <f t="shared" si="46"/>
        <v>0.41450000000000004</v>
      </c>
      <c r="BX20" s="39">
        <f t="shared" si="46"/>
        <v>0.4469999999999999</v>
      </c>
      <c r="BY20" s="39">
        <f t="shared" si="46"/>
        <v>0.52300000000000002</v>
      </c>
      <c r="BZ20" s="129">
        <f>AVERAGEIF($C$36:$C$173,"=3",BZ$36:BZ$173)</f>
        <v>51.863636363636367</v>
      </c>
      <c r="CB20" s="129">
        <f>AVERAGEIF($C$36:$C$173,"=3",CB$36:CB$173)</f>
        <v>10.045454545454545</v>
      </c>
      <c r="CD20" s="342">
        <f>AVERAGEIF($C$36:$C$173,"=3",CD$36:CD$173)</f>
        <v>0.16545454545454547</v>
      </c>
      <c r="CE20" s="342">
        <f t="shared" ref="CE20:CM20" si="47">AVERAGEIF($C$36:$C$173,"=3",CE$36:CE$173)</f>
        <v>0.44409090909090915</v>
      </c>
      <c r="CF20" s="342">
        <f t="shared" si="47"/>
        <v>0.36363636363636365</v>
      </c>
      <c r="CG20" s="342">
        <f t="shared" si="47"/>
        <v>2.7727272727272732E-2</v>
      </c>
      <c r="CH20" s="342">
        <f t="shared" si="47"/>
        <v>0.45045454545454544</v>
      </c>
      <c r="CI20" s="342">
        <f t="shared" si="47"/>
        <v>0.35681818181818181</v>
      </c>
      <c r="CJ20" s="342">
        <f t="shared" si="47"/>
        <v>0.54454545454545444</v>
      </c>
      <c r="CK20" s="342">
        <f t="shared" si="47"/>
        <v>0.51227272727272732</v>
      </c>
      <c r="CL20" s="342">
        <f t="shared" si="47"/>
        <v>0.39545454545454545</v>
      </c>
      <c r="CM20" s="342">
        <f t="shared" si="47"/>
        <v>0.53590909090909089</v>
      </c>
      <c r="CN20" s="129">
        <f>AVERAGEIF($C$36:$C$173,"=3",CN$36:CN$173)</f>
        <v>51.409090909090907</v>
      </c>
      <c r="CP20" s="129">
        <f>AVERAGEIF($C$36:$C$173,"=3",CP$36:CP$173)</f>
        <v>10.090909090909092</v>
      </c>
      <c r="CR20" s="342">
        <f>AVERAGEIF($C$36:$C$173,"=3",CR$36:CR$173)</f>
        <v>0.18</v>
      </c>
      <c r="CS20" s="342">
        <f t="shared" ref="CS20:DB20" si="48">AVERAGEIF($C$36:$C$173,"=3",CS$36:CS$173)</f>
        <v>0.43954545454545452</v>
      </c>
      <c r="CT20" s="342">
        <f t="shared" si="48"/>
        <v>0.35318181818181815</v>
      </c>
      <c r="CU20" s="342">
        <f t="shared" si="48"/>
        <v>2.6818181818181821E-2</v>
      </c>
      <c r="CV20" s="342">
        <f t="shared" si="48"/>
        <v>0.33181818181818179</v>
      </c>
      <c r="CW20" s="342">
        <f t="shared" si="48"/>
        <v>0.51590909090909076</v>
      </c>
      <c r="CX20" s="342">
        <f t="shared" si="48"/>
        <v>0.54</v>
      </c>
      <c r="CY20" s="342">
        <f t="shared" si="48"/>
        <v>0.5968181818181818</v>
      </c>
      <c r="CZ20" s="342">
        <f t="shared" si="48"/>
        <v>0.54772727272727273</v>
      </c>
      <c r="DA20" s="342">
        <f t="shared" si="48"/>
        <v>0.53318181818181809</v>
      </c>
      <c r="DB20" s="129">
        <f t="shared" si="48"/>
        <v>51.18181818181818</v>
      </c>
      <c r="DC20" s="495"/>
      <c r="DD20" s="129">
        <f>AVERAGEIF($C$36:$C$173,"=3",DD$36:DD$173)</f>
        <v>9.9090909090909083</v>
      </c>
      <c r="DE20" s="495"/>
      <c r="DF20" s="342">
        <f t="shared" ref="DF20:DN20" si="49">AVERAGEIF($C$36:$C$173,"=3",DF$36:DF$173)</f>
        <v>0.17954545454545451</v>
      </c>
      <c r="DG20" s="342">
        <f t="shared" si="49"/>
        <v>0.46363636363636368</v>
      </c>
      <c r="DH20" s="342">
        <f t="shared" si="49"/>
        <v>0.32318181818181818</v>
      </c>
      <c r="DI20" s="342">
        <f t="shared" si="49"/>
        <v>3.2272727272727279E-2</v>
      </c>
      <c r="DJ20" s="342">
        <f>AVERAGEIF($C$36:$C$173,"=3",DJ$36:DJ$173)</f>
        <v>0.48363636363636359</v>
      </c>
      <c r="DK20" s="342">
        <f>AVERAGEIF($C$36:$C$173,"=3",DK$36:DK$173)</f>
        <v>0.47181818181818175</v>
      </c>
      <c r="DL20" s="342">
        <f t="shared" si="49"/>
        <v>0.46</v>
      </c>
      <c r="DM20" s="342">
        <f t="shared" si="49"/>
        <v>0.60363636363636375</v>
      </c>
      <c r="DN20" s="342">
        <f t="shared" si="49"/>
        <v>0.51863636363636367</v>
      </c>
      <c r="DO20" s="342">
        <f>AVERAGEIF($C$36:$C$173,"=3",DO$36:DO$173)</f>
        <v>0.37909090909090909</v>
      </c>
      <c r="DP20" s="129">
        <f>AVERAGEIF($C$36:$C$173,"=3",DP$36:DP$173)</f>
        <v>51.5</v>
      </c>
      <c r="DQ20" s="896"/>
      <c r="DR20" s="129">
        <f>AVERAGEIF($C$36:$C$173,"=3",DR$36:DR$173)</f>
        <v>10.181818181818182</v>
      </c>
      <c r="DS20" s="896"/>
      <c r="DT20" s="342">
        <f>AVERAGEIF($C$36:$C$173,"=3",DT$36:DT$173)</f>
        <v>0.16818181818181818</v>
      </c>
      <c r="DU20" s="342">
        <f t="shared" ref="DU20:EC20" si="50">AVERAGEIF($C$36:$C$173,"=3",DU$36:DU$173)</f>
        <v>0.47181818181818186</v>
      </c>
      <c r="DV20" s="342">
        <f t="shared" si="50"/>
        <v>0.32272727272727275</v>
      </c>
      <c r="DW20" s="342">
        <f t="shared" si="50"/>
        <v>3.7727272727272727E-2</v>
      </c>
      <c r="DX20" s="342">
        <f t="shared" si="50"/>
        <v>0.46045454545454556</v>
      </c>
      <c r="DY20" s="342">
        <f t="shared" si="50"/>
        <v>0.37454545454545457</v>
      </c>
      <c r="DZ20" s="342">
        <f t="shared" si="50"/>
        <v>0.66181818181818164</v>
      </c>
      <c r="EA20" s="342">
        <f t="shared" si="50"/>
        <v>0.4681818181818182</v>
      </c>
      <c r="EB20" s="342">
        <f t="shared" si="50"/>
        <v>0.53681818181818197</v>
      </c>
      <c r="EC20" s="342">
        <f t="shared" si="50"/>
        <v>0.36954545454545457</v>
      </c>
    </row>
    <row r="21" spans="1:133" ht="24.95" customHeight="1" x14ac:dyDescent="0.2">
      <c r="A21" s="197" t="s">
        <v>143</v>
      </c>
      <c r="B21" s="6"/>
      <c r="C21" s="6"/>
      <c r="D21" s="129">
        <f>AVERAGEIF($C$36:$C$173,"=4",D$36:D$173)</f>
        <v>48.142857142857146</v>
      </c>
      <c r="E21" s="129">
        <f>AVERAGEIF($C$36:$C$173,"=4",E$36:E$173)</f>
        <v>8</v>
      </c>
      <c r="F21" s="39">
        <f>AVERAGEIF($C$36:$C$173,"=4",F$36:F$173)</f>
        <v>0.27714285714285719</v>
      </c>
      <c r="G21" s="39">
        <f t="shared" ref="G21:O21" si="51">AVERAGEIF($C$36:$C$173,"=4",G$36:G$173)</f>
        <v>0.49928571428571428</v>
      </c>
      <c r="H21" s="39">
        <f t="shared" si="51"/>
        <v>0.22</v>
      </c>
      <c r="I21" s="39">
        <f t="shared" si="51"/>
        <v>2.8571428571428571E-3</v>
      </c>
      <c r="J21" s="39">
        <f t="shared" si="51"/>
        <v>0.59285714285714286</v>
      </c>
      <c r="K21" s="39">
        <f t="shared" si="51"/>
        <v>0.5407142857142857</v>
      </c>
      <c r="L21" s="39">
        <f t="shared" si="51"/>
        <v>0.61071428571428577</v>
      </c>
      <c r="M21" s="39">
        <f t="shared" si="51"/>
        <v>0.47500000000000003</v>
      </c>
      <c r="N21" s="39">
        <f t="shared" si="51"/>
        <v>0.45714285714285718</v>
      </c>
      <c r="O21" s="39">
        <f t="shared" si="51"/>
        <v>0.56071428571428572</v>
      </c>
      <c r="P21" s="129">
        <f>AVERAGEIF($C$36:$C$173,"=4",P$36:P$173)</f>
        <v>50.266666666666666</v>
      </c>
      <c r="Q21" s="129">
        <f>AVERAGEIF($C$36:$C$173,"=4",Q$36:Q$173)</f>
        <v>8.4666666666666668</v>
      </c>
      <c r="R21" s="39">
        <f>AVERAGEIF($C$36:$C$173,"=4",R$36:R$173)</f>
        <v>0.18866666666666662</v>
      </c>
      <c r="S21" s="39">
        <f t="shared" ref="S21:AA21" si="52">AVERAGEIF($C$36:$C$173,"=4",S$36:S$173)</f>
        <v>0.46866666666666673</v>
      </c>
      <c r="T21" s="39">
        <f t="shared" si="52"/>
        <v>0.33399999999999996</v>
      </c>
      <c r="U21" s="39">
        <f t="shared" si="52"/>
        <v>8.6666666666666663E-3</v>
      </c>
      <c r="V21" s="39">
        <f t="shared" si="52"/>
        <v>0.45</v>
      </c>
      <c r="W21" s="39">
        <f t="shared" si="52"/>
        <v>0.48599999999999999</v>
      </c>
      <c r="X21" s="39">
        <f t="shared" si="52"/>
        <v>0.56399999999999995</v>
      </c>
      <c r="Y21" s="39">
        <f t="shared" si="52"/>
        <v>0.45733333333333331</v>
      </c>
      <c r="Z21" s="39">
        <f t="shared" si="52"/>
        <v>0.44399999999999995</v>
      </c>
      <c r="AA21" s="39">
        <f t="shared" si="52"/>
        <v>0.48666666666666664</v>
      </c>
      <c r="AB21" s="129">
        <f>AVERAGEIF($C$36:$C$173,"=4",AB$36:AB$173)</f>
        <v>47.93333333333333</v>
      </c>
      <c r="AC21" s="129">
        <f>AVERAGEIF($C$36:$C$173,"=4",AC$36:AC$173)</f>
        <v>8.8666666666666671</v>
      </c>
      <c r="AD21" s="39">
        <f>AVERAGEIF($C$36:$C$173,"=4",AD$36:AD$173)</f>
        <v>0.25266666666666671</v>
      </c>
      <c r="AE21" s="39">
        <f t="shared" ref="AE21:AM21" si="53">AVERAGEIF($C$36:$C$173,"=4",AE$36:AE$173)</f>
        <v>0.55400000000000005</v>
      </c>
      <c r="AF21" s="39">
        <f t="shared" si="53"/>
        <v>0.1846666666666667</v>
      </c>
      <c r="AG21" s="39">
        <f t="shared" si="53"/>
        <v>1.0000000000000002E-2</v>
      </c>
      <c r="AH21" s="39">
        <f t="shared" si="53"/>
        <v>0.46266666666666662</v>
      </c>
      <c r="AI21" s="39">
        <f t="shared" si="53"/>
        <v>0.45600000000000007</v>
      </c>
      <c r="AJ21" s="39">
        <f t="shared" si="53"/>
        <v>0.44733333333333325</v>
      </c>
      <c r="AK21" s="39">
        <f t="shared" si="53"/>
        <v>0.51666666666666661</v>
      </c>
      <c r="AL21" s="39">
        <f t="shared" si="53"/>
        <v>0.59599999999999997</v>
      </c>
      <c r="AM21" s="39">
        <f t="shared" si="53"/>
        <v>0.53866666666666663</v>
      </c>
      <c r="AN21" s="129">
        <f>AVERAGEIF($C$36:$C$173,"=4",AN$36:AN$173)</f>
        <v>45.785714285714285</v>
      </c>
      <c r="AO21" s="129">
        <f>AVERAGEIF($C$36:$C$173,"=4",AO$36:AO$173)</f>
        <v>10.357142857142858</v>
      </c>
      <c r="AP21" s="39">
        <f>AVERAGEIF($C$36:$C$173,"=4",AP$36:AP$173)</f>
        <v>0.35642857142857148</v>
      </c>
      <c r="AQ21" s="39">
        <f t="shared" ref="AQ21:AY21" si="54">AVERAGEIF($C$36:$C$173,"=4",AQ$36:AQ$173)</f>
        <v>0.42571428571428571</v>
      </c>
      <c r="AR21" s="39">
        <f t="shared" si="54"/>
        <v>0.21071428571428569</v>
      </c>
      <c r="AS21" s="39">
        <f t="shared" si="54"/>
        <v>4.9999999999999992E-3</v>
      </c>
      <c r="AT21" s="39">
        <f t="shared" si="54"/>
        <v>0.59928571428571431</v>
      </c>
      <c r="AU21" s="39">
        <f t="shared" si="54"/>
        <v>0.51</v>
      </c>
      <c r="AV21" s="39">
        <f t="shared" si="54"/>
        <v>0.4835714285714286</v>
      </c>
      <c r="AW21" s="39">
        <f t="shared" si="54"/>
        <v>0.50857142857142856</v>
      </c>
      <c r="AX21" s="39">
        <f t="shared" si="54"/>
        <v>0.53142857142857147</v>
      </c>
      <c r="AY21" s="39">
        <f t="shared" si="54"/>
        <v>0.51785714285714279</v>
      </c>
      <c r="AZ21" s="129">
        <f>AVERAGEIF($C$36:$C$173,"=4",AZ$36:AZ$173)</f>
        <v>46.692307692307693</v>
      </c>
      <c r="BA21" s="129">
        <f>AVERAGEIF($C$36:$C$173,"=4",BA$36:BA$173)</f>
        <v>9.615384615384615</v>
      </c>
      <c r="BB21" s="39">
        <f>AVERAGEIF($C$36:$C$173,"=4",BB$36:BB$173)</f>
        <v>0.29230769230769232</v>
      </c>
      <c r="BC21" s="39">
        <f t="shared" ref="BC21:BK21" si="55">AVERAGEIF($C$36:$C$173,"=4",BC$36:BC$173)</f>
        <v>0.47230769230769226</v>
      </c>
      <c r="BD21" s="39">
        <f t="shared" si="55"/>
        <v>0.23461538461538461</v>
      </c>
      <c r="BE21" s="39">
        <f t="shared" si="55"/>
        <v>3.0769230769230769E-3</v>
      </c>
      <c r="BF21" s="39">
        <f t="shared" si="55"/>
        <v>0.59307692307692306</v>
      </c>
      <c r="BG21" s="39">
        <f t="shared" si="55"/>
        <v>0.52307692307692299</v>
      </c>
      <c r="BH21" s="39">
        <f t="shared" si="55"/>
        <v>0.51846153846153853</v>
      </c>
      <c r="BI21" s="39">
        <f t="shared" si="55"/>
        <v>0.61538461538461553</v>
      </c>
      <c r="BJ21" s="39">
        <f t="shared" si="55"/>
        <v>0.48307692307692301</v>
      </c>
      <c r="BK21" s="39">
        <f t="shared" si="55"/>
        <v>0.47230769230769226</v>
      </c>
      <c r="BL21" s="129">
        <f>AVERAGEIF($C$36:$C$173,"=4",BL$36:BL$173)</f>
        <v>46.642857142857146</v>
      </c>
      <c r="BN21" s="129">
        <f>AVERAGEIF($C$36:$C$173,"=4",BN$36:BN$173)</f>
        <v>9.6428571428571423</v>
      </c>
      <c r="BP21" s="39">
        <f>AVERAGEIF($C$36:$C$173,"=4",BP$36:BP$173)</f>
        <v>0.28500000000000003</v>
      </c>
      <c r="BQ21" s="39">
        <f t="shared" ref="BQ21:BY21" si="56">AVERAGEIF($C$36:$C$173,"=4",BQ$36:BQ$173)</f>
        <v>0.49785714285714294</v>
      </c>
      <c r="BR21" s="39">
        <f t="shared" si="56"/>
        <v>0.2035714285714286</v>
      </c>
      <c r="BS21" s="39">
        <f t="shared" si="56"/>
        <v>1.5000000000000001E-2</v>
      </c>
      <c r="BT21" s="39">
        <f t="shared" si="56"/>
        <v>0.4900000000000001</v>
      </c>
      <c r="BU21" s="39">
        <f t="shared" si="56"/>
        <v>0.51714285714285713</v>
      </c>
      <c r="BV21" s="39">
        <f t="shared" si="56"/>
        <v>0.58571428571428574</v>
      </c>
      <c r="BW21" s="39">
        <f t="shared" si="56"/>
        <v>0.47357142857142864</v>
      </c>
      <c r="BX21" s="39">
        <f t="shared" si="56"/>
        <v>0.50785714285714278</v>
      </c>
      <c r="BY21" s="39">
        <f t="shared" si="56"/>
        <v>0.57642857142857129</v>
      </c>
      <c r="BZ21" s="129">
        <f>AVERAGEIF($C$36:$C$173,"=4",BZ$36:BZ$173)</f>
        <v>47.214285714285715</v>
      </c>
      <c r="CB21" s="129">
        <f>AVERAGEIF($C$36:$C$173,"=4",CB$36:CB$173)</f>
        <v>9.8571428571428577</v>
      </c>
      <c r="CD21" s="342">
        <f>AVERAGEIF($C$36:$C$173,"=4",CD$36:CD$173)</f>
        <v>0.28500000000000003</v>
      </c>
      <c r="CE21" s="342">
        <f t="shared" ref="CE21:CM21" si="57">AVERAGEIF($C$36:$C$173,"=4",CE$36:CE$173)</f>
        <v>0.50428571428571434</v>
      </c>
      <c r="CF21" s="342">
        <f t="shared" si="57"/>
        <v>0.20142857142857137</v>
      </c>
      <c r="CG21" s="342">
        <f t="shared" si="57"/>
        <v>1.0714285714285716E-2</v>
      </c>
      <c r="CH21" s="342">
        <f t="shared" si="57"/>
        <v>0.51214285714285712</v>
      </c>
      <c r="CI21" s="342">
        <f t="shared" si="57"/>
        <v>0.44071428571428573</v>
      </c>
      <c r="CJ21" s="342">
        <f t="shared" si="57"/>
        <v>0.59714285714285709</v>
      </c>
      <c r="CK21" s="342">
        <f t="shared" si="57"/>
        <v>0.58499999999999996</v>
      </c>
      <c r="CL21" s="342">
        <f t="shared" si="57"/>
        <v>0.46857142857142853</v>
      </c>
      <c r="CM21" s="342">
        <f t="shared" si="57"/>
        <v>0.60642857142857143</v>
      </c>
      <c r="CN21" s="129">
        <f>AVERAGEIF($C$36:$C$173,"=4",CN$36:CN$173)</f>
        <v>46.733333333333334</v>
      </c>
      <c r="CP21" s="129">
        <f>AVERAGEIF($C$36:$C$173,"=4",CP$36:CP$173)</f>
        <v>9.6</v>
      </c>
      <c r="CR21" s="342">
        <f>AVERAGEIF($C$36:$C$173,"=4",CR$36:CR$173)</f>
        <v>0.27266666666666667</v>
      </c>
      <c r="CS21" s="342">
        <f t="shared" ref="CS21:DB21" si="58">AVERAGEIF($C$36:$C$173,"=4",CS$36:CS$173)</f>
        <v>0.53799999999999992</v>
      </c>
      <c r="CT21" s="342">
        <f t="shared" si="58"/>
        <v>0.18266666666666667</v>
      </c>
      <c r="CU21" s="342">
        <f t="shared" si="58"/>
        <v>7.3333333333333341E-3</v>
      </c>
      <c r="CV21" s="342">
        <f t="shared" si="58"/>
        <v>0.41800000000000009</v>
      </c>
      <c r="CW21" s="342">
        <f t="shared" si="58"/>
        <v>0.60866666666666658</v>
      </c>
      <c r="CX21" s="342">
        <f t="shared" si="58"/>
        <v>0.60866666666666669</v>
      </c>
      <c r="CY21" s="342">
        <f t="shared" si="58"/>
        <v>0.71266666666666667</v>
      </c>
      <c r="CZ21" s="342">
        <f t="shared" si="58"/>
        <v>0.59533333333333327</v>
      </c>
      <c r="DA21" s="342">
        <f t="shared" si="58"/>
        <v>0.62866666666666648</v>
      </c>
      <c r="DB21" s="129">
        <f t="shared" si="58"/>
        <v>48.07692307692308</v>
      </c>
      <c r="DC21" s="495"/>
      <c r="DD21" s="129">
        <f>AVERAGEIF($C$36:$C$173,"=4",DD$36:DD$173)</f>
        <v>10</v>
      </c>
      <c r="DE21" s="495"/>
      <c r="DF21" s="342">
        <f t="shared" ref="DF21:DN21" si="59">AVERAGEIF($C$36:$C$173,"=4",DF$36:DF$173)</f>
        <v>0.26076923076923075</v>
      </c>
      <c r="DG21" s="342">
        <f t="shared" si="59"/>
        <v>0.47307692307692312</v>
      </c>
      <c r="DH21" s="342">
        <f t="shared" si="59"/>
        <v>0.24615384615384614</v>
      </c>
      <c r="DI21" s="342">
        <f t="shared" si="59"/>
        <v>2.230769230769231E-2</v>
      </c>
      <c r="DJ21" s="342">
        <f>AVERAGEIF($C$36:$C$173,"=4",DJ$36:DJ$173)</f>
        <v>0.52076923076923076</v>
      </c>
      <c r="DK21" s="342">
        <f>AVERAGEIF($C$36:$C$173,"=4",DK$36:DK$173)</f>
        <v>0.51461538461538459</v>
      </c>
      <c r="DL21" s="342">
        <f t="shared" si="59"/>
        <v>0.50846153846153841</v>
      </c>
      <c r="DM21" s="342">
        <f t="shared" si="59"/>
        <v>0.6399999999999999</v>
      </c>
      <c r="DN21" s="342">
        <f t="shared" si="59"/>
        <v>0.56000000000000005</v>
      </c>
      <c r="DO21" s="342">
        <f>AVERAGEIF($C$36:$C$173,"=4",DO$36:DO$173)</f>
        <v>0.46615384615384614</v>
      </c>
      <c r="DP21" s="129">
        <f>AVERAGEIF($C$36:$C$173,"=4",DP$36:DP$173)</f>
        <v>49.2</v>
      </c>
      <c r="DQ21" s="896"/>
      <c r="DR21" s="129">
        <f>AVERAGEIF($C$36:$C$173,"=4",DR$36:DR$173)</f>
        <v>9.4666666666666668</v>
      </c>
      <c r="DS21" s="896"/>
      <c r="DT21" s="342">
        <f>AVERAGEIF($C$36:$C$173,"=4",DT$36:DT$173)</f>
        <v>0.23533333333333331</v>
      </c>
      <c r="DU21" s="342">
        <f t="shared" ref="DU21:EC21" si="60">AVERAGEIF($C$36:$C$173,"=4",DU$36:DU$173)</f>
        <v>0.45933333333333332</v>
      </c>
      <c r="DV21" s="342">
        <f t="shared" si="60"/>
        <v>0.29399999999999998</v>
      </c>
      <c r="DW21" s="342">
        <f t="shared" si="60"/>
        <v>8.6666666666666663E-3</v>
      </c>
      <c r="DX21" s="342">
        <f t="shared" si="60"/>
        <v>0.51066666666666682</v>
      </c>
      <c r="DY21" s="342">
        <f t="shared" si="60"/>
        <v>0.41066666666666668</v>
      </c>
      <c r="DZ21" s="342">
        <f t="shared" si="60"/>
        <v>0.7406666666666667</v>
      </c>
      <c r="EA21" s="342">
        <f t="shared" si="60"/>
        <v>0.46266666666666667</v>
      </c>
      <c r="EB21" s="342">
        <f t="shared" si="60"/>
        <v>0.56199999999999994</v>
      </c>
      <c r="EC21" s="342">
        <f t="shared" si="60"/>
        <v>0.41600000000000004</v>
      </c>
    </row>
    <row r="22" spans="1:133" ht="24.95" customHeight="1" x14ac:dyDescent="0.2">
      <c r="A22" s="197" t="s">
        <v>144</v>
      </c>
      <c r="B22" s="6"/>
      <c r="C22" s="6"/>
      <c r="D22" s="129">
        <f>AVERAGEIF($C$36:$C$173,"=5",D$36:D$173)</f>
        <v>54.235294117647058</v>
      </c>
      <c r="E22" s="129">
        <f>AVERAGEIF($C$36:$C$173,"=5",E$36:E$173)</f>
        <v>8.6470588235294112</v>
      </c>
      <c r="F22" s="39">
        <f>AVERAGEIF($C$36:$C$173,"=5",F$36:F$173)</f>
        <v>7.058823529411766E-2</v>
      </c>
      <c r="G22" s="39">
        <f t="shared" ref="G22:O22" si="61">AVERAGEIF($C$36:$C$173,"=5",G$36:G$173)</f>
        <v>0.50588235294117634</v>
      </c>
      <c r="H22" s="39">
        <f t="shared" si="61"/>
        <v>0.41117647058823537</v>
      </c>
      <c r="I22" s="39">
        <f t="shared" si="61"/>
        <v>1.4117647058823528E-2</v>
      </c>
      <c r="J22" s="39">
        <f t="shared" si="61"/>
        <v>0.50294117647058822</v>
      </c>
      <c r="K22" s="39">
        <f t="shared" si="61"/>
        <v>0.44176470588235295</v>
      </c>
      <c r="L22" s="39">
        <f t="shared" si="61"/>
        <v>0.55823529411764705</v>
      </c>
      <c r="M22" s="39">
        <f t="shared" si="61"/>
        <v>0.36764705882352944</v>
      </c>
      <c r="N22" s="39">
        <f t="shared" si="61"/>
        <v>0.39647058823529413</v>
      </c>
      <c r="O22" s="39">
        <f t="shared" si="61"/>
        <v>0.46764705882352942</v>
      </c>
      <c r="P22" s="129">
        <f>AVERAGEIF($C$36:$C$173,"=5",P$36:P$173)</f>
        <v>54.117647058823529</v>
      </c>
      <c r="Q22" s="129">
        <f>AVERAGEIF($C$36:$C$173,"=5",Q$36:Q$173)</f>
        <v>8.882352941176471</v>
      </c>
      <c r="R22" s="39">
        <f>AVERAGEIF($C$36:$C$173,"=5",R$36:R$173)</f>
        <v>8.8235294117647078E-2</v>
      </c>
      <c r="S22" s="39">
        <f t="shared" ref="S22:AA22" si="62">AVERAGEIF($C$36:$C$173,"=5",S$36:S$173)</f>
        <v>0.44647058823529412</v>
      </c>
      <c r="T22" s="39">
        <f t="shared" si="62"/>
        <v>0.44000000000000006</v>
      </c>
      <c r="U22" s="39">
        <f t="shared" si="62"/>
        <v>2.5294117647058828E-2</v>
      </c>
      <c r="V22" s="39">
        <f t="shared" si="62"/>
        <v>0.35823529411764693</v>
      </c>
      <c r="W22" s="39">
        <f t="shared" si="62"/>
        <v>0.42823529411764705</v>
      </c>
      <c r="X22" s="39">
        <f t="shared" si="62"/>
        <v>0.50941176470588234</v>
      </c>
      <c r="Y22" s="39">
        <f t="shared" si="62"/>
        <v>0.40176470588235291</v>
      </c>
      <c r="Z22" s="39">
        <f t="shared" si="62"/>
        <v>0.3876470588235294</v>
      </c>
      <c r="AA22" s="39">
        <f t="shared" si="62"/>
        <v>0.44941176470588234</v>
      </c>
      <c r="AB22" s="129">
        <f>AVERAGEIF($C$36:$C$173,"=5",AB$36:AB$173)</f>
        <v>52.555555555555557</v>
      </c>
      <c r="AC22" s="129">
        <f>AVERAGEIF($C$36:$C$173,"=5",AC$36:AC$173)</f>
        <v>9.3333333333333339</v>
      </c>
      <c r="AD22" s="39">
        <f>AVERAGEIF($C$36:$C$173,"=5",AD$36:AD$173)</f>
        <v>0.11611111111111112</v>
      </c>
      <c r="AE22" s="39">
        <f t="shared" ref="AE22:AM22" si="63">AVERAGEIF($C$36:$C$173,"=5",AE$36:AE$173)</f>
        <v>0.46055555555555561</v>
      </c>
      <c r="AF22" s="39">
        <f t="shared" si="63"/>
        <v>0.39111111111111119</v>
      </c>
      <c r="AG22" s="39">
        <f t="shared" si="63"/>
        <v>3.2777777777777781E-2</v>
      </c>
      <c r="AH22" s="39">
        <f t="shared" si="63"/>
        <v>0.39499999999999991</v>
      </c>
      <c r="AI22" s="39">
        <f t="shared" si="63"/>
        <v>0.3938888888888889</v>
      </c>
      <c r="AJ22" s="39">
        <f t="shared" si="63"/>
        <v>0.34944444444444456</v>
      </c>
      <c r="AK22" s="39">
        <f t="shared" si="63"/>
        <v>0.44222222222222224</v>
      </c>
      <c r="AL22" s="39">
        <f t="shared" si="63"/>
        <v>0.5066666666666666</v>
      </c>
      <c r="AM22" s="39">
        <f t="shared" si="63"/>
        <v>0.48444444444444446</v>
      </c>
      <c r="AN22" s="129">
        <f>AVERAGEIF($C$36:$C$173,"=5",AN$36:AN$173)</f>
        <v>50.421052631578945</v>
      </c>
      <c r="AO22" s="129">
        <f>AVERAGEIF($C$36:$C$173,"=5",AO$36:AO$173)</f>
        <v>10.157894736842104</v>
      </c>
      <c r="AP22" s="39">
        <f>AVERAGEIF($C$36:$C$173,"=5",AP$36:AP$173)</f>
        <v>0.18526315789473688</v>
      </c>
      <c r="AQ22" s="39">
        <f t="shared" ref="AQ22:AY22" si="64">AVERAGEIF($C$36:$C$173,"=5",AQ$36:AQ$173)</f>
        <v>0.48052631578947363</v>
      </c>
      <c r="AR22" s="39">
        <f t="shared" si="64"/>
        <v>0.31052631578947371</v>
      </c>
      <c r="AS22" s="39">
        <f t="shared" si="64"/>
        <v>2.6315789473684209E-2</v>
      </c>
      <c r="AT22" s="39">
        <f t="shared" si="64"/>
        <v>0.48947368421052628</v>
      </c>
      <c r="AU22" s="39">
        <f t="shared" si="64"/>
        <v>0.44210526315789478</v>
      </c>
      <c r="AV22" s="39">
        <f t="shared" si="64"/>
        <v>0.42315789473684207</v>
      </c>
      <c r="AW22" s="39">
        <f t="shared" si="64"/>
        <v>0.44157894736842102</v>
      </c>
      <c r="AX22" s="39">
        <f t="shared" si="64"/>
        <v>0.43315789473684213</v>
      </c>
      <c r="AY22" s="39">
        <f t="shared" si="64"/>
        <v>0.43842105263157893</v>
      </c>
      <c r="AZ22" s="129">
        <f>AVERAGEIF($C$36:$C$173,"=5",AZ$36:AZ$173)</f>
        <v>53.777777777777779</v>
      </c>
      <c r="BA22" s="129">
        <f>AVERAGEIF($C$36:$C$173,"=5",BA$36:BA$173)</f>
        <v>9</v>
      </c>
      <c r="BB22" s="39">
        <f>AVERAGEIF($C$36:$C$173,"=5",BB$36:BB$173)</f>
        <v>0.10055555555555556</v>
      </c>
      <c r="BC22" s="39">
        <f t="shared" ref="BC22:BK22" si="65">AVERAGEIF($C$36:$C$173,"=5",BC$36:BC$173)</f>
        <v>0.44111111111111112</v>
      </c>
      <c r="BD22" s="39">
        <f t="shared" si="65"/>
        <v>0.435</v>
      </c>
      <c r="BE22" s="39">
        <f t="shared" si="65"/>
        <v>2.4444444444444446E-2</v>
      </c>
      <c r="BF22" s="39">
        <f t="shared" si="65"/>
        <v>0.40833333333333327</v>
      </c>
      <c r="BG22" s="39">
        <f t="shared" si="65"/>
        <v>0.41499999999999998</v>
      </c>
      <c r="BH22" s="39">
        <f t="shared" si="65"/>
        <v>0.39777777777777784</v>
      </c>
      <c r="BI22" s="39">
        <f t="shared" si="65"/>
        <v>0.46444444444444444</v>
      </c>
      <c r="BJ22" s="39">
        <f t="shared" si="65"/>
        <v>0.36055555555555552</v>
      </c>
      <c r="BK22" s="39">
        <f t="shared" si="65"/>
        <v>0.35666666666666669</v>
      </c>
      <c r="BL22" s="129">
        <f>AVERAGEIF($C$36:$C$173,"=5",BL$36:BL$173)</f>
        <v>52.111111111111114</v>
      </c>
      <c r="BN22" s="129">
        <f>AVERAGEIF($C$36:$C$173,"=5",BN$36:BN$173)</f>
        <v>10.222222222222221</v>
      </c>
      <c r="BP22" s="39">
        <f>AVERAGEIF($C$36:$C$173,"=5",BP$36:BP$173)</f>
        <v>0.15722222222222224</v>
      </c>
      <c r="BQ22" s="39">
        <f t="shared" ref="BQ22:BY22" si="66">AVERAGEIF($C$36:$C$173,"=5",BQ$36:BQ$173)</f>
        <v>0.44333333333333336</v>
      </c>
      <c r="BR22" s="39">
        <f t="shared" si="66"/>
        <v>0.36166666666666664</v>
      </c>
      <c r="BS22" s="39">
        <f t="shared" si="66"/>
        <v>3.7222222222222233E-2</v>
      </c>
      <c r="BT22" s="39">
        <f t="shared" si="66"/>
        <v>0.39944444444444449</v>
      </c>
      <c r="BU22" s="39">
        <f t="shared" si="66"/>
        <v>0.43333333333333335</v>
      </c>
      <c r="BV22" s="39">
        <f t="shared" si="66"/>
        <v>0.4811111111111111</v>
      </c>
      <c r="BW22" s="39">
        <f t="shared" si="66"/>
        <v>0.39111111111111119</v>
      </c>
      <c r="BX22" s="39">
        <f t="shared" si="66"/>
        <v>0.42777777777777776</v>
      </c>
      <c r="BY22" s="39">
        <f t="shared" si="66"/>
        <v>0.48833333333333329</v>
      </c>
      <c r="BZ22" s="129">
        <f>AVERAGEIF($C$36:$C$173,"=5",BZ$36:BZ$173)</f>
        <v>53.352941176470587</v>
      </c>
      <c r="CB22" s="129">
        <f>AVERAGEIF($C$36:$C$173,"=5",CB$36:CB$173)</f>
        <v>9.5882352941176467</v>
      </c>
      <c r="CD22" s="342">
        <f>AVERAGEIF($C$36:$C$173,"=5",CD$36:CD$173)</f>
        <v>0.13470588235294118</v>
      </c>
      <c r="CE22" s="342">
        <f t="shared" ref="CE22:CM22" si="67">AVERAGEIF($C$36:$C$173,"=5",CE$36:CE$173)</f>
        <v>0.42117647058823526</v>
      </c>
      <c r="CF22" s="342">
        <f t="shared" si="67"/>
        <v>0.42000000000000004</v>
      </c>
      <c r="CG22" s="342">
        <f t="shared" si="67"/>
        <v>2.4705882352941178E-2</v>
      </c>
      <c r="CH22" s="342">
        <f t="shared" si="67"/>
        <v>0.46294117647058819</v>
      </c>
      <c r="CI22" s="342">
        <f t="shared" si="67"/>
        <v>0.33058823529411763</v>
      </c>
      <c r="CJ22" s="342">
        <f t="shared" si="67"/>
        <v>0.5135294117647059</v>
      </c>
      <c r="CK22" s="342">
        <f t="shared" si="67"/>
        <v>0.50000000000000011</v>
      </c>
      <c r="CL22" s="342">
        <f t="shared" si="67"/>
        <v>0.38764705882352946</v>
      </c>
      <c r="CM22" s="342">
        <f t="shared" si="67"/>
        <v>0.5135294117647059</v>
      </c>
      <c r="CN22" s="129">
        <f>AVERAGEIF($C$36:$C$173,"=5",CN$36:CN$173)</f>
        <v>53.647058823529413</v>
      </c>
      <c r="CP22" s="129">
        <f>AVERAGEIF($C$36:$C$173,"=5",CP$36:CP$173)</f>
        <v>9.7058823529411757</v>
      </c>
      <c r="CR22" s="342">
        <f>AVERAGEIF($C$36:$C$173,"=5",CR$36:CR$173)</f>
        <v>0.10294117647058826</v>
      </c>
      <c r="CS22" s="342">
        <f t="shared" ref="CS22:DB22" si="68">AVERAGEIF($C$36:$C$173,"=5",CS$36:CS$173)</f>
        <v>0.46235294117647063</v>
      </c>
      <c r="CT22" s="342">
        <f t="shared" si="68"/>
        <v>0.39000000000000007</v>
      </c>
      <c r="CU22" s="342">
        <f t="shared" si="68"/>
        <v>4.8235294117647064E-2</v>
      </c>
      <c r="CV22" s="342">
        <f t="shared" si="68"/>
        <v>0.308235294117647</v>
      </c>
      <c r="CW22" s="342">
        <f t="shared" si="68"/>
        <v>0.47529411764705892</v>
      </c>
      <c r="CX22" s="342">
        <f t="shared" si="68"/>
        <v>0.50705882352941167</v>
      </c>
      <c r="CY22" s="342">
        <f t="shared" si="68"/>
        <v>0.59647058823529409</v>
      </c>
      <c r="CZ22" s="342">
        <f t="shared" si="68"/>
        <v>0.47058823529411759</v>
      </c>
      <c r="DA22" s="342">
        <f t="shared" si="68"/>
        <v>0.50705882352941167</v>
      </c>
      <c r="DB22" s="129">
        <f t="shared" si="68"/>
        <v>52.166666666666664</v>
      </c>
      <c r="DC22" s="495"/>
      <c r="DD22" s="129">
        <f>AVERAGEIF($C$36:$C$173,"=5",DD$36:DD$173)</f>
        <v>9.6666666666666661</v>
      </c>
      <c r="DE22" s="495"/>
      <c r="DF22" s="342">
        <f t="shared" ref="DF22:DN22" si="69">AVERAGEIF($C$36:$C$173,"=5",DF$36:DF$173)</f>
        <v>0.1544444444444445</v>
      </c>
      <c r="DG22" s="342">
        <f t="shared" si="69"/>
        <v>0.41722222222222227</v>
      </c>
      <c r="DH22" s="342">
        <f t="shared" si="69"/>
        <v>0.39111111111111119</v>
      </c>
      <c r="DI22" s="342">
        <f t="shared" si="69"/>
        <v>3.5000000000000003E-2</v>
      </c>
      <c r="DJ22" s="342">
        <f>AVERAGEIF($C$36:$C$173,"=5",DJ$36:DJ$173)</f>
        <v>0.45611111111111113</v>
      </c>
      <c r="DK22" s="342">
        <f>AVERAGEIF($C$36:$C$173,"=5",DK$36:DK$173)</f>
        <v>0.44333333333333325</v>
      </c>
      <c r="DL22" s="342">
        <f t="shared" si="69"/>
        <v>0.44722222222222224</v>
      </c>
      <c r="DM22" s="342">
        <f t="shared" si="69"/>
        <v>0.61722222222222223</v>
      </c>
      <c r="DN22" s="342">
        <f t="shared" si="69"/>
        <v>0.50277777777777777</v>
      </c>
      <c r="DO22" s="342">
        <f>AVERAGEIF($C$36:$C$173,"=5",DO$36:DO$173)</f>
        <v>0.39666666666666672</v>
      </c>
      <c r="DP22" s="129">
        <f>AVERAGEIF($C$36:$C$173,"=5",DP$36:DP$173)</f>
        <v>52.277777777777779</v>
      </c>
      <c r="DQ22" s="896"/>
      <c r="DR22" s="129">
        <f>AVERAGEIF($C$36:$C$173,"=5",DR$36:DR$173)</f>
        <v>10.222222222222221</v>
      </c>
      <c r="DS22" s="896"/>
      <c r="DT22" s="342">
        <f>AVERAGEIF($C$36:$C$173,"=5",DT$36:DT$173)</f>
        <v>0.15722222222222218</v>
      </c>
      <c r="DU22" s="342">
        <f t="shared" ref="DU22:EC22" si="70">AVERAGEIF($C$36:$C$173,"=5",DU$36:DU$173)</f>
        <v>0.43611111111111106</v>
      </c>
      <c r="DV22" s="342">
        <f t="shared" si="70"/>
        <v>0.36888888888888893</v>
      </c>
      <c r="DW22" s="342">
        <f t="shared" si="70"/>
        <v>3.833333333333333E-2</v>
      </c>
      <c r="DX22" s="342">
        <f t="shared" si="70"/>
        <v>0.43888888888888888</v>
      </c>
      <c r="DY22" s="342">
        <f t="shared" si="70"/>
        <v>0.34111111111111103</v>
      </c>
      <c r="DZ22" s="342">
        <f t="shared" si="70"/>
        <v>0.66555555555555557</v>
      </c>
      <c r="EA22" s="342">
        <f t="shared" si="70"/>
        <v>0.43888888888888888</v>
      </c>
      <c r="EB22" s="342">
        <f t="shared" si="70"/>
        <v>0.5277777777777779</v>
      </c>
      <c r="EC22" s="342">
        <f t="shared" si="70"/>
        <v>0.35777777777777781</v>
      </c>
    </row>
    <row r="23" spans="1:133" ht="24.95" customHeight="1" x14ac:dyDescent="0.2">
      <c r="A23" s="197" t="s">
        <v>145</v>
      </c>
      <c r="B23" s="6"/>
      <c r="C23" s="6"/>
      <c r="D23" s="129">
        <f>AVERAGEIF($C$36:$C$173,"=6",D$36:D$173)</f>
        <v>52.06666666666667</v>
      </c>
      <c r="E23" s="129">
        <f>AVERAGEIF($C$36:$C$173,"=6",E$36:E$173)</f>
        <v>7.5333333333333332</v>
      </c>
      <c r="F23" s="39">
        <f>AVERAGEIF($C$36:$C$173,"=6",F$36:F$173)</f>
        <v>0.13933333333333336</v>
      </c>
      <c r="G23" s="39">
        <f t="shared" ref="G23:O23" si="71">AVERAGEIF($C$36:$C$173,"=6",G$36:G$173)</f>
        <v>0.47666666666666663</v>
      </c>
      <c r="H23" s="39">
        <f t="shared" si="71"/>
        <v>0.37199999999999994</v>
      </c>
      <c r="I23" s="39">
        <f t="shared" si="71"/>
        <v>1.2666666666666666E-2</v>
      </c>
      <c r="J23" s="39">
        <f t="shared" si="71"/>
        <v>0.51133333333333342</v>
      </c>
      <c r="K23" s="39">
        <f t="shared" si="71"/>
        <v>0.47866666666666663</v>
      </c>
      <c r="L23" s="39">
        <f t="shared" si="71"/>
        <v>0.54333333333333333</v>
      </c>
      <c r="M23" s="39">
        <f t="shared" si="71"/>
        <v>0.40733333333333344</v>
      </c>
      <c r="N23" s="39">
        <f t="shared" si="71"/>
        <v>0.42933333333333334</v>
      </c>
      <c r="O23" s="39">
        <f t="shared" si="71"/>
        <v>0.50000000000000011</v>
      </c>
      <c r="P23" s="129">
        <f>AVERAGEIF($C$36:$C$173,"=6",P$36:P$173)</f>
        <v>50.6</v>
      </c>
      <c r="Q23" s="129">
        <f>AVERAGEIF($C$36:$C$173,"=6",Q$36:Q$173)</f>
        <v>9.5333333333333332</v>
      </c>
      <c r="R23" s="39">
        <f>AVERAGEIF($C$36:$C$173,"=6",R$36:R$173)</f>
        <v>0.16</v>
      </c>
      <c r="S23" s="39">
        <f t="shared" ref="S23:AA23" si="72">AVERAGEIF($C$36:$C$173,"=6",S$36:S$173)</f>
        <v>0.5013333333333333</v>
      </c>
      <c r="T23" s="39">
        <f t="shared" si="72"/>
        <v>0.3246666666666666</v>
      </c>
      <c r="U23" s="39">
        <f t="shared" si="72"/>
        <v>1.6666666666666666E-2</v>
      </c>
      <c r="V23" s="39">
        <f t="shared" si="72"/>
        <v>0.40000000000000008</v>
      </c>
      <c r="W23" s="39">
        <f t="shared" si="72"/>
        <v>0.49266666666666653</v>
      </c>
      <c r="X23" s="39">
        <f t="shared" si="72"/>
        <v>0.55066666666666664</v>
      </c>
      <c r="Y23" s="39">
        <f t="shared" si="72"/>
        <v>0.46666666666666667</v>
      </c>
      <c r="Z23" s="39">
        <f t="shared" si="72"/>
        <v>0.45133333333333336</v>
      </c>
      <c r="AA23" s="39">
        <f t="shared" si="72"/>
        <v>0.51933333333333331</v>
      </c>
      <c r="AB23" s="129">
        <f>AVERAGEIF($C$36:$C$173,"=6",AB$36:AB$173)</f>
        <v>50.571428571428569</v>
      </c>
      <c r="AC23" s="129">
        <f>AVERAGEIF($C$36:$C$173,"=6",AC$36:AC$173)</f>
        <v>10.357142857142858</v>
      </c>
      <c r="AD23" s="39">
        <f>AVERAGEIF($C$36:$C$173,"=6",AD$36:AD$173)</f>
        <v>0.18642857142857142</v>
      </c>
      <c r="AE23" s="39">
        <f t="shared" ref="AE23:AM23" si="73">AVERAGEIF($C$36:$C$173,"=6",AE$36:AE$173)</f>
        <v>0.50714285714285712</v>
      </c>
      <c r="AF23" s="39">
        <f t="shared" si="73"/>
        <v>0.28214285714285714</v>
      </c>
      <c r="AG23" s="39">
        <f t="shared" si="73"/>
        <v>2.5714285714285714E-2</v>
      </c>
      <c r="AH23" s="39">
        <f t="shared" si="73"/>
        <v>0.40714285714285708</v>
      </c>
      <c r="AI23" s="39">
        <f t="shared" si="73"/>
        <v>0.43285714285714288</v>
      </c>
      <c r="AJ23" s="39">
        <f t="shared" si="73"/>
        <v>0.37714285714285717</v>
      </c>
      <c r="AK23" s="39">
        <f t="shared" si="73"/>
        <v>0.47857142857142865</v>
      </c>
      <c r="AL23" s="39">
        <f t="shared" si="73"/>
        <v>0.54785714285714282</v>
      </c>
      <c r="AM23" s="39">
        <f t="shared" si="73"/>
        <v>0.52928571428571425</v>
      </c>
      <c r="AN23" s="129">
        <f>AVERAGEIF($C$36:$C$173,"=6",AN$36:AN$173)</f>
        <v>49.2</v>
      </c>
      <c r="AO23" s="129">
        <f>AVERAGEIF($C$36:$C$173,"=6",AO$36:AO$173)</f>
        <v>10.066666666666666</v>
      </c>
      <c r="AP23" s="39">
        <f>AVERAGEIF($C$36:$C$173,"=6",AP$36:AP$173)</f>
        <v>0.2233333333333333</v>
      </c>
      <c r="AQ23" s="39">
        <f t="shared" ref="AQ23:AY23" si="74">AVERAGEIF($C$36:$C$173,"=6",AQ$36:AQ$173)</f>
        <v>0.51066666666666671</v>
      </c>
      <c r="AR23" s="39">
        <f t="shared" si="74"/>
        <v>0.25266666666666665</v>
      </c>
      <c r="AS23" s="39">
        <f t="shared" si="74"/>
        <v>1.4000000000000002E-2</v>
      </c>
      <c r="AT23" s="39">
        <f t="shared" si="74"/>
        <v>0.53800000000000003</v>
      </c>
      <c r="AU23" s="39">
        <f t="shared" si="74"/>
        <v>0.45400000000000001</v>
      </c>
      <c r="AV23" s="39">
        <f t="shared" si="74"/>
        <v>0.44866666666666666</v>
      </c>
      <c r="AW23" s="39">
        <f t="shared" si="74"/>
        <v>0.45133333333333336</v>
      </c>
      <c r="AX23" s="39">
        <f t="shared" si="74"/>
        <v>0.45933333333333337</v>
      </c>
      <c r="AY23" s="39">
        <f t="shared" si="74"/>
        <v>0.47933333333333344</v>
      </c>
      <c r="AZ23" s="129">
        <f>AVERAGEIF($C$36:$C$173,"=6",AZ$36:AZ$173)</f>
        <v>49.588235294117645</v>
      </c>
      <c r="BA23" s="129">
        <f>AVERAGEIF($C$36:$C$173,"=6",BA$36:BA$173)</f>
        <v>9.3529411764705888</v>
      </c>
      <c r="BB23" s="39">
        <f>AVERAGEIF($C$36:$C$173,"=6",BB$36:BB$173)</f>
        <v>0.23470588235294115</v>
      </c>
      <c r="BC23" s="39">
        <f t="shared" ref="BC23:BK23" si="75">AVERAGEIF($C$36:$C$173,"=6",BC$36:BC$173)</f>
        <v>0.47823529411764709</v>
      </c>
      <c r="BD23" s="39">
        <f t="shared" si="75"/>
        <v>0.25882352941176479</v>
      </c>
      <c r="BE23" s="39">
        <f t="shared" si="75"/>
        <v>2.8235294117647063E-2</v>
      </c>
      <c r="BF23" s="39">
        <f t="shared" si="75"/>
        <v>0.4847058823529411</v>
      </c>
      <c r="BG23" s="39">
        <f t="shared" si="75"/>
        <v>0.48058823529411765</v>
      </c>
      <c r="BH23" s="39">
        <f t="shared" si="75"/>
        <v>0.48529411764705882</v>
      </c>
      <c r="BI23" s="39">
        <f t="shared" si="75"/>
        <v>0.56058823529411761</v>
      </c>
      <c r="BJ23" s="39">
        <f t="shared" si="75"/>
        <v>0.41823529411764715</v>
      </c>
      <c r="BK23" s="39">
        <f t="shared" si="75"/>
        <v>0.42823529411764705</v>
      </c>
      <c r="BL23" s="129">
        <f>AVERAGEIF($C$36:$C$173,"=6",BL$36:BL$173)</f>
        <v>48.941176470588232</v>
      </c>
      <c r="BN23" s="129">
        <f>AVERAGEIF($C$36:$C$173,"=6",BN$36:BN$173)</f>
        <v>9.1764705882352935</v>
      </c>
      <c r="BP23" s="39">
        <f>AVERAGEIF($C$36:$C$173,"=6",BP$36:BP$173)</f>
        <v>0.20764705882352943</v>
      </c>
      <c r="BQ23" s="39">
        <f t="shared" ref="BQ23:BY23" si="76">AVERAGEIF($C$36:$C$173,"=6",BQ$36:BQ$173)</f>
        <v>0.52882352941176469</v>
      </c>
      <c r="BR23" s="39">
        <f t="shared" si="76"/>
        <v>0.25588235294117645</v>
      </c>
      <c r="BS23" s="39">
        <f t="shared" si="76"/>
        <v>0.01</v>
      </c>
      <c r="BT23" s="39">
        <f t="shared" si="76"/>
        <v>0.42176470588235299</v>
      </c>
      <c r="BU23" s="39">
        <f t="shared" si="76"/>
        <v>0.49</v>
      </c>
      <c r="BV23" s="39">
        <f t="shared" si="76"/>
        <v>0.54705882352941182</v>
      </c>
      <c r="BW23" s="39">
        <f t="shared" si="76"/>
        <v>0.43882352941176478</v>
      </c>
      <c r="BX23" s="39">
        <f t="shared" si="76"/>
        <v>0.48176470588235293</v>
      </c>
      <c r="BY23" s="39">
        <f t="shared" si="76"/>
        <v>0.55647058823529416</v>
      </c>
      <c r="BZ23" s="129">
        <f>AVERAGEIF($C$36:$C$173,"=6",BZ$36:BZ$173)</f>
        <v>49.736842105263158</v>
      </c>
      <c r="CB23" s="129">
        <f>AVERAGEIF($C$36:$C$173,"=6",CB$36:CB$173)</f>
        <v>10.789473684210526</v>
      </c>
      <c r="CD23" s="342">
        <f>AVERAGEIF($C$36:$C$173,"=6",CD$36:CD$173)</f>
        <v>0.25210526315789467</v>
      </c>
      <c r="CE23" s="342">
        <f t="shared" ref="CE23:CM23" si="77">AVERAGEIF($C$36:$C$173,"=6",CE$36:CE$173)</f>
        <v>0.39526315789473687</v>
      </c>
      <c r="CF23" s="342">
        <f t="shared" si="77"/>
        <v>0.3194736842105263</v>
      </c>
      <c r="CG23" s="342">
        <f t="shared" si="77"/>
        <v>3.3157894736842108E-2</v>
      </c>
      <c r="CH23" s="342">
        <f t="shared" si="77"/>
        <v>0.48263157894736841</v>
      </c>
      <c r="CI23" s="342">
        <f t="shared" si="77"/>
        <v>0.38210526315789478</v>
      </c>
      <c r="CJ23" s="342">
        <f t="shared" si="77"/>
        <v>0.5742105263157895</v>
      </c>
      <c r="CK23" s="342">
        <f t="shared" si="77"/>
        <v>0.54315789473684206</v>
      </c>
      <c r="CL23" s="342">
        <f t="shared" si="77"/>
        <v>0.46526315789473682</v>
      </c>
      <c r="CM23" s="342">
        <f t="shared" si="77"/>
        <v>0.55947368421052635</v>
      </c>
      <c r="CN23" s="129">
        <f>AVERAGEIF($C$36:$C$173,"=6",CN$36:CN$173)</f>
        <v>51.15</v>
      </c>
      <c r="CP23" s="129">
        <f>AVERAGEIF($C$36:$C$173,"=6",CP$36:CP$173)</f>
        <v>8.5500000000000007</v>
      </c>
      <c r="CR23" s="342">
        <f>AVERAGEIF($C$36:$C$173,"=6",CR$36:CR$173)</f>
        <v>0.16200000000000001</v>
      </c>
      <c r="CS23" s="342">
        <f t="shared" ref="CS23:DB23" si="78">AVERAGEIF($C$36:$C$173,"=6",CS$36:CS$173)</f>
        <v>0.49749999999999989</v>
      </c>
      <c r="CT23" s="342">
        <f t="shared" si="78"/>
        <v>0.32400000000000001</v>
      </c>
      <c r="CU23" s="342">
        <f t="shared" si="78"/>
        <v>1.4999999999999999E-2</v>
      </c>
      <c r="CV23" s="342">
        <f t="shared" si="78"/>
        <v>0.35450000000000004</v>
      </c>
      <c r="CW23" s="342">
        <f t="shared" si="78"/>
        <v>0.51149999999999995</v>
      </c>
      <c r="CX23" s="342">
        <f t="shared" si="78"/>
        <v>0.52350000000000008</v>
      </c>
      <c r="CY23" s="342">
        <f t="shared" si="78"/>
        <v>0.6725000000000001</v>
      </c>
      <c r="CZ23" s="342">
        <f t="shared" si="78"/>
        <v>0.5784999999999999</v>
      </c>
      <c r="DA23" s="342">
        <f t="shared" si="78"/>
        <v>0.51600000000000013</v>
      </c>
      <c r="DB23" s="129">
        <f t="shared" si="78"/>
        <v>50.611111111111114</v>
      </c>
      <c r="DC23" s="495"/>
      <c r="DD23" s="129">
        <f>AVERAGEIF($C$36:$C$173,"=6",DD$36:DD$173)</f>
        <v>10.166666666666666</v>
      </c>
      <c r="DE23" s="495"/>
      <c r="DF23" s="342">
        <f t="shared" ref="DF23:DN23" si="79">AVERAGEIF($C$36:$C$173,"=6",DF$36:DF$173)</f>
        <v>0.21444444444444441</v>
      </c>
      <c r="DG23" s="342">
        <f t="shared" si="79"/>
        <v>0.43444444444444441</v>
      </c>
      <c r="DH23" s="342">
        <f t="shared" si="79"/>
        <v>0.32222222222222224</v>
      </c>
      <c r="DI23" s="342">
        <f t="shared" si="79"/>
        <v>3.1666666666666669E-2</v>
      </c>
      <c r="DJ23" s="342">
        <f>AVERAGEIF($C$36:$C$173,"=6",DJ$36:DJ$173)</f>
        <v>0.48777777777777787</v>
      </c>
      <c r="DK23" s="342">
        <f>AVERAGEIF($C$36:$C$173,"=6",DK$36:DK$173)</f>
        <v>0.48444444444444457</v>
      </c>
      <c r="DL23" s="342">
        <f t="shared" si="79"/>
        <v>0.47611111111111115</v>
      </c>
      <c r="DM23" s="342">
        <f t="shared" si="79"/>
        <v>0.62166666666666659</v>
      </c>
      <c r="DN23" s="342">
        <f t="shared" si="79"/>
        <v>0.52388888888888885</v>
      </c>
      <c r="DO23" s="342">
        <f>AVERAGEIF($C$36:$C$173,"=6",DO$36:DO$173)</f>
        <v>0.37777777777777777</v>
      </c>
      <c r="DP23" s="129">
        <f>AVERAGEIF($C$36:$C$173,"=6",DP$36:DP$173)</f>
        <v>51.368421052631582</v>
      </c>
      <c r="DQ23" s="896"/>
      <c r="DR23" s="129">
        <f>AVERAGEIF($C$36:$C$173,"=6",DR$36:DR$173)</f>
        <v>10.421052631578947</v>
      </c>
      <c r="DS23" s="896"/>
      <c r="DT23" s="342">
        <f>AVERAGEIF($C$36:$C$173,"=6",DT$36:DT$173)</f>
        <v>0.19052631578947368</v>
      </c>
      <c r="DU23" s="342">
        <f t="shared" ref="DU23:EC23" si="80">AVERAGEIF($C$36:$C$173,"=6",DU$36:DU$173)</f>
        <v>0.42421052631578948</v>
      </c>
      <c r="DV23" s="342">
        <f t="shared" si="80"/>
        <v>0.33894736842105261</v>
      </c>
      <c r="DW23" s="342">
        <f t="shared" si="80"/>
        <v>4.68421052631579E-2</v>
      </c>
      <c r="DX23" s="342">
        <f t="shared" si="80"/>
        <v>0.4768421052631579</v>
      </c>
      <c r="DY23" s="342">
        <f t="shared" si="80"/>
        <v>0.36000000000000004</v>
      </c>
      <c r="DZ23" s="342">
        <f t="shared" si="80"/>
        <v>0.60631578947368414</v>
      </c>
      <c r="EA23" s="342">
        <f t="shared" si="80"/>
        <v>0.4615789473684212</v>
      </c>
      <c r="EB23" s="342">
        <f t="shared" si="80"/>
        <v>0.54578947368421038</v>
      </c>
      <c r="EC23" s="342">
        <f t="shared" si="80"/>
        <v>0.35631578947368425</v>
      </c>
    </row>
    <row r="24" spans="1:133" ht="24.95" customHeight="1" x14ac:dyDescent="0.2">
      <c r="A24" s="6" t="s">
        <v>776</v>
      </c>
      <c r="B24" s="299"/>
      <c r="C24" s="299"/>
      <c r="D24" s="129">
        <f>AVERAGEIFS(D$36:D$173,$C$36:$C$173,"=1", $B$36:$B$173,"OFICIAL")</f>
        <v>50.75</v>
      </c>
      <c r="E24" s="129">
        <f>AVERAGEIFS(E$36:E$173,$C$36:$C$173,"=1", $B$36:$B$173,"OFICIAL")</f>
        <v>9</v>
      </c>
      <c r="F24" s="39">
        <f>AVERAGEIFS(F$36:F$173,$C$36:$C$173,"=1", $B$36:$B$173,"OFICIAL")</f>
        <v>0.16250000000000001</v>
      </c>
      <c r="G24" s="39">
        <f t="shared" ref="G24:O24" si="81">AVERAGEIFS(G$36:G$173,$C$36:$C$173,"=1", $B$36:$B$173,"OFICIAL")</f>
        <v>0.53750000000000009</v>
      </c>
      <c r="H24" s="39">
        <f t="shared" si="81"/>
        <v>0.29249999999999998</v>
      </c>
      <c r="I24" s="39">
        <f t="shared" si="81"/>
        <v>5.0000000000000001E-3</v>
      </c>
      <c r="J24" s="39">
        <f t="shared" si="81"/>
        <v>0.5475000000000001</v>
      </c>
      <c r="K24" s="39">
        <f t="shared" si="81"/>
        <v>0.52</v>
      </c>
      <c r="L24" s="39">
        <f t="shared" si="81"/>
        <v>0.59499999999999997</v>
      </c>
      <c r="M24" s="39">
        <f t="shared" si="81"/>
        <v>0.42999999999999994</v>
      </c>
      <c r="N24" s="39">
        <f t="shared" si="81"/>
        <v>0.42749999999999999</v>
      </c>
      <c r="O24" s="39">
        <f t="shared" si="81"/>
        <v>0.51</v>
      </c>
      <c r="P24" s="129">
        <f>AVERAGEIFS(P$36:P$173,$C$36:$C$173,"=1", $B$36:$B$173,"OFICIAL")</f>
        <v>51.5</v>
      </c>
      <c r="Q24" s="129">
        <f>AVERAGEIFS(Q$36:Q$173,$C$36:$C$173,"=1", $B$36:$B$173,"OFICIAL")</f>
        <v>8.75</v>
      </c>
      <c r="R24" s="39">
        <f>AVERAGEIFS(R$36:R$173,$C$36:$C$173,"=1", $B$36:$B$173,"OFICIAL")</f>
        <v>0.125</v>
      </c>
      <c r="S24" s="39">
        <f t="shared" ref="S24:AA24" si="82">AVERAGEIFS(S$36:S$173,$C$36:$C$173,"=1", $B$36:$B$173,"OFICIAL")</f>
        <v>0.53750000000000009</v>
      </c>
      <c r="T24" s="39">
        <f t="shared" si="82"/>
        <v>0.32750000000000001</v>
      </c>
      <c r="U24" s="39">
        <f t="shared" si="82"/>
        <v>0.01</v>
      </c>
      <c r="V24" s="39">
        <f t="shared" si="82"/>
        <v>0.42000000000000004</v>
      </c>
      <c r="W24" s="39">
        <f t="shared" si="82"/>
        <v>0.47749999999999998</v>
      </c>
      <c r="X24" s="39">
        <f t="shared" si="82"/>
        <v>0.5475000000000001</v>
      </c>
      <c r="Y24" s="39">
        <f t="shared" si="82"/>
        <v>0.4425</v>
      </c>
      <c r="Z24" s="39">
        <f t="shared" si="82"/>
        <v>0.42000000000000004</v>
      </c>
      <c r="AA24" s="39">
        <f t="shared" si="82"/>
        <v>0.48750000000000004</v>
      </c>
      <c r="AB24" s="129">
        <f>AVERAGEIFS(AB$36:AB$173,$C$36:$C$173,"=1", $B$36:$B$173,"OFICIAL")</f>
        <v>48.25</v>
      </c>
      <c r="AC24" s="129">
        <f>AVERAGEIFS(AC$36:AC$173,$C$36:$C$173,"=1", $B$36:$B$173,"OFICIAL")</f>
        <v>10</v>
      </c>
      <c r="AD24" s="39">
        <f>AVERAGEIFS(AD$36:AD$173,$C$36:$C$173,"=1", $B$36:$B$173,"OFICIAL")</f>
        <v>0.24249999999999999</v>
      </c>
      <c r="AE24" s="39">
        <f t="shared" ref="AE24:AM24" si="83">AVERAGEIFS(AE$36:AE$173,$C$36:$C$173,"=1", $B$36:$B$173,"OFICIAL")</f>
        <v>0.53</v>
      </c>
      <c r="AF24" s="39">
        <f t="shared" si="83"/>
        <v>0.21999999999999997</v>
      </c>
      <c r="AG24" s="39">
        <f t="shared" si="83"/>
        <v>0.01</v>
      </c>
      <c r="AH24" s="39">
        <f t="shared" si="83"/>
        <v>0.45499999999999996</v>
      </c>
      <c r="AI24" s="39">
        <f t="shared" si="83"/>
        <v>0.45999999999999996</v>
      </c>
      <c r="AJ24" s="39">
        <f t="shared" si="83"/>
        <v>0.42500000000000004</v>
      </c>
      <c r="AK24" s="39">
        <f t="shared" si="83"/>
        <v>0.52249999999999996</v>
      </c>
      <c r="AL24" s="39">
        <f t="shared" si="83"/>
        <v>0.58250000000000002</v>
      </c>
      <c r="AM24" s="39">
        <f t="shared" si="83"/>
        <v>0.56499999999999995</v>
      </c>
      <c r="AN24" s="129">
        <f>AVERAGEIFS(AN$36:AN$173,$C$36:$C$173,"=1", $B$36:$B$173,"OFICIAL")</f>
        <v>47.25</v>
      </c>
      <c r="AO24" s="129">
        <f>AVERAGEIFS(AO$36:AO$173,$C$36:$C$173,"=1", $B$36:$B$173,"OFICIAL")</f>
        <v>10.75</v>
      </c>
      <c r="AP24" s="39">
        <f>AVERAGEIFS(AP$36:AP$173,$C$36:$C$173,"=1", $B$36:$B$173,"OFICIAL")</f>
        <v>0.29000000000000004</v>
      </c>
      <c r="AQ24" s="39">
        <f t="shared" ref="AQ24:AY24" si="84">AVERAGEIFS(AQ$36:AQ$173,$C$36:$C$173,"=1", $B$36:$B$173,"OFICIAL")</f>
        <v>0.48</v>
      </c>
      <c r="AR24" s="39">
        <f t="shared" si="84"/>
        <v>0.2175</v>
      </c>
      <c r="AS24" s="39">
        <f t="shared" si="84"/>
        <v>1.7500000000000002E-2</v>
      </c>
      <c r="AT24" s="39">
        <f t="shared" si="84"/>
        <v>0.57250000000000001</v>
      </c>
      <c r="AU24" s="39">
        <f t="shared" si="84"/>
        <v>0.4975</v>
      </c>
      <c r="AV24" s="39">
        <f t="shared" si="84"/>
        <v>0.47499999999999998</v>
      </c>
      <c r="AW24" s="39">
        <f t="shared" si="84"/>
        <v>0.47749999999999998</v>
      </c>
      <c r="AX24" s="39">
        <f t="shared" si="84"/>
        <v>0.505</v>
      </c>
      <c r="AY24" s="39">
        <f t="shared" si="84"/>
        <v>0.49</v>
      </c>
      <c r="AZ24" s="129">
        <f>AVERAGEIFS(AZ$36:AZ$173,$C$36:$C$173,"=1", $B$36:$B$173,"OFICIAL")</f>
        <v>49.75</v>
      </c>
      <c r="BA24" s="129">
        <f>AVERAGEIFS(BA$36:BA$173,$C$36:$C$173,"=1", $B$36:$B$173,"OFICIAL")</f>
        <v>9.75</v>
      </c>
      <c r="BB24" s="39">
        <f>AVERAGEIFS(BB$36:BB$173,$C$36:$C$173,"=1", $B$36:$B$173,"OFICIAL")</f>
        <v>0.19750000000000001</v>
      </c>
      <c r="BC24" s="39">
        <f t="shared" ref="BC24:BK24" si="85">AVERAGEIFS(BC$36:BC$173,$C$36:$C$173,"=1", $B$36:$B$173,"OFICIAL")</f>
        <v>0.52249999999999996</v>
      </c>
      <c r="BD24" s="39">
        <f t="shared" si="85"/>
        <v>0.255</v>
      </c>
      <c r="BE24" s="39">
        <f t="shared" si="85"/>
        <v>2.2499999999999999E-2</v>
      </c>
      <c r="BF24" s="39">
        <f t="shared" si="85"/>
        <v>0.47499999999999998</v>
      </c>
      <c r="BG24" s="39">
        <f t="shared" si="85"/>
        <v>0.48499999999999999</v>
      </c>
      <c r="BH24" s="39">
        <f t="shared" si="85"/>
        <v>0.48749999999999999</v>
      </c>
      <c r="BI24" s="39">
        <f t="shared" si="85"/>
        <v>0.5774999999999999</v>
      </c>
      <c r="BJ24" s="39">
        <f t="shared" si="85"/>
        <v>0.41250000000000003</v>
      </c>
      <c r="BK24" s="39">
        <f t="shared" si="85"/>
        <v>0.41749999999999998</v>
      </c>
      <c r="BL24" s="129">
        <f>AVERAGEIFS(BL$36:BL$173,$C$36:$C$173,"=1", $B$36:$B$173,"OFICIAL")</f>
        <v>47.5</v>
      </c>
      <c r="BN24" s="129">
        <f>AVERAGEIFS(BN$36:BN$173,$C$36:$C$173,"=1", $B$36:$B$173,"OFICIAL")</f>
        <v>10.25</v>
      </c>
      <c r="BP24" s="39">
        <f>AVERAGEIFS(BP$36:BP$173,$C$36:$C$173,"=1", $B$36:$B$173,"OFICIAL")</f>
        <v>0.26500000000000001</v>
      </c>
      <c r="BQ24" s="39">
        <f t="shared" ref="BQ24:BY24" si="86">AVERAGEIFS(BQ$36:BQ$173,$C$36:$C$173,"=1", $B$36:$B$173,"OFICIAL")</f>
        <v>0.4975</v>
      </c>
      <c r="BR24" s="39">
        <f t="shared" si="86"/>
        <v>0.22249999999999998</v>
      </c>
      <c r="BS24" s="39">
        <f t="shared" si="86"/>
        <v>1.4999999999999999E-2</v>
      </c>
      <c r="BT24" s="39">
        <f t="shared" si="86"/>
        <v>0.47249999999999998</v>
      </c>
      <c r="BU24" s="39">
        <f t="shared" si="86"/>
        <v>0.51750000000000007</v>
      </c>
      <c r="BV24" s="39">
        <f t="shared" si="86"/>
        <v>0.61250000000000004</v>
      </c>
      <c r="BW24" s="39">
        <f t="shared" si="86"/>
        <v>0.45499999999999996</v>
      </c>
      <c r="BX24" s="39">
        <f t="shared" si="86"/>
        <v>0.48749999999999999</v>
      </c>
      <c r="BY24" s="39">
        <f t="shared" si="86"/>
        <v>0.55249999999999999</v>
      </c>
      <c r="BZ24" s="129">
        <f>AVERAGEIFS(BZ$36:BZ$173,$C$36:$C$173,"=1", $B$36:$B$173,"OFICIAL")</f>
        <v>48.2</v>
      </c>
      <c r="CB24" s="129">
        <f>AVERAGEIFS(CB$36:CB$173,$C$36:$C$173,"=1", $B$36:$B$173,"OFICIAL")</f>
        <v>10.8</v>
      </c>
      <c r="CD24" s="342">
        <f>AVERAGEIFS(CD$36:CD$173,$C$36:$C$173,"=1", $B$36:$B$173,"OFICIAL")</f>
        <v>0.25600000000000001</v>
      </c>
      <c r="CE24" s="342">
        <f t="shared" ref="CE24:CM24" si="87">AVERAGEIFS(CE$36:CE$173,$C$36:$C$173,"=1", $B$36:$B$173,"OFICIAL")</f>
        <v>0.49199999999999999</v>
      </c>
      <c r="CF24" s="342">
        <f t="shared" si="87"/>
        <v>0.23599999999999999</v>
      </c>
      <c r="CG24" s="342">
        <f t="shared" si="87"/>
        <v>1.7999999999999999E-2</v>
      </c>
      <c r="CH24" s="342">
        <f t="shared" si="87"/>
        <v>0.53</v>
      </c>
      <c r="CI24" s="342">
        <f t="shared" si="87"/>
        <v>0.442</v>
      </c>
      <c r="CJ24" s="342">
        <f t="shared" si="87"/>
        <v>0.59199999999999997</v>
      </c>
      <c r="CK24" s="342">
        <f t="shared" si="87"/>
        <v>0.56200000000000006</v>
      </c>
      <c r="CL24" s="342">
        <f t="shared" si="87"/>
        <v>0.45199999999999996</v>
      </c>
      <c r="CM24" s="342">
        <f t="shared" si="87"/>
        <v>0.59199999999999986</v>
      </c>
      <c r="CN24" s="129">
        <f>AVERAGEIFS(CN$36:CN$173,$C$36:$C$173,"=1", $B$36:$B$173,"OFICIAL")</f>
        <v>48.2</v>
      </c>
      <c r="CP24" s="129">
        <f>AVERAGEIFS(CP$36:CP$173,$C$36:$C$173,"=1", $B$36:$B$173,"OFICIAL")</f>
        <v>9.8000000000000007</v>
      </c>
      <c r="CR24" s="342">
        <f>AVERAGEIFS(CR$36:CR$173,$C$36:$C$173,"=1", $B$36:$B$173,"OFICIAL")</f>
        <v>0.246</v>
      </c>
      <c r="CS24" s="342">
        <f t="shared" ref="CS24:DB24" si="88">AVERAGEIFS(CS$36:CS$173,$C$36:$C$173,"=1", $B$36:$B$173,"OFICIAL")</f>
        <v>0.51600000000000001</v>
      </c>
      <c r="CT24" s="342">
        <f t="shared" si="88"/>
        <v>0.22800000000000004</v>
      </c>
      <c r="CU24" s="342">
        <f t="shared" si="88"/>
        <v>8.0000000000000002E-3</v>
      </c>
      <c r="CV24" s="342">
        <f t="shared" si="88"/>
        <v>0.38800000000000001</v>
      </c>
      <c r="CW24" s="342">
        <f t="shared" si="88"/>
        <v>0.57000000000000006</v>
      </c>
      <c r="CX24" s="342">
        <f t="shared" si="88"/>
        <v>0.60599999999999998</v>
      </c>
      <c r="CY24" s="342">
        <f t="shared" si="88"/>
        <v>0.59600000000000009</v>
      </c>
      <c r="CZ24" s="342">
        <f t="shared" si="88"/>
        <v>0.6</v>
      </c>
      <c r="DA24" s="342">
        <f t="shared" si="88"/>
        <v>0.61</v>
      </c>
      <c r="DB24" s="490">
        <f t="shared" si="88"/>
        <v>47.8</v>
      </c>
      <c r="DC24" s="495"/>
      <c r="DD24" s="300">
        <f>AVERAGEIFS(DD$36:DD$173,$C$36:$C$173,"=1", $B$36:$B$173,"OFICIAL")</f>
        <v>10.4</v>
      </c>
      <c r="DE24" s="495"/>
      <c r="DF24" s="343">
        <f t="shared" ref="DF24:DN24" si="89">AVERAGEIFS(DF$36:DF$173,$C$36:$C$173,"=1", $B$36:$B$173,"OFICIAL")</f>
        <v>0.27800000000000002</v>
      </c>
      <c r="DG24" s="343">
        <f t="shared" si="89"/>
        <v>0.45800000000000002</v>
      </c>
      <c r="DH24" s="343">
        <f t="shared" si="89"/>
        <v>0.25800000000000001</v>
      </c>
      <c r="DI24" s="343">
        <f t="shared" si="89"/>
        <v>4.0000000000000001E-3</v>
      </c>
      <c r="DJ24" s="343">
        <f>AVERAGEIFS(DJ$36:DJ$173,$C$36:$C$173,"=1", $B$36:$B$173,"OFICIAL")</f>
        <v>0.52200000000000002</v>
      </c>
      <c r="DK24" s="343">
        <f>AVERAGEIFS(DK$36:DK$173,$C$36:$C$173,"=1", $B$36:$B$173,"OFICIAL")</f>
        <v>0.51400000000000001</v>
      </c>
      <c r="DL24" s="343">
        <f t="shared" si="89"/>
        <v>0.53</v>
      </c>
      <c r="DM24" s="343">
        <f t="shared" si="89"/>
        <v>0.66800000000000004</v>
      </c>
      <c r="DN24" s="343">
        <f t="shared" si="89"/>
        <v>0.56799999999999995</v>
      </c>
      <c r="DO24" s="343">
        <f>AVERAGEIFS(DO$36:DO$173,$C$36:$C$173,"=1", $B$36:$B$173,"OFICIAL")</f>
        <v>0.43</v>
      </c>
      <c r="DP24" s="129">
        <f>AVERAGEIFS(DP$36:DP$173,$C$36:$C$173,"=1", $B$36:$B$173,"OFICIAL")</f>
        <v>48</v>
      </c>
      <c r="DQ24" s="896"/>
      <c r="DR24" s="129">
        <f>AVERAGEIFS(DR$36:DR$173,$C$36:$C$173,"=1", $B$36:$B$173,"OFICIAL")</f>
        <v>10.6</v>
      </c>
      <c r="DS24" s="896"/>
      <c r="DT24" s="342">
        <f>AVERAGEIFS(DT$36:DT$173,$C$36:$C$173,"=1", $B$36:$B$173,"OFICIAL")</f>
        <v>0.26399999999999996</v>
      </c>
      <c r="DU24" s="342">
        <f t="shared" ref="DU24:EC24" si="90">AVERAGEIFS(DU$36:DU$173,$C$36:$C$173,"=1", $B$36:$B$173,"OFICIAL")</f>
        <v>0.48199999999999993</v>
      </c>
      <c r="DV24" s="342">
        <f t="shared" si="90"/>
        <v>0.24400000000000005</v>
      </c>
      <c r="DW24" s="342">
        <f t="shared" si="90"/>
        <v>1.3999999999999999E-2</v>
      </c>
      <c r="DX24" s="342">
        <f t="shared" si="90"/>
        <v>0.52600000000000002</v>
      </c>
      <c r="DY24" s="342">
        <f t="shared" si="90"/>
        <v>0.43</v>
      </c>
      <c r="DZ24" s="342">
        <f t="shared" si="90"/>
        <v>0.74199999999999999</v>
      </c>
      <c r="EA24" s="342">
        <f t="shared" si="90"/>
        <v>0.50800000000000001</v>
      </c>
      <c r="EB24" s="342">
        <f t="shared" si="90"/>
        <v>0.58799999999999997</v>
      </c>
      <c r="EC24" s="342">
        <f t="shared" si="90"/>
        <v>0.42200000000000004</v>
      </c>
    </row>
    <row r="25" spans="1:133" ht="24.95" customHeight="1" x14ac:dyDescent="0.2">
      <c r="A25" s="6" t="s">
        <v>777</v>
      </c>
      <c r="B25" s="299"/>
      <c r="C25" s="299"/>
      <c r="D25" s="129">
        <f>AVERAGEIFS(D$36:D$173,$C$36:$C$173,"=2", $B$36:$B$173,"OFICIAL")</f>
        <v>52</v>
      </c>
      <c r="E25" s="129">
        <f>AVERAGEIFS(E$36:E$173,$C$36:$C$173,"=2", $B$36:$B$173,"OFICIAL")</f>
        <v>8.5</v>
      </c>
      <c r="F25" s="39">
        <f>AVERAGEIFS(F$36:F$173,$C$36:$C$173,"=2", $B$36:$B$173,"OFICIAL")</f>
        <v>0.11</v>
      </c>
      <c r="G25" s="39">
        <f t="shared" ref="G25:O25" si="91">AVERAGEIFS(G$36:G$173,$C$36:$C$173,"=2", $B$36:$B$173,"OFICIAL")</f>
        <v>0.55499999999999994</v>
      </c>
      <c r="H25" s="39">
        <f t="shared" si="91"/>
        <v>0.33</v>
      </c>
      <c r="I25" s="39">
        <f t="shared" si="91"/>
        <v>0.01</v>
      </c>
      <c r="J25" s="39">
        <f t="shared" si="91"/>
        <v>0.52500000000000002</v>
      </c>
      <c r="K25" s="39">
        <f t="shared" si="91"/>
        <v>0.48</v>
      </c>
      <c r="L25" s="39">
        <f t="shared" si="91"/>
        <v>0.57999999999999996</v>
      </c>
      <c r="M25" s="39">
        <f t="shared" si="91"/>
        <v>0.44</v>
      </c>
      <c r="N25" s="39">
        <f t="shared" si="91"/>
        <v>0.42000000000000004</v>
      </c>
      <c r="O25" s="39">
        <f t="shared" si="91"/>
        <v>0.52</v>
      </c>
      <c r="P25" s="129">
        <f>AVERAGEIFS(P$36:P$173,$C$36:$C$173,"=2", $B$36:$B$173,"OFICIAL")</f>
        <v>51</v>
      </c>
      <c r="Q25" s="129">
        <f>AVERAGEIFS(Q$36:Q$173,$C$36:$C$173,"=2", $B$36:$B$173,"OFICIAL")</f>
        <v>9.5</v>
      </c>
      <c r="R25" s="39">
        <f>AVERAGEIFS(R$36:R$173,$C$36:$C$173,"=2", $B$36:$B$173,"OFICIAL")</f>
        <v>0.13500000000000001</v>
      </c>
      <c r="S25" s="39">
        <f t="shared" ref="S25:AA25" si="92">AVERAGEIFS(S$36:S$173,$C$36:$C$173,"=2", $B$36:$B$173,"OFICIAL")</f>
        <v>0.52500000000000002</v>
      </c>
      <c r="T25" s="39">
        <f t="shared" si="92"/>
        <v>0.32</v>
      </c>
      <c r="U25" s="39">
        <f t="shared" si="92"/>
        <v>2.5000000000000001E-2</v>
      </c>
      <c r="V25" s="39">
        <f t="shared" si="92"/>
        <v>0.41499999999999998</v>
      </c>
      <c r="W25" s="39">
        <f t="shared" si="92"/>
        <v>0.48</v>
      </c>
      <c r="X25" s="39">
        <f t="shared" si="92"/>
        <v>0.54500000000000004</v>
      </c>
      <c r="Y25" s="39">
        <f t="shared" si="92"/>
        <v>0.44500000000000001</v>
      </c>
      <c r="Z25" s="39">
        <f t="shared" si="92"/>
        <v>0.44</v>
      </c>
      <c r="AA25" s="39">
        <f t="shared" si="92"/>
        <v>0.495</v>
      </c>
      <c r="AB25" s="129">
        <f>AVERAGEIFS(AB$36:AB$173,$C$36:$C$173,"=2", $B$36:$B$173,"OFICIAL")</f>
        <v>49</v>
      </c>
      <c r="AC25" s="129">
        <f>AVERAGEIFS(AC$36:AC$173,$C$36:$C$173,"=2", $B$36:$B$173,"OFICIAL")</f>
        <v>10</v>
      </c>
      <c r="AD25" s="39">
        <f>AVERAGEIFS(AD$36:AD$173,$C$36:$C$173,"=2", $B$36:$B$173,"OFICIAL")</f>
        <v>0.21000000000000002</v>
      </c>
      <c r="AE25" s="39">
        <f t="shared" ref="AE25:AM25" si="93">AVERAGEIFS(AE$36:AE$173,$C$36:$C$173,"=2", $B$36:$B$173,"OFICIAL")</f>
        <v>0.5</v>
      </c>
      <c r="AF25" s="39">
        <f t="shared" si="93"/>
        <v>0.29000000000000004</v>
      </c>
      <c r="AG25" s="39">
        <f t="shared" si="93"/>
        <v>5.0000000000000001E-3</v>
      </c>
      <c r="AH25" s="39">
        <f t="shared" si="93"/>
        <v>0.44500000000000001</v>
      </c>
      <c r="AI25" s="39">
        <f t="shared" si="93"/>
        <v>0.435</v>
      </c>
      <c r="AJ25" s="39">
        <f t="shared" si="93"/>
        <v>0.42</v>
      </c>
      <c r="AK25" s="39">
        <f t="shared" si="93"/>
        <v>0.51500000000000001</v>
      </c>
      <c r="AL25" s="39">
        <f t="shared" si="93"/>
        <v>0.54</v>
      </c>
      <c r="AM25" s="39">
        <f t="shared" si="93"/>
        <v>0.52500000000000002</v>
      </c>
      <c r="AN25" s="129">
        <f>AVERAGEIFS(AN$36:AN$173,$C$36:$C$173,"=2", $B$36:$B$173,"OFICIAL")</f>
        <v>48</v>
      </c>
      <c r="AO25" s="129">
        <f>AVERAGEIFS(AO$36:AO$173,$C$36:$C$173,"=2", $B$36:$B$173,"OFICIAL")</f>
        <v>10.5</v>
      </c>
      <c r="AP25" s="39">
        <f>AVERAGEIFS(AP$36:AP$173,$C$36:$C$173,"=2", $B$36:$B$173,"OFICIAL")</f>
        <v>0.28000000000000003</v>
      </c>
      <c r="AQ25" s="39">
        <f t="shared" ref="AQ25:AY25" si="94">AVERAGEIFS(AQ$36:AQ$173,$C$36:$C$173,"=2", $B$36:$B$173,"OFICIAL")</f>
        <v>0.45499999999999996</v>
      </c>
      <c r="AR25" s="39">
        <f t="shared" si="94"/>
        <v>0.255</v>
      </c>
      <c r="AS25" s="39">
        <f t="shared" si="94"/>
        <v>0.01</v>
      </c>
      <c r="AT25" s="39">
        <f t="shared" si="94"/>
        <v>0.56000000000000005</v>
      </c>
      <c r="AU25" s="39">
        <f t="shared" si="94"/>
        <v>0.45999999999999996</v>
      </c>
      <c r="AV25" s="39">
        <f t="shared" si="94"/>
        <v>0.48</v>
      </c>
      <c r="AW25" s="39">
        <f t="shared" si="94"/>
        <v>0.47499999999999998</v>
      </c>
      <c r="AX25" s="39">
        <f t="shared" si="94"/>
        <v>0.495</v>
      </c>
      <c r="AY25" s="39">
        <f t="shared" si="94"/>
        <v>0.48</v>
      </c>
      <c r="AZ25" s="129">
        <f>AVERAGEIFS(AZ$36:AZ$173,$C$36:$C$173,"=2", $B$36:$B$173,"OFICIAL")</f>
        <v>50</v>
      </c>
      <c r="BA25" s="129">
        <f>AVERAGEIFS(BA$36:BA$173,$C$36:$C$173,"=2", $B$36:$B$173,"OFICIAL")</f>
        <v>10</v>
      </c>
      <c r="BB25" s="39">
        <f>AVERAGEIFS(BB$36:BB$173,$C$36:$C$173,"=2", $B$36:$B$173,"OFICIAL")</f>
        <v>0.185</v>
      </c>
      <c r="BC25" s="39">
        <f t="shared" ref="BC25:BK25" si="95">AVERAGEIFS(BC$36:BC$173,$C$36:$C$173,"=2", $B$36:$B$173,"OFICIAL")</f>
        <v>0.49</v>
      </c>
      <c r="BD25" s="39">
        <f t="shared" si="95"/>
        <v>0.31000000000000005</v>
      </c>
      <c r="BE25" s="39">
        <f t="shared" si="95"/>
        <v>0.02</v>
      </c>
      <c r="BF25" s="39">
        <f t="shared" si="95"/>
        <v>0.48</v>
      </c>
      <c r="BG25" s="39">
        <f t="shared" si="95"/>
        <v>0.46499999999999997</v>
      </c>
      <c r="BH25" s="39">
        <f t="shared" si="95"/>
        <v>0.46499999999999997</v>
      </c>
      <c r="BI25" s="39">
        <f t="shared" si="95"/>
        <v>0.53500000000000003</v>
      </c>
      <c r="BJ25" s="39">
        <f t="shared" si="95"/>
        <v>0.42500000000000004</v>
      </c>
      <c r="BK25" s="39">
        <f t="shared" si="95"/>
        <v>0.40500000000000003</v>
      </c>
      <c r="BL25" s="129">
        <f>AVERAGEIFS(BL$36:BL$173,$C$36:$C$173,"=2", $B$36:$B$173,"OFICIAL")</f>
        <v>48.5</v>
      </c>
      <c r="BN25" s="129">
        <f>AVERAGEIFS(BN$36:BN$173,$C$36:$C$173,"=2", $B$36:$B$173,"OFICIAL")</f>
        <v>10</v>
      </c>
      <c r="BP25" s="39">
        <f>AVERAGEIFS(BP$36:BP$173,$C$36:$C$173,"=2", $B$36:$B$173,"OFICIAL")</f>
        <v>0.245</v>
      </c>
      <c r="BQ25" s="39">
        <f t="shared" ref="BQ25:BY25" si="96">AVERAGEIFS(BQ$36:BQ$173,$C$36:$C$173,"=2", $B$36:$B$173,"OFICIAL")</f>
        <v>0.505</v>
      </c>
      <c r="BR25" s="39">
        <f t="shared" si="96"/>
        <v>0.245</v>
      </c>
      <c r="BS25" s="39">
        <f t="shared" si="96"/>
        <v>5.0000000000000001E-3</v>
      </c>
      <c r="BT25" s="39">
        <f t="shared" si="96"/>
        <v>0.48</v>
      </c>
      <c r="BU25" s="39">
        <f t="shared" si="96"/>
        <v>0.5</v>
      </c>
      <c r="BV25" s="39">
        <f t="shared" si="96"/>
        <v>0.55000000000000004</v>
      </c>
      <c r="BW25" s="39">
        <f t="shared" si="96"/>
        <v>0.45500000000000002</v>
      </c>
      <c r="BX25" s="39">
        <f t="shared" si="96"/>
        <v>0.49</v>
      </c>
      <c r="BY25" s="39">
        <f t="shared" si="96"/>
        <v>0.55500000000000005</v>
      </c>
      <c r="BZ25" s="129">
        <f>AVERAGEIFS(BZ$36:BZ$173,$C$36:$C$173,"=2", $B$36:$B$173,"OFICIAL")</f>
        <v>48.5</v>
      </c>
      <c r="CB25" s="129">
        <f>AVERAGEIFS(CB$36:CB$173,$C$36:$C$173,"=2", $B$36:$B$173,"OFICIAL")</f>
        <v>10.25</v>
      </c>
      <c r="CD25" s="342">
        <f>AVERAGEIFS(CD$36:CD$173,$C$36:$C$173,"=2", $B$36:$B$173,"OFICIAL")</f>
        <v>0.23749999999999999</v>
      </c>
      <c r="CE25" s="342">
        <f t="shared" ref="CE25:CM25" si="97">AVERAGEIFS(CE$36:CE$173,$C$36:$C$173,"=2", $B$36:$B$173,"OFICIAL")</f>
        <v>0.48749999999999999</v>
      </c>
      <c r="CF25" s="342">
        <f t="shared" si="97"/>
        <v>0.26750000000000002</v>
      </c>
      <c r="CG25" s="342">
        <f t="shared" si="97"/>
        <v>0.01</v>
      </c>
      <c r="CH25" s="342">
        <f t="shared" si="97"/>
        <v>0.52250000000000008</v>
      </c>
      <c r="CI25" s="342">
        <f t="shared" si="97"/>
        <v>0.43999999999999995</v>
      </c>
      <c r="CJ25" s="342">
        <f t="shared" si="97"/>
        <v>0.57750000000000001</v>
      </c>
      <c r="CK25" s="342">
        <f t="shared" si="97"/>
        <v>0.5625</v>
      </c>
      <c r="CL25" s="342">
        <f t="shared" si="97"/>
        <v>0.45750000000000002</v>
      </c>
      <c r="CM25" s="342">
        <f t="shared" si="97"/>
        <v>0.59</v>
      </c>
      <c r="CN25" s="129">
        <f>AVERAGEIFS(CN$36:CN$173,$C$36:$C$173,"=2", $B$36:$B$173,"OFICIAL")</f>
        <v>49</v>
      </c>
      <c r="CP25" s="129">
        <f>AVERAGEIFS(CP$36:CP$173,$C$36:$C$173,"=2", $B$36:$B$173,"OFICIAL")</f>
        <v>10</v>
      </c>
      <c r="CR25" s="342">
        <f>AVERAGEIFS(CR$36:CR$173,$C$36:$C$173,"=2", $B$36:$B$173,"OFICIAL")</f>
        <v>0.2175</v>
      </c>
      <c r="CS25" s="342">
        <f t="shared" ref="CS25:DB25" si="98">AVERAGEIFS(CS$36:CS$173,$C$36:$C$173,"=2", $B$36:$B$173,"OFICIAL")</f>
        <v>0.505</v>
      </c>
      <c r="CT25" s="342">
        <f t="shared" si="98"/>
        <v>0.26500000000000001</v>
      </c>
      <c r="CU25" s="342">
        <f t="shared" si="98"/>
        <v>1.4999999999999999E-2</v>
      </c>
      <c r="CV25" s="342">
        <f t="shared" si="98"/>
        <v>0.37249999999999994</v>
      </c>
      <c r="CW25" s="342">
        <f t="shared" si="98"/>
        <v>0.57250000000000001</v>
      </c>
      <c r="CX25" s="342">
        <f t="shared" si="98"/>
        <v>0.58749999999999991</v>
      </c>
      <c r="CY25" s="342">
        <f t="shared" si="98"/>
        <v>0.63</v>
      </c>
      <c r="CZ25" s="342">
        <f t="shared" si="98"/>
        <v>0.57750000000000001</v>
      </c>
      <c r="DA25" s="342">
        <f t="shared" si="98"/>
        <v>0.61</v>
      </c>
      <c r="DB25" s="490">
        <f t="shared" si="98"/>
        <v>49.75</v>
      </c>
      <c r="DC25" s="495"/>
      <c r="DD25" s="300">
        <f>AVERAGEIFS(DD$36:DD$173,$C$36:$C$173,"=2", $B$36:$B$173,"OFICIAL")</f>
        <v>10.25</v>
      </c>
      <c r="DE25" s="495"/>
      <c r="DF25" s="343">
        <f t="shared" ref="DF25:DN25" si="99">AVERAGEIFS(DF$36:DF$173,$C$36:$C$173,"=2", $B$36:$B$173,"OFICIAL")</f>
        <v>0.21749999999999997</v>
      </c>
      <c r="DG25" s="343">
        <f t="shared" si="99"/>
        <v>0.46499999999999997</v>
      </c>
      <c r="DH25" s="343">
        <f t="shared" si="99"/>
        <v>0.29249999999999998</v>
      </c>
      <c r="DI25" s="343">
        <f t="shared" si="99"/>
        <v>2.5000000000000001E-2</v>
      </c>
      <c r="DJ25" s="343">
        <f>AVERAGEIFS(DJ$36:DJ$173,$C$36:$C$173,"=2", $B$36:$B$173,"OFICIAL")</f>
        <v>0.5</v>
      </c>
      <c r="DK25" s="343">
        <f>AVERAGEIFS(DK$36:DK$173,$C$36:$C$173,"=2", $B$36:$B$173,"OFICIAL")</f>
        <v>0.48</v>
      </c>
      <c r="DL25" s="343">
        <f t="shared" si="99"/>
        <v>0.49</v>
      </c>
      <c r="DM25" s="343">
        <f t="shared" si="99"/>
        <v>0.64750000000000008</v>
      </c>
      <c r="DN25" s="343">
        <f t="shared" si="99"/>
        <v>0.53500000000000003</v>
      </c>
      <c r="DO25" s="343">
        <f>AVERAGEIFS(DO$36:DO$173,$C$36:$C$173,"=2", $B$36:$B$173,"OFICIAL")</f>
        <v>0.42749999999999999</v>
      </c>
      <c r="DP25" s="129">
        <f>AVERAGEIFS(DP$36:DP$173,$C$36:$C$173,"=2", $B$36:$B$173,"OFICIAL")</f>
        <v>49</v>
      </c>
      <c r="DQ25" s="896"/>
      <c r="DR25" s="129">
        <f>AVERAGEIFS(DR$36:DR$173,$C$36:$C$173,"=2", $B$36:$B$173,"OFICIAL")</f>
        <v>11</v>
      </c>
      <c r="DS25" s="896"/>
      <c r="DT25" s="342">
        <f>AVERAGEIFS(DT$36:DT$173,$C$36:$C$173,"=2", $B$36:$B$173,"OFICIAL")</f>
        <v>0.245</v>
      </c>
      <c r="DU25" s="342">
        <f t="shared" ref="DU25:EC25" si="100">AVERAGEIFS(DU$36:DU$173,$C$36:$C$173,"=2", $B$36:$B$173,"OFICIAL")</f>
        <v>0.47</v>
      </c>
      <c r="DV25" s="342">
        <f t="shared" si="100"/>
        <v>0.26250000000000001</v>
      </c>
      <c r="DW25" s="342">
        <f t="shared" si="100"/>
        <v>1.4999999999999999E-2</v>
      </c>
      <c r="DX25" s="342">
        <f t="shared" si="100"/>
        <v>0.51750000000000007</v>
      </c>
      <c r="DY25" s="342">
        <f t="shared" si="100"/>
        <v>0.42500000000000004</v>
      </c>
      <c r="DZ25" s="342">
        <f t="shared" si="100"/>
        <v>0.65500000000000003</v>
      </c>
      <c r="EA25" s="342">
        <f t="shared" si="100"/>
        <v>0.47749999999999998</v>
      </c>
      <c r="EB25" s="342">
        <f t="shared" si="100"/>
        <v>0.58749999999999991</v>
      </c>
      <c r="EC25" s="342">
        <f t="shared" si="100"/>
        <v>0.41000000000000003</v>
      </c>
    </row>
    <row r="26" spans="1:133" ht="24.95" customHeight="1" x14ac:dyDescent="0.2">
      <c r="A26" s="6" t="s">
        <v>778</v>
      </c>
      <c r="B26" s="299"/>
      <c r="C26" s="299"/>
      <c r="D26" s="129">
        <f>AVERAGEIFS(D$36:D$173,$C$36:$C$173,"=3", $B$36:$B$173,"OFICIAL")</f>
        <v>50.4</v>
      </c>
      <c r="E26" s="129">
        <f>AVERAGEIFS(E$36:E$173,$C$36:$C$173,"=3", $B$36:$B$173,"OFICIAL")</f>
        <v>8.8000000000000007</v>
      </c>
      <c r="F26" s="39">
        <f>AVERAGEIFS(F$36:F$173,$C$36:$C$173,"=3", $B$36:$B$173,"OFICIAL")</f>
        <v>0.158</v>
      </c>
      <c r="G26" s="39">
        <f t="shared" ref="G26:O26" si="101">AVERAGEIFS(G$36:G$173,$C$36:$C$173,"=3", $B$36:$B$173,"OFICIAL")</f>
        <v>0.56600000000000006</v>
      </c>
      <c r="H26" s="39">
        <f t="shared" si="101"/>
        <v>0.26600000000000001</v>
      </c>
      <c r="I26" s="39">
        <f t="shared" si="101"/>
        <v>1.5999999999999997E-2</v>
      </c>
      <c r="J26" s="39">
        <f t="shared" si="101"/>
        <v>0.54400000000000004</v>
      </c>
      <c r="K26" s="39">
        <f t="shared" si="101"/>
        <v>0.504</v>
      </c>
      <c r="L26" s="39">
        <f t="shared" si="101"/>
        <v>0.60000000000000009</v>
      </c>
      <c r="M26" s="39">
        <f t="shared" si="101"/>
        <v>0.45599999999999996</v>
      </c>
      <c r="N26" s="39">
        <f t="shared" si="101"/>
        <v>0.45800000000000002</v>
      </c>
      <c r="O26" s="39">
        <f t="shared" si="101"/>
        <v>0.52600000000000002</v>
      </c>
      <c r="P26" s="129">
        <f>AVERAGEIFS(P$36:P$173,$C$36:$C$173,"=3", $B$36:$B$173,"OFICIAL")</f>
        <v>51</v>
      </c>
      <c r="Q26" s="129">
        <f>AVERAGEIFS(Q$36:Q$173,$C$36:$C$173,"=3", $B$36:$B$173,"OFICIAL")</f>
        <v>9.4</v>
      </c>
      <c r="R26" s="39">
        <f>AVERAGEIFS(R$36:R$173,$C$36:$C$173,"=3", $B$36:$B$173,"OFICIAL")</f>
        <v>0.15000000000000002</v>
      </c>
      <c r="S26" s="39">
        <f t="shared" ref="S26:AA26" si="102">AVERAGEIFS(S$36:S$173,$C$36:$C$173,"=3", $B$36:$B$173,"OFICIAL")</f>
        <v>0.50600000000000001</v>
      </c>
      <c r="T26" s="39">
        <f t="shared" si="102"/>
        <v>0.34</v>
      </c>
      <c r="U26" s="39">
        <f t="shared" si="102"/>
        <v>4.0000000000000001E-3</v>
      </c>
      <c r="V26" s="39">
        <f t="shared" si="102"/>
        <v>0.44000000000000006</v>
      </c>
      <c r="W26" s="39">
        <f t="shared" si="102"/>
        <v>0.49199999999999999</v>
      </c>
      <c r="X26" s="39">
        <f t="shared" si="102"/>
        <v>0.57400000000000007</v>
      </c>
      <c r="Y26" s="39">
        <f t="shared" si="102"/>
        <v>0.46399999999999997</v>
      </c>
      <c r="Z26" s="39">
        <f t="shared" si="102"/>
        <v>0.434</v>
      </c>
      <c r="AA26" s="39">
        <f t="shared" si="102"/>
        <v>0.504</v>
      </c>
      <c r="AB26" s="129">
        <f>AVERAGEIFS(AB$36:AB$173,$C$36:$C$173,"=3", $B$36:$B$173,"OFICIAL")</f>
        <v>50</v>
      </c>
      <c r="AC26" s="129">
        <f>AVERAGEIFS(AC$36:AC$173,$C$36:$C$173,"=3", $B$36:$B$173,"OFICIAL")</f>
        <v>10</v>
      </c>
      <c r="AD26" s="39">
        <f>AVERAGEIFS(AD$36:AD$173,$C$36:$C$173,"=3", $B$36:$B$173,"OFICIAL")</f>
        <v>0.186</v>
      </c>
      <c r="AE26" s="39">
        <f t="shared" ref="AE26:AM26" si="103">AVERAGEIFS(AE$36:AE$173,$C$36:$C$173,"=3", $B$36:$B$173,"OFICIAL")</f>
        <v>0.504</v>
      </c>
      <c r="AF26" s="39">
        <f t="shared" si="103"/>
        <v>0.29599999999999999</v>
      </c>
      <c r="AG26" s="39">
        <f t="shared" si="103"/>
        <v>1.2E-2</v>
      </c>
      <c r="AH26" s="39">
        <f t="shared" si="103"/>
        <v>0.43600000000000005</v>
      </c>
      <c r="AI26" s="39">
        <f t="shared" si="103"/>
        <v>0.42800000000000005</v>
      </c>
      <c r="AJ26" s="39">
        <f t="shared" si="103"/>
        <v>0.41399999999999998</v>
      </c>
      <c r="AK26" s="39">
        <f t="shared" si="103"/>
        <v>0.51</v>
      </c>
      <c r="AL26" s="39">
        <f t="shared" si="103"/>
        <v>0.55600000000000005</v>
      </c>
      <c r="AM26" s="39">
        <f t="shared" si="103"/>
        <v>0.52</v>
      </c>
      <c r="AN26" s="129">
        <f>AVERAGEIFS(AN$36:AN$173,$C$36:$C$173,"=3", $B$36:$B$173,"OFICIAL")</f>
        <v>47.2</v>
      </c>
      <c r="AO26" s="129">
        <f>AVERAGEIFS(AO$36:AO$173,$C$36:$C$173,"=3", $B$36:$B$173,"OFICIAL")</f>
        <v>10</v>
      </c>
      <c r="AP26" s="39">
        <f>AVERAGEIFS(AP$36:AP$173,$C$36:$C$173,"=3", $B$36:$B$173,"OFICIAL")</f>
        <v>0.28600000000000003</v>
      </c>
      <c r="AQ26" s="39">
        <f t="shared" ref="AQ26:AY26" si="104">AVERAGEIFS(AQ$36:AQ$173,$C$36:$C$173,"=3", $B$36:$B$173,"OFICIAL")</f>
        <v>0.48200000000000004</v>
      </c>
      <c r="AR26" s="39">
        <f t="shared" si="104"/>
        <v>0.22199999999999998</v>
      </c>
      <c r="AS26" s="39">
        <f t="shared" si="104"/>
        <v>0.01</v>
      </c>
      <c r="AT26" s="39">
        <f t="shared" si="104"/>
        <v>0.55400000000000005</v>
      </c>
      <c r="AU26" s="39">
        <f t="shared" si="104"/>
        <v>0.49800000000000005</v>
      </c>
      <c r="AV26" s="39">
        <f t="shared" si="104"/>
        <v>0.48</v>
      </c>
      <c r="AW26" s="39">
        <f t="shared" si="104"/>
        <v>0.49199999999999999</v>
      </c>
      <c r="AX26" s="39">
        <f t="shared" si="104"/>
        <v>0.51400000000000001</v>
      </c>
      <c r="AY26" s="39">
        <f t="shared" si="104"/>
        <v>0.5</v>
      </c>
      <c r="AZ26" s="129">
        <f>AVERAGEIFS(AZ$36:AZ$173,$C$36:$C$173,"=3", $B$36:$B$173,"OFICIAL")</f>
        <v>49.8</v>
      </c>
      <c r="BA26" s="129">
        <f>AVERAGEIFS(BA$36:BA$173,$C$36:$C$173,"=3", $B$36:$B$173,"OFICIAL")</f>
        <v>10</v>
      </c>
      <c r="BB26" s="39">
        <f>AVERAGEIFS(BB$36:BB$173,$C$36:$C$173,"=3", $B$36:$B$173,"OFICIAL")</f>
        <v>0.184</v>
      </c>
      <c r="BC26" s="39">
        <f t="shared" ref="BC26:BK26" si="105">AVERAGEIFS(BC$36:BC$173,$C$36:$C$173,"=3", $B$36:$B$173,"OFICIAL")</f>
        <v>0.48399999999999999</v>
      </c>
      <c r="BD26" s="39">
        <f t="shared" si="105"/>
        <v>0.32200000000000001</v>
      </c>
      <c r="BE26" s="39">
        <f t="shared" si="105"/>
        <v>1.3999999999999999E-2</v>
      </c>
      <c r="BF26" s="39">
        <f t="shared" si="105"/>
        <v>0.49199999999999999</v>
      </c>
      <c r="BG26" s="39">
        <f t="shared" si="105"/>
        <v>0.47000000000000003</v>
      </c>
      <c r="BH26" s="39">
        <f t="shared" si="105"/>
        <v>0.48</v>
      </c>
      <c r="BI26" s="39">
        <f t="shared" si="105"/>
        <v>0.55400000000000005</v>
      </c>
      <c r="BJ26" s="39">
        <f t="shared" si="105"/>
        <v>0.44800000000000006</v>
      </c>
      <c r="BK26" s="39">
        <f t="shared" si="105"/>
        <v>0.41600000000000004</v>
      </c>
      <c r="BL26" s="129">
        <f>AVERAGEIFS(BL$36:BL$173,$C$36:$C$173,"=3", $B$36:$B$173,"OFICIAL")</f>
        <v>47.6</v>
      </c>
      <c r="BN26" s="129">
        <f>AVERAGEIFS(BN$36:BN$173,$C$36:$C$173,"=3", $B$36:$B$173,"OFICIAL")</f>
        <v>10</v>
      </c>
      <c r="BP26" s="39">
        <f>AVERAGEIFS(BP$36:BP$173,$C$36:$C$173,"=3", $B$36:$B$173,"OFICIAL")</f>
        <v>0.25600000000000001</v>
      </c>
      <c r="BQ26" s="39">
        <f t="shared" ref="BQ26:BY26" si="106">AVERAGEIFS(BQ$36:BQ$173,$C$36:$C$173,"=3", $B$36:$B$173,"OFICIAL")</f>
        <v>0.52200000000000002</v>
      </c>
      <c r="BR26" s="39">
        <f t="shared" si="106"/>
        <v>0.21600000000000003</v>
      </c>
      <c r="BS26" s="39">
        <f t="shared" si="106"/>
        <v>0.01</v>
      </c>
      <c r="BT26" s="39">
        <f t="shared" si="106"/>
        <v>0.48799999999999999</v>
      </c>
      <c r="BU26" s="39">
        <f t="shared" si="106"/>
        <v>0.51600000000000001</v>
      </c>
      <c r="BV26" s="39">
        <f t="shared" si="106"/>
        <v>0.56799999999999995</v>
      </c>
      <c r="BW26" s="39">
        <f t="shared" si="106"/>
        <v>0.44400000000000006</v>
      </c>
      <c r="BX26" s="39">
        <f t="shared" si="106"/>
        <v>0.48399999999999999</v>
      </c>
      <c r="BY26" s="39">
        <f t="shared" si="106"/>
        <v>0.56799999999999995</v>
      </c>
      <c r="BZ26" s="129">
        <f>AVERAGEIFS(BZ$36:BZ$173,$C$36:$C$173,"=3", $B$36:$B$173,"OFICIAL")</f>
        <v>49.333333333333336</v>
      </c>
      <c r="CB26" s="129">
        <f>AVERAGEIFS(CB$36:CB$173,$C$36:$C$173,"=3", $B$36:$B$173,"OFICIAL")</f>
        <v>10</v>
      </c>
      <c r="CD26" s="342">
        <f>AVERAGEIFS(CD$36:CD$173,$C$36:$C$173,"=3", $B$36:$B$173,"OFICIAL")</f>
        <v>0.20166666666666666</v>
      </c>
      <c r="CE26" s="342">
        <f t="shared" ref="CE26:CM26" si="107">AVERAGEIFS(CE$36:CE$173,$C$36:$C$173,"=3", $B$36:$B$173,"OFICIAL")</f>
        <v>0.51500000000000001</v>
      </c>
      <c r="CF26" s="342">
        <f t="shared" si="107"/>
        <v>0.26333333333333336</v>
      </c>
      <c r="CG26" s="342">
        <f t="shared" si="107"/>
        <v>1.6666666666666666E-2</v>
      </c>
      <c r="CH26" s="342">
        <f t="shared" si="107"/>
        <v>0.4916666666666667</v>
      </c>
      <c r="CI26" s="342">
        <f t="shared" si="107"/>
        <v>0.41833333333333339</v>
      </c>
      <c r="CJ26" s="342">
        <f t="shared" si="107"/>
        <v>0.58499999999999996</v>
      </c>
      <c r="CK26" s="342">
        <f t="shared" si="107"/>
        <v>0.54999999999999993</v>
      </c>
      <c r="CL26" s="342">
        <f t="shared" si="107"/>
        <v>0.45333333333333337</v>
      </c>
      <c r="CM26" s="342">
        <f t="shared" si="107"/>
        <v>0.57166666666666666</v>
      </c>
      <c r="CN26" s="129">
        <f>AVERAGEIFS(CN$36:CN$173,$C$36:$C$173,"=3", $B$36:$B$173,"OFICIAL")</f>
        <v>49.666666666666664</v>
      </c>
      <c r="CP26" s="129">
        <f>AVERAGEIFS(CP$36:CP$173,$C$36:$C$173,"=3", $B$36:$B$173,"OFICIAL")</f>
        <v>10</v>
      </c>
      <c r="CR26" s="342">
        <f>AVERAGEIFS(CR$36:CR$173,$C$36:$C$173,"=3", $B$36:$B$173,"OFICIAL")</f>
        <v>0.21333333333333329</v>
      </c>
      <c r="CS26" s="342">
        <f t="shared" ref="CS26:DB26" si="108">AVERAGEIFS(CS$36:CS$173,$C$36:$C$173,"=3", $B$36:$B$173,"OFICIAL")</f>
        <v>0.49666666666666665</v>
      </c>
      <c r="CT26" s="342">
        <f t="shared" si="108"/>
        <v>0.27666666666666667</v>
      </c>
      <c r="CU26" s="342">
        <f t="shared" si="108"/>
        <v>1.4999999999999999E-2</v>
      </c>
      <c r="CV26" s="342">
        <f t="shared" si="108"/>
        <v>0.35666666666666663</v>
      </c>
      <c r="CW26" s="342">
        <f t="shared" si="108"/>
        <v>0.55666666666666675</v>
      </c>
      <c r="CX26" s="342">
        <f t="shared" si="108"/>
        <v>0.57833333333333337</v>
      </c>
      <c r="CY26" s="342">
        <f t="shared" si="108"/>
        <v>0.64500000000000002</v>
      </c>
      <c r="CZ26" s="342">
        <f t="shared" si="108"/>
        <v>0.57833333333333325</v>
      </c>
      <c r="DA26" s="342">
        <f t="shared" si="108"/>
        <v>0.53833333333333344</v>
      </c>
      <c r="DB26" s="490">
        <f t="shared" si="108"/>
        <v>49.5</v>
      </c>
      <c r="DC26" s="495"/>
      <c r="DD26" s="300">
        <f>AVERAGEIFS(DD$36:DD$173,$C$36:$C$173,"=3", $B$36:$B$173,"OFICIAL")</f>
        <v>10.5</v>
      </c>
      <c r="DE26" s="495"/>
      <c r="DF26" s="343">
        <f t="shared" ref="DF26:DN26" si="109">AVERAGEIFS(DF$36:DF$173,$C$36:$C$173,"=3", $B$36:$B$173,"OFICIAL")</f>
        <v>0.21333333333333335</v>
      </c>
      <c r="DG26" s="343">
        <f t="shared" si="109"/>
        <v>0.5</v>
      </c>
      <c r="DH26" s="343">
        <f t="shared" si="109"/>
        <v>0.25666666666666665</v>
      </c>
      <c r="DI26" s="343">
        <f t="shared" si="109"/>
        <v>2.8333333333333332E-2</v>
      </c>
      <c r="DJ26" s="343">
        <f>AVERAGEIFS(DJ$36:DJ$173,$C$36:$C$173,"=3", $B$36:$B$173,"OFICIAL")</f>
        <v>0.52333333333333332</v>
      </c>
      <c r="DK26" s="343">
        <f>AVERAGEIFS(DK$36:DK$173,$C$36:$C$173,"=3", $B$36:$B$173,"OFICIAL")</f>
        <v>0.52166666666666661</v>
      </c>
      <c r="DL26" s="343">
        <f t="shared" si="109"/>
        <v>0.50166666666666659</v>
      </c>
      <c r="DM26" s="343">
        <f t="shared" si="109"/>
        <v>0.6283333333333333</v>
      </c>
      <c r="DN26" s="343">
        <f t="shared" si="109"/>
        <v>0.52833333333333332</v>
      </c>
      <c r="DO26" s="343">
        <f>AVERAGEIFS(DO$36:DO$173,$C$36:$C$173,"=3", $B$36:$B$173,"OFICIAL")</f>
        <v>0.42666666666666658</v>
      </c>
      <c r="DP26" s="129">
        <f>AVERAGEIFS(DP$36:DP$173,$C$36:$C$173,"=3", $B$36:$B$173,"OFICIAL")</f>
        <v>49</v>
      </c>
      <c r="DQ26" s="896"/>
      <c r="DR26" s="129">
        <f>AVERAGEIFS(DR$36:DR$173,$C$36:$C$173,"=3", $B$36:$B$173,"OFICIAL")</f>
        <v>10.166666666666666</v>
      </c>
      <c r="DS26" s="896"/>
      <c r="DT26" s="342">
        <f>AVERAGEIFS(DT$36:DT$173,$C$36:$C$173,"=3", $B$36:$B$173,"OFICIAL")</f>
        <v>0.23</v>
      </c>
      <c r="DU26" s="342">
        <f t="shared" ref="DU26:EC26" si="110">AVERAGEIFS(DU$36:DU$173,$C$36:$C$173,"=3", $B$36:$B$173,"OFICIAL")</f>
        <v>0.48833333333333329</v>
      </c>
      <c r="DV26" s="342">
        <f t="shared" si="110"/>
        <v>0.26166666666666666</v>
      </c>
      <c r="DW26" s="342">
        <f t="shared" si="110"/>
        <v>2.3333333333333334E-2</v>
      </c>
      <c r="DX26" s="342">
        <f t="shared" si="110"/>
        <v>0.51666666666666672</v>
      </c>
      <c r="DY26" s="342">
        <f t="shared" si="110"/>
        <v>0.39333333333333331</v>
      </c>
      <c r="DZ26" s="342">
        <f t="shared" si="110"/>
        <v>0.70833333333333348</v>
      </c>
      <c r="EA26" s="342">
        <f t="shared" si="110"/>
        <v>0.48666666666666664</v>
      </c>
      <c r="EB26" s="342">
        <f t="shared" si="110"/>
        <v>0.57833333333333337</v>
      </c>
      <c r="EC26" s="342">
        <f t="shared" si="110"/>
        <v>0.40333333333333338</v>
      </c>
    </row>
    <row r="27" spans="1:133" ht="24.95" customHeight="1" x14ac:dyDescent="0.2">
      <c r="A27" s="6" t="s">
        <v>779</v>
      </c>
      <c r="B27" s="299"/>
      <c r="C27" s="299"/>
      <c r="D27" s="129">
        <f>AVERAGEIFS(D$36:D$173,$C$36:$C$173,"=4", $B$36:$B$173,"OFICIAL")</f>
        <v>47.166666666666664</v>
      </c>
      <c r="E27" s="129">
        <f>AVERAGEIFS(E$36:E$173,$C$36:$C$173,"=4", $B$36:$B$173,"OFICIAL")</f>
        <v>8.5</v>
      </c>
      <c r="F27" s="39">
        <f>AVERAGEIFS(F$36:F$173,$C$36:$C$173,"=4", $B$36:$B$173,"OFICIAL")</f>
        <v>0.28999999999999998</v>
      </c>
      <c r="G27" s="39">
        <f t="shared" ref="G27:O27" si="111">AVERAGEIFS(G$36:G$173,$C$36:$C$173,"=4", $B$36:$B$173,"OFICIAL")</f>
        <v>0.52166666666666661</v>
      </c>
      <c r="H27" s="39">
        <f t="shared" si="111"/>
        <v>0.18500000000000003</v>
      </c>
      <c r="I27" s="39">
        <f t="shared" si="111"/>
        <v>3.3333333333333335E-3</v>
      </c>
      <c r="J27" s="39">
        <f t="shared" si="111"/>
        <v>0.61</v>
      </c>
      <c r="K27" s="39">
        <f t="shared" si="111"/>
        <v>0.54333333333333333</v>
      </c>
      <c r="L27" s="39">
        <f t="shared" si="111"/>
        <v>0.61333333333333329</v>
      </c>
      <c r="M27" s="39">
        <f t="shared" si="111"/>
        <v>0.49333333333333335</v>
      </c>
      <c r="N27" s="39">
        <f t="shared" si="111"/>
        <v>0.47166666666666668</v>
      </c>
      <c r="O27" s="39">
        <f t="shared" si="111"/>
        <v>0.56833333333333325</v>
      </c>
      <c r="P27" s="129">
        <f>AVERAGEIFS(P$36:P$173,$C$36:$C$173,"=4", $B$36:$B$173,"OFICIAL")</f>
        <v>47.5</v>
      </c>
      <c r="Q27" s="129">
        <f>AVERAGEIFS(Q$36:Q$173,$C$36:$C$173,"=4", $B$36:$B$173,"OFICIAL")</f>
        <v>9.6666666666666661</v>
      </c>
      <c r="R27" s="39">
        <f>AVERAGEIFS(R$36:R$173,$C$36:$C$173,"=4", $B$36:$B$173,"OFICIAL")</f>
        <v>0.26333333333333336</v>
      </c>
      <c r="S27" s="39">
        <f t="shared" ref="S27:AA27" si="112">AVERAGEIFS(S$36:S$173,$C$36:$C$173,"=4", $B$36:$B$173,"OFICIAL")</f>
        <v>0.53</v>
      </c>
      <c r="T27" s="39">
        <f t="shared" si="112"/>
        <v>0.18833333333333332</v>
      </c>
      <c r="U27" s="39">
        <f t="shared" si="112"/>
        <v>1.8333333333333333E-2</v>
      </c>
      <c r="V27" s="39">
        <f t="shared" si="112"/>
        <v>0.5033333333333333</v>
      </c>
      <c r="W27" s="39">
        <f t="shared" si="112"/>
        <v>0.53833333333333344</v>
      </c>
      <c r="X27" s="39">
        <f t="shared" si="112"/>
        <v>0.60666666666666669</v>
      </c>
      <c r="Y27" s="39">
        <f t="shared" si="112"/>
        <v>0.51166666666666671</v>
      </c>
      <c r="Z27" s="39">
        <f t="shared" si="112"/>
        <v>0.46166666666666673</v>
      </c>
      <c r="AA27" s="39">
        <f t="shared" si="112"/>
        <v>0.57166666666666666</v>
      </c>
      <c r="AB27" s="129">
        <f>AVERAGEIFS(AB$36:AB$173,$C$36:$C$173,"=4", $B$36:$B$173,"OFICIAL")</f>
        <v>45.166666666666664</v>
      </c>
      <c r="AC27" s="129">
        <f>AVERAGEIFS(AC$36:AC$173,$C$36:$C$173,"=4", $B$36:$B$173,"OFICIAL")</f>
        <v>10</v>
      </c>
      <c r="AD27" s="39">
        <f>AVERAGEIFS(AD$36:AD$173,$C$36:$C$173,"=4", $B$36:$B$173,"OFICIAL")</f>
        <v>0.35166666666666663</v>
      </c>
      <c r="AE27" s="39">
        <f t="shared" ref="AE27:AM27" si="113">AVERAGEIFS(AE$36:AE$173,$C$36:$C$173,"=4", $B$36:$B$173,"OFICIAL")</f>
        <v>0.47833333333333333</v>
      </c>
      <c r="AF27" s="39">
        <f t="shared" si="113"/>
        <v>0.16500000000000001</v>
      </c>
      <c r="AG27" s="39">
        <f t="shared" si="113"/>
        <v>6.6666666666666671E-3</v>
      </c>
      <c r="AH27" s="39">
        <f t="shared" si="113"/>
        <v>0.5083333333333333</v>
      </c>
      <c r="AI27" s="39">
        <f t="shared" si="113"/>
        <v>0.51500000000000001</v>
      </c>
      <c r="AJ27" s="39">
        <f t="shared" si="113"/>
        <v>0.49000000000000005</v>
      </c>
      <c r="AK27" s="39">
        <f t="shared" si="113"/>
        <v>0.57666666666666655</v>
      </c>
      <c r="AL27" s="39">
        <f t="shared" si="113"/>
        <v>0.6283333333333333</v>
      </c>
      <c r="AM27" s="39">
        <f t="shared" si="113"/>
        <v>0.58833333333333337</v>
      </c>
      <c r="AN27" s="129">
        <f>AVERAGEIFS(AN$36:AN$173,$C$36:$C$173,"=4", $B$36:$B$173,"OFICIAL")</f>
        <v>43</v>
      </c>
      <c r="AO27" s="129">
        <f>AVERAGEIFS(AO$36:AO$173,$C$36:$C$173,"=4", $B$36:$B$173,"OFICIAL")</f>
        <v>10.666666666666666</v>
      </c>
      <c r="AP27" s="39">
        <f>AVERAGEIFS(AP$36:AP$173,$C$36:$C$173,"=4", $B$36:$B$173,"OFICIAL")</f>
        <v>0.46666666666666662</v>
      </c>
      <c r="AQ27" s="39">
        <f t="shared" ref="AQ27:AY27" si="114">AVERAGEIFS(AQ$36:AQ$173,$C$36:$C$173,"=4", $B$36:$B$173,"OFICIAL")</f>
        <v>0.37999999999999995</v>
      </c>
      <c r="AR27" s="39">
        <f t="shared" si="114"/>
        <v>0.15</v>
      </c>
      <c r="AS27" s="39">
        <f t="shared" si="114"/>
        <v>1.6666666666666668E-3</v>
      </c>
      <c r="AT27" s="39">
        <f t="shared" si="114"/>
        <v>0.6316666666666666</v>
      </c>
      <c r="AU27" s="39">
        <f t="shared" si="114"/>
        <v>0.55500000000000005</v>
      </c>
      <c r="AV27" s="39">
        <f t="shared" si="114"/>
        <v>0.54166666666666663</v>
      </c>
      <c r="AW27" s="39">
        <f t="shared" si="114"/>
        <v>0.55333333333333334</v>
      </c>
      <c r="AX27" s="39">
        <f t="shared" si="114"/>
        <v>0.57333333333333336</v>
      </c>
      <c r="AY27" s="39">
        <f t="shared" si="114"/>
        <v>0.54999999999999993</v>
      </c>
      <c r="AZ27" s="129">
        <f>AVERAGEIFS(AZ$36:AZ$173,$C$36:$C$173,"=4", $B$36:$B$173,"OFICIAL")</f>
        <v>45.333333333333336</v>
      </c>
      <c r="BA27" s="129">
        <f>AVERAGEIFS(BA$36:BA$173,$C$36:$C$173,"=4", $B$36:$B$173,"OFICIAL")</f>
        <v>9</v>
      </c>
      <c r="BB27" s="39">
        <f>AVERAGEIFS(BB$36:BB$173,$C$36:$C$173,"=4", $B$36:$B$173,"OFICIAL")</f>
        <v>0.30166666666666664</v>
      </c>
      <c r="BC27" s="39">
        <f t="shared" ref="BC27:BK27" si="115">AVERAGEIFS(BC$36:BC$173,$C$36:$C$173,"=4", $B$36:$B$173,"OFICIAL")</f>
        <v>0.55833333333333346</v>
      </c>
      <c r="BD27" s="39">
        <f t="shared" si="115"/>
        <v>0.13999999999999999</v>
      </c>
      <c r="BE27" s="39">
        <f t="shared" si="115"/>
        <v>3.3333333333333335E-3</v>
      </c>
      <c r="BF27" s="39">
        <f t="shared" si="115"/>
        <v>0.57833333333333325</v>
      </c>
      <c r="BG27" s="39">
        <f t="shared" si="115"/>
        <v>0.55166666666666664</v>
      </c>
      <c r="BH27" s="39">
        <f t="shared" si="115"/>
        <v>0.54666666666666675</v>
      </c>
      <c r="BI27" s="39">
        <f t="shared" si="115"/>
        <v>0.64499999999999991</v>
      </c>
      <c r="BJ27" s="39">
        <f t="shared" si="115"/>
        <v>0.49666666666666676</v>
      </c>
      <c r="BK27" s="39">
        <f t="shared" si="115"/>
        <v>0.51833333333333342</v>
      </c>
      <c r="BL27" s="129">
        <f>AVERAGEIFS(BL$36:BL$173,$C$36:$C$173,"=4", $B$36:$B$173,"OFICIAL")</f>
        <v>44</v>
      </c>
      <c r="BN27" s="129">
        <f>AVERAGEIFS(BN$36:BN$173,$C$36:$C$173,"=4", $B$36:$B$173,"OFICIAL")</f>
        <v>9.8333333333333339</v>
      </c>
      <c r="BP27" s="39">
        <f>AVERAGEIFS(BP$36:BP$173,$C$36:$C$173,"=4", $B$36:$B$173,"OFICIAL")</f>
        <v>0.38500000000000001</v>
      </c>
      <c r="BQ27" s="39">
        <f t="shared" ref="BQ27:BY27" si="116">AVERAGEIFS(BQ$36:BQ$173,$C$36:$C$173,"=4", $B$36:$B$173,"OFICIAL")</f>
        <v>0.48</v>
      </c>
      <c r="BR27" s="39">
        <f t="shared" si="116"/>
        <v>0.13333333333333333</v>
      </c>
      <c r="BS27" s="39">
        <f t="shared" si="116"/>
        <v>1.6666666666666668E-3</v>
      </c>
      <c r="BT27" s="39">
        <f t="shared" si="116"/>
        <v>0.55333333333333334</v>
      </c>
      <c r="BU27" s="39">
        <f t="shared" si="116"/>
        <v>0.55500000000000005</v>
      </c>
      <c r="BV27" s="39">
        <f t="shared" si="116"/>
        <v>0.66999999999999993</v>
      </c>
      <c r="BW27" s="39">
        <f t="shared" si="116"/>
        <v>0.505</v>
      </c>
      <c r="BX27" s="39">
        <f t="shared" si="116"/>
        <v>0.55666666666666664</v>
      </c>
      <c r="BY27" s="39">
        <f t="shared" si="116"/>
        <v>0.6133333333333334</v>
      </c>
      <c r="BZ27" s="129">
        <f>AVERAGEIFS(BZ$36:BZ$173,$C$36:$C$173,"=4", $B$36:$B$173,"OFICIAL")</f>
        <v>45</v>
      </c>
      <c r="CB27" s="129">
        <f>AVERAGEIFS(CB$36:CB$173,$C$36:$C$173,"=4", $B$36:$B$173,"OFICIAL")</f>
        <v>9.8333333333333339</v>
      </c>
      <c r="CD27" s="342">
        <f>AVERAGEIFS(CD$36:CD$173,$C$36:$C$173,"=4", $B$36:$B$173,"OFICIAL")</f>
        <v>0.35333333333333333</v>
      </c>
      <c r="CE27" s="342">
        <f t="shared" ref="CE27:CM27" si="117">AVERAGEIFS(CE$36:CE$173,$C$36:$C$173,"=4", $B$36:$B$173,"OFICIAL")</f>
        <v>0.5083333333333333</v>
      </c>
      <c r="CF27" s="342">
        <f t="shared" si="117"/>
        <v>0.13500000000000001</v>
      </c>
      <c r="CG27" s="342">
        <f t="shared" si="117"/>
        <v>6.6666666666666671E-3</v>
      </c>
      <c r="CH27" s="342">
        <f t="shared" si="117"/>
        <v>0.52500000000000002</v>
      </c>
      <c r="CI27" s="342">
        <f t="shared" si="117"/>
        <v>0.47666666666666663</v>
      </c>
      <c r="CJ27" s="342">
        <f t="shared" si="117"/>
        <v>0.64</v>
      </c>
      <c r="CK27" s="342">
        <f t="shared" si="117"/>
        <v>0.6216666666666667</v>
      </c>
      <c r="CL27" s="342">
        <f t="shared" si="117"/>
        <v>0.48666666666666658</v>
      </c>
      <c r="CM27" s="342">
        <f t="shared" si="117"/>
        <v>0.64500000000000013</v>
      </c>
      <c r="CN27" s="129">
        <f>AVERAGEIFS(CN$36:CN$173,$C$36:$C$173,"=4", $B$36:$B$173,"OFICIAL")</f>
        <v>45.5</v>
      </c>
      <c r="CP27" s="129">
        <f>AVERAGEIFS(CP$36:CP$173,$C$36:$C$173,"=4", $B$36:$B$173,"OFICIAL")</f>
        <v>10</v>
      </c>
      <c r="CR27" s="342">
        <f>AVERAGEIFS(CR$36:CR$173,$C$36:$C$173,"=4", $B$36:$B$173,"OFICIAL")</f>
        <v>0.34166666666666662</v>
      </c>
      <c r="CS27" s="342">
        <f t="shared" ref="CS27:DB27" si="118">AVERAGEIFS(CS$36:CS$173,$C$36:$C$173,"=4", $B$36:$B$173,"OFICIAL")</f>
        <v>0.5033333333333333</v>
      </c>
      <c r="CT27" s="342">
        <f t="shared" si="118"/>
        <v>0.15333333333333335</v>
      </c>
      <c r="CU27" s="342">
        <f t="shared" si="118"/>
        <v>5.0000000000000001E-3</v>
      </c>
      <c r="CV27" s="342">
        <f t="shared" si="118"/>
        <v>0.46500000000000002</v>
      </c>
      <c r="CW27" s="342">
        <f t="shared" si="118"/>
        <v>0.61833333333333329</v>
      </c>
      <c r="CX27" s="342">
        <f t="shared" si="118"/>
        <v>0.62500000000000011</v>
      </c>
      <c r="CY27" s="342">
        <f t="shared" si="118"/>
        <v>0.70000000000000007</v>
      </c>
      <c r="CZ27" s="342">
        <f t="shared" si="118"/>
        <v>0.61166666666666669</v>
      </c>
      <c r="DA27" s="342">
        <f t="shared" si="118"/>
        <v>0.63833333333333331</v>
      </c>
      <c r="DB27" s="490">
        <f t="shared" si="118"/>
        <v>45</v>
      </c>
      <c r="DC27" s="495"/>
      <c r="DD27" s="300">
        <f>AVERAGEIFS(DD$36:DD$173,$C$36:$C$173,"=4", $B$36:$B$173,"OFICIAL")</f>
        <v>10</v>
      </c>
      <c r="DE27" s="495"/>
      <c r="DF27" s="343">
        <f t="shared" ref="DF27:DN27" si="119">AVERAGEIFS(DF$36:DF$173,$C$36:$C$173,"=4", $B$36:$B$173,"OFICIAL")</f>
        <v>0.32333333333333336</v>
      </c>
      <c r="DG27" s="343">
        <f t="shared" si="119"/>
        <v>0.49666666666666659</v>
      </c>
      <c r="DH27" s="343">
        <f t="shared" si="119"/>
        <v>0.18166666666666667</v>
      </c>
      <c r="DI27" s="343">
        <f t="shared" si="119"/>
        <v>1.6666666666666668E-3</v>
      </c>
      <c r="DJ27" s="343">
        <f>AVERAGEIFS(DJ$36:DJ$173,$C$36:$C$173,"=4", $B$36:$B$173,"OFICIAL")</f>
        <v>0.55333333333333334</v>
      </c>
      <c r="DK27" s="343">
        <f>AVERAGEIFS(DK$36:DK$173,$C$36:$C$173,"=4", $B$36:$B$173,"OFICIAL")</f>
        <v>0.54833333333333334</v>
      </c>
      <c r="DL27" s="343">
        <f t="shared" si="119"/>
        <v>0.56333333333333324</v>
      </c>
      <c r="DM27" s="343">
        <f t="shared" si="119"/>
        <v>0.66333333333333322</v>
      </c>
      <c r="DN27" s="343">
        <f t="shared" si="119"/>
        <v>0.61833333333333329</v>
      </c>
      <c r="DO27" s="343">
        <f>AVERAGEIFS(DO$36:DO$173,$C$36:$C$173,"=4", $B$36:$B$173,"OFICIAL")</f>
        <v>0.54166666666666663</v>
      </c>
      <c r="DP27" s="129">
        <f>AVERAGEIFS(DP$36:DP$173,$C$36:$C$173,"=4", $B$36:$B$173,"OFICIAL")</f>
        <v>45.166666666666664</v>
      </c>
      <c r="DQ27" s="896"/>
      <c r="DR27" s="129">
        <f>AVERAGEIFS(DR$36:DR$173,$C$36:$C$173,"=4", $B$36:$B$173,"OFICIAL")</f>
        <v>9.8333333333333339</v>
      </c>
      <c r="DS27" s="896"/>
      <c r="DT27" s="342">
        <f>AVERAGEIFS(DT$36:DT$173,$C$36:$C$173,"=4", $B$36:$B$173,"OFICIAL")</f>
        <v>0.35999999999999993</v>
      </c>
      <c r="DU27" s="342">
        <f t="shared" ref="DU27:EC27" si="120">AVERAGEIFS(DU$36:DU$173,$C$36:$C$173,"=4", $B$36:$B$173,"OFICIAL")</f>
        <v>0.44166666666666665</v>
      </c>
      <c r="DV27" s="342">
        <f t="shared" si="120"/>
        <v>0.19166666666666668</v>
      </c>
      <c r="DW27" s="342">
        <f t="shared" si="120"/>
        <v>1.6666666666666668E-3</v>
      </c>
      <c r="DX27" s="342">
        <f t="shared" si="120"/>
        <v>0.57333333333333336</v>
      </c>
      <c r="DY27" s="342">
        <f t="shared" si="120"/>
        <v>0.46500000000000002</v>
      </c>
      <c r="DZ27" s="342">
        <f t="shared" si="120"/>
        <v>0.745</v>
      </c>
      <c r="EA27" s="342">
        <f t="shared" si="120"/>
        <v>0.55666666666666664</v>
      </c>
      <c r="EB27" s="342">
        <f t="shared" si="120"/>
        <v>0.63500000000000001</v>
      </c>
      <c r="EC27" s="342">
        <f t="shared" si="120"/>
        <v>0.48499999999999993</v>
      </c>
    </row>
    <row r="28" spans="1:133" ht="24.95" customHeight="1" x14ac:dyDescent="0.2">
      <c r="A28" s="6" t="s">
        <v>780</v>
      </c>
      <c r="B28" s="299"/>
      <c r="C28" s="299"/>
      <c r="D28" s="129">
        <f>AVERAGEIFS(D$36:D$173,$C$36:$C$173,"=5", $B$36:$B$173,"OFICIAL")</f>
        <v>52</v>
      </c>
      <c r="E28" s="129">
        <f>AVERAGEIFS(E$36:E$173,$C$36:$C$173,"=5", $B$36:$B$173,"OFICIAL")</f>
        <v>8.6666666666666661</v>
      </c>
      <c r="F28" s="39">
        <f>AVERAGEIFS(F$36:F$173,$C$36:$C$173,"=5", $B$36:$B$173,"OFICIAL")</f>
        <v>0.12333333333333334</v>
      </c>
      <c r="G28" s="39">
        <f t="shared" ref="G28:O28" si="121">AVERAGEIFS(G$36:G$173,$C$36:$C$173,"=5", $B$36:$B$173,"OFICIAL")</f>
        <v>0.56333333333333335</v>
      </c>
      <c r="H28" s="39">
        <f t="shared" si="121"/>
        <v>0.29666666666666663</v>
      </c>
      <c r="I28" s="39">
        <f t="shared" si="121"/>
        <v>0.02</v>
      </c>
      <c r="J28" s="39">
        <f t="shared" si="121"/>
        <v>0.52666666666666673</v>
      </c>
      <c r="K28" s="39">
        <f t="shared" si="121"/>
        <v>0.48333333333333334</v>
      </c>
      <c r="L28" s="39">
        <f t="shared" si="121"/>
        <v>0.54333333333333333</v>
      </c>
      <c r="M28" s="39">
        <f t="shared" si="121"/>
        <v>0.39333333333333337</v>
      </c>
      <c r="N28" s="39">
        <f t="shared" si="121"/>
        <v>0.43333333333333335</v>
      </c>
      <c r="O28" s="39">
        <f t="shared" si="121"/>
        <v>0.52</v>
      </c>
      <c r="P28" s="129">
        <f>AVERAGEIFS(P$36:P$173,$C$36:$C$173,"=5", $B$36:$B$173,"OFICIAL")</f>
        <v>52.333333333333336</v>
      </c>
      <c r="Q28" s="129">
        <f>AVERAGEIFS(Q$36:Q$173,$C$36:$C$173,"=5", $B$36:$B$173,"OFICIAL")</f>
        <v>9.3333333333333339</v>
      </c>
      <c r="R28" s="39">
        <f>AVERAGEIFS(R$36:R$173,$C$36:$C$173,"=5", $B$36:$B$173,"OFICIAL")</f>
        <v>0.10666666666666665</v>
      </c>
      <c r="S28" s="39">
        <f t="shared" ref="S28:AA28" si="122">AVERAGEIFS(S$36:S$173,$C$36:$C$173,"=5", $B$36:$B$173,"OFICIAL")</f>
        <v>0.53999999999999992</v>
      </c>
      <c r="T28" s="39">
        <f t="shared" si="122"/>
        <v>0.31</v>
      </c>
      <c r="U28" s="39">
        <f t="shared" si="122"/>
        <v>4.3333333333333335E-2</v>
      </c>
      <c r="V28" s="39">
        <f t="shared" si="122"/>
        <v>0.38666666666666671</v>
      </c>
      <c r="W28" s="39">
        <f t="shared" si="122"/>
        <v>0.45999999999999996</v>
      </c>
      <c r="X28" s="39">
        <f t="shared" si="122"/>
        <v>0.51666666666666672</v>
      </c>
      <c r="Y28" s="39">
        <f t="shared" si="122"/>
        <v>0.43333333333333329</v>
      </c>
      <c r="Z28" s="39">
        <f t="shared" si="122"/>
        <v>0.41999999999999993</v>
      </c>
      <c r="AA28" s="39">
        <f t="shared" si="122"/>
        <v>0.48333333333333339</v>
      </c>
      <c r="AB28" s="129">
        <f>AVERAGEIFS(AB$36:AB$173,$C$36:$C$173,"=5", $B$36:$B$173,"OFICIAL")</f>
        <v>50.333333333333336</v>
      </c>
      <c r="AC28" s="129">
        <f>AVERAGEIFS(AC$36:AC$173,$C$36:$C$173,"=5", $B$36:$B$173,"OFICIAL")</f>
        <v>9.6666666666666661</v>
      </c>
      <c r="AD28" s="39">
        <f>AVERAGEIFS(AD$36:AD$173,$C$36:$C$173,"=5", $B$36:$B$173,"OFICIAL")</f>
        <v>0.18000000000000002</v>
      </c>
      <c r="AE28" s="39">
        <f t="shared" ref="AE28:AM28" si="123">AVERAGEIFS(AE$36:AE$173,$C$36:$C$173,"=5", $B$36:$B$173,"OFICIAL")</f>
        <v>0.5033333333333333</v>
      </c>
      <c r="AF28" s="39">
        <f t="shared" si="123"/>
        <v>0.29666666666666669</v>
      </c>
      <c r="AG28" s="39">
        <f t="shared" si="123"/>
        <v>1.6666666666666666E-2</v>
      </c>
      <c r="AH28" s="39">
        <f t="shared" si="123"/>
        <v>0.41666666666666669</v>
      </c>
      <c r="AI28" s="39">
        <f t="shared" si="123"/>
        <v>0.43</v>
      </c>
      <c r="AJ28" s="39">
        <f t="shared" si="123"/>
        <v>0.39666666666666667</v>
      </c>
      <c r="AK28" s="39">
        <f t="shared" si="123"/>
        <v>0.48666666666666664</v>
      </c>
      <c r="AL28" s="39">
        <f t="shared" si="123"/>
        <v>0.53666666666666663</v>
      </c>
      <c r="AM28" s="39">
        <f t="shared" si="123"/>
        <v>0.50666666666666671</v>
      </c>
      <c r="AN28" s="129">
        <f>AVERAGEIFS(AN$36:AN$173,$C$36:$C$173,"=5", $B$36:$B$173,"OFICIAL")</f>
        <v>50</v>
      </c>
      <c r="AO28" s="129">
        <f>AVERAGEIFS(AO$36:AO$173,$C$36:$C$173,"=5", $B$36:$B$173,"OFICIAL")</f>
        <v>9.3333333333333339</v>
      </c>
      <c r="AP28" s="39">
        <f>AVERAGEIFS(AP$36:AP$173,$C$36:$C$173,"=5", $B$36:$B$173,"OFICIAL")</f>
        <v>0.17666666666666667</v>
      </c>
      <c r="AQ28" s="39">
        <f t="shared" ref="AQ28:AY28" si="124">AVERAGEIFS(AQ$36:AQ$173,$C$36:$C$173,"=5", $B$36:$B$173,"OFICIAL")</f>
        <v>0.53333333333333333</v>
      </c>
      <c r="AR28" s="39">
        <f t="shared" si="124"/>
        <v>0.27666666666666667</v>
      </c>
      <c r="AS28" s="39">
        <f t="shared" si="124"/>
        <v>0.02</v>
      </c>
      <c r="AT28" s="39">
        <f t="shared" si="124"/>
        <v>0.50666666666666671</v>
      </c>
      <c r="AU28" s="39">
        <f t="shared" si="124"/>
        <v>0.44666666666666671</v>
      </c>
      <c r="AV28" s="39">
        <f t="shared" si="124"/>
        <v>0.42</v>
      </c>
      <c r="AW28" s="39">
        <f t="shared" si="124"/>
        <v>0.45333333333333331</v>
      </c>
      <c r="AX28" s="39">
        <f t="shared" si="124"/>
        <v>0.44333333333333336</v>
      </c>
      <c r="AY28" s="39">
        <f t="shared" si="124"/>
        <v>0.44</v>
      </c>
      <c r="AZ28" s="129">
        <f>AVERAGEIFS(AZ$36:AZ$173,$C$36:$C$173,"=5", $B$36:$B$173,"OFICIAL")</f>
        <v>52</v>
      </c>
      <c r="BA28" s="129">
        <f>AVERAGEIFS(BA$36:BA$173,$C$36:$C$173,"=5", $B$36:$B$173,"OFICIAL")</f>
        <v>9.6666666666666661</v>
      </c>
      <c r="BB28" s="39">
        <f>AVERAGEIFS(BB$36:BB$173,$C$36:$C$173,"=5", $B$36:$B$173,"OFICIAL")</f>
        <v>0.17333333333333334</v>
      </c>
      <c r="BC28" s="39">
        <f t="shared" ref="BC28:BK28" si="125">AVERAGEIFS(BC$36:BC$173,$C$36:$C$173,"=5", $B$36:$B$173,"OFICIAL")</f>
        <v>0.44</v>
      </c>
      <c r="BD28" s="39">
        <f t="shared" si="125"/>
        <v>0.35666666666666663</v>
      </c>
      <c r="BE28" s="39">
        <f t="shared" si="125"/>
        <v>3.3333333333333333E-2</v>
      </c>
      <c r="BF28" s="39">
        <f t="shared" si="125"/>
        <v>0.47666666666666674</v>
      </c>
      <c r="BG28" s="39">
        <f t="shared" si="125"/>
        <v>0.44333333333333336</v>
      </c>
      <c r="BH28" s="39">
        <f t="shared" si="125"/>
        <v>0.43333333333333335</v>
      </c>
      <c r="BI28" s="39">
        <f t="shared" si="125"/>
        <v>0.49666666666666676</v>
      </c>
      <c r="BJ28" s="39">
        <f t="shared" si="125"/>
        <v>0.38666666666666666</v>
      </c>
      <c r="BK28" s="39">
        <f t="shared" si="125"/>
        <v>0.38000000000000006</v>
      </c>
      <c r="BL28" s="129">
        <f>AVERAGEIFS(BL$36:BL$173,$C$36:$C$173,"=5", $B$36:$B$173,"OFICIAL")</f>
        <v>50.333333333333336</v>
      </c>
      <c r="BN28" s="129">
        <f>AVERAGEIFS(BN$36:BN$173,$C$36:$C$173,"=5", $B$36:$B$173,"OFICIAL")</f>
        <v>10.333333333333334</v>
      </c>
      <c r="BP28" s="39">
        <f>AVERAGEIFS(BP$36:BP$173,$C$36:$C$173,"=5", $B$36:$B$173,"OFICIAL")</f>
        <v>0.19000000000000003</v>
      </c>
      <c r="BQ28" s="39">
        <f t="shared" ref="BQ28:BY28" si="126">AVERAGEIFS(BQ$36:BQ$173,$C$36:$C$173,"=5", $B$36:$B$173,"OFICIAL")</f>
        <v>0.48</v>
      </c>
      <c r="BR28" s="39">
        <f t="shared" si="126"/>
        <v>0.30333333333333329</v>
      </c>
      <c r="BS28" s="39">
        <f t="shared" si="126"/>
        <v>0.03</v>
      </c>
      <c r="BT28" s="39">
        <f t="shared" si="126"/>
        <v>0.42666666666666669</v>
      </c>
      <c r="BU28" s="39">
        <f t="shared" si="126"/>
        <v>0.45999999999999996</v>
      </c>
      <c r="BV28" s="39">
        <f t="shared" si="126"/>
        <v>0.56999999999999995</v>
      </c>
      <c r="BW28" s="39">
        <f t="shared" si="126"/>
        <v>0.41666666666666669</v>
      </c>
      <c r="BX28" s="39">
        <f t="shared" si="126"/>
        <v>0.46333333333333337</v>
      </c>
      <c r="BY28" s="39">
        <f t="shared" si="126"/>
        <v>0.51</v>
      </c>
      <c r="BZ28" s="129">
        <f>AVERAGEIFS(BZ$36:BZ$173,$C$36:$C$173,"=5", $B$36:$B$173,"OFICIAL")</f>
        <v>52.333333333333336</v>
      </c>
      <c r="CB28" s="129">
        <f>AVERAGEIFS(CB$36:CB$173,$C$36:$C$173,"=5", $B$36:$B$173,"OFICIAL")</f>
        <v>9.6666666666666661</v>
      </c>
      <c r="CD28" s="342">
        <f>AVERAGEIFS(CD$36:CD$173,$C$36:$C$173,"=5", $B$36:$B$173,"OFICIAL")</f>
        <v>0.14666666666666667</v>
      </c>
      <c r="CE28" s="342">
        <f t="shared" ref="CE28:CM28" si="127">AVERAGEIFS(CE$36:CE$173,$C$36:$C$173,"=5", $B$36:$B$173,"OFICIAL")</f>
        <v>0.44666666666666671</v>
      </c>
      <c r="CF28" s="342">
        <f t="shared" si="127"/>
        <v>0.38000000000000006</v>
      </c>
      <c r="CG28" s="342">
        <f t="shared" si="127"/>
        <v>2.6666666666666668E-2</v>
      </c>
      <c r="CH28" s="342">
        <f t="shared" si="127"/>
        <v>0.43999999999999995</v>
      </c>
      <c r="CI28" s="342">
        <f t="shared" si="127"/>
        <v>0.35333333333333333</v>
      </c>
      <c r="CJ28" s="342">
        <f t="shared" si="127"/>
        <v>0.53666666666666674</v>
      </c>
      <c r="CK28" s="342">
        <f t="shared" si="127"/>
        <v>0.51</v>
      </c>
      <c r="CL28" s="342">
        <f t="shared" si="127"/>
        <v>0.41</v>
      </c>
      <c r="CM28" s="342">
        <f t="shared" si="127"/>
        <v>0.52333333333333332</v>
      </c>
      <c r="CN28" s="129">
        <f>AVERAGEIFS(CN$36:CN$173,$C$36:$C$173,"=5", $B$36:$B$173,"OFICIAL")</f>
        <v>51.333333333333336</v>
      </c>
      <c r="CP28" s="129">
        <f>AVERAGEIFS(CP$36:CP$173,$C$36:$C$173,"=5", $B$36:$B$173,"OFICIAL")</f>
        <v>9.6666666666666661</v>
      </c>
      <c r="CR28" s="342">
        <f>AVERAGEIFS(CR$36:CR$173,$C$36:$C$173,"=5", $B$36:$B$173,"OFICIAL")</f>
        <v>0.16333333333333333</v>
      </c>
      <c r="CS28" s="342">
        <f t="shared" ref="CS28:DB28" si="128">AVERAGEIFS(CS$36:CS$173,$C$36:$C$173,"=5", $B$36:$B$173,"OFICIAL")</f>
        <v>0.47333333333333333</v>
      </c>
      <c r="CT28" s="342">
        <f t="shared" si="128"/>
        <v>0.34666666666666668</v>
      </c>
      <c r="CU28" s="342">
        <f t="shared" si="128"/>
        <v>0.02</v>
      </c>
      <c r="CV28" s="342">
        <f t="shared" si="128"/>
        <v>0.33666666666666667</v>
      </c>
      <c r="CW28" s="342">
        <f t="shared" si="128"/>
        <v>0.51666666666666661</v>
      </c>
      <c r="CX28" s="342">
        <f t="shared" si="128"/>
        <v>0.54666666666666663</v>
      </c>
      <c r="CY28" s="342">
        <f t="shared" si="128"/>
        <v>0.66</v>
      </c>
      <c r="CZ28" s="342">
        <f t="shared" si="128"/>
        <v>0.55999999999999994</v>
      </c>
      <c r="DA28" s="342">
        <f t="shared" si="128"/>
        <v>0.53999999999999992</v>
      </c>
      <c r="DB28" s="490">
        <f t="shared" si="128"/>
        <v>51.333333333333336</v>
      </c>
      <c r="DC28" s="495"/>
      <c r="DD28" s="300">
        <f>AVERAGEIFS(DD$36:DD$173,$C$36:$C$173,"=5", $B$36:$B$173,"OFICIAL")</f>
        <v>10.666666666666666</v>
      </c>
      <c r="DE28" s="495"/>
      <c r="DF28" s="343">
        <f t="shared" ref="DF28:DN28" si="129">AVERAGEIFS(DF$36:DF$173,$C$36:$C$173,"=5", $B$36:$B$173,"OFICIAL")</f>
        <v>0.17</v>
      </c>
      <c r="DG28" s="343">
        <f t="shared" si="129"/>
        <v>0.46333333333333337</v>
      </c>
      <c r="DH28" s="343">
        <f t="shared" si="129"/>
        <v>0.32666666666666666</v>
      </c>
      <c r="DI28" s="343">
        <f t="shared" si="129"/>
        <v>0.04</v>
      </c>
      <c r="DJ28" s="343">
        <f>AVERAGEIFS(DJ$36:DJ$173,$C$36:$C$173,"=5", $B$36:$B$173,"OFICIAL")</f>
        <v>0.46333333333333332</v>
      </c>
      <c r="DK28" s="343">
        <f>AVERAGEIFS(DK$36:DK$173,$C$36:$C$173,"=5", $B$36:$B$173,"OFICIAL")</f>
        <v>0.45333333333333331</v>
      </c>
      <c r="DL28" s="343">
        <f t="shared" si="129"/>
        <v>0.45333333333333331</v>
      </c>
      <c r="DM28" s="343">
        <f t="shared" si="129"/>
        <v>0.62333333333333341</v>
      </c>
      <c r="DN28" s="343">
        <f t="shared" si="129"/>
        <v>0.49333333333333335</v>
      </c>
      <c r="DO28" s="343">
        <f>AVERAGEIFS(DO$36:DO$173,$C$36:$C$173,"=5", $B$36:$B$173,"OFICIAL")</f>
        <v>0.37333333333333335</v>
      </c>
      <c r="DP28" s="129">
        <f>AVERAGEIFS(DP$36:DP$173,$C$36:$C$173,"=5", $B$36:$B$173,"OFICIAL")</f>
        <v>51</v>
      </c>
      <c r="DQ28" s="896"/>
      <c r="DR28" s="129">
        <f>AVERAGEIFS(DR$36:DR$173,$C$36:$C$173,"=5", $B$36:$B$173,"OFICIAL")</f>
        <v>11</v>
      </c>
      <c r="DS28" s="896"/>
      <c r="DT28" s="342">
        <f>AVERAGEIFS(DT$36:DT$173,$C$36:$C$173,"=5", $B$36:$B$173,"OFICIAL")</f>
        <v>0.19333333333333333</v>
      </c>
      <c r="DU28" s="342">
        <f t="shared" ref="DU28:EC28" si="130">AVERAGEIFS(DU$36:DU$173,$C$36:$C$173,"=5", $B$36:$B$173,"OFICIAL")</f>
        <v>0.43999999999999995</v>
      </c>
      <c r="DV28" s="342">
        <f t="shared" si="130"/>
        <v>0.32666666666666672</v>
      </c>
      <c r="DW28" s="342">
        <f t="shared" si="130"/>
        <v>0.04</v>
      </c>
      <c r="DX28" s="342">
        <f t="shared" si="130"/>
        <v>0.45</v>
      </c>
      <c r="DY28" s="342">
        <f t="shared" si="130"/>
        <v>0.38999999999999996</v>
      </c>
      <c r="DZ28" s="342">
        <f t="shared" si="130"/>
        <v>0.65</v>
      </c>
      <c r="EA28" s="342">
        <f t="shared" si="130"/>
        <v>0.45333333333333331</v>
      </c>
      <c r="EB28" s="342">
        <f t="shared" si="130"/>
        <v>0.54666666666666663</v>
      </c>
      <c r="EC28" s="342">
        <f t="shared" si="130"/>
        <v>0.37000000000000005</v>
      </c>
    </row>
    <row r="29" spans="1:133" ht="24.95" customHeight="1" x14ac:dyDescent="0.2">
      <c r="A29" s="6" t="s">
        <v>781</v>
      </c>
      <c r="B29" s="299"/>
      <c r="C29" s="299"/>
      <c r="D29" s="129">
        <f>AVERAGEIFS(D$36:D$173,$C$36:$C$173,"=6", $B$36:$B$173,"OFICIAL")</f>
        <v>50.5</v>
      </c>
      <c r="E29" s="129">
        <f>AVERAGEIFS(E$36:E$173,$C$36:$C$173,"=6", $B$36:$B$173,"OFICIAL")</f>
        <v>8.5</v>
      </c>
      <c r="F29" s="39">
        <f>AVERAGEIFS(F$36:F$173,$C$36:$C$173,"=6", $B$36:$B$173,"OFICIAL")</f>
        <v>0.14000000000000001</v>
      </c>
      <c r="G29" s="39">
        <f t="shared" ref="G29:O29" si="131">AVERAGEIFS(G$36:G$173,$C$36:$C$173,"=6", $B$36:$B$173,"OFICIAL")</f>
        <v>0.58249999999999991</v>
      </c>
      <c r="H29" s="39">
        <f t="shared" si="131"/>
        <v>0.27250000000000002</v>
      </c>
      <c r="I29" s="39">
        <f t="shared" si="131"/>
        <v>5.0000000000000001E-3</v>
      </c>
      <c r="J29" s="39">
        <f t="shared" si="131"/>
        <v>0.55249999999999999</v>
      </c>
      <c r="K29" s="39">
        <f t="shared" si="131"/>
        <v>0.49</v>
      </c>
      <c r="L29" s="39">
        <f t="shared" si="131"/>
        <v>0.62749999999999995</v>
      </c>
      <c r="M29" s="39">
        <f t="shared" si="131"/>
        <v>0.41249999999999998</v>
      </c>
      <c r="N29" s="39">
        <f t="shared" si="131"/>
        <v>0.43749999999999994</v>
      </c>
      <c r="O29" s="39">
        <f t="shared" si="131"/>
        <v>0.49</v>
      </c>
      <c r="P29" s="129">
        <f>AVERAGEIFS(P$36:P$173,$C$36:$C$173,"=6", $B$36:$B$173,"OFICIAL")</f>
        <v>50</v>
      </c>
      <c r="Q29" s="129">
        <f>AVERAGEIFS(Q$36:Q$173,$C$36:$C$173,"=6", $B$36:$B$173,"OFICIAL")</f>
        <v>9.5</v>
      </c>
      <c r="R29" s="39">
        <f>AVERAGEIFS(R$36:R$173,$C$36:$C$173,"=6", $B$36:$B$173,"OFICIAL")</f>
        <v>0.1575</v>
      </c>
      <c r="S29" s="39">
        <f t="shared" ref="S29:AA29" si="132">AVERAGEIFS(S$36:S$173,$C$36:$C$173,"=6", $B$36:$B$173,"OFICIAL")</f>
        <v>0.53249999999999997</v>
      </c>
      <c r="T29" s="39">
        <f t="shared" si="132"/>
        <v>0.29749999999999999</v>
      </c>
      <c r="U29" s="39">
        <f t="shared" si="132"/>
        <v>1.4999999999999999E-2</v>
      </c>
      <c r="V29" s="39">
        <f t="shared" si="132"/>
        <v>0.42499999999999999</v>
      </c>
      <c r="W29" s="39">
        <f t="shared" si="132"/>
        <v>0.4975</v>
      </c>
      <c r="X29" s="39">
        <f t="shared" si="132"/>
        <v>0.55249999999999999</v>
      </c>
      <c r="Y29" s="39">
        <f t="shared" si="132"/>
        <v>0.46499999999999997</v>
      </c>
      <c r="Z29" s="39">
        <f t="shared" si="132"/>
        <v>0.45499999999999996</v>
      </c>
      <c r="AA29" s="39">
        <f t="shared" si="132"/>
        <v>0.51750000000000007</v>
      </c>
      <c r="AB29" s="129">
        <f>AVERAGEIFS(AB$36:AB$173,$C$36:$C$173,"=6", $B$36:$B$173,"OFICIAL")</f>
        <v>47.75</v>
      </c>
      <c r="AC29" s="129">
        <f>AVERAGEIFS(AC$36:AC$173,$C$36:$C$173,"=6", $B$36:$B$173,"OFICIAL")</f>
        <v>10.5</v>
      </c>
      <c r="AD29" s="39">
        <f>AVERAGEIFS(AD$36:AD$173,$C$36:$C$173,"=6", $B$36:$B$173,"OFICIAL")</f>
        <v>0.26500000000000001</v>
      </c>
      <c r="AE29" s="39">
        <f t="shared" ref="AE29:AM29" si="133">AVERAGEIFS(AE$36:AE$173,$C$36:$C$173,"=6", $B$36:$B$173,"OFICIAL")</f>
        <v>0.49249999999999999</v>
      </c>
      <c r="AF29" s="39">
        <f t="shared" si="133"/>
        <v>0.23</v>
      </c>
      <c r="AG29" s="39">
        <f t="shared" si="133"/>
        <v>1.5000000000000001E-2</v>
      </c>
      <c r="AH29" s="39">
        <f t="shared" si="133"/>
        <v>0.46249999999999997</v>
      </c>
      <c r="AI29" s="39">
        <f t="shared" si="133"/>
        <v>0.45749999999999996</v>
      </c>
      <c r="AJ29" s="39">
        <f t="shared" si="133"/>
        <v>0.4425</v>
      </c>
      <c r="AK29" s="39">
        <f t="shared" si="133"/>
        <v>0.53</v>
      </c>
      <c r="AL29" s="39">
        <f t="shared" si="133"/>
        <v>0.58250000000000002</v>
      </c>
      <c r="AM29" s="39">
        <f t="shared" si="133"/>
        <v>0.54</v>
      </c>
      <c r="AN29" s="129">
        <f>AVERAGEIFS(AN$36:AN$173,$C$36:$C$173,"=6", $B$36:$B$173,"OFICIAL")</f>
        <v>46.5</v>
      </c>
      <c r="AO29" s="129">
        <f>AVERAGEIFS(AO$36:AO$173,$C$36:$C$173,"=6", $B$36:$B$173,"OFICIAL")</f>
        <v>10.25</v>
      </c>
      <c r="AP29" s="39">
        <f>AVERAGEIFS(AP$36:AP$173,$C$36:$C$173,"=6", $B$36:$B$173,"OFICIAL")</f>
        <v>0.3125</v>
      </c>
      <c r="AQ29" s="39">
        <f t="shared" ref="AQ29:AY29" si="134">AVERAGEIFS(AQ$36:AQ$173,$C$36:$C$173,"=6", $B$36:$B$173,"OFICIAL")</f>
        <v>0.50750000000000006</v>
      </c>
      <c r="AR29" s="39">
        <f t="shared" si="134"/>
        <v>0.16750000000000001</v>
      </c>
      <c r="AS29" s="39">
        <f t="shared" si="134"/>
        <v>1.2500000000000001E-2</v>
      </c>
      <c r="AT29" s="39">
        <f t="shared" si="134"/>
        <v>0.57750000000000001</v>
      </c>
      <c r="AU29" s="39">
        <f t="shared" si="134"/>
        <v>0.50249999999999995</v>
      </c>
      <c r="AV29" s="39">
        <f t="shared" si="134"/>
        <v>0.48499999999999999</v>
      </c>
      <c r="AW29" s="39">
        <f t="shared" si="134"/>
        <v>0.50750000000000006</v>
      </c>
      <c r="AX29" s="39">
        <f t="shared" si="134"/>
        <v>0.505</v>
      </c>
      <c r="AY29" s="39">
        <f t="shared" si="134"/>
        <v>0.51500000000000001</v>
      </c>
      <c r="AZ29" s="129">
        <f>AVERAGEIFS(AZ$36:AZ$173,$C$36:$C$173,"=6", $B$36:$B$173,"OFICIAL")</f>
        <v>48.5</v>
      </c>
      <c r="BA29" s="129">
        <f>AVERAGEIFS(BA$36:BA$173,$C$36:$C$173,"=6", $B$36:$B$173,"OFICIAL")</f>
        <v>10</v>
      </c>
      <c r="BB29" s="39">
        <f>AVERAGEIFS(BB$36:BB$173,$C$36:$C$173,"=6", $B$36:$B$173,"OFICIAL")</f>
        <v>0.23249999999999998</v>
      </c>
      <c r="BC29" s="39">
        <f t="shared" ref="BC29:BK29" si="135">AVERAGEIFS(BC$36:BC$173,$C$36:$C$173,"=6", $B$36:$B$173,"OFICIAL")</f>
        <v>0.50750000000000006</v>
      </c>
      <c r="BD29" s="39">
        <f t="shared" si="135"/>
        <v>0.24249999999999999</v>
      </c>
      <c r="BE29" s="39">
        <f t="shared" si="135"/>
        <v>1.7499999999999998E-2</v>
      </c>
      <c r="BF29" s="39">
        <f t="shared" si="135"/>
        <v>0.505</v>
      </c>
      <c r="BG29" s="39">
        <f t="shared" si="135"/>
        <v>0.505</v>
      </c>
      <c r="BH29" s="39">
        <f t="shared" si="135"/>
        <v>0.50750000000000006</v>
      </c>
      <c r="BI29" s="39">
        <f t="shared" si="135"/>
        <v>0.58750000000000002</v>
      </c>
      <c r="BJ29" s="39">
        <f t="shared" si="135"/>
        <v>0.44500000000000001</v>
      </c>
      <c r="BK29" s="39">
        <f t="shared" si="135"/>
        <v>0.45</v>
      </c>
      <c r="BL29" s="129">
        <f>AVERAGEIFS(BL$36:BL$173,$C$36:$C$173,"=6", $B$36:$B$173,"OFICIAL")</f>
        <v>46.5</v>
      </c>
      <c r="BN29" s="129">
        <f>AVERAGEIFS(BN$36:BN$173,$C$36:$C$173,"=6", $B$36:$B$173,"OFICIAL")</f>
        <v>10.25</v>
      </c>
      <c r="BP29" s="39">
        <f>AVERAGEIFS(BP$36:BP$173,$C$36:$C$173,"=6", $B$36:$B$173,"OFICIAL")</f>
        <v>0.29500000000000004</v>
      </c>
      <c r="BQ29" s="39">
        <f t="shared" ref="BQ29:BY29" si="136">AVERAGEIFS(BQ$36:BQ$173,$C$36:$C$173,"=6", $B$36:$B$173,"OFICIAL")</f>
        <v>0.51249999999999996</v>
      </c>
      <c r="BR29" s="39">
        <f t="shared" si="136"/>
        <v>0.19500000000000001</v>
      </c>
      <c r="BS29" s="39">
        <f t="shared" si="136"/>
        <v>5.0000000000000001E-3</v>
      </c>
      <c r="BT29" s="39">
        <f t="shared" si="136"/>
        <v>0.5</v>
      </c>
      <c r="BU29" s="39">
        <f t="shared" si="136"/>
        <v>0.52249999999999996</v>
      </c>
      <c r="BV29" s="39">
        <f t="shared" si="136"/>
        <v>0.61499999999999999</v>
      </c>
      <c r="BW29" s="39">
        <f t="shared" si="136"/>
        <v>0.46249999999999997</v>
      </c>
      <c r="BX29" s="39">
        <f t="shared" si="136"/>
        <v>0.51</v>
      </c>
      <c r="BY29" s="39">
        <f t="shared" si="136"/>
        <v>0.56999999999999995</v>
      </c>
      <c r="BZ29" s="129">
        <f>AVERAGEIFS(BZ$36:BZ$173,$C$36:$C$173,"=6", $B$36:$B$173,"OFICIAL")</f>
        <v>46.75</v>
      </c>
      <c r="CB29" s="129">
        <f>AVERAGEIFS(CB$36:CB$173,$C$36:$C$173,"=6", $B$36:$B$173,"OFICIAL")</f>
        <v>10.25</v>
      </c>
      <c r="CD29" s="342">
        <f>AVERAGEIFS(CD$36:CD$173,$C$36:$C$173,"=6", $B$36:$B$173,"OFICIAL")</f>
        <v>0.30999999999999994</v>
      </c>
      <c r="CE29" s="342">
        <f t="shared" ref="CE29:CM29" si="137">AVERAGEIFS(CE$36:CE$173,$C$36:$C$173,"=6", $B$36:$B$173,"OFICIAL")</f>
        <v>0.46499999999999997</v>
      </c>
      <c r="CF29" s="342">
        <f t="shared" si="137"/>
        <v>0.2175</v>
      </c>
      <c r="CG29" s="342">
        <f t="shared" si="137"/>
        <v>5.0000000000000001E-3</v>
      </c>
      <c r="CH29" s="342">
        <f t="shared" si="137"/>
        <v>0.50750000000000006</v>
      </c>
      <c r="CI29" s="342">
        <f t="shared" si="137"/>
        <v>0.4425</v>
      </c>
      <c r="CJ29" s="342">
        <f t="shared" si="137"/>
        <v>0.60499999999999998</v>
      </c>
      <c r="CK29" s="342">
        <f t="shared" si="137"/>
        <v>0.59499999999999997</v>
      </c>
      <c r="CL29" s="342">
        <f t="shared" si="137"/>
        <v>0.47</v>
      </c>
      <c r="CM29" s="342">
        <f t="shared" si="137"/>
        <v>0.62250000000000005</v>
      </c>
      <c r="CN29" s="129">
        <f>AVERAGEIFS(CN$36:CN$173,$C$36:$C$173,"=6", $B$36:$B$173,"OFICIAL")</f>
        <v>47.5</v>
      </c>
      <c r="CP29" s="129">
        <f>AVERAGEIFS(CP$36:CP$173,$C$36:$C$173,"=6", $B$36:$B$173,"OFICIAL")</f>
        <v>9.75</v>
      </c>
      <c r="CR29" s="342">
        <f>AVERAGEIFS(CR$36:CR$173,$C$36:$C$173,"=6", $B$36:$B$173,"OFICIAL")</f>
        <v>0.27</v>
      </c>
      <c r="CS29" s="342">
        <f t="shared" ref="CS29:DB29" si="138">AVERAGEIFS(CS$36:CS$173,$C$36:$C$173,"=6", $B$36:$B$173,"OFICIAL")</f>
        <v>0.5</v>
      </c>
      <c r="CT29" s="342">
        <f t="shared" si="138"/>
        <v>0.22500000000000001</v>
      </c>
      <c r="CU29" s="342">
        <f t="shared" si="138"/>
        <v>2.5000000000000001E-3</v>
      </c>
      <c r="CV29" s="342">
        <f t="shared" si="138"/>
        <v>0.41250000000000003</v>
      </c>
      <c r="CW29" s="342">
        <f t="shared" si="138"/>
        <v>0.58250000000000002</v>
      </c>
      <c r="CX29" s="342">
        <f t="shared" si="138"/>
        <v>0.60750000000000004</v>
      </c>
      <c r="CY29" s="342">
        <f t="shared" si="138"/>
        <v>0.65500000000000003</v>
      </c>
      <c r="CZ29" s="342">
        <f t="shared" si="138"/>
        <v>0.625</v>
      </c>
      <c r="DA29" s="342">
        <f t="shared" si="138"/>
        <v>0.57499999999999996</v>
      </c>
      <c r="DB29" s="490">
        <f t="shared" si="138"/>
        <v>48</v>
      </c>
      <c r="DC29" s="495"/>
      <c r="DD29" s="300">
        <f>AVERAGEIFS(DD$36:DD$173,$C$36:$C$173,"=6", $B$36:$B$173,"OFICIAL")</f>
        <v>10.25</v>
      </c>
      <c r="DE29" s="495"/>
      <c r="DF29" s="343">
        <f t="shared" ref="DF29:DN29" si="139">AVERAGEIFS(DF$36:DF$173,$C$36:$C$173,"=6", $B$36:$B$173,"OFICIAL")</f>
        <v>0.26</v>
      </c>
      <c r="DG29" s="343">
        <f t="shared" si="139"/>
        <v>0.48499999999999999</v>
      </c>
      <c r="DH29" s="343">
        <f t="shared" si="139"/>
        <v>0.24249999999999999</v>
      </c>
      <c r="DI29" s="343">
        <f t="shared" si="139"/>
        <v>1.4999999999999999E-2</v>
      </c>
      <c r="DJ29" s="343">
        <f>AVERAGEIFS(DJ$36:DJ$173,$C$36:$C$173,"=6", $B$36:$B$173,"OFICIAL")</f>
        <v>0.50250000000000006</v>
      </c>
      <c r="DK29" s="343">
        <f>AVERAGEIFS(DK$36:DK$173,$C$36:$C$173,"=6", $B$36:$B$173,"OFICIAL")</f>
        <v>0.53</v>
      </c>
      <c r="DL29" s="343">
        <f t="shared" si="139"/>
        <v>0.52</v>
      </c>
      <c r="DM29" s="343">
        <f t="shared" si="139"/>
        <v>0.65500000000000003</v>
      </c>
      <c r="DN29" s="343">
        <f t="shared" si="139"/>
        <v>0.5475000000000001</v>
      </c>
      <c r="DO29" s="343">
        <f>AVERAGEIFS(DO$36:DO$173,$C$36:$C$173,"=6", $B$36:$B$173,"OFICIAL")</f>
        <v>0.47</v>
      </c>
      <c r="DP29" s="129">
        <f>AVERAGEIFS(DP$36:DP$173,$C$36:$C$173,"=6", $B$36:$B$173,"OFICIAL")</f>
        <v>49</v>
      </c>
      <c r="DQ29" s="896"/>
      <c r="DR29" s="129">
        <f>AVERAGEIFS(DR$36:DR$173,$C$36:$C$173,"=6", $B$36:$B$173,"OFICIAL")</f>
        <v>11</v>
      </c>
      <c r="DS29" s="896"/>
      <c r="DT29" s="342">
        <f>AVERAGEIFS(DT$36:DT$173,$C$36:$C$173,"=6", $B$36:$B$173,"OFICIAL")</f>
        <v>0.2475</v>
      </c>
      <c r="DU29" s="342">
        <f t="shared" ref="DU29:EC29" si="140">AVERAGEIFS(DU$36:DU$173,$C$36:$C$173,"=6", $B$36:$B$173,"OFICIAL")</f>
        <v>0.45499999999999996</v>
      </c>
      <c r="DV29" s="342">
        <f t="shared" si="140"/>
        <v>0.27750000000000002</v>
      </c>
      <c r="DW29" s="342">
        <f t="shared" si="140"/>
        <v>2.2499999999999999E-2</v>
      </c>
      <c r="DX29" s="342">
        <f t="shared" si="140"/>
        <v>0.51249999999999996</v>
      </c>
      <c r="DY29" s="342">
        <f t="shared" si="140"/>
        <v>0.43499999999999994</v>
      </c>
      <c r="DZ29" s="342">
        <f t="shared" si="140"/>
        <v>0.70250000000000001</v>
      </c>
      <c r="EA29" s="342">
        <f t="shared" si="140"/>
        <v>0.48249999999999998</v>
      </c>
      <c r="EB29" s="342">
        <f t="shared" si="140"/>
        <v>0.56999999999999995</v>
      </c>
      <c r="EC29" s="342">
        <f t="shared" si="140"/>
        <v>0.41249999999999998</v>
      </c>
    </row>
    <row r="30" spans="1:133" ht="24.95" customHeight="1" x14ac:dyDescent="0.2">
      <c r="A30" s="6" t="s">
        <v>782</v>
      </c>
      <c r="B30" s="299"/>
      <c r="C30" s="299"/>
      <c r="D30" s="129">
        <f>AVERAGEIFS(D$36:D$173,$C$36:$C$173,"=1", $B$36:$B$173,"NO OFICIAL")</f>
        <v>50.53846153846154</v>
      </c>
      <c r="E30" s="129">
        <f>AVERAGEIFS(E$36:E$173,$C$36:$C$173,"=1", $B$36:$B$173,"NO OFICIAL")</f>
        <v>8.1538461538461533</v>
      </c>
      <c r="F30" s="39">
        <f>AVERAGEIFS(F$36:F$173,$C$36:$C$173,"=1", $B$36:$B$173,"NO OFICIAL")</f>
        <v>0.17692307692307693</v>
      </c>
      <c r="G30" s="39">
        <f t="shared" ref="G30:O30" si="141">AVERAGEIFS(G$36:G$173,$C$36:$C$173,"=1", $B$36:$B$173,"NO OFICIAL")</f>
        <v>0.53615384615384609</v>
      </c>
      <c r="H30" s="39">
        <f t="shared" si="141"/>
        <v>0.28615384615384615</v>
      </c>
      <c r="I30" s="39">
        <f t="shared" si="141"/>
        <v>7.6923076923076923E-4</v>
      </c>
      <c r="J30" s="39">
        <f t="shared" si="141"/>
        <v>0.54538461538461547</v>
      </c>
      <c r="K30" s="39">
        <f t="shared" si="141"/>
        <v>0.51230769230769235</v>
      </c>
      <c r="L30" s="39">
        <f t="shared" si="141"/>
        <v>0.64384615384615373</v>
      </c>
      <c r="M30" s="39">
        <f t="shared" si="141"/>
        <v>0.41230769230769232</v>
      </c>
      <c r="N30" s="39">
        <f t="shared" si="141"/>
        <v>0.44538461538461538</v>
      </c>
      <c r="O30" s="39">
        <f t="shared" si="141"/>
        <v>0.52153846153846151</v>
      </c>
      <c r="P30" s="129">
        <f>AVERAGEIFS(P$36:P$173,$C$36:$C$173,"=1", $B$36:$B$173,"NO OFICIAL")</f>
        <v>50.583333333333336</v>
      </c>
      <c r="Q30" s="129">
        <f>AVERAGEIFS(Q$36:Q$173,$C$36:$C$173,"=1", $B$36:$B$173,"NO OFICIAL")</f>
        <v>9.1666666666666661</v>
      </c>
      <c r="R30" s="39">
        <f>AVERAGEIFS(R$36:R$173,$C$36:$C$173,"=1", $B$36:$B$173,"NO OFICIAL")</f>
        <v>0.16666666666666671</v>
      </c>
      <c r="S30" s="39">
        <f t="shared" ref="S30:AA30" si="142">AVERAGEIFS(S$36:S$173,$C$36:$C$173,"=1", $B$36:$B$173,"NO OFICIAL")</f>
        <v>0.50750000000000006</v>
      </c>
      <c r="T30" s="39">
        <f t="shared" si="142"/>
        <v>0.30249999999999999</v>
      </c>
      <c r="U30" s="39">
        <f t="shared" si="142"/>
        <v>2.2500000000000003E-2</v>
      </c>
      <c r="V30" s="39">
        <f t="shared" si="142"/>
        <v>0.42833333333333329</v>
      </c>
      <c r="W30" s="39">
        <f t="shared" si="142"/>
        <v>0.48</v>
      </c>
      <c r="X30" s="39">
        <f t="shared" si="142"/>
        <v>0.57583333333333331</v>
      </c>
      <c r="Y30" s="39">
        <f t="shared" si="142"/>
        <v>0.4466666666666666</v>
      </c>
      <c r="Z30" s="39">
        <f t="shared" si="142"/>
        <v>0.44249999999999989</v>
      </c>
      <c r="AA30" s="39">
        <f t="shared" si="142"/>
        <v>0.52333333333333332</v>
      </c>
      <c r="AB30" s="129">
        <f>AVERAGEIFS(AB$36:AB$173,$C$36:$C$173,"=1", $B$36:$B$173,"NO OFICIAL")</f>
        <v>49.07692307692308</v>
      </c>
      <c r="AC30" s="129">
        <f>AVERAGEIFS(AC$36:AC$173,$C$36:$C$173,"=1", $B$36:$B$173,"NO OFICIAL")</f>
        <v>10.076923076923077</v>
      </c>
      <c r="AD30" s="39">
        <f>AVERAGEIFS(AD$36:AD$173,$C$36:$C$173,"=1", $B$36:$B$173,"NO OFICIAL")</f>
        <v>0.22769230769230769</v>
      </c>
      <c r="AE30" s="39">
        <f t="shared" ref="AE30:AM30" si="143">AVERAGEIFS(AE$36:AE$173,$C$36:$C$173,"=1", $B$36:$B$173,"NO OFICIAL")</f>
        <v>0.48307692307692307</v>
      </c>
      <c r="AF30" s="39">
        <f t="shared" si="143"/>
        <v>0.26384615384615384</v>
      </c>
      <c r="AG30" s="39">
        <f t="shared" si="143"/>
        <v>2.6153846153846159E-2</v>
      </c>
      <c r="AH30" s="39">
        <f t="shared" si="143"/>
        <v>0.4415384615384616</v>
      </c>
      <c r="AI30" s="39">
        <f t="shared" si="143"/>
        <v>0.45230769230769236</v>
      </c>
      <c r="AJ30" s="39">
        <f t="shared" si="143"/>
        <v>0.41000000000000003</v>
      </c>
      <c r="AK30" s="39">
        <f t="shared" si="143"/>
        <v>0.4984615384615384</v>
      </c>
      <c r="AL30" s="39">
        <f t="shared" si="143"/>
        <v>0.55153846153846142</v>
      </c>
      <c r="AM30" s="39">
        <f t="shared" si="143"/>
        <v>0.54615384615384621</v>
      </c>
      <c r="AN30" s="129">
        <f>AVERAGEIFS(AN$36:AN$173,$C$36:$C$173,"=1", $B$36:$B$173,"NO OFICIAL")</f>
        <v>46.846153846153847</v>
      </c>
      <c r="AO30" s="129">
        <f>AVERAGEIFS(AO$36:AO$173,$C$36:$C$173,"=1", $B$36:$B$173,"NO OFICIAL")</f>
        <v>10</v>
      </c>
      <c r="AP30" s="39">
        <f>AVERAGEIFS(AP$36:AP$173,$C$36:$C$173,"=1", $B$36:$B$173,"NO OFICIAL")</f>
        <v>0.2992307692307693</v>
      </c>
      <c r="AQ30" s="39">
        <f t="shared" ref="AQ30:AY30" si="144">AVERAGEIFS(AQ$36:AQ$173,$C$36:$C$173,"=1", $B$36:$B$173,"NO OFICIAL")</f>
        <v>0.48307692307692307</v>
      </c>
      <c r="AR30" s="39">
        <f t="shared" si="144"/>
        <v>0.21307692307692311</v>
      </c>
      <c r="AS30" s="39">
        <f t="shared" si="144"/>
        <v>6.1538461538461538E-3</v>
      </c>
      <c r="AT30" s="39">
        <f t="shared" si="144"/>
        <v>0.55384615384615377</v>
      </c>
      <c r="AU30" s="39">
        <f t="shared" si="144"/>
        <v>0.49461538461538468</v>
      </c>
      <c r="AV30" s="39">
        <f t="shared" si="144"/>
        <v>0.48153846153846164</v>
      </c>
      <c r="AW30" s="39">
        <f t="shared" si="144"/>
        <v>0.48846153846153845</v>
      </c>
      <c r="AX30" s="39">
        <f t="shared" si="144"/>
        <v>0.51307692307692299</v>
      </c>
      <c r="AY30" s="39">
        <f t="shared" si="144"/>
        <v>0.50384615384615394</v>
      </c>
      <c r="AZ30" s="129">
        <f>AVERAGEIFS(AZ$36:AZ$173,$C$36:$C$173,"=1", $B$36:$B$173,"NO OFICIAL")</f>
        <v>50.153846153846153</v>
      </c>
      <c r="BA30" s="129">
        <f>AVERAGEIFS(BA$36:BA$173,$C$36:$C$173,"=1", $B$36:$B$173,"NO OFICIAL")</f>
        <v>9.9230769230769234</v>
      </c>
      <c r="BB30" s="39">
        <f>AVERAGEIFS(BB$36:BB$173,$C$36:$C$173,"=1", $B$36:$B$173,"NO OFICIAL")</f>
        <v>0.20999999999999996</v>
      </c>
      <c r="BC30" s="39">
        <f t="shared" ref="BC30:BK30" si="145">AVERAGEIFS(BC$36:BC$173,$C$36:$C$173,"=1", $B$36:$B$173,"NO OFICIAL")</f>
        <v>0.46384615384615385</v>
      </c>
      <c r="BD30" s="39">
        <f t="shared" si="145"/>
        <v>0.3092307692307692</v>
      </c>
      <c r="BE30" s="39">
        <f t="shared" si="145"/>
        <v>1.7692307692307691E-2</v>
      </c>
      <c r="BF30" s="39">
        <f t="shared" si="145"/>
        <v>0.51</v>
      </c>
      <c r="BG30" s="39">
        <f t="shared" si="145"/>
        <v>0.47538461538461529</v>
      </c>
      <c r="BH30" s="39">
        <f t="shared" si="145"/>
        <v>0.47461538461538466</v>
      </c>
      <c r="BI30" s="39">
        <f t="shared" si="145"/>
        <v>0.52923076923076917</v>
      </c>
      <c r="BJ30" s="39">
        <f t="shared" si="145"/>
        <v>0.4284615384615385</v>
      </c>
      <c r="BK30" s="39">
        <f t="shared" si="145"/>
        <v>0.4184615384615385</v>
      </c>
      <c r="BL30" s="129">
        <f>AVERAGEIFS(BL$36:BL$173,$C$36:$C$173,"=1", $B$36:$B$173,"NO OFICIAL")</f>
        <v>49.230769230769234</v>
      </c>
      <c r="BN30" s="129">
        <f>AVERAGEIFS(BN$36:BN$173,$C$36:$C$173,"=1", $B$36:$B$173,"NO OFICIAL")</f>
        <v>9.5384615384615383</v>
      </c>
      <c r="BP30" s="39">
        <f>AVERAGEIFS(BP$36:BP$173,$C$36:$C$173,"=1", $B$36:$B$173,"NO OFICIAL")</f>
        <v>0.19846153846153844</v>
      </c>
      <c r="BQ30" s="39">
        <f t="shared" ref="BQ30:BY30" si="146">AVERAGEIFS(BQ$36:BQ$173,$C$36:$C$173,"=1", $B$36:$B$173,"NO OFICIAL")</f>
        <v>0.54153846153846152</v>
      </c>
      <c r="BR30" s="39">
        <f t="shared" si="146"/>
        <v>0.24692307692307697</v>
      </c>
      <c r="BS30" s="39">
        <f t="shared" si="146"/>
        <v>1.3076923076923078E-2</v>
      </c>
      <c r="BT30" s="39">
        <f t="shared" si="146"/>
        <v>0.4869230769230769</v>
      </c>
      <c r="BU30" s="39">
        <f t="shared" si="146"/>
        <v>0.46307692307692311</v>
      </c>
      <c r="BV30" s="39">
        <f t="shared" si="146"/>
        <v>0.59846153846153838</v>
      </c>
      <c r="BW30" s="39">
        <f t="shared" si="146"/>
        <v>0.42846153846153839</v>
      </c>
      <c r="BX30" s="39">
        <f t="shared" si="146"/>
        <v>0.47076923076923077</v>
      </c>
      <c r="BY30" s="39">
        <f t="shared" si="146"/>
        <v>0.53076923076923077</v>
      </c>
      <c r="BZ30" s="129">
        <f>AVERAGEIFS(BZ$36:BZ$173,$C$36:$C$173,"=1", $B$36:$B$173,"NO OFICIAL")</f>
        <v>49.846153846153847</v>
      </c>
      <c r="CB30" s="129">
        <f>AVERAGEIFS(CB$36:CB$173,$C$36:$C$173,"=1", $B$36:$B$173,"NO OFICIAL")</f>
        <v>10.153846153846153</v>
      </c>
      <c r="CD30" s="342">
        <f>AVERAGEIFS(CD$36:CD$173,$C$36:$C$173,"=1", $B$36:$B$173,"NO OFICIAL")</f>
        <v>0.21692307692307694</v>
      </c>
      <c r="CE30" s="342">
        <f t="shared" ref="CE30:CM30" si="147">AVERAGEIFS(CE$36:CE$173,$C$36:$C$173,"=1", $B$36:$B$173,"NO OFICIAL")</f>
        <v>0.41384615384615386</v>
      </c>
      <c r="CF30" s="342">
        <f t="shared" si="147"/>
        <v>0.36</v>
      </c>
      <c r="CG30" s="342">
        <f t="shared" si="147"/>
        <v>6.9230769230769224E-3</v>
      </c>
      <c r="CH30" s="342">
        <f t="shared" si="147"/>
        <v>0.53076923076923077</v>
      </c>
      <c r="CI30" s="342">
        <f t="shared" si="147"/>
        <v>0.4169230769230769</v>
      </c>
      <c r="CJ30" s="342">
        <f t="shared" si="147"/>
        <v>0.58000000000000007</v>
      </c>
      <c r="CK30" s="342">
        <f t="shared" si="147"/>
        <v>0.5376923076923078</v>
      </c>
      <c r="CL30" s="342">
        <f t="shared" si="147"/>
        <v>0.42769230769230765</v>
      </c>
      <c r="CM30" s="342">
        <f t="shared" si="147"/>
        <v>0.5607692307692308</v>
      </c>
      <c r="CN30" s="129">
        <f>AVERAGEIFS(CN$36:CN$173,$C$36:$C$173,"=1", $B$36:$B$173,"NO OFICIAL")</f>
        <v>50.833333333333336</v>
      </c>
      <c r="CP30" s="129">
        <f>AVERAGEIFS(CP$36:CP$173,$C$36:$C$173,"=1", $B$36:$B$173,"NO OFICIAL")</f>
        <v>9.75</v>
      </c>
      <c r="CR30" s="342">
        <f>AVERAGEIFS(CR$36:CR$173,$C$36:$C$173,"=1", $B$36:$B$173,"NO OFICIAL")</f>
        <v>0.15916666666666665</v>
      </c>
      <c r="CS30" s="342">
        <f t="shared" ref="CS30:DB30" si="148">AVERAGEIFS(CS$36:CS$173,$C$36:$C$173,"=1", $B$36:$B$173,"NO OFICIAL")</f>
        <v>0.49333333333333335</v>
      </c>
      <c r="CT30" s="342">
        <f t="shared" si="148"/>
        <v>0.33333333333333331</v>
      </c>
      <c r="CU30" s="342">
        <f t="shared" si="148"/>
        <v>1.4999999999999999E-2</v>
      </c>
      <c r="CV30" s="342">
        <f t="shared" si="148"/>
        <v>0.35583333333333328</v>
      </c>
      <c r="CW30" s="342">
        <f t="shared" si="148"/>
        <v>0.52583333333333337</v>
      </c>
      <c r="CX30" s="342">
        <f t="shared" si="148"/>
        <v>0.5508333333333334</v>
      </c>
      <c r="CY30" s="342">
        <f t="shared" si="148"/>
        <v>0.59083333333333343</v>
      </c>
      <c r="CZ30" s="342">
        <f t="shared" si="148"/>
        <v>0.54666666666666663</v>
      </c>
      <c r="DA30" s="342">
        <f t="shared" si="148"/>
        <v>0.56083333333333341</v>
      </c>
      <c r="DB30" s="490">
        <f t="shared" si="148"/>
        <v>50.53846153846154</v>
      </c>
      <c r="DC30" s="495"/>
      <c r="DD30" s="300">
        <f>AVERAGEIFS(DD$36:DD$173,$C$36:$C$173,"=1", $B$36:$B$173,"NO OFICIAL")</f>
        <v>10.384615384615385</v>
      </c>
      <c r="DE30" s="495"/>
      <c r="DF30" s="343">
        <f t="shared" ref="DF30:DN30" si="149">AVERAGEIFS(DF$36:DF$173,$C$36:$C$173,"=1", $B$36:$B$173,"NO OFICIAL")</f>
        <v>0.17153846153846153</v>
      </c>
      <c r="DG30" s="343">
        <f t="shared" si="149"/>
        <v>0.48923076923076919</v>
      </c>
      <c r="DH30" s="343">
        <f t="shared" si="149"/>
        <v>0.31076923076923085</v>
      </c>
      <c r="DI30" s="343">
        <f t="shared" si="149"/>
        <v>2.6153846153846156E-2</v>
      </c>
      <c r="DJ30" s="343">
        <f>AVERAGEIFS(DJ$36:DJ$173,$C$36:$C$173,"=1", $B$36:$B$173,"NO OFICIAL")</f>
        <v>0.49076923076923074</v>
      </c>
      <c r="DK30" s="343">
        <f>AVERAGEIFS(DK$36:DK$173,$C$36:$C$173,"=1", $B$36:$B$173,"NO OFICIAL")</f>
        <v>0.47923076923076924</v>
      </c>
      <c r="DL30" s="343">
        <f t="shared" si="149"/>
        <v>0.46615384615384614</v>
      </c>
      <c r="DM30" s="343">
        <f t="shared" si="149"/>
        <v>0.61153846153846159</v>
      </c>
      <c r="DN30" s="343">
        <f t="shared" si="149"/>
        <v>0.5461538461538461</v>
      </c>
      <c r="DO30" s="343">
        <f>AVERAGEIFS(DO$36:DO$173,$C$36:$C$173,"=1", $B$36:$B$173,"NO OFICIAL")</f>
        <v>0.40923076923076918</v>
      </c>
      <c r="DP30" s="129">
        <f>AVERAGEIFS(DP$36:DP$173,$C$36:$C$173,"=1", $B$36:$B$173,"NO OFICIAL")</f>
        <v>51.153846153846153</v>
      </c>
      <c r="DQ30" s="896"/>
      <c r="DR30" s="129">
        <f>AVERAGEIFS(DR$36:DR$173,$C$36:$C$173,"=1", $B$36:$B$173,"NO OFICIAL")</f>
        <v>10.307692307692308</v>
      </c>
      <c r="DS30" s="896"/>
      <c r="DT30" s="342">
        <f>AVERAGEIFS(DT$36:DT$173,$C$36:$C$173,"=1", $B$36:$B$173,"NO OFICIAL")</f>
        <v>0.16153846153846155</v>
      </c>
      <c r="DU30" s="342">
        <f t="shared" ref="DU30:EC30" si="150">AVERAGEIFS(DU$36:DU$173,$C$36:$C$173,"=1", $B$36:$B$173,"NO OFICIAL")</f>
        <v>0.48846153846153845</v>
      </c>
      <c r="DV30" s="342">
        <f t="shared" si="150"/>
        <v>0.32923076923076916</v>
      </c>
      <c r="DW30" s="342">
        <f t="shared" si="150"/>
        <v>2.1538461538461541E-2</v>
      </c>
      <c r="DX30" s="342">
        <f t="shared" si="150"/>
        <v>0.46307692307692305</v>
      </c>
      <c r="DY30" s="342">
        <f t="shared" si="150"/>
        <v>0.36692307692307691</v>
      </c>
      <c r="DZ30" s="342">
        <f t="shared" si="150"/>
        <v>0.72923076923076924</v>
      </c>
      <c r="EA30" s="342">
        <f t="shared" si="150"/>
        <v>0.45000000000000007</v>
      </c>
      <c r="EB30" s="342">
        <f t="shared" si="150"/>
        <v>0.54846153846153844</v>
      </c>
      <c r="EC30" s="342">
        <f t="shared" si="150"/>
        <v>0.37615384615384612</v>
      </c>
    </row>
    <row r="31" spans="1:133" ht="24.95" customHeight="1" x14ac:dyDescent="0.2">
      <c r="A31" s="6" t="s">
        <v>783</v>
      </c>
      <c r="B31" s="299"/>
      <c r="C31" s="299"/>
      <c r="D31" s="129">
        <f>AVERAGEIFS(D$36:D$173,$C$36:$C$173,"=2", $B$36:$B$173,"NO OFICIAL")</f>
        <v>53</v>
      </c>
      <c r="E31" s="129">
        <f>AVERAGEIFS(E$36:E$173,$C$36:$C$173,"=2", $B$36:$B$173,"NO OFICIAL")</f>
        <v>7.8888888888888893</v>
      </c>
      <c r="F31" s="39">
        <f>AVERAGEIFS(F$36:F$173,$C$36:$C$173,"=2", $B$36:$B$173,"NO OFICIAL")</f>
        <v>0.13222222222222221</v>
      </c>
      <c r="G31" s="39">
        <f t="shared" ref="G31:O31" si="151">AVERAGEIFS(G$36:G$173,$C$36:$C$173,"=2", $B$36:$B$173,"NO OFICIAL")</f>
        <v>0.43888888888888888</v>
      </c>
      <c r="H31" s="39">
        <f t="shared" si="151"/>
        <v>0.41333333333333339</v>
      </c>
      <c r="I31" s="39">
        <f t="shared" si="151"/>
        <v>1.5555555555555557E-2</v>
      </c>
      <c r="J31" s="39">
        <f t="shared" si="151"/>
        <v>0.50500000000000012</v>
      </c>
      <c r="K31" s="39">
        <f t="shared" si="151"/>
        <v>0.4844444444444444</v>
      </c>
      <c r="L31" s="39">
        <f t="shared" si="151"/>
        <v>0.55222222222222228</v>
      </c>
      <c r="M31" s="39">
        <f t="shared" si="151"/>
        <v>0.38111111111111118</v>
      </c>
      <c r="N31" s="39">
        <f t="shared" si="151"/>
        <v>0.41499999999999992</v>
      </c>
      <c r="O31" s="39">
        <f t="shared" si="151"/>
        <v>0.4538888888888889</v>
      </c>
      <c r="P31" s="129">
        <f>AVERAGEIFS(P$36:P$173,$C$36:$C$173,"=2", $B$36:$B$173,"NO OFICIAL")</f>
        <v>52.588235294117645</v>
      </c>
      <c r="Q31" s="129">
        <f>AVERAGEIFS(Q$36:Q$173,$C$36:$C$173,"=2", $B$36:$B$173,"NO OFICIAL")</f>
        <v>8.9411764705882355</v>
      </c>
      <c r="R31" s="39">
        <f>AVERAGEIFS(R$36:R$173,$C$36:$C$173,"=2", $B$36:$B$173,"NO OFICIAL")</f>
        <v>0.13470588235294118</v>
      </c>
      <c r="S31" s="39">
        <f t="shared" ref="S31:AA31" si="152">AVERAGEIFS(S$36:S$173,$C$36:$C$173,"=2", $B$36:$B$173,"NO OFICIAL")</f>
        <v>0.47176470588235303</v>
      </c>
      <c r="T31" s="39">
        <f t="shared" si="152"/>
        <v>0.36823529411764705</v>
      </c>
      <c r="U31" s="39">
        <f t="shared" si="152"/>
        <v>2.7058823529411771E-2</v>
      </c>
      <c r="V31" s="39">
        <f t="shared" si="152"/>
        <v>0.38941176470588229</v>
      </c>
      <c r="W31" s="39">
        <f t="shared" si="152"/>
        <v>0.45647058823529413</v>
      </c>
      <c r="X31" s="39">
        <f t="shared" si="152"/>
        <v>0.53588235294117648</v>
      </c>
      <c r="Y31" s="39">
        <f t="shared" si="152"/>
        <v>0.44176470588235295</v>
      </c>
      <c r="Z31" s="39">
        <f t="shared" si="152"/>
        <v>0.40588235294117647</v>
      </c>
      <c r="AA31" s="39">
        <f t="shared" si="152"/>
        <v>0.46588235294117641</v>
      </c>
      <c r="AB31" s="129">
        <f>AVERAGEIFS(AB$36:AB$173,$C$36:$C$173,"=2", $B$36:$B$173,"NO OFICIAL")</f>
        <v>50.882352941176471</v>
      </c>
      <c r="AC31" s="129">
        <f>AVERAGEIFS(AC$36:AC$173,$C$36:$C$173,"=2", $B$36:$B$173,"NO OFICIAL")</f>
        <v>9.235294117647058</v>
      </c>
      <c r="AD31" s="39">
        <f>AVERAGEIFS(AD$36:AD$173,$C$36:$C$173,"=2", $B$36:$B$173,"NO OFICIAL")</f>
        <v>0.22529411764705884</v>
      </c>
      <c r="AE31" s="39">
        <f t="shared" ref="AE31:AM31" si="153">AVERAGEIFS(AE$36:AE$173,$C$36:$C$173,"=2", $B$36:$B$173,"NO OFICIAL")</f>
        <v>0.41588235294117637</v>
      </c>
      <c r="AF31" s="39">
        <f t="shared" si="153"/>
        <v>0.32823529411764707</v>
      </c>
      <c r="AG31" s="39">
        <f t="shared" si="153"/>
        <v>3.1764705882352945E-2</v>
      </c>
      <c r="AH31" s="39">
        <f t="shared" si="153"/>
        <v>0.41411764705882353</v>
      </c>
      <c r="AI31" s="39">
        <f t="shared" si="153"/>
        <v>0.4052941176470588</v>
      </c>
      <c r="AJ31" s="39">
        <f t="shared" si="153"/>
        <v>0.39176470588235296</v>
      </c>
      <c r="AK31" s="39">
        <f t="shared" si="153"/>
        <v>0.48529411764705882</v>
      </c>
      <c r="AL31" s="39">
        <f t="shared" si="153"/>
        <v>0.52470588235294113</v>
      </c>
      <c r="AM31" s="39">
        <f t="shared" si="153"/>
        <v>0.49117647058823527</v>
      </c>
      <c r="AN31" s="129">
        <f>AVERAGEIFS(AN$36:AN$173,$C$36:$C$173,"=2", $B$36:$B$173,"NO OFICIAL")</f>
        <v>49.833333333333336</v>
      </c>
      <c r="AO31" s="129">
        <f>AVERAGEIFS(AO$36:AO$173,$C$36:$C$173,"=2", $B$36:$B$173,"NO OFICIAL")</f>
        <v>9.8333333333333339</v>
      </c>
      <c r="AP31" s="39">
        <f>AVERAGEIFS(AP$36:AP$173,$C$36:$C$173,"=2", $B$36:$B$173,"NO OFICIAL")</f>
        <v>0.19555555555555554</v>
      </c>
      <c r="AQ31" s="39">
        <f t="shared" ref="AQ31:AY31" si="154">AVERAGEIFS(AQ$36:AQ$173,$C$36:$C$173,"=2", $B$36:$B$173,"NO OFICIAL")</f>
        <v>0.47999999999999993</v>
      </c>
      <c r="AR31" s="39">
        <f t="shared" si="154"/>
        <v>0.30611111111111106</v>
      </c>
      <c r="AS31" s="39">
        <f t="shared" si="154"/>
        <v>1.9444444444444448E-2</v>
      </c>
      <c r="AT31" s="39">
        <f t="shared" si="154"/>
        <v>0.51666666666666672</v>
      </c>
      <c r="AU31" s="39">
        <f t="shared" si="154"/>
        <v>0.42888888888888893</v>
      </c>
      <c r="AV31" s="39">
        <f t="shared" si="154"/>
        <v>0.4250000000000001</v>
      </c>
      <c r="AW31" s="39">
        <f t="shared" si="154"/>
        <v>0.4366666666666667</v>
      </c>
      <c r="AX31" s="39">
        <f t="shared" si="154"/>
        <v>0.4433333333333333</v>
      </c>
      <c r="AY31" s="39">
        <f t="shared" si="154"/>
        <v>0.46166666666666667</v>
      </c>
      <c r="AZ31" s="129">
        <f>AVERAGEIFS(AZ$36:AZ$173,$C$36:$C$173,"=2", $B$36:$B$173,"NO OFICIAL")</f>
        <v>51.18181818181818</v>
      </c>
      <c r="BA31" s="129">
        <f>AVERAGEIFS(BA$36:BA$173,$C$36:$C$173,"=2", $B$36:$B$173,"NO OFICIAL")</f>
        <v>9.045454545454545</v>
      </c>
      <c r="BB31" s="39">
        <f>AVERAGEIFS(BB$36:BB$173,$C$36:$C$173,"=2", $B$36:$B$173,"NO OFICIAL")</f>
        <v>0.21318181818181819</v>
      </c>
      <c r="BC31" s="39">
        <f t="shared" ref="BC31:BK31" si="155">AVERAGEIFS(BC$36:BC$173,$C$36:$C$173,"=2", $B$36:$B$173,"NO OFICIAL")</f>
        <v>0.45818181818181819</v>
      </c>
      <c r="BD31" s="39">
        <f t="shared" si="155"/>
        <v>0.2986363636363637</v>
      </c>
      <c r="BE31" s="39">
        <f t="shared" si="155"/>
        <v>3.0909090909090917E-2</v>
      </c>
      <c r="BF31" s="39">
        <f t="shared" si="155"/>
        <v>0.46272727272727271</v>
      </c>
      <c r="BG31" s="39">
        <f t="shared" si="155"/>
        <v>0.45954545454545453</v>
      </c>
      <c r="BH31" s="39">
        <f t="shared" si="155"/>
        <v>0.44863636363636367</v>
      </c>
      <c r="BI31" s="39">
        <f t="shared" si="155"/>
        <v>0.53227272727272734</v>
      </c>
      <c r="BJ31" s="39">
        <f t="shared" si="155"/>
        <v>0.40636363636363632</v>
      </c>
      <c r="BK31" s="39">
        <f t="shared" si="155"/>
        <v>0.3727272727272728</v>
      </c>
      <c r="BL31" s="129">
        <f>AVERAGEIFS(BL$36:BL$173,$C$36:$C$173,"=2", $B$36:$B$173,"NO OFICIAL")</f>
        <v>48.65</v>
      </c>
      <c r="BN31" s="129">
        <f>AVERAGEIFS(BN$36:BN$173,$C$36:$C$173,"=2", $B$36:$B$173,"NO OFICIAL")</f>
        <v>9.35</v>
      </c>
      <c r="BP31" s="39">
        <f>AVERAGEIFS(BP$36:BP$173,$C$36:$C$173,"=2", $B$36:$B$173,"NO OFICIAL")</f>
        <v>0.26950000000000002</v>
      </c>
      <c r="BQ31" s="39">
        <f t="shared" ref="BQ31:BY31" si="156">AVERAGEIFS(BQ$36:BQ$173,$C$36:$C$173,"=2", $B$36:$B$173,"NO OFICIAL")</f>
        <v>0.42049999999999998</v>
      </c>
      <c r="BR31" s="39">
        <f t="shared" si="156"/>
        <v>0.28850000000000003</v>
      </c>
      <c r="BS31" s="39">
        <f t="shared" si="156"/>
        <v>2.4999999999999998E-2</v>
      </c>
      <c r="BT31" s="39">
        <f t="shared" si="156"/>
        <v>0.45250000000000001</v>
      </c>
      <c r="BU31" s="39">
        <f t="shared" si="156"/>
        <v>0.46399999999999997</v>
      </c>
      <c r="BV31" s="39">
        <f t="shared" si="156"/>
        <v>0.5585</v>
      </c>
      <c r="BW31" s="39">
        <f t="shared" si="156"/>
        <v>0.45249999999999996</v>
      </c>
      <c r="BX31" s="39">
        <f t="shared" si="156"/>
        <v>0.47650000000000003</v>
      </c>
      <c r="BY31" s="39">
        <f t="shared" si="156"/>
        <v>0.53249999999999997</v>
      </c>
      <c r="BZ31" s="129">
        <f>AVERAGEIFS(BZ$36:BZ$173,$C$36:$C$173,"=2", $B$36:$B$173,"NO OFICIAL")</f>
        <v>51.571428571428569</v>
      </c>
      <c r="CB31" s="129">
        <f>AVERAGEIFS(CB$36:CB$173,$C$36:$C$173,"=2", $B$36:$B$173,"NO OFICIAL")</f>
        <v>9.8571428571428577</v>
      </c>
      <c r="CD31" s="342">
        <f>AVERAGEIFS(CD$36:CD$173,$C$36:$C$173,"=2", $B$36:$B$173,"NO OFICIAL")</f>
        <v>0.1842857142857143</v>
      </c>
      <c r="CE31" s="342">
        <f t="shared" ref="CE31:CM31" si="157">AVERAGEIFS(CE$36:CE$173,$C$36:$C$173,"=2", $B$36:$B$173,"NO OFICIAL")</f>
        <v>0.41523809523809529</v>
      </c>
      <c r="CF31" s="342">
        <f t="shared" si="157"/>
        <v>0.36857142857142866</v>
      </c>
      <c r="CG31" s="342">
        <f t="shared" si="157"/>
        <v>3.5238095238095249E-2</v>
      </c>
      <c r="CH31" s="342">
        <f t="shared" si="157"/>
        <v>0.48049999999999987</v>
      </c>
      <c r="CI31" s="342">
        <f t="shared" si="157"/>
        <v>0.35380952380952368</v>
      </c>
      <c r="CJ31" s="342">
        <f t="shared" si="157"/>
        <v>0.55000000000000004</v>
      </c>
      <c r="CK31" s="342">
        <f t="shared" si="157"/>
        <v>0.49571428571428583</v>
      </c>
      <c r="CL31" s="342">
        <f t="shared" si="157"/>
        <v>0.43380952380952376</v>
      </c>
      <c r="CM31" s="342">
        <f t="shared" si="157"/>
        <v>0.52904761904761899</v>
      </c>
      <c r="CN31" s="129">
        <f>AVERAGEIFS(CN$36:CN$173,$C$36:$C$173,"=2", $B$36:$B$173,"NO OFICIAL")</f>
        <v>51.954545454545453</v>
      </c>
      <c r="CP31" s="129">
        <f>AVERAGEIFS(CP$36:CP$173,$C$36:$C$173,"=2", $B$36:$B$173,"NO OFICIAL")</f>
        <v>9.2727272727272734</v>
      </c>
      <c r="CR31" s="342">
        <f>AVERAGEIFS(CR$36:CR$173,$C$36:$C$173,"=2", $B$36:$B$173,"NO OFICIAL")</f>
        <v>0.15136363636363637</v>
      </c>
      <c r="CS31" s="342">
        <f t="shared" ref="CS31:DB31" si="158">AVERAGEIFS(CS$36:CS$173,$C$36:$C$173,"=2", $B$36:$B$173,"NO OFICIAL")</f>
        <v>0.47954545454545455</v>
      </c>
      <c r="CT31" s="342">
        <f t="shared" si="158"/>
        <v>0.33727272727272728</v>
      </c>
      <c r="CU31" s="342">
        <f t="shared" si="158"/>
        <v>3.2727272727272737E-2</v>
      </c>
      <c r="CV31" s="342">
        <f t="shared" si="158"/>
        <v>0.32954545454545453</v>
      </c>
      <c r="CW31" s="342">
        <f t="shared" si="158"/>
        <v>0.48045454545454547</v>
      </c>
      <c r="CX31" s="342">
        <f t="shared" si="158"/>
        <v>0.55772727272727274</v>
      </c>
      <c r="CY31" s="342">
        <f t="shared" si="158"/>
        <v>0.70714285714285718</v>
      </c>
      <c r="CZ31" s="342">
        <f t="shared" si="158"/>
        <v>0.50727272727272721</v>
      </c>
      <c r="DA31" s="342">
        <f t="shared" si="158"/>
        <v>0.50727272727272721</v>
      </c>
      <c r="DB31" s="490">
        <f t="shared" si="158"/>
        <v>51.95</v>
      </c>
      <c r="DC31" s="495"/>
      <c r="DD31" s="300">
        <f>AVERAGEIFS(DD$36:DD$173,$C$36:$C$173,"=2", $B$36:$B$173,"NO OFICIAL")</f>
        <v>10.199999999999999</v>
      </c>
      <c r="DE31" s="495"/>
      <c r="DF31" s="343">
        <f t="shared" ref="DF31:DN31" si="159">AVERAGEIFS(DF$36:DF$173,$C$36:$C$173,"=2", $B$36:$B$173,"NO OFICIAL")</f>
        <v>0.1875</v>
      </c>
      <c r="DG31" s="343">
        <f t="shared" si="159"/>
        <v>0.38549999999999995</v>
      </c>
      <c r="DH31" s="343">
        <f t="shared" si="159"/>
        <v>0.3755</v>
      </c>
      <c r="DI31" s="343">
        <f t="shared" si="159"/>
        <v>4.9000000000000009E-2</v>
      </c>
      <c r="DJ31" s="343">
        <f>AVERAGEIFS(DJ$36:DJ$173,$C$36:$C$173,"=2", $B$36:$B$173,"NO OFICIAL")</f>
        <v>0.47549999999999992</v>
      </c>
      <c r="DK31" s="343">
        <f>AVERAGEIFS(DK$36:DK$173,$C$36:$C$173,"=2", $B$36:$B$173,"NO OFICIAL")</f>
        <v>0.38900000000000001</v>
      </c>
      <c r="DL31" s="343">
        <f t="shared" si="159"/>
        <v>0.42949999999999999</v>
      </c>
      <c r="DM31" s="343">
        <f t="shared" si="159"/>
        <v>0.59350000000000003</v>
      </c>
      <c r="DN31" s="343">
        <f t="shared" si="159"/>
        <v>0.51500000000000001</v>
      </c>
      <c r="DO31" s="343">
        <f>AVERAGEIFS(DO$36:DO$173,$C$36:$C$173,"=2", $B$36:$B$173,"NO OFICIAL")</f>
        <v>0.35736842105263161</v>
      </c>
      <c r="DP31" s="129">
        <f>AVERAGEIFS(DP$36:DP$173,$C$36:$C$173,"=2", $B$36:$B$173,"NO OFICIAL")</f>
        <v>50.739130434782609</v>
      </c>
      <c r="DQ31" s="896"/>
      <c r="DR31" s="129">
        <f>AVERAGEIFS(DR$36:DR$173,$C$36:$C$173,"=2", $B$36:$B$173,"NO OFICIAL")</f>
        <v>8.7391304347826093</v>
      </c>
      <c r="DS31" s="896"/>
      <c r="DT31" s="342">
        <f>AVERAGEIFS(DT$36:DT$173,$C$36:$C$173,"=2", $B$36:$B$173,"NO OFICIAL")</f>
        <v>0.17347826086956522</v>
      </c>
      <c r="DU31" s="342">
        <f t="shared" ref="DU31:EC31" si="160">AVERAGEIFS(DU$36:DU$173,$C$36:$C$173,"=2", $B$36:$B$173,"NO OFICIAL")</f>
        <v>0.4700000000000002</v>
      </c>
      <c r="DV31" s="342">
        <f t="shared" si="160"/>
        <v>0.33434782608695651</v>
      </c>
      <c r="DW31" s="342">
        <f t="shared" si="160"/>
        <v>2.3043478260869565E-2</v>
      </c>
      <c r="DX31" s="342">
        <f t="shared" si="160"/>
        <v>0.48478260869565226</v>
      </c>
      <c r="DY31" s="342">
        <f t="shared" si="160"/>
        <v>0.39739130434782621</v>
      </c>
      <c r="DZ31" s="342">
        <f t="shared" si="160"/>
        <v>0.69318181818181845</v>
      </c>
      <c r="EA31" s="342">
        <f t="shared" si="160"/>
        <v>0.46304347826086967</v>
      </c>
      <c r="EB31" s="342">
        <f t="shared" si="160"/>
        <v>0.57086956521739141</v>
      </c>
      <c r="EC31" s="342">
        <f t="shared" si="160"/>
        <v>0.3482608695652174</v>
      </c>
    </row>
    <row r="32" spans="1:133" ht="24.95" customHeight="1" x14ac:dyDescent="0.2">
      <c r="A32" s="6" t="s">
        <v>784</v>
      </c>
      <c r="B32" s="299"/>
      <c r="C32" s="299"/>
      <c r="D32" s="129">
        <f>AVERAGEIFS(D$36:D$173,$C$36:$C$173,"=3", $B$36:$B$173,"NO OFICIAL")</f>
        <v>52.846153846153847</v>
      </c>
      <c r="E32" s="129">
        <f>AVERAGEIFS(E$36:E$173,$C$36:$C$173,"=3", $B$36:$B$173,"NO OFICIAL")</f>
        <v>8.6923076923076916</v>
      </c>
      <c r="F32" s="39">
        <f>AVERAGEIFS(F$36:F$173,$C$36:$C$173,"=3", $B$36:$B$173,"NO OFICIAL")</f>
        <v>9.0769230769230783E-2</v>
      </c>
      <c r="G32" s="39">
        <f t="shared" ref="G32:O32" si="161">AVERAGEIFS(G$36:G$173,$C$36:$C$173,"=3", $B$36:$B$173,"NO OFICIAL")</f>
        <v>0.52</v>
      </c>
      <c r="H32" s="39">
        <f t="shared" si="161"/>
        <v>0.38</v>
      </c>
      <c r="I32" s="39">
        <f t="shared" si="161"/>
        <v>1.0769230769230771E-2</v>
      </c>
      <c r="J32" s="39">
        <f t="shared" si="161"/>
        <v>0.52230769230769236</v>
      </c>
      <c r="K32" s="39">
        <f t="shared" si="161"/>
        <v>0.47538461538461535</v>
      </c>
      <c r="L32" s="39">
        <f t="shared" si="161"/>
        <v>0.5623076923076924</v>
      </c>
      <c r="M32" s="39">
        <f t="shared" si="161"/>
        <v>0.38692307692307693</v>
      </c>
      <c r="N32" s="39">
        <f t="shared" si="161"/>
        <v>0.40307692307692311</v>
      </c>
      <c r="O32" s="39">
        <f t="shared" si="161"/>
        <v>0.45307692307692299</v>
      </c>
      <c r="P32" s="129">
        <f>AVERAGEIFS(P$36:P$173,$C$36:$C$173,"=3", $B$36:$B$173,"NO OFICIAL")</f>
        <v>53</v>
      </c>
      <c r="Q32" s="129">
        <f>AVERAGEIFS(Q$36:Q$173,$C$36:$C$173,"=3", $B$36:$B$173,"NO OFICIAL")</f>
        <v>9.5714285714285712</v>
      </c>
      <c r="R32" s="39">
        <f>AVERAGEIFS(R$36:R$173,$C$36:$C$173,"=3", $B$36:$B$173,"NO OFICIAL")</f>
        <v>8.9285714285714302E-2</v>
      </c>
      <c r="S32" s="39">
        <f t="shared" ref="S32:AA32" si="162">AVERAGEIFS(S$36:S$173,$C$36:$C$173,"=3", $B$36:$B$173,"NO OFICIAL")</f>
        <v>0.50714285714285712</v>
      </c>
      <c r="T32" s="39">
        <f t="shared" si="162"/>
        <v>0.36571428571428571</v>
      </c>
      <c r="U32" s="39">
        <f t="shared" si="162"/>
        <v>3.9285714285714292E-2</v>
      </c>
      <c r="V32" s="39">
        <f t="shared" si="162"/>
        <v>0.38500000000000012</v>
      </c>
      <c r="W32" s="39">
        <f t="shared" si="162"/>
        <v>0.45000000000000007</v>
      </c>
      <c r="X32" s="39">
        <f t="shared" si="162"/>
        <v>0.52928571428571425</v>
      </c>
      <c r="Y32" s="39">
        <f t="shared" si="162"/>
        <v>0.43285714285714283</v>
      </c>
      <c r="Z32" s="39">
        <f t="shared" si="162"/>
        <v>0.40500000000000008</v>
      </c>
      <c r="AA32" s="39">
        <f t="shared" si="162"/>
        <v>0.45500000000000002</v>
      </c>
      <c r="AB32" s="129">
        <f>AVERAGEIFS(AB$36:AB$173,$C$36:$C$173,"=3", $B$36:$B$173,"NO OFICIAL")</f>
        <v>51.5</v>
      </c>
      <c r="AC32" s="129">
        <f>AVERAGEIFS(AC$36:AC$173,$C$36:$C$173,"=3", $B$36:$B$173,"NO OFICIAL")</f>
        <v>9.7857142857142865</v>
      </c>
      <c r="AD32" s="39">
        <f>AVERAGEIFS(AD$36:AD$173,$C$36:$C$173,"=3", $B$36:$B$173,"NO OFICIAL")</f>
        <v>0.15357142857142855</v>
      </c>
      <c r="AE32" s="39">
        <f t="shared" ref="AE32:AM32" si="163">AVERAGEIFS(AE$36:AE$173,$C$36:$C$173,"=3", $B$36:$B$173,"NO OFICIAL")</f>
        <v>0.46571428571428569</v>
      </c>
      <c r="AF32" s="39">
        <f t="shared" si="163"/>
        <v>0.35642857142857137</v>
      </c>
      <c r="AG32" s="39">
        <f t="shared" si="163"/>
        <v>2.2142857142857141E-2</v>
      </c>
      <c r="AH32" s="39">
        <f t="shared" si="163"/>
        <v>0.39500000000000002</v>
      </c>
      <c r="AI32" s="39">
        <f t="shared" si="163"/>
        <v>0.39214285714285718</v>
      </c>
      <c r="AJ32" s="39">
        <f t="shared" si="163"/>
        <v>0.3785714285714285</v>
      </c>
      <c r="AK32" s="39">
        <f t="shared" si="163"/>
        <v>0.4578571428571428</v>
      </c>
      <c r="AL32" s="39">
        <f t="shared" si="163"/>
        <v>0.53357142857142859</v>
      </c>
      <c r="AM32" s="39">
        <f t="shared" si="163"/>
        <v>0.49571428571428572</v>
      </c>
      <c r="AN32" s="129">
        <f>AVERAGEIFS(AN$36:AN$173,$C$36:$C$173,"=3", $B$36:$B$173,"NO OFICIAL")</f>
        <v>49.214285714285715</v>
      </c>
      <c r="AO32" s="129">
        <f>AVERAGEIFS(AO$36:AO$173,$C$36:$C$173,"=3", $B$36:$B$173,"NO OFICIAL")</f>
        <v>10.357142857142858</v>
      </c>
      <c r="AP32" s="39">
        <f>AVERAGEIFS(AP$36:AP$173,$C$36:$C$173,"=3", $B$36:$B$173,"NO OFICIAL")</f>
        <v>0.23214285714285715</v>
      </c>
      <c r="AQ32" s="39">
        <f t="shared" ref="AQ32:AY32" si="164">AVERAGEIFS(AQ$36:AQ$173,$C$36:$C$173,"=3", $B$36:$B$173,"NO OFICIAL")</f>
        <v>0.46928571428571431</v>
      </c>
      <c r="AR32" s="39">
        <f t="shared" si="164"/>
        <v>0.28357142857142864</v>
      </c>
      <c r="AS32" s="39">
        <f t="shared" si="164"/>
        <v>1.4999999999999999E-2</v>
      </c>
      <c r="AT32" s="39">
        <f t="shared" si="164"/>
        <v>0.54928571428571427</v>
      </c>
      <c r="AU32" s="39">
        <f t="shared" si="164"/>
        <v>0.45357142857142863</v>
      </c>
      <c r="AV32" s="39">
        <f t="shared" si="164"/>
        <v>0.43714285714285711</v>
      </c>
      <c r="AW32" s="39">
        <f t="shared" si="164"/>
        <v>0.46357142857142852</v>
      </c>
      <c r="AX32" s="39">
        <f t="shared" si="164"/>
        <v>0.45142857142857146</v>
      </c>
      <c r="AY32" s="39">
        <f t="shared" si="164"/>
        <v>0.46357142857142863</v>
      </c>
      <c r="AZ32" s="129">
        <f>AVERAGEIFS(AZ$36:AZ$173,$C$36:$C$173,"=3", $B$36:$B$173,"NO OFICIAL")</f>
        <v>52.2</v>
      </c>
      <c r="BA32" s="129">
        <f>AVERAGEIFS(BA$36:BA$173,$C$36:$C$173,"=3", $B$36:$B$173,"NO OFICIAL")</f>
        <v>10.333333333333334</v>
      </c>
      <c r="BB32" s="39">
        <f>AVERAGEIFS(BB$36:BB$173,$C$36:$C$173,"=3", $B$36:$B$173,"NO OFICIAL")</f>
        <v>0.15133333333333335</v>
      </c>
      <c r="BC32" s="39">
        <f t="shared" ref="BC32:BK32" si="165">AVERAGEIFS(BC$36:BC$173,$C$36:$C$173,"=3", $B$36:$B$173,"NO OFICIAL")</f>
        <v>0.45999999999999996</v>
      </c>
      <c r="BD32" s="39">
        <f t="shared" si="165"/>
        <v>0.34533333333333338</v>
      </c>
      <c r="BE32" s="39">
        <f t="shared" si="165"/>
        <v>4.2666666666666665E-2</v>
      </c>
      <c r="BF32" s="39">
        <f t="shared" si="165"/>
        <v>0.44933333333333336</v>
      </c>
      <c r="BG32" s="39">
        <f t="shared" si="165"/>
        <v>0.42533333333333329</v>
      </c>
      <c r="BH32" s="39">
        <f t="shared" si="165"/>
        <v>0.42999999999999994</v>
      </c>
      <c r="BI32" s="39">
        <f t="shared" si="165"/>
        <v>0.52733333333333332</v>
      </c>
      <c r="BJ32" s="39">
        <f t="shared" si="165"/>
        <v>0.40133333333333338</v>
      </c>
      <c r="BK32" s="39">
        <f t="shared" si="165"/>
        <v>0.37666666666666665</v>
      </c>
      <c r="BL32" s="129">
        <f>AVERAGEIFS(BL$36:BL$173,$C$36:$C$173,"=3", $B$36:$B$173,"NO OFICIAL")</f>
        <v>50.866666666666667</v>
      </c>
      <c r="BN32" s="129">
        <f>AVERAGEIFS(BN$36:BN$173,$C$36:$C$173,"=3", $B$36:$B$173,"NO OFICIAL")</f>
        <v>10.266666666666667</v>
      </c>
      <c r="BP32" s="39">
        <f>AVERAGEIFS(BP$36:BP$173,$C$36:$C$173,"=3", $B$36:$B$173,"NO OFICIAL")</f>
        <v>0.18800000000000003</v>
      </c>
      <c r="BQ32" s="39">
        <f t="shared" ref="BQ32:BY32" si="166">AVERAGEIFS(BQ$36:BQ$173,$C$36:$C$173,"=3", $B$36:$B$173,"NO OFICIAL")</f>
        <v>0.45333333333333337</v>
      </c>
      <c r="BR32" s="39">
        <f t="shared" si="166"/>
        <v>0.33333333333333331</v>
      </c>
      <c r="BS32" s="39">
        <f t="shared" si="166"/>
        <v>2.5333333333333329E-2</v>
      </c>
      <c r="BT32" s="39">
        <f t="shared" si="166"/>
        <v>0.41933333333333334</v>
      </c>
      <c r="BU32" s="39">
        <f t="shared" si="166"/>
        <v>0.43866666666666665</v>
      </c>
      <c r="BV32" s="39">
        <f t="shared" si="166"/>
        <v>0.55666666666666664</v>
      </c>
      <c r="BW32" s="39">
        <f t="shared" si="166"/>
        <v>0.40466666666666667</v>
      </c>
      <c r="BX32" s="39">
        <f t="shared" si="166"/>
        <v>0.43466666666666665</v>
      </c>
      <c r="BY32" s="39">
        <f t="shared" si="166"/>
        <v>0.50800000000000012</v>
      </c>
      <c r="BZ32" s="129">
        <f>AVERAGEIFS(BZ$36:BZ$173,$C$36:$C$173,"=3", $B$36:$B$173,"NO OFICIAL")</f>
        <v>52.8125</v>
      </c>
      <c r="CB32" s="129">
        <f>AVERAGEIFS(CB$36:CB$173,$C$36:$C$173,"=3", $B$36:$B$173,"NO OFICIAL")</f>
        <v>10.0625</v>
      </c>
      <c r="CD32" s="342">
        <f>AVERAGEIFS(CD$36:CD$173,$C$36:$C$173,"=3", $B$36:$B$173,"NO OFICIAL")</f>
        <v>0.15187500000000001</v>
      </c>
      <c r="CE32" s="342">
        <f t="shared" ref="CE32:CM32" si="167">AVERAGEIFS(CE$36:CE$173,$C$36:$C$173,"=3", $B$36:$B$173,"NO OFICIAL")</f>
        <v>0.41750000000000009</v>
      </c>
      <c r="CF32" s="342">
        <f t="shared" si="167"/>
        <v>0.40125</v>
      </c>
      <c r="CG32" s="342">
        <f t="shared" si="167"/>
        <v>3.1875000000000001E-2</v>
      </c>
      <c r="CH32" s="342">
        <f t="shared" si="167"/>
        <v>0.43499999999999994</v>
      </c>
      <c r="CI32" s="342">
        <f t="shared" si="167"/>
        <v>0.33374999999999999</v>
      </c>
      <c r="CJ32" s="342">
        <f t="shared" si="167"/>
        <v>0.52937499999999993</v>
      </c>
      <c r="CK32" s="342">
        <f t="shared" si="167"/>
        <v>0.49812500000000004</v>
      </c>
      <c r="CL32" s="342">
        <f t="shared" si="167"/>
        <v>0.37374999999999997</v>
      </c>
      <c r="CM32" s="342">
        <f t="shared" si="167"/>
        <v>0.52250000000000008</v>
      </c>
      <c r="CN32" s="129">
        <f>AVERAGEIFS(CN$36:CN$173,$C$36:$C$173,"=3", $B$36:$B$173,"NO OFICIAL")</f>
        <v>52.0625</v>
      </c>
      <c r="CP32" s="129">
        <f>AVERAGEIFS(CP$36:CP$173,$C$36:$C$173,"=3", $B$36:$B$173,"NO OFICIAL")</f>
        <v>10.125</v>
      </c>
      <c r="CR32" s="342">
        <f>AVERAGEIFS(CR$36:CR$173,$C$36:$C$173,"=3", $B$36:$B$173,"NO OFICIAL")</f>
        <v>0.16749999999999998</v>
      </c>
      <c r="CS32" s="342">
        <f t="shared" ref="CS32:DB32" si="168">AVERAGEIFS(CS$36:CS$173,$C$36:$C$173,"=3", $B$36:$B$173,"NO OFICIAL")</f>
        <v>0.41812499999999997</v>
      </c>
      <c r="CT32" s="342">
        <f t="shared" si="168"/>
        <v>0.38187500000000002</v>
      </c>
      <c r="CU32" s="342">
        <f t="shared" si="168"/>
        <v>3.125E-2</v>
      </c>
      <c r="CV32" s="342">
        <f t="shared" si="168"/>
        <v>0.32250000000000001</v>
      </c>
      <c r="CW32" s="342">
        <f t="shared" si="168"/>
        <v>0.50062499999999999</v>
      </c>
      <c r="CX32" s="342">
        <f t="shared" si="168"/>
        <v>0.52562500000000001</v>
      </c>
      <c r="CY32" s="342">
        <f t="shared" si="168"/>
        <v>0.57874999999999999</v>
      </c>
      <c r="CZ32" s="342">
        <f t="shared" si="168"/>
        <v>0.53625</v>
      </c>
      <c r="DA32" s="342">
        <f t="shared" si="168"/>
        <v>0.53125</v>
      </c>
      <c r="DB32" s="490">
        <f t="shared" si="168"/>
        <v>51.8125</v>
      </c>
      <c r="DC32" s="495"/>
      <c r="DD32" s="300">
        <f>AVERAGEIFS(DD$36:DD$173,$C$36:$C$173,"=3", $B$36:$B$173,"NO OFICIAL")</f>
        <v>9.6875</v>
      </c>
      <c r="DE32" s="495"/>
      <c r="DF32" s="343">
        <f t="shared" ref="DF32:DN32" si="169">AVERAGEIFS(DF$36:DF$173,$C$36:$C$173,"=3", $B$36:$B$173,"NO OFICIAL")</f>
        <v>0.166875</v>
      </c>
      <c r="DG32" s="343">
        <f t="shared" si="169"/>
        <v>0.45</v>
      </c>
      <c r="DH32" s="343">
        <f t="shared" si="169"/>
        <v>0.34812499999999996</v>
      </c>
      <c r="DI32" s="343">
        <f t="shared" si="169"/>
        <v>3.3750000000000002E-2</v>
      </c>
      <c r="DJ32" s="343">
        <f>AVERAGEIFS(DJ$36:DJ$173,$C$36:$C$173,"=3", $B$36:$B$173,"NO OFICIAL")</f>
        <v>0.46874999999999989</v>
      </c>
      <c r="DK32" s="343">
        <f>AVERAGEIFS(DK$36:DK$173,$C$36:$C$173,"=3", $B$36:$B$173,"NO OFICIAL")</f>
        <v>0.45312500000000006</v>
      </c>
      <c r="DL32" s="343">
        <f t="shared" si="169"/>
        <v>0.44437500000000002</v>
      </c>
      <c r="DM32" s="343">
        <f t="shared" si="169"/>
        <v>0.5943750000000001</v>
      </c>
      <c r="DN32" s="343">
        <f t="shared" si="169"/>
        <v>0.51500000000000001</v>
      </c>
      <c r="DO32" s="343">
        <f>AVERAGEIFS(DO$36:DO$173,$C$36:$C$173,"=3", $B$36:$B$173,"NO OFICIAL")</f>
        <v>0.36125000000000002</v>
      </c>
      <c r="DP32" s="129">
        <f>AVERAGEIFS(DP$36:DP$173,$C$36:$C$173,"=3", $B$36:$B$173,"NO OFICIAL")</f>
        <v>52.4375</v>
      </c>
      <c r="DQ32" s="896"/>
      <c r="DR32" s="129">
        <f>AVERAGEIFS(DR$36:DR$173,$C$36:$C$173,"=3", $B$36:$B$173,"NO OFICIAL")</f>
        <v>10.1875</v>
      </c>
      <c r="DS32" s="896"/>
      <c r="DT32" s="342">
        <f>AVERAGEIFS(DT$36:DT$173,$C$36:$C$173,"=3", $B$36:$B$173,"NO OFICIAL")</f>
        <v>0.14500000000000002</v>
      </c>
      <c r="DU32" s="342">
        <f t="shared" ref="DU32:EC32" si="170">AVERAGEIFS(DU$36:DU$173,$C$36:$C$173,"=3", $B$36:$B$173,"NO OFICIAL")</f>
        <v>0.46562500000000001</v>
      </c>
      <c r="DV32" s="342">
        <f t="shared" si="170"/>
        <v>0.34562500000000002</v>
      </c>
      <c r="DW32" s="342">
        <f t="shared" si="170"/>
        <v>4.3124999999999997E-2</v>
      </c>
      <c r="DX32" s="342">
        <f t="shared" si="170"/>
        <v>0.43937500000000007</v>
      </c>
      <c r="DY32" s="342">
        <f t="shared" si="170"/>
        <v>0.36749999999999999</v>
      </c>
      <c r="DZ32" s="342">
        <f t="shared" si="170"/>
        <v>0.64437499999999981</v>
      </c>
      <c r="EA32" s="342">
        <f t="shared" si="170"/>
        <v>0.46124999999999994</v>
      </c>
      <c r="EB32" s="342">
        <f t="shared" si="170"/>
        <v>0.52124999999999999</v>
      </c>
      <c r="EC32" s="342">
        <f t="shared" si="170"/>
        <v>0.356875</v>
      </c>
    </row>
    <row r="33" spans="1:135" ht="24.95" customHeight="1" x14ac:dyDescent="0.2">
      <c r="A33" s="6" t="s">
        <v>785</v>
      </c>
      <c r="B33" s="299"/>
      <c r="C33" s="299"/>
      <c r="D33" s="129">
        <f>AVERAGEIFS(D$36:D$173,$C$36:$C$173,"=4", $B$36:$B$173,"NO OFICIAL")</f>
        <v>48.875</v>
      </c>
      <c r="E33" s="129">
        <f>AVERAGEIFS(E$36:E$173,$C$36:$C$173,"=4", $B$36:$B$173,"NO OFICIAL")</f>
        <v>7.625</v>
      </c>
      <c r="F33" s="39">
        <f>AVERAGEIFS(F$36:F$173,$C$36:$C$173,"=4", $B$36:$B$173,"NO OFICIAL")</f>
        <v>0.26750000000000002</v>
      </c>
      <c r="G33" s="39">
        <f t="shared" ref="G33:O33" si="171">AVERAGEIFS(G$36:G$173,$C$36:$C$173,"=4", $B$36:$B$173,"NO OFICIAL")</f>
        <v>0.48249999999999998</v>
      </c>
      <c r="H33" s="39">
        <f t="shared" si="171"/>
        <v>0.24625</v>
      </c>
      <c r="I33" s="39">
        <f t="shared" si="171"/>
        <v>2.5000000000000001E-3</v>
      </c>
      <c r="J33" s="39">
        <f t="shared" si="171"/>
        <v>0.58000000000000007</v>
      </c>
      <c r="K33" s="39">
        <f t="shared" si="171"/>
        <v>0.53875000000000006</v>
      </c>
      <c r="L33" s="39">
        <f t="shared" si="171"/>
        <v>0.60875000000000001</v>
      </c>
      <c r="M33" s="39">
        <f t="shared" si="171"/>
        <v>0.46125000000000005</v>
      </c>
      <c r="N33" s="39">
        <f t="shared" si="171"/>
        <v>0.44624999999999998</v>
      </c>
      <c r="O33" s="39">
        <f t="shared" si="171"/>
        <v>0.55500000000000005</v>
      </c>
      <c r="P33" s="129">
        <f>AVERAGEIFS(P$36:P$173,$C$36:$C$173,"=4", $B$36:$B$173,"NO OFICIAL")</f>
        <v>52.111111111111114</v>
      </c>
      <c r="Q33" s="129">
        <f>AVERAGEIFS(Q$36:Q$173,$C$36:$C$173,"=4", $B$36:$B$173,"NO OFICIAL")</f>
        <v>7.666666666666667</v>
      </c>
      <c r="R33" s="39">
        <f>AVERAGEIFS(R$36:R$173,$C$36:$C$173,"=4", $B$36:$B$173,"NO OFICIAL")</f>
        <v>0.1388888888888889</v>
      </c>
      <c r="S33" s="39">
        <f t="shared" ref="S33:AA33" si="172">AVERAGEIFS(S$36:S$173,$C$36:$C$173,"=4", $B$36:$B$173,"NO OFICIAL")</f>
        <v>0.42777777777777776</v>
      </c>
      <c r="T33" s="39">
        <f t="shared" si="172"/>
        <v>0.43111111111111111</v>
      </c>
      <c r="U33" s="39">
        <f t="shared" si="172"/>
        <v>2.2222222222222222E-3</v>
      </c>
      <c r="V33" s="39">
        <f t="shared" si="172"/>
        <v>0.41444444444444439</v>
      </c>
      <c r="W33" s="39">
        <f t="shared" si="172"/>
        <v>0.45111111111111118</v>
      </c>
      <c r="X33" s="39">
        <f t="shared" si="172"/>
        <v>0.53555555555555556</v>
      </c>
      <c r="Y33" s="39">
        <f t="shared" si="172"/>
        <v>0.4211111111111111</v>
      </c>
      <c r="Z33" s="39">
        <f t="shared" si="172"/>
        <v>0.43222222222222223</v>
      </c>
      <c r="AA33" s="39">
        <f t="shared" si="172"/>
        <v>0.42999999999999994</v>
      </c>
      <c r="AB33" s="129">
        <f>AVERAGEIFS(AB$36:AB$173,$C$36:$C$173,"=4", $B$36:$B$173,"NO OFICIAL")</f>
        <v>49.777777777777779</v>
      </c>
      <c r="AC33" s="129">
        <f>AVERAGEIFS(AC$36:AC$173,$C$36:$C$173,"=4", $B$36:$B$173,"NO OFICIAL")</f>
        <v>8.1111111111111107</v>
      </c>
      <c r="AD33" s="39">
        <f>AVERAGEIFS(AD$36:AD$173,$C$36:$C$173,"=4", $B$36:$B$173,"NO OFICIAL")</f>
        <v>0.18666666666666665</v>
      </c>
      <c r="AE33" s="39">
        <f t="shared" ref="AE33:AM33" si="173">AVERAGEIFS(AE$36:AE$173,$C$36:$C$173,"=4", $B$36:$B$173,"NO OFICIAL")</f>
        <v>0.60444444444444434</v>
      </c>
      <c r="AF33" s="39">
        <f t="shared" si="173"/>
        <v>0.19777777777777777</v>
      </c>
      <c r="AG33" s="39">
        <f t="shared" si="173"/>
        <v>1.2222222222222223E-2</v>
      </c>
      <c r="AH33" s="39">
        <f t="shared" si="173"/>
        <v>0.43222222222222223</v>
      </c>
      <c r="AI33" s="39">
        <f t="shared" si="173"/>
        <v>0.41666666666666669</v>
      </c>
      <c r="AJ33" s="39">
        <f t="shared" si="173"/>
        <v>0.41888888888888887</v>
      </c>
      <c r="AK33" s="39">
        <f t="shared" si="173"/>
        <v>0.47666666666666657</v>
      </c>
      <c r="AL33" s="39">
        <f t="shared" si="173"/>
        <v>0.57444444444444442</v>
      </c>
      <c r="AM33" s="39">
        <f t="shared" si="173"/>
        <v>0.50555555555555554</v>
      </c>
      <c r="AN33" s="129">
        <f>AVERAGEIFS(AN$36:AN$173,$C$36:$C$173,"=4", $B$36:$B$173,"NO OFICIAL")</f>
        <v>47.875</v>
      </c>
      <c r="AO33" s="129">
        <f>AVERAGEIFS(AO$36:AO$173,$C$36:$C$173,"=4", $B$36:$B$173,"NO OFICIAL")</f>
        <v>10.125</v>
      </c>
      <c r="AP33" s="39">
        <f>AVERAGEIFS(AP$36:AP$173,$C$36:$C$173,"=4", $B$36:$B$173,"NO OFICIAL")</f>
        <v>0.27374999999999999</v>
      </c>
      <c r="AQ33" s="39">
        <f t="shared" ref="AQ33:AY33" si="174">AVERAGEIFS(AQ$36:AQ$173,$C$36:$C$173,"=4", $B$36:$B$173,"NO OFICIAL")</f>
        <v>0.45999999999999996</v>
      </c>
      <c r="AR33" s="39">
        <f t="shared" si="174"/>
        <v>0.25624999999999998</v>
      </c>
      <c r="AS33" s="39">
        <f t="shared" si="174"/>
        <v>7.4999999999999997E-3</v>
      </c>
      <c r="AT33" s="39">
        <f t="shared" si="174"/>
        <v>0.57499999999999996</v>
      </c>
      <c r="AU33" s="39">
        <f t="shared" si="174"/>
        <v>0.47625000000000001</v>
      </c>
      <c r="AV33" s="39">
        <f t="shared" si="174"/>
        <v>0.44</v>
      </c>
      <c r="AW33" s="39">
        <f t="shared" si="174"/>
        <v>0.47500000000000003</v>
      </c>
      <c r="AX33" s="39">
        <f t="shared" si="174"/>
        <v>0.5</v>
      </c>
      <c r="AY33" s="39">
        <f t="shared" si="174"/>
        <v>0.49375000000000008</v>
      </c>
      <c r="AZ33" s="129">
        <f>AVERAGEIFS(AZ$36:AZ$173,$C$36:$C$173,"=4", $B$36:$B$173,"NO OFICIAL")</f>
        <v>47.857142857142854</v>
      </c>
      <c r="BA33" s="129">
        <f>AVERAGEIFS(BA$36:BA$173,$C$36:$C$173,"=4", $B$36:$B$173,"NO OFICIAL")</f>
        <v>10.142857142857142</v>
      </c>
      <c r="BB33" s="39">
        <f>AVERAGEIFS(BB$36:BB$173,$C$36:$C$173,"=4", $B$36:$B$173,"NO OFICIAL")</f>
        <v>0.28428571428571431</v>
      </c>
      <c r="BC33" s="39">
        <f t="shared" ref="BC33:BK33" si="175">AVERAGEIFS(BC$36:BC$173,$C$36:$C$173,"=4", $B$36:$B$173,"NO OFICIAL")</f>
        <v>0.39857142857142858</v>
      </c>
      <c r="BD33" s="39">
        <f t="shared" si="175"/>
        <v>0.31571428571428573</v>
      </c>
      <c r="BE33" s="39">
        <f t="shared" si="175"/>
        <v>2.8571428571428571E-3</v>
      </c>
      <c r="BF33" s="39">
        <f t="shared" si="175"/>
        <v>0.60571428571428565</v>
      </c>
      <c r="BG33" s="39">
        <f t="shared" si="175"/>
        <v>0.49857142857142861</v>
      </c>
      <c r="BH33" s="39">
        <f t="shared" si="175"/>
        <v>0.49428571428571427</v>
      </c>
      <c r="BI33" s="39">
        <f t="shared" si="175"/>
        <v>0.59</v>
      </c>
      <c r="BJ33" s="39">
        <f t="shared" si="175"/>
        <v>0.47142857142857147</v>
      </c>
      <c r="BK33" s="39">
        <f t="shared" si="175"/>
        <v>0.43285714285714283</v>
      </c>
      <c r="BL33" s="129">
        <f>AVERAGEIFS(BL$36:BL$173,$C$36:$C$173,"=4", $B$36:$B$173,"NO OFICIAL")</f>
        <v>48.625</v>
      </c>
      <c r="BN33" s="129">
        <f>AVERAGEIFS(BN$36:BN$173,$C$36:$C$173,"=4", $B$36:$B$173,"NO OFICIAL")</f>
        <v>9.5</v>
      </c>
      <c r="BP33" s="39">
        <f>AVERAGEIFS(BP$36:BP$173,$C$36:$C$173,"=4", $B$36:$B$173,"NO OFICIAL")</f>
        <v>0.21000000000000002</v>
      </c>
      <c r="BQ33" s="39">
        <f t="shared" ref="BQ33:BY33" si="176">AVERAGEIFS(BQ$36:BQ$173,$C$36:$C$173,"=4", $B$36:$B$173,"NO OFICIAL")</f>
        <v>0.51124999999999998</v>
      </c>
      <c r="BR33" s="39">
        <f t="shared" si="176"/>
        <v>0.25624999999999998</v>
      </c>
      <c r="BS33" s="39">
        <f t="shared" si="176"/>
        <v>2.5000000000000001E-2</v>
      </c>
      <c r="BT33" s="39">
        <f t="shared" si="176"/>
        <v>0.44249999999999995</v>
      </c>
      <c r="BU33" s="39">
        <f t="shared" si="176"/>
        <v>0.48875000000000002</v>
      </c>
      <c r="BV33" s="39">
        <f t="shared" si="176"/>
        <v>0.52249999999999996</v>
      </c>
      <c r="BW33" s="39">
        <f t="shared" si="176"/>
        <v>0.45</v>
      </c>
      <c r="BX33" s="39">
        <f t="shared" si="176"/>
        <v>0.47125</v>
      </c>
      <c r="BY33" s="39">
        <f t="shared" si="176"/>
        <v>0.54874999999999996</v>
      </c>
      <c r="BZ33" s="129">
        <f>AVERAGEIFS(BZ$36:BZ$173,$C$36:$C$173,"=4", $B$36:$B$173,"NO OFICIAL")</f>
        <v>48.875</v>
      </c>
      <c r="CB33" s="129">
        <f>AVERAGEIFS(CB$36:CB$173,$C$36:$C$173,"=4", $B$36:$B$173,"NO OFICIAL")</f>
        <v>9.875</v>
      </c>
      <c r="CD33" s="342">
        <f>AVERAGEIFS(CD$36:CD$173,$C$36:$C$173,"=4", $B$36:$B$173,"NO OFICIAL")</f>
        <v>0.23374999999999999</v>
      </c>
      <c r="CE33" s="342">
        <f t="shared" ref="CE33:CM33" si="177">AVERAGEIFS(CE$36:CE$173,$C$36:$C$173,"=4", $B$36:$B$173,"NO OFICIAL")</f>
        <v>0.50124999999999997</v>
      </c>
      <c r="CF33" s="342">
        <f t="shared" si="177"/>
        <v>0.25124999999999997</v>
      </c>
      <c r="CG33" s="342">
        <f t="shared" si="177"/>
        <v>1.375E-2</v>
      </c>
      <c r="CH33" s="342">
        <f t="shared" si="177"/>
        <v>0.50250000000000006</v>
      </c>
      <c r="CI33" s="342">
        <f t="shared" si="177"/>
        <v>0.41375000000000001</v>
      </c>
      <c r="CJ33" s="342">
        <f t="shared" si="177"/>
        <v>0.56499999999999995</v>
      </c>
      <c r="CK33" s="342">
        <f t="shared" si="177"/>
        <v>0.5575</v>
      </c>
      <c r="CL33" s="342">
        <f t="shared" si="177"/>
        <v>0.45499999999999996</v>
      </c>
      <c r="CM33" s="342">
        <f t="shared" si="177"/>
        <v>0.57750000000000001</v>
      </c>
      <c r="CN33" s="129">
        <f>AVERAGEIFS(CN$36:CN$173,$C$36:$C$173,"=4", $B$36:$B$173,"NO OFICIAL")</f>
        <v>47.555555555555557</v>
      </c>
      <c r="CP33" s="129">
        <f>AVERAGEIFS(CP$36:CP$173,$C$36:$C$173,"=4", $B$36:$B$173,"NO OFICIAL")</f>
        <v>9.3333333333333339</v>
      </c>
      <c r="CR33" s="342">
        <f>AVERAGEIFS(CR$36:CR$173,$C$36:$C$173,"=4", $B$36:$B$173,"NO OFICIAL")</f>
        <v>0.22666666666666668</v>
      </c>
      <c r="CS33" s="342">
        <f t="shared" ref="CS33:DB33" si="178">AVERAGEIFS(CS$36:CS$173,$C$36:$C$173,"=4", $B$36:$B$173,"NO OFICIAL")</f>
        <v>0.56111111111111123</v>
      </c>
      <c r="CT33" s="342">
        <f t="shared" si="178"/>
        <v>0.20222222222222222</v>
      </c>
      <c r="CU33" s="342">
        <f t="shared" si="178"/>
        <v>8.8888888888888889E-3</v>
      </c>
      <c r="CV33" s="342">
        <f t="shared" si="178"/>
        <v>0.38666666666666671</v>
      </c>
      <c r="CW33" s="342">
        <f t="shared" si="178"/>
        <v>0.60222222222222233</v>
      </c>
      <c r="CX33" s="342">
        <f t="shared" si="178"/>
        <v>0.59777777777777785</v>
      </c>
      <c r="CY33" s="342">
        <f t="shared" si="178"/>
        <v>0.72111111111111115</v>
      </c>
      <c r="CZ33" s="342">
        <f t="shared" si="178"/>
        <v>0.58444444444444443</v>
      </c>
      <c r="DA33" s="342">
        <f t="shared" si="178"/>
        <v>0.62222222222222223</v>
      </c>
      <c r="DB33" s="490">
        <f t="shared" si="178"/>
        <v>50.714285714285715</v>
      </c>
      <c r="DC33" s="495"/>
      <c r="DD33" s="300">
        <f>AVERAGEIFS(DD$36:DD$173,$C$36:$C$173,"=4", $B$36:$B$173,"NO OFICIAL")</f>
        <v>10</v>
      </c>
      <c r="DE33" s="495"/>
      <c r="DF33" s="343">
        <f t="shared" ref="DF33:DN33" si="179">AVERAGEIFS(DF$36:DF$173,$C$36:$C$173,"=4", $B$36:$B$173,"NO OFICIAL")</f>
        <v>0.20714285714285716</v>
      </c>
      <c r="DG33" s="343">
        <f t="shared" si="179"/>
        <v>0.45285714285714285</v>
      </c>
      <c r="DH33" s="343">
        <f t="shared" si="179"/>
        <v>0.30142857142857149</v>
      </c>
      <c r="DI33" s="343">
        <f t="shared" si="179"/>
        <v>0.04</v>
      </c>
      <c r="DJ33" s="343">
        <f>AVERAGEIFS(DJ$36:DJ$173,$C$36:$C$173,"=4", $B$36:$B$173,"NO OFICIAL")</f>
        <v>0.49285714285714288</v>
      </c>
      <c r="DK33" s="343">
        <f>AVERAGEIFS(DK$36:DK$173,$C$36:$C$173,"=4", $B$36:$B$173,"NO OFICIAL")</f>
        <v>0.48571428571428571</v>
      </c>
      <c r="DL33" s="343">
        <f t="shared" si="179"/>
        <v>0.46142857142857141</v>
      </c>
      <c r="DM33" s="343">
        <f t="shared" si="179"/>
        <v>0.62000000000000011</v>
      </c>
      <c r="DN33" s="343">
        <f t="shared" si="179"/>
        <v>0.51</v>
      </c>
      <c r="DO33" s="343">
        <f>AVERAGEIFS(DO$36:DO$173,$C$36:$C$173,"=4", $B$36:$B$173,"NO OFICIAL")</f>
        <v>0.40142857142857141</v>
      </c>
      <c r="DP33" s="129">
        <f>AVERAGEIFS(DP$36:DP$173,$C$36:$C$173,"=4", $B$36:$B$173,"NO OFICIAL")</f>
        <v>51.888888888888886</v>
      </c>
      <c r="DQ33" s="896"/>
      <c r="DR33" s="129">
        <f>AVERAGEIFS(DR$36:DR$173,$C$36:$C$173,"=4", $B$36:$B$173,"NO OFICIAL")</f>
        <v>9.2222222222222214</v>
      </c>
      <c r="DS33" s="896"/>
      <c r="DT33" s="342">
        <f>AVERAGEIFS(DT$36:DT$173,$C$36:$C$173,"=4", $B$36:$B$173,"NO OFICIAL")</f>
        <v>0.1522222222222222</v>
      </c>
      <c r="DU33" s="342">
        <f t="shared" ref="DU33:EC33" si="180">AVERAGEIFS(DU$36:DU$173,$C$36:$C$173,"=4", $B$36:$B$173,"NO OFICIAL")</f>
        <v>0.47111111111111115</v>
      </c>
      <c r="DV33" s="342">
        <f t="shared" si="180"/>
        <v>0.36222222222222222</v>
      </c>
      <c r="DW33" s="342">
        <f t="shared" si="180"/>
        <v>1.3333333333333334E-2</v>
      </c>
      <c r="DX33" s="342">
        <f t="shared" si="180"/>
        <v>0.46888888888888886</v>
      </c>
      <c r="DY33" s="342">
        <f t="shared" si="180"/>
        <v>0.37444444444444447</v>
      </c>
      <c r="DZ33" s="342">
        <f t="shared" si="180"/>
        <v>0.73777777777777775</v>
      </c>
      <c r="EA33" s="342">
        <f t="shared" si="180"/>
        <v>0.40000000000000008</v>
      </c>
      <c r="EB33" s="342">
        <f t="shared" si="180"/>
        <v>0.51333333333333342</v>
      </c>
      <c r="EC33" s="342">
        <f t="shared" si="180"/>
        <v>0.37</v>
      </c>
    </row>
    <row r="34" spans="1:135" ht="24.95" customHeight="1" x14ac:dyDescent="0.2">
      <c r="A34" s="6" t="s">
        <v>786</v>
      </c>
      <c r="B34" s="299"/>
      <c r="C34" s="299"/>
      <c r="D34" s="129">
        <f>AVERAGEIFS(D$36:D$173,$C$36:$C$173,"=5", $B$36:$B$173,"NO OFICIAL")</f>
        <v>54.714285714285715</v>
      </c>
      <c r="E34" s="129">
        <f>AVERAGEIFS(E$36:E$173,$C$36:$C$173,"=5", $B$36:$B$173,"NO OFICIAL")</f>
        <v>8.6428571428571423</v>
      </c>
      <c r="F34" s="39">
        <f>AVERAGEIFS(F$36:F$173,$C$36:$C$173,"=5", $B$36:$B$173,"NO OFICIAL")</f>
        <v>5.9285714285714296E-2</v>
      </c>
      <c r="G34" s="39">
        <f t="shared" ref="G34:O34" si="181">AVERAGEIFS(G$36:G$173,$C$36:$C$173,"=5", $B$36:$B$173,"NO OFICIAL")</f>
        <v>0.49357142857142849</v>
      </c>
      <c r="H34" s="39">
        <f t="shared" si="181"/>
        <v>0.43571428571428583</v>
      </c>
      <c r="I34" s="39">
        <f t="shared" si="181"/>
        <v>1.2857142857142857E-2</v>
      </c>
      <c r="J34" s="39">
        <f t="shared" si="181"/>
        <v>0.49785714285714283</v>
      </c>
      <c r="K34" s="39">
        <f t="shared" si="181"/>
        <v>0.43285714285714288</v>
      </c>
      <c r="L34" s="39">
        <f t="shared" si="181"/>
        <v>0.5614285714285715</v>
      </c>
      <c r="M34" s="39">
        <f t="shared" si="181"/>
        <v>0.36214285714285716</v>
      </c>
      <c r="N34" s="39">
        <f t="shared" si="181"/>
        <v>0.38857142857142862</v>
      </c>
      <c r="O34" s="39">
        <f t="shared" si="181"/>
        <v>0.45642857142857141</v>
      </c>
      <c r="P34" s="129">
        <f>AVERAGEIFS(P$36:P$173,$C$36:$C$173,"=5", $B$36:$B$173,"NO OFICIAL")</f>
        <v>54.5</v>
      </c>
      <c r="Q34" s="129">
        <f>AVERAGEIFS(Q$36:Q$173,$C$36:$C$173,"=5", $B$36:$B$173,"NO OFICIAL")</f>
        <v>8.7857142857142865</v>
      </c>
      <c r="R34" s="39">
        <f>AVERAGEIFS(R$36:R$173,$C$36:$C$173,"=5", $B$36:$B$173,"NO OFICIAL")</f>
        <v>8.4285714285714297E-2</v>
      </c>
      <c r="S34" s="39">
        <f t="shared" ref="S34:AA34" si="182">AVERAGEIFS(S$36:S$173,$C$36:$C$173,"=5", $B$36:$B$173,"NO OFICIAL")</f>
        <v>0.42642857142857143</v>
      </c>
      <c r="T34" s="39">
        <f t="shared" si="182"/>
        <v>0.46785714285714297</v>
      </c>
      <c r="U34" s="39">
        <f t="shared" si="182"/>
        <v>2.1428571428571432E-2</v>
      </c>
      <c r="V34" s="39">
        <f t="shared" si="182"/>
        <v>0.35214285714285704</v>
      </c>
      <c r="W34" s="39">
        <f t="shared" si="182"/>
        <v>0.42142857142857143</v>
      </c>
      <c r="X34" s="39">
        <f t="shared" si="182"/>
        <v>0.50785714285714278</v>
      </c>
      <c r="Y34" s="39">
        <f t="shared" si="182"/>
        <v>0.39500000000000002</v>
      </c>
      <c r="Z34" s="39">
        <f t="shared" si="182"/>
        <v>0.38071428571428578</v>
      </c>
      <c r="AA34" s="39">
        <f t="shared" si="182"/>
        <v>0.44214285714285712</v>
      </c>
      <c r="AB34" s="129">
        <f>AVERAGEIFS(AB$36:AB$173,$C$36:$C$173,"=5", $B$36:$B$173,"NO OFICIAL")</f>
        <v>53</v>
      </c>
      <c r="AC34" s="129">
        <f>AVERAGEIFS(AC$36:AC$173,$C$36:$C$173,"=5", $B$36:$B$173,"NO OFICIAL")</f>
        <v>9.2666666666666675</v>
      </c>
      <c r="AD34" s="39">
        <f>AVERAGEIFS(AD$36:AD$173,$C$36:$C$173,"=5", $B$36:$B$173,"NO OFICIAL")</f>
        <v>0.10333333333333335</v>
      </c>
      <c r="AE34" s="39">
        <f t="shared" ref="AE34:AM34" si="183">AVERAGEIFS(AE$36:AE$173,$C$36:$C$173,"=5", $B$36:$B$173,"NO OFICIAL")</f>
        <v>0.45200000000000001</v>
      </c>
      <c r="AF34" s="39">
        <f t="shared" si="183"/>
        <v>0.41000000000000003</v>
      </c>
      <c r="AG34" s="39">
        <f t="shared" si="183"/>
        <v>3.6000000000000004E-2</v>
      </c>
      <c r="AH34" s="39">
        <f t="shared" si="183"/>
        <v>0.39066666666666661</v>
      </c>
      <c r="AI34" s="39">
        <f t="shared" si="183"/>
        <v>0.38666666666666671</v>
      </c>
      <c r="AJ34" s="39">
        <f t="shared" si="183"/>
        <v>0.34</v>
      </c>
      <c r="AK34" s="39">
        <f t="shared" si="183"/>
        <v>0.43333333333333329</v>
      </c>
      <c r="AL34" s="39">
        <f t="shared" si="183"/>
        <v>0.5006666666666667</v>
      </c>
      <c r="AM34" s="39">
        <f t="shared" si="183"/>
        <v>0.48000000000000004</v>
      </c>
      <c r="AN34" s="129">
        <f>AVERAGEIFS(AN$36:AN$173,$C$36:$C$173,"=5", $B$36:$B$173,"NO OFICIAL")</f>
        <v>50.5</v>
      </c>
      <c r="AO34" s="129">
        <f>AVERAGEIFS(AO$36:AO$173,$C$36:$C$173,"=5", $B$36:$B$173,"NO OFICIAL")</f>
        <v>10.3125</v>
      </c>
      <c r="AP34" s="39">
        <f>AVERAGEIFS(AP$36:AP$173,$C$36:$C$173,"=5", $B$36:$B$173,"NO OFICIAL")</f>
        <v>0.18687500000000001</v>
      </c>
      <c r="AQ34" s="39">
        <f t="shared" ref="AQ34:AY34" si="184">AVERAGEIFS(AQ$36:AQ$173,$C$36:$C$173,"=5", $B$36:$B$173,"NO OFICIAL")</f>
        <v>0.47062499999999996</v>
      </c>
      <c r="AR34" s="39">
        <f t="shared" si="184"/>
        <v>0.31687500000000002</v>
      </c>
      <c r="AS34" s="39">
        <f t="shared" si="184"/>
        <v>2.75E-2</v>
      </c>
      <c r="AT34" s="39">
        <f t="shared" si="184"/>
        <v>0.48625000000000002</v>
      </c>
      <c r="AU34" s="39">
        <f t="shared" si="184"/>
        <v>0.44125000000000003</v>
      </c>
      <c r="AV34" s="39">
        <f t="shared" si="184"/>
        <v>0.42374999999999996</v>
      </c>
      <c r="AW34" s="39">
        <f t="shared" si="184"/>
        <v>0.4393749999999999</v>
      </c>
      <c r="AX34" s="39">
        <f t="shared" si="184"/>
        <v>0.43125000000000002</v>
      </c>
      <c r="AY34" s="39">
        <f t="shared" si="184"/>
        <v>0.4381250000000001</v>
      </c>
      <c r="AZ34" s="129">
        <f>AVERAGEIFS(AZ$36:AZ$173,$C$36:$C$173,"=5", $B$36:$B$173,"NO OFICIAL")</f>
        <v>54.133333333333333</v>
      </c>
      <c r="BA34" s="129">
        <f>AVERAGEIFS(BA$36:BA$173,$C$36:$C$173,"=5", $B$36:$B$173,"NO OFICIAL")</f>
        <v>8.8666666666666671</v>
      </c>
      <c r="BB34" s="39">
        <f>AVERAGEIFS(BB$36:BB$173,$C$36:$C$173,"=5", $B$36:$B$173,"NO OFICIAL")</f>
        <v>8.6000000000000021E-2</v>
      </c>
      <c r="BC34" s="39">
        <f t="shared" ref="BC34:BK34" si="185">AVERAGEIFS(BC$36:BC$173,$C$36:$C$173,"=5", $B$36:$B$173,"NO OFICIAL")</f>
        <v>0.44133333333333336</v>
      </c>
      <c r="BD34" s="39">
        <f t="shared" si="185"/>
        <v>0.45066666666666666</v>
      </c>
      <c r="BE34" s="39">
        <f t="shared" si="185"/>
        <v>2.2666666666666672E-2</v>
      </c>
      <c r="BF34" s="39">
        <f t="shared" si="185"/>
        <v>0.39466666666666661</v>
      </c>
      <c r="BG34" s="39">
        <f t="shared" si="185"/>
        <v>0.40933333333333333</v>
      </c>
      <c r="BH34" s="39">
        <f t="shared" si="185"/>
        <v>0.39066666666666677</v>
      </c>
      <c r="BI34" s="39">
        <f t="shared" si="185"/>
        <v>0.45800000000000002</v>
      </c>
      <c r="BJ34" s="39">
        <f t="shared" si="185"/>
        <v>0.35533333333333333</v>
      </c>
      <c r="BK34" s="39">
        <f t="shared" si="185"/>
        <v>0.35199999999999998</v>
      </c>
      <c r="BL34" s="129">
        <f>AVERAGEIFS(BL$36:BL$173,$C$36:$C$173,"=5", $B$36:$B$173,"NO OFICIAL")</f>
        <v>52.466666666666669</v>
      </c>
      <c r="BN34" s="129">
        <f>AVERAGEIFS(BN$36:BN$173,$C$36:$C$173,"=5", $B$36:$B$173,"NO OFICIAL")</f>
        <v>10.199999999999999</v>
      </c>
      <c r="BP34" s="39">
        <f>AVERAGEIFS(BP$36:BP$173,$C$36:$C$173,"=5", $B$36:$B$173,"NO OFICIAL")</f>
        <v>0.15066666666666664</v>
      </c>
      <c r="BQ34" s="39">
        <f t="shared" ref="BQ34:BY34" si="186">AVERAGEIFS(BQ$36:BQ$173,$C$36:$C$173,"=5", $B$36:$B$173,"NO OFICIAL")</f>
        <v>0.43600000000000005</v>
      </c>
      <c r="BR34" s="39">
        <f t="shared" si="186"/>
        <v>0.37333333333333335</v>
      </c>
      <c r="BS34" s="39">
        <f t="shared" si="186"/>
        <v>3.8666666666666669E-2</v>
      </c>
      <c r="BT34" s="39">
        <f t="shared" si="186"/>
        <v>0.39400000000000007</v>
      </c>
      <c r="BU34" s="39">
        <f t="shared" si="186"/>
        <v>0.42800000000000005</v>
      </c>
      <c r="BV34" s="39">
        <f t="shared" si="186"/>
        <v>0.46333333333333326</v>
      </c>
      <c r="BW34" s="39">
        <f t="shared" si="186"/>
        <v>0.38600000000000012</v>
      </c>
      <c r="BX34" s="39">
        <f t="shared" si="186"/>
        <v>0.42066666666666669</v>
      </c>
      <c r="BY34" s="39">
        <f t="shared" si="186"/>
        <v>0.48399999999999993</v>
      </c>
      <c r="BZ34" s="129">
        <f>AVERAGEIFS(BZ$36:BZ$173,$C$36:$C$173,"=5", $B$36:$B$173,"NO OFICIAL")</f>
        <v>53.571428571428569</v>
      </c>
      <c r="CB34" s="129">
        <f>AVERAGEIFS(CB$36:CB$173,$C$36:$C$173,"=5", $B$36:$B$173,"NO OFICIAL")</f>
        <v>9.5714285714285712</v>
      </c>
      <c r="CD34" s="342">
        <f>AVERAGEIFS(CD$36:CD$173,$C$36:$C$173,"=5", $B$36:$B$173,"NO OFICIAL")</f>
        <v>0.13214285714285717</v>
      </c>
      <c r="CE34" s="342">
        <f t="shared" ref="CE34:CM34" si="187">AVERAGEIFS(CE$36:CE$173,$C$36:$C$173,"=5", $B$36:$B$173,"NO OFICIAL")</f>
        <v>0.41571428571428581</v>
      </c>
      <c r="CF34" s="342">
        <f t="shared" si="187"/>
        <v>0.42857142857142855</v>
      </c>
      <c r="CG34" s="342">
        <f t="shared" si="187"/>
        <v>2.4285714285714292E-2</v>
      </c>
      <c r="CH34" s="342">
        <f t="shared" si="187"/>
        <v>0.46785714285714286</v>
      </c>
      <c r="CI34" s="342">
        <f t="shared" si="187"/>
        <v>0.32571428571428568</v>
      </c>
      <c r="CJ34" s="342">
        <f t="shared" si="187"/>
        <v>0.50857142857142856</v>
      </c>
      <c r="CK34" s="342">
        <f t="shared" si="187"/>
        <v>0.49785714285714289</v>
      </c>
      <c r="CL34" s="342">
        <f t="shared" si="187"/>
        <v>0.3828571428571429</v>
      </c>
      <c r="CM34" s="342">
        <f t="shared" si="187"/>
        <v>0.51142857142857145</v>
      </c>
      <c r="CN34" s="129">
        <f>AVERAGEIFS(CN$36:CN$173,$C$36:$C$173,"=5", $B$36:$B$173,"NO OFICIAL")</f>
        <v>54.142857142857146</v>
      </c>
      <c r="CP34" s="129">
        <f>AVERAGEIFS(CP$36:CP$173,$C$36:$C$173,"=5", $B$36:$B$173,"NO OFICIAL")</f>
        <v>9.7142857142857135</v>
      </c>
      <c r="CR34" s="342">
        <f>AVERAGEIFS(CR$36:CR$173,$C$36:$C$173,"=5", $B$36:$B$173,"NO OFICIAL")</f>
        <v>9.0000000000000011E-2</v>
      </c>
      <c r="CS34" s="342">
        <f t="shared" ref="CS34:DB34" si="188">AVERAGEIFS(CS$36:CS$173,$C$36:$C$173,"=5", $B$36:$B$173,"NO OFICIAL")</f>
        <v>0.45999999999999991</v>
      </c>
      <c r="CT34" s="342">
        <f t="shared" si="188"/>
        <v>0.39928571428571435</v>
      </c>
      <c r="CU34" s="342">
        <f t="shared" si="188"/>
        <v>5.4285714285714284E-2</v>
      </c>
      <c r="CV34" s="342">
        <f t="shared" si="188"/>
        <v>0.30214285714285716</v>
      </c>
      <c r="CW34" s="342">
        <f t="shared" si="188"/>
        <v>0.46642857142857147</v>
      </c>
      <c r="CX34" s="342">
        <f t="shared" si="188"/>
        <v>0.49857142857142855</v>
      </c>
      <c r="CY34" s="342">
        <f t="shared" si="188"/>
        <v>0.58285714285714274</v>
      </c>
      <c r="CZ34" s="342">
        <f t="shared" si="188"/>
        <v>0.45142857142857146</v>
      </c>
      <c r="DA34" s="342">
        <f t="shared" si="188"/>
        <v>0.50000000000000011</v>
      </c>
      <c r="DB34" s="490">
        <f t="shared" si="188"/>
        <v>52.333333333333336</v>
      </c>
      <c r="DC34" s="495"/>
      <c r="DD34" s="300">
        <f>AVERAGEIFS(DD$36:DD$173,$C$36:$C$173,"=5", $B$36:$B$173,"NO OFICIAL")</f>
        <v>9.4666666666666668</v>
      </c>
      <c r="DE34" s="495"/>
      <c r="DF34" s="343">
        <f t="shared" ref="DF34:DN34" si="189">AVERAGEIFS(DF$36:DF$173,$C$36:$C$173,"=5", $B$36:$B$173,"NO OFICIAL")</f>
        <v>0.15133333333333335</v>
      </c>
      <c r="DG34" s="343">
        <f t="shared" si="189"/>
        <v>0.40800000000000003</v>
      </c>
      <c r="DH34" s="343">
        <f t="shared" si="189"/>
        <v>0.40399999999999997</v>
      </c>
      <c r="DI34" s="343">
        <f t="shared" si="189"/>
        <v>3.4000000000000002E-2</v>
      </c>
      <c r="DJ34" s="343">
        <f>AVERAGEIFS(DJ$36:DJ$173,$C$36:$C$173,"=5", $B$36:$B$173,"NO OFICIAL")</f>
        <v>0.45466666666666672</v>
      </c>
      <c r="DK34" s="343">
        <f>AVERAGEIFS(DK$36:DK$173,$C$36:$C$173,"=5", $B$36:$B$173,"NO OFICIAL")</f>
        <v>0.4413333333333333</v>
      </c>
      <c r="DL34" s="343">
        <f t="shared" si="189"/>
        <v>0.44600000000000001</v>
      </c>
      <c r="DM34" s="343">
        <f t="shared" si="189"/>
        <v>0.61599999999999988</v>
      </c>
      <c r="DN34" s="343">
        <f t="shared" si="189"/>
        <v>0.50466666666666671</v>
      </c>
      <c r="DO34" s="343">
        <f>AVERAGEIFS(DO$36:DO$173,$C$36:$C$173,"=5", $B$36:$B$173,"NO OFICIAL")</f>
        <v>0.40133333333333338</v>
      </c>
      <c r="DP34" s="129">
        <f>AVERAGEIFS(DP$36:DP$173,$C$36:$C$173,"=5", $B$36:$B$173,"NO OFICIAL")</f>
        <v>52.533333333333331</v>
      </c>
      <c r="DQ34" s="896"/>
      <c r="DR34" s="129">
        <f>AVERAGEIFS(DR$36:DR$173,$C$36:$C$173,"=5", $B$36:$B$173,"NO OFICIAL")</f>
        <v>10.066666666666666</v>
      </c>
      <c r="DS34" s="896"/>
      <c r="DT34" s="342">
        <f>AVERAGEIFS(DT$36:DT$173,$C$36:$C$173,"=5", $B$36:$B$173,"NO OFICIAL")</f>
        <v>0.15</v>
      </c>
      <c r="DU34" s="342">
        <f t="shared" ref="DU34:EC34" si="190">AVERAGEIFS(DU$36:DU$173,$C$36:$C$173,"=5", $B$36:$B$173,"NO OFICIAL")</f>
        <v>0.43533333333333329</v>
      </c>
      <c r="DV34" s="342">
        <f t="shared" si="190"/>
        <v>0.37733333333333335</v>
      </c>
      <c r="DW34" s="342">
        <f t="shared" si="190"/>
        <v>3.7999999999999999E-2</v>
      </c>
      <c r="DX34" s="342">
        <f t="shared" si="190"/>
        <v>0.4366666666666667</v>
      </c>
      <c r="DY34" s="342">
        <f t="shared" si="190"/>
        <v>0.33133333333333326</v>
      </c>
      <c r="DZ34" s="342">
        <f t="shared" si="190"/>
        <v>0.66866666666666674</v>
      </c>
      <c r="EA34" s="342">
        <f t="shared" si="190"/>
        <v>0.436</v>
      </c>
      <c r="EB34" s="342">
        <f t="shared" si="190"/>
        <v>0.52400000000000013</v>
      </c>
      <c r="EC34" s="342">
        <f t="shared" si="190"/>
        <v>0.35533333333333339</v>
      </c>
    </row>
    <row r="35" spans="1:135" ht="24.95" customHeight="1" x14ac:dyDescent="0.2">
      <c r="A35" s="6" t="s">
        <v>787</v>
      </c>
      <c r="B35" s="299"/>
      <c r="C35" s="299"/>
      <c r="D35" s="129">
        <f>AVERAGEIFS(D$36:D$173,$C$36:$C$173,"=6", $B$36:$B$173,"NO OFICIAL")</f>
        <v>52.636363636363633</v>
      </c>
      <c r="E35" s="129">
        <f>AVERAGEIFS(E$36:E$173,$C$36:$C$173,"=6", $B$36:$B$173,"NO OFICIAL")</f>
        <v>7.1818181818181817</v>
      </c>
      <c r="F35" s="39">
        <f>AVERAGEIFS(F$36:F$173,$C$36:$C$173,"=6", $B$36:$B$173,"NO OFICIAL")</f>
        <v>0.13909090909090913</v>
      </c>
      <c r="G35" s="39">
        <f t="shared" ref="G35:O35" si="191">AVERAGEIFS(G$36:G$173,$C$36:$C$173,"=6", $B$36:$B$173,"NO OFICIAL")</f>
        <v>0.43818181818181812</v>
      </c>
      <c r="H35" s="39">
        <f t="shared" si="191"/>
        <v>0.40818181818181815</v>
      </c>
      <c r="I35" s="39">
        <f t="shared" si="191"/>
        <v>1.5454545454545455E-2</v>
      </c>
      <c r="J35" s="39">
        <f t="shared" si="191"/>
        <v>0.49636363636363645</v>
      </c>
      <c r="K35" s="39">
        <f t="shared" si="191"/>
        <v>0.4745454545454546</v>
      </c>
      <c r="L35" s="39">
        <f t="shared" si="191"/>
        <v>0.5127272727272727</v>
      </c>
      <c r="M35" s="39">
        <f t="shared" si="191"/>
        <v>0.40545454545454551</v>
      </c>
      <c r="N35" s="39">
        <f t="shared" si="191"/>
        <v>0.42636363636363639</v>
      </c>
      <c r="O35" s="39">
        <f t="shared" si="191"/>
        <v>0.50363636363636377</v>
      </c>
      <c r="P35" s="129">
        <f>AVERAGEIFS(P$36:P$173,$C$36:$C$173,"=6", $B$36:$B$173,"NO OFICIAL")</f>
        <v>50.81818181818182</v>
      </c>
      <c r="Q35" s="129">
        <f>AVERAGEIFS(Q$36:Q$173,$C$36:$C$173,"=6", $B$36:$B$173,"NO OFICIAL")</f>
        <v>9.545454545454545</v>
      </c>
      <c r="R35" s="39">
        <f>AVERAGEIFS(R$36:R$173,$C$36:$C$173,"=6", $B$36:$B$173,"NO OFICIAL")</f>
        <v>0.16090909090909092</v>
      </c>
      <c r="S35" s="39">
        <f t="shared" ref="S35:AA35" si="192">AVERAGEIFS(S$36:S$173,$C$36:$C$173,"=6", $B$36:$B$173,"NO OFICIAL")</f>
        <v>0.49</v>
      </c>
      <c r="T35" s="39">
        <f t="shared" si="192"/>
        <v>0.33454545454545453</v>
      </c>
      <c r="U35" s="39">
        <f t="shared" si="192"/>
        <v>1.7272727272727273E-2</v>
      </c>
      <c r="V35" s="39">
        <f t="shared" si="192"/>
        <v>0.39090909090909087</v>
      </c>
      <c r="W35" s="39">
        <f t="shared" si="192"/>
        <v>0.49090909090909085</v>
      </c>
      <c r="X35" s="39">
        <f t="shared" si="192"/>
        <v>0.54999999999999993</v>
      </c>
      <c r="Y35" s="39">
        <f t="shared" si="192"/>
        <v>0.46727272727272723</v>
      </c>
      <c r="Z35" s="39">
        <f t="shared" si="192"/>
        <v>0.45</v>
      </c>
      <c r="AA35" s="39">
        <f t="shared" si="192"/>
        <v>0.52</v>
      </c>
      <c r="AB35" s="129">
        <f>AVERAGEIFS(AB$36:AB$173,$C$36:$C$173,"=6", $B$36:$B$173,"NO OFICIAL")</f>
        <v>51.7</v>
      </c>
      <c r="AC35" s="129">
        <f>AVERAGEIFS(AC$36:AC$173,$C$36:$C$173,"=6", $B$36:$B$173,"NO OFICIAL")</f>
        <v>10.3</v>
      </c>
      <c r="AD35" s="39">
        <f>AVERAGEIFS(AD$36:AD$173,$C$36:$C$173,"=6", $B$36:$B$173,"NO OFICIAL")</f>
        <v>0.155</v>
      </c>
      <c r="AE35" s="39">
        <f t="shared" ref="AE35:AM35" si="193">AVERAGEIFS(AE$36:AE$173,$C$36:$C$173,"=6", $B$36:$B$173,"NO OFICIAL")</f>
        <v>0.51300000000000001</v>
      </c>
      <c r="AF35" s="39">
        <f t="shared" si="193"/>
        <v>0.30299999999999999</v>
      </c>
      <c r="AG35" s="39">
        <f t="shared" si="193"/>
        <v>3.0000000000000006E-2</v>
      </c>
      <c r="AH35" s="39">
        <f t="shared" si="193"/>
        <v>0.38500000000000001</v>
      </c>
      <c r="AI35" s="39">
        <f t="shared" si="193"/>
        <v>0.42299999999999993</v>
      </c>
      <c r="AJ35" s="39">
        <f t="shared" si="193"/>
        <v>0.35100000000000003</v>
      </c>
      <c r="AK35" s="39">
        <f t="shared" si="193"/>
        <v>0.45799999999999991</v>
      </c>
      <c r="AL35" s="39">
        <f t="shared" si="193"/>
        <v>0.53400000000000003</v>
      </c>
      <c r="AM35" s="39">
        <f t="shared" si="193"/>
        <v>0.52500000000000002</v>
      </c>
      <c r="AN35" s="129">
        <f>AVERAGEIFS(AN$36:AN$173,$C$36:$C$173,"=6", $B$36:$B$173,"NO OFICIAL")</f>
        <v>50.18181818181818</v>
      </c>
      <c r="AO35" s="129">
        <f>AVERAGEIFS(AO$36:AO$173,$C$36:$C$173,"=6", $B$36:$B$173,"NO OFICIAL")</f>
        <v>10</v>
      </c>
      <c r="AP35" s="39">
        <f>AVERAGEIFS(AP$36:AP$173,$C$36:$C$173,"=6", $B$36:$B$173,"NO OFICIAL")</f>
        <v>0.19090909090909092</v>
      </c>
      <c r="AQ35" s="39">
        <f t="shared" ref="AQ35:AY35" si="194">AVERAGEIFS(AQ$36:AQ$173,$C$36:$C$173,"=6", $B$36:$B$173,"NO OFICIAL")</f>
        <v>0.51181818181818184</v>
      </c>
      <c r="AR35" s="39">
        <f t="shared" si="194"/>
        <v>0.28363636363636363</v>
      </c>
      <c r="AS35" s="39">
        <f t="shared" si="194"/>
        <v>1.4545454545454549E-2</v>
      </c>
      <c r="AT35" s="39">
        <f t="shared" si="194"/>
        <v>0.52363636363636357</v>
      </c>
      <c r="AU35" s="39">
        <f t="shared" si="194"/>
        <v>0.43636363636363645</v>
      </c>
      <c r="AV35" s="39">
        <f t="shared" si="194"/>
        <v>0.43545454545454548</v>
      </c>
      <c r="AW35" s="39">
        <f t="shared" si="194"/>
        <v>0.43090909090909091</v>
      </c>
      <c r="AX35" s="39">
        <f t="shared" si="194"/>
        <v>0.44272727272727275</v>
      </c>
      <c r="AY35" s="39">
        <f t="shared" si="194"/>
        <v>0.46636363636363637</v>
      </c>
      <c r="AZ35" s="129">
        <f>AVERAGEIFS(AZ$36:AZ$173,$C$36:$C$173,"=6", $B$36:$B$173,"NO OFICIAL")</f>
        <v>49.92307692307692</v>
      </c>
      <c r="BA35" s="129">
        <f>AVERAGEIFS(BA$36:BA$173,$C$36:$C$173,"=6", $B$36:$B$173,"NO OFICIAL")</f>
        <v>9.1538461538461533</v>
      </c>
      <c r="BB35" s="39">
        <f>AVERAGEIFS(BB$36:BB$173,$C$36:$C$173,"=6", $B$36:$B$173,"NO OFICIAL")</f>
        <v>0.23538461538461536</v>
      </c>
      <c r="BC35" s="39">
        <f t="shared" ref="BC35:BK35" si="195">AVERAGEIFS(BC$36:BC$173,$C$36:$C$173,"=6", $B$36:$B$173,"NO OFICIAL")</f>
        <v>0.46923076923076934</v>
      </c>
      <c r="BD35" s="39">
        <f t="shared" si="195"/>
        <v>0.26384615384615384</v>
      </c>
      <c r="BE35" s="39">
        <f t="shared" si="195"/>
        <v>3.1538461538461543E-2</v>
      </c>
      <c r="BF35" s="39">
        <f t="shared" si="195"/>
        <v>0.47846153846153844</v>
      </c>
      <c r="BG35" s="39">
        <f t="shared" si="195"/>
        <v>0.47307692307692306</v>
      </c>
      <c r="BH35" s="39">
        <f t="shared" si="195"/>
        <v>0.4784615384615386</v>
      </c>
      <c r="BI35" s="39">
        <f t="shared" si="195"/>
        <v>0.55230769230769228</v>
      </c>
      <c r="BJ35" s="39">
        <f t="shared" si="195"/>
        <v>0.41000000000000003</v>
      </c>
      <c r="BK35" s="39">
        <f t="shared" si="195"/>
        <v>0.42153846153846158</v>
      </c>
      <c r="BL35" s="129">
        <f>AVERAGEIFS(BL$36:BL$173,$C$36:$C$173,"=6", $B$36:$B$173,"NO OFICIAL")</f>
        <v>49.692307692307693</v>
      </c>
      <c r="BN35" s="129">
        <f>AVERAGEIFS(BN$36:BN$173,$C$36:$C$173,"=6", $B$36:$B$173,"NO OFICIAL")</f>
        <v>8.8461538461538467</v>
      </c>
      <c r="BP35" s="39">
        <f>AVERAGEIFS(BP$36:BP$173,$C$36:$C$173,"=6", $B$36:$B$173,"NO OFICIAL")</f>
        <v>0.18076923076923082</v>
      </c>
      <c r="BQ35" s="39">
        <f t="shared" ref="BQ35:BY35" si="196">AVERAGEIFS(BQ$36:BQ$173,$C$36:$C$173,"=6", $B$36:$B$173,"NO OFICIAL")</f>
        <v>0.53384615384615397</v>
      </c>
      <c r="BR35" s="39">
        <f t="shared" si="196"/>
        <v>0.27461538461538459</v>
      </c>
      <c r="BS35" s="39">
        <f t="shared" si="196"/>
        <v>1.1538461538461537E-2</v>
      </c>
      <c r="BT35" s="39">
        <f t="shared" si="196"/>
        <v>0.39769230769230773</v>
      </c>
      <c r="BU35" s="39">
        <f t="shared" si="196"/>
        <v>0.47999999999999993</v>
      </c>
      <c r="BV35" s="39">
        <f t="shared" si="196"/>
        <v>0.52615384615384619</v>
      </c>
      <c r="BW35" s="39">
        <f t="shared" si="196"/>
        <v>0.43153846153846154</v>
      </c>
      <c r="BX35" s="39">
        <f t="shared" si="196"/>
        <v>0.47307692307692312</v>
      </c>
      <c r="BY35" s="39">
        <f t="shared" si="196"/>
        <v>0.55230769230769228</v>
      </c>
      <c r="BZ35" s="129">
        <f>AVERAGEIFS(BZ$36:BZ$173,$C$36:$C$173,"=6", $B$36:$B$173,"NO OFICIAL")</f>
        <v>50.533333333333331</v>
      </c>
      <c r="CB35" s="129">
        <f>AVERAGEIFS(CB$36:CB$173,$C$36:$C$173,"=6", $B$36:$B$173,"NO OFICIAL")</f>
        <v>10.933333333333334</v>
      </c>
      <c r="CD35" s="342">
        <f>AVERAGEIFS(CD$36:CD$173,$C$36:$C$173,"=6", $B$36:$B$173,"NO OFICIAL")</f>
        <v>0.23666666666666666</v>
      </c>
      <c r="CE35" s="342">
        <f t="shared" ref="CE35:CM35" si="197">AVERAGEIFS(CE$36:CE$173,$C$36:$C$173,"=6", $B$36:$B$173,"NO OFICIAL")</f>
        <v>0.37666666666666671</v>
      </c>
      <c r="CF35" s="342">
        <f t="shared" si="197"/>
        <v>0.34666666666666668</v>
      </c>
      <c r="CG35" s="342">
        <f t="shared" si="197"/>
        <v>4.066666666666667E-2</v>
      </c>
      <c r="CH35" s="342">
        <f t="shared" si="197"/>
        <v>0.47600000000000009</v>
      </c>
      <c r="CI35" s="342">
        <f t="shared" si="197"/>
        <v>0.36599999999999999</v>
      </c>
      <c r="CJ35" s="342">
        <f t="shared" si="197"/>
        <v>0.56599999999999995</v>
      </c>
      <c r="CK35" s="342">
        <f t="shared" si="197"/>
        <v>0.52933333333333343</v>
      </c>
      <c r="CL35" s="342">
        <f t="shared" si="197"/>
        <v>0.46400000000000008</v>
      </c>
      <c r="CM35" s="342">
        <f t="shared" si="197"/>
        <v>0.54266666666666663</v>
      </c>
      <c r="CN35" s="129">
        <f>AVERAGEIFS(CN$36:CN$173,$C$36:$C$173,"=6", $B$36:$B$173,"NO OFICIAL")</f>
        <v>52.0625</v>
      </c>
      <c r="CP35" s="129">
        <f>AVERAGEIFS(CP$36:CP$173,$C$36:$C$173,"=6", $B$36:$B$173,"NO OFICIAL")</f>
        <v>8.25</v>
      </c>
      <c r="CR35" s="342">
        <f>AVERAGEIFS(CR$36:CR$173,$C$36:$C$173,"=6", $B$36:$B$173,"NO OFICIAL")</f>
        <v>0.13500000000000001</v>
      </c>
      <c r="CS35" s="342">
        <f t="shared" ref="CS35:DB35" si="198">AVERAGEIFS(CS$36:CS$173,$C$36:$C$173,"=6", $B$36:$B$173,"NO OFICIAL")</f>
        <v>0.49687499999999996</v>
      </c>
      <c r="CT35" s="342">
        <f t="shared" si="198"/>
        <v>0.34875</v>
      </c>
      <c r="CU35" s="342">
        <f t="shared" si="198"/>
        <v>1.8124999999999999E-2</v>
      </c>
      <c r="CV35" s="342">
        <f t="shared" si="198"/>
        <v>0.33999999999999997</v>
      </c>
      <c r="CW35" s="342">
        <f t="shared" si="198"/>
        <v>0.49374999999999997</v>
      </c>
      <c r="CX35" s="342">
        <f t="shared" si="198"/>
        <v>0.50249999999999995</v>
      </c>
      <c r="CY35" s="342">
        <f t="shared" si="198"/>
        <v>0.676875</v>
      </c>
      <c r="CZ35" s="342">
        <f t="shared" si="198"/>
        <v>0.56687500000000002</v>
      </c>
      <c r="DA35" s="342">
        <f t="shared" si="198"/>
        <v>0.50124999999999997</v>
      </c>
      <c r="DB35" s="490">
        <f t="shared" si="198"/>
        <v>51.357142857142854</v>
      </c>
      <c r="DC35" s="495"/>
      <c r="DD35" s="300">
        <f>AVERAGEIFS(DD$36:DD$173,$C$36:$C$173,"=6", $B$36:$B$173,"NO OFICIAL")</f>
        <v>10.142857142857142</v>
      </c>
      <c r="DE35" s="495"/>
      <c r="DF35" s="343">
        <f t="shared" ref="DF35:DN35" si="199">AVERAGEIFS(DF$36:DF$173,$C$36:$C$173,"=6", $B$36:$B$173,"NO OFICIAL")</f>
        <v>0.20142857142857143</v>
      </c>
      <c r="DG35" s="343">
        <f t="shared" si="199"/>
        <v>0.42</v>
      </c>
      <c r="DH35" s="343">
        <f t="shared" si="199"/>
        <v>0.34500000000000003</v>
      </c>
      <c r="DI35" s="343">
        <f t="shared" si="199"/>
        <v>3.6428571428571428E-2</v>
      </c>
      <c r="DJ35" s="343">
        <f>AVERAGEIFS(DJ$36:DJ$173,$C$36:$C$173,"=6", $B$36:$B$173,"NO OFICIAL")</f>
        <v>0.4835714285714286</v>
      </c>
      <c r="DK35" s="343">
        <f>AVERAGEIFS(DK$36:DK$173,$C$36:$C$173,"=6", $B$36:$B$173,"NO OFICIAL")</f>
        <v>0.47142857142857142</v>
      </c>
      <c r="DL35" s="343">
        <f t="shared" si="199"/>
        <v>0.46357142857142852</v>
      </c>
      <c r="DM35" s="343">
        <f t="shared" si="199"/>
        <v>0.61214285714285699</v>
      </c>
      <c r="DN35" s="343">
        <f t="shared" si="199"/>
        <v>0.51714285714285724</v>
      </c>
      <c r="DO35" s="343">
        <f>AVERAGEIFS(DO$36:DO$173,$C$36:$C$173,"=6", $B$36:$B$173,"NO OFICIAL")</f>
        <v>0.35142857142857142</v>
      </c>
      <c r="DP35" s="129">
        <f>AVERAGEIFS(DP$36:DP$173,$C$36:$C$173,"=6", $B$36:$B$173,"NO OFICIAL")</f>
        <v>52</v>
      </c>
      <c r="DQ35" s="896"/>
      <c r="DR35" s="129">
        <f>AVERAGEIFS(DR$36:DR$173,$C$36:$C$173,"=6", $B$36:$B$173,"NO OFICIAL")</f>
        <v>10.266666666666667</v>
      </c>
      <c r="DS35" s="896"/>
      <c r="DT35" s="342">
        <f>AVERAGEIFS(DT$36:DT$173,$C$36:$C$173,"=6", $B$36:$B$173,"NO OFICIAL")</f>
        <v>0.17533333333333337</v>
      </c>
      <c r="DU35" s="342">
        <f t="shared" ref="DU35:EC35" si="200">AVERAGEIFS(DU$36:DU$173,$C$36:$C$173,"=6", $B$36:$B$173,"NO OFICIAL")</f>
        <v>0.41600000000000004</v>
      </c>
      <c r="DV35" s="342">
        <f t="shared" si="200"/>
        <v>0.35533333333333333</v>
      </c>
      <c r="DW35" s="342">
        <f t="shared" si="200"/>
        <v>5.3333333333333337E-2</v>
      </c>
      <c r="DX35" s="342">
        <f t="shared" si="200"/>
        <v>0.46733333333333332</v>
      </c>
      <c r="DY35" s="342">
        <f t="shared" si="200"/>
        <v>0.34</v>
      </c>
      <c r="DZ35" s="342">
        <f t="shared" si="200"/>
        <v>0.58066666666666678</v>
      </c>
      <c r="EA35" s="342">
        <f t="shared" si="200"/>
        <v>0.45600000000000013</v>
      </c>
      <c r="EB35" s="342">
        <f t="shared" si="200"/>
        <v>0.53933333333333333</v>
      </c>
      <c r="EC35" s="342">
        <f t="shared" si="200"/>
        <v>0.34133333333333332</v>
      </c>
    </row>
    <row r="36" spans="1:135" ht="24.95" customHeight="1" x14ac:dyDescent="0.2">
      <c r="A36" s="126" t="s">
        <v>23</v>
      </c>
      <c r="B36" s="1" t="s">
        <v>123</v>
      </c>
      <c r="C36" s="2">
        <v>2</v>
      </c>
      <c r="D36" s="12">
        <v>51</v>
      </c>
      <c r="E36" s="12">
        <v>9</v>
      </c>
      <c r="F36" s="63">
        <v>0.14000000000000001</v>
      </c>
      <c r="G36" s="63">
        <v>0.54</v>
      </c>
      <c r="H36" s="63">
        <v>0.32</v>
      </c>
      <c r="I36" s="63">
        <v>0</v>
      </c>
      <c r="J36" s="63">
        <v>0.53</v>
      </c>
      <c r="K36" s="63">
        <v>0.47</v>
      </c>
      <c r="L36" s="63">
        <v>0.53</v>
      </c>
      <c r="M36" s="63">
        <v>0.4</v>
      </c>
      <c r="N36" s="63">
        <v>0.49</v>
      </c>
      <c r="O36" s="63">
        <v>0.46</v>
      </c>
      <c r="P36" s="12">
        <v>53</v>
      </c>
      <c r="Q36" s="12">
        <v>9</v>
      </c>
      <c r="R36" s="61">
        <v>0.1</v>
      </c>
      <c r="S36" s="61">
        <v>0.52</v>
      </c>
      <c r="T36" s="61">
        <v>0.37</v>
      </c>
      <c r="U36" s="61">
        <v>0.01</v>
      </c>
      <c r="V36" s="61">
        <v>0.39</v>
      </c>
      <c r="W36" s="61">
        <v>0.47</v>
      </c>
      <c r="X36" s="61">
        <v>0.54</v>
      </c>
      <c r="Y36" s="61">
        <v>0.41</v>
      </c>
      <c r="Z36" s="61">
        <v>0.41</v>
      </c>
      <c r="AA36" s="61">
        <v>0.49</v>
      </c>
      <c r="AB36" s="12">
        <v>50</v>
      </c>
      <c r="AC36" s="12">
        <v>10</v>
      </c>
      <c r="AD36" s="63">
        <v>0.22</v>
      </c>
      <c r="AE36" s="63">
        <v>0.48</v>
      </c>
      <c r="AF36" s="63">
        <v>0.31</v>
      </c>
      <c r="AG36" s="63">
        <v>0</v>
      </c>
      <c r="AH36" s="63">
        <v>0.43</v>
      </c>
      <c r="AI36" s="63">
        <v>0.44</v>
      </c>
      <c r="AJ36" s="63">
        <v>0.4</v>
      </c>
      <c r="AK36" s="63">
        <v>0.49</v>
      </c>
      <c r="AL36" s="63">
        <v>0.55000000000000004</v>
      </c>
      <c r="AM36" s="63">
        <v>0.54</v>
      </c>
      <c r="AN36" s="12">
        <v>49</v>
      </c>
      <c r="AO36" s="12">
        <v>11</v>
      </c>
      <c r="AP36" s="63">
        <v>0.25</v>
      </c>
      <c r="AQ36" s="63">
        <v>0.44</v>
      </c>
      <c r="AR36" s="63">
        <v>0.3</v>
      </c>
      <c r="AS36" s="63">
        <v>0.01</v>
      </c>
      <c r="AT36" s="63">
        <v>0.49</v>
      </c>
      <c r="AU36" s="63">
        <v>0.46</v>
      </c>
      <c r="AV36" s="63">
        <v>0.47</v>
      </c>
      <c r="AW36" s="63">
        <v>0.46</v>
      </c>
      <c r="AX36" s="63">
        <v>0.46</v>
      </c>
      <c r="AY36" s="63">
        <v>0.45</v>
      </c>
      <c r="AZ36" s="35">
        <v>50</v>
      </c>
      <c r="BA36" s="35">
        <v>11</v>
      </c>
      <c r="BB36" s="40">
        <v>0.19</v>
      </c>
      <c r="BC36" s="40">
        <v>0.53</v>
      </c>
      <c r="BD36" s="40">
        <v>0.25</v>
      </c>
      <c r="BE36" s="40">
        <v>0.03</v>
      </c>
      <c r="BF36" s="40">
        <v>0.53</v>
      </c>
      <c r="BG36" s="40">
        <v>0.45</v>
      </c>
      <c r="BH36" s="40">
        <v>0.48</v>
      </c>
      <c r="BI36" s="40">
        <v>0.56000000000000005</v>
      </c>
      <c r="BJ36" s="40">
        <v>0.4</v>
      </c>
      <c r="BK36" s="40">
        <v>0.42</v>
      </c>
      <c r="BL36" s="246">
        <v>50</v>
      </c>
      <c r="BM36" s="246" t="s">
        <v>758</v>
      </c>
      <c r="BN36" s="246">
        <v>10</v>
      </c>
      <c r="BO36" s="246" t="s">
        <v>758</v>
      </c>
      <c r="BP36" s="263">
        <v>0.14000000000000001</v>
      </c>
      <c r="BQ36" s="263">
        <v>0.65</v>
      </c>
      <c r="BR36" s="263">
        <v>0.17</v>
      </c>
      <c r="BS36" s="263">
        <v>0.04</v>
      </c>
      <c r="BT36" s="263">
        <v>0.42</v>
      </c>
      <c r="BU36" s="263">
        <v>0.48</v>
      </c>
      <c r="BV36" s="263">
        <v>0.55000000000000004</v>
      </c>
      <c r="BW36" s="263">
        <v>0.42</v>
      </c>
      <c r="BX36" s="263">
        <v>0.49</v>
      </c>
      <c r="BY36" s="263">
        <v>0.54</v>
      </c>
      <c r="ED36" s="922"/>
      <c r="EE36" s="126" t="s">
        <v>23</v>
      </c>
    </row>
    <row r="37" spans="1:135" ht="24.95" customHeight="1" x14ac:dyDescent="0.2">
      <c r="A37" s="739" t="s">
        <v>952</v>
      </c>
      <c r="B37" s="14" t="s">
        <v>123</v>
      </c>
      <c r="C37" s="735">
        <v>2</v>
      </c>
      <c r="D37" s="736"/>
      <c r="E37" s="736"/>
      <c r="F37" s="796"/>
      <c r="G37" s="796"/>
      <c r="H37" s="796"/>
      <c r="I37" s="796"/>
      <c r="J37" s="796"/>
      <c r="K37" s="796"/>
      <c r="L37" s="796"/>
      <c r="M37" s="796"/>
      <c r="N37" s="796"/>
      <c r="O37" s="796"/>
      <c r="P37" s="736"/>
      <c r="Q37" s="736"/>
      <c r="R37" s="797"/>
      <c r="S37" s="797"/>
      <c r="T37" s="797"/>
      <c r="U37" s="797"/>
      <c r="V37" s="797"/>
      <c r="W37" s="797"/>
      <c r="X37" s="797"/>
      <c r="Y37" s="797"/>
      <c r="Z37" s="797"/>
      <c r="AA37" s="797"/>
      <c r="AB37" s="736"/>
      <c r="AC37" s="736"/>
      <c r="AD37" s="796"/>
      <c r="AE37" s="796"/>
      <c r="AF37" s="796"/>
      <c r="AG37" s="796"/>
      <c r="AH37" s="796"/>
      <c r="AI37" s="796"/>
      <c r="AJ37" s="796"/>
      <c r="AK37" s="796"/>
      <c r="AL37" s="796"/>
      <c r="AM37" s="796"/>
      <c r="AN37" s="736"/>
      <c r="AO37" s="736"/>
      <c r="AP37" s="796"/>
      <c r="AQ37" s="796"/>
      <c r="AR37" s="796"/>
      <c r="AS37" s="796"/>
      <c r="AT37" s="796"/>
      <c r="AU37" s="796"/>
      <c r="AV37" s="796"/>
      <c r="AW37" s="796"/>
      <c r="AX37" s="796"/>
      <c r="AY37" s="796"/>
      <c r="AZ37" s="799"/>
      <c r="BA37" s="799"/>
      <c r="BB37" s="800"/>
      <c r="BC37" s="800"/>
      <c r="BD37" s="800"/>
      <c r="BE37" s="800"/>
      <c r="BF37" s="800"/>
      <c r="BG37" s="800"/>
      <c r="BH37" s="800"/>
      <c r="BI37" s="800"/>
      <c r="BJ37" s="800"/>
      <c r="BK37" s="800"/>
      <c r="BL37" s="801"/>
      <c r="BM37" s="801"/>
      <c r="BN37" s="801"/>
      <c r="BO37" s="801"/>
      <c r="BP37" s="802"/>
      <c r="BQ37" s="802"/>
      <c r="BR37" s="802"/>
      <c r="BS37" s="802"/>
      <c r="BT37" s="802"/>
      <c r="BU37" s="802"/>
      <c r="BV37" s="802"/>
      <c r="BW37" s="802"/>
      <c r="BX37" s="802"/>
      <c r="BY37" s="802"/>
      <c r="DP37" s="902">
        <v>58</v>
      </c>
      <c r="DQ37" s="902" t="s">
        <v>759</v>
      </c>
      <c r="DR37" s="902">
        <v>0</v>
      </c>
      <c r="DS37" s="902" t="s">
        <v>760</v>
      </c>
      <c r="DT37" s="949">
        <v>0</v>
      </c>
      <c r="DU37" s="949">
        <v>0</v>
      </c>
      <c r="DV37" s="949">
        <v>1</v>
      </c>
      <c r="DW37" s="949">
        <v>0</v>
      </c>
      <c r="DX37" s="949">
        <v>0.33</v>
      </c>
      <c r="DY37" s="949">
        <v>0.33</v>
      </c>
      <c r="DZ37" s="959" t="s">
        <v>173</v>
      </c>
      <c r="EA37" s="949">
        <v>0.25</v>
      </c>
      <c r="EB37" s="949">
        <v>0.6</v>
      </c>
      <c r="EC37" s="949">
        <v>0</v>
      </c>
      <c r="ED37" s="922">
        <v>325754800026</v>
      </c>
      <c r="EE37" s="739" t="s">
        <v>952</v>
      </c>
    </row>
    <row r="38" spans="1:135" ht="24.95" customHeight="1" x14ac:dyDescent="0.2">
      <c r="A38" s="36" t="s">
        <v>166</v>
      </c>
      <c r="B38" s="14" t="s">
        <v>123</v>
      </c>
      <c r="C38" s="2">
        <v>2</v>
      </c>
      <c r="D38" s="12"/>
      <c r="E38" s="12"/>
      <c r="F38" s="12"/>
      <c r="G38" s="12"/>
      <c r="H38" s="12"/>
      <c r="I38" s="12"/>
      <c r="J38" s="12"/>
      <c r="K38" s="12"/>
      <c r="L38" s="12"/>
      <c r="M38" s="12"/>
      <c r="N38" s="12"/>
      <c r="O38" s="12"/>
      <c r="P38" s="12" t="s">
        <v>126</v>
      </c>
      <c r="Q38" s="12" t="s">
        <v>126</v>
      </c>
      <c r="R38" s="61"/>
      <c r="S38" s="61"/>
      <c r="T38" s="61"/>
      <c r="U38" s="61"/>
      <c r="V38" s="61"/>
      <c r="W38" s="61"/>
      <c r="X38" s="61"/>
      <c r="Y38" s="61"/>
      <c r="Z38" s="61"/>
      <c r="AA38" s="61"/>
      <c r="AB38" s="12" t="s">
        <v>126</v>
      </c>
      <c r="AC38" s="12" t="s">
        <v>126</v>
      </c>
      <c r="AD38" s="2"/>
      <c r="AE38" s="2"/>
      <c r="AF38" s="2"/>
      <c r="AG38" s="2"/>
      <c r="AH38" s="2"/>
      <c r="AI38" s="2"/>
      <c r="AJ38" s="2"/>
      <c r="AK38" s="2"/>
      <c r="AL38" s="2"/>
      <c r="AM38" s="2"/>
      <c r="AN38" s="12" t="s">
        <v>126</v>
      </c>
      <c r="AO38" s="12" t="s">
        <v>126</v>
      </c>
      <c r="AP38" s="2"/>
      <c r="AQ38" s="2"/>
      <c r="AR38" s="2"/>
      <c r="AS38" s="2"/>
      <c r="AT38" s="2"/>
      <c r="AU38" s="2"/>
      <c r="AV38" s="2"/>
      <c r="AW38" s="2"/>
      <c r="AX38" s="2"/>
      <c r="AY38" s="2"/>
      <c r="AZ38" s="35">
        <v>46</v>
      </c>
      <c r="BA38" s="35">
        <v>13</v>
      </c>
      <c r="BB38" s="40">
        <v>0.5</v>
      </c>
      <c r="BC38" s="40">
        <v>0.5</v>
      </c>
      <c r="BD38" s="40">
        <v>0</v>
      </c>
      <c r="BE38" s="40">
        <v>0</v>
      </c>
      <c r="BF38" s="40">
        <v>1</v>
      </c>
      <c r="BG38" s="40">
        <v>0.42</v>
      </c>
      <c r="BH38" s="40">
        <v>0.5</v>
      </c>
      <c r="BI38" s="40">
        <v>0.5</v>
      </c>
      <c r="BJ38" s="40">
        <v>0.31</v>
      </c>
      <c r="BK38" s="40">
        <v>0.56000000000000005</v>
      </c>
      <c r="BL38" s="246">
        <v>28</v>
      </c>
      <c r="BM38" s="246" t="s">
        <v>760</v>
      </c>
      <c r="BN38" s="246">
        <v>0</v>
      </c>
      <c r="BO38" s="246" t="s">
        <v>760</v>
      </c>
      <c r="BP38" s="263">
        <v>1</v>
      </c>
      <c r="BQ38" s="263">
        <v>0</v>
      </c>
      <c r="BR38" s="263">
        <v>0</v>
      </c>
      <c r="BS38" s="263">
        <v>0</v>
      </c>
      <c r="BT38" s="263">
        <v>0.75</v>
      </c>
      <c r="BU38" s="263">
        <v>0.67</v>
      </c>
      <c r="BV38" s="263">
        <v>0.5</v>
      </c>
      <c r="BW38" s="263">
        <v>0.73</v>
      </c>
      <c r="BX38" s="263">
        <v>0.89</v>
      </c>
      <c r="BY38" s="263">
        <v>0.82</v>
      </c>
      <c r="BZ38" s="309">
        <v>40</v>
      </c>
      <c r="CA38" s="309" t="s">
        <v>760</v>
      </c>
      <c r="CB38" s="309">
        <v>16</v>
      </c>
      <c r="CC38" s="309" t="s">
        <v>759</v>
      </c>
      <c r="CD38" s="327">
        <v>0.67</v>
      </c>
      <c r="CE38" s="327">
        <v>0</v>
      </c>
      <c r="CF38" s="327">
        <v>0.33</v>
      </c>
      <c r="CG38" s="327">
        <v>0</v>
      </c>
      <c r="CH38" s="327">
        <v>0.67</v>
      </c>
      <c r="CI38" s="327">
        <v>0.71</v>
      </c>
      <c r="CJ38" s="327">
        <v>0.64</v>
      </c>
      <c r="CK38" s="327">
        <v>0.74</v>
      </c>
      <c r="CL38" s="327">
        <v>0.67</v>
      </c>
      <c r="CM38" s="327">
        <v>0.7</v>
      </c>
      <c r="CN38" s="424">
        <v>51</v>
      </c>
      <c r="CO38" s="424" t="s">
        <v>758</v>
      </c>
      <c r="CP38" s="424">
        <v>0</v>
      </c>
      <c r="CQ38" s="424" t="s">
        <v>760</v>
      </c>
      <c r="CR38" s="428">
        <v>0</v>
      </c>
      <c r="CS38" s="428">
        <v>1</v>
      </c>
      <c r="CT38" s="428">
        <v>0</v>
      </c>
      <c r="CU38" s="428">
        <v>0</v>
      </c>
      <c r="CV38" s="428">
        <v>0.33</v>
      </c>
      <c r="CW38" s="428">
        <v>0.25</v>
      </c>
      <c r="CX38" s="428">
        <v>0.6</v>
      </c>
      <c r="CY38" s="424" t="s">
        <v>173</v>
      </c>
      <c r="CZ38" s="523">
        <v>0.67</v>
      </c>
      <c r="DA38" s="523">
        <v>0</v>
      </c>
      <c r="DB38" s="524">
        <v>35</v>
      </c>
      <c r="DC38" s="524" t="s">
        <v>760</v>
      </c>
      <c r="DD38" s="524">
        <v>8</v>
      </c>
      <c r="DE38" s="524" t="s">
        <v>758</v>
      </c>
      <c r="DF38" s="525">
        <v>1</v>
      </c>
      <c r="DG38" s="525">
        <v>0</v>
      </c>
      <c r="DH38" s="525">
        <v>0</v>
      </c>
      <c r="DI38" s="525">
        <v>0</v>
      </c>
      <c r="DJ38" s="525">
        <v>0.67</v>
      </c>
      <c r="DK38" s="525">
        <v>0</v>
      </c>
      <c r="DL38" s="525">
        <v>0.56000000000000005</v>
      </c>
      <c r="DM38" s="525">
        <v>0.75</v>
      </c>
      <c r="DN38" s="525">
        <v>0.86</v>
      </c>
      <c r="DO38" s="525">
        <v>0.5</v>
      </c>
      <c r="DP38" s="902">
        <v>43</v>
      </c>
      <c r="DQ38" s="902" t="s">
        <v>758</v>
      </c>
      <c r="DR38" s="902">
        <v>3</v>
      </c>
      <c r="DS38" s="902" t="s">
        <v>760</v>
      </c>
      <c r="DT38" s="949">
        <v>0</v>
      </c>
      <c r="DU38" s="949">
        <v>1</v>
      </c>
      <c r="DV38" s="949">
        <v>0</v>
      </c>
      <c r="DW38" s="949">
        <v>0</v>
      </c>
      <c r="DX38" s="949">
        <v>0.63</v>
      </c>
      <c r="DY38" s="949">
        <v>0.67</v>
      </c>
      <c r="DZ38" s="949">
        <v>1</v>
      </c>
      <c r="EA38" s="949">
        <v>0.83</v>
      </c>
      <c r="EB38" s="949">
        <v>1</v>
      </c>
      <c r="EC38" s="949">
        <v>0.38</v>
      </c>
      <c r="ED38" s="922">
        <v>325754005200</v>
      </c>
      <c r="EE38" s="36" t="s">
        <v>166</v>
      </c>
    </row>
    <row r="39" spans="1:135" ht="24.95" customHeight="1" x14ac:dyDescent="0.2">
      <c r="A39" s="636" t="s">
        <v>796</v>
      </c>
      <c r="B39" s="617" t="s">
        <v>123</v>
      </c>
      <c r="C39" s="464">
        <v>2</v>
      </c>
      <c r="D39" s="524"/>
      <c r="E39" s="524"/>
      <c r="F39" s="524"/>
      <c r="G39" s="524"/>
      <c r="H39" s="524"/>
      <c r="I39" s="524"/>
      <c r="J39" s="524"/>
      <c r="K39" s="524"/>
      <c r="L39" s="524"/>
      <c r="M39" s="524"/>
      <c r="N39" s="524"/>
      <c r="O39" s="524"/>
      <c r="P39" s="524"/>
      <c r="Q39" s="524"/>
      <c r="R39" s="656"/>
      <c r="S39" s="656"/>
      <c r="T39" s="656"/>
      <c r="U39" s="656"/>
      <c r="V39" s="656"/>
      <c r="W39" s="656"/>
      <c r="X39" s="656"/>
      <c r="Y39" s="656"/>
      <c r="Z39" s="656"/>
      <c r="AA39" s="656"/>
      <c r="AB39" s="524"/>
      <c r="AC39" s="524"/>
      <c r="AD39" s="464"/>
      <c r="AE39" s="464"/>
      <c r="AF39" s="464"/>
      <c r="AG39" s="464"/>
      <c r="AH39" s="464"/>
      <c r="AI39" s="464"/>
      <c r="AJ39" s="464"/>
      <c r="AK39" s="464"/>
      <c r="AL39" s="464"/>
      <c r="AM39" s="464"/>
      <c r="AN39" s="524"/>
      <c r="AO39" s="524"/>
      <c r="AP39" s="464"/>
      <c r="AQ39" s="464"/>
      <c r="AR39" s="464"/>
      <c r="AS39" s="464"/>
      <c r="AT39" s="464"/>
      <c r="AU39" s="464"/>
      <c r="AV39" s="464"/>
      <c r="AW39" s="464"/>
      <c r="AX39" s="464"/>
      <c r="AY39" s="464"/>
      <c r="AZ39" s="638"/>
      <c r="BA39" s="638"/>
      <c r="BB39" s="637"/>
      <c r="BC39" s="637"/>
      <c r="BD39" s="637"/>
      <c r="BE39" s="637"/>
      <c r="BF39" s="637"/>
      <c r="BG39" s="637"/>
      <c r="BH39" s="637"/>
      <c r="BI39" s="637"/>
      <c r="BJ39" s="637"/>
      <c r="BK39" s="637"/>
      <c r="BL39" s="639"/>
      <c r="BM39" s="639"/>
      <c r="BN39" s="639"/>
      <c r="BO39" s="639"/>
      <c r="BP39" s="640"/>
      <c r="BQ39" s="640"/>
      <c r="BR39" s="640"/>
      <c r="BS39" s="640"/>
      <c r="BT39" s="640"/>
      <c r="BU39" s="640"/>
      <c r="BV39" s="640"/>
      <c r="BW39" s="640"/>
      <c r="BX39" s="640"/>
      <c r="BY39" s="640"/>
      <c r="BZ39" s="464">
        <v>42</v>
      </c>
      <c r="CA39" s="464" t="s">
        <v>760</v>
      </c>
      <c r="CB39" s="464">
        <v>9</v>
      </c>
      <c r="CC39" s="464" t="s">
        <v>758</v>
      </c>
      <c r="CD39" s="476">
        <v>0.25</v>
      </c>
      <c r="CE39" s="476">
        <v>0.63</v>
      </c>
      <c r="CF39" s="476">
        <v>0.13</v>
      </c>
      <c r="CG39" s="476">
        <v>0</v>
      </c>
      <c r="CH39" s="476">
        <v>0.33</v>
      </c>
      <c r="CI39" s="476">
        <v>0.7</v>
      </c>
      <c r="CJ39" s="476">
        <v>0.71</v>
      </c>
      <c r="CK39" s="476">
        <v>0.69</v>
      </c>
      <c r="CL39" s="476">
        <v>0.45</v>
      </c>
      <c r="CM39" s="476">
        <v>0.63</v>
      </c>
      <c r="CN39" s="641">
        <v>43</v>
      </c>
      <c r="CO39" s="641" t="s">
        <v>758</v>
      </c>
      <c r="CP39" s="641">
        <v>9</v>
      </c>
      <c r="CQ39" s="641" t="s">
        <v>758</v>
      </c>
      <c r="CR39" s="642">
        <v>0.25</v>
      </c>
      <c r="CS39" s="642">
        <v>0.75</v>
      </c>
      <c r="CT39" s="642">
        <v>0</v>
      </c>
      <c r="CU39" s="642">
        <v>0</v>
      </c>
      <c r="CV39" s="642">
        <v>0.5</v>
      </c>
      <c r="CW39" s="642">
        <v>0.68</v>
      </c>
      <c r="CX39" s="642">
        <v>0.86</v>
      </c>
      <c r="CY39" s="642">
        <v>1</v>
      </c>
      <c r="CZ39" s="658">
        <v>0.67</v>
      </c>
      <c r="DA39" s="658">
        <v>0.8</v>
      </c>
      <c r="DB39" s="613"/>
      <c r="DC39" s="613"/>
      <c r="DD39" s="613"/>
      <c r="DE39" s="613"/>
      <c r="DF39" s="658"/>
      <c r="DG39" s="658"/>
      <c r="DH39" s="658"/>
      <c r="DI39" s="658"/>
      <c r="DJ39" s="658"/>
      <c r="DK39" s="658"/>
      <c r="DL39" s="658"/>
      <c r="DM39" s="658"/>
      <c r="DN39" s="658"/>
      <c r="DO39" s="658"/>
      <c r="DT39" s="949"/>
      <c r="DU39" s="949"/>
      <c r="DV39" s="949"/>
      <c r="DW39" s="949"/>
      <c r="DX39" s="949"/>
      <c r="DY39" s="949"/>
      <c r="DZ39" s="949"/>
      <c r="EA39" s="949"/>
      <c r="EB39" s="949"/>
      <c r="EC39" s="949"/>
      <c r="ED39" s="922"/>
      <c r="EE39" s="636" t="s">
        <v>796</v>
      </c>
    </row>
    <row r="40" spans="1:135" ht="24.95" customHeight="1" x14ac:dyDescent="0.2">
      <c r="A40" s="636" t="s">
        <v>26</v>
      </c>
      <c r="B40" s="604" t="s">
        <v>123</v>
      </c>
      <c r="C40" s="464">
        <v>3</v>
      </c>
      <c r="D40" s="524">
        <v>52</v>
      </c>
      <c r="E40" s="524">
        <v>7</v>
      </c>
      <c r="F40" s="476">
        <v>0.09</v>
      </c>
      <c r="G40" s="476">
        <v>0.62</v>
      </c>
      <c r="H40" s="476">
        <v>0.28999999999999998</v>
      </c>
      <c r="I40" s="476">
        <v>0</v>
      </c>
      <c r="J40" s="476">
        <v>0.53</v>
      </c>
      <c r="K40" s="476">
        <v>0.49</v>
      </c>
      <c r="L40" s="476">
        <v>0.56000000000000005</v>
      </c>
      <c r="M40" s="476">
        <v>0.44</v>
      </c>
      <c r="N40" s="476">
        <v>0.39</v>
      </c>
      <c r="O40" s="476">
        <v>0.56999999999999995</v>
      </c>
      <c r="P40" s="524">
        <v>50</v>
      </c>
      <c r="Q40" s="524">
        <v>11</v>
      </c>
      <c r="R40" s="656">
        <v>0.22</v>
      </c>
      <c r="S40" s="656">
        <v>0.47</v>
      </c>
      <c r="T40" s="656">
        <v>0.28000000000000003</v>
      </c>
      <c r="U40" s="656">
        <v>0.03</v>
      </c>
      <c r="V40" s="656">
        <v>0.42</v>
      </c>
      <c r="W40" s="656">
        <v>0.49</v>
      </c>
      <c r="X40" s="656">
        <v>0.59</v>
      </c>
      <c r="Y40" s="656">
        <v>0.47</v>
      </c>
      <c r="Z40" s="656">
        <v>0.44</v>
      </c>
      <c r="AA40" s="656">
        <v>0.49</v>
      </c>
      <c r="AB40" s="524">
        <v>45</v>
      </c>
      <c r="AC40" s="524">
        <v>8</v>
      </c>
      <c r="AD40" s="476">
        <v>0.35</v>
      </c>
      <c r="AE40" s="476">
        <v>0.48</v>
      </c>
      <c r="AF40" s="476">
        <v>0.17</v>
      </c>
      <c r="AG40" s="476">
        <v>0</v>
      </c>
      <c r="AH40" s="476">
        <v>0.53</v>
      </c>
      <c r="AI40" s="476">
        <v>0.51</v>
      </c>
      <c r="AJ40" s="476">
        <v>0.49</v>
      </c>
      <c r="AK40" s="476">
        <v>0.55000000000000004</v>
      </c>
      <c r="AL40" s="476">
        <v>0.61</v>
      </c>
      <c r="AM40" s="476">
        <v>0.63</v>
      </c>
      <c r="AN40" s="524">
        <v>45</v>
      </c>
      <c r="AO40" s="524">
        <v>10</v>
      </c>
      <c r="AP40" s="476">
        <v>0.35</v>
      </c>
      <c r="AQ40" s="476">
        <v>0.54</v>
      </c>
      <c r="AR40" s="476">
        <v>0.1</v>
      </c>
      <c r="AS40" s="476">
        <v>0</v>
      </c>
      <c r="AT40" s="476">
        <v>0.68</v>
      </c>
      <c r="AU40" s="476">
        <v>0.53</v>
      </c>
      <c r="AV40" s="476">
        <v>0.51</v>
      </c>
      <c r="AW40" s="476">
        <v>0.52</v>
      </c>
      <c r="AX40" s="476">
        <v>0.53</v>
      </c>
      <c r="AY40" s="476">
        <v>0.52</v>
      </c>
      <c r="AZ40" s="638">
        <v>47</v>
      </c>
      <c r="BA40" s="638">
        <v>9</v>
      </c>
      <c r="BB40" s="637">
        <v>0.26</v>
      </c>
      <c r="BC40" s="637">
        <v>0.52</v>
      </c>
      <c r="BD40" s="637">
        <v>0.21</v>
      </c>
      <c r="BE40" s="637">
        <v>0</v>
      </c>
      <c r="BF40" s="637">
        <v>0.56000000000000005</v>
      </c>
      <c r="BG40" s="637">
        <v>0.5</v>
      </c>
      <c r="BH40" s="637">
        <v>0.54</v>
      </c>
      <c r="BI40" s="637">
        <v>0.6</v>
      </c>
      <c r="BJ40" s="637">
        <v>0.48</v>
      </c>
      <c r="BK40" s="637">
        <v>0.52</v>
      </c>
      <c r="BL40" s="639">
        <v>50</v>
      </c>
      <c r="BM40" s="639" t="s">
        <v>758</v>
      </c>
      <c r="BN40" s="639">
        <v>12</v>
      </c>
      <c r="BO40" s="639" t="s">
        <v>758</v>
      </c>
      <c r="BP40" s="640">
        <v>0.23</v>
      </c>
      <c r="BQ40" s="640">
        <v>0.41</v>
      </c>
      <c r="BR40" s="640">
        <v>0.36</v>
      </c>
      <c r="BS40" s="640">
        <v>0</v>
      </c>
      <c r="BT40" s="640">
        <v>0.48</v>
      </c>
      <c r="BU40" s="640">
        <v>0.44</v>
      </c>
      <c r="BV40" s="640">
        <v>0.6</v>
      </c>
      <c r="BW40" s="640">
        <v>0.41</v>
      </c>
      <c r="BX40" s="640">
        <v>0.44</v>
      </c>
      <c r="BY40" s="640">
        <v>0.56000000000000005</v>
      </c>
      <c r="BZ40" s="464">
        <v>49</v>
      </c>
      <c r="CA40" s="464" t="s">
        <v>758</v>
      </c>
      <c r="CB40" s="464">
        <v>11</v>
      </c>
      <c r="CC40" s="464" t="s">
        <v>758</v>
      </c>
      <c r="CD40" s="476">
        <v>0.27</v>
      </c>
      <c r="CE40" s="476">
        <v>0.39</v>
      </c>
      <c r="CF40" s="476">
        <v>0.33</v>
      </c>
      <c r="CG40" s="476">
        <v>0</v>
      </c>
      <c r="CH40" s="476">
        <v>0.52</v>
      </c>
      <c r="CI40" s="476">
        <v>0.26</v>
      </c>
      <c r="CJ40" s="476">
        <v>0.56999999999999995</v>
      </c>
      <c r="CK40" s="476">
        <v>0.51</v>
      </c>
      <c r="CL40" s="476">
        <v>0.33</v>
      </c>
      <c r="CM40" s="476">
        <v>0.54</v>
      </c>
      <c r="CN40" s="641">
        <v>49</v>
      </c>
      <c r="CO40" s="641" t="s">
        <v>758</v>
      </c>
      <c r="CP40" s="641">
        <v>11</v>
      </c>
      <c r="CQ40" s="641" t="s">
        <v>758</v>
      </c>
      <c r="CR40" s="642">
        <v>0.25</v>
      </c>
      <c r="CS40" s="642">
        <v>0.46</v>
      </c>
      <c r="CT40" s="642">
        <v>0.28999999999999998</v>
      </c>
      <c r="CU40" s="642">
        <v>0</v>
      </c>
      <c r="CV40" s="642">
        <v>0.39</v>
      </c>
      <c r="CW40" s="642">
        <v>0.57999999999999996</v>
      </c>
      <c r="CX40" s="642">
        <v>0.51</v>
      </c>
      <c r="CY40" s="642">
        <v>0.71</v>
      </c>
      <c r="CZ40" s="658">
        <v>0.52</v>
      </c>
      <c r="DA40" s="658">
        <v>0.71</v>
      </c>
      <c r="DB40" s="524">
        <v>49</v>
      </c>
      <c r="DC40" s="524" t="s">
        <v>758</v>
      </c>
      <c r="DD40" s="524">
        <v>10</v>
      </c>
      <c r="DE40" s="524" t="s">
        <v>758</v>
      </c>
      <c r="DF40" s="525">
        <v>0.26</v>
      </c>
      <c r="DG40" s="525">
        <v>0.48</v>
      </c>
      <c r="DH40" s="525">
        <v>0.26</v>
      </c>
      <c r="DI40" s="525">
        <v>0</v>
      </c>
      <c r="DJ40" s="525">
        <v>0.45</v>
      </c>
      <c r="DK40" s="525">
        <v>0.53</v>
      </c>
      <c r="DL40" s="525">
        <v>0.52</v>
      </c>
      <c r="DM40" s="525">
        <v>0.57999999999999996</v>
      </c>
      <c r="DN40" s="525">
        <v>0.61</v>
      </c>
      <c r="DO40" s="525">
        <v>0.3</v>
      </c>
      <c r="DP40" s="902">
        <v>49</v>
      </c>
      <c r="DQ40" s="902" t="s">
        <v>758</v>
      </c>
      <c r="DR40" s="902">
        <v>9</v>
      </c>
      <c r="DS40" s="902" t="s">
        <v>758</v>
      </c>
      <c r="DT40" s="949">
        <v>0.16</v>
      </c>
      <c r="DU40" s="949">
        <v>0.61</v>
      </c>
      <c r="DV40" s="949">
        <v>0.19</v>
      </c>
      <c r="DW40" s="949">
        <v>0.03</v>
      </c>
      <c r="DX40" s="949">
        <v>0.5</v>
      </c>
      <c r="DY40" s="949">
        <v>0.38</v>
      </c>
      <c r="DZ40" s="949">
        <v>0.79</v>
      </c>
      <c r="EA40" s="949">
        <v>0.57999999999999996</v>
      </c>
      <c r="EB40" s="949">
        <v>0.62</v>
      </c>
      <c r="EC40" s="949">
        <v>0.41</v>
      </c>
      <c r="ED40" s="922">
        <v>325754001042</v>
      </c>
      <c r="EE40" s="636" t="s">
        <v>26</v>
      </c>
    </row>
    <row r="41" spans="1:135" ht="24.95" customHeight="1" x14ac:dyDescent="0.2">
      <c r="A41" s="322" t="s">
        <v>167</v>
      </c>
      <c r="B41" s="1" t="s">
        <v>123</v>
      </c>
      <c r="C41" s="309">
        <v>4</v>
      </c>
      <c r="D41" s="328">
        <v>47</v>
      </c>
      <c r="E41" s="328">
        <v>8</v>
      </c>
      <c r="F41" s="327">
        <v>0.24</v>
      </c>
      <c r="G41" s="327">
        <v>0.63</v>
      </c>
      <c r="H41" s="327">
        <v>0.13</v>
      </c>
      <c r="I41" s="327">
        <v>0</v>
      </c>
      <c r="J41" s="327">
        <v>0.62</v>
      </c>
      <c r="K41" s="327">
        <v>0.5</v>
      </c>
      <c r="L41" s="327">
        <v>0.69</v>
      </c>
      <c r="M41" s="327">
        <v>0.45</v>
      </c>
      <c r="N41" s="327">
        <v>0.41</v>
      </c>
      <c r="O41" s="327">
        <v>0.6</v>
      </c>
      <c r="P41" s="328">
        <v>49</v>
      </c>
      <c r="Q41" s="328">
        <v>10</v>
      </c>
      <c r="R41" s="330">
        <v>0.2</v>
      </c>
      <c r="S41" s="330">
        <v>0.5</v>
      </c>
      <c r="T41" s="330">
        <v>0.27</v>
      </c>
      <c r="U41" s="330">
        <v>0.02</v>
      </c>
      <c r="V41" s="330">
        <v>0.45</v>
      </c>
      <c r="W41" s="330">
        <v>0.51</v>
      </c>
      <c r="X41" s="330">
        <v>0.62</v>
      </c>
      <c r="Y41" s="330">
        <v>0.45</v>
      </c>
      <c r="Z41" s="330">
        <v>0.49</v>
      </c>
      <c r="AA41" s="330">
        <v>0.53</v>
      </c>
      <c r="AB41" s="328">
        <v>44</v>
      </c>
      <c r="AC41" s="328">
        <v>9</v>
      </c>
      <c r="AD41" s="327">
        <v>0.46</v>
      </c>
      <c r="AE41" s="327">
        <v>0.43</v>
      </c>
      <c r="AF41" s="327">
        <v>0.11</v>
      </c>
      <c r="AG41" s="327">
        <v>0</v>
      </c>
      <c r="AH41" s="327">
        <v>0.53</v>
      </c>
      <c r="AI41" s="327">
        <v>0.56000000000000005</v>
      </c>
      <c r="AJ41" s="327">
        <v>0.55000000000000004</v>
      </c>
      <c r="AK41" s="327">
        <v>0.56000000000000005</v>
      </c>
      <c r="AL41" s="327">
        <v>0.67</v>
      </c>
      <c r="AM41" s="327">
        <v>0.6</v>
      </c>
      <c r="AN41" s="328">
        <v>45</v>
      </c>
      <c r="AO41" s="328">
        <v>10</v>
      </c>
      <c r="AP41" s="327">
        <v>0.36</v>
      </c>
      <c r="AQ41" s="327">
        <v>0.45</v>
      </c>
      <c r="AR41" s="327">
        <v>0.19</v>
      </c>
      <c r="AS41" s="327">
        <v>0</v>
      </c>
      <c r="AT41" s="327">
        <v>0.59</v>
      </c>
      <c r="AU41" s="327">
        <v>0.54</v>
      </c>
      <c r="AV41" s="327">
        <v>0.48</v>
      </c>
      <c r="AW41" s="327">
        <v>0.52</v>
      </c>
      <c r="AX41" s="327">
        <v>0.53</v>
      </c>
      <c r="AY41" s="327">
        <v>0.54</v>
      </c>
      <c r="AZ41" s="311">
        <v>45</v>
      </c>
      <c r="BA41" s="311">
        <v>9</v>
      </c>
      <c r="BB41" s="331">
        <v>0.38</v>
      </c>
      <c r="BC41" s="331">
        <v>0.48</v>
      </c>
      <c r="BD41" s="331">
        <v>0.15</v>
      </c>
      <c r="BE41" s="331">
        <v>0</v>
      </c>
      <c r="BF41" s="331">
        <v>0.61</v>
      </c>
      <c r="BG41" s="331">
        <v>0.55000000000000004</v>
      </c>
      <c r="BH41" s="331">
        <v>0.56000000000000005</v>
      </c>
      <c r="BI41" s="331">
        <v>0.65</v>
      </c>
      <c r="BJ41" s="331">
        <v>0.5</v>
      </c>
      <c r="BK41" s="331">
        <v>0.51</v>
      </c>
      <c r="BL41" s="312">
        <v>45</v>
      </c>
      <c r="BM41" s="312" t="s">
        <v>758</v>
      </c>
      <c r="BN41" s="312">
        <v>11</v>
      </c>
      <c r="BO41" s="312" t="s">
        <v>758</v>
      </c>
      <c r="BP41" s="332">
        <v>0.34</v>
      </c>
      <c r="BQ41" s="332">
        <v>0.49</v>
      </c>
      <c r="BR41" s="332">
        <v>0.15</v>
      </c>
      <c r="BS41" s="332">
        <v>0.02</v>
      </c>
      <c r="BT41" s="332">
        <v>0.48</v>
      </c>
      <c r="BU41" s="332">
        <v>0.52</v>
      </c>
      <c r="BV41" s="332">
        <v>0.65</v>
      </c>
      <c r="BW41" s="332">
        <v>0.47</v>
      </c>
      <c r="BX41" s="332">
        <v>0.55000000000000004</v>
      </c>
      <c r="BY41" s="332">
        <v>0.57999999999999996</v>
      </c>
      <c r="BZ41" s="309">
        <v>45</v>
      </c>
      <c r="CA41" s="309" t="s">
        <v>758</v>
      </c>
      <c r="CB41" s="309">
        <v>9</v>
      </c>
      <c r="CC41" s="309" t="s">
        <v>758</v>
      </c>
      <c r="CD41" s="327">
        <v>0.37</v>
      </c>
      <c r="CE41" s="327">
        <v>0.5</v>
      </c>
      <c r="CF41" s="327">
        <v>0.13</v>
      </c>
      <c r="CG41" s="327">
        <v>0</v>
      </c>
      <c r="CH41" s="327">
        <v>0.59</v>
      </c>
      <c r="CI41" s="327">
        <v>0.52</v>
      </c>
      <c r="CJ41" s="327">
        <v>0.62</v>
      </c>
      <c r="CK41" s="327">
        <v>0.59</v>
      </c>
      <c r="CL41" s="327">
        <v>0.49</v>
      </c>
      <c r="CM41" s="327">
        <v>0.64</v>
      </c>
      <c r="CN41" s="424">
        <v>48</v>
      </c>
      <c r="CO41" s="424" t="s">
        <v>758</v>
      </c>
      <c r="CP41" s="424">
        <v>9</v>
      </c>
      <c r="CQ41" s="424" t="s">
        <v>758</v>
      </c>
      <c r="CR41" s="428">
        <v>0.22</v>
      </c>
      <c r="CS41" s="428">
        <v>0.62</v>
      </c>
      <c r="CT41" s="428">
        <v>0.16</v>
      </c>
      <c r="CU41" s="428">
        <v>0</v>
      </c>
      <c r="CV41" s="428">
        <v>0.38</v>
      </c>
      <c r="CW41" s="428">
        <v>0.62</v>
      </c>
      <c r="CX41" s="428">
        <v>0.64</v>
      </c>
      <c r="CY41" s="428">
        <v>0.81</v>
      </c>
      <c r="CZ41" s="523">
        <v>0.59</v>
      </c>
      <c r="DA41" s="523">
        <v>0.57999999999999996</v>
      </c>
      <c r="DB41" s="612">
        <v>47</v>
      </c>
      <c r="DC41" s="612" t="s">
        <v>758</v>
      </c>
      <c r="DD41" s="612">
        <v>9</v>
      </c>
      <c r="DE41" s="612" t="s">
        <v>758</v>
      </c>
      <c r="DF41" s="663">
        <v>0.31</v>
      </c>
      <c r="DG41" s="663">
        <v>0.62</v>
      </c>
      <c r="DH41" s="663">
        <v>0.08</v>
      </c>
      <c r="DI41" s="663">
        <v>0</v>
      </c>
      <c r="DJ41" s="663">
        <v>0.61</v>
      </c>
      <c r="DK41" s="663">
        <v>0.62</v>
      </c>
      <c r="DL41" s="663">
        <v>0.59</v>
      </c>
      <c r="DM41" s="663">
        <v>0.74</v>
      </c>
      <c r="DN41" s="663">
        <v>0.64</v>
      </c>
      <c r="DO41" s="663">
        <v>0.62</v>
      </c>
      <c r="DP41" s="902">
        <v>52</v>
      </c>
      <c r="DQ41" s="902" t="s">
        <v>758</v>
      </c>
      <c r="DR41" s="902">
        <v>11</v>
      </c>
      <c r="DS41" s="902" t="s">
        <v>758</v>
      </c>
      <c r="DT41" s="949">
        <v>0.19</v>
      </c>
      <c r="DU41" s="949">
        <v>0.47</v>
      </c>
      <c r="DV41" s="949">
        <v>0.34</v>
      </c>
      <c r="DW41" s="949">
        <v>0</v>
      </c>
      <c r="DX41" s="949">
        <v>0.41</v>
      </c>
      <c r="DY41" s="949">
        <v>0.35</v>
      </c>
      <c r="DZ41" s="949">
        <v>0.82</v>
      </c>
      <c r="EA41" s="949">
        <v>0.37</v>
      </c>
      <c r="EB41" s="949">
        <v>0.52</v>
      </c>
      <c r="EC41" s="949">
        <v>0.36</v>
      </c>
      <c r="ED41" s="922">
        <v>325754003428</v>
      </c>
      <c r="EE41" s="322" t="s">
        <v>167</v>
      </c>
    </row>
    <row r="42" spans="1:135" ht="24.95" customHeight="1" x14ac:dyDescent="0.2">
      <c r="A42" s="126" t="s">
        <v>181</v>
      </c>
      <c r="B42" s="1" t="s">
        <v>123</v>
      </c>
      <c r="C42" s="2">
        <v>5</v>
      </c>
      <c r="D42" s="12"/>
      <c r="E42" s="12"/>
      <c r="F42" s="12"/>
      <c r="G42" s="12"/>
      <c r="H42" s="12"/>
      <c r="I42" s="12"/>
      <c r="J42" s="12"/>
      <c r="K42" s="12"/>
      <c r="L42" s="12"/>
      <c r="M42" s="12"/>
      <c r="N42" s="12"/>
      <c r="O42" s="12"/>
      <c r="P42" s="12" t="s">
        <v>126</v>
      </c>
      <c r="Q42" s="12" t="s">
        <v>126</v>
      </c>
      <c r="R42" s="61"/>
      <c r="S42" s="61"/>
      <c r="T42" s="61"/>
      <c r="U42" s="61"/>
      <c r="V42" s="61"/>
      <c r="W42" s="61"/>
      <c r="X42" s="61"/>
      <c r="Y42" s="61"/>
      <c r="Z42" s="61"/>
      <c r="AA42" s="61"/>
      <c r="AB42" s="12">
        <v>50</v>
      </c>
      <c r="AC42" s="12">
        <v>7</v>
      </c>
      <c r="AD42" s="63">
        <v>0.11</v>
      </c>
      <c r="AE42" s="63">
        <v>0.67</v>
      </c>
      <c r="AF42" s="63">
        <v>0.22</v>
      </c>
      <c r="AG42" s="63">
        <v>0</v>
      </c>
      <c r="AH42" s="63">
        <v>0.48</v>
      </c>
      <c r="AI42" s="63">
        <v>0.39</v>
      </c>
      <c r="AJ42" s="63">
        <v>0.39</v>
      </c>
      <c r="AK42" s="63">
        <v>0.49</v>
      </c>
      <c r="AL42" s="63">
        <v>0.64</v>
      </c>
      <c r="AM42" s="63">
        <v>0.43</v>
      </c>
      <c r="AN42" s="12">
        <v>46</v>
      </c>
      <c r="AO42" s="12">
        <v>12</v>
      </c>
      <c r="AP42" s="63">
        <v>0.33</v>
      </c>
      <c r="AQ42" s="63">
        <v>0.47</v>
      </c>
      <c r="AR42" s="63">
        <v>0.2</v>
      </c>
      <c r="AS42" s="63">
        <v>0</v>
      </c>
      <c r="AT42" s="63">
        <v>0.43</v>
      </c>
      <c r="AU42" s="63">
        <v>0.49</v>
      </c>
      <c r="AV42" s="63">
        <v>0.51</v>
      </c>
      <c r="AW42" s="63">
        <v>0.49</v>
      </c>
      <c r="AX42" s="63">
        <v>0.5</v>
      </c>
      <c r="AY42" s="63">
        <v>0.47</v>
      </c>
      <c r="AZ42" s="35">
        <v>47</v>
      </c>
      <c r="BA42" s="35">
        <v>12</v>
      </c>
      <c r="BB42" s="40">
        <v>0.32</v>
      </c>
      <c r="BC42" s="40">
        <v>0.41</v>
      </c>
      <c r="BD42" s="40">
        <v>0.27</v>
      </c>
      <c r="BE42" s="40">
        <v>0</v>
      </c>
      <c r="BF42" s="40">
        <v>0.47</v>
      </c>
      <c r="BG42" s="40">
        <v>0.5</v>
      </c>
      <c r="BH42" s="40">
        <v>0.55000000000000004</v>
      </c>
      <c r="BI42" s="40">
        <v>0.59</v>
      </c>
      <c r="BJ42" s="40">
        <v>0.52</v>
      </c>
      <c r="BK42" s="40">
        <v>0.48</v>
      </c>
      <c r="BL42" s="246">
        <v>49</v>
      </c>
      <c r="BM42" s="246" t="s">
        <v>758</v>
      </c>
      <c r="BN42" s="246">
        <v>10</v>
      </c>
      <c r="BO42" s="246" t="s">
        <v>758</v>
      </c>
      <c r="BP42" s="263">
        <v>0.19</v>
      </c>
      <c r="BQ42" s="263">
        <v>0.57999999999999996</v>
      </c>
      <c r="BR42" s="263">
        <v>0.23</v>
      </c>
      <c r="BS42" s="263">
        <v>0</v>
      </c>
      <c r="BT42" s="263">
        <v>0.45</v>
      </c>
      <c r="BU42" s="263">
        <v>0.46</v>
      </c>
      <c r="BV42" s="263">
        <v>0.67</v>
      </c>
      <c r="BW42" s="263">
        <v>0.43</v>
      </c>
      <c r="BX42" s="263">
        <v>0.51</v>
      </c>
      <c r="BY42" s="263">
        <v>0.53</v>
      </c>
      <c r="BZ42" s="309">
        <v>52</v>
      </c>
      <c r="CA42" s="309" t="s">
        <v>758</v>
      </c>
      <c r="CB42" s="309">
        <v>12</v>
      </c>
      <c r="CC42" s="309" t="s">
        <v>758</v>
      </c>
      <c r="CD42" s="327">
        <v>0.23</v>
      </c>
      <c r="CE42" s="327">
        <v>0.23</v>
      </c>
      <c r="CF42" s="327">
        <v>0.54</v>
      </c>
      <c r="CG42" s="327">
        <v>0</v>
      </c>
      <c r="CH42" s="327">
        <v>0.5</v>
      </c>
      <c r="CI42" s="327">
        <v>0.3</v>
      </c>
      <c r="CJ42" s="327">
        <v>0.56000000000000005</v>
      </c>
      <c r="CK42" s="327">
        <v>0.6</v>
      </c>
      <c r="CL42" s="327">
        <v>0.53</v>
      </c>
      <c r="CM42" s="327">
        <v>0.48</v>
      </c>
      <c r="CN42" s="424">
        <v>53</v>
      </c>
      <c r="CO42" s="424" t="s">
        <v>758</v>
      </c>
      <c r="CP42" s="424">
        <v>9</v>
      </c>
      <c r="CQ42" s="424" t="s">
        <v>758</v>
      </c>
      <c r="CR42" s="428">
        <v>0.05</v>
      </c>
      <c r="CS42" s="428">
        <v>0.64</v>
      </c>
      <c r="CT42" s="428">
        <v>0.27</v>
      </c>
      <c r="CU42" s="428">
        <v>0.05</v>
      </c>
      <c r="CV42" s="428">
        <v>0.28000000000000003</v>
      </c>
      <c r="CW42" s="428">
        <v>0.53</v>
      </c>
      <c r="CX42" s="428">
        <v>0.5</v>
      </c>
      <c r="CY42" s="428">
        <v>0.69</v>
      </c>
      <c r="CZ42" s="523">
        <v>0.32</v>
      </c>
      <c r="DA42" s="523">
        <v>0.38</v>
      </c>
      <c r="DB42" s="524">
        <v>49</v>
      </c>
      <c r="DC42" s="524" t="s">
        <v>758</v>
      </c>
      <c r="DD42" s="524">
        <v>8</v>
      </c>
      <c r="DE42" s="524" t="s">
        <v>758</v>
      </c>
      <c r="DF42" s="525">
        <v>0.16</v>
      </c>
      <c r="DG42" s="525">
        <v>0.6</v>
      </c>
      <c r="DH42" s="525">
        <v>0.24</v>
      </c>
      <c r="DI42" s="525">
        <v>0</v>
      </c>
      <c r="DJ42" s="525">
        <v>0.55000000000000004</v>
      </c>
      <c r="DK42" s="525">
        <v>0.5</v>
      </c>
      <c r="DL42" s="525">
        <v>0.53</v>
      </c>
      <c r="DM42" s="525">
        <v>0.65</v>
      </c>
      <c r="DN42" s="525">
        <v>0.55000000000000004</v>
      </c>
      <c r="DO42" s="525">
        <v>0.31</v>
      </c>
      <c r="DP42" s="902">
        <v>55</v>
      </c>
      <c r="DQ42" s="902" t="s">
        <v>758</v>
      </c>
      <c r="DR42" s="902">
        <v>15</v>
      </c>
      <c r="DS42" s="902" t="s">
        <v>759</v>
      </c>
      <c r="DT42" s="949">
        <v>0.14000000000000001</v>
      </c>
      <c r="DU42" s="949">
        <v>0.33</v>
      </c>
      <c r="DV42" s="949">
        <v>0.43</v>
      </c>
      <c r="DW42" s="949">
        <v>0.1</v>
      </c>
      <c r="DX42" s="949">
        <v>0.36</v>
      </c>
      <c r="DY42" s="949">
        <v>0.28000000000000003</v>
      </c>
      <c r="DZ42" s="949">
        <v>0.67</v>
      </c>
      <c r="EA42" s="949">
        <v>0.47</v>
      </c>
      <c r="EB42" s="949">
        <v>0.47</v>
      </c>
      <c r="EC42" s="949">
        <v>0.33</v>
      </c>
      <c r="ED42" s="922">
        <v>325754002057</v>
      </c>
      <c r="EE42" s="126" t="s">
        <v>181</v>
      </c>
    </row>
    <row r="43" spans="1:135" ht="24.95" customHeight="1" x14ac:dyDescent="0.2">
      <c r="A43" s="36" t="s">
        <v>163</v>
      </c>
      <c r="B43" s="14" t="s">
        <v>123</v>
      </c>
      <c r="C43" s="2">
        <v>6</v>
      </c>
      <c r="D43" s="12"/>
      <c r="E43" s="12"/>
      <c r="F43" s="12"/>
      <c r="G43" s="12"/>
      <c r="H43" s="12"/>
      <c r="I43" s="12"/>
      <c r="J43" s="12"/>
      <c r="K43" s="12"/>
      <c r="L43" s="12"/>
      <c r="M43" s="12"/>
      <c r="N43" s="12"/>
      <c r="O43" s="12"/>
      <c r="P43" s="12" t="s">
        <v>126</v>
      </c>
      <c r="Q43" s="12" t="s">
        <v>126</v>
      </c>
      <c r="R43" s="61"/>
      <c r="S43" s="61"/>
      <c r="T43" s="61"/>
      <c r="U43" s="61"/>
      <c r="V43" s="61"/>
      <c r="W43" s="61"/>
      <c r="X43" s="61"/>
      <c r="Y43" s="61"/>
      <c r="Z43" s="61"/>
      <c r="AA43" s="61"/>
      <c r="AB43" s="12" t="s">
        <v>126</v>
      </c>
      <c r="AC43" s="12" t="s">
        <v>126</v>
      </c>
      <c r="AD43" s="2"/>
      <c r="AE43" s="2"/>
      <c r="AF43" s="2"/>
      <c r="AG43" s="2"/>
      <c r="AH43" s="2"/>
      <c r="AI43" s="2"/>
      <c r="AJ43" s="2"/>
      <c r="AK43" s="2"/>
      <c r="AL43" s="2"/>
      <c r="AM43" s="2"/>
      <c r="AN43" s="12" t="s">
        <v>126</v>
      </c>
      <c r="AO43" s="12" t="s">
        <v>126</v>
      </c>
      <c r="AP43" s="2"/>
      <c r="AQ43" s="2"/>
      <c r="AR43" s="2"/>
      <c r="AS43" s="2"/>
      <c r="AT43" s="2"/>
      <c r="AU43" s="2"/>
      <c r="AV43" s="2"/>
      <c r="AW43" s="2"/>
      <c r="AX43" s="2"/>
      <c r="AY43" s="2"/>
      <c r="AZ43" s="35">
        <v>58</v>
      </c>
      <c r="BA43" s="35">
        <v>8</v>
      </c>
      <c r="BB43" s="40">
        <v>0</v>
      </c>
      <c r="BC43" s="40">
        <v>0.5</v>
      </c>
      <c r="BD43" s="40">
        <v>0.5</v>
      </c>
      <c r="BE43" s="40">
        <v>0</v>
      </c>
      <c r="BF43" s="40">
        <v>0.25</v>
      </c>
      <c r="BG43" s="40">
        <v>0.5</v>
      </c>
      <c r="BH43" s="40">
        <v>0.35</v>
      </c>
      <c r="BI43" s="40">
        <v>0.5</v>
      </c>
      <c r="BJ43" s="40">
        <v>0.13</v>
      </c>
      <c r="BK43" s="40">
        <v>0.11</v>
      </c>
      <c r="BL43" s="246">
        <v>45</v>
      </c>
      <c r="BM43" s="246" t="s">
        <v>758</v>
      </c>
      <c r="BN43" s="246">
        <v>0</v>
      </c>
      <c r="BO43" s="246" t="s">
        <v>760</v>
      </c>
      <c r="BP43" s="263">
        <v>0</v>
      </c>
      <c r="BQ43" s="263">
        <v>1</v>
      </c>
      <c r="BR43" s="263">
        <v>0</v>
      </c>
      <c r="BS43" s="263">
        <v>0</v>
      </c>
      <c r="BT43" s="263">
        <v>0.2</v>
      </c>
      <c r="BU43" s="263">
        <v>0.63</v>
      </c>
      <c r="BV43" s="263">
        <v>1</v>
      </c>
      <c r="BW43" s="263">
        <v>0.5</v>
      </c>
      <c r="BX43" s="263">
        <v>0.5</v>
      </c>
      <c r="BY43" s="263">
        <v>0.9</v>
      </c>
      <c r="BZ43" s="309">
        <v>55</v>
      </c>
      <c r="CA43" s="309" t="s">
        <v>758</v>
      </c>
      <c r="CB43" s="309">
        <v>19</v>
      </c>
      <c r="CC43" s="309" t="s">
        <v>759</v>
      </c>
      <c r="CD43" s="327">
        <v>0.33</v>
      </c>
      <c r="CE43" s="327">
        <v>0</v>
      </c>
      <c r="CF43" s="327">
        <v>0.33</v>
      </c>
      <c r="CG43" s="327">
        <v>0.33</v>
      </c>
      <c r="CH43" s="327">
        <v>0.28999999999999998</v>
      </c>
      <c r="CI43" s="327">
        <v>0.4</v>
      </c>
      <c r="CJ43" s="327">
        <v>0.5</v>
      </c>
      <c r="CK43" s="327">
        <v>0.54</v>
      </c>
      <c r="CL43" s="327">
        <v>0.63</v>
      </c>
      <c r="CM43" s="327">
        <v>0.5</v>
      </c>
      <c r="CN43" s="424">
        <v>50</v>
      </c>
      <c r="CO43" s="424" t="s">
        <v>758</v>
      </c>
      <c r="CP43" s="424">
        <v>10</v>
      </c>
      <c r="CQ43" s="424" t="s">
        <v>758</v>
      </c>
      <c r="CR43" s="428">
        <v>0.08</v>
      </c>
      <c r="CS43" s="428">
        <v>0.57999999999999996</v>
      </c>
      <c r="CT43" s="428">
        <v>0.33</v>
      </c>
      <c r="CU43" s="428">
        <v>0</v>
      </c>
      <c r="CV43" s="428">
        <v>0.48</v>
      </c>
      <c r="CW43" s="428">
        <v>0.57999999999999996</v>
      </c>
      <c r="CX43" s="428">
        <v>0.46</v>
      </c>
      <c r="CY43" s="428">
        <v>0.43</v>
      </c>
      <c r="CZ43" s="523">
        <v>0.49</v>
      </c>
      <c r="DA43" s="523">
        <v>0.38</v>
      </c>
      <c r="DB43" s="524">
        <v>52</v>
      </c>
      <c r="DC43" s="524" t="s">
        <v>758</v>
      </c>
      <c r="DD43" s="524">
        <v>11</v>
      </c>
      <c r="DE43" s="524" t="s">
        <v>758</v>
      </c>
      <c r="DF43" s="525">
        <v>0.13</v>
      </c>
      <c r="DG43" s="525">
        <v>0.63</v>
      </c>
      <c r="DH43" s="525">
        <v>0.25</v>
      </c>
      <c r="DI43" s="525">
        <v>0</v>
      </c>
      <c r="DJ43" s="525">
        <v>0.49</v>
      </c>
      <c r="DK43" s="525">
        <v>0.22</v>
      </c>
      <c r="DL43" s="525">
        <v>0.38</v>
      </c>
      <c r="DM43" s="525">
        <v>0.5</v>
      </c>
      <c r="DN43" s="525">
        <v>0.48</v>
      </c>
      <c r="DO43" s="525">
        <v>0.38</v>
      </c>
      <c r="DP43" s="902">
        <v>52</v>
      </c>
      <c r="DQ43" s="902" t="s">
        <v>758</v>
      </c>
      <c r="DR43" s="902">
        <v>11</v>
      </c>
      <c r="DS43" s="902" t="s">
        <v>758</v>
      </c>
      <c r="DT43" s="949">
        <v>0.09</v>
      </c>
      <c r="DU43" s="949">
        <v>0.64</v>
      </c>
      <c r="DV43" s="949">
        <v>0.18</v>
      </c>
      <c r="DW43" s="949">
        <v>0.09</v>
      </c>
      <c r="DX43" s="949">
        <v>0.44</v>
      </c>
      <c r="DY43" s="949">
        <v>0.3</v>
      </c>
      <c r="DZ43" s="949">
        <v>0.86</v>
      </c>
      <c r="EA43" s="949">
        <v>0.47</v>
      </c>
      <c r="EB43" s="949">
        <v>0.6</v>
      </c>
      <c r="EC43" s="949">
        <v>0.34</v>
      </c>
      <c r="ED43" s="922">
        <v>325754004599</v>
      </c>
      <c r="EE43" s="36" t="s">
        <v>163</v>
      </c>
    </row>
    <row r="44" spans="1:135" ht="24.95" customHeight="1" x14ac:dyDescent="0.2">
      <c r="A44" s="126" t="s">
        <v>104</v>
      </c>
      <c r="B44" s="1" t="s">
        <v>123</v>
      </c>
      <c r="C44" s="2">
        <v>2</v>
      </c>
      <c r="D44" s="12">
        <v>66</v>
      </c>
      <c r="E44" s="12">
        <v>0</v>
      </c>
      <c r="F44" s="63">
        <v>0</v>
      </c>
      <c r="G44" s="63">
        <v>0</v>
      </c>
      <c r="H44" s="63">
        <v>1</v>
      </c>
      <c r="I44" s="63">
        <v>0</v>
      </c>
      <c r="J44" s="63">
        <v>0.11</v>
      </c>
      <c r="K44" s="63">
        <v>0.44</v>
      </c>
      <c r="L44" s="63">
        <v>0.25</v>
      </c>
      <c r="M44" s="63">
        <v>0.28999999999999998</v>
      </c>
      <c r="N44" s="63">
        <v>0.22</v>
      </c>
      <c r="O44" s="63">
        <v>0</v>
      </c>
      <c r="P44" s="12" t="s">
        <v>126</v>
      </c>
      <c r="Q44" s="12" t="s">
        <v>126</v>
      </c>
      <c r="R44" s="61"/>
      <c r="S44" s="61"/>
      <c r="T44" s="61"/>
      <c r="U44" s="61"/>
      <c r="V44" s="61"/>
      <c r="W44" s="61"/>
      <c r="X44" s="61"/>
      <c r="Y44" s="61"/>
      <c r="Z44" s="61"/>
      <c r="AA44" s="61"/>
      <c r="AB44" s="12" t="s">
        <v>126</v>
      </c>
      <c r="AC44" s="12" t="s">
        <v>126</v>
      </c>
      <c r="AD44" s="2"/>
      <c r="AE44" s="2"/>
      <c r="AF44" s="2"/>
      <c r="AG44" s="2"/>
      <c r="AH44" s="2"/>
      <c r="AI44" s="2"/>
      <c r="AJ44" s="2"/>
      <c r="AK44" s="2"/>
      <c r="AL44" s="2"/>
      <c r="AM44" s="2"/>
      <c r="AN44" s="12" t="s">
        <v>126</v>
      </c>
      <c r="AO44" s="12" t="s">
        <v>126</v>
      </c>
      <c r="AP44" s="2"/>
      <c r="AQ44" s="2"/>
      <c r="AR44" s="2"/>
      <c r="AS44" s="2"/>
      <c r="AT44" s="2"/>
      <c r="AU44" s="2"/>
      <c r="AV44" s="2"/>
      <c r="AW44" s="2"/>
      <c r="AX44" s="2"/>
      <c r="AY44" s="2"/>
      <c r="AZ44" s="35">
        <v>38</v>
      </c>
      <c r="BA44" s="35">
        <v>0</v>
      </c>
      <c r="BB44" s="40">
        <v>1</v>
      </c>
      <c r="BC44" s="40">
        <v>0</v>
      </c>
      <c r="BD44" s="40">
        <v>0</v>
      </c>
      <c r="BE44" s="40">
        <v>0</v>
      </c>
      <c r="BF44" s="40">
        <v>1</v>
      </c>
      <c r="BG44" s="40">
        <v>0.83</v>
      </c>
      <c r="BH44" s="40">
        <v>0.55000000000000004</v>
      </c>
      <c r="BI44" s="40">
        <v>0.67</v>
      </c>
      <c r="BJ44" s="40">
        <v>0.63</v>
      </c>
      <c r="BK44" s="40">
        <v>0.5</v>
      </c>
      <c r="BL44" s="646"/>
      <c r="BM44" s="646"/>
      <c r="BN44" s="646"/>
      <c r="BO44" s="646"/>
      <c r="BP44" s="646"/>
      <c r="BQ44" s="646"/>
      <c r="BR44" s="646"/>
      <c r="BS44" s="646"/>
      <c r="BT44" s="646"/>
      <c r="BU44" s="646"/>
      <c r="BV44" s="646"/>
      <c r="BW44" s="646"/>
      <c r="BX44" s="646"/>
      <c r="BY44" s="646"/>
      <c r="BZ44" s="649"/>
      <c r="CA44" s="649"/>
      <c r="CB44" s="649"/>
      <c r="CC44" s="649"/>
      <c r="CD44" s="649"/>
      <c r="CE44" s="649"/>
      <c r="CF44" s="649"/>
      <c r="CG44" s="649"/>
      <c r="CH44" s="649"/>
      <c r="CI44" s="649"/>
      <c r="CJ44" s="649"/>
      <c r="CK44" s="649"/>
      <c r="CL44" s="649"/>
      <c r="CM44" s="649"/>
      <c r="CN44" s="651"/>
      <c r="CO44" s="651"/>
      <c r="CP44" s="651"/>
      <c r="CQ44" s="651"/>
      <c r="CR44" s="651"/>
      <c r="CS44" s="651"/>
      <c r="CT44" s="651"/>
      <c r="CU44" s="651"/>
      <c r="CV44" s="651"/>
      <c r="CW44" s="651"/>
      <c r="CX44" s="651"/>
      <c r="CY44" s="651"/>
      <c r="CZ44" s="660"/>
      <c r="DA44" s="660"/>
      <c r="DB44" s="662"/>
      <c r="DC44" s="662"/>
      <c r="DD44" s="662"/>
      <c r="DE44" s="662"/>
      <c r="DF44" s="662"/>
      <c r="DG44" s="662"/>
      <c r="DH44" s="662"/>
      <c r="DI44" s="662"/>
      <c r="DJ44" s="662"/>
      <c r="DK44" s="662"/>
      <c r="DL44" s="662"/>
      <c r="DM44" s="662"/>
      <c r="DN44" s="662"/>
      <c r="DO44" s="662"/>
      <c r="DP44" s="902">
        <v>38</v>
      </c>
      <c r="DQ44" s="902" t="s">
        <v>760</v>
      </c>
      <c r="DR44" s="902">
        <v>7</v>
      </c>
      <c r="DS44" s="902" t="s">
        <v>760</v>
      </c>
      <c r="DT44" s="949">
        <v>0.6</v>
      </c>
      <c r="DU44" s="949">
        <v>0.4</v>
      </c>
      <c r="DV44" s="949">
        <v>0</v>
      </c>
      <c r="DW44" s="949">
        <v>0</v>
      </c>
      <c r="DX44" s="949">
        <v>0.71</v>
      </c>
      <c r="DY44" s="949">
        <v>0.71</v>
      </c>
      <c r="DZ44" s="949">
        <v>1</v>
      </c>
      <c r="EA44" s="949">
        <v>0.84</v>
      </c>
      <c r="EB44" s="949">
        <v>0.77</v>
      </c>
      <c r="EC44" s="949">
        <v>0.56999999999999995</v>
      </c>
      <c r="ED44" s="922">
        <v>325754004980</v>
      </c>
      <c r="EE44" s="126" t="s">
        <v>104</v>
      </c>
    </row>
    <row r="45" spans="1:135" ht="24.95" customHeight="1" x14ac:dyDescent="0.2">
      <c r="A45" s="126" t="s">
        <v>797</v>
      </c>
      <c r="B45" s="14" t="s">
        <v>123</v>
      </c>
      <c r="C45" s="2">
        <v>2</v>
      </c>
      <c r="D45" s="12"/>
      <c r="E45" s="12"/>
      <c r="F45" s="63"/>
      <c r="G45" s="63"/>
      <c r="H45" s="63"/>
      <c r="I45" s="63"/>
      <c r="J45" s="63"/>
      <c r="K45" s="63"/>
      <c r="L45" s="63"/>
      <c r="M45" s="63"/>
      <c r="N45" s="63"/>
      <c r="O45" s="63"/>
      <c r="P45" s="12"/>
      <c r="Q45" s="12"/>
      <c r="R45" s="61"/>
      <c r="S45" s="61"/>
      <c r="T45" s="61"/>
      <c r="U45" s="61"/>
      <c r="V45" s="61"/>
      <c r="W45" s="61"/>
      <c r="X45" s="61"/>
      <c r="Y45" s="61"/>
      <c r="Z45" s="61"/>
      <c r="AA45" s="61"/>
      <c r="AB45" s="12"/>
      <c r="AC45" s="12"/>
      <c r="AD45" s="2"/>
      <c r="AE45" s="2"/>
      <c r="AF45" s="2"/>
      <c r="AG45" s="2"/>
      <c r="AH45" s="2"/>
      <c r="AI45" s="2"/>
      <c r="AJ45" s="2"/>
      <c r="AK45" s="2"/>
      <c r="AL45" s="2"/>
      <c r="AM45" s="2"/>
      <c r="AN45" s="12"/>
      <c r="AO45" s="12"/>
      <c r="AP45" s="2"/>
      <c r="AQ45" s="2"/>
      <c r="AR45" s="2"/>
      <c r="AS45" s="2"/>
      <c r="AT45" s="2"/>
      <c r="AU45" s="2"/>
      <c r="AV45" s="2"/>
      <c r="AW45" s="2"/>
      <c r="AX45" s="2"/>
      <c r="AY45" s="2"/>
      <c r="AZ45" s="35"/>
      <c r="BA45" s="35"/>
      <c r="BB45" s="40"/>
      <c r="BC45" s="40"/>
      <c r="BD45" s="40"/>
      <c r="BE45" s="40"/>
      <c r="BF45" s="40"/>
      <c r="BG45" s="40"/>
      <c r="BH45" s="40"/>
      <c r="BI45" s="40"/>
      <c r="BJ45" s="40"/>
      <c r="BK45" s="40"/>
      <c r="BL45" s="646"/>
      <c r="BM45" s="646"/>
      <c r="BN45" s="646"/>
      <c r="BO45" s="646"/>
      <c r="BP45" s="646"/>
      <c r="BQ45" s="646"/>
      <c r="BR45" s="646"/>
      <c r="BS45" s="646"/>
      <c r="BT45" s="646"/>
      <c r="BU45" s="646"/>
      <c r="BV45" s="646"/>
      <c r="BW45" s="646"/>
      <c r="BX45" s="646"/>
      <c r="BY45" s="646"/>
      <c r="BZ45" s="309">
        <v>61</v>
      </c>
      <c r="CA45" s="309" t="s">
        <v>759</v>
      </c>
      <c r="CB45" s="309">
        <v>10</v>
      </c>
      <c r="CC45" s="309" t="s">
        <v>758</v>
      </c>
      <c r="CD45" s="327">
        <v>0</v>
      </c>
      <c r="CE45" s="327">
        <v>0.33</v>
      </c>
      <c r="CF45" s="327">
        <v>0.33</v>
      </c>
      <c r="CG45" s="327">
        <v>0.33</v>
      </c>
      <c r="CH45" s="327">
        <v>0.33</v>
      </c>
      <c r="CI45" s="327">
        <v>0.17</v>
      </c>
      <c r="CJ45" s="327">
        <v>0.23</v>
      </c>
      <c r="CK45" s="327">
        <v>0.27</v>
      </c>
      <c r="CL45" s="327">
        <v>0.33</v>
      </c>
      <c r="CM45" s="327">
        <v>0.2</v>
      </c>
      <c r="CN45" s="424">
        <v>50</v>
      </c>
      <c r="CO45" s="424" t="s">
        <v>758</v>
      </c>
      <c r="CP45" s="424">
        <v>12</v>
      </c>
      <c r="CQ45" s="424" t="s">
        <v>758</v>
      </c>
      <c r="CR45" s="428">
        <v>0.14000000000000001</v>
      </c>
      <c r="CS45" s="428">
        <v>0.56999999999999995</v>
      </c>
      <c r="CT45" s="428">
        <v>0.28999999999999998</v>
      </c>
      <c r="CU45" s="428">
        <v>0</v>
      </c>
      <c r="CV45" s="428">
        <v>0.42</v>
      </c>
      <c r="CW45" s="428">
        <v>0.53</v>
      </c>
      <c r="CX45" s="428">
        <v>0.61</v>
      </c>
      <c r="CY45" s="428">
        <v>1</v>
      </c>
      <c r="CZ45" s="523">
        <v>0.54</v>
      </c>
      <c r="DA45" s="523">
        <v>0.67</v>
      </c>
      <c r="DB45" s="613"/>
      <c r="DC45" s="613"/>
      <c r="DD45" s="613"/>
      <c r="DE45" s="613"/>
      <c r="DF45" s="658"/>
      <c r="DG45" s="658"/>
      <c r="DH45" s="658"/>
      <c r="DI45" s="658"/>
      <c r="DJ45" s="658"/>
      <c r="DK45" s="658"/>
      <c r="DL45" s="658"/>
      <c r="DM45" s="658"/>
      <c r="DN45" s="658"/>
      <c r="DO45" s="658"/>
      <c r="DP45" s="902">
        <v>58</v>
      </c>
      <c r="DQ45" s="902" t="s">
        <v>759</v>
      </c>
      <c r="DR45" s="902">
        <v>10</v>
      </c>
      <c r="DS45" s="902" t="s">
        <v>758</v>
      </c>
      <c r="DT45" s="949">
        <v>0</v>
      </c>
      <c r="DU45" s="949">
        <v>0.33</v>
      </c>
      <c r="DV45" s="949">
        <v>0.56000000000000005</v>
      </c>
      <c r="DW45" s="949">
        <v>0.11</v>
      </c>
      <c r="DX45" s="949">
        <v>0.3</v>
      </c>
      <c r="DY45" s="949">
        <v>0.26</v>
      </c>
      <c r="DZ45" s="949">
        <v>0.28999999999999998</v>
      </c>
      <c r="EA45" s="949">
        <v>0.45</v>
      </c>
      <c r="EB45" s="949">
        <v>0.33</v>
      </c>
      <c r="EC45" s="949">
        <v>0.16</v>
      </c>
      <c r="ED45" s="922">
        <v>325754005561</v>
      </c>
      <c r="EE45" s="126" t="s">
        <v>797</v>
      </c>
    </row>
    <row r="46" spans="1:135" ht="24.95" customHeight="1" x14ac:dyDescent="0.2">
      <c r="A46" s="126" t="s">
        <v>40</v>
      </c>
      <c r="B46" s="1" t="s">
        <v>123</v>
      </c>
      <c r="C46" s="2">
        <v>4</v>
      </c>
      <c r="D46" s="12">
        <v>48</v>
      </c>
      <c r="E46" s="12">
        <v>11</v>
      </c>
      <c r="F46" s="63">
        <v>0.3</v>
      </c>
      <c r="G46" s="63">
        <v>0.4</v>
      </c>
      <c r="H46" s="63">
        <v>0.3</v>
      </c>
      <c r="I46" s="63">
        <v>0</v>
      </c>
      <c r="J46" s="63">
        <v>0.57999999999999996</v>
      </c>
      <c r="K46" s="63">
        <v>0.57999999999999996</v>
      </c>
      <c r="L46" s="63">
        <v>0.61</v>
      </c>
      <c r="M46" s="63">
        <v>0.39</v>
      </c>
      <c r="N46" s="63">
        <v>0.53</v>
      </c>
      <c r="O46" s="63">
        <v>0.6</v>
      </c>
      <c r="P46" s="12">
        <v>53</v>
      </c>
      <c r="Q46" s="12">
        <v>11</v>
      </c>
      <c r="R46" s="61">
        <v>0.2</v>
      </c>
      <c r="S46" s="61">
        <v>0.2</v>
      </c>
      <c r="T46" s="61">
        <v>0.6</v>
      </c>
      <c r="U46" s="61">
        <v>0</v>
      </c>
      <c r="V46" s="61">
        <v>0.38</v>
      </c>
      <c r="W46" s="61">
        <v>0.34</v>
      </c>
      <c r="X46" s="61">
        <v>0.6</v>
      </c>
      <c r="Y46" s="61">
        <v>0.4</v>
      </c>
      <c r="Z46" s="61">
        <v>0.48</v>
      </c>
      <c r="AA46" s="61">
        <v>0.5</v>
      </c>
      <c r="AB46" s="12">
        <v>51</v>
      </c>
      <c r="AC46" s="12">
        <v>11</v>
      </c>
      <c r="AD46" s="63">
        <v>0.09</v>
      </c>
      <c r="AE46" s="63">
        <v>0.73</v>
      </c>
      <c r="AF46" s="63">
        <v>0.09</v>
      </c>
      <c r="AG46" s="63">
        <v>0.09</v>
      </c>
      <c r="AH46" s="63">
        <v>0.42</v>
      </c>
      <c r="AI46" s="63">
        <v>0.42</v>
      </c>
      <c r="AJ46" s="63">
        <v>0.34</v>
      </c>
      <c r="AK46" s="63">
        <v>0.49</v>
      </c>
      <c r="AL46" s="63">
        <v>0.57999999999999996</v>
      </c>
      <c r="AM46" s="63">
        <v>0.47</v>
      </c>
      <c r="AN46" s="12">
        <v>55</v>
      </c>
      <c r="AO46" s="12">
        <v>10</v>
      </c>
      <c r="AP46" s="63">
        <v>0</v>
      </c>
      <c r="AQ46" s="63">
        <v>0.5</v>
      </c>
      <c r="AR46" s="63">
        <v>0.5</v>
      </c>
      <c r="AS46" s="63">
        <v>0</v>
      </c>
      <c r="AT46" s="63">
        <v>0.53</v>
      </c>
      <c r="AU46" s="63">
        <v>0.39</v>
      </c>
      <c r="AV46" s="63">
        <v>0.31</v>
      </c>
      <c r="AW46" s="63">
        <v>0.38</v>
      </c>
      <c r="AX46" s="63">
        <v>0.34</v>
      </c>
      <c r="AY46" s="63">
        <v>0.33</v>
      </c>
      <c r="AZ46" s="35">
        <v>46</v>
      </c>
      <c r="BA46" s="35">
        <v>10</v>
      </c>
      <c r="BB46" s="40">
        <v>0.31</v>
      </c>
      <c r="BC46" s="40">
        <v>0.46</v>
      </c>
      <c r="BD46" s="40">
        <v>0.23</v>
      </c>
      <c r="BE46" s="40">
        <v>0</v>
      </c>
      <c r="BF46" s="40">
        <v>0.6</v>
      </c>
      <c r="BG46" s="40">
        <v>0.53</v>
      </c>
      <c r="BH46" s="40">
        <v>0.53</v>
      </c>
      <c r="BI46" s="40">
        <v>0.62</v>
      </c>
      <c r="BJ46" s="40">
        <v>0.46</v>
      </c>
      <c r="BK46" s="40">
        <v>0.4</v>
      </c>
      <c r="BL46" s="647">
        <v>54</v>
      </c>
      <c r="BM46" s="647" t="s">
        <v>758</v>
      </c>
      <c r="BN46" s="647">
        <v>10</v>
      </c>
      <c r="BO46" s="647" t="s">
        <v>758</v>
      </c>
      <c r="BP46" s="648">
        <v>0.1</v>
      </c>
      <c r="BQ46" s="648">
        <v>0.38</v>
      </c>
      <c r="BR46" s="648">
        <v>0.48</v>
      </c>
      <c r="BS46" s="648">
        <v>0.05</v>
      </c>
      <c r="BT46" s="648">
        <v>0.44</v>
      </c>
      <c r="BU46" s="648">
        <v>0.46</v>
      </c>
      <c r="BV46" s="648">
        <v>0.56999999999999995</v>
      </c>
      <c r="BW46" s="648">
        <v>0.37</v>
      </c>
      <c r="BX46" s="648">
        <v>0.35</v>
      </c>
      <c r="BY46" s="648">
        <v>0.45</v>
      </c>
      <c r="BZ46" s="74">
        <v>47</v>
      </c>
      <c r="CA46" s="74" t="s">
        <v>758</v>
      </c>
      <c r="CB46" s="74">
        <v>10</v>
      </c>
      <c r="CC46" s="74" t="s">
        <v>758</v>
      </c>
      <c r="CD46" s="96">
        <v>0.2</v>
      </c>
      <c r="CE46" s="96">
        <v>0.56000000000000005</v>
      </c>
      <c r="CF46" s="96">
        <v>0.24</v>
      </c>
      <c r="CG46" s="96">
        <v>0</v>
      </c>
      <c r="CH46" s="96">
        <v>0.67</v>
      </c>
      <c r="CI46" s="96">
        <v>0.44</v>
      </c>
      <c r="CJ46" s="96">
        <v>0.66</v>
      </c>
      <c r="CK46" s="96">
        <v>0.53</v>
      </c>
      <c r="CL46" s="96">
        <v>0.5</v>
      </c>
      <c r="CM46" s="96">
        <v>0.56999999999999995</v>
      </c>
      <c r="CN46" s="652">
        <v>48</v>
      </c>
      <c r="CO46" s="652" t="s">
        <v>758</v>
      </c>
      <c r="CP46" s="652">
        <v>9</v>
      </c>
      <c r="CQ46" s="652" t="s">
        <v>758</v>
      </c>
      <c r="CR46" s="653">
        <v>0.22</v>
      </c>
      <c r="CS46" s="653">
        <v>0.61</v>
      </c>
      <c r="CT46" s="653">
        <v>0.17</v>
      </c>
      <c r="CU46" s="653">
        <v>0</v>
      </c>
      <c r="CV46" s="653">
        <v>0.42</v>
      </c>
      <c r="CW46" s="653">
        <v>0.59</v>
      </c>
      <c r="CX46" s="653">
        <v>0.55000000000000004</v>
      </c>
      <c r="CY46" s="653">
        <v>0.73</v>
      </c>
      <c r="CZ46" s="661">
        <v>0.57999999999999996</v>
      </c>
      <c r="DA46" s="661">
        <v>0.53</v>
      </c>
      <c r="DB46" s="47">
        <v>45</v>
      </c>
      <c r="DC46" s="47" t="s">
        <v>758</v>
      </c>
      <c r="DD46" s="47">
        <v>10</v>
      </c>
      <c r="DE46" s="47" t="s">
        <v>758</v>
      </c>
      <c r="DF46" s="664">
        <v>0.28999999999999998</v>
      </c>
      <c r="DG46" s="664">
        <v>0.52</v>
      </c>
      <c r="DH46" s="664">
        <v>0.16</v>
      </c>
      <c r="DI46" s="664">
        <v>0.03</v>
      </c>
      <c r="DJ46" s="664">
        <v>0.53</v>
      </c>
      <c r="DK46" s="664">
        <v>0.41</v>
      </c>
      <c r="DL46" s="664">
        <v>0.5</v>
      </c>
      <c r="DM46" s="664">
        <v>0.77</v>
      </c>
      <c r="DN46" s="664">
        <v>0.57999999999999996</v>
      </c>
      <c r="DO46" s="664">
        <v>0.5</v>
      </c>
      <c r="DP46" s="902">
        <v>49</v>
      </c>
      <c r="DQ46" s="902" t="s">
        <v>758</v>
      </c>
      <c r="DR46" s="902">
        <v>12</v>
      </c>
      <c r="DS46" s="902" t="s">
        <v>758</v>
      </c>
      <c r="DT46" s="949">
        <v>0.25</v>
      </c>
      <c r="DU46" s="949">
        <v>0.46</v>
      </c>
      <c r="DV46" s="949">
        <v>0.21</v>
      </c>
      <c r="DW46" s="949">
        <v>7.0000000000000007E-2</v>
      </c>
      <c r="DX46" s="949">
        <v>0.51</v>
      </c>
      <c r="DY46" s="949">
        <v>0.44</v>
      </c>
      <c r="DZ46" s="949">
        <v>0.8</v>
      </c>
      <c r="EA46" s="949">
        <v>0.56000000000000005</v>
      </c>
      <c r="EB46" s="949">
        <v>0.53</v>
      </c>
      <c r="EC46" s="949">
        <v>0.5</v>
      </c>
      <c r="ED46" s="922">
        <v>325754004513</v>
      </c>
      <c r="EE46" s="126" t="s">
        <v>40</v>
      </c>
    </row>
    <row r="47" spans="1:135" ht="24.95" customHeight="1" x14ac:dyDescent="0.2">
      <c r="A47" s="555" t="s">
        <v>31</v>
      </c>
      <c r="B47" s="1" t="s">
        <v>123</v>
      </c>
      <c r="C47" s="309">
        <v>1</v>
      </c>
      <c r="D47" s="328">
        <v>48</v>
      </c>
      <c r="E47" s="328">
        <v>8</v>
      </c>
      <c r="F47" s="327">
        <v>0.33</v>
      </c>
      <c r="G47" s="327">
        <v>0.6</v>
      </c>
      <c r="H47" s="327">
        <v>7.0000000000000007E-2</v>
      </c>
      <c r="I47" s="327">
        <v>0</v>
      </c>
      <c r="J47" s="327">
        <v>0.57999999999999996</v>
      </c>
      <c r="K47" s="327">
        <v>0.57999999999999996</v>
      </c>
      <c r="L47" s="327">
        <v>0.71</v>
      </c>
      <c r="M47" s="327">
        <v>0.39</v>
      </c>
      <c r="N47" s="327">
        <v>0.5</v>
      </c>
      <c r="O47" s="327">
        <v>0.5</v>
      </c>
      <c r="P47" s="328" t="s">
        <v>126</v>
      </c>
      <c r="Q47" s="328" t="s">
        <v>126</v>
      </c>
      <c r="R47" s="330"/>
      <c r="S47" s="330"/>
      <c r="T47" s="330"/>
      <c r="U47" s="330"/>
      <c r="V47" s="330"/>
      <c r="W47" s="330"/>
      <c r="X47" s="330"/>
      <c r="Y47" s="330"/>
      <c r="Z47" s="330"/>
      <c r="AA47" s="330"/>
      <c r="AB47" s="328" t="s">
        <v>126</v>
      </c>
      <c r="AC47" s="328" t="s">
        <v>126</v>
      </c>
      <c r="AD47" s="309"/>
      <c r="AE47" s="309"/>
      <c r="AF47" s="309"/>
      <c r="AG47" s="309"/>
      <c r="AH47" s="309"/>
      <c r="AI47" s="309"/>
      <c r="AJ47" s="309"/>
      <c r="AK47" s="309"/>
      <c r="AL47" s="309"/>
      <c r="AM47" s="309"/>
      <c r="AN47" s="328" t="s">
        <v>126</v>
      </c>
      <c r="AO47" s="328" t="s">
        <v>126</v>
      </c>
      <c r="AP47" s="309"/>
      <c r="AQ47" s="309"/>
      <c r="AR47" s="309"/>
      <c r="AS47" s="309"/>
      <c r="AT47" s="309"/>
      <c r="AU47" s="309"/>
      <c r="AV47" s="309"/>
      <c r="AW47" s="309"/>
      <c r="AX47" s="309"/>
      <c r="AY47" s="309"/>
      <c r="AZ47" s="311"/>
      <c r="BA47" s="311"/>
      <c r="BB47" s="331"/>
      <c r="BC47" s="331"/>
      <c r="BD47" s="331"/>
      <c r="BE47" s="331"/>
      <c r="BF47" s="331"/>
      <c r="BG47" s="331"/>
      <c r="BH47" s="331"/>
      <c r="BI47" s="331"/>
      <c r="BJ47" s="331"/>
      <c r="BK47" s="331"/>
      <c r="BZ47" s="649"/>
      <c r="CA47" s="649"/>
      <c r="CB47" s="649"/>
      <c r="CC47" s="649"/>
      <c r="CD47" s="649"/>
      <c r="CE47" s="649"/>
      <c r="CF47" s="649"/>
      <c r="CG47" s="649"/>
      <c r="CH47" s="649"/>
      <c r="CI47" s="649"/>
      <c r="CJ47" s="649"/>
      <c r="CK47" s="649"/>
      <c r="CL47" s="649"/>
      <c r="CM47" s="649"/>
      <c r="CN47" s="651"/>
      <c r="CO47" s="651"/>
      <c r="CP47" s="651"/>
      <c r="CQ47" s="651"/>
      <c r="CR47" s="651"/>
      <c r="CS47" s="651"/>
      <c r="CT47" s="651"/>
      <c r="CU47" s="651"/>
      <c r="CV47" s="651"/>
      <c r="CW47" s="651"/>
      <c r="CX47" s="651"/>
      <c r="CY47" s="651"/>
      <c r="CZ47" s="660"/>
      <c r="DA47" s="660"/>
      <c r="DB47" s="660"/>
      <c r="DC47" s="660"/>
      <c r="DD47" s="660"/>
      <c r="DE47" s="660"/>
      <c r="DF47" s="660"/>
      <c r="DG47" s="660"/>
      <c r="DH47" s="660"/>
      <c r="DI47" s="660"/>
      <c r="DJ47" s="660"/>
      <c r="DK47" s="660"/>
      <c r="DL47" s="660"/>
      <c r="DM47" s="660"/>
      <c r="DN47" s="660"/>
      <c r="DO47" s="660"/>
      <c r="DT47" s="949"/>
      <c r="DU47" s="949"/>
      <c r="DV47" s="949"/>
      <c r="DW47" s="949"/>
      <c r="DX47" s="949"/>
      <c r="DY47" s="949"/>
      <c r="DZ47" s="949"/>
      <c r="EA47" s="949"/>
      <c r="EB47" s="949"/>
      <c r="EC47" s="949"/>
      <c r="ED47" s="922"/>
      <c r="EE47" s="555" t="s">
        <v>31</v>
      </c>
    </row>
    <row r="48" spans="1:135" ht="24.95" customHeight="1" x14ac:dyDescent="0.2">
      <c r="A48" s="126" t="s">
        <v>43</v>
      </c>
      <c r="B48" s="1" t="s">
        <v>123</v>
      </c>
      <c r="C48" s="2">
        <v>2</v>
      </c>
      <c r="D48" s="12">
        <v>44</v>
      </c>
      <c r="E48" s="12">
        <v>7</v>
      </c>
      <c r="F48" s="63">
        <v>0.33</v>
      </c>
      <c r="G48" s="63">
        <v>0.67</v>
      </c>
      <c r="H48" s="63">
        <v>0</v>
      </c>
      <c r="I48" s="63">
        <v>0</v>
      </c>
      <c r="J48" s="63">
        <v>0.71</v>
      </c>
      <c r="K48" s="63">
        <v>0.57999999999999996</v>
      </c>
      <c r="L48" s="63">
        <v>0.71</v>
      </c>
      <c r="M48" s="63">
        <v>0.5</v>
      </c>
      <c r="N48" s="63">
        <v>0.56000000000000005</v>
      </c>
      <c r="O48" s="63">
        <v>0.56000000000000005</v>
      </c>
      <c r="P48" s="12" t="s">
        <v>126</v>
      </c>
      <c r="Q48" s="12" t="s">
        <v>126</v>
      </c>
      <c r="R48" s="61"/>
      <c r="S48" s="61"/>
      <c r="T48" s="61"/>
      <c r="U48" s="61"/>
      <c r="V48" s="61"/>
      <c r="W48" s="61"/>
      <c r="X48" s="61"/>
      <c r="Y48" s="61"/>
      <c r="Z48" s="61"/>
      <c r="AA48" s="61"/>
      <c r="AB48" s="12">
        <v>38</v>
      </c>
      <c r="AC48" s="12">
        <v>6</v>
      </c>
      <c r="AD48" s="63">
        <v>0.71</v>
      </c>
      <c r="AE48" s="63">
        <v>0.28999999999999998</v>
      </c>
      <c r="AF48" s="63">
        <v>0</v>
      </c>
      <c r="AG48" s="63">
        <v>0</v>
      </c>
      <c r="AH48" s="63">
        <v>0.59</v>
      </c>
      <c r="AI48" s="63">
        <v>0.75</v>
      </c>
      <c r="AJ48" s="63">
        <v>0.64</v>
      </c>
      <c r="AK48" s="63">
        <v>0.69</v>
      </c>
      <c r="AL48" s="63">
        <v>0.72</v>
      </c>
      <c r="AM48" s="63">
        <v>0.69</v>
      </c>
      <c r="AN48" s="12">
        <v>45</v>
      </c>
      <c r="AO48" s="12">
        <v>10</v>
      </c>
      <c r="AP48" s="63">
        <v>0.31</v>
      </c>
      <c r="AQ48" s="63">
        <v>0.54</v>
      </c>
      <c r="AR48" s="63">
        <v>0.15</v>
      </c>
      <c r="AS48" s="63">
        <v>0</v>
      </c>
      <c r="AT48" s="63">
        <v>0.49</v>
      </c>
      <c r="AU48" s="63">
        <v>0.62</v>
      </c>
      <c r="AV48" s="63">
        <v>0.53</v>
      </c>
      <c r="AW48" s="63">
        <v>0.48</v>
      </c>
      <c r="AX48" s="63">
        <v>0.52</v>
      </c>
      <c r="AY48" s="63">
        <v>0.64</v>
      </c>
      <c r="AZ48" s="35">
        <v>57</v>
      </c>
      <c r="BA48" s="35">
        <v>10</v>
      </c>
      <c r="BB48" s="40">
        <v>0.17</v>
      </c>
      <c r="BC48" s="40">
        <v>0.17</v>
      </c>
      <c r="BD48" s="40">
        <v>0.67</v>
      </c>
      <c r="BE48" s="40">
        <v>0</v>
      </c>
      <c r="BF48" s="40">
        <v>0.27</v>
      </c>
      <c r="BG48" s="40">
        <v>0.42</v>
      </c>
      <c r="BH48" s="40">
        <v>0.28999999999999998</v>
      </c>
      <c r="BI48" s="40">
        <v>0.28000000000000003</v>
      </c>
      <c r="BJ48" s="40">
        <v>0.36</v>
      </c>
      <c r="BK48" s="40">
        <v>0.27</v>
      </c>
      <c r="BL48" s="246">
        <v>46</v>
      </c>
      <c r="BM48" s="246" t="s">
        <v>758</v>
      </c>
      <c r="BN48" s="246">
        <v>12</v>
      </c>
      <c r="BO48" s="246" t="s">
        <v>758</v>
      </c>
      <c r="BP48" s="263">
        <v>0.33</v>
      </c>
      <c r="BQ48" s="263">
        <v>0.42</v>
      </c>
      <c r="BR48" s="263">
        <v>0.25</v>
      </c>
      <c r="BS48" s="263">
        <v>0</v>
      </c>
      <c r="BT48" s="263">
        <v>0.52</v>
      </c>
      <c r="BU48" s="263">
        <v>0.44</v>
      </c>
      <c r="BV48" s="263">
        <v>0.18</v>
      </c>
      <c r="BW48" s="263">
        <v>0.49</v>
      </c>
      <c r="BX48" s="263">
        <v>0.57999999999999996</v>
      </c>
      <c r="BY48" s="263">
        <v>0.62</v>
      </c>
      <c r="BZ48" s="649"/>
      <c r="CA48" s="649"/>
      <c r="CB48" s="649"/>
      <c r="CC48" s="649"/>
      <c r="CD48" s="649"/>
      <c r="CE48" s="649"/>
      <c r="CF48" s="649"/>
      <c r="CG48" s="649"/>
      <c r="CH48" s="649"/>
      <c r="CI48" s="649"/>
      <c r="CJ48" s="649"/>
      <c r="CK48" s="649"/>
      <c r="CL48" s="649"/>
      <c r="CM48" s="649"/>
      <c r="CN48" s="424">
        <v>52</v>
      </c>
      <c r="CO48" s="424" t="s">
        <v>758</v>
      </c>
      <c r="CP48" s="424">
        <v>8</v>
      </c>
      <c r="CQ48" s="424" t="s">
        <v>758</v>
      </c>
      <c r="CR48" s="428">
        <v>0</v>
      </c>
      <c r="CS48" s="428">
        <v>0.71</v>
      </c>
      <c r="CT48" s="428">
        <v>0.28999999999999998</v>
      </c>
      <c r="CU48" s="428">
        <v>0</v>
      </c>
      <c r="CV48" s="428">
        <v>0.36</v>
      </c>
      <c r="CW48" s="428">
        <v>0.45</v>
      </c>
      <c r="CX48" s="428">
        <v>0.6</v>
      </c>
      <c r="CY48" s="428">
        <v>0.8</v>
      </c>
      <c r="CZ48" s="523">
        <v>0.33</v>
      </c>
      <c r="DA48" s="523">
        <v>0.28999999999999998</v>
      </c>
      <c r="DB48" s="524">
        <v>55</v>
      </c>
      <c r="DC48" s="524" t="s">
        <v>758</v>
      </c>
      <c r="DD48" s="524">
        <v>9</v>
      </c>
      <c r="DE48" s="524" t="s">
        <v>758</v>
      </c>
      <c r="DF48" s="525">
        <v>0</v>
      </c>
      <c r="DG48" s="525">
        <v>0.46</v>
      </c>
      <c r="DH48" s="525">
        <v>0.46</v>
      </c>
      <c r="DI48" s="525">
        <v>0.08</v>
      </c>
      <c r="DJ48" s="525">
        <v>0.43</v>
      </c>
      <c r="DK48" s="525">
        <v>0.44</v>
      </c>
      <c r="DL48" s="525">
        <v>0.37</v>
      </c>
      <c r="DM48" s="525">
        <v>0.55000000000000004</v>
      </c>
      <c r="DN48" s="525">
        <v>0.52</v>
      </c>
      <c r="DO48" s="525">
        <v>0.33</v>
      </c>
      <c r="DP48" s="902">
        <v>44</v>
      </c>
      <c r="DQ48" s="902" t="s">
        <v>758</v>
      </c>
      <c r="DR48" s="902">
        <v>9</v>
      </c>
      <c r="DS48" s="902" t="s">
        <v>758</v>
      </c>
      <c r="DT48" s="949">
        <v>0.43</v>
      </c>
      <c r="DU48" s="949">
        <v>0.56999999999999995</v>
      </c>
      <c r="DV48" s="949">
        <v>0</v>
      </c>
      <c r="DW48" s="949">
        <v>0</v>
      </c>
      <c r="DX48" s="949">
        <v>0.77</v>
      </c>
      <c r="DY48" s="949">
        <v>0.52</v>
      </c>
      <c r="DZ48" s="949">
        <v>0.75</v>
      </c>
      <c r="EA48" s="949">
        <v>0.54</v>
      </c>
      <c r="EB48" s="949">
        <v>0.77</v>
      </c>
      <c r="EC48" s="949">
        <v>0.17</v>
      </c>
      <c r="ED48" s="922">
        <v>325754000160</v>
      </c>
      <c r="EE48" s="126" t="s">
        <v>43</v>
      </c>
    </row>
    <row r="49" spans="1:135" ht="24.95" customHeight="1" x14ac:dyDescent="0.2">
      <c r="A49" s="36" t="s">
        <v>164</v>
      </c>
      <c r="B49" s="1" t="s">
        <v>123</v>
      </c>
      <c r="C49" s="2">
        <v>6</v>
      </c>
      <c r="D49" s="12"/>
      <c r="E49" s="12"/>
      <c r="F49" s="12"/>
      <c r="G49" s="12"/>
      <c r="H49" s="12"/>
      <c r="I49" s="12"/>
      <c r="J49" s="12"/>
      <c r="K49" s="12"/>
      <c r="L49" s="12"/>
      <c r="M49" s="12"/>
      <c r="N49" s="12"/>
      <c r="O49" s="12"/>
      <c r="P49" s="12" t="s">
        <v>126</v>
      </c>
      <c r="Q49" s="12" t="s">
        <v>126</v>
      </c>
      <c r="R49" s="61"/>
      <c r="S49" s="61"/>
      <c r="T49" s="61"/>
      <c r="U49" s="61"/>
      <c r="V49" s="61"/>
      <c r="W49" s="61"/>
      <c r="X49" s="61"/>
      <c r="Y49" s="61"/>
      <c r="Z49" s="61"/>
      <c r="AA49" s="61"/>
      <c r="AB49" s="12" t="s">
        <v>126</v>
      </c>
      <c r="AC49" s="12" t="s">
        <v>126</v>
      </c>
      <c r="AD49" s="2"/>
      <c r="AE49" s="2"/>
      <c r="AF49" s="2"/>
      <c r="AG49" s="2"/>
      <c r="AH49" s="2"/>
      <c r="AI49" s="2"/>
      <c r="AJ49" s="2"/>
      <c r="AK49" s="2"/>
      <c r="AL49" s="2"/>
      <c r="AM49" s="2"/>
      <c r="AN49" s="12" t="s">
        <v>126</v>
      </c>
      <c r="AO49" s="12" t="s">
        <v>126</v>
      </c>
      <c r="AP49" s="2"/>
      <c r="AQ49" s="2"/>
      <c r="AR49" s="2"/>
      <c r="AS49" s="2"/>
      <c r="AT49" s="2"/>
      <c r="AU49" s="2"/>
      <c r="AV49" s="2"/>
      <c r="AW49" s="2"/>
      <c r="AX49" s="2"/>
      <c r="AY49" s="2"/>
      <c r="AZ49" s="35">
        <v>48</v>
      </c>
      <c r="BA49" s="35">
        <v>8</v>
      </c>
      <c r="BB49" s="40">
        <v>0.16</v>
      </c>
      <c r="BC49" s="40">
        <v>0.68</v>
      </c>
      <c r="BD49" s="40">
        <v>0.16</v>
      </c>
      <c r="BE49" s="40">
        <v>0</v>
      </c>
      <c r="BF49" s="40">
        <v>0.47</v>
      </c>
      <c r="BG49" s="40">
        <v>0.5</v>
      </c>
      <c r="BH49" s="40">
        <v>0.52</v>
      </c>
      <c r="BI49" s="40">
        <v>0.61</v>
      </c>
      <c r="BJ49" s="40">
        <v>0.51</v>
      </c>
      <c r="BK49" s="40">
        <v>0.4</v>
      </c>
      <c r="BL49" s="647">
        <v>51</v>
      </c>
      <c r="BM49" s="647" t="s">
        <v>758</v>
      </c>
      <c r="BN49" s="647">
        <v>12</v>
      </c>
      <c r="BO49" s="647" t="s">
        <v>758</v>
      </c>
      <c r="BP49" s="648">
        <v>0.23</v>
      </c>
      <c r="BQ49" s="648">
        <v>0.27</v>
      </c>
      <c r="BR49" s="648">
        <v>0.5</v>
      </c>
      <c r="BS49" s="648">
        <v>0</v>
      </c>
      <c r="BT49" s="648">
        <v>0.47</v>
      </c>
      <c r="BU49" s="648">
        <v>0.45</v>
      </c>
      <c r="BV49" s="648">
        <v>0.45</v>
      </c>
      <c r="BW49" s="648">
        <v>0.39</v>
      </c>
      <c r="BX49" s="648">
        <v>0.4</v>
      </c>
      <c r="BY49" s="648">
        <v>0.48</v>
      </c>
      <c r="BZ49" s="74">
        <v>46</v>
      </c>
      <c r="CA49" s="74" t="s">
        <v>758</v>
      </c>
      <c r="CB49" s="74">
        <v>11</v>
      </c>
      <c r="CC49" s="74" t="s">
        <v>758</v>
      </c>
      <c r="CD49" s="96">
        <v>0.31</v>
      </c>
      <c r="CE49" s="96">
        <v>0.44</v>
      </c>
      <c r="CF49" s="96">
        <v>0.25</v>
      </c>
      <c r="CG49" s="96">
        <v>0</v>
      </c>
      <c r="CH49" s="96">
        <v>0.51</v>
      </c>
      <c r="CI49" s="96">
        <v>0.38</v>
      </c>
      <c r="CJ49" s="96">
        <v>0.64</v>
      </c>
      <c r="CK49" s="96">
        <v>0.6</v>
      </c>
      <c r="CL49" s="96">
        <v>0.42</v>
      </c>
      <c r="CM49" s="96">
        <v>0.57999999999999996</v>
      </c>
      <c r="CN49" s="652">
        <v>50</v>
      </c>
      <c r="CO49" s="652" t="s">
        <v>758</v>
      </c>
      <c r="CP49" s="652">
        <v>11</v>
      </c>
      <c r="CQ49" s="652" t="s">
        <v>758</v>
      </c>
      <c r="CR49" s="653">
        <v>0.25</v>
      </c>
      <c r="CS49" s="653">
        <v>0.46</v>
      </c>
      <c r="CT49" s="653">
        <v>0.28999999999999998</v>
      </c>
      <c r="CU49" s="653">
        <v>0</v>
      </c>
      <c r="CV49" s="653">
        <v>0.45</v>
      </c>
      <c r="CW49" s="653">
        <v>0.59</v>
      </c>
      <c r="CX49" s="653">
        <v>0.57999999999999996</v>
      </c>
      <c r="CY49" s="653">
        <v>0.69</v>
      </c>
      <c r="CZ49" s="661">
        <v>0.44</v>
      </c>
      <c r="DA49" s="661">
        <v>0.59</v>
      </c>
      <c r="DB49" s="47">
        <v>49</v>
      </c>
      <c r="DC49" s="47" t="s">
        <v>758</v>
      </c>
      <c r="DD49" s="47">
        <v>9</v>
      </c>
      <c r="DE49" s="47" t="s">
        <v>758</v>
      </c>
      <c r="DF49" s="664">
        <v>0.15</v>
      </c>
      <c r="DG49" s="664">
        <v>0.51</v>
      </c>
      <c r="DH49" s="664">
        <v>0.33</v>
      </c>
      <c r="DI49" s="664">
        <v>0</v>
      </c>
      <c r="DJ49" s="664">
        <v>0.53</v>
      </c>
      <c r="DK49" s="664">
        <v>0.45</v>
      </c>
      <c r="DL49" s="664">
        <v>0.46</v>
      </c>
      <c r="DM49" s="664">
        <v>0.63</v>
      </c>
      <c r="DN49" s="664">
        <v>0.59</v>
      </c>
      <c r="DO49" s="664">
        <v>0.5</v>
      </c>
      <c r="DP49" s="902">
        <v>51</v>
      </c>
      <c r="DQ49" s="902" t="s">
        <v>758</v>
      </c>
      <c r="DR49" s="902">
        <v>10</v>
      </c>
      <c r="DS49" s="902" t="s">
        <v>758</v>
      </c>
      <c r="DT49" s="949">
        <v>0.15</v>
      </c>
      <c r="DU49" s="949">
        <v>0.56000000000000005</v>
      </c>
      <c r="DV49" s="949">
        <v>0.23</v>
      </c>
      <c r="DW49" s="949">
        <v>0.05</v>
      </c>
      <c r="DX49" s="949">
        <v>0.55000000000000004</v>
      </c>
      <c r="DY49" s="949">
        <v>0.43</v>
      </c>
      <c r="DZ49" s="949">
        <v>0.43</v>
      </c>
      <c r="EA49" s="949">
        <v>0.48</v>
      </c>
      <c r="EB49" s="949">
        <v>0.56000000000000005</v>
      </c>
      <c r="EC49" s="949">
        <v>0.33</v>
      </c>
      <c r="ED49" s="922">
        <v>325754003363</v>
      </c>
      <c r="EE49" s="36" t="s">
        <v>164</v>
      </c>
    </row>
    <row r="50" spans="1:135" ht="24.95" customHeight="1" x14ac:dyDescent="0.2">
      <c r="A50" s="126" t="s">
        <v>125</v>
      </c>
      <c r="B50" s="1" t="s">
        <v>123</v>
      </c>
      <c r="C50" s="2">
        <v>3</v>
      </c>
      <c r="D50" s="12"/>
      <c r="E50" s="12"/>
      <c r="F50" s="12"/>
      <c r="G50" s="12"/>
      <c r="H50" s="12"/>
      <c r="I50" s="12"/>
      <c r="J50" s="12"/>
      <c r="K50" s="12"/>
      <c r="L50" s="12"/>
      <c r="M50" s="12"/>
      <c r="N50" s="12"/>
      <c r="O50" s="12"/>
      <c r="P50" s="12">
        <v>51</v>
      </c>
      <c r="Q50" s="12">
        <v>9</v>
      </c>
      <c r="R50" s="61">
        <v>0.1</v>
      </c>
      <c r="S50" s="61">
        <v>0.59</v>
      </c>
      <c r="T50" s="61">
        <v>0.3</v>
      </c>
      <c r="U50" s="61">
        <v>0.01</v>
      </c>
      <c r="V50" s="61">
        <v>0.44</v>
      </c>
      <c r="W50" s="61">
        <v>0.46</v>
      </c>
      <c r="X50" s="61">
        <v>0.61</v>
      </c>
      <c r="Y50" s="61">
        <v>0.44</v>
      </c>
      <c r="Z50" s="61">
        <v>0.42</v>
      </c>
      <c r="AA50" s="61">
        <v>0.48</v>
      </c>
      <c r="AB50" s="12">
        <v>47</v>
      </c>
      <c r="AC50" s="12">
        <v>10</v>
      </c>
      <c r="AD50" s="63">
        <v>0.3</v>
      </c>
      <c r="AE50" s="63">
        <v>0.5</v>
      </c>
      <c r="AF50" s="63">
        <v>0.2</v>
      </c>
      <c r="AG50" s="63">
        <v>0</v>
      </c>
      <c r="AH50" s="63">
        <v>0.47</v>
      </c>
      <c r="AI50" s="63">
        <v>0.48</v>
      </c>
      <c r="AJ50" s="63">
        <v>0.46</v>
      </c>
      <c r="AK50" s="63">
        <v>0.56000000000000005</v>
      </c>
      <c r="AL50" s="63">
        <v>0.56999999999999995</v>
      </c>
      <c r="AM50" s="63">
        <v>0.56999999999999995</v>
      </c>
      <c r="AN50" s="12">
        <v>45</v>
      </c>
      <c r="AO50" s="12">
        <v>10</v>
      </c>
      <c r="AP50" s="63">
        <v>0.32</v>
      </c>
      <c r="AQ50" s="63">
        <v>0.5</v>
      </c>
      <c r="AR50" s="63">
        <v>0.17</v>
      </c>
      <c r="AS50" s="63">
        <v>0.01</v>
      </c>
      <c r="AT50" s="63">
        <v>0.6</v>
      </c>
      <c r="AU50" s="63">
        <v>0.48</v>
      </c>
      <c r="AV50" s="63">
        <v>0.52</v>
      </c>
      <c r="AW50" s="63">
        <v>0.5</v>
      </c>
      <c r="AX50" s="63">
        <v>0.53</v>
      </c>
      <c r="AY50" s="63">
        <v>0.54</v>
      </c>
      <c r="AZ50" s="35">
        <v>46</v>
      </c>
      <c r="BA50" s="35">
        <v>11</v>
      </c>
      <c r="BB50" s="40">
        <v>0.38</v>
      </c>
      <c r="BC50" s="40">
        <v>0.43</v>
      </c>
      <c r="BD50" s="40">
        <v>0.18</v>
      </c>
      <c r="BE50" s="40">
        <v>0.01</v>
      </c>
      <c r="BF50" s="40">
        <v>0.54</v>
      </c>
      <c r="BG50" s="40">
        <v>0.51</v>
      </c>
      <c r="BH50" s="40">
        <v>0.55000000000000004</v>
      </c>
      <c r="BI50" s="40">
        <v>0.64</v>
      </c>
      <c r="BJ50" s="40">
        <v>0.47</v>
      </c>
      <c r="BK50" s="40">
        <v>0.55000000000000004</v>
      </c>
      <c r="BL50" s="246">
        <v>46</v>
      </c>
      <c r="BM50" s="246" t="s">
        <v>758</v>
      </c>
      <c r="BN50" s="246">
        <v>10</v>
      </c>
      <c r="BO50" s="246" t="s">
        <v>758</v>
      </c>
      <c r="BP50" s="263">
        <v>0.33</v>
      </c>
      <c r="BQ50" s="263">
        <v>0.48</v>
      </c>
      <c r="BR50" s="263">
        <v>0.18</v>
      </c>
      <c r="BS50" s="263">
        <v>0.01</v>
      </c>
      <c r="BT50" s="263">
        <v>0.48</v>
      </c>
      <c r="BU50" s="263">
        <v>0.55000000000000004</v>
      </c>
      <c r="BV50" s="263">
        <v>0.62</v>
      </c>
      <c r="BW50" s="263">
        <v>0.47</v>
      </c>
      <c r="BX50" s="263">
        <v>0.52</v>
      </c>
      <c r="BY50" s="263">
        <v>0.6</v>
      </c>
      <c r="BZ50" s="74">
        <v>47</v>
      </c>
      <c r="CA50" s="74" t="s">
        <v>758</v>
      </c>
      <c r="CB50" s="74">
        <v>9</v>
      </c>
      <c r="CC50" s="74" t="s">
        <v>758</v>
      </c>
      <c r="CD50" s="96">
        <v>0.26</v>
      </c>
      <c r="CE50" s="96">
        <v>0.56000000000000005</v>
      </c>
      <c r="CF50" s="96">
        <v>0.18</v>
      </c>
      <c r="CG50" s="96">
        <v>0</v>
      </c>
      <c r="CH50" s="96">
        <v>0.53</v>
      </c>
      <c r="CI50" s="96">
        <v>0.51</v>
      </c>
      <c r="CJ50" s="96">
        <v>0.59</v>
      </c>
      <c r="CK50" s="96">
        <v>0.59</v>
      </c>
      <c r="CL50" s="96">
        <v>0.49</v>
      </c>
      <c r="CM50" s="96">
        <v>0.62</v>
      </c>
      <c r="CN50" s="424">
        <v>49</v>
      </c>
      <c r="CO50" s="424" t="s">
        <v>758</v>
      </c>
      <c r="CP50" s="424">
        <v>9</v>
      </c>
      <c r="CQ50" s="424" t="s">
        <v>758</v>
      </c>
      <c r="CR50" s="428">
        <v>0.23</v>
      </c>
      <c r="CS50" s="428">
        <v>0.52</v>
      </c>
      <c r="CT50" s="428">
        <v>0.25</v>
      </c>
      <c r="CU50" s="428">
        <v>0</v>
      </c>
      <c r="CV50" s="428">
        <v>0.35</v>
      </c>
      <c r="CW50" s="428">
        <v>0.56999999999999995</v>
      </c>
      <c r="CX50" s="428">
        <v>0.56999999999999995</v>
      </c>
      <c r="CY50" s="428">
        <v>0.68</v>
      </c>
      <c r="CZ50" s="523">
        <v>0.59</v>
      </c>
      <c r="DA50" s="523">
        <v>0.6</v>
      </c>
      <c r="DB50" s="524">
        <v>47</v>
      </c>
      <c r="DC50" s="524" t="s">
        <v>758</v>
      </c>
      <c r="DD50" s="524">
        <v>10</v>
      </c>
      <c r="DE50" s="524" t="s">
        <v>758</v>
      </c>
      <c r="DF50" s="525">
        <v>0.28000000000000003</v>
      </c>
      <c r="DG50" s="525">
        <v>0.48</v>
      </c>
      <c r="DH50" s="525">
        <v>0.23</v>
      </c>
      <c r="DI50" s="525">
        <v>0.01</v>
      </c>
      <c r="DJ50" s="525">
        <v>0.51</v>
      </c>
      <c r="DK50" s="525">
        <v>0.54</v>
      </c>
      <c r="DL50" s="525">
        <v>0.54</v>
      </c>
      <c r="DM50" s="525">
        <v>0.69</v>
      </c>
      <c r="DN50" s="525">
        <v>0.6</v>
      </c>
      <c r="DO50" s="525">
        <v>0.43</v>
      </c>
      <c r="DP50" s="902">
        <v>48</v>
      </c>
      <c r="DQ50" s="902" t="s">
        <v>758</v>
      </c>
      <c r="DR50" s="902">
        <v>11</v>
      </c>
      <c r="DS50" s="902" t="s">
        <v>758</v>
      </c>
      <c r="DT50" s="949">
        <v>0.27</v>
      </c>
      <c r="DU50" s="949">
        <v>0.49</v>
      </c>
      <c r="DV50" s="949">
        <v>0.23</v>
      </c>
      <c r="DW50" s="949">
        <v>0.01</v>
      </c>
      <c r="DX50" s="949">
        <v>0.52</v>
      </c>
      <c r="DY50" s="949">
        <v>0.43</v>
      </c>
      <c r="DZ50" s="949">
        <v>0.69</v>
      </c>
      <c r="EA50" s="949">
        <v>0.56000000000000005</v>
      </c>
      <c r="EB50" s="949">
        <v>0.6</v>
      </c>
      <c r="EC50" s="949">
        <v>0.42</v>
      </c>
      <c r="ED50" s="922">
        <v>125754005189</v>
      </c>
      <c r="EE50" s="126" t="s">
        <v>125</v>
      </c>
    </row>
    <row r="51" spans="1:135" ht="25.5" customHeight="1" x14ac:dyDescent="0.2">
      <c r="A51" s="126" t="s">
        <v>72</v>
      </c>
      <c r="B51" s="1" t="s">
        <v>123</v>
      </c>
      <c r="C51" s="2">
        <v>2</v>
      </c>
      <c r="D51" s="12">
        <v>60</v>
      </c>
      <c r="E51" s="12">
        <v>8</v>
      </c>
      <c r="F51" s="63">
        <v>0.01</v>
      </c>
      <c r="G51" s="63">
        <v>0.28999999999999998</v>
      </c>
      <c r="H51" s="63">
        <v>0.63</v>
      </c>
      <c r="I51" s="63">
        <v>7.0000000000000007E-2</v>
      </c>
      <c r="J51" s="63">
        <v>0.4</v>
      </c>
      <c r="K51" s="63">
        <v>0.37</v>
      </c>
      <c r="L51" s="63">
        <v>0.46</v>
      </c>
      <c r="M51" s="63">
        <v>0.25</v>
      </c>
      <c r="N51" s="63">
        <v>0.28000000000000003</v>
      </c>
      <c r="O51" s="63">
        <v>0.35</v>
      </c>
      <c r="P51" s="12">
        <v>58</v>
      </c>
      <c r="Q51" s="12">
        <v>9</v>
      </c>
      <c r="R51" s="61">
        <v>0.03</v>
      </c>
      <c r="S51" s="61">
        <v>0.4</v>
      </c>
      <c r="T51" s="61">
        <v>0.51</v>
      </c>
      <c r="U51" s="61">
        <v>0.06</v>
      </c>
      <c r="V51" s="61">
        <v>0.28999999999999998</v>
      </c>
      <c r="W51" s="61">
        <v>0.39</v>
      </c>
      <c r="X51" s="61">
        <v>0.45</v>
      </c>
      <c r="Y51" s="61">
        <v>0.37</v>
      </c>
      <c r="Z51" s="61">
        <v>0.32</v>
      </c>
      <c r="AA51" s="61">
        <v>0.4</v>
      </c>
      <c r="AB51" s="12">
        <v>58</v>
      </c>
      <c r="AC51" s="12">
        <v>9</v>
      </c>
      <c r="AD51" s="63">
        <v>0.03</v>
      </c>
      <c r="AE51" s="63">
        <v>0.38</v>
      </c>
      <c r="AF51" s="63">
        <v>0.52</v>
      </c>
      <c r="AG51" s="63">
        <v>7.0000000000000007E-2</v>
      </c>
      <c r="AH51" s="63">
        <v>0.28999999999999998</v>
      </c>
      <c r="AI51" s="63">
        <v>0.28999999999999998</v>
      </c>
      <c r="AJ51" s="63">
        <v>0.26</v>
      </c>
      <c r="AK51" s="63">
        <v>0.36</v>
      </c>
      <c r="AL51" s="63">
        <v>0.42</v>
      </c>
      <c r="AM51" s="63">
        <v>0.38</v>
      </c>
      <c r="AN51" s="12">
        <v>55</v>
      </c>
      <c r="AO51" s="12">
        <v>9</v>
      </c>
      <c r="AP51" s="63">
        <v>0.08</v>
      </c>
      <c r="AQ51" s="63">
        <v>0.43</v>
      </c>
      <c r="AR51" s="63">
        <v>0.45</v>
      </c>
      <c r="AS51" s="63">
        <v>0.04</v>
      </c>
      <c r="AT51" s="63">
        <v>0.44</v>
      </c>
      <c r="AU51" s="63">
        <v>0.39</v>
      </c>
      <c r="AV51" s="63">
        <v>0.32</v>
      </c>
      <c r="AW51" s="63">
        <v>0.39</v>
      </c>
      <c r="AX51" s="63">
        <v>0.34</v>
      </c>
      <c r="AY51" s="63">
        <v>0.35</v>
      </c>
      <c r="AZ51" s="35">
        <v>60</v>
      </c>
      <c r="BA51" s="35">
        <v>11</v>
      </c>
      <c r="BB51" s="40">
        <v>0.02</v>
      </c>
      <c r="BC51" s="40">
        <v>0.33</v>
      </c>
      <c r="BD51" s="40">
        <v>0.56000000000000005</v>
      </c>
      <c r="BE51" s="40">
        <v>0.09</v>
      </c>
      <c r="BF51" s="40">
        <v>0.33</v>
      </c>
      <c r="BG51" s="40">
        <v>0.3</v>
      </c>
      <c r="BH51" s="40">
        <v>0.32</v>
      </c>
      <c r="BI51" s="40">
        <v>0.37</v>
      </c>
      <c r="BJ51" s="40">
        <v>0.26</v>
      </c>
      <c r="BK51" s="40">
        <v>0.23</v>
      </c>
      <c r="BL51" s="246">
        <v>55</v>
      </c>
      <c r="BM51" s="246" t="s">
        <v>758</v>
      </c>
      <c r="BN51" s="246">
        <v>10</v>
      </c>
      <c r="BO51" s="246" t="s">
        <v>758</v>
      </c>
      <c r="BP51" s="263">
        <v>0.06</v>
      </c>
      <c r="BQ51" s="263">
        <v>0.43</v>
      </c>
      <c r="BR51" s="263">
        <v>0.46</v>
      </c>
      <c r="BS51" s="263">
        <v>0.06</v>
      </c>
      <c r="BT51" s="263">
        <v>0.34</v>
      </c>
      <c r="BU51" s="263">
        <v>0.4</v>
      </c>
      <c r="BV51" s="263">
        <v>0.39</v>
      </c>
      <c r="BW51" s="263">
        <v>0.34</v>
      </c>
      <c r="BX51" s="263">
        <v>0.39</v>
      </c>
      <c r="BY51" s="263">
        <v>0.42</v>
      </c>
      <c r="BZ51" s="309">
        <v>58</v>
      </c>
      <c r="CA51" s="309" t="s">
        <v>759</v>
      </c>
      <c r="CB51" s="309">
        <v>9</v>
      </c>
      <c r="CC51" s="309" t="s">
        <v>758</v>
      </c>
      <c r="CD51" s="327">
        <v>0.05</v>
      </c>
      <c r="CE51" s="327">
        <v>0.36</v>
      </c>
      <c r="CF51" s="327">
        <v>0.5</v>
      </c>
      <c r="CG51" s="327">
        <v>0.09</v>
      </c>
      <c r="CH51" s="327">
        <v>0.38</v>
      </c>
      <c r="CI51" s="327">
        <v>0.27</v>
      </c>
      <c r="CJ51" s="327">
        <v>0.49</v>
      </c>
      <c r="CK51" s="327">
        <v>0.46</v>
      </c>
      <c r="CL51" s="327">
        <v>0.38</v>
      </c>
      <c r="CM51" s="327">
        <v>0.49</v>
      </c>
      <c r="CN51" s="424">
        <v>56</v>
      </c>
      <c r="CO51" s="424" t="s">
        <v>758</v>
      </c>
      <c r="CP51" s="424">
        <v>10</v>
      </c>
      <c r="CQ51" s="424" t="s">
        <v>758</v>
      </c>
      <c r="CR51" s="428">
        <v>0.06</v>
      </c>
      <c r="CS51" s="428">
        <v>0.41</v>
      </c>
      <c r="CT51" s="428">
        <v>0.47</v>
      </c>
      <c r="CU51" s="428">
        <v>0.06</v>
      </c>
      <c r="CV51" s="428">
        <v>0.26</v>
      </c>
      <c r="CW51" s="428">
        <v>0.41</v>
      </c>
      <c r="CX51" s="428">
        <v>0.53</v>
      </c>
      <c r="CY51" s="428">
        <v>0.64</v>
      </c>
      <c r="CZ51" s="523">
        <v>0.44</v>
      </c>
      <c r="DA51" s="523">
        <v>0.38</v>
      </c>
      <c r="DB51" s="524">
        <v>58</v>
      </c>
      <c r="DC51" s="524" t="s">
        <v>759</v>
      </c>
      <c r="DD51" s="524">
        <v>8</v>
      </c>
      <c r="DE51" s="524" t="s">
        <v>758</v>
      </c>
      <c r="DF51" s="525">
        <v>0.03</v>
      </c>
      <c r="DG51" s="525">
        <v>0.36</v>
      </c>
      <c r="DH51" s="525">
        <v>0.52</v>
      </c>
      <c r="DI51" s="525">
        <v>0.08</v>
      </c>
      <c r="DJ51" s="525">
        <v>0.37</v>
      </c>
      <c r="DK51" s="525">
        <v>0.38</v>
      </c>
      <c r="DL51" s="525">
        <v>0.36</v>
      </c>
      <c r="DM51" s="525">
        <v>0.53</v>
      </c>
      <c r="DN51" s="525">
        <v>0.36</v>
      </c>
      <c r="DO51" s="525">
        <v>0.24</v>
      </c>
      <c r="DP51" s="902">
        <v>57</v>
      </c>
      <c r="DQ51" s="902" t="s">
        <v>758</v>
      </c>
      <c r="DR51" s="902">
        <v>10</v>
      </c>
      <c r="DS51" s="902" t="s">
        <v>758</v>
      </c>
      <c r="DT51" s="949">
        <v>7.0000000000000007E-2</v>
      </c>
      <c r="DU51" s="949">
        <v>0.36</v>
      </c>
      <c r="DV51" s="949">
        <v>0.49</v>
      </c>
      <c r="DW51" s="949">
        <v>0.08</v>
      </c>
      <c r="DX51" s="949">
        <v>0.37</v>
      </c>
      <c r="DY51" s="949">
        <v>0.3</v>
      </c>
      <c r="DZ51" s="949">
        <v>0.68</v>
      </c>
      <c r="EA51" s="949">
        <v>0.37</v>
      </c>
      <c r="EB51" s="949">
        <v>0.42</v>
      </c>
      <c r="EC51" s="949">
        <v>0.3</v>
      </c>
      <c r="ED51" s="922">
        <v>325754001891</v>
      </c>
      <c r="EE51" s="126" t="s">
        <v>72</v>
      </c>
    </row>
    <row r="52" spans="1:135" ht="24.95" customHeight="1" x14ac:dyDescent="0.2">
      <c r="A52" s="36" t="s">
        <v>165</v>
      </c>
      <c r="B52" s="1" t="s">
        <v>123</v>
      </c>
      <c r="C52" s="2">
        <v>2</v>
      </c>
      <c r="D52" s="12"/>
      <c r="E52" s="12"/>
      <c r="F52" s="12"/>
      <c r="G52" s="12"/>
      <c r="H52" s="12"/>
      <c r="I52" s="12"/>
      <c r="J52" s="12"/>
      <c r="K52" s="12"/>
      <c r="L52" s="12"/>
      <c r="M52" s="12"/>
      <c r="N52" s="12"/>
      <c r="O52" s="12"/>
      <c r="P52" s="12" t="s">
        <v>126</v>
      </c>
      <c r="Q52" s="12" t="s">
        <v>126</v>
      </c>
      <c r="R52" s="61"/>
      <c r="S52" s="61"/>
      <c r="T52" s="61"/>
      <c r="U52" s="61"/>
      <c r="V52" s="61"/>
      <c r="W52" s="61"/>
      <c r="X52" s="61"/>
      <c r="Y52" s="61"/>
      <c r="Z52" s="61"/>
      <c r="AA52" s="61"/>
      <c r="AB52" s="12" t="s">
        <v>126</v>
      </c>
      <c r="AC52" s="12" t="s">
        <v>126</v>
      </c>
      <c r="AD52" s="2"/>
      <c r="AE52" s="2"/>
      <c r="AF52" s="2"/>
      <c r="AG52" s="2"/>
      <c r="AH52" s="2"/>
      <c r="AI52" s="2"/>
      <c r="AJ52" s="2"/>
      <c r="AK52" s="2"/>
      <c r="AL52" s="2"/>
      <c r="AM52" s="2"/>
      <c r="AN52" s="12" t="s">
        <v>126</v>
      </c>
      <c r="AO52" s="12" t="s">
        <v>126</v>
      </c>
      <c r="AP52" s="2"/>
      <c r="AQ52" s="2"/>
      <c r="AR52" s="2"/>
      <c r="AS52" s="2"/>
      <c r="AT52" s="2"/>
      <c r="AU52" s="2"/>
      <c r="AV52" s="2"/>
      <c r="AW52" s="2"/>
      <c r="AX52" s="2"/>
      <c r="AY52" s="2"/>
      <c r="AZ52" s="35">
        <v>52</v>
      </c>
      <c r="BA52" s="35">
        <v>0</v>
      </c>
      <c r="BB52" s="40">
        <v>0</v>
      </c>
      <c r="BC52" s="40">
        <v>1</v>
      </c>
      <c r="BD52" s="40">
        <v>0</v>
      </c>
      <c r="BE52" s="40">
        <v>0</v>
      </c>
      <c r="BF52" s="40">
        <v>0</v>
      </c>
      <c r="BG52" s="40">
        <v>0.33</v>
      </c>
      <c r="BH52" s="40">
        <v>0.5</v>
      </c>
      <c r="BI52" s="40">
        <v>1</v>
      </c>
      <c r="BJ52" s="40">
        <v>0.5</v>
      </c>
      <c r="BK52" s="40">
        <v>0.28999999999999998</v>
      </c>
      <c r="BL52" s="646"/>
      <c r="BM52" s="646"/>
      <c r="BN52" s="646"/>
      <c r="BO52" s="646"/>
      <c r="BP52" s="646"/>
      <c r="BQ52" s="646"/>
      <c r="BR52" s="646"/>
      <c r="BS52" s="646"/>
      <c r="BT52" s="646"/>
      <c r="BU52" s="646"/>
      <c r="BV52" s="646"/>
      <c r="BW52" s="646"/>
      <c r="BX52" s="646"/>
      <c r="BY52" s="646"/>
      <c r="BZ52" s="649"/>
      <c r="CA52" s="649"/>
      <c r="CB52" s="649"/>
      <c r="CC52" s="649"/>
      <c r="CD52" s="649"/>
      <c r="CE52" s="649"/>
      <c r="CF52" s="649"/>
      <c r="CG52" s="649"/>
      <c r="CH52" s="649"/>
      <c r="CI52" s="649"/>
      <c r="CJ52" s="649"/>
      <c r="CK52" s="649"/>
      <c r="CL52" s="649"/>
      <c r="CM52" s="649"/>
      <c r="CN52" s="651"/>
      <c r="CO52" s="651"/>
      <c r="CP52" s="651"/>
      <c r="CQ52" s="651"/>
      <c r="CR52" s="651"/>
      <c r="CS52" s="651"/>
      <c r="CT52" s="651"/>
      <c r="CU52" s="651"/>
      <c r="CV52" s="651"/>
      <c r="CW52" s="651"/>
      <c r="CX52" s="651"/>
      <c r="CY52" s="651"/>
      <c r="CZ52" s="660"/>
      <c r="DA52" s="660"/>
      <c r="DB52" s="662"/>
      <c r="DC52" s="662"/>
      <c r="DD52" s="662"/>
      <c r="DE52" s="662"/>
      <c r="DF52" s="662"/>
      <c r="DG52" s="662"/>
      <c r="DH52" s="662"/>
      <c r="DI52" s="662"/>
      <c r="DJ52" s="662"/>
      <c r="DK52" s="662"/>
      <c r="DL52" s="662"/>
      <c r="DM52" s="662"/>
      <c r="DN52" s="662"/>
      <c r="DO52" s="662"/>
      <c r="DP52" s="902">
        <v>47</v>
      </c>
      <c r="DQ52" s="902" t="s">
        <v>758</v>
      </c>
      <c r="DR52" s="902">
        <v>10</v>
      </c>
      <c r="DS52" s="902" t="s">
        <v>758</v>
      </c>
      <c r="DT52" s="949">
        <v>0.3</v>
      </c>
      <c r="DU52" s="949">
        <v>0.44</v>
      </c>
      <c r="DV52" s="949">
        <v>0.26</v>
      </c>
      <c r="DW52" s="949">
        <v>0</v>
      </c>
      <c r="DX52" s="949">
        <v>0.52</v>
      </c>
      <c r="DY52" s="949">
        <v>0.43</v>
      </c>
      <c r="DZ52" s="949">
        <v>0.57999999999999996</v>
      </c>
      <c r="EA52" s="949">
        <v>0.42</v>
      </c>
      <c r="EB52" s="949">
        <v>0.64</v>
      </c>
      <c r="EC52" s="949">
        <v>0.46</v>
      </c>
      <c r="ED52" s="922">
        <v>325754005331</v>
      </c>
      <c r="EE52" s="36" t="s">
        <v>165</v>
      </c>
    </row>
    <row r="53" spans="1:135" ht="24.95" customHeight="1" x14ac:dyDescent="0.2">
      <c r="A53" s="126" t="s">
        <v>76</v>
      </c>
      <c r="B53" s="1" t="s">
        <v>123</v>
      </c>
      <c r="C53" s="2">
        <v>5</v>
      </c>
      <c r="D53" s="12">
        <v>54</v>
      </c>
      <c r="E53" s="12">
        <v>7</v>
      </c>
      <c r="F53" s="63">
        <v>0</v>
      </c>
      <c r="G53" s="63">
        <v>0.63</v>
      </c>
      <c r="H53" s="63">
        <v>0.38</v>
      </c>
      <c r="I53" s="63">
        <v>0</v>
      </c>
      <c r="J53" s="63">
        <v>0.51</v>
      </c>
      <c r="K53" s="63">
        <v>0.4</v>
      </c>
      <c r="L53" s="63">
        <v>0.6</v>
      </c>
      <c r="M53" s="63">
        <v>0.37</v>
      </c>
      <c r="N53" s="63">
        <v>0.37</v>
      </c>
      <c r="O53" s="63">
        <v>0.5</v>
      </c>
      <c r="P53" s="12">
        <v>55</v>
      </c>
      <c r="Q53" s="12">
        <v>7</v>
      </c>
      <c r="R53" s="61">
        <v>0</v>
      </c>
      <c r="S53" s="61">
        <v>0.5</v>
      </c>
      <c r="T53" s="61">
        <v>0.5</v>
      </c>
      <c r="U53" s="61">
        <v>0</v>
      </c>
      <c r="V53" s="61">
        <v>0.33</v>
      </c>
      <c r="W53" s="61">
        <v>0.43</v>
      </c>
      <c r="X53" s="61">
        <v>0.49</v>
      </c>
      <c r="Y53" s="61">
        <v>0.35</v>
      </c>
      <c r="Z53" s="61">
        <v>0.33</v>
      </c>
      <c r="AA53" s="61">
        <v>0.42</v>
      </c>
      <c r="AB53" s="12">
        <v>52</v>
      </c>
      <c r="AC53" s="12">
        <v>8</v>
      </c>
      <c r="AD53" s="63">
        <v>0.06</v>
      </c>
      <c r="AE53" s="63">
        <v>0.56000000000000005</v>
      </c>
      <c r="AF53" s="63">
        <v>0.39</v>
      </c>
      <c r="AG53" s="63">
        <v>0</v>
      </c>
      <c r="AH53" s="63">
        <v>0.38</v>
      </c>
      <c r="AI53" s="63">
        <v>0.37</v>
      </c>
      <c r="AJ53" s="63">
        <v>0.25</v>
      </c>
      <c r="AK53" s="63">
        <v>0.5</v>
      </c>
      <c r="AL53" s="63">
        <v>0.49</v>
      </c>
      <c r="AM53" s="63">
        <v>0.5</v>
      </c>
      <c r="AN53" s="12">
        <v>54</v>
      </c>
      <c r="AO53" s="12">
        <v>10</v>
      </c>
      <c r="AP53" s="63">
        <v>0.11</v>
      </c>
      <c r="AQ53" s="63">
        <v>0.37</v>
      </c>
      <c r="AR53" s="63">
        <v>0.47</v>
      </c>
      <c r="AS53" s="63">
        <v>0.05</v>
      </c>
      <c r="AT53" s="63">
        <v>0.49</v>
      </c>
      <c r="AU53" s="63">
        <v>0.44</v>
      </c>
      <c r="AV53" s="63">
        <v>0.36</v>
      </c>
      <c r="AW53" s="63">
        <v>0.31</v>
      </c>
      <c r="AX53" s="63">
        <v>0.36</v>
      </c>
      <c r="AY53" s="63">
        <v>0.42</v>
      </c>
      <c r="AZ53" s="35">
        <v>58</v>
      </c>
      <c r="BA53" s="35">
        <v>9</v>
      </c>
      <c r="BB53" s="40">
        <v>0</v>
      </c>
      <c r="BC53" s="40">
        <v>0.43</v>
      </c>
      <c r="BD53" s="40">
        <v>0.52</v>
      </c>
      <c r="BE53" s="40">
        <v>0.05</v>
      </c>
      <c r="BF53" s="40">
        <v>0.49</v>
      </c>
      <c r="BG53" s="40">
        <v>0.31</v>
      </c>
      <c r="BH53" s="40">
        <v>0.35</v>
      </c>
      <c r="BI53" s="40">
        <v>0.41</v>
      </c>
      <c r="BJ53" s="40">
        <v>0.27</v>
      </c>
      <c r="BK53" s="40">
        <v>0.26</v>
      </c>
      <c r="BL53" s="246">
        <v>59</v>
      </c>
      <c r="BM53" s="246" t="s">
        <v>759</v>
      </c>
      <c r="BN53" s="246">
        <v>10</v>
      </c>
      <c r="BO53" s="246" t="s">
        <v>758</v>
      </c>
      <c r="BP53" s="263">
        <v>0.05</v>
      </c>
      <c r="BQ53" s="263">
        <v>0.28999999999999998</v>
      </c>
      <c r="BR53" s="263">
        <v>0.52</v>
      </c>
      <c r="BS53" s="263">
        <v>0.14000000000000001</v>
      </c>
      <c r="BT53" s="263">
        <v>0.34</v>
      </c>
      <c r="BU53" s="263">
        <v>0.36</v>
      </c>
      <c r="BV53" s="263">
        <v>0.28999999999999998</v>
      </c>
      <c r="BW53" s="263">
        <v>0.28999999999999998</v>
      </c>
      <c r="BX53" s="263">
        <v>0.28999999999999998</v>
      </c>
      <c r="BY53" s="263">
        <v>0.34</v>
      </c>
      <c r="BZ53" s="309">
        <v>56</v>
      </c>
      <c r="CA53" s="309" t="s">
        <v>758</v>
      </c>
      <c r="CB53" s="309">
        <v>7</v>
      </c>
      <c r="CC53" s="309" t="s">
        <v>760</v>
      </c>
      <c r="CD53" s="327">
        <v>0.06</v>
      </c>
      <c r="CE53" s="327">
        <v>0.39</v>
      </c>
      <c r="CF53" s="327">
        <v>0.56000000000000005</v>
      </c>
      <c r="CG53" s="327">
        <v>0</v>
      </c>
      <c r="CH53" s="327">
        <v>0.48</v>
      </c>
      <c r="CI53" s="327">
        <v>0.28999999999999998</v>
      </c>
      <c r="CJ53" s="327">
        <v>0.52</v>
      </c>
      <c r="CK53" s="327">
        <v>0.44</v>
      </c>
      <c r="CL53" s="327">
        <v>0.28999999999999998</v>
      </c>
      <c r="CM53" s="327">
        <v>0.53</v>
      </c>
      <c r="CN53" s="424">
        <v>55</v>
      </c>
      <c r="CO53" s="424" t="s">
        <v>758</v>
      </c>
      <c r="CP53" s="424">
        <v>8</v>
      </c>
      <c r="CQ53" s="424" t="s">
        <v>758</v>
      </c>
      <c r="CR53" s="428">
        <v>0</v>
      </c>
      <c r="CS53" s="428">
        <v>0.56999999999999995</v>
      </c>
      <c r="CT53" s="428">
        <v>0.38</v>
      </c>
      <c r="CU53" s="428">
        <v>0.05</v>
      </c>
      <c r="CV53" s="428">
        <v>0.18</v>
      </c>
      <c r="CW53" s="428">
        <v>0.52</v>
      </c>
      <c r="CX53" s="428">
        <v>0.52</v>
      </c>
      <c r="CY53" s="428">
        <v>0.78</v>
      </c>
      <c r="CZ53" s="523">
        <v>0.47</v>
      </c>
      <c r="DA53" s="523">
        <v>0.55000000000000004</v>
      </c>
      <c r="DB53" s="524">
        <v>56</v>
      </c>
      <c r="DC53" s="524" t="s">
        <v>758</v>
      </c>
      <c r="DD53" s="524">
        <v>8</v>
      </c>
      <c r="DE53" s="524" t="s">
        <v>758</v>
      </c>
      <c r="DF53" s="525">
        <v>0.05</v>
      </c>
      <c r="DG53" s="525">
        <v>0.43</v>
      </c>
      <c r="DH53" s="525">
        <v>0.48</v>
      </c>
      <c r="DI53" s="525">
        <v>0.05</v>
      </c>
      <c r="DJ53" s="525">
        <v>0.5</v>
      </c>
      <c r="DK53" s="525">
        <v>0.37</v>
      </c>
      <c r="DL53" s="525">
        <v>0.28000000000000003</v>
      </c>
      <c r="DM53" s="525">
        <v>0.48</v>
      </c>
      <c r="DN53" s="525">
        <v>0.51</v>
      </c>
      <c r="DO53" s="525">
        <v>0.33</v>
      </c>
      <c r="DP53" s="902">
        <v>54</v>
      </c>
      <c r="DQ53" s="902" t="s">
        <v>758</v>
      </c>
      <c r="DR53" s="902">
        <v>9</v>
      </c>
      <c r="DS53" s="902" t="s">
        <v>758</v>
      </c>
      <c r="DT53" s="949">
        <v>0.08</v>
      </c>
      <c r="DU53" s="949">
        <v>0.5</v>
      </c>
      <c r="DV53" s="949">
        <v>0.42</v>
      </c>
      <c r="DW53" s="949">
        <v>0</v>
      </c>
      <c r="DX53" s="949">
        <v>0.42</v>
      </c>
      <c r="DY53" s="949">
        <v>0.22</v>
      </c>
      <c r="DZ53" s="949">
        <v>0.79</v>
      </c>
      <c r="EA53" s="949">
        <v>0.4</v>
      </c>
      <c r="EB53" s="949">
        <v>0.5</v>
      </c>
      <c r="EC53" s="949">
        <v>0.37</v>
      </c>
      <c r="ED53" s="922">
        <v>325754001361</v>
      </c>
      <c r="EE53" s="126" t="s">
        <v>76</v>
      </c>
    </row>
    <row r="54" spans="1:135" ht="24.95" customHeight="1" x14ac:dyDescent="0.2">
      <c r="A54" s="126" t="s">
        <v>798</v>
      </c>
      <c r="B54" s="14" t="s">
        <v>123</v>
      </c>
      <c r="C54" s="2">
        <v>6</v>
      </c>
      <c r="D54" s="12"/>
      <c r="E54" s="12"/>
      <c r="F54" s="63"/>
      <c r="G54" s="63"/>
      <c r="H54" s="63"/>
      <c r="I54" s="63"/>
      <c r="J54" s="63"/>
      <c r="K54" s="63"/>
      <c r="L54" s="63"/>
      <c r="M54" s="63"/>
      <c r="N54" s="63"/>
      <c r="O54" s="63"/>
      <c r="P54" s="12"/>
      <c r="Q54" s="12"/>
      <c r="R54" s="61"/>
      <c r="S54" s="61"/>
      <c r="T54" s="61"/>
      <c r="U54" s="61"/>
      <c r="V54" s="61"/>
      <c r="W54" s="61"/>
      <c r="X54" s="61"/>
      <c r="Y54" s="61"/>
      <c r="Z54" s="61"/>
      <c r="AA54" s="61"/>
      <c r="AB54" s="12"/>
      <c r="AC54" s="12"/>
      <c r="AD54" s="63"/>
      <c r="AE54" s="63"/>
      <c r="AF54" s="63"/>
      <c r="AG54" s="63"/>
      <c r="AH54" s="63"/>
      <c r="AI54" s="63"/>
      <c r="AJ54" s="63"/>
      <c r="AK54" s="63"/>
      <c r="AL54" s="63"/>
      <c r="AM54" s="63"/>
      <c r="AN54" s="12"/>
      <c r="AO54" s="12"/>
      <c r="AP54" s="63"/>
      <c r="AQ54" s="63"/>
      <c r="AR54" s="63"/>
      <c r="AS54" s="63"/>
      <c r="AT54" s="63"/>
      <c r="AU54" s="63"/>
      <c r="AV54" s="63"/>
      <c r="AW54" s="63"/>
      <c r="AX54" s="63"/>
      <c r="AY54" s="63"/>
      <c r="AZ54" s="35"/>
      <c r="BA54" s="35"/>
      <c r="BB54" s="40"/>
      <c r="BC54" s="40"/>
      <c r="BD54" s="40"/>
      <c r="BE54" s="40"/>
      <c r="BF54" s="40"/>
      <c r="BG54" s="40"/>
      <c r="BH54" s="40"/>
      <c r="BI54" s="40"/>
      <c r="BJ54" s="40"/>
      <c r="BK54" s="40"/>
      <c r="BL54" s="647"/>
      <c r="BM54" s="647"/>
      <c r="BN54" s="647"/>
      <c r="BO54" s="647"/>
      <c r="BP54" s="648"/>
      <c r="BQ54" s="648"/>
      <c r="BR54" s="648"/>
      <c r="BS54" s="648"/>
      <c r="BT54" s="648"/>
      <c r="BU54" s="648"/>
      <c r="BV54" s="648"/>
      <c r="BW54" s="648"/>
      <c r="BX54" s="648"/>
      <c r="BY54" s="648"/>
      <c r="BZ54" s="74">
        <v>59</v>
      </c>
      <c r="CA54" s="74" t="s">
        <v>759</v>
      </c>
      <c r="CB54" s="74">
        <v>11</v>
      </c>
      <c r="CC54" s="74" t="s">
        <v>758</v>
      </c>
      <c r="CD54" s="96">
        <v>0.06</v>
      </c>
      <c r="CE54" s="96">
        <v>0.19</v>
      </c>
      <c r="CF54" s="96">
        <v>0.69</v>
      </c>
      <c r="CG54" s="96">
        <v>0.06</v>
      </c>
      <c r="CH54" s="96">
        <v>0.36</v>
      </c>
      <c r="CI54" s="96">
        <v>0.27</v>
      </c>
      <c r="CJ54" s="96">
        <v>0.4</v>
      </c>
      <c r="CK54" s="96">
        <v>0.46</v>
      </c>
      <c r="CL54" s="96">
        <v>0.38</v>
      </c>
      <c r="CM54" s="96">
        <v>0.44</v>
      </c>
      <c r="CN54" s="652">
        <v>60</v>
      </c>
      <c r="CO54" s="652" t="s">
        <v>759</v>
      </c>
      <c r="CP54" s="652">
        <v>9</v>
      </c>
      <c r="CQ54" s="652" t="s">
        <v>758</v>
      </c>
      <c r="CR54" s="653">
        <v>0</v>
      </c>
      <c r="CS54" s="653">
        <v>0.22</v>
      </c>
      <c r="CT54" s="653">
        <v>0.67</v>
      </c>
      <c r="CU54" s="653">
        <v>0.11</v>
      </c>
      <c r="CV54" s="653">
        <v>0.27</v>
      </c>
      <c r="CW54" s="653">
        <v>0.3</v>
      </c>
      <c r="CX54" s="653">
        <v>0.41</v>
      </c>
      <c r="CY54" s="653">
        <v>0.44</v>
      </c>
      <c r="CZ54" s="661">
        <v>0.43</v>
      </c>
      <c r="DA54" s="661">
        <v>0.35</v>
      </c>
      <c r="DB54" s="47">
        <v>63</v>
      </c>
      <c r="DC54" s="47" t="s">
        <v>759</v>
      </c>
      <c r="DD54" s="47">
        <v>11</v>
      </c>
      <c r="DE54" s="47" t="s">
        <v>758</v>
      </c>
      <c r="DF54" s="664">
        <v>0.05</v>
      </c>
      <c r="DG54" s="664">
        <v>0.18</v>
      </c>
      <c r="DH54" s="664">
        <v>0.55000000000000004</v>
      </c>
      <c r="DI54" s="664">
        <v>0.23</v>
      </c>
      <c r="DJ54" s="664">
        <v>0.33</v>
      </c>
      <c r="DK54" s="664">
        <v>0.28999999999999998</v>
      </c>
      <c r="DL54" s="664">
        <v>0.37</v>
      </c>
      <c r="DM54" s="664">
        <v>0.3</v>
      </c>
      <c r="DN54" s="664">
        <v>0.28000000000000003</v>
      </c>
      <c r="DO54" s="664">
        <v>0.06</v>
      </c>
      <c r="DP54" s="902">
        <v>64</v>
      </c>
      <c r="DQ54" s="902" t="s">
        <v>759</v>
      </c>
      <c r="DR54" s="902">
        <v>7</v>
      </c>
      <c r="DS54" s="902" t="s">
        <v>760</v>
      </c>
      <c r="DT54" s="949">
        <v>0</v>
      </c>
      <c r="DU54" s="949">
        <v>7.0000000000000007E-2</v>
      </c>
      <c r="DV54" s="949">
        <v>0.7</v>
      </c>
      <c r="DW54" s="949">
        <v>0.22</v>
      </c>
      <c r="DX54" s="949">
        <v>0.27</v>
      </c>
      <c r="DY54" s="949">
        <v>0.17</v>
      </c>
      <c r="DZ54" s="949">
        <v>0.43</v>
      </c>
      <c r="EA54" s="949">
        <v>0.28000000000000003</v>
      </c>
      <c r="EB54" s="949">
        <v>0.25</v>
      </c>
      <c r="EC54" s="949">
        <v>0.17</v>
      </c>
      <c r="ED54" s="922">
        <v>325754005480</v>
      </c>
      <c r="EE54" s="126" t="s">
        <v>798</v>
      </c>
    </row>
    <row r="55" spans="1:135" ht="24.95" customHeight="1" x14ac:dyDescent="0.2">
      <c r="A55" s="126" t="s">
        <v>60</v>
      </c>
      <c r="B55" s="1" t="s">
        <v>123</v>
      </c>
      <c r="C55" s="2">
        <v>1</v>
      </c>
      <c r="D55" s="12">
        <v>52</v>
      </c>
      <c r="E55" s="12">
        <v>9</v>
      </c>
      <c r="F55" s="63">
        <v>0.15</v>
      </c>
      <c r="G55" s="63">
        <v>0.4</v>
      </c>
      <c r="H55" s="63">
        <v>0.45</v>
      </c>
      <c r="I55" s="63">
        <v>0</v>
      </c>
      <c r="J55" s="63">
        <v>0.54</v>
      </c>
      <c r="K55" s="63">
        <v>0.48</v>
      </c>
      <c r="L55" s="63">
        <v>0.6</v>
      </c>
      <c r="M55" s="63">
        <v>0.38</v>
      </c>
      <c r="N55" s="63">
        <v>0.4</v>
      </c>
      <c r="O55" s="63">
        <v>0.54</v>
      </c>
      <c r="P55" s="12">
        <v>52</v>
      </c>
      <c r="Q55" s="12">
        <v>10</v>
      </c>
      <c r="R55" s="61">
        <v>0.1</v>
      </c>
      <c r="S55" s="61">
        <v>0.56000000000000005</v>
      </c>
      <c r="T55" s="61">
        <v>0.28999999999999998</v>
      </c>
      <c r="U55" s="61">
        <v>0.04</v>
      </c>
      <c r="V55" s="61">
        <v>0.41</v>
      </c>
      <c r="W55" s="61">
        <v>0.47</v>
      </c>
      <c r="X55" s="61">
        <v>0.55000000000000004</v>
      </c>
      <c r="Y55" s="61">
        <v>0.4</v>
      </c>
      <c r="Z55" s="61">
        <v>0.41</v>
      </c>
      <c r="AA55" s="61">
        <v>0.48</v>
      </c>
      <c r="AB55" s="12">
        <v>53</v>
      </c>
      <c r="AC55" s="12">
        <v>9</v>
      </c>
      <c r="AD55" s="63">
        <v>0.09</v>
      </c>
      <c r="AE55" s="63">
        <v>0.51</v>
      </c>
      <c r="AF55" s="63">
        <v>0.4</v>
      </c>
      <c r="AG55" s="63">
        <v>0</v>
      </c>
      <c r="AH55" s="63">
        <v>0.37</v>
      </c>
      <c r="AI55" s="63">
        <v>0.37</v>
      </c>
      <c r="AJ55" s="63">
        <v>0.34</v>
      </c>
      <c r="AK55" s="63">
        <v>0.46</v>
      </c>
      <c r="AL55" s="63">
        <v>0.52</v>
      </c>
      <c r="AM55" s="63">
        <v>0.46</v>
      </c>
      <c r="AN55" s="12">
        <v>50</v>
      </c>
      <c r="AO55" s="12">
        <v>11</v>
      </c>
      <c r="AP55" s="63">
        <v>0.21</v>
      </c>
      <c r="AQ55" s="63">
        <v>0.47</v>
      </c>
      <c r="AR55" s="63">
        <v>0.3</v>
      </c>
      <c r="AS55" s="63">
        <v>0.02</v>
      </c>
      <c r="AT55" s="63">
        <v>0.49</v>
      </c>
      <c r="AU55" s="63">
        <v>0.43</v>
      </c>
      <c r="AV55" s="63">
        <v>0.43</v>
      </c>
      <c r="AW55" s="63">
        <v>0.41</v>
      </c>
      <c r="AX55" s="63">
        <v>0.44</v>
      </c>
      <c r="AY55" s="63">
        <v>0.48</v>
      </c>
      <c r="AZ55" s="35">
        <v>52</v>
      </c>
      <c r="BA55" s="35">
        <v>11</v>
      </c>
      <c r="BB55" s="40">
        <v>0.18</v>
      </c>
      <c r="BC55" s="40">
        <v>0.4</v>
      </c>
      <c r="BD55" s="40">
        <v>0.4</v>
      </c>
      <c r="BE55" s="40">
        <v>0.02</v>
      </c>
      <c r="BF55" s="40">
        <v>0.46</v>
      </c>
      <c r="BG55" s="40">
        <v>0.45</v>
      </c>
      <c r="BH55" s="40">
        <v>0.45</v>
      </c>
      <c r="BI55" s="40">
        <v>0.48</v>
      </c>
      <c r="BJ55" s="40">
        <v>0.4</v>
      </c>
      <c r="BK55" s="40">
        <v>0.41</v>
      </c>
      <c r="BL55" s="246">
        <v>51</v>
      </c>
      <c r="BM55" s="246" t="s">
        <v>758</v>
      </c>
      <c r="BN55" s="246">
        <v>9</v>
      </c>
      <c r="BO55" s="246" t="s">
        <v>758</v>
      </c>
      <c r="BP55" s="263">
        <v>0.18</v>
      </c>
      <c r="BQ55" s="263">
        <v>0.52</v>
      </c>
      <c r="BR55" s="263">
        <v>0.3</v>
      </c>
      <c r="BS55" s="263">
        <v>0</v>
      </c>
      <c r="BT55" s="263">
        <v>0.46</v>
      </c>
      <c r="BU55" s="263">
        <v>0.47</v>
      </c>
      <c r="BV55" s="263">
        <v>0.48</v>
      </c>
      <c r="BW55" s="263">
        <v>0.41</v>
      </c>
      <c r="BX55" s="263">
        <v>0.43</v>
      </c>
      <c r="BY55" s="263">
        <v>0.53</v>
      </c>
      <c r="BZ55" s="309">
        <v>52</v>
      </c>
      <c r="CA55" s="309" t="s">
        <v>758</v>
      </c>
      <c r="CB55" s="309">
        <v>9</v>
      </c>
      <c r="CC55" s="309" t="s">
        <v>758</v>
      </c>
      <c r="CD55" s="327">
        <v>0.11</v>
      </c>
      <c r="CE55" s="327">
        <v>0.51</v>
      </c>
      <c r="CF55" s="327">
        <v>0.36</v>
      </c>
      <c r="CG55" s="327">
        <v>0.02</v>
      </c>
      <c r="CH55" s="327">
        <v>0.51</v>
      </c>
      <c r="CI55" s="327">
        <v>0.3</v>
      </c>
      <c r="CJ55" s="327">
        <v>0.56000000000000005</v>
      </c>
      <c r="CK55" s="327">
        <v>0.52</v>
      </c>
      <c r="CL55" s="327">
        <v>0.37</v>
      </c>
      <c r="CM55" s="327">
        <v>0.56999999999999995</v>
      </c>
      <c r="CN55" s="424">
        <v>51</v>
      </c>
      <c r="CO55" s="424" t="s">
        <v>758</v>
      </c>
      <c r="CP55" s="424">
        <v>11</v>
      </c>
      <c r="CQ55" s="424" t="s">
        <v>758</v>
      </c>
      <c r="CR55" s="428">
        <v>0.18</v>
      </c>
      <c r="CS55" s="428">
        <v>0.39</v>
      </c>
      <c r="CT55" s="428">
        <v>0.44</v>
      </c>
      <c r="CU55" s="428">
        <v>0</v>
      </c>
      <c r="CV55" s="428">
        <v>0.33</v>
      </c>
      <c r="CW55" s="428">
        <v>0.56000000000000005</v>
      </c>
      <c r="CX55" s="428">
        <v>0.52</v>
      </c>
      <c r="CY55" s="428">
        <v>0.63</v>
      </c>
      <c r="CZ55" s="523">
        <v>0.57999999999999996</v>
      </c>
      <c r="DA55" s="523">
        <v>0.64</v>
      </c>
      <c r="DB55" s="524">
        <v>54</v>
      </c>
      <c r="DC55" s="524" t="s">
        <v>758</v>
      </c>
      <c r="DD55" s="524">
        <v>11</v>
      </c>
      <c r="DE55" s="524" t="s">
        <v>758</v>
      </c>
      <c r="DF55" s="525">
        <v>0.1</v>
      </c>
      <c r="DG55" s="525">
        <v>0.49</v>
      </c>
      <c r="DH55" s="525">
        <v>0.33</v>
      </c>
      <c r="DI55" s="525">
        <v>0.08</v>
      </c>
      <c r="DJ55" s="525">
        <v>0.42</v>
      </c>
      <c r="DK55" s="525">
        <v>0.32</v>
      </c>
      <c r="DL55" s="525">
        <v>0.45</v>
      </c>
      <c r="DM55" s="525">
        <v>0.59</v>
      </c>
      <c r="DN55" s="525">
        <v>0.48</v>
      </c>
      <c r="DO55" s="525">
        <v>0.28999999999999998</v>
      </c>
      <c r="DP55" s="902">
        <v>56</v>
      </c>
      <c r="DQ55" s="902" t="s">
        <v>758</v>
      </c>
      <c r="DR55" s="902">
        <v>9</v>
      </c>
      <c r="DS55" s="902" t="s">
        <v>758</v>
      </c>
      <c r="DT55" s="949">
        <v>0.03</v>
      </c>
      <c r="DU55" s="949">
        <v>0.37</v>
      </c>
      <c r="DV55" s="949">
        <v>0.57999999999999996</v>
      </c>
      <c r="DW55" s="949">
        <v>0.02</v>
      </c>
      <c r="DX55" s="949">
        <v>0.41</v>
      </c>
      <c r="DY55" s="949">
        <v>0.2</v>
      </c>
      <c r="DZ55" s="949">
        <v>0.69</v>
      </c>
      <c r="EA55" s="949">
        <v>0.39</v>
      </c>
      <c r="EB55" s="949">
        <v>0.48</v>
      </c>
      <c r="EC55" s="949">
        <v>0.34</v>
      </c>
      <c r="ED55" s="922">
        <v>325754002961</v>
      </c>
      <c r="EE55" s="126" t="s">
        <v>60</v>
      </c>
    </row>
    <row r="56" spans="1:135" ht="24.95" customHeight="1" x14ac:dyDescent="0.2">
      <c r="A56" s="555" t="s">
        <v>131</v>
      </c>
      <c r="B56" s="1" t="s">
        <v>123</v>
      </c>
      <c r="C56" s="309">
        <v>1</v>
      </c>
      <c r="D56" s="328"/>
      <c r="E56" s="328"/>
      <c r="F56" s="328"/>
      <c r="G56" s="328"/>
      <c r="H56" s="328"/>
      <c r="I56" s="328"/>
      <c r="J56" s="328"/>
      <c r="K56" s="328"/>
      <c r="L56" s="328"/>
      <c r="M56" s="328"/>
      <c r="N56" s="328"/>
      <c r="O56" s="328"/>
      <c r="P56" s="328" t="s">
        <v>126</v>
      </c>
      <c r="Q56" s="328" t="s">
        <v>126</v>
      </c>
      <c r="R56" s="330"/>
      <c r="S56" s="330"/>
      <c r="T56" s="330"/>
      <c r="U56" s="330"/>
      <c r="V56" s="330"/>
      <c r="W56" s="330"/>
      <c r="X56" s="330"/>
      <c r="Y56" s="330"/>
      <c r="Z56" s="330"/>
      <c r="AA56" s="330"/>
      <c r="AB56" s="328">
        <v>53</v>
      </c>
      <c r="AC56" s="328">
        <v>11</v>
      </c>
      <c r="AD56" s="327">
        <v>0</v>
      </c>
      <c r="AE56" s="327">
        <v>0.5</v>
      </c>
      <c r="AF56" s="327">
        <v>0.33</v>
      </c>
      <c r="AG56" s="327">
        <v>0.17</v>
      </c>
      <c r="AH56" s="327">
        <v>0.46</v>
      </c>
      <c r="AI56" s="327">
        <v>0.27</v>
      </c>
      <c r="AJ56" s="327">
        <v>0.25</v>
      </c>
      <c r="AK56" s="327">
        <v>0.42</v>
      </c>
      <c r="AL56" s="327">
        <v>0.35</v>
      </c>
      <c r="AM56" s="327">
        <v>0.57999999999999996</v>
      </c>
      <c r="AN56" s="328">
        <v>48</v>
      </c>
      <c r="AO56" s="328">
        <v>13</v>
      </c>
      <c r="AP56" s="327">
        <v>0.3</v>
      </c>
      <c r="AQ56" s="327">
        <v>0.3</v>
      </c>
      <c r="AR56" s="327">
        <v>0.4</v>
      </c>
      <c r="AS56" s="327">
        <v>0</v>
      </c>
      <c r="AT56" s="327">
        <v>0.5</v>
      </c>
      <c r="AU56" s="327">
        <v>0.41</v>
      </c>
      <c r="AV56" s="327">
        <v>0.45</v>
      </c>
      <c r="AW56" s="327">
        <v>0.42</v>
      </c>
      <c r="AX56" s="327">
        <v>0.59</v>
      </c>
      <c r="AY56" s="327">
        <v>0.51</v>
      </c>
      <c r="AZ56" s="311">
        <v>51</v>
      </c>
      <c r="BA56" s="311">
        <v>7</v>
      </c>
      <c r="BB56" s="331">
        <v>0.1</v>
      </c>
      <c r="BC56" s="331">
        <v>0.6</v>
      </c>
      <c r="BD56" s="331">
        <v>0.3</v>
      </c>
      <c r="BE56" s="331">
        <v>0</v>
      </c>
      <c r="BF56" s="331">
        <v>0.59</v>
      </c>
      <c r="BG56" s="331">
        <v>0.45</v>
      </c>
      <c r="BH56" s="331">
        <v>0.45</v>
      </c>
      <c r="BI56" s="331">
        <v>0.33</v>
      </c>
      <c r="BJ56" s="331">
        <v>0.36</v>
      </c>
      <c r="BK56" s="331">
        <v>0.44</v>
      </c>
      <c r="BL56" s="312">
        <v>51</v>
      </c>
      <c r="BM56" s="312" t="s">
        <v>758</v>
      </c>
      <c r="BN56" s="312">
        <v>4</v>
      </c>
      <c r="BO56" s="312" t="s">
        <v>760</v>
      </c>
      <c r="BP56" s="332">
        <v>0</v>
      </c>
      <c r="BQ56" s="332">
        <v>1</v>
      </c>
      <c r="BR56" s="332">
        <v>0</v>
      </c>
      <c r="BS56" s="332">
        <v>0</v>
      </c>
      <c r="BT56" s="332">
        <v>0.83</v>
      </c>
      <c r="BU56" s="332">
        <v>0.36</v>
      </c>
      <c r="BV56" s="332">
        <v>1</v>
      </c>
      <c r="BW56" s="332">
        <v>0.26</v>
      </c>
      <c r="BX56" s="332">
        <v>0.47</v>
      </c>
      <c r="BY56" s="332">
        <v>0.55000000000000004</v>
      </c>
      <c r="BZ56" s="309">
        <v>52</v>
      </c>
      <c r="CA56" s="309" t="s">
        <v>758</v>
      </c>
      <c r="CB56" s="309">
        <v>10</v>
      </c>
      <c r="CC56" s="309" t="s">
        <v>758</v>
      </c>
      <c r="CD56" s="327">
        <v>0.2</v>
      </c>
      <c r="CE56" s="327">
        <v>0.3</v>
      </c>
      <c r="CF56" s="327">
        <v>0.5</v>
      </c>
      <c r="CG56" s="327">
        <v>0</v>
      </c>
      <c r="CH56" s="327">
        <v>0.47</v>
      </c>
      <c r="CI56" s="327">
        <v>0.47</v>
      </c>
      <c r="CJ56" s="327">
        <v>0.55000000000000004</v>
      </c>
      <c r="CK56" s="327">
        <v>0.5</v>
      </c>
      <c r="CL56" s="327">
        <v>0.5</v>
      </c>
      <c r="CM56" s="327">
        <v>0.42</v>
      </c>
      <c r="CN56" s="424">
        <v>54</v>
      </c>
      <c r="CO56" s="424" t="s">
        <v>758</v>
      </c>
      <c r="CP56" s="424">
        <v>10</v>
      </c>
      <c r="CQ56" s="424" t="s">
        <v>758</v>
      </c>
      <c r="CR56" s="428">
        <v>0.05</v>
      </c>
      <c r="CS56" s="428">
        <v>0.6</v>
      </c>
      <c r="CT56" s="428">
        <v>0.35</v>
      </c>
      <c r="CU56" s="428">
        <v>0</v>
      </c>
      <c r="CV56" s="428">
        <v>0.27</v>
      </c>
      <c r="CW56" s="428">
        <v>0.49</v>
      </c>
      <c r="CX56" s="428">
        <v>0.43</v>
      </c>
      <c r="CY56" s="428">
        <v>0.6</v>
      </c>
      <c r="CZ56" s="523">
        <v>0.5</v>
      </c>
      <c r="DA56" s="523">
        <v>0.46</v>
      </c>
      <c r="DB56" s="524">
        <v>45</v>
      </c>
      <c r="DC56" s="524" t="s">
        <v>758</v>
      </c>
      <c r="DD56" s="524">
        <v>10</v>
      </c>
      <c r="DE56" s="524" t="s">
        <v>758</v>
      </c>
      <c r="DF56" s="525">
        <v>0.14000000000000001</v>
      </c>
      <c r="DG56" s="525">
        <v>0.71</v>
      </c>
      <c r="DH56" s="525">
        <v>0.14000000000000001</v>
      </c>
      <c r="DI56" s="525">
        <v>0</v>
      </c>
      <c r="DJ56" s="525">
        <v>0.67</v>
      </c>
      <c r="DK56" s="525">
        <v>0.73</v>
      </c>
      <c r="DL56" s="525">
        <v>0.66</v>
      </c>
      <c r="DM56" s="525">
        <v>0.79</v>
      </c>
      <c r="DN56" s="525">
        <v>0.69</v>
      </c>
      <c r="DO56" s="525">
        <v>0.75</v>
      </c>
      <c r="DP56" s="902">
        <v>54</v>
      </c>
      <c r="DQ56" s="902" t="s">
        <v>758</v>
      </c>
      <c r="DR56" s="902">
        <v>7</v>
      </c>
      <c r="DS56" s="902" t="s">
        <v>760</v>
      </c>
      <c r="DT56" s="949">
        <v>0</v>
      </c>
      <c r="DU56" s="949">
        <v>0.54</v>
      </c>
      <c r="DV56" s="949">
        <v>0.46</v>
      </c>
      <c r="DW56" s="949">
        <v>0</v>
      </c>
      <c r="DX56" s="949">
        <v>0.41</v>
      </c>
      <c r="DY56" s="949">
        <v>0.44</v>
      </c>
      <c r="DZ56" s="949">
        <v>1</v>
      </c>
      <c r="EA56" s="949">
        <v>0.36</v>
      </c>
      <c r="EB56" s="949">
        <v>0.51</v>
      </c>
      <c r="EC56" s="949">
        <v>0.38</v>
      </c>
      <c r="ED56" s="922">
        <v>325754005226</v>
      </c>
      <c r="EE56" s="555" t="s">
        <v>131</v>
      </c>
    </row>
    <row r="57" spans="1:135" ht="24.95" customHeight="1" x14ac:dyDescent="0.2">
      <c r="A57" s="126" t="s">
        <v>67</v>
      </c>
      <c r="B57" s="1" t="s">
        <v>123</v>
      </c>
      <c r="C57" s="2">
        <v>2</v>
      </c>
      <c r="D57" s="12">
        <v>53</v>
      </c>
      <c r="E57" s="12">
        <v>8</v>
      </c>
      <c r="F57" s="63">
        <v>7.0000000000000007E-2</v>
      </c>
      <c r="G57" s="63">
        <v>0.59</v>
      </c>
      <c r="H57" s="63">
        <v>0.32</v>
      </c>
      <c r="I57" s="63">
        <v>0.01</v>
      </c>
      <c r="J57" s="63">
        <v>0.52</v>
      </c>
      <c r="K57" s="63">
        <v>0.49</v>
      </c>
      <c r="L57" s="63">
        <v>0.59</v>
      </c>
      <c r="M57" s="63">
        <v>0.37</v>
      </c>
      <c r="N57" s="63">
        <v>0.43</v>
      </c>
      <c r="O57" s="63">
        <v>0.44</v>
      </c>
      <c r="P57" s="12">
        <v>52</v>
      </c>
      <c r="Q57" s="12">
        <v>10</v>
      </c>
      <c r="R57" s="61">
        <v>0.11</v>
      </c>
      <c r="S57" s="61">
        <v>0.54</v>
      </c>
      <c r="T57" s="61">
        <v>0.31</v>
      </c>
      <c r="U57" s="61">
        <v>0.04</v>
      </c>
      <c r="V57" s="61">
        <v>0.42</v>
      </c>
      <c r="W57" s="61">
        <v>0.45</v>
      </c>
      <c r="X57" s="61">
        <v>0.56999999999999995</v>
      </c>
      <c r="Y57" s="61">
        <v>0.43</v>
      </c>
      <c r="Z57" s="61">
        <v>0.41</v>
      </c>
      <c r="AA57" s="61">
        <v>0.48</v>
      </c>
      <c r="AB57" s="12">
        <v>50</v>
      </c>
      <c r="AC57" s="12">
        <v>11</v>
      </c>
      <c r="AD57" s="63">
        <v>0.18</v>
      </c>
      <c r="AE57" s="63">
        <v>0.48</v>
      </c>
      <c r="AF57" s="63">
        <v>0.28999999999999998</v>
      </c>
      <c r="AG57" s="63">
        <v>0.05</v>
      </c>
      <c r="AH57" s="63">
        <v>0.44</v>
      </c>
      <c r="AI57" s="63">
        <v>0.46</v>
      </c>
      <c r="AJ57" s="63">
        <v>0.4</v>
      </c>
      <c r="AK57" s="63">
        <v>0.5</v>
      </c>
      <c r="AL57" s="63">
        <v>0.55000000000000004</v>
      </c>
      <c r="AM57" s="63">
        <v>0.47</v>
      </c>
      <c r="AN57" s="12">
        <v>51</v>
      </c>
      <c r="AO57" s="12">
        <v>11</v>
      </c>
      <c r="AP57" s="63">
        <v>0.19</v>
      </c>
      <c r="AQ57" s="63">
        <v>0.36</v>
      </c>
      <c r="AR57" s="63">
        <v>0.44</v>
      </c>
      <c r="AS57" s="63">
        <v>0.02</v>
      </c>
      <c r="AT57" s="63">
        <v>0.49</v>
      </c>
      <c r="AU57" s="63">
        <v>0.42</v>
      </c>
      <c r="AV57" s="63">
        <v>0.38</v>
      </c>
      <c r="AW57" s="63">
        <v>0.43</v>
      </c>
      <c r="AX57" s="63">
        <v>0.4</v>
      </c>
      <c r="AY57" s="63">
        <v>0.44</v>
      </c>
      <c r="AZ57" s="35">
        <v>50</v>
      </c>
      <c r="BA57" s="35">
        <v>9</v>
      </c>
      <c r="BB57" s="40">
        <v>0.2</v>
      </c>
      <c r="BC57" s="40">
        <v>0.53</v>
      </c>
      <c r="BD57" s="40">
        <v>0.26</v>
      </c>
      <c r="BE57" s="40">
        <v>0.01</v>
      </c>
      <c r="BF57" s="40">
        <v>0.45</v>
      </c>
      <c r="BG57" s="40">
        <v>0.5</v>
      </c>
      <c r="BH57" s="40">
        <v>0.48</v>
      </c>
      <c r="BI57" s="40">
        <v>0.57999999999999996</v>
      </c>
      <c r="BJ57" s="40">
        <v>0.42</v>
      </c>
      <c r="BK57" s="40">
        <v>0.41</v>
      </c>
      <c r="BL57" s="246">
        <v>53</v>
      </c>
      <c r="BM57" s="246" t="s">
        <v>758</v>
      </c>
      <c r="BN57" s="246">
        <v>10</v>
      </c>
      <c r="BO57" s="246" t="s">
        <v>758</v>
      </c>
      <c r="BP57" s="263">
        <v>0.1</v>
      </c>
      <c r="BQ57" s="263">
        <v>0.47</v>
      </c>
      <c r="BR57" s="263">
        <v>0.42</v>
      </c>
      <c r="BS57" s="263">
        <v>0.02</v>
      </c>
      <c r="BT57" s="263">
        <v>0.39</v>
      </c>
      <c r="BU57" s="263">
        <v>0.37</v>
      </c>
      <c r="BV57" s="263">
        <v>0.51</v>
      </c>
      <c r="BW57" s="263">
        <v>0.4</v>
      </c>
      <c r="BX57" s="263">
        <v>0.4</v>
      </c>
      <c r="BY57" s="263">
        <v>0.48</v>
      </c>
      <c r="BZ57" s="309">
        <v>54</v>
      </c>
      <c r="CA57" s="309" t="s">
        <v>758</v>
      </c>
      <c r="CB57" s="309">
        <v>11</v>
      </c>
      <c r="CC57" s="309" t="s">
        <v>758</v>
      </c>
      <c r="CD57" s="327">
        <v>0.14000000000000001</v>
      </c>
      <c r="CE57" s="327">
        <v>0.37</v>
      </c>
      <c r="CF57" s="327">
        <v>0.47</v>
      </c>
      <c r="CG57" s="327">
        <v>0.03</v>
      </c>
      <c r="CH57" s="327">
        <v>0.46</v>
      </c>
      <c r="CI57" s="327">
        <v>0.32</v>
      </c>
      <c r="CJ57" s="327">
        <v>0.51</v>
      </c>
      <c r="CK57" s="327">
        <v>0.46</v>
      </c>
      <c r="CL57" s="327">
        <v>0.4</v>
      </c>
      <c r="CM57" s="327">
        <v>0.5</v>
      </c>
      <c r="CN57" s="424">
        <v>53</v>
      </c>
      <c r="CO57" s="424" t="s">
        <v>758</v>
      </c>
      <c r="CP57" s="424">
        <v>10</v>
      </c>
      <c r="CQ57" s="424" t="s">
        <v>758</v>
      </c>
      <c r="CR57" s="428">
        <v>0.14000000000000001</v>
      </c>
      <c r="CS57" s="428">
        <v>0.46</v>
      </c>
      <c r="CT57" s="428">
        <v>0.39</v>
      </c>
      <c r="CU57" s="428">
        <v>0.01</v>
      </c>
      <c r="CV57" s="428">
        <v>0.33</v>
      </c>
      <c r="CW57" s="428">
        <v>0.44</v>
      </c>
      <c r="CX57" s="428">
        <v>0.55000000000000004</v>
      </c>
      <c r="CY57" s="428">
        <v>0.65</v>
      </c>
      <c r="CZ57" s="523">
        <v>0.61</v>
      </c>
      <c r="DA57" s="523">
        <v>0.47</v>
      </c>
      <c r="DB57" s="524">
        <v>53</v>
      </c>
      <c r="DC57" s="524" t="s">
        <v>758</v>
      </c>
      <c r="DD57" s="524">
        <v>11</v>
      </c>
      <c r="DE57" s="524" t="s">
        <v>758</v>
      </c>
      <c r="DF57" s="525">
        <v>0.16</v>
      </c>
      <c r="DG57" s="525">
        <v>0.43</v>
      </c>
      <c r="DH57" s="525">
        <v>0.35</v>
      </c>
      <c r="DI57" s="525">
        <v>0.06</v>
      </c>
      <c r="DJ57" s="525">
        <v>0.42</v>
      </c>
      <c r="DK57" s="525">
        <v>0.52</v>
      </c>
      <c r="DL57" s="525">
        <v>0.44</v>
      </c>
      <c r="DM57" s="525">
        <v>0.62</v>
      </c>
      <c r="DN57" s="525">
        <v>0.47</v>
      </c>
      <c r="DO57" s="525">
        <v>0.3</v>
      </c>
      <c r="DP57" s="902">
        <v>53</v>
      </c>
      <c r="DQ57" s="902" t="s">
        <v>758</v>
      </c>
      <c r="DR57" s="902">
        <v>9</v>
      </c>
      <c r="DS57" s="902" t="s">
        <v>758</v>
      </c>
      <c r="DT57" s="949">
        <v>0.14000000000000001</v>
      </c>
      <c r="DU57" s="949">
        <v>0.47</v>
      </c>
      <c r="DV57" s="949">
        <v>0.37</v>
      </c>
      <c r="DW57" s="949">
        <v>0.02</v>
      </c>
      <c r="DX57" s="949">
        <v>0.41</v>
      </c>
      <c r="DY57" s="949">
        <v>0.37</v>
      </c>
      <c r="DZ57" s="949">
        <v>0.65</v>
      </c>
      <c r="EA57" s="949">
        <v>0.39</v>
      </c>
      <c r="EB57" s="949">
        <v>0.51</v>
      </c>
      <c r="EC57" s="949">
        <v>0.31</v>
      </c>
      <c r="ED57" s="922">
        <v>325754004131</v>
      </c>
      <c r="EE57" s="126" t="s">
        <v>67</v>
      </c>
    </row>
    <row r="58" spans="1:135" ht="24.95" customHeight="1" x14ac:dyDescent="0.2">
      <c r="A58" s="126" t="s">
        <v>85</v>
      </c>
      <c r="B58" s="1" t="s">
        <v>123</v>
      </c>
      <c r="C58" s="2">
        <v>3</v>
      </c>
      <c r="D58" s="12">
        <v>55</v>
      </c>
      <c r="E58" s="12">
        <v>8</v>
      </c>
      <c r="F58" s="63">
        <v>0.11</v>
      </c>
      <c r="G58" s="63">
        <v>0.37</v>
      </c>
      <c r="H58" s="63">
        <v>0.52</v>
      </c>
      <c r="I58" s="63">
        <v>0</v>
      </c>
      <c r="J58" s="63">
        <v>0.45</v>
      </c>
      <c r="K58" s="63">
        <v>0.45</v>
      </c>
      <c r="L58" s="63">
        <v>0.61</v>
      </c>
      <c r="M58" s="63">
        <v>0.3</v>
      </c>
      <c r="N58" s="63">
        <v>0.44</v>
      </c>
      <c r="O58" s="63">
        <v>0.45</v>
      </c>
      <c r="P58" s="12">
        <v>52</v>
      </c>
      <c r="Q58" s="12">
        <v>12</v>
      </c>
      <c r="R58" s="61">
        <v>0.14000000000000001</v>
      </c>
      <c r="S58" s="61">
        <v>0.43</v>
      </c>
      <c r="T58" s="61">
        <v>0.43</v>
      </c>
      <c r="U58" s="61">
        <v>0</v>
      </c>
      <c r="V58" s="61">
        <v>0.44</v>
      </c>
      <c r="W58" s="61">
        <v>0.5</v>
      </c>
      <c r="X58" s="61">
        <v>0.47</v>
      </c>
      <c r="Y58" s="61">
        <v>0.43</v>
      </c>
      <c r="Z58" s="61">
        <v>0.48</v>
      </c>
      <c r="AA58" s="61">
        <v>0.55000000000000004</v>
      </c>
      <c r="AB58" s="12">
        <v>51</v>
      </c>
      <c r="AC58" s="12">
        <v>7</v>
      </c>
      <c r="AD58" s="63">
        <v>0.04</v>
      </c>
      <c r="AE58" s="63">
        <v>0.65</v>
      </c>
      <c r="AF58" s="63">
        <v>0.3</v>
      </c>
      <c r="AG58" s="63">
        <v>0</v>
      </c>
      <c r="AH58" s="63">
        <v>0.39</v>
      </c>
      <c r="AI58" s="63">
        <v>0.35</v>
      </c>
      <c r="AJ58" s="63">
        <v>0.4</v>
      </c>
      <c r="AK58" s="63">
        <v>0.49</v>
      </c>
      <c r="AL58" s="63">
        <v>0.52</v>
      </c>
      <c r="AM58" s="63">
        <v>0.53</v>
      </c>
      <c r="AN58" s="12">
        <v>47</v>
      </c>
      <c r="AO58" s="12">
        <v>11</v>
      </c>
      <c r="AP58" s="63">
        <v>0.32</v>
      </c>
      <c r="AQ58" s="63">
        <v>0.45</v>
      </c>
      <c r="AR58" s="63">
        <v>0.23</v>
      </c>
      <c r="AS58" s="63">
        <v>0</v>
      </c>
      <c r="AT58" s="63">
        <v>0.67</v>
      </c>
      <c r="AU58" s="63">
        <v>0.54</v>
      </c>
      <c r="AV58" s="63">
        <v>0.48</v>
      </c>
      <c r="AW58" s="63">
        <v>0.5</v>
      </c>
      <c r="AX58" s="63">
        <v>0.47</v>
      </c>
      <c r="AY58" s="63">
        <v>0.48</v>
      </c>
      <c r="AZ58" s="35">
        <v>53</v>
      </c>
      <c r="BA58" s="35">
        <v>9</v>
      </c>
      <c r="BB58" s="40">
        <v>0.03</v>
      </c>
      <c r="BC58" s="40">
        <v>0.62</v>
      </c>
      <c r="BD58" s="40">
        <v>0.31</v>
      </c>
      <c r="BE58" s="40">
        <v>0.03</v>
      </c>
      <c r="BF58" s="40">
        <v>0.46</v>
      </c>
      <c r="BG58" s="40">
        <v>0.43</v>
      </c>
      <c r="BH58" s="40">
        <v>0.42</v>
      </c>
      <c r="BI58" s="40">
        <v>0.64</v>
      </c>
      <c r="BJ58" s="40">
        <v>0.37</v>
      </c>
      <c r="BK58" s="40">
        <v>0.31</v>
      </c>
      <c r="BL58" s="246">
        <v>49</v>
      </c>
      <c r="BM58" s="246" t="s">
        <v>758</v>
      </c>
      <c r="BN58" s="246">
        <v>11</v>
      </c>
      <c r="BO58" s="246" t="s">
        <v>758</v>
      </c>
      <c r="BP58" s="263">
        <v>0.24</v>
      </c>
      <c r="BQ58" s="263">
        <v>0.43</v>
      </c>
      <c r="BR58" s="263">
        <v>0.3</v>
      </c>
      <c r="BS58" s="263">
        <v>0.02</v>
      </c>
      <c r="BT58" s="263">
        <v>0.43</v>
      </c>
      <c r="BU58" s="263">
        <v>0.44</v>
      </c>
      <c r="BV58" s="263">
        <v>0.56000000000000005</v>
      </c>
      <c r="BW58" s="263">
        <v>0.44</v>
      </c>
      <c r="BX58" s="263">
        <v>0.49</v>
      </c>
      <c r="BY58" s="263">
        <v>0.52</v>
      </c>
      <c r="BZ58" s="309">
        <v>47</v>
      </c>
      <c r="CA58" s="309" t="s">
        <v>758</v>
      </c>
      <c r="CB58" s="309">
        <v>11</v>
      </c>
      <c r="CC58" s="309" t="s">
        <v>758</v>
      </c>
      <c r="CD58" s="327">
        <v>0.31</v>
      </c>
      <c r="CE58" s="327">
        <v>0.46</v>
      </c>
      <c r="CF58" s="327">
        <v>0.23</v>
      </c>
      <c r="CG58" s="327">
        <v>0</v>
      </c>
      <c r="CH58" s="327">
        <v>0.46</v>
      </c>
      <c r="CI58" s="327">
        <v>0.45</v>
      </c>
      <c r="CJ58" s="327">
        <v>0.55000000000000004</v>
      </c>
      <c r="CK58" s="327">
        <v>0.55000000000000004</v>
      </c>
      <c r="CL58" s="327">
        <v>0.41</v>
      </c>
      <c r="CM58" s="327">
        <v>0.55000000000000004</v>
      </c>
      <c r="CN58" s="424">
        <v>48</v>
      </c>
      <c r="CO58" s="424" t="s">
        <v>758</v>
      </c>
      <c r="CP58" s="424">
        <v>11</v>
      </c>
      <c r="CQ58" s="424" t="s">
        <v>758</v>
      </c>
      <c r="CR58" s="428">
        <v>0.26</v>
      </c>
      <c r="CS58" s="428">
        <v>0.53</v>
      </c>
      <c r="CT58" s="428">
        <v>0.16</v>
      </c>
      <c r="CU58" s="428">
        <v>0.05</v>
      </c>
      <c r="CV58" s="428">
        <v>0.38</v>
      </c>
      <c r="CW58" s="428">
        <v>0.55000000000000004</v>
      </c>
      <c r="CX58" s="428">
        <v>0.57999999999999996</v>
      </c>
      <c r="CY58" s="428">
        <v>0.56999999999999995</v>
      </c>
      <c r="CZ58" s="523">
        <v>0.62</v>
      </c>
      <c r="DA58" s="523">
        <v>0.43</v>
      </c>
      <c r="DB58" s="524">
        <v>48</v>
      </c>
      <c r="DC58" s="524" t="s">
        <v>758</v>
      </c>
      <c r="DD58" s="524">
        <v>11</v>
      </c>
      <c r="DE58" s="524" t="s">
        <v>758</v>
      </c>
      <c r="DF58" s="525">
        <v>0.26</v>
      </c>
      <c r="DG58" s="525">
        <v>0.51</v>
      </c>
      <c r="DH58" s="525">
        <v>0.2</v>
      </c>
      <c r="DI58" s="525">
        <v>0.03</v>
      </c>
      <c r="DJ58" s="525">
        <v>0.47</v>
      </c>
      <c r="DK58" s="525">
        <v>0.44</v>
      </c>
      <c r="DL58" s="525">
        <v>0.51</v>
      </c>
      <c r="DM58" s="525">
        <v>0.56999999999999995</v>
      </c>
      <c r="DN58" s="525">
        <v>0.52</v>
      </c>
      <c r="DO58" s="525">
        <v>0.34</v>
      </c>
      <c r="DP58" s="902">
        <v>48</v>
      </c>
      <c r="DQ58" s="902" t="s">
        <v>758</v>
      </c>
      <c r="DR58" s="902">
        <v>11</v>
      </c>
      <c r="DS58" s="902" t="s">
        <v>758</v>
      </c>
      <c r="DT58" s="949">
        <v>0.3</v>
      </c>
      <c r="DU58" s="949">
        <v>0.42</v>
      </c>
      <c r="DV58" s="949">
        <v>0.27</v>
      </c>
      <c r="DW58" s="949">
        <v>0</v>
      </c>
      <c r="DX58" s="949">
        <v>0.57999999999999996</v>
      </c>
      <c r="DY58" s="949">
        <v>0.42</v>
      </c>
      <c r="DZ58" s="949">
        <v>0.75</v>
      </c>
      <c r="EA58" s="949">
        <v>0.55000000000000004</v>
      </c>
      <c r="EB58" s="949">
        <v>0.56999999999999995</v>
      </c>
      <c r="EC58" s="949">
        <v>0.43</v>
      </c>
      <c r="ED58" s="922">
        <v>325754000771</v>
      </c>
      <c r="EE58" s="126" t="s">
        <v>85</v>
      </c>
    </row>
    <row r="59" spans="1:135" ht="24.95" customHeight="1" x14ac:dyDescent="0.2">
      <c r="A59" s="803" t="s">
        <v>727</v>
      </c>
      <c r="B59" s="1" t="s">
        <v>123</v>
      </c>
      <c r="C59" s="2">
        <v>4</v>
      </c>
      <c r="D59" s="12"/>
      <c r="E59" s="12"/>
      <c r="F59" s="63"/>
      <c r="G59" s="63"/>
      <c r="H59" s="63"/>
      <c r="I59" s="63"/>
      <c r="J59" s="63"/>
      <c r="K59" s="63"/>
      <c r="L59" s="63"/>
      <c r="M59" s="63"/>
      <c r="N59" s="63"/>
      <c r="O59" s="63"/>
      <c r="P59" s="12"/>
      <c r="Q59" s="12"/>
      <c r="R59" s="61"/>
      <c r="S59" s="61"/>
      <c r="T59" s="61"/>
      <c r="U59" s="61"/>
      <c r="V59" s="61"/>
      <c r="W59" s="61"/>
      <c r="X59" s="61"/>
      <c r="Y59" s="61"/>
      <c r="Z59" s="61"/>
      <c r="AA59" s="61"/>
      <c r="AB59" s="12"/>
      <c r="AC59" s="12"/>
      <c r="AD59" s="63"/>
      <c r="AE59" s="63"/>
      <c r="AF59" s="63"/>
      <c r="AG59" s="63"/>
      <c r="AH59" s="63"/>
      <c r="AI59" s="63"/>
      <c r="AJ59" s="63"/>
      <c r="AK59" s="63"/>
      <c r="AL59" s="63"/>
      <c r="AM59" s="63"/>
      <c r="AN59" s="12"/>
      <c r="AO59" s="12"/>
      <c r="AP59" s="63"/>
      <c r="AQ59" s="63"/>
      <c r="AR59" s="63"/>
      <c r="AS59" s="63"/>
      <c r="AT59" s="63"/>
      <c r="AU59" s="63"/>
      <c r="AV59" s="63"/>
      <c r="AW59" s="63"/>
      <c r="AX59" s="63"/>
      <c r="AY59" s="63"/>
      <c r="AZ59" s="35"/>
      <c r="BA59" s="35"/>
      <c r="BB59" s="40"/>
      <c r="BC59" s="40"/>
      <c r="BD59" s="40"/>
      <c r="BE59" s="40"/>
      <c r="BF59" s="40"/>
      <c r="BG59" s="40"/>
      <c r="BH59" s="40"/>
      <c r="BI59" s="40"/>
      <c r="BJ59" s="40"/>
      <c r="BK59" s="40"/>
      <c r="BL59" s="646"/>
      <c r="BM59" s="646"/>
      <c r="BN59" s="646"/>
      <c r="BO59" s="646"/>
      <c r="BP59" s="646"/>
      <c r="BQ59" s="646"/>
      <c r="BR59" s="646"/>
      <c r="BS59" s="646"/>
      <c r="BT59" s="646"/>
      <c r="BU59" s="646"/>
      <c r="BV59" s="646"/>
      <c r="BW59" s="646"/>
      <c r="BX59" s="646"/>
      <c r="BY59" s="646"/>
      <c r="BZ59" s="649"/>
      <c r="CA59" s="649"/>
      <c r="CB59" s="649"/>
      <c r="CC59" s="649"/>
      <c r="CD59" s="649"/>
      <c r="CE59" s="649"/>
      <c r="CF59" s="649"/>
      <c r="CG59" s="649"/>
      <c r="CH59" s="649"/>
      <c r="CI59" s="649"/>
      <c r="CJ59" s="649"/>
      <c r="CK59" s="649"/>
      <c r="CL59" s="649"/>
      <c r="CM59" s="649"/>
      <c r="CN59" s="651"/>
      <c r="CO59" s="651"/>
      <c r="CP59" s="651"/>
      <c r="CQ59" s="651"/>
      <c r="CR59" s="651"/>
      <c r="CS59" s="651"/>
      <c r="CT59" s="651"/>
      <c r="CU59" s="651"/>
      <c r="CV59" s="651"/>
      <c r="CW59" s="651"/>
      <c r="CX59" s="651"/>
      <c r="CY59" s="651"/>
      <c r="CZ59" s="660"/>
      <c r="DA59" s="660"/>
      <c r="DB59" s="662"/>
      <c r="DC59" s="662"/>
      <c r="DD59" s="662"/>
      <c r="DE59" s="662"/>
      <c r="DF59" s="662"/>
      <c r="DG59" s="662"/>
      <c r="DH59" s="662"/>
      <c r="DI59" s="662"/>
      <c r="DJ59" s="662"/>
      <c r="DK59" s="662"/>
      <c r="DL59" s="662"/>
      <c r="DM59" s="662"/>
      <c r="DN59" s="662"/>
      <c r="DO59" s="662"/>
      <c r="DT59" s="949"/>
      <c r="DU59" s="949"/>
      <c r="DV59" s="949"/>
      <c r="DW59" s="949"/>
      <c r="DX59" s="949"/>
      <c r="DY59" s="949"/>
      <c r="DZ59" s="949"/>
      <c r="EA59" s="949"/>
      <c r="EB59" s="949"/>
      <c r="EC59" s="949"/>
      <c r="ED59" s="922"/>
      <c r="EE59" s="803" t="s">
        <v>727</v>
      </c>
    </row>
    <row r="60" spans="1:135" ht="24.95" customHeight="1" x14ac:dyDescent="0.2">
      <c r="A60" s="803" t="s">
        <v>109</v>
      </c>
      <c r="B60" s="1" t="s">
        <v>123</v>
      </c>
      <c r="C60" s="2">
        <v>3</v>
      </c>
      <c r="D60" s="12">
        <v>54</v>
      </c>
      <c r="E60" s="12">
        <v>10</v>
      </c>
      <c r="F60" s="63">
        <v>0.1</v>
      </c>
      <c r="G60" s="63">
        <v>0.47</v>
      </c>
      <c r="H60" s="63">
        <v>0.4</v>
      </c>
      <c r="I60" s="63">
        <v>0.04</v>
      </c>
      <c r="J60" s="63">
        <v>0.49</v>
      </c>
      <c r="K60" s="63">
        <v>0.49</v>
      </c>
      <c r="L60" s="63">
        <v>0.43</v>
      </c>
      <c r="M60" s="63">
        <v>0.37</v>
      </c>
      <c r="N60" s="63">
        <v>0.37</v>
      </c>
      <c r="O60" s="63">
        <v>0.44</v>
      </c>
      <c r="P60" s="12">
        <v>56</v>
      </c>
      <c r="Q60" s="12">
        <v>9</v>
      </c>
      <c r="R60" s="61">
        <v>0.05</v>
      </c>
      <c r="S60" s="61">
        <v>0.43</v>
      </c>
      <c r="T60" s="61">
        <v>0.5</v>
      </c>
      <c r="U60" s="61">
        <v>0.02</v>
      </c>
      <c r="V60" s="61">
        <v>0.32</v>
      </c>
      <c r="W60" s="61">
        <v>0.4</v>
      </c>
      <c r="X60" s="61">
        <v>0.49</v>
      </c>
      <c r="Y60" s="61">
        <v>0.35</v>
      </c>
      <c r="Z60" s="61">
        <v>0.35</v>
      </c>
      <c r="AA60" s="61">
        <v>0.45</v>
      </c>
      <c r="AB60" s="12">
        <v>53</v>
      </c>
      <c r="AC60" s="12">
        <v>10</v>
      </c>
      <c r="AD60" s="63">
        <v>0.1</v>
      </c>
      <c r="AE60" s="63">
        <v>0.48</v>
      </c>
      <c r="AF60" s="63">
        <v>0.38</v>
      </c>
      <c r="AG60" s="63">
        <v>0.04</v>
      </c>
      <c r="AH60" s="63">
        <v>0.38</v>
      </c>
      <c r="AI60" s="63">
        <v>0.36</v>
      </c>
      <c r="AJ60" s="63">
        <v>0.33</v>
      </c>
      <c r="AK60" s="63">
        <v>0.44</v>
      </c>
      <c r="AL60" s="63">
        <v>0.46</v>
      </c>
      <c r="AM60" s="63">
        <v>0.44</v>
      </c>
      <c r="AN60" s="12">
        <v>54</v>
      </c>
      <c r="AO60" s="12">
        <v>10</v>
      </c>
      <c r="AP60" s="63">
        <v>0.13</v>
      </c>
      <c r="AQ60" s="63">
        <v>0.41</v>
      </c>
      <c r="AR60" s="63">
        <v>0.43</v>
      </c>
      <c r="AS60" s="63">
        <v>0.04</v>
      </c>
      <c r="AT60" s="63">
        <v>0.47</v>
      </c>
      <c r="AU60" s="63">
        <v>0.45</v>
      </c>
      <c r="AV60" s="63">
        <v>0.34</v>
      </c>
      <c r="AW60" s="63">
        <v>0.39</v>
      </c>
      <c r="AX60" s="63">
        <v>0.39</v>
      </c>
      <c r="AY60" s="63">
        <v>0.41</v>
      </c>
      <c r="AZ60" s="35">
        <v>56</v>
      </c>
      <c r="BA60" s="35">
        <v>11</v>
      </c>
      <c r="BB60" s="40">
        <v>0.11</v>
      </c>
      <c r="BC60" s="40">
        <v>0.32</v>
      </c>
      <c r="BD60" s="40">
        <v>0.48</v>
      </c>
      <c r="BE60" s="40">
        <v>0.09</v>
      </c>
      <c r="BF60" s="40">
        <v>0.41</v>
      </c>
      <c r="BG60" s="40">
        <v>0.33</v>
      </c>
      <c r="BH60" s="40">
        <v>0.37</v>
      </c>
      <c r="BI60" s="40">
        <v>0.45</v>
      </c>
      <c r="BJ60" s="40">
        <v>0.32</v>
      </c>
      <c r="BK60" s="40">
        <v>0.32</v>
      </c>
      <c r="BL60" s="246">
        <v>55</v>
      </c>
      <c r="BM60" s="246" t="s">
        <v>758</v>
      </c>
      <c r="BN60" s="246">
        <v>11</v>
      </c>
      <c r="BO60" s="246" t="s">
        <v>758</v>
      </c>
      <c r="BP60" s="263">
        <v>0.11</v>
      </c>
      <c r="BQ60" s="263">
        <v>0.41</v>
      </c>
      <c r="BR60" s="263">
        <v>0.43</v>
      </c>
      <c r="BS60" s="263">
        <v>0.05</v>
      </c>
      <c r="BT60" s="263">
        <v>0.37</v>
      </c>
      <c r="BU60" s="263">
        <v>0.36</v>
      </c>
      <c r="BV60" s="263">
        <v>0.42</v>
      </c>
      <c r="BW60" s="263">
        <v>0.35</v>
      </c>
      <c r="BX60" s="263">
        <v>0.37</v>
      </c>
      <c r="BY60" s="263">
        <v>0.44</v>
      </c>
      <c r="BZ60" s="309">
        <v>59</v>
      </c>
      <c r="CA60" s="309" t="s">
        <v>759</v>
      </c>
      <c r="CB60" s="309">
        <v>11</v>
      </c>
      <c r="CC60" s="309" t="s">
        <v>758</v>
      </c>
      <c r="CD60" s="327">
        <v>0.05</v>
      </c>
      <c r="CE60" s="327">
        <v>0.3</v>
      </c>
      <c r="CF60" s="327">
        <v>0.51</v>
      </c>
      <c r="CG60" s="327">
        <v>0.15</v>
      </c>
      <c r="CH60" s="327">
        <v>0.38</v>
      </c>
      <c r="CI60" s="327">
        <v>0.24</v>
      </c>
      <c r="CJ60" s="327">
        <v>0.45</v>
      </c>
      <c r="CK60" s="327">
        <v>0.42</v>
      </c>
      <c r="CL60" s="327">
        <v>0.31</v>
      </c>
      <c r="CM60" s="327">
        <v>0.42</v>
      </c>
      <c r="CN60" s="424">
        <v>55</v>
      </c>
      <c r="CO60" s="424" t="s">
        <v>758</v>
      </c>
      <c r="CP60" s="424">
        <v>9</v>
      </c>
      <c r="CQ60" s="424" t="s">
        <v>758</v>
      </c>
      <c r="CR60" s="428">
        <v>0.06</v>
      </c>
      <c r="CS60" s="428">
        <v>0.45</v>
      </c>
      <c r="CT60" s="428">
        <v>0.44</v>
      </c>
      <c r="CU60" s="428">
        <v>0.05</v>
      </c>
      <c r="CV60" s="428">
        <v>0.27</v>
      </c>
      <c r="CW60" s="428">
        <v>0.45</v>
      </c>
      <c r="CX60" s="428">
        <v>0.52</v>
      </c>
      <c r="CY60" s="428">
        <v>0.6</v>
      </c>
      <c r="CZ60" s="523">
        <v>0.49</v>
      </c>
      <c r="DA60" s="523">
        <v>0.54</v>
      </c>
      <c r="DB60" s="524">
        <v>56</v>
      </c>
      <c r="DC60" s="524" t="s">
        <v>758</v>
      </c>
      <c r="DD60" s="524">
        <v>11</v>
      </c>
      <c r="DE60" s="524" t="s">
        <v>758</v>
      </c>
      <c r="DF60" s="525">
        <v>0.09</v>
      </c>
      <c r="DG60" s="525">
        <v>0.35</v>
      </c>
      <c r="DH60" s="525">
        <v>0.49</v>
      </c>
      <c r="DI60" s="525">
        <v>0.06</v>
      </c>
      <c r="DJ60" s="525">
        <v>0.43</v>
      </c>
      <c r="DK60" s="525">
        <v>0.41</v>
      </c>
      <c r="DL60" s="525">
        <v>0.38</v>
      </c>
      <c r="DM60" s="525">
        <v>0.54</v>
      </c>
      <c r="DN60" s="525">
        <v>0.43</v>
      </c>
      <c r="DO60" s="525">
        <v>0.3</v>
      </c>
      <c r="DP60" s="902">
        <v>56</v>
      </c>
      <c r="DQ60" s="902" t="s">
        <v>758</v>
      </c>
      <c r="DR60" s="902">
        <v>10</v>
      </c>
      <c r="DS60" s="902" t="s">
        <v>758</v>
      </c>
      <c r="DT60" s="949">
        <v>0.08</v>
      </c>
      <c r="DU60" s="949">
        <v>0.38</v>
      </c>
      <c r="DV60" s="949">
        <v>0.48</v>
      </c>
      <c r="DW60" s="949">
        <v>0.06</v>
      </c>
      <c r="DX60" s="949">
        <v>0.37</v>
      </c>
      <c r="DY60" s="949">
        <v>0.32</v>
      </c>
      <c r="DZ60" s="949">
        <v>0.66</v>
      </c>
      <c r="EA60" s="949">
        <v>0.38</v>
      </c>
      <c r="EB60" s="949">
        <v>0.45</v>
      </c>
      <c r="EC60" s="949">
        <v>0.28000000000000003</v>
      </c>
      <c r="ED60" s="922">
        <v>325754005412</v>
      </c>
      <c r="EE60" s="803" t="s">
        <v>109</v>
      </c>
    </row>
    <row r="61" spans="1:135" s="892" customFormat="1" ht="24.95" customHeight="1" x14ac:dyDescent="0.2">
      <c r="A61" s="905" t="s">
        <v>960</v>
      </c>
      <c r="B61" s="1" t="s">
        <v>123</v>
      </c>
      <c r="C61" s="867">
        <v>6</v>
      </c>
      <c r="D61" s="868"/>
      <c r="E61" s="868"/>
      <c r="F61" s="906"/>
      <c r="G61" s="906"/>
      <c r="H61" s="906"/>
      <c r="I61" s="906"/>
      <c r="J61" s="906"/>
      <c r="K61" s="906"/>
      <c r="L61" s="906"/>
      <c r="M61" s="906"/>
      <c r="N61" s="906"/>
      <c r="O61" s="906"/>
      <c r="P61" s="868"/>
      <c r="Q61" s="868"/>
      <c r="R61" s="907"/>
      <c r="S61" s="907"/>
      <c r="T61" s="907"/>
      <c r="U61" s="907"/>
      <c r="V61" s="907"/>
      <c r="W61" s="907"/>
      <c r="X61" s="907"/>
      <c r="Y61" s="907"/>
      <c r="Z61" s="907"/>
      <c r="AA61" s="907"/>
      <c r="AB61" s="868"/>
      <c r="AC61" s="868"/>
      <c r="AD61" s="906"/>
      <c r="AE61" s="906"/>
      <c r="AF61" s="906"/>
      <c r="AG61" s="906"/>
      <c r="AH61" s="906"/>
      <c r="AI61" s="906"/>
      <c r="AJ61" s="906"/>
      <c r="AK61" s="906"/>
      <c r="AL61" s="906"/>
      <c r="AM61" s="906"/>
      <c r="AN61" s="868"/>
      <c r="AO61" s="868"/>
      <c r="AP61" s="906"/>
      <c r="AQ61" s="906"/>
      <c r="AR61" s="906"/>
      <c r="AS61" s="906"/>
      <c r="AT61" s="906"/>
      <c r="AU61" s="906"/>
      <c r="AV61" s="906"/>
      <c r="AW61" s="906"/>
      <c r="AX61" s="906"/>
      <c r="AY61" s="906"/>
      <c r="AZ61" s="909"/>
      <c r="BA61" s="909"/>
      <c r="BB61" s="910"/>
      <c r="BC61" s="910"/>
      <c r="BD61" s="910"/>
      <c r="BE61" s="910"/>
      <c r="BF61" s="910"/>
      <c r="BG61" s="910"/>
      <c r="BH61" s="910"/>
      <c r="BI61" s="910"/>
      <c r="BJ61" s="910"/>
      <c r="BK61" s="910"/>
      <c r="BL61" s="915"/>
      <c r="BM61" s="915"/>
      <c r="BN61" s="915"/>
      <c r="BO61" s="915"/>
      <c r="BP61" s="916"/>
      <c r="BQ61" s="916"/>
      <c r="BR61" s="916"/>
      <c r="BS61" s="916"/>
      <c r="BT61" s="916"/>
      <c r="BU61" s="916"/>
      <c r="BV61" s="916"/>
      <c r="BW61" s="916"/>
      <c r="BX61" s="916"/>
      <c r="BY61" s="916"/>
      <c r="BZ61" s="917"/>
      <c r="CA61" s="917"/>
      <c r="CB61" s="917"/>
      <c r="CC61" s="917"/>
      <c r="CD61" s="918"/>
      <c r="CE61" s="918"/>
      <c r="CF61" s="918"/>
      <c r="CG61" s="918"/>
      <c r="CH61" s="918"/>
      <c r="CI61" s="918"/>
      <c r="CJ61" s="918"/>
      <c r="CK61" s="918"/>
      <c r="CL61" s="918"/>
      <c r="CM61" s="918"/>
      <c r="CN61" s="919"/>
      <c r="CO61" s="919"/>
      <c r="CP61" s="919"/>
      <c r="CQ61" s="919"/>
      <c r="CR61" s="920"/>
      <c r="CS61" s="920"/>
      <c r="CT61" s="920"/>
      <c r="CU61" s="920"/>
      <c r="CV61" s="920"/>
      <c r="CW61" s="920"/>
      <c r="CX61" s="920"/>
      <c r="CY61" s="920"/>
      <c r="CZ61" s="927"/>
      <c r="DA61" s="927"/>
      <c r="DB61" s="928"/>
      <c r="DC61" s="928"/>
      <c r="DD61" s="928"/>
      <c r="DE61" s="928"/>
      <c r="DF61" s="929"/>
      <c r="DG61" s="929"/>
      <c r="DH61" s="929"/>
      <c r="DI61" s="929"/>
      <c r="DJ61" s="929"/>
      <c r="DK61" s="929"/>
      <c r="DL61" s="929"/>
      <c r="DM61" s="929"/>
      <c r="DN61" s="929"/>
      <c r="DO61" s="929"/>
      <c r="DP61" s="902">
        <v>44</v>
      </c>
      <c r="DQ61" s="902" t="s">
        <v>758</v>
      </c>
      <c r="DR61" s="902">
        <v>9</v>
      </c>
      <c r="DS61" s="902" t="s">
        <v>758</v>
      </c>
      <c r="DT61" s="949">
        <v>0.35</v>
      </c>
      <c r="DU61" s="949">
        <v>0.47</v>
      </c>
      <c r="DV61" s="949">
        <v>0.18</v>
      </c>
      <c r="DW61" s="949">
        <v>0</v>
      </c>
      <c r="DX61" s="949">
        <v>0.61</v>
      </c>
      <c r="DY61" s="949">
        <v>0.47</v>
      </c>
      <c r="DZ61" s="949">
        <v>0.67</v>
      </c>
      <c r="EA61" s="949">
        <v>0.66</v>
      </c>
      <c r="EB61" s="949">
        <v>0.65</v>
      </c>
      <c r="EC61" s="949">
        <v>0.3</v>
      </c>
      <c r="ED61" s="922">
        <v>325754003622</v>
      </c>
      <c r="EE61" s="905" t="s">
        <v>960</v>
      </c>
    </row>
    <row r="62" spans="1:135" ht="24.95" customHeight="1" x14ac:dyDescent="0.2">
      <c r="A62" s="803" t="s">
        <v>97</v>
      </c>
      <c r="B62" s="1" t="s">
        <v>123</v>
      </c>
      <c r="C62" s="2">
        <v>2</v>
      </c>
      <c r="D62" s="12">
        <v>51</v>
      </c>
      <c r="E62" s="12">
        <v>8</v>
      </c>
      <c r="F62" s="63">
        <v>0.08</v>
      </c>
      <c r="G62" s="63">
        <v>0.69</v>
      </c>
      <c r="H62" s="63">
        <v>0.23</v>
      </c>
      <c r="I62" s="63">
        <v>0</v>
      </c>
      <c r="J62" s="63">
        <v>0.53</v>
      </c>
      <c r="K62" s="63">
        <v>0.51</v>
      </c>
      <c r="L62" s="63">
        <v>0.61</v>
      </c>
      <c r="M62" s="63">
        <v>0.4</v>
      </c>
      <c r="N62" s="63">
        <v>0.47</v>
      </c>
      <c r="O62" s="63">
        <v>0.5</v>
      </c>
      <c r="P62" s="12">
        <v>46</v>
      </c>
      <c r="Q62" s="12">
        <v>11</v>
      </c>
      <c r="R62" s="61">
        <v>0.37</v>
      </c>
      <c r="S62" s="61">
        <v>0.43</v>
      </c>
      <c r="T62" s="61">
        <v>0.17</v>
      </c>
      <c r="U62" s="61">
        <v>0.03</v>
      </c>
      <c r="V62" s="61">
        <v>0.47</v>
      </c>
      <c r="W62" s="61">
        <v>0.61</v>
      </c>
      <c r="X62" s="61">
        <v>0.61</v>
      </c>
      <c r="Y62" s="61">
        <v>0.52</v>
      </c>
      <c r="Z62" s="61">
        <v>0.52</v>
      </c>
      <c r="AA62" s="61">
        <v>0.55000000000000004</v>
      </c>
      <c r="AB62" s="12">
        <v>49</v>
      </c>
      <c r="AC62" s="12">
        <v>10</v>
      </c>
      <c r="AD62" s="63">
        <v>0.22</v>
      </c>
      <c r="AE62" s="63">
        <v>0.5</v>
      </c>
      <c r="AF62" s="63">
        <v>0.25</v>
      </c>
      <c r="AG62" s="63">
        <v>0.03</v>
      </c>
      <c r="AH62" s="63">
        <v>0.42</v>
      </c>
      <c r="AI62" s="63">
        <v>0.47</v>
      </c>
      <c r="AJ62" s="63">
        <v>0.42</v>
      </c>
      <c r="AK62" s="63">
        <v>0.48</v>
      </c>
      <c r="AL62" s="63">
        <v>0.52</v>
      </c>
      <c r="AM62" s="63">
        <v>0.56999999999999995</v>
      </c>
      <c r="AN62" s="12">
        <v>52</v>
      </c>
      <c r="AO62" s="12">
        <v>10</v>
      </c>
      <c r="AP62" s="63">
        <v>0.12</v>
      </c>
      <c r="AQ62" s="63">
        <v>0.5</v>
      </c>
      <c r="AR62" s="63">
        <v>0.35</v>
      </c>
      <c r="AS62" s="63">
        <v>0.04</v>
      </c>
      <c r="AT62" s="63">
        <v>0.46</v>
      </c>
      <c r="AU62" s="63">
        <v>0.4</v>
      </c>
      <c r="AV62" s="63">
        <v>0.39</v>
      </c>
      <c r="AW62" s="63">
        <v>0.42</v>
      </c>
      <c r="AX62" s="63">
        <v>0.48</v>
      </c>
      <c r="AY62" s="63">
        <v>0.43</v>
      </c>
      <c r="AZ62" s="35">
        <v>49</v>
      </c>
      <c r="BA62" s="35">
        <v>11</v>
      </c>
      <c r="BB62" s="40">
        <v>0.22</v>
      </c>
      <c r="BC62" s="40">
        <v>0.5</v>
      </c>
      <c r="BD62" s="40">
        <v>0.28000000000000003</v>
      </c>
      <c r="BE62" s="40">
        <v>0</v>
      </c>
      <c r="BF62" s="40">
        <v>0.56000000000000005</v>
      </c>
      <c r="BG62" s="40">
        <v>0.51</v>
      </c>
      <c r="BH62" s="40">
        <v>0.46</v>
      </c>
      <c r="BI62" s="40">
        <v>0.52</v>
      </c>
      <c r="BJ62" s="40">
        <v>0.38</v>
      </c>
      <c r="BK62" s="40">
        <v>0.48</v>
      </c>
      <c r="BL62" s="647">
        <v>50</v>
      </c>
      <c r="BM62" s="647" t="s">
        <v>758</v>
      </c>
      <c r="BN62" s="647">
        <v>12</v>
      </c>
      <c r="BO62" s="647" t="s">
        <v>758</v>
      </c>
      <c r="BP62" s="648">
        <v>0.34</v>
      </c>
      <c r="BQ62" s="648">
        <v>0.25</v>
      </c>
      <c r="BR62" s="648">
        <v>0.38</v>
      </c>
      <c r="BS62" s="648">
        <v>0.03</v>
      </c>
      <c r="BT62" s="648">
        <v>0.49</v>
      </c>
      <c r="BU62" s="648">
        <v>0.42</v>
      </c>
      <c r="BV62" s="648">
        <v>0.6</v>
      </c>
      <c r="BW62" s="648">
        <v>0.4</v>
      </c>
      <c r="BX62" s="648">
        <v>0.45</v>
      </c>
      <c r="BY62" s="648">
        <v>0.52</v>
      </c>
      <c r="BZ62" s="74">
        <v>54</v>
      </c>
      <c r="CA62" s="74" t="s">
        <v>758</v>
      </c>
      <c r="CB62" s="74">
        <v>10</v>
      </c>
      <c r="CC62" s="74" t="s">
        <v>758</v>
      </c>
      <c r="CD62" s="96">
        <v>0.08</v>
      </c>
      <c r="CE62" s="96">
        <v>0.45</v>
      </c>
      <c r="CF62" s="96">
        <v>0.45</v>
      </c>
      <c r="CG62" s="96">
        <v>0.03</v>
      </c>
      <c r="CH62" s="96">
        <v>0.41</v>
      </c>
      <c r="CI62" s="96">
        <v>0.25</v>
      </c>
      <c r="CJ62" s="96">
        <v>0.56000000000000005</v>
      </c>
      <c r="CK62" s="96">
        <v>0.5</v>
      </c>
      <c r="CL62" s="96">
        <v>0.44</v>
      </c>
      <c r="CM62" s="96">
        <v>0.52</v>
      </c>
      <c r="CN62" s="652">
        <v>55</v>
      </c>
      <c r="CO62" s="652" t="s">
        <v>758</v>
      </c>
      <c r="CP62" s="652">
        <v>10</v>
      </c>
      <c r="CQ62" s="652" t="s">
        <v>758</v>
      </c>
      <c r="CR62" s="653">
        <v>0.09</v>
      </c>
      <c r="CS62" s="653">
        <v>0.39</v>
      </c>
      <c r="CT62" s="653">
        <v>0.45</v>
      </c>
      <c r="CU62" s="653">
        <v>0.06</v>
      </c>
      <c r="CV62" s="653">
        <v>0.24</v>
      </c>
      <c r="CW62" s="653">
        <v>0.47</v>
      </c>
      <c r="CX62" s="653">
        <v>0.51</v>
      </c>
      <c r="CY62" s="653">
        <v>0.7</v>
      </c>
      <c r="CZ62" s="661">
        <v>0.54</v>
      </c>
      <c r="DA62" s="661">
        <v>0.65</v>
      </c>
      <c r="DB62" s="47">
        <v>49</v>
      </c>
      <c r="DC62" s="47" t="s">
        <v>758</v>
      </c>
      <c r="DD62" s="47">
        <v>12</v>
      </c>
      <c r="DE62" s="47" t="s">
        <v>758</v>
      </c>
      <c r="DF62" s="664">
        <v>0.31</v>
      </c>
      <c r="DG62" s="664">
        <v>0.43</v>
      </c>
      <c r="DH62" s="664">
        <v>0.23</v>
      </c>
      <c r="DI62" s="664">
        <v>0.03</v>
      </c>
      <c r="DJ62" s="664">
        <v>0.56000000000000005</v>
      </c>
      <c r="DK62" s="664">
        <v>0.5</v>
      </c>
      <c r="DL62" s="664">
        <v>0.51</v>
      </c>
      <c r="DM62" s="664">
        <v>0.61</v>
      </c>
      <c r="DN62" s="664">
        <v>0.6</v>
      </c>
      <c r="DO62" s="664">
        <v>0.41</v>
      </c>
      <c r="DP62" s="902">
        <v>50</v>
      </c>
      <c r="DQ62" s="902" t="s">
        <v>758</v>
      </c>
      <c r="DR62" s="902">
        <v>12</v>
      </c>
      <c r="DS62" s="902" t="s">
        <v>758</v>
      </c>
      <c r="DT62" s="949">
        <v>0.21</v>
      </c>
      <c r="DU62" s="949">
        <v>0.42</v>
      </c>
      <c r="DV62" s="949">
        <v>0.34</v>
      </c>
      <c r="DW62" s="949">
        <v>0.03</v>
      </c>
      <c r="DX62" s="949">
        <v>0.48</v>
      </c>
      <c r="DY62" s="949">
        <v>0.42</v>
      </c>
      <c r="DZ62" s="949">
        <v>0.71</v>
      </c>
      <c r="EA62" s="949">
        <v>0.41</v>
      </c>
      <c r="EB62" s="949">
        <v>0.6</v>
      </c>
      <c r="EC62" s="949">
        <v>0.37</v>
      </c>
      <c r="ED62" s="922">
        <v>325754000950</v>
      </c>
      <c r="EE62" s="803" t="s">
        <v>97</v>
      </c>
    </row>
    <row r="63" spans="1:135" ht="24.95" customHeight="1" x14ac:dyDescent="0.2">
      <c r="A63" s="803" t="s">
        <v>51</v>
      </c>
      <c r="B63" s="1" t="s">
        <v>123</v>
      </c>
      <c r="C63" s="2">
        <v>2</v>
      </c>
      <c r="D63" s="12">
        <v>58</v>
      </c>
      <c r="E63" s="12">
        <v>5</v>
      </c>
      <c r="F63" s="63">
        <v>0</v>
      </c>
      <c r="G63" s="63">
        <v>0.3</v>
      </c>
      <c r="H63" s="63">
        <v>0.7</v>
      </c>
      <c r="I63" s="63">
        <v>0</v>
      </c>
      <c r="J63" s="63">
        <v>0.44</v>
      </c>
      <c r="K63" s="63">
        <v>0.34</v>
      </c>
      <c r="L63" s="63">
        <v>0.45</v>
      </c>
      <c r="M63" s="63">
        <v>0.28999999999999998</v>
      </c>
      <c r="N63" s="63">
        <v>0.3</v>
      </c>
      <c r="O63" s="63">
        <v>0.47</v>
      </c>
      <c r="P63" s="12">
        <v>58</v>
      </c>
      <c r="Q63" s="12">
        <v>6</v>
      </c>
      <c r="R63" s="61">
        <v>0</v>
      </c>
      <c r="S63" s="61">
        <v>0.26</v>
      </c>
      <c r="T63" s="61">
        <v>0.74</v>
      </c>
      <c r="U63" s="61">
        <v>0</v>
      </c>
      <c r="V63" s="61">
        <v>0.26</v>
      </c>
      <c r="W63" s="61">
        <v>0.31</v>
      </c>
      <c r="X63" s="61">
        <v>0.49</v>
      </c>
      <c r="Y63" s="61">
        <v>0.36</v>
      </c>
      <c r="Z63" s="61">
        <v>0.35</v>
      </c>
      <c r="AA63" s="61">
        <v>0.46</v>
      </c>
      <c r="AB63" s="12">
        <v>63</v>
      </c>
      <c r="AC63" s="12">
        <v>7</v>
      </c>
      <c r="AD63" s="63">
        <v>0</v>
      </c>
      <c r="AE63" s="63">
        <v>0.19</v>
      </c>
      <c r="AF63" s="63">
        <v>0.63</v>
      </c>
      <c r="AG63" s="63">
        <v>0.19</v>
      </c>
      <c r="AH63" s="63">
        <v>0.26</v>
      </c>
      <c r="AI63" s="63">
        <v>0.15</v>
      </c>
      <c r="AJ63" s="63">
        <v>0.18</v>
      </c>
      <c r="AK63" s="63">
        <v>0.28999999999999998</v>
      </c>
      <c r="AL63" s="63">
        <v>0.35</v>
      </c>
      <c r="AM63" s="63">
        <v>0.25</v>
      </c>
      <c r="AN63" s="12">
        <v>55</v>
      </c>
      <c r="AO63" s="12">
        <v>10</v>
      </c>
      <c r="AP63" s="63">
        <v>0.05</v>
      </c>
      <c r="AQ63" s="63">
        <v>0.45</v>
      </c>
      <c r="AR63" s="63">
        <v>0.45</v>
      </c>
      <c r="AS63" s="63">
        <v>0.05</v>
      </c>
      <c r="AT63" s="63">
        <v>0.52</v>
      </c>
      <c r="AU63" s="63">
        <v>0.31</v>
      </c>
      <c r="AV63" s="63">
        <v>0.32</v>
      </c>
      <c r="AW63" s="63">
        <v>0.36</v>
      </c>
      <c r="AX63" s="63">
        <v>0.3</v>
      </c>
      <c r="AY63" s="63">
        <v>0.42</v>
      </c>
      <c r="AZ63" s="35">
        <v>58</v>
      </c>
      <c r="BA63" s="35">
        <v>8</v>
      </c>
      <c r="BB63" s="40">
        <v>0.04</v>
      </c>
      <c r="BC63" s="40">
        <v>0.3</v>
      </c>
      <c r="BD63" s="40">
        <v>0.63</v>
      </c>
      <c r="BE63" s="40">
        <v>0.04</v>
      </c>
      <c r="BF63" s="40">
        <v>0.32</v>
      </c>
      <c r="BG63" s="40">
        <v>0.31</v>
      </c>
      <c r="BH63" s="40">
        <v>0.32</v>
      </c>
      <c r="BI63" s="40">
        <v>0.37</v>
      </c>
      <c r="BJ63" s="40">
        <v>0.32</v>
      </c>
      <c r="BK63" s="40">
        <v>0.26</v>
      </c>
      <c r="BL63" s="246">
        <v>57</v>
      </c>
      <c r="BM63" s="246" t="s">
        <v>759</v>
      </c>
      <c r="BN63" s="246">
        <v>12</v>
      </c>
      <c r="BO63" s="246" t="s">
        <v>758</v>
      </c>
      <c r="BP63" s="263">
        <v>0.05</v>
      </c>
      <c r="BQ63" s="263">
        <v>0.38</v>
      </c>
      <c r="BR63" s="263">
        <v>0.48</v>
      </c>
      <c r="BS63" s="263">
        <v>0.1</v>
      </c>
      <c r="BT63" s="263">
        <v>0.4</v>
      </c>
      <c r="BU63" s="263">
        <v>0.4</v>
      </c>
      <c r="BV63" s="263">
        <v>0.38</v>
      </c>
      <c r="BW63" s="263">
        <v>0.35</v>
      </c>
      <c r="BX63" s="263">
        <v>0.32</v>
      </c>
      <c r="BY63" s="263">
        <v>0.37</v>
      </c>
      <c r="BZ63" s="309">
        <v>58</v>
      </c>
      <c r="CA63" s="309" t="s">
        <v>759</v>
      </c>
      <c r="CB63" s="309">
        <v>8</v>
      </c>
      <c r="CC63" s="309" t="s">
        <v>758</v>
      </c>
      <c r="CD63" s="327">
        <v>0.05</v>
      </c>
      <c r="CE63" s="327">
        <v>0.25</v>
      </c>
      <c r="CF63" s="327">
        <v>0.7</v>
      </c>
      <c r="CG63" s="327">
        <v>0</v>
      </c>
      <c r="CH63" s="327">
        <v>0.36</v>
      </c>
      <c r="CI63" s="327">
        <v>0.43</v>
      </c>
      <c r="CJ63" s="327">
        <v>0.4</v>
      </c>
      <c r="CK63" s="327">
        <v>0.46</v>
      </c>
      <c r="CL63" s="327">
        <v>0.3</v>
      </c>
      <c r="CM63" s="327">
        <v>0.47</v>
      </c>
      <c r="CN63" s="424">
        <v>60</v>
      </c>
      <c r="CO63" s="424" t="s">
        <v>759</v>
      </c>
      <c r="CP63" s="424">
        <v>10</v>
      </c>
      <c r="CQ63" s="424" t="s">
        <v>758</v>
      </c>
      <c r="CR63" s="428">
        <v>0</v>
      </c>
      <c r="CS63" s="428">
        <v>0.31</v>
      </c>
      <c r="CT63" s="428">
        <v>0.5</v>
      </c>
      <c r="CU63" s="428">
        <v>0.19</v>
      </c>
      <c r="CV63" s="428">
        <v>0.19</v>
      </c>
      <c r="CW63" s="428">
        <v>0.28000000000000003</v>
      </c>
      <c r="CX63" s="428">
        <v>0.48</v>
      </c>
      <c r="CY63" s="428">
        <v>0.5</v>
      </c>
      <c r="CZ63" s="523">
        <v>0.3</v>
      </c>
      <c r="DA63" s="523">
        <v>0.43</v>
      </c>
      <c r="DB63" s="524">
        <v>58</v>
      </c>
      <c r="DC63" s="524" t="s">
        <v>759</v>
      </c>
      <c r="DD63" s="524">
        <v>9</v>
      </c>
      <c r="DE63" s="524" t="s">
        <v>758</v>
      </c>
      <c r="DF63" s="525">
        <v>0</v>
      </c>
      <c r="DG63" s="525">
        <v>0.42</v>
      </c>
      <c r="DH63" s="525">
        <v>0.42</v>
      </c>
      <c r="DI63" s="525">
        <v>0.17</v>
      </c>
      <c r="DJ63" s="525">
        <v>0.35</v>
      </c>
      <c r="DK63" s="525">
        <v>0.36</v>
      </c>
      <c r="DL63" s="525">
        <v>0.27</v>
      </c>
      <c r="DM63" s="525">
        <v>0.45</v>
      </c>
      <c r="DN63" s="525">
        <v>0.37</v>
      </c>
      <c r="DO63" s="525">
        <v>0.13</v>
      </c>
      <c r="DP63" s="902">
        <v>55</v>
      </c>
      <c r="DQ63" s="902" t="s">
        <v>758</v>
      </c>
      <c r="DR63" s="902">
        <v>7</v>
      </c>
      <c r="DS63" s="902" t="s">
        <v>760</v>
      </c>
      <c r="DT63" s="949">
        <v>0</v>
      </c>
      <c r="DU63" s="949">
        <v>0.8</v>
      </c>
      <c r="DV63" s="949">
        <v>0.2</v>
      </c>
      <c r="DW63" s="949">
        <v>0</v>
      </c>
      <c r="DX63" s="949">
        <v>0.53</v>
      </c>
      <c r="DY63" s="949">
        <v>0.25</v>
      </c>
      <c r="DZ63" s="949">
        <v>0.8</v>
      </c>
      <c r="EA63" s="949">
        <v>0.26</v>
      </c>
      <c r="EB63" s="949">
        <v>0.44</v>
      </c>
      <c r="EC63" s="949">
        <v>0.38</v>
      </c>
      <c r="ED63" s="922">
        <v>325754000721</v>
      </c>
      <c r="EE63" s="803" t="s">
        <v>51</v>
      </c>
    </row>
    <row r="64" spans="1:135" ht="24.95" customHeight="1" x14ac:dyDescent="0.2">
      <c r="A64" s="803" t="s">
        <v>102</v>
      </c>
      <c r="B64" s="1" t="s">
        <v>123</v>
      </c>
      <c r="C64" s="2">
        <v>1</v>
      </c>
      <c r="D64" s="12">
        <v>43</v>
      </c>
      <c r="E64" s="12">
        <v>8</v>
      </c>
      <c r="F64" s="63">
        <v>0.46</v>
      </c>
      <c r="G64" s="63">
        <v>0.54</v>
      </c>
      <c r="H64" s="63">
        <v>0</v>
      </c>
      <c r="I64" s="63">
        <v>0</v>
      </c>
      <c r="J64" s="63">
        <v>0.65</v>
      </c>
      <c r="K64" s="63">
        <v>0.62</v>
      </c>
      <c r="L64" s="63">
        <v>0.72</v>
      </c>
      <c r="M64" s="63">
        <v>0.59</v>
      </c>
      <c r="N64" s="63">
        <v>0.48</v>
      </c>
      <c r="O64" s="63">
        <v>0.72</v>
      </c>
      <c r="P64" s="12">
        <v>46</v>
      </c>
      <c r="Q64" s="12">
        <v>7</v>
      </c>
      <c r="R64" s="61">
        <v>0.2</v>
      </c>
      <c r="S64" s="61">
        <v>0.7</v>
      </c>
      <c r="T64" s="61">
        <v>0.1</v>
      </c>
      <c r="U64" s="61">
        <v>0</v>
      </c>
      <c r="V64" s="61">
        <v>0.49</v>
      </c>
      <c r="W64" s="61">
        <v>0.59</v>
      </c>
      <c r="X64" s="61">
        <v>0.71</v>
      </c>
      <c r="Y64" s="61">
        <v>0.52</v>
      </c>
      <c r="Z64" s="61">
        <v>0.53</v>
      </c>
      <c r="AA64" s="61">
        <v>0.63</v>
      </c>
      <c r="AB64" s="12">
        <v>47</v>
      </c>
      <c r="AC64" s="12">
        <v>11</v>
      </c>
      <c r="AD64" s="63">
        <v>0.37</v>
      </c>
      <c r="AE64" s="63">
        <v>0.37</v>
      </c>
      <c r="AF64" s="63">
        <v>0.26</v>
      </c>
      <c r="AG64" s="63">
        <v>0</v>
      </c>
      <c r="AH64" s="63">
        <v>0.46</v>
      </c>
      <c r="AI64" s="63">
        <v>0.47</v>
      </c>
      <c r="AJ64" s="63">
        <v>0.48</v>
      </c>
      <c r="AK64" s="63">
        <v>0.54</v>
      </c>
      <c r="AL64" s="63">
        <v>0.6</v>
      </c>
      <c r="AM64" s="63">
        <v>0.51</v>
      </c>
      <c r="AN64" s="12">
        <v>40</v>
      </c>
      <c r="AO64" s="12">
        <v>8</v>
      </c>
      <c r="AP64" s="63">
        <v>0.59</v>
      </c>
      <c r="AQ64" s="63">
        <v>0.35</v>
      </c>
      <c r="AR64" s="63">
        <v>0.06</v>
      </c>
      <c r="AS64" s="63">
        <v>0</v>
      </c>
      <c r="AT64" s="63">
        <v>0.55000000000000004</v>
      </c>
      <c r="AU64" s="63">
        <v>0.69</v>
      </c>
      <c r="AV64" s="63">
        <v>0.55000000000000004</v>
      </c>
      <c r="AW64" s="63">
        <v>0.59</v>
      </c>
      <c r="AX64" s="63">
        <v>0.7</v>
      </c>
      <c r="AY64" s="63">
        <v>0.63</v>
      </c>
      <c r="AZ64" s="35">
        <v>42</v>
      </c>
      <c r="BA64" s="35">
        <v>9</v>
      </c>
      <c r="BB64" s="40">
        <v>0.53</v>
      </c>
      <c r="BC64" s="40">
        <v>0.47</v>
      </c>
      <c r="BD64" s="40">
        <v>0</v>
      </c>
      <c r="BE64" s="40">
        <v>0</v>
      </c>
      <c r="BF64" s="40">
        <v>0.61</v>
      </c>
      <c r="BG64" s="40">
        <v>0.56999999999999995</v>
      </c>
      <c r="BH64" s="40">
        <v>0.66</v>
      </c>
      <c r="BI64" s="40">
        <v>0.59</v>
      </c>
      <c r="BJ64" s="40">
        <v>0.56000000000000005</v>
      </c>
      <c r="BK64" s="40">
        <v>0.61</v>
      </c>
      <c r="BL64" s="246">
        <v>43</v>
      </c>
      <c r="BM64" s="246" t="s">
        <v>758</v>
      </c>
      <c r="BN64" s="246">
        <v>7</v>
      </c>
      <c r="BO64" s="246" t="s">
        <v>760</v>
      </c>
      <c r="BP64" s="263">
        <v>0.25</v>
      </c>
      <c r="BQ64" s="263">
        <v>0.75</v>
      </c>
      <c r="BR64" s="263">
        <v>0</v>
      </c>
      <c r="BS64" s="263">
        <v>0</v>
      </c>
      <c r="BT64" s="263">
        <v>0.61</v>
      </c>
      <c r="BU64" s="263">
        <v>0.61</v>
      </c>
      <c r="BV64" s="263">
        <v>0.6</v>
      </c>
      <c r="BW64" s="263">
        <v>0.52</v>
      </c>
      <c r="BX64" s="263">
        <v>0.51</v>
      </c>
      <c r="BY64" s="263">
        <v>0.63</v>
      </c>
      <c r="BZ64" s="309">
        <v>41</v>
      </c>
      <c r="CA64" s="309" t="s">
        <v>760</v>
      </c>
      <c r="CB64" s="309">
        <v>11</v>
      </c>
      <c r="CC64" s="309" t="s">
        <v>758</v>
      </c>
      <c r="CD64" s="327">
        <v>0.56000000000000005</v>
      </c>
      <c r="CE64" s="327">
        <v>0.25</v>
      </c>
      <c r="CF64" s="327">
        <v>0.19</v>
      </c>
      <c r="CG64" s="327">
        <v>0</v>
      </c>
      <c r="CH64" s="327">
        <v>0.57999999999999996</v>
      </c>
      <c r="CI64" s="327">
        <v>0.44</v>
      </c>
      <c r="CJ64" s="327">
        <v>0.59</v>
      </c>
      <c r="CK64" s="327">
        <v>0.64</v>
      </c>
      <c r="CL64" s="327">
        <v>0.59</v>
      </c>
      <c r="CM64" s="327">
        <v>0.71</v>
      </c>
      <c r="CN64" s="424">
        <v>47</v>
      </c>
      <c r="CO64" s="424" t="s">
        <v>758</v>
      </c>
      <c r="CP64" s="424">
        <v>2</v>
      </c>
      <c r="CQ64" s="424" t="s">
        <v>760</v>
      </c>
      <c r="CR64" s="428">
        <v>0</v>
      </c>
      <c r="CS64" s="428">
        <v>1</v>
      </c>
      <c r="CT64" s="428">
        <v>0</v>
      </c>
      <c r="CU64" s="428">
        <v>0</v>
      </c>
      <c r="CV64" s="428">
        <v>0.52</v>
      </c>
      <c r="CW64" s="428">
        <v>0.64</v>
      </c>
      <c r="CX64" s="428">
        <v>0.63</v>
      </c>
      <c r="CY64" s="428">
        <v>0.75</v>
      </c>
      <c r="CZ64" s="523">
        <v>0.65</v>
      </c>
      <c r="DA64" s="523">
        <v>0.56000000000000005</v>
      </c>
      <c r="DB64" s="524">
        <v>50</v>
      </c>
      <c r="DC64" s="524" t="s">
        <v>758</v>
      </c>
      <c r="DD64" s="524">
        <v>10</v>
      </c>
      <c r="DE64" s="524" t="s">
        <v>758</v>
      </c>
      <c r="DF64" s="525">
        <v>0.16</v>
      </c>
      <c r="DG64" s="525">
        <v>0.48</v>
      </c>
      <c r="DH64" s="525">
        <v>0.36</v>
      </c>
      <c r="DI64" s="525">
        <v>0</v>
      </c>
      <c r="DJ64" s="525">
        <v>0.55000000000000004</v>
      </c>
      <c r="DK64" s="525">
        <v>0.5</v>
      </c>
      <c r="DL64" s="525">
        <v>0.38</v>
      </c>
      <c r="DM64" s="525">
        <v>0.66</v>
      </c>
      <c r="DN64" s="525">
        <v>0.46</v>
      </c>
      <c r="DO64" s="525">
        <v>0.43</v>
      </c>
      <c r="DP64" s="902">
        <v>49</v>
      </c>
      <c r="DQ64" s="902" t="s">
        <v>758</v>
      </c>
      <c r="DR64" s="902">
        <v>7</v>
      </c>
      <c r="DS64" s="902" t="s">
        <v>760</v>
      </c>
      <c r="DT64" s="949">
        <v>7.0000000000000007E-2</v>
      </c>
      <c r="DU64" s="949">
        <v>0.8</v>
      </c>
      <c r="DV64" s="949">
        <v>0.13</v>
      </c>
      <c r="DW64" s="949">
        <v>0</v>
      </c>
      <c r="DX64" s="949">
        <v>0.54</v>
      </c>
      <c r="DY64" s="949">
        <v>0.35</v>
      </c>
      <c r="DZ64" s="949">
        <v>0.75</v>
      </c>
      <c r="EA64" s="949">
        <v>0.43</v>
      </c>
      <c r="EB64" s="949">
        <v>0.51</v>
      </c>
      <c r="EC64" s="949">
        <v>0.42</v>
      </c>
      <c r="ED64" s="922">
        <v>325754004959</v>
      </c>
      <c r="EE64" s="803" t="s">
        <v>102</v>
      </c>
    </row>
    <row r="65" spans="1:135" ht="24.95" customHeight="1" x14ac:dyDescent="0.2">
      <c r="A65" s="803" t="s">
        <v>90</v>
      </c>
      <c r="B65" s="1" t="s">
        <v>123</v>
      </c>
      <c r="C65" s="2">
        <v>4</v>
      </c>
      <c r="D65" s="12">
        <v>52</v>
      </c>
      <c r="E65" s="12">
        <v>10</v>
      </c>
      <c r="F65" s="63">
        <v>0.12</v>
      </c>
      <c r="G65" s="63">
        <v>0.51</v>
      </c>
      <c r="H65" s="63">
        <v>0.34</v>
      </c>
      <c r="I65" s="63">
        <v>0.02</v>
      </c>
      <c r="J65" s="63">
        <v>0.56999999999999995</v>
      </c>
      <c r="K65" s="63">
        <v>0.5</v>
      </c>
      <c r="L65" s="63">
        <v>0.53</v>
      </c>
      <c r="M65" s="63">
        <v>0.38</v>
      </c>
      <c r="N65" s="63">
        <v>0.38</v>
      </c>
      <c r="O65" s="63">
        <v>0.51</v>
      </c>
      <c r="P65" s="12">
        <v>49</v>
      </c>
      <c r="Q65" s="12">
        <v>8</v>
      </c>
      <c r="R65" s="61">
        <v>0.13</v>
      </c>
      <c r="S65" s="61">
        <v>0.56000000000000005</v>
      </c>
      <c r="T65" s="61">
        <v>0.31</v>
      </c>
      <c r="U65" s="61">
        <v>0</v>
      </c>
      <c r="V65" s="61">
        <v>0.5</v>
      </c>
      <c r="W65" s="61">
        <v>0.51</v>
      </c>
      <c r="X65" s="61">
        <v>0.63</v>
      </c>
      <c r="Y65" s="61">
        <v>0.49</v>
      </c>
      <c r="Z65" s="61">
        <v>0.44</v>
      </c>
      <c r="AA65" s="61">
        <v>0.48</v>
      </c>
      <c r="AB65" s="12">
        <v>50</v>
      </c>
      <c r="AC65" s="12">
        <v>11</v>
      </c>
      <c r="AD65" s="63">
        <v>0.21</v>
      </c>
      <c r="AE65" s="63">
        <v>0.47</v>
      </c>
      <c r="AF65" s="63">
        <v>0.3</v>
      </c>
      <c r="AG65" s="63">
        <v>0.02</v>
      </c>
      <c r="AH65" s="63">
        <v>0.44</v>
      </c>
      <c r="AI65" s="63">
        <v>0.41</v>
      </c>
      <c r="AJ65" s="63">
        <v>0.4</v>
      </c>
      <c r="AK65" s="63">
        <v>0.48</v>
      </c>
      <c r="AL65" s="63">
        <v>0.49</v>
      </c>
      <c r="AM65" s="63">
        <v>0.56999999999999995</v>
      </c>
      <c r="AN65" s="12">
        <v>47</v>
      </c>
      <c r="AO65" s="12">
        <v>10</v>
      </c>
      <c r="AP65" s="63">
        <v>0.27</v>
      </c>
      <c r="AQ65" s="63">
        <v>0.54</v>
      </c>
      <c r="AR65" s="63">
        <v>0.19</v>
      </c>
      <c r="AS65" s="63">
        <v>0</v>
      </c>
      <c r="AT65" s="63">
        <v>0.61</v>
      </c>
      <c r="AU65" s="63">
        <v>0.56000000000000005</v>
      </c>
      <c r="AV65" s="63">
        <v>0.42</v>
      </c>
      <c r="AW65" s="63">
        <v>0.5</v>
      </c>
      <c r="AX65" s="63">
        <v>0.54</v>
      </c>
      <c r="AY65" s="63">
        <v>0.49</v>
      </c>
      <c r="AZ65" s="35">
        <v>52</v>
      </c>
      <c r="BA65" s="35">
        <v>12</v>
      </c>
      <c r="BB65" s="40">
        <v>0.22</v>
      </c>
      <c r="BC65" s="40">
        <v>0.27</v>
      </c>
      <c r="BD65" s="40">
        <v>0.49</v>
      </c>
      <c r="BE65" s="40">
        <v>0.02</v>
      </c>
      <c r="BF65" s="40">
        <v>0.52</v>
      </c>
      <c r="BG65" s="40">
        <v>0.44</v>
      </c>
      <c r="BH65" s="40">
        <v>0.46</v>
      </c>
      <c r="BI65" s="40">
        <v>0.43</v>
      </c>
      <c r="BJ65" s="40">
        <v>0.41</v>
      </c>
      <c r="BK65" s="40">
        <v>0.35</v>
      </c>
      <c r="BL65" s="246">
        <v>50</v>
      </c>
      <c r="BM65" s="246" t="s">
        <v>758</v>
      </c>
      <c r="BN65" s="246">
        <v>12</v>
      </c>
      <c r="BO65" s="246" t="s">
        <v>758</v>
      </c>
      <c r="BP65" s="263">
        <v>0.23</v>
      </c>
      <c r="BQ65" s="263">
        <v>0.43</v>
      </c>
      <c r="BR65" s="263">
        <v>0.33</v>
      </c>
      <c r="BS65" s="263">
        <v>0.03</v>
      </c>
      <c r="BT65" s="263">
        <v>0.41</v>
      </c>
      <c r="BU65" s="263">
        <v>0.43</v>
      </c>
      <c r="BV65" s="263">
        <v>0.47</v>
      </c>
      <c r="BW65" s="263">
        <v>0.45</v>
      </c>
      <c r="BX65" s="263">
        <v>0.45</v>
      </c>
      <c r="BY65" s="263">
        <v>0.53</v>
      </c>
      <c r="BZ65" s="309">
        <v>51</v>
      </c>
      <c r="CA65" s="309" t="s">
        <v>758</v>
      </c>
      <c r="CB65" s="309">
        <v>11</v>
      </c>
      <c r="CC65" s="309" t="s">
        <v>758</v>
      </c>
      <c r="CD65" s="327">
        <v>0.16</v>
      </c>
      <c r="CE65" s="327">
        <v>0.51</v>
      </c>
      <c r="CF65" s="327">
        <v>0.3</v>
      </c>
      <c r="CG65" s="327">
        <v>0.03</v>
      </c>
      <c r="CH65" s="327">
        <v>0.36</v>
      </c>
      <c r="CI65" s="327">
        <v>0.46</v>
      </c>
      <c r="CJ65" s="327">
        <v>0.53</v>
      </c>
      <c r="CK65" s="327">
        <v>0.53</v>
      </c>
      <c r="CL65" s="327">
        <v>0.45</v>
      </c>
      <c r="CM65" s="327">
        <v>0.6</v>
      </c>
      <c r="CN65" s="424">
        <v>50</v>
      </c>
      <c r="CO65" s="424" t="s">
        <v>758</v>
      </c>
      <c r="CP65" s="424">
        <v>9</v>
      </c>
      <c r="CQ65" s="424" t="s">
        <v>758</v>
      </c>
      <c r="CR65" s="428">
        <v>0.17</v>
      </c>
      <c r="CS65" s="428">
        <v>0.48</v>
      </c>
      <c r="CT65" s="428">
        <v>0.36</v>
      </c>
      <c r="CU65" s="428">
        <v>0</v>
      </c>
      <c r="CV65" s="428">
        <v>0.39</v>
      </c>
      <c r="CW65" s="428">
        <v>0.6</v>
      </c>
      <c r="CX65" s="428">
        <v>0.53</v>
      </c>
      <c r="CY65" s="428">
        <v>0.67</v>
      </c>
      <c r="CZ65" s="523">
        <v>0.48</v>
      </c>
      <c r="DA65" s="523">
        <v>0.56999999999999995</v>
      </c>
      <c r="DB65" s="524">
        <v>51</v>
      </c>
      <c r="DC65" s="524" t="s">
        <v>758</v>
      </c>
      <c r="DD65" s="524">
        <v>10</v>
      </c>
      <c r="DE65" s="524" t="s">
        <v>758</v>
      </c>
      <c r="DF65" s="525">
        <v>0.23</v>
      </c>
      <c r="DG65" s="525">
        <v>0.43</v>
      </c>
      <c r="DH65" s="525">
        <v>0.32</v>
      </c>
      <c r="DI65" s="525">
        <v>0.02</v>
      </c>
      <c r="DJ65" s="525">
        <v>0.42</v>
      </c>
      <c r="DK65" s="525">
        <v>0.5</v>
      </c>
      <c r="DL65" s="525">
        <v>0.46</v>
      </c>
      <c r="DM65" s="525">
        <v>0.61</v>
      </c>
      <c r="DN65" s="525">
        <v>0.53</v>
      </c>
      <c r="DO65" s="525">
        <v>0.39</v>
      </c>
      <c r="DP65" s="902">
        <v>52</v>
      </c>
      <c r="DQ65" s="902" t="s">
        <v>758</v>
      </c>
      <c r="DR65" s="902">
        <v>10</v>
      </c>
      <c r="DS65" s="902" t="s">
        <v>758</v>
      </c>
      <c r="DT65" s="949">
        <v>0.15</v>
      </c>
      <c r="DU65" s="949">
        <v>0.42</v>
      </c>
      <c r="DV65" s="949">
        <v>0.42</v>
      </c>
      <c r="DW65" s="949">
        <v>0</v>
      </c>
      <c r="DX65" s="949">
        <v>0.47</v>
      </c>
      <c r="DY65" s="949">
        <v>0.38</v>
      </c>
      <c r="DZ65" s="949">
        <v>0.65</v>
      </c>
      <c r="EA65" s="949">
        <v>0.39</v>
      </c>
      <c r="EB65" s="949">
        <v>0.56000000000000005</v>
      </c>
      <c r="EC65" s="949">
        <v>0.4</v>
      </c>
      <c r="ED65" s="922">
        <v>325754003347</v>
      </c>
      <c r="EE65" s="803" t="s">
        <v>90</v>
      </c>
    </row>
    <row r="66" spans="1:135" ht="24.95" customHeight="1" x14ac:dyDescent="0.2">
      <c r="A66" s="803" t="s">
        <v>66</v>
      </c>
      <c r="B66" s="1" t="s">
        <v>123</v>
      </c>
      <c r="C66" s="2">
        <v>3</v>
      </c>
      <c r="D66" s="12">
        <v>54</v>
      </c>
      <c r="E66" s="12">
        <v>8</v>
      </c>
      <c r="F66" s="63">
        <v>0.09</v>
      </c>
      <c r="G66" s="63">
        <v>0.51</v>
      </c>
      <c r="H66" s="63">
        <v>0.4</v>
      </c>
      <c r="I66" s="63">
        <v>0</v>
      </c>
      <c r="J66" s="63">
        <v>0.47</v>
      </c>
      <c r="K66" s="63">
        <v>0.46</v>
      </c>
      <c r="L66" s="63">
        <v>0.57999999999999996</v>
      </c>
      <c r="M66" s="63">
        <v>0.38</v>
      </c>
      <c r="N66" s="63">
        <v>0.44</v>
      </c>
      <c r="O66" s="63">
        <v>0.45</v>
      </c>
      <c r="P66" s="12">
        <v>56</v>
      </c>
      <c r="Q66" s="12">
        <v>9</v>
      </c>
      <c r="R66" s="61">
        <v>0</v>
      </c>
      <c r="S66" s="61">
        <v>0.5</v>
      </c>
      <c r="T66" s="61">
        <v>0.42</v>
      </c>
      <c r="U66" s="61">
        <v>0.08</v>
      </c>
      <c r="V66" s="61">
        <v>0.34</v>
      </c>
      <c r="W66" s="61">
        <v>0.43</v>
      </c>
      <c r="X66" s="61">
        <v>0.48</v>
      </c>
      <c r="Y66" s="61">
        <v>0.36</v>
      </c>
      <c r="Z66" s="61">
        <v>0.38</v>
      </c>
      <c r="AA66" s="61">
        <v>0.36</v>
      </c>
      <c r="AB66" s="12">
        <v>54</v>
      </c>
      <c r="AC66" s="12">
        <v>10</v>
      </c>
      <c r="AD66" s="63">
        <v>0.14000000000000001</v>
      </c>
      <c r="AE66" s="63">
        <v>0.4</v>
      </c>
      <c r="AF66" s="63">
        <v>0.42</v>
      </c>
      <c r="AG66" s="63">
        <v>0.04</v>
      </c>
      <c r="AH66" s="63">
        <v>0.33</v>
      </c>
      <c r="AI66" s="63">
        <v>0.36</v>
      </c>
      <c r="AJ66" s="63">
        <v>0.37</v>
      </c>
      <c r="AK66" s="63">
        <v>0.43</v>
      </c>
      <c r="AL66" s="63">
        <v>0.61</v>
      </c>
      <c r="AM66" s="63">
        <v>0.42</v>
      </c>
      <c r="AN66" s="12">
        <v>54</v>
      </c>
      <c r="AO66" s="12">
        <v>10</v>
      </c>
      <c r="AP66" s="63">
        <v>0.09</v>
      </c>
      <c r="AQ66" s="63">
        <v>0.43</v>
      </c>
      <c r="AR66" s="63">
        <v>0.43</v>
      </c>
      <c r="AS66" s="63">
        <v>0.06</v>
      </c>
      <c r="AT66" s="63">
        <v>0.42</v>
      </c>
      <c r="AU66" s="63">
        <v>0.34</v>
      </c>
      <c r="AV66" s="63">
        <v>0.34</v>
      </c>
      <c r="AW66" s="63">
        <v>0.42</v>
      </c>
      <c r="AX66" s="63">
        <v>0.36</v>
      </c>
      <c r="AY66" s="63">
        <v>0.39</v>
      </c>
      <c r="AZ66" s="35">
        <v>57</v>
      </c>
      <c r="BA66" s="35">
        <v>10</v>
      </c>
      <c r="BB66" s="40">
        <v>0.05</v>
      </c>
      <c r="BC66" s="40">
        <v>0.37</v>
      </c>
      <c r="BD66" s="40">
        <v>0.55000000000000004</v>
      </c>
      <c r="BE66" s="40">
        <v>0.03</v>
      </c>
      <c r="BF66" s="40">
        <v>0.4</v>
      </c>
      <c r="BG66" s="40">
        <v>0.34</v>
      </c>
      <c r="BH66" s="40">
        <v>0.35</v>
      </c>
      <c r="BI66" s="40">
        <v>0.37</v>
      </c>
      <c r="BJ66" s="40">
        <v>0.33</v>
      </c>
      <c r="BK66" s="40">
        <v>0.37</v>
      </c>
      <c r="BL66" s="246">
        <v>55</v>
      </c>
      <c r="BM66" s="246" t="s">
        <v>758</v>
      </c>
      <c r="BN66" s="246">
        <v>13</v>
      </c>
      <c r="BO66" s="246" t="s">
        <v>758</v>
      </c>
      <c r="BP66" s="263">
        <v>0.15</v>
      </c>
      <c r="BQ66" s="263">
        <v>0.38</v>
      </c>
      <c r="BR66" s="263">
        <v>0.32</v>
      </c>
      <c r="BS66" s="263">
        <v>0.15</v>
      </c>
      <c r="BT66" s="263">
        <v>0.38</v>
      </c>
      <c r="BU66" s="263">
        <v>0.39</v>
      </c>
      <c r="BV66" s="263">
        <v>0.44</v>
      </c>
      <c r="BW66" s="263">
        <v>0.32</v>
      </c>
      <c r="BX66" s="263">
        <v>0.39</v>
      </c>
      <c r="BY66" s="263">
        <v>0.44</v>
      </c>
      <c r="BZ66" s="309">
        <v>56</v>
      </c>
      <c r="CA66" s="309" t="s">
        <v>758</v>
      </c>
      <c r="CB66" s="309">
        <v>10</v>
      </c>
      <c r="CC66" s="309" t="s">
        <v>758</v>
      </c>
      <c r="CD66" s="327">
        <v>0.1</v>
      </c>
      <c r="CE66" s="327">
        <v>0.35</v>
      </c>
      <c r="CF66" s="327">
        <v>0.48</v>
      </c>
      <c r="CG66" s="327">
        <v>0.08</v>
      </c>
      <c r="CH66" s="327">
        <v>0.28999999999999998</v>
      </c>
      <c r="CI66" s="327">
        <v>0.21</v>
      </c>
      <c r="CJ66" s="327">
        <v>0.47</v>
      </c>
      <c r="CK66" s="327">
        <v>0.47</v>
      </c>
      <c r="CL66" s="327">
        <v>0.38</v>
      </c>
      <c r="CM66" s="327">
        <v>0.49</v>
      </c>
      <c r="CN66" s="424">
        <v>55</v>
      </c>
      <c r="CO66" s="424" t="s">
        <v>758</v>
      </c>
      <c r="CP66" s="424">
        <v>11</v>
      </c>
      <c r="CQ66" s="424" t="s">
        <v>758</v>
      </c>
      <c r="CR66" s="428">
        <v>0.11</v>
      </c>
      <c r="CS66" s="428">
        <v>0.31</v>
      </c>
      <c r="CT66" s="428">
        <v>0.54</v>
      </c>
      <c r="CU66" s="428">
        <v>0.03</v>
      </c>
      <c r="CV66" s="428">
        <v>0.3</v>
      </c>
      <c r="CW66" s="428">
        <v>0.46</v>
      </c>
      <c r="CX66" s="428">
        <v>0.43</v>
      </c>
      <c r="CY66" s="428">
        <v>0.5</v>
      </c>
      <c r="CZ66" s="523">
        <v>0.55000000000000004</v>
      </c>
      <c r="DA66" s="523">
        <v>0.4</v>
      </c>
      <c r="DB66" s="524">
        <v>53</v>
      </c>
      <c r="DC66" s="524" t="s">
        <v>758</v>
      </c>
      <c r="DD66" s="524">
        <v>9</v>
      </c>
      <c r="DE66" s="524" t="s">
        <v>758</v>
      </c>
      <c r="DF66" s="525">
        <v>0.06</v>
      </c>
      <c r="DG66" s="525">
        <v>0.53</v>
      </c>
      <c r="DH66" s="525">
        <v>0.4</v>
      </c>
      <c r="DI66" s="525">
        <v>0</v>
      </c>
      <c r="DJ66" s="525">
        <v>0.38</v>
      </c>
      <c r="DK66" s="525">
        <v>0.4</v>
      </c>
      <c r="DL66" s="525">
        <v>0.44</v>
      </c>
      <c r="DM66" s="525">
        <v>0.6</v>
      </c>
      <c r="DN66" s="525">
        <v>0.49</v>
      </c>
      <c r="DO66" s="525">
        <v>0.34</v>
      </c>
      <c r="DP66" s="902">
        <v>57</v>
      </c>
      <c r="DQ66" s="902" t="s">
        <v>758</v>
      </c>
      <c r="DR66" s="902">
        <v>10</v>
      </c>
      <c r="DS66" s="902" t="s">
        <v>758</v>
      </c>
      <c r="DT66" s="949">
        <v>0.06</v>
      </c>
      <c r="DU66" s="949">
        <v>0.37</v>
      </c>
      <c r="DV66" s="949">
        <v>0.51</v>
      </c>
      <c r="DW66" s="949">
        <v>0.06</v>
      </c>
      <c r="DX66" s="949">
        <v>0.34</v>
      </c>
      <c r="DY66" s="949">
        <v>0.3</v>
      </c>
      <c r="DZ66" s="949">
        <v>0.53</v>
      </c>
      <c r="EA66" s="949">
        <v>0.42</v>
      </c>
      <c r="EB66" s="949">
        <v>0.4</v>
      </c>
      <c r="EC66" s="949">
        <v>0.27</v>
      </c>
      <c r="ED66" s="922">
        <v>325754004122</v>
      </c>
      <c r="EE66" s="803" t="s">
        <v>66</v>
      </c>
    </row>
    <row r="67" spans="1:135" ht="24.95" customHeight="1" x14ac:dyDescent="0.2">
      <c r="A67" s="803" t="s">
        <v>73</v>
      </c>
      <c r="B67" s="1" t="s">
        <v>123</v>
      </c>
      <c r="C67" s="2">
        <v>5</v>
      </c>
      <c r="D67" s="12">
        <v>55</v>
      </c>
      <c r="E67" s="12">
        <v>9</v>
      </c>
      <c r="F67" s="63">
        <v>0.13</v>
      </c>
      <c r="G67" s="63">
        <v>0.33</v>
      </c>
      <c r="H67" s="63">
        <v>0.53</v>
      </c>
      <c r="I67" s="63">
        <v>0</v>
      </c>
      <c r="J67" s="63">
        <v>0.48</v>
      </c>
      <c r="K67" s="63">
        <v>0.45</v>
      </c>
      <c r="L67" s="63">
        <v>0.49</v>
      </c>
      <c r="M67" s="63">
        <v>0.36</v>
      </c>
      <c r="N67" s="63">
        <v>0.4</v>
      </c>
      <c r="O67" s="63">
        <v>0.52</v>
      </c>
      <c r="P67" s="12">
        <v>55</v>
      </c>
      <c r="Q67" s="12">
        <v>7</v>
      </c>
      <c r="R67" s="61">
        <v>0</v>
      </c>
      <c r="S67" s="61">
        <v>0.61</v>
      </c>
      <c r="T67" s="61">
        <v>0.39</v>
      </c>
      <c r="U67" s="61">
        <v>0</v>
      </c>
      <c r="V67" s="61">
        <v>0.35</v>
      </c>
      <c r="W67" s="61">
        <v>0.42</v>
      </c>
      <c r="X67" s="61">
        <v>0.49</v>
      </c>
      <c r="Y67" s="61">
        <v>0.41</v>
      </c>
      <c r="Z67" s="61">
        <v>0.33</v>
      </c>
      <c r="AA67" s="61">
        <v>0.48</v>
      </c>
      <c r="AB67" s="12">
        <v>55</v>
      </c>
      <c r="AC67" s="12">
        <v>10</v>
      </c>
      <c r="AD67" s="63">
        <v>7.0000000000000007E-2</v>
      </c>
      <c r="AE67" s="63">
        <v>0.38</v>
      </c>
      <c r="AF67" s="63">
        <v>0.48</v>
      </c>
      <c r="AG67" s="63">
        <v>7.0000000000000007E-2</v>
      </c>
      <c r="AH67" s="63">
        <v>0.31</v>
      </c>
      <c r="AI67" s="63">
        <v>0.33</v>
      </c>
      <c r="AJ67" s="63">
        <v>0.28000000000000003</v>
      </c>
      <c r="AK67" s="63">
        <v>0.41</v>
      </c>
      <c r="AL67" s="63">
        <v>0.52</v>
      </c>
      <c r="AM67" s="63">
        <v>0.45</v>
      </c>
      <c r="AN67" s="12">
        <v>54</v>
      </c>
      <c r="AO67" s="12">
        <v>10</v>
      </c>
      <c r="AP67" s="63">
        <v>0.11</v>
      </c>
      <c r="AQ67" s="63">
        <v>0.39</v>
      </c>
      <c r="AR67" s="63">
        <v>0.5</v>
      </c>
      <c r="AS67" s="63">
        <v>0</v>
      </c>
      <c r="AT67" s="63">
        <v>0.48</v>
      </c>
      <c r="AU67" s="63">
        <v>0.41</v>
      </c>
      <c r="AV67" s="63">
        <v>0.34</v>
      </c>
      <c r="AW67" s="63">
        <v>0.35</v>
      </c>
      <c r="AX67" s="63">
        <v>0.37</v>
      </c>
      <c r="AY67" s="63">
        <v>0.38</v>
      </c>
      <c r="AZ67" s="35">
        <v>56</v>
      </c>
      <c r="BA67" s="35">
        <v>9</v>
      </c>
      <c r="BB67" s="40">
        <v>0.05</v>
      </c>
      <c r="BC67" s="40">
        <v>0.4</v>
      </c>
      <c r="BD67" s="40">
        <v>0.55000000000000004</v>
      </c>
      <c r="BE67" s="40">
        <v>0</v>
      </c>
      <c r="BF67" s="40">
        <v>0.3</v>
      </c>
      <c r="BG67" s="40">
        <v>0.38</v>
      </c>
      <c r="BH67" s="40">
        <v>0.39</v>
      </c>
      <c r="BI67" s="40">
        <v>0.42</v>
      </c>
      <c r="BJ67" s="40">
        <v>0.33</v>
      </c>
      <c r="BK67" s="40">
        <v>0.35</v>
      </c>
      <c r="BL67" s="246">
        <v>51</v>
      </c>
      <c r="BM67" s="246" t="s">
        <v>758</v>
      </c>
      <c r="BN67" s="246">
        <v>12</v>
      </c>
      <c r="BO67" s="246" t="s">
        <v>758</v>
      </c>
      <c r="BP67" s="263">
        <v>0.2</v>
      </c>
      <c r="BQ67" s="263">
        <v>0.4</v>
      </c>
      <c r="BR67" s="263">
        <v>0.4</v>
      </c>
      <c r="BS67" s="263">
        <v>0</v>
      </c>
      <c r="BT67" s="263">
        <v>0.37</v>
      </c>
      <c r="BU67" s="263">
        <v>0.44</v>
      </c>
      <c r="BV67" s="263">
        <v>0.65</v>
      </c>
      <c r="BW67" s="263">
        <v>0.4</v>
      </c>
      <c r="BX67" s="263">
        <v>0.41</v>
      </c>
      <c r="BY67" s="263">
        <v>0.5</v>
      </c>
      <c r="BZ67" s="309">
        <v>53</v>
      </c>
      <c r="CA67" s="309" t="s">
        <v>758</v>
      </c>
      <c r="CB67" s="309">
        <v>10</v>
      </c>
      <c r="CC67" s="309" t="s">
        <v>758</v>
      </c>
      <c r="CD67" s="327">
        <v>0.18</v>
      </c>
      <c r="CE67" s="327">
        <v>0.36</v>
      </c>
      <c r="CF67" s="327">
        <v>0.46</v>
      </c>
      <c r="CG67" s="327">
        <v>0</v>
      </c>
      <c r="CH67" s="327">
        <v>0.38</v>
      </c>
      <c r="CI67" s="327">
        <v>0.3</v>
      </c>
      <c r="CJ67" s="327">
        <v>0.46</v>
      </c>
      <c r="CK67" s="327">
        <v>0.48</v>
      </c>
      <c r="CL67" s="327">
        <v>0.39</v>
      </c>
      <c r="CM67" s="327">
        <v>0.53</v>
      </c>
      <c r="CN67" s="424">
        <v>55</v>
      </c>
      <c r="CO67" s="424" t="s">
        <v>758</v>
      </c>
      <c r="CP67" s="424">
        <v>10</v>
      </c>
      <c r="CQ67" s="424" t="s">
        <v>758</v>
      </c>
      <c r="CR67" s="428">
        <v>7.0000000000000007E-2</v>
      </c>
      <c r="CS67" s="428">
        <v>0.52</v>
      </c>
      <c r="CT67" s="428">
        <v>0.3</v>
      </c>
      <c r="CU67" s="428">
        <v>0.11</v>
      </c>
      <c r="CV67" s="428">
        <v>0.31</v>
      </c>
      <c r="CW67" s="428">
        <v>0.42</v>
      </c>
      <c r="CX67" s="428">
        <v>0.41</v>
      </c>
      <c r="CY67" s="428">
        <v>0.42</v>
      </c>
      <c r="CZ67" s="523">
        <v>0.42</v>
      </c>
      <c r="DA67" s="523">
        <v>0.46</v>
      </c>
      <c r="DB67" s="524">
        <v>53</v>
      </c>
      <c r="DC67" s="524" t="s">
        <v>758</v>
      </c>
      <c r="DD67" s="524">
        <v>6</v>
      </c>
      <c r="DE67" s="524" t="s">
        <v>760</v>
      </c>
      <c r="DF67" s="525">
        <v>7.0000000000000007E-2</v>
      </c>
      <c r="DG67" s="525">
        <v>0.33</v>
      </c>
      <c r="DH67" s="525">
        <v>0.6</v>
      </c>
      <c r="DI67" s="525">
        <v>0</v>
      </c>
      <c r="DJ67" s="525">
        <v>0.51</v>
      </c>
      <c r="DK67" s="525">
        <v>0.39</v>
      </c>
      <c r="DL67" s="525">
        <v>0.37</v>
      </c>
      <c r="DM67" s="525">
        <v>0.73</v>
      </c>
      <c r="DN67" s="525">
        <v>0.48</v>
      </c>
      <c r="DO67" s="525">
        <v>0.57999999999999996</v>
      </c>
      <c r="DP67" s="902">
        <v>50</v>
      </c>
      <c r="DQ67" s="902" t="s">
        <v>758</v>
      </c>
      <c r="DR67" s="902">
        <v>11</v>
      </c>
      <c r="DS67" s="902" t="s">
        <v>758</v>
      </c>
      <c r="DT67" s="949">
        <v>0.23</v>
      </c>
      <c r="DU67" s="949">
        <v>0.48</v>
      </c>
      <c r="DV67" s="949">
        <v>0.26</v>
      </c>
      <c r="DW67" s="949">
        <v>0.03</v>
      </c>
      <c r="DX67" s="949">
        <v>0.46</v>
      </c>
      <c r="DY67" s="949">
        <v>0.4</v>
      </c>
      <c r="DZ67" s="949">
        <v>0.61</v>
      </c>
      <c r="EA67" s="949">
        <v>0.43</v>
      </c>
      <c r="EB67" s="949">
        <v>0.63</v>
      </c>
      <c r="EC67" s="949">
        <v>0.4</v>
      </c>
      <c r="ED67" s="922">
        <v>325754002154</v>
      </c>
      <c r="EE67" s="803" t="s">
        <v>73</v>
      </c>
    </row>
    <row r="68" spans="1:135" ht="24.95" customHeight="1" x14ac:dyDescent="0.2">
      <c r="A68" s="803" t="s">
        <v>89</v>
      </c>
      <c r="B68" s="1" t="s">
        <v>123</v>
      </c>
      <c r="C68" s="2">
        <v>3</v>
      </c>
      <c r="D68" s="12">
        <v>51</v>
      </c>
      <c r="E68" s="12">
        <v>9</v>
      </c>
      <c r="F68" s="63">
        <v>0.11</v>
      </c>
      <c r="G68" s="63">
        <v>0.61</v>
      </c>
      <c r="H68" s="63">
        <v>0.28999999999999998</v>
      </c>
      <c r="I68" s="63">
        <v>0</v>
      </c>
      <c r="J68" s="63">
        <v>0.54</v>
      </c>
      <c r="K68" s="63">
        <v>0.51</v>
      </c>
      <c r="L68" s="63">
        <v>0.52</v>
      </c>
      <c r="M68" s="63">
        <v>0.46</v>
      </c>
      <c r="N68" s="63">
        <v>0.41</v>
      </c>
      <c r="O68" s="63">
        <v>0.57999999999999996</v>
      </c>
      <c r="P68" s="12">
        <v>55</v>
      </c>
      <c r="Q68" s="12">
        <v>10</v>
      </c>
      <c r="R68" s="61">
        <v>0.04</v>
      </c>
      <c r="S68" s="61">
        <v>0.43</v>
      </c>
      <c r="T68" s="61">
        <v>0.48</v>
      </c>
      <c r="U68" s="61">
        <v>0.04</v>
      </c>
      <c r="V68" s="61">
        <v>0.4</v>
      </c>
      <c r="W68" s="61">
        <v>0.41</v>
      </c>
      <c r="X68" s="61">
        <v>0.49</v>
      </c>
      <c r="Y68" s="61">
        <v>0.46</v>
      </c>
      <c r="Z68" s="61">
        <v>0.36</v>
      </c>
      <c r="AA68" s="61">
        <v>0.44</v>
      </c>
      <c r="AB68" s="12">
        <v>60</v>
      </c>
      <c r="AC68" s="12">
        <v>7</v>
      </c>
      <c r="AD68" s="63">
        <v>0</v>
      </c>
      <c r="AE68" s="63">
        <v>0.22</v>
      </c>
      <c r="AF68" s="63">
        <v>0.78</v>
      </c>
      <c r="AG68" s="63">
        <v>0</v>
      </c>
      <c r="AH68" s="63">
        <v>0.24</v>
      </c>
      <c r="AI68" s="63">
        <v>0.23</v>
      </c>
      <c r="AJ68" s="63">
        <v>0.23</v>
      </c>
      <c r="AK68" s="63">
        <v>0.28999999999999998</v>
      </c>
      <c r="AL68" s="63">
        <v>0.39</v>
      </c>
      <c r="AM68" s="63">
        <v>0.34</v>
      </c>
      <c r="AN68" s="12">
        <v>53</v>
      </c>
      <c r="AO68" s="12">
        <v>10</v>
      </c>
      <c r="AP68" s="63">
        <v>0.08</v>
      </c>
      <c r="AQ68" s="63">
        <v>0.5</v>
      </c>
      <c r="AR68" s="63">
        <v>0.38</v>
      </c>
      <c r="AS68" s="63">
        <v>0.04</v>
      </c>
      <c r="AT68" s="63">
        <v>0.56000000000000005</v>
      </c>
      <c r="AU68" s="63">
        <v>0.37</v>
      </c>
      <c r="AV68" s="63">
        <v>0.36</v>
      </c>
      <c r="AW68" s="63">
        <v>0.36</v>
      </c>
      <c r="AX68" s="63">
        <v>0.43</v>
      </c>
      <c r="AY68" s="63">
        <v>0.39</v>
      </c>
      <c r="AZ68" s="35">
        <v>57</v>
      </c>
      <c r="BA68" s="35">
        <v>9</v>
      </c>
      <c r="BB68" s="40">
        <v>0.11</v>
      </c>
      <c r="BC68" s="40">
        <v>0.37</v>
      </c>
      <c r="BD68" s="40">
        <v>0.47</v>
      </c>
      <c r="BE68" s="40">
        <v>0.05</v>
      </c>
      <c r="BF68" s="40">
        <v>0.33</v>
      </c>
      <c r="BG68" s="40">
        <v>0.36</v>
      </c>
      <c r="BH68" s="40">
        <v>0.34</v>
      </c>
      <c r="BI68" s="40">
        <v>0.37</v>
      </c>
      <c r="BJ68" s="40">
        <v>0.34</v>
      </c>
      <c r="BK68" s="40">
        <v>0.22</v>
      </c>
      <c r="BL68" s="246">
        <v>58</v>
      </c>
      <c r="BM68" s="246" t="s">
        <v>759</v>
      </c>
      <c r="BN68" s="246">
        <v>12</v>
      </c>
      <c r="BO68" s="246" t="s">
        <v>758</v>
      </c>
      <c r="BP68" s="263">
        <v>0.06</v>
      </c>
      <c r="BQ68" s="263">
        <v>0.38</v>
      </c>
      <c r="BR68" s="263">
        <v>0.5</v>
      </c>
      <c r="BS68" s="263">
        <v>0.06</v>
      </c>
      <c r="BT68" s="263">
        <v>0.32</v>
      </c>
      <c r="BU68" s="263">
        <v>0.33</v>
      </c>
      <c r="BV68" s="263">
        <v>0.44</v>
      </c>
      <c r="BW68" s="263">
        <v>0.31</v>
      </c>
      <c r="BX68" s="263">
        <v>0.32</v>
      </c>
      <c r="BY68" s="263">
        <v>0.39</v>
      </c>
      <c r="BZ68" s="309">
        <v>58</v>
      </c>
      <c r="CA68" s="309" t="s">
        <v>759</v>
      </c>
      <c r="CB68" s="309">
        <v>9</v>
      </c>
      <c r="CC68" s="309" t="s">
        <v>758</v>
      </c>
      <c r="CD68" s="327">
        <v>0.03</v>
      </c>
      <c r="CE68" s="327">
        <v>0.37</v>
      </c>
      <c r="CF68" s="327">
        <v>0.53</v>
      </c>
      <c r="CG68" s="327">
        <v>0.08</v>
      </c>
      <c r="CH68" s="327">
        <v>0.36</v>
      </c>
      <c r="CI68" s="327">
        <v>0.22</v>
      </c>
      <c r="CJ68" s="327">
        <v>0.45</v>
      </c>
      <c r="CK68" s="327">
        <v>0.39</v>
      </c>
      <c r="CL68" s="327">
        <v>0.34</v>
      </c>
      <c r="CM68" s="327">
        <v>0.45</v>
      </c>
      <c r="CN68" s="424">
        <v>58</v>
      </c>
      <c r="CO68" s="424" t="s">
        <v>759</v>
      </c>
      <c r="CP68" s="424">
        <v>9</v>
      </c>
      <c r="CQ68" s="424" t="s">
        <v>758</v>
      </c>
      <c r="CR68" s="428">
        <v>0.02</v>
      </c>
      <c r="CS68" s="428">
        <v>0.36</v>
      </c>
      <c r="CT68" s="428">
        <v>0.52</v>
      </c>
      <c r="CU68" s="428">
        <v>0.1</v>
      </c>
      <c r="CV68" s="428">
        <v>0.27</v>
      </c>
      <c r="CW68" s="428">
        <v>0.34</v>
      </c>
      <c r="CX68" s="428">
        <v>0.49</v>
      </c>
      <c r="CY68" s="428">
        <v>0.46</v>
      </c>
      <c r="CZ68" s="523">
        <v>0.41</v>
      </c>
      <c r="DA68" s="523">
        <v>0.53</v>
      </c>
      <c r="DB68" s="524">
        <v>61</v>
      </c>
      <c r="DC68" s="524" t="s">
        <v>759</v>
      </c>
      <c r="DD68" s="524">
        <v>8</v>
      </c>
      <c r="DE68" s="524" t="s">
        <v>758</v>
      </c>
      <c r="DF68" s="525">
        <v>0</v>
      </c>
      <c r="DG68" s="525">
        <v>0.28000000000000003</v>
      </c>
      <c r="DH68" s="525">
        <v>0.52</v>
      </c>
      <c r="DI68" s="525">
        <v>0.21</v>
      </c>
      <c r="DJ68" s="525">
        <v>0.3</v>
      </c>
      <c r="DK68" s="525">
        <v>0.41</v>
      </c>
      <c r="DL68" s="525">
        <v>0.32</v>
      </c>
      <c r="DM68" s="525">
        <v>0.48</v>
      </c>
      <c r="DN68" s="525">
        <v>0.28999999999999998</v>
      </c>
      <c r="DO68" s="525">
        <v>0.39</v>
      </c>
      <c r="DP68" s="902">
        <v>57</v>
      </c>
      <c r="DQ68" s="902" t="s">
        <v>758</v>
      </c>
      <c r="DR68" s="902">
        <v>11</v>
      </c>
      <c r="DS68" s="902" t="s">
        <v>758</v>
      </c>
      <c r="DT68" s="949">
        <v>0.06</v>
      </c>
      <c r="DU68" s="949">
        <v>0.38</v>
      </c>
      <c r="DV68" s="949">
        <v>0.47</v>
      </c>
      <c r="DW68" s="949">
        <v>0.09</v>
      </c>
      <c r="DX68" s="949">
        <v>0.34</v>
      </c>
      <c r="DY68" s="949">
        <v>0.3</v>
      </c>
      <c r="DZ68" s="949">
        <v>0.6</v>
      </c>
      <c r="EA68" s="949">
        <v>0.49</v>
      </c>
      <c r="EB68" s="949">
        <v>0.41</v>
      </c>
      <c r="EC68" s="949">
        <v>0.26</v>
      </c>
      <c r="ED68" s="922">
        <v>325754001662</v>
      </c>
      <c r="EE68" s="803" t="s">
        <v>89</v>
      </c>
    </row>
    <row r="69" spans="1:135" ht="24.95" customHeight="1" x14ac:dyDescent="0.2">
      <c r="A69" s="803" t="s">
        <v>38</v>
      </c>
      <c r="B69" s="1" t="s">
        <v>123</v>
      </c>
      <c r="C69" s="2">
        <v>1</v>
      </c>
      <c r="D69" s="12">
        <v>51</v>
      </c>
      <c r="E69" s="12">
        <v>6</v>
      </c>
      <c r="F69" s="63">
        <v>0.06</v>
      </c>
      <c r="G69" s="63">
        <v>0.61</v>
      </c>
      <c r="H69" s="63">
        <v>0.33</v>
      </c>
      <c r="I69" s="63">
        <v>0</v>
      </c>
      <c r="J69" s="63">
        <v>0.55000000000000004</v>
      </c>
      <c r="K69" s="63">
        <v>0.49</v>
      </c>
      <c r="L69" s="63">
        <v>0.66</v>
      </c>
      <c r="M69" s="63">
        <v>0.38</v>
      </c>
      <c r="N69" s="63">
        <v>0.43</v>
      </c>
      <c r="O69" s="63">
        <v>0.54</v>
      </c>
      <c r="P69" s="12">
        <v>46</v>
      </c>
      <c r="Q69" s="12">
        <v>7</v>
      </c>
      <c r="R69" s="61">
        <v>0.27</v>
      </c>
      <c r="S69" s="61">
        <v>0.63</v>
      </c>
      <c r="T69" s="61">
        <v>0.1</v>
      </c>
      <c r="U69" s="61">
        <v>0</v>
      </c>
      <c r="V69" s="61">
        <v>0.5</v>
      </c>
      <c r="W69" s="61">
        <v>0.59</v>
      </c>
      <c r="X69" s="61">
        <v>0.62</v>
      </c>
      <c r="Y69" s="61">
        <v>0.49</v>
      </c>
      <c r="Z69" s="61">
        <v>0.52</v>
      </c>
      <c r="AA69" s="61">
        <v>0.62</v>
      </c>
      <c r="AB69" s="12">
        <v>44</v>
      </c>
      <c r="AC69" s="12">
        <v>9</v>
      </c>
      <c r="AD69" s="63">
        <v>0.36</v>
      </c>
      <c r="AE69" s="63">
        <v>0.55000000000000004</v>
      </c>
      <c r="AF69" s="63">
        <v>0.09</v>
      </c>
      <c r="AG69" s="63">
        <v>0</v>
      </c>
      <c r="AH69" s="63">
        <v>0.53</v>
      </c>
      <c r="AI69" s="63">
        <v>0.54</v>
      </c>
      <c r="AJ69" s="63">
        <v>0.48</v>
      </c>
      <c r="AK69" s="63">
        <v>0.6</v>
      </c>
      <c r="AL69" s="63">
        <v>0.64</v>
      </c>
      <c r="AM69" s="63">
        <v>0.63</v>
      </c>
      <c r="AN69" s="12">
        <v>46</v>
      </c>
      <c r="AO69" s="12">
        <v>10</v>
      </c>
      <c r="AP69" s="63">
        <v>0.35</v>
      </c>
      <c r="AQ69" s="63">
        <v>0.54</v>
      </c>
      <c r="AR69" s="63">
        <v>0.12</v>
      </c>
      <c r="AS69" s="63">
        <v>0</v>
      </c>
      <c r="AT69" s="63">
        <v>0.51</v>
      </c>
      <c r="AU69" s="63">
        <v>0.57999999999999996</v>
      </c>
      <c r="AV69" s="63">
        <v>0.47</v>
      </c>
      <c r="AW69" s="63">
        <v>0.54</v>
      </c>
      <c r="AX69" s="63">
        <v>0.54</v>
      </c>
      <c r="AY69" s="63">
        <v>0.53</v>
      </c>
      <c r="AZ69" s="35">
        <v>43</v>
      </c>
      <c r="BA69" s="35">
        <v>11</v>
      </c>
      <c r="BB69" s="40">
        <v>0.48</v>
      </c>
      <c r="BC69" s="40">
        <v>0.36</v>
      </c>
      <c r="BD69" s="40">
        <v>0.12</v>
      </c>
      <c r="BE69" s="40">
        <v>0.04</v>
      </c>
      <c r="BF69" s="40">
        <v>0.61</v>
      </c>
      <c r="BG69" s="40">
        <v>0.61</v>
      </c>
      <c r="BH69" s="40">
        <v>0.59</v>
      </c>
      <c r="BI69" s="40">
        <v>0.69</v>
      </c>
      <c r="BJ69" s="40">
        <v>0.57999999999999996</v>
      </c>
      <c r="BK69" s="40">
        <v>0.59</v>
      </c>
      <c r="BL69" s="246">
        <v>48</v>
      </c>
      <c r="BM69" s="246" t="s">
        <v>758</v>
      </c>
      <c r="BN69" s="246">
        <v>12</v>
      </c>
      <c r="BO69" s="246" t="s">
        <v>758</v>
      </c>
      <c r="BP69" s="263">
        <v>0.37</v>
      </c>
      <c r="BQ69" s="263">
        <v>0.37</v>
      </c>
      <c r="BR69" s="263">
        <v>0.19</v>
      </c>
      <c r="BS69" s="263">
        <v>7.0000000000000007E-2</v>
      </c>
      <c r="BT69" s="263">
        <v>0.56000000000000005</v>
      </c>
      <c r="BU69" s="263">
        <v>0.49</v>
      </c>
      <c r="BV69" s="263">
        <v>0.61</v>
      </c>
      <c r="BW69" s="263">
        <v>0.45</v>
      </c>
      <c r="BX69" s="263">
        <v>0.51</v>
      </c>
      <c r="BY69" s="263">
        <v>0.57999999999999996</v>
      </c>
      <c r="BZ69" s="309">
        <v>46</v>
      </c>
      <c r="CA69" s="309" t="s">
        <v>758</v>
      </c>
      <c r="CB69" s="309">
        <v>10</v>
      </c>
      <c r="CC69" s="309" t="s">
        <v>758</v>
      </c>
      <c r="CD69" s="327">
        <v>0.36</v>
      </c>
      <c r="CE69" s="327">
        <v>0.39</v>
      </c>
      <c r="CF69" s="327">
        <v>0.25</v>
      </c>
      <c r="CG69" s="327">
        <v>0</v>
      </c>
      <c r="CH69" s="327">
        <v>0.61</v>
      </c>
      <c r="CI69" s="327">
        <v>0.51</v>
      </c>
      <c r="CJ69" s="327">
        <v>0.74</v>
      </c>
      <c r="CK69" s="327">
        <v>0.65</v>
      </c>
      <c r="CL69" s="327">
        <v>0.38</v>
      </c>
      <c r="CM69" s="327">
        <v>0.55000000000000004</v>
      </c>
      <c r="CN69" s="424">
        <v>47</v>
      </c>
      <c r="CO69" s="424" t="s">
        <v>758</v>
      </c>
      <c r="CP69" s="424">
        <v>11</v>
      </c>
      <c r="CQ69" s="424" t="s">
        <v>758</v>
      </c>
      <c r="CR69" s="428">
        <v>0.23</v>
      </c>
      <c r="CS69" s="428">
        <v>0.55000000000000004</v>
      </c>
      <c r="CT69" s="428">
        <v>0.18</v>
      </c>
      <c r="CU69" s="428">
        <v>0.05</v>
      </c>
      <c r="CV69" s="428">
        <v>0.44</v>
      </c>
      <c r="CW69" s="428">
        <v>0.55000000000000004</v>
      </c>
      <c r="CX69" s="428">
        <v>0.61</v>
      </c>
      <c r="CY69" s="428">
        <v>0.57999999999999996</v>
      </c>
      <c r="CZ69" s="523">
        <v>0.56999999999999995</v>
      </c>
      <c r="DA69" s="523">
        <v>0.65</v>
      </c>
      <c r="DB69" s="524">
        <v>47</v>
      </c>
      <c r="DC69" s="524" t="s">
        <v>758</v>
      </c>
      <c r="DD69" s="524">
        <v>10</v>
      </c>
      <c r="DE69" s="524" t="s">
        <v>758</v>
      </c>
      <c r="DF69" s="525">
        <v>0.31</v>
      </c>
      <c r="DG69" s="525">
        <v>0.44</v>
      </c>
      <c r="DH69" s="525">
        <v>0.25</v>
      </c>
      <c r="DI69" s="525">
        <v>0</v>
      </c>
      <c r="DJ69" s="525">
        <v>0.56999999999999995</v>
      </c>
      <c r="DK69" s="525">
        <v>0.44</v>
      </c>
      <c r="DL69" s="525">
        <v>0.42</v>
      </c>
      <c r="DM69" s="525">
        <v>0.63</v>
      </c>
      <c r="DN69" s="525">
        <v>0.55000000000000004</v>
      </c>
      <c r="DO69" s="525">
        <v>0.44</v>
      </c>
      <c r="DP69" s="902">
        <v>46</v>
      </c>
      <c r="DQ69" s="902" t="s">
        <v>758</v>
      </c>
      <c r="DR69" s="902">
        <v>8</v>
      </c>
      <c r="DS69" s="902" t="s">
        <v>758</v>
      </c>
      <c r="DT69" s="949">
        <v>0.21</v>
      </c>
      <c r="DU69" s="949">
        <v>0.79</v>
      </c>
      <c r="DV69" s="949">
        <v>0</v>
      </c>
      <c r="DW69" s="949">
        <v>0</v>
      </c>
      <c r="DX69" s="949">
        <v>0.43</v>
      </c>
      <c r="DY69" s="949">
        <v>0.41</v>
      </c>
      <c r="DZ69" s="949">
        <v>0.8</v>
      </c>
      <c r="EA69" s="949">
        <v>0.59</v>
      </c>
      <c r="EB69" s="949">
        <v>0.63</v>
      </c>
      <c r="EC69" s="949">
        <v>0.4</v>
      </c>
      <c r="ED69" s="922">
        <v>325754001671</v>
      </c>
      <c r="EE69" s="803" t="s">
        <v>38</v>
      </c>
    </row>
    <row r="70" spans="1:135" ht="24.95" customHeight="1" x14ac:dyDescent="0.2">
      <c r="A70" s="803" t="s">
        <v>75</v>
      </c>
      <c r="B70" s="1" t="s">
        <v>123</v>
      </c>
      <c r="C70" s="2">
        <v>3</v>
      </c>
      <c r="D70" s="12">
        <v>58</v>
      </c>
      <c r="E70" s="12">
        <v>8</v>
      </c>
      <c r="F70" s="63">
        <v>0</v>
      </c>
      <c r="G70" s="63">
        <v>0.41</v>
      </c>
      <c r="H70" s="63">
        <v>0.56000000000000005</v>
      </c>
      <c r="I70" s="63">
        <v>0.03</v>
      </c>
      <c r="J70" s="63">
        <v>0.44</v>
      </c>
      <c r="K70" s="63">
        <v>0.31</v>
      </c>
      <c r="L70" s="63">
        <v>0.45</v>
      </c>
      <c r="M70" s="63">
        <v>0.31</v>
      </c>
      <c r="N70" s="63">
        <v>0.28999999999999998</v>
      </c>
      <c r="O70" s="63">
        <v>0.38</v>
      </c>
      <c r="P70" s="12">
        <v>57</v>
      </c>
      <c r="Q70" s="12">
        <v>9</v>
      </c>
      <c r="R70" s="61">
        <v>0.02</v>
      </c>
      <c r="S70" s="61">
        <v>0.47</v>
      </c>
      <c r="T70" s="61">
        <v>0.44</v>
      </c>
      <c r="U70" s="61">
        <v>7.0000000000000007E-2</v>
      </c>
      <c r="V70" s="61">
        <v>0.31</v>
      </c>
      <c r="W70" s="61">
        <v>0.37</v>
      </c>
      <c r="X70" s="61">
        <v>0.5</v>
      </c>
      <c r="Y70" s="61">
        <v>0.36</v>
      </c>
      <c r="Z70" s="61">
        <v>0.35</v>
      </c>
      <c r="AA70" s="61">
        <v>0.44</v>
      </c>
      <c r="AB70" s="12">
        <v>54</v>
      </c>
      <c r="AC70" s="12">
        <v>10</v>
      </c>
      <c r="AD70" s="63">
        <v>0.1</v>
      </c>
      <c r="AE70" s="63">
        <v>0.4</v>
      </c>
      <c r="AF70" s="63">
        <v>0.47</v>
      </c>
      <c r="AG70" s="63">
        <v>0.03</v>
      </c>
      <c r="AH70" s="63">
        <v>0.35</v>
      </c>
      <c r="AI70" s="63">
        <v>0.37</v>
      </c>
      <c r="AJ70" s="63">
        <v>0.32</v>
      </c>
      <c r="AK70" s="63">
        <v>0.42</v>
      </c>
      <c r="AL70" s="63">
        <v>0.42</v>
      </c>
      <c r="AM70" s="63">
        <v>0.44</v>
      </c>
      <c r="AN70" s="12">
        <v>50</v>
      </c>
      <c r="AO70" s="12">
        <v>9</v>
      </c>
      <c r="AP70" s="63">
        <v>0.16</v>
      </c>
      <c r="AQ70" s="63">
        <v>0.53</v>
      </c>
      <c r="AR70" s="63">
        <v>0.31</v>
      </c>
      <c r="AS70" s="63">
        <v>0</v>
      </c>
      <c r="AT70" s="63">
        <v>0.56000000000000005</v>
      </c>
      <c r="AU70" s="63">
        <v>0.42</v>
      </c>
      <c r="AV70" s="63">
        <v>0.41</v>
      </c>
      <c r="AW70" s="63">
        <v>0.44</v>
      </c>
      <c r="AX70" s="63">
        <v>0.46</v>
      </c>
      <c r="AY70" s="63">
        <v>0.45</v>
      </c>
      <c r="AZ70" s="35">
        <v>52</v>
      </c>
      <c r="BA70" s="35">
        <v>9</v>
      </c>
      <c r="BB70" s="40">
        <v>0.1</v>
      </c>
      <c r="BC70" s="40">
        <v>0.55000000000000004</v>
      </c>
      <c r="BD70" s="40">
        <v>0.31</v>
      </c>
      <c r="BE70" s="40">
        <v>0.04</v>
      </c>
      <c r="BF70" s="40">
        <v>0.44</v>
      </c>
      <c r="BG70" s="40">
        <v>0.47</v>
      </c>
      <c r="BH70" s="40">
        <v>0.44</v>
      </c>
      <c r="BI70" s="40">
        <v>0.5</v>
      </c>
      <c r="BJ70" s="40">
        <v>0.41</v>
      </c>
      <c r="BK70" s="40">
        <v>0.32</v>
      </c>
      <c r="BL70" s="246">
        <v>55</v>
      </c>
      <c r="BM70" s="246" t="s">
        <v>758</v>
      </c>
      <c r="BN70" s="246">
        <v>10</v>
      </c>
      <c r="BO70" s="246" t="s">
        <v>758</v>
      </c>
      <c r="BP70" s="263">
        <v>0.09</v>
      </c>
      <c r="BQ70" s="263">
        <v>0.37</v>
      </c>
      <c r="BR70" s="263">
        <v>0.51</v>
      </c>
      <c r="BS70" s="263">
        <v>0.03</v>
      </c>
      <c r="BT70" s="263">
        <v>0.35</v>
      </c>
      <c r="BU70" s="263">
        <v>0.38</v>
      </c>
      <c r="BV70" s="263">
        <v>0.52</v>
      </c>
      <c r="BW70" s="263">
        <v>0.37</v>
      </c>
      <c r="BX70" s="263">
        <v>0.35</v>
      </c>
      <c r="BY70" s="263">
        <v>0.43</v>
      </c>
      <c r="BZ70" s="309">
        <v>56</v>
      </c>
      <c r="CA70" s="309" t="s">
        <v>758</v>
      </c>
      <c r="CB70" s="309">
        <v>10</v>
      </c>
      <c r="CC70" s="309" t="s">
        <v>758</v>
      </c>
      <c r="CD70" s="327">
        <v>0.06</v>
      </c>
      <c r="CE70" s="327">
        <v>0.37</v>
      </c>
      <c r="CF70" s="327">
        <v>0.54</v>
      </c>
      <c r="CG70" s="327">
        <v>0.03</v>
      </c>
      <c r="CH70" s="327">
        <v>0.38</v>
      </c>
      <c r="CI70" s="327">
        <v>0.35</v>
      </c>
      <c r="CJ70" s="327">
        <v>0.51</v>
      </c>
      <c r="CK70" s="327">
        <v>0.43</v>
      </c>
      <c r="CL70" s="327">
        <v>0.3</v>
      </c>
      <c r="CM70" s="327">
        <v>0.52</v>
      </c>
      <c r="CN70" s="424">
        <v>55</v>
      </c>
      <c r="CO70" s="424" t="s">
        <v>758</v>
      </c>
      <c r="CP70" s="424">
        <v>9</v>
      </c>
      <c r="CQ70" s="424" t="s">
        <v>758</v>
      </c>
      <c r="CR70" s="428">
        <v>0.09</v>
      </c>
      <c r="CS70" s="428">
        <v>0.36</v>
      </c>
      <c r="CT70" s="428">
        <v>0.55000000000000004</v>
      </c>
      <c r="CU70" s="428">
        <v>0</v>
      </c>
      <c r="CV70" s="428">
        <v>0.32</v>
      </c>
      <c r="CW70" s="428">
        <v>0.46</v>
      </c>
      <c r="CX70" s="428">
        <v>0.48</v>
      </c>
      <c r="CY70" s="428">
        <v>0.52</v>
      </c>
      <c r="CZ70" s="523">
        <v>0.39</v>
      </c>
      <c r="DA70" s="523">
        <v>0.44</v>
      </c>
      <c r="DB70" s="524">
        <v>56</v>
      </c>
      <c r="DC70" s="524" t="s">
        <v>758</v>
      </c>
      <c r="DD70" s="524">
        <v>9</v>
      </c>
      <c r="DE70" s="524" t="s">
        <v>758</v>
      </c>
      <c r="DF70" s="525">
        <v>0.1</v>
      </c>
      <c r="DG70" s="525">
        <v>0.31</v>
      </c>
      <c r="DH70" s="525">
        <v>0.53</v>
      </c>
      <c r="DI70" s="525">
        <v>0.06</v>
      </c>
      <c r="DJ70" s="525">
        <v>0.43</v>
      </c>
      <c r="DK70" s="525">
        <v>0.36</v>
      </c>
      <c r="DL70" s="525">
        <v>0.35</v>
      </c>
      <c r="DM70" s="525">
        <v>0.61</v>
      </c>
      <c r="DN70" s="525">
        <v>0.43</v>
      </c>
      <c r="DO70" s="525">
        <v>0.21</v>
      </c>
      <c r="DP70" s="902">
        <v>55</v>
      </c>
      <c r="DQ70" s="902" t="s">
        <v>758</v>
      </c>
      <c r="DR70" s="902">
        <v>12</v>
      </c>
      <c r="DS70" s="902" t="s">
        <v>758</v>
      </c>
      <c r="DT70" s="949">
        <v>0.12</v>
      </c>
      <c r="DU70" s="949">
        <v>0.35</v>
      </c>
      <c r="DV70" s="949">
        <v>0.42</v>
      </c>
      <c r="DW70" s="949">
        <v>0.11</v>
      </c>
      <c r="DX70" s="949">
        <v>0.35</v>
      </c>
      <c r="DY70" s="949">
        <v>0.34</v>
      </c>
      <c r="DZ70" s="949">
        <v>0.46</v>
      </c>
      <c r="EA70" s="949">
        <v>0.4</v>
      </c>
      <c r="EB70" s="949">
        <v>0.46</v>
      </c>
      <c r="EC70" s="949">
        <v>0.35</v>
      </c>
      <c r="ED70" s="922">
        <v>325754002162</v>
      </c>
      <c r="EE70" s="803" t="s">
        <v>75</v>
      </c>
    </row>
    <row r="71" spans="1:135" ht="24.95" customHeight="1" x14ac:dyDescent="0.2">
      <c r="A71" s="803" t="s">
        <v>99</v>
      </c>
      <c r="B71" s="1" t="s">
        <v>123</v>
      </c>
      <c r="C71" s="2">
        <v>5</v>
      </c>
      <c r="D71" s="12">
        <v>54</v>
      </c>
      <c r="E71" s="12">
        <v>8</v>
      </c>
      <c r="F71" s="63">
        <v>0.06</v>
      </c>
      <c r="G71" s="63">
        <v>0.51</v>
      </c>
      <c r="H71" s="63">
        <v>0.42</v>
      </c>
      <c r="I71" s="63">
        <v>0.01</v>
      </c>
      <c r="J71" s="63">
        <v>0.52</v>
      </c>
      <c r="K71" s="63">
        <v>0.47</v>
      </c>
      <c r="L71" s="63">
        <v>0.54</v>
      </c>
      <c r="M71" s="63">
        <v>0.34</v>
      </c>
      <c r="N71" s="63">
        <v>0.42</v>
      </c>
      <c r="O71" s="63">
        <v>0.46</v>
      </c>
      <c r="P71" s="12">
        <v>52</v>
      </c>
      <c r="Q71" s="12">
        <v>9</v>
      </c>
      <c r="R71" s="61">
        <v>0.08</v>
      </c>
      <c r="S71" s="61">
        <v>0.57999999999999996</v>
      </c>
      <c r="T71" s="61">
        <v>0.32</v>
      </c>
      <c r="U71" s="61">
        <v>0.02</v>
      </c>
      <c r="V71" s="61">
        <v>0.42</v>
      </c>
      <c r="W71" s="61">
        <v>0.44</v>
      </c>
      <c r="X71" s="61">
        <v>0.54</v>
      </c>
      <c r="Y71" s="61">
        <v>0.44</v>
      </c>
      <c r="Z71" s="61">
        <v>0.42</v>
      </c>
      <c r="AA71" s="61">
        <v>0.44</v>
      </c>
      <c r="AB71" s="12">
        <v>51</v>
      </c>
      <c r="AC71" s="12">
        <v>10</v>
      </c>
      <c r="AD71" s="63">
        <v>0.17</v>
      </c>
      <c r="AE71" s="63">
        <v>0.52</v>
      </c>
      <c r="AF71" s="63">
        <v>0.28999999999999998</v>
      </c>
      <c r="AG71" s="63">
        <v>0.02</v>
      </c>
      <c r="AH71" s="63">
        <v>0.37</v>
      </c>
      <c r="AI71" s="63">
        <v>0.44</v>
      </c>
      <c r="AJ71" s="63">
        <v>0.38</v>
      </c>
      <c r="AK71" s="63">
        <v>0.5</v>
      </c>
      <c r="AL71" s="63">
        <v>0.53</v>
      </c>
      <c r="AM71" s="63">
        <v>0.52</v>
      </c>
      <c r="AN71" s="12">
        <v>50</v>
      </c>
      <c r="AO71" s="12">
        <v>10</v>
      </c>
      <c r="AP71" s="63">
        <v>0.16</v>
      </c>
      <c r="AQ71" s="63">
        <v>0.54</v>
      </c>
      <c r="AR71" s="63">
        <v>0.28000000000000003</v>
      </c>
      <c r="AS71" s="63">
        <v>0.02</v>
      </c>
      <c r="AT71" s="63">
        <v>0.56000000000000005</v>
      </c>
      <c r="AU71" s="63">
        <v>0.42</v>
      </c>
      <c r="AV71" s="63">
        <v>0.43</v>
      </c>
      <c r="AW71" s="63">
        <v>0.46</v>
      </c>
      <c r="AX71" s="63">
        <v>0.42</v>
      </c>
      <c r="AY71" s="63">
        <v>0.44</v>
      </c>
      <c r="AZ71" s="35">
        <v>53</v>
      </c>
      <c r="BA71" s="35">
        <v>9</v>
      </c>
      <c r="BB71" s="40">
        <v>0.05</v>
      </c>
      <c r="BC71" s="40">
        <v>0.56999999999999995</v>
      </c>
      <c r="BD71" s="40">
        <v>0.36</v>
      </c>
      <c r="BE71" s="40">
        <v>0.02</v>
      </c>
      <c r="BF71" s="40">
        <v>0.43</v>
      </c>
      <c r="BG71" s="40">
        <v>0.38</v>
      </c>
      <c r="BH71" s="40">
        <v>0.42</v>
      </c>
      <c r="BI71" s="40">
        <v>0.5</v>
      </c>
      <c r="BJ71" s="40">
        <v>0.39</v>
      </c>
      <c r="BK71" s="40">
        <v>0.32</v>
      </c>
      <c r="BL71" s="246">
        <v>49</v>
      </c>
      <c r="BM71" s="246" t="s">
        <v>758</v>
      </c>
      <c r="BN71" s="246">
        <v>11</v>
      </c>
      <c r="BO71" s="246" t="s">
        <v>758</v>
      </c>
      <c r="BP71" s="263">
        <v>0.25</v>
      </c>
      <c r="BQ71" s="263">
        <v>0.46</v>
      </c>
      <c r="BR71" s="263">
        <v>0.25</v>
      </c>
      <c r="BS71" s="263">
        <v>0.03</v>
      </c>
      <c r="BT71" s="263">
        <v>0.5</v>
      </c>
      <c r="BU71" s="263">
        <v>0.48</v>
      </c>
      <c r="BV71" s="263">
        <v>0.53</v>
      </c>
      <c r="BW71" s="263">
        <v>0.44</v>
      </c>
      <c r="BX71" s="263">
        <v>0.45</v>
      </c>
      <c r="BY71" s="263">
        <v>0.55000000000000004</v>
      </c>
      <c r="BZ71" s="309">
        <v>51</v>
      </c>
      <c r="CA71" s="309" t="s">
        <v>758</v>
      </c>
      <c r="CB71" s="309">
        <v>10</v>
      </c>
      <c r="CC71" s="309" t="s">
        <v>758</v>
      </c>
      <c r="CD71" s="327">
        <v>0.14000000000000001</v>
      </c>
      <c r="CE71" s="327">
        <v>0.48</v>
      </c>
      <c r="CF71" s="327">
        <v>0.36</v>
      </c>
      <c r="CG71" s="327">
        <v>0.02</v>
      </c>
      <c r="CH71" s="327">
        <v>0.47</v>
      </c>
      <c r="CI71" s="327">
        <v>0.39</v>
      </c>
      <c r="CJ71" s="327">
        <v>0.56000000000000005</v>
      </c>
      <c r="CK71" s="327">
        <v>0.51</v>
      </c>
      <c r="CL71" s="327">
        <v>0.42</v>
      </c>
      <c r="CM71" s="327">
        <v>0.56000000000000005</v>
      </c>
      <c r="CN71" s="424">
        <v>52</v>
      </c>
      <c r="CO71" s="424" t="s">
        <v>758</v>
      </c>
      <c r="CP71" s="424">
        <v>11</v>
      </c>
      <c r="CQ71" s="424" t="s">
        <v>758</v>
      </c>
      <c r="CR71" s="428">
        <v>0.18</v>
      </c>
      <c r="CS71" s="428">
        <v>0.44</v>
      </c>
      <c r="CT71" s="428">
        <v>0.35</v>
      </c>
      <c r="CU71" s="428">
        <v>0.03</v>
      </c>
      <c r="CV71" s="428">
        <v>0.37</v>
      </c>
      <c r="CW71" s="428">
        <v>0.49</v>
      </c>
      <c r="CX71" s="428">
        <v>0.55000000000000004</v>
      </c>
      <c r="CY71" s="428">
        <v>0.67</v>
      </c>
      <c r="CZ71" s="523">
        <v>0.5</v>
      </c>
      <c r="DA71" s="523">
        <v>0.6</v>
      </c>
      <c r="DB71" s="524">
        <v>50</v>
      </c>
      <c r="DC71" s="524" t="s">
        <v>758</v>
      </c>
      <c r="DD71" s="524">
        <v>9</v>
      </c>
      <c r="DE71" s="524" t="s">
        <v>758</v>
      </c>
      <c r="DF71" s="525">
        <v>0.15</v>
      </c>
      <c r="DG71" s="525">
        <v>0.52</v>
      </c>
      <c r="DH71" s="525">
        <v>0.33</v>
      </c>
      <c r="DI71" s="525">
        <v>0</v>
      </c>
      <c r="DJ71" s="525">
        <v>0.55000000000000004</v>
      </c>
      <c r="DK71" s="525">
        <v>0.49</v>
      </c>
      <c r="DL71" s="525">
        <v>0.46</v>
      </c>
      <c r="DM71" s="525">
        <v>0.65</v>
      </c>
      <c r="DN71" s="525">
        <v>0.56000000000000005</v>
      </c>
      <c r="DO71" s="525">
        <v>0.47</v>
      </c>
      <c r="DP71" s="902">
        <v>51</v>
      </c>
      <c r="DQ71" s="902" t="s">
        <v>758</v>
      </c>
      <c r="DR71" s="902">
        <v>10</v>
      </c>
      <c r="DS71" s="902" t="s">
        <v>758</v>
      </c>
      <c r="DT71" s="949">
        <v>0.16</v>
      </c>
      <c r="DU71" s="949">
        <v>0.45</v>
      </c>
      <c r="DV71" s="949">
        <v>0.38</v>
      </c>
      <c r="DW71" s="949">
        <v>0.01</v>
      </c>
      <c r="DX71" s="949">
        <v>0.48</v>
      </c>
      <c r="DY71" s="949">
        <v>0.34</v>
      </c>
      <c r="DZ71" s="949">
        <v>0.69</v>
      </c>
      <c r="EA71" s="949">
        <v>0.43</v>
      </c>
      <c r="EB71" s="949">
        <v>0.56999999999999995</v>
      </c>
      <c r="EC71" s="949">
        <v>0.35</v>
      </c>
      <c r="ED71" s="922">
        <v>325754003312</v>
      </c>
      <c r="EE71" s="803" t="s">
        <v>99</v>
      </c>
    </row>
    <row r="72" spans="1:135" ht="24.95" customHeight="1" x14ac:dyDescent="0.2">
      <c r="A72" s="803" t="s">
        <v>46</v>
      </c>
      <c r="B72" s="1" t="s">
        <v>123</v>
      </c>
      <c r="C72" s="2">
        <v>1</v>
      </c>
      <c r="D72" s="12">
        <v>47</v>
      </c>
      <c r="E72" s="12">
        <v>7</v>
      </c>
      <c r="F72" s="63">
        <v>0.17</v>
      </c>
      <c r="G72" s="63">
        <v>0.71</v>
      </c>
      <c r="H72" s="63">
        <v>0.11</v>
      </c>
      <c r="I72" s="63">
        <v>0</v>
      </c>
      <c r="J72" s="63">
        <v>0.62</v>
      </c>
      <c r="K72" s="63">
        <v>0.55000000000000004</v>
      </c>
      <c r="L72" s="63">
        <v>0.71</v>
      </c>
      <c r="M72" s="63">
        <v>0.46</v>
      </c>
      <c r="N72" s="63">
        <v>0.49</v>
      </c>
      <c r="O72" s="63">
        <v>0.48</v>
      </c>
      <c r="P72" s="12">
        <v>50</v>
      </c>
      <c r="Q72" s="12">
        <v>8</v>
      </c>
      <c r="R72" s="61">
        <v>0.17</v>
      </c>
      <c r="S72" s="61">
        <v>0.56000000000000005</v>
      </c>
      <c r="T72" s="61">
        <v>0.28000000000000003</v>
      </c>
      <c r="U72" s="61">
        <v>0</v>
      </c>
      <c r="V72" s="61">
        <v>0.42</v>
      </c>
      <c r="W72" s="61">
        <v>0.49</v>
      </c>
      <c r="X72" s="61">
        <v>0.62</v>
      </c>
      <c r="Y72" s="61">
        <v>0.49</v>
      </c>
      <c r="Z72" s="61">
        <v>0.42</v>
      </c>
      <c r="AA72" s="61">
        <v>0.53</v>
      </c>
      <c r="AB72" s="12">
        <v>48</v>
      </c>
      <c r="AC72" s="12">
        <v>10</v>
      </c>
      <c r="AD72" s="63">
        <v>0.32</v>
      </c>
      <c r="AE72" s="63">
        <v>0.46</v>
      </c>
      <c r="AF72" s="63">
        <v>0.21</v>
      </c>
      <c r="AG72" s="63">
        <v>0</v>
      </c>
      <c r="AH72" s="63">
        <v>0.43</v>
      </c>
      <c r="AI72" s="63">
        <v>0.47</v>
      </c>
      <c r="AJ72" s="63">
        <v>0.41</v>
      </c>
      <c r="AK72" s="63">
        <v>0.53</v>
      </c>
      <c r="AL72" s="63">
        <v>0.44</v>
      </c>
      <c r="AM72" s="63">
        <v>0.63</v>
      </c>
      <c r="AN72" s="12">
        <v>44</v>
      </c>
      <c r="AO72" s="12">
        <v>11</v>
      </c>
      <c r="AP72" s="63">
        <v>0.42</v>
      </c>
      <c r="AQ72" s="63">
        <v>0.39</v>
      </c>
      <c r="AR72" s="63">
        <v>0.19</v>
      </c>
      <c r="AS72" s="63">
        <v>0</v>
      </c>
      <c r="AT72" s="63">
        <v>0.65</v>
      </c>
      <c r="AU72" s="63">
        <v>0.59</v>
      </c>
      <c r="AV72" s="63">
        <v>0.49</v>
      </c>
      <c r="AW72" s="63">
        <v>0.53</v>
      </c>
      <c r="AX72" s="63">
        <v>0.57999999999999996</v>
      </c>
      <c r="AY72" s="63">
        <v>0.52</v>
      </c>
      <c r="AZ72" s="35">
        <v>52</v>
      </c>
      <c r="BA72" s="35">
        <v>12</v>
      </c>
      <c r="BB72" s="40">
        <v>0.17</v>
      </c>
      <c r="BC72" s="40">
        <v>0.42</v>
      </c>
      <c r="BD72" s="40">
        <v>0.39</v>
      </c>
      <c r="BE72" s="40">
        <v>0.03</v>
      </c>
      <c r="BF72" s="40">
        <v>0.48</v>
      </c>
      <c r="BG72" s="40">
        <v>0.46</v>
      </c>
      <c r="BH72" s="40">
        <v>0.43</v>
      </c>
      <c r="BI72" s="40">
        <v>0.46</v>
      </c>
      <c r="BJ72" s="40">
        <v>0.43</v>
      </c>
      <c r="BK72" s="40">
        <v>0.4</v>
      </c>
      <c r="BL72" s="246">
        <v>50</v>
      </c>
      <c r="BM72" s="246" t="s">
        <v>758</v>
      </c>
      <c r="BN72" s="246">
        <v>12</v>
      </c>
      <c r="BO72" s="246" t="s">
        <v>758</v>
      </c>
      <c r="BP72" s="263">
        <v>0.19</v>
      </c>
      <c r="BQ72" s="263">
        <v>0.5</v>
      </c>
      <c r="BR72" s="263">
        <v>0.28000000000000003</v>
      </c>
      <c r="BS72" s="263">
        <v>0.03</v>
      </c>
      <c r="BT72" s="263">
        <v>0.44</v>
      </c>
      <c r="BU72" s="263">
        <v>0.44</v>
      </c>
      <c r="BV72" s="263">
        <v>0.43</v>
      </c>
      <c r="BW72" s="263">
        <v>0.44</v>
      </c>
      <c r="BX72" s="263">
        <v>0.45</v>
      </c>
      <c r="BY72" s="263">
        <v>0.48</v>
      </c>
      <c r="BZ72" s="309">
        <v>48</v>
      </c>
      <c r="CA72" s="309" t="s">
        <v>758</v>
      </c>
      <c r="CB72" s="309">
        <v>9</v>
      </c>
      <c r="CC72" s="309" t="s">
        <v>758</v>
      </c>
      <c r="CD72" s="327">
        <v>0.21</v>
      </c>
      <c r="CE72" s="327">
        <v>0.55000000000000004</v>
      </c>
      <c r="CF72" s="327">
        <v>0.24</v>
      </c>
      <c r="CG72" s="327">
        <v>0</v>
      </c>
      <c r="CH72" s="327">
        <v>0.61</v>
      </c>
      <c r="CI72" s="327">
        <v>0.38</v>
      </c>
      <c r="CJ72" s="327">
        <v>0.61</v>
      </c>
      <c r="CK72" s="327">
        <v>0.54</v>
      </c>
      <c r="CL72" s="327">
        <v>0.48</v>
      </c>
      <c r="CM72" s="327">
        <v>0.67</v>
      </c>
      <c r="CN72" s="424">
        <v>46</v>
      </c>
      <c r="CO72" s="424" t="s">
        <v>758</v>
      </c>
      <c r="CP72" s="424">
        <v>12</v>
      </c>
      <c r="CQ72" s="424" t="s">
        <v>758</v>
      </c>
      <c r="CR72" s="428">
        <v>0.38</v>
      </c>
      <c r="CS72" s="428">
        <v>0.34</v>
      </c>
      <c r="CT72" s="428">
        <v>0.28000000000000003</v>
      </c>
      <c r="CU72" s="428">
        <v>0</v>
      </c>
      <c r="CV72" s="428">
        <v>0.43</v>
      </c>
      <c r="CW72" s="428">
        <v>0.54</v>
      </c>
      <c r="CX72" s="428">
        <v>0.6</v>
      </c>
      <c r="CY72" s="428">
        <v>0.41</v>
      </c>
      <c r="CZ72" s="523">
        <v>0.68</v>
      </c>
      <c r="DA72" s="523">
        <v>0.56999999999999995</v>
      </c>
      <c r="DB72" s="524">
        <v>50</v>
      </c>
      <c r="DC72" s="524" t="s">
        <v>758</v>
      </c>
      <c r="DD72" s="524">
        <v>11</v>
      </c>
      <c r="DE72" s="524" t="s">
        <v>758</v>
      </c>
      <c r="DF72" s="525">
        <v>0.16</v>
      </c>
      <c r="DG72" s="525">
        <v>0.55000000000000004</v>
      </c>
      <c r="DH72" s="525">
        <v>0.25</v>
      </c>
      <c r="DI72" s="525">
        <v>0.05</v>
      </c>
      <c r="DJ72" s="525">
        <v>0.46</v>
      </c>
      <c r="DK72" s="525">
        <v>0.53</v>
      </c>
      <c r="DL72" s="525">
        <v>0.42</v>
      </c>
      <c r="DM72" s="525">
        <v>0.63</v>
      </c>
      <c r="DN72" s="525">
        <v>0.59</v>
      </c>
      <c r="DO72" s="525">
        <v>0.41</v>
      </c>
      <c r="DP72" s="902">
        <v>48</v>
      </c>
      <c r="DQ72" s="902" t="s">
        <v>758</v>
      </c>
      <c r="DR72" s="902">
        <v>11</v>
      </c>
      <c r="DS72" s="902" t="s">
        <v>758</v>
      </c>
      <c r="DT72" s="949">
        <v>0.17</v>
      </c>
      <c r="DU72" s="949">
        <v>0.56999999999999995</v>
      </c>
      <c r="DV72" s="949">
        <v>0.21</v>
      </c>
      <c r="DW72" s="949">
        <v>0.05</v>
      </c>
      <c r="DX72" s="949">
        <v>0.57999999999999996</v>
      </c>
      <c r="DY72" s="949">
        <v>0.38</v>
      </c>
      <c r="DZ72" s="949">
        <v>0.73</v>
      </c>
      <c r="EA72" s="949">
        <v>0.47</v>
      </c>
      <c r="EB72" s="949">
        <v>0.65</v>
      </c>
      <c r="EC72" s="949">
        <v>0.43</v>
      </c>
      <c r="ED72" s="922">
        <v>325754002073</v>
      </c>
      <c r="EE72" s="803" t="s">
        <v>46</v>
      </c>
    </row>
    <row r="73" spans="1:135" ht="24.95" customHeight="1" x14ac:dyDescent="0.2">
      <c r="A73" s="803" t="s">
        <v>21</v>
      </c>
      <c r="B73" s="1" t="s">
        <v>123</v>
      </c>
      <c r="C73" s="2">
        <v>3</v>
      </c>
      <c r="D73" s="12">
        <v>55</v>
      </c>
      <c r="E73" s="12">
        <v>8</v>
      </c>
      <c r="F73" s="63">
        <v>0.02</v>
      </c>
      <c r="G73" s="63">
        <v>0.5</v>
      </c>
      <c r="H73" s="63">
        <v>0.48</v>
      </c>
      <c r="I73" s="63">
        <v>0</v>
      </c>
      <c r="J73" s="63">
        <v>0.5</v>
      </c>
      <c r="K73" s="63">
        <v>0.43</v>
      </c>
      <c r="L73" s="63">
        <v>0.5</v>
      </c>
      <c r="M73" s="63">
        <v>0.42</v>
      </c>
      <c r="N73" s="63">
        <v>0.37</v>
      </c>
      <c r="O73" s="63">
        <v>0.34</v>
      </c>
      <c r="P73" s="12">
        <v>54</v>
      </c>
      <c r="Q73" s="12">
        <v>12</v>
      </c>
      <c r="R73" s="61">
        <v>0.13</v>
      </c>
      <c r="S73" s="61">
        <v>0.42</v>
      </c>
      <c r="T73" s="61">
        <v>0.33</v>
      </c>
      <c r="U73" s="61">
        <v>0.13</v>
      </c>
      <c r="V73" s="61">
        <v>0.38</v>
      </c>
      <c r="W73" s="61">
        <v>0.43</v>
      </c>
      <c r="X73" s="61">
        <v>0.55000000000000004</v>
      </c>
      <c r="Y73" s="61">
        <v>0.4</v>
      </c>
      <c r="Z73" s="61">
        <v>0.37</v>
      </c>
      <c r="AA73" s="61">
        <v>0.42</v>
      </c>
      <c r="AB73" s="12">
        <v>48</v>
      </c>
      <c r="AC73" s="12">
        <v>10</v>
      </c>
      <c r="AD73" s="63">
        <v>0.23</v>
      </c>
      <c r="AE73" s="63">
        <v>0.5</v>
      </c>
      <c r="AF73" s="63">
        <v>0.27</v>
      </c>
      <c r="AG73" s="63">
        <v>0</v>
      </c>
      <c r="AH73" s="63">
        <v>0.46</v>
      </c>
      <c r="AI73" s="63">
        <v>0.42</v>
      </c>
      <c r="AJ73" s="63">
        <v>0.41</v>
      </c>
      <c r="AK73" s="63">
        <v>0.53</v>
      </c>
      <c r="AL73" s="63">
        <v>0.51</v>
      </c>
      <c r="AM73" s="63">
        <v>0.55000000000000004</v>
      </c>
      <c r="AN73" s="12">
        <v>50</v>
      </c>
      <c r="AO73" s="12">
        <v>10</v>
      </c>
      <c r="AP73" s="63">
        <v>0.15</v>
      </c>
      <c r="AQ73" s="63">
        <v>0.56000000000000005</v>
      </c>
      <c r="AR73" s="63">
        <v>0.28999999999999998</v>
      </c>
      <c r="AS73" s="63">
        <v>0</v>
      </c>
      <c r="AT73" s="63">
        <v>0.5</v>
      </c>
      <c r="AU73" s="63">
        <v>0.34</v>
      </c>
      <c r="AV73" s="63">
        <v>0.43</v>
      </c>
      <c r="AW73" s="63">
        <v>0.45</v>
      </c>
      <c r="AX73" s="63">
        <v>0.43</v>
      </c>
      <c r="AY73" s="63">
        <v>0.48</v>
      </c>
      <c r="AZ73" s="35">
        <v>53</v>
      </c>
      <c r="BA73" s="35">
        <v>12</v>
      </c>
      <c r="BB73" s="40">
        <v>0.1</v>
      </c>
      <c r="BC73" s="40">
        <v>0.49</v>
      </c>
      <c r="BD73" s="40">
        <v>0.34</v>
      </c>
      <c r="BE73" s="40">
        <v>7.0000000000000007E-2</v>
      </c>
      <c r="BF73" s="40">
        <v>0.36</v>
      </c>
      <c r="BG73" s="40">
        <v>0.41</v>
      </c>
      <c r="BH73" s="40">
        <v>0.4</v>
      </c>
      <c r="BI73" s="40">
        <v>0.54</v>
      </c>
      <c r="BJ73" s="40">
        <v>0.41</v>
      </c>
      <c r="BK73" s="40">
        <v>0.38</v>
      </c>
      <c r="BL73" s="246">
        <v>50</v>
      </c>
      <c r="BM73" s="246" t="s">
        <v>758</v>
      </c>
      <c r="BN73" s="246">
        <v>9</v>
      </c>
      <c r="BO73" s="246" t="s">
        <v>758</v>
      </c>
      <c r="BP73" s="263">
        <v>0.19</v>
      </c>
      <c r="BQ73" s="263">
        <v>0.5</v>
      </c>
      <c r="BR73" s="263">
        <v>0.31</v>
      </c>
      <c r="BS73" s="263">
        <v>0</v>
      </c>
      <c r="BT73" s="263">
        <v>0.38</v>
      </c>
      <c r="BU73" s="263">
        <v>0.41</v>
      </c>
      <c r="BV73" s="263">
        <v>0.56999999999999995</v>
      </c>
      <c r="BW73" s="263">
        <v>0.44</v>
      </c>
      <c r="BX73" s="263">
        <v>0.44</v>
      </c>
      <c r="BY73" s="263">
        <v>0.55000000000000004</v>
      </c>
      <c r="BZ73" s="309">
        <v>54</v>
      </c>
      <c r="CA73" s="309" t="s">
        <v>758</v>
      </c>
      <c r="CB73" s="309">
        <v>9</v>
      </c>
      <c r="CC73" s="309" t="s">
        <v>758</v>
      </c>
      <c r="CD73" s="327">
        <v>7.0000000000000007E-2</v>
      </c>
      <c r="CE73" s="327">
        <v>0.45</v>
      </c>
      <c r="CF73" s="327">
        <v>0.46</v>
      </c>
      <c r="CG73" s="327">
        <v>0.02</v>
      </c>
      <c r="CH73" s="327">
        <v>0.43</v>
      </c>
      <c r="CI73" s="327">
        <v>0.28999999999999998</v>
      </c>
      <c r="CJ73" s="327">
        <v>0.47</v>
      </c>
      <c r="CK73" s="327">
        <v>0.49</v>
      </c>
      <c r="CL73" s="327">
        <v>0.34</v>
      </c>
      <c r="CM73" s="327">
        <v>0.56999999999999995</v>
      </c>
      <c r="CN73" s="424">
        <v>51</v>
      </c>
      <c r="CO73" s="424" t="s">
        <v>758</v>
      </c>
      <c r="CP73" s="424">
        <v>11</v>
      </c>
      <c r="CQ73" s="424" t="s">
        <v>758</v>
      </c>
      <c r="CR73" s="428">
        <v>0.17</v>
      </c>
      <c r="CS73" s="428">
        <v>0.44</v>
      </c>
      <c r="CT73" s="428">
        <v>0.38</v>
      </c>
      <c r="CU73" s="428">
        <v>0.02</v>
      </c>
      <c r="CV73" s="428">
        <v>0.36</v>
      </c>
      <c r="CW73" s="428">
        <v>0.51</v>
      </c>
      <c r="CX73" s="428">
        <v>0.53</v>
      </c>
      <c r="CY73" s="428">
        <v>0.7</v>
      </c>
      <c r="CZ73" s="523">
        <v>0.46</v>
      </c>
      <c r="DA73" s="523">
        <v>0.41</v>
      </c>
      <c r="DB73" s="524">
        <v>54</v>
      </c>
      <c r="DC73" s="524" t="s">
        <v>758</v>
      </c>
      <c r="DD73" s="524">
        <v>9</v>
      </c>
      <c r="DE73" s="524" t="s">
        <v>758</v>
      </c>
      <c r="DF73" s="525">
        <v>0.12</v>
      </c>
      <c r="DG73" s="525">
        <v>0.4</v>
      </c>
      <c r="DH73" s="525">
        <v>0.46</v>
      </c>
      <c r="DI73" s="525">
        <v>0.01</v>
      </c>
      <c r="DJ73" s="525">
        <v>0.48</v>
      </c>
      <c r="DK73" s="525">
        <v>0.43</v>
      </c>
      <c r="DL73" s="525">
        <v>0.41</v>
      </c>
      <c r="DM73" s="525">
        <v>0.57999999999999996</v>
      </c>
      <c r="DN73" s="525">
        <v>0.48</v>
      </c>
      <c r="DO73" s="525">
        <v>0.24</v>
      </c>
      <c r="DP73" s="902">
        <v>52</v>
      </c>
      <c r="DQ73" s="902" t="s">
        <v>758</v>
      </c>
      <c r="DR73" s="902">
        <v>12</v>
      </c>
      <c r="DS73" s="902" t="s">
        <v>758</v>
      </c>
      <c r="DT73" s="949">
        <v>0.16</v>
      </c>
      <c r="DU73" s="949">
        <v>0.49</v>
      </c>
      <c r="DV73" s="949">
        <v>0.28999999999999998</v>
      </c>
      <c r="DW73" s="949">
        <v>0.06</v>
      </c>
      <c r="DX73" s="949">
        <v>0.42</v>
      </c>
      <c r="DY73" s="949">
        <v>0.43</v>
      </c>
      <c r="DZ73" s="949">
        <v>0.56000000000000005</v>
      </c>
      <c r="EA73" s="949">
        <v>0.48</v>
      </c>
      <c r="EB73" s="949">
        <v>0.56999999999999995</v>
      </c>
      <c r="EC73" s="949">
        <v>0.37</v>
      </c>
      <c r="ED73" s="922">
        <v>125754001833</v>
      </c>
      <c r="EE73" s="803" t="s">
        <v>21</v>
      </c>
    </row>
    <row r="74" spans="1:135" ht="24.95" customHeight="1" x14ac:dyDescent="0.2">
      <c r="A74" s="803" t="s">
        <v>56</v>
      </c>
      <c r="B74" s="1" t="s">
        <v>123</v>
      </c>
      <c r="C74" s="2">
        <v>6</v>
      </c>
      <c r="D74" s="12">
        <v>53</v>
      </c>
      <c r="E74" s="12">
        <v>6</v>
      </c>
      <c r="F74" s="63">
        <v>0</v>
      </c>
      <c r="G74" s="63">
        <v>0.5</v>
      </c>
      <c r="H74" s="63">
        <v>0.5</v>
      </c>
      <c r="I74" s="63">
        <v>0</v>
      </c>
      <c r="J74" s="63">
        <v>0.44</v>
      </c>
      <c r="K74" s="63">
        <v>0.44</v>
      </c>
      <c r="L74" s="63">
        <v>0.31</v>
      </c>
      <c r="M74" s="63">
        <v>0.25</v>
      </c>
      <c r="N74" s="63">
        <v>0.57999999999999996</v>
      </c>
      <c r="O74" s="63">
        <v>0.67</v>
      </c>
      <c r="P74" s="12">
        <v>53</v>
      </c>
      <c r="Q74" s="12">
        <v>8</v>
      </c>
      <c r="R74" s="61">
        <v>0</v>
      </c>
      <c r="S74" s="61">
        <v>0.5</v>
      </c>
      <c r="T74" s="61">
        <v>0.5</v>
      </c>
      <c r="U74" s="61">
        <v>0</v>
      </c>
      <c r="V74" s="61">
        <v>0.35</v>
      </c>
      <c r="W74" s="61">
        <v>0.53</v>
      </c>
      <c r="X74" s="61">
        <v>0.42</v>
      </c>
      <c r="Y74" s="61">
        <v>0.48</v>
      </c>
      <c r="Z74" s="61">
        <v>0.38</v>
      </c>
      <c r="AA74" s="61">
        <v>0.56999999999999995</v>
      </c>
      <c r="AB74" s="12" t="s">
        <v>126</v>
      </c>
      <c r="AC74" s="12" t="s">
        <v>128</v>
      </c>
      <c r="AD74" s="2"/>
      <c r="AE74" s="2"/>
      <c r="AF74" s="2"/>
      <c r="AG74" s="2"/>
      <c r="AH74" s="2"/>
      <c r="AI74" s="2"/>
      <c r="AJ74" s="2"/>
      <c r="AK74" s="2"/>
      <c r="AL74" s="2"/>
      <c r="AM74" s="2"/>
      <c r="AN74" s="12">
        <v>42</v>
      </c>
      <c r="AO74" s="12">
        <v>10</v>
      </c>
      <c r="AP74" s="63">
        <v>0.5</v>
      </c>
      <c r="AQ74" s="63">
        <v>0.5</v>
      </c>
      <c r="AR74" s="63">
        <v>0</v>
      </c>
      <c r="AS74" s="63">
        <v>0</v>
      </c>
      <c r="AT74" s="63">
        <v>0.56999999999999995</v>
      </c>
      <c r="AU74" s="63">
        <v>0.33</v>
      </c>
      <c r="AV74" s="63">
        <v>0.62</v>
      </c>
      <c r="AW74" s="63">
        <v>0.68</v>
      </c>
      <c r="AX74" s="63">
        <v>0.56999999999999995</v>
      </c>
      <c r="AY74" s="63">
        <v>0.64</v>
      </c>
      <c r="AZ74" s="35">
        <v>44</v>
      </c>
      <c r="BA74" s="35">
        <v>13</v>
      </c>
      <c r="BB74" s="40">
        <v>0.5</v>
      </c>
      <c r="BC74" s="40">
        <v>0.38</v>
      </c>
      <c r="BD74" s="40">
        <v>0</v>
      </c>
      <c r="BE74" s="40">
        <v>0.13</v>
      </c>
      <c r="BF74" s="40">
        <v>0.53</v>
      </c>
      <c r="BG74" s="40">
        <v>0.57999999999999996</v>
      </c>
      <c r="BH74" s="40">
        <v>0.63</v>
      </c>
      <c r="BI74" s="40">
        <v>0.54</v>
      </c>
      <c r="BJ74" s="40">
        <v>0.55000000000000004</v>
      </c>
      <c r="BK74" s="40">
        <v>0.63</v>
      </c>
      <c r="BL74" s="646"/>
      <c r="BM74" s="646"/>
      <c r="BN74" s="646"/>
      <c r="BO74" s="646"/>
      <c r="BP74" s="646"/>
      <c r="BQ74" s="646"/>
      <c r="BR74" s="646"/>
      <c r="BS74" s="646"/>
      <c r="BT74" s="646"/>
      <c r="BU74" s="646"/>
      <c r="BV74" s="646"/>
      <c r="BW74" s="646"/>
      <c r="BX74" s="646"/>
      <c r="BY74" s="646"/>
      <c r="BZ74" s="649"/>
      <c r="CA74" s="649"/>
      <c r="CB74" s="649"/>
      <c r="CC74" s="649"/>
      <c r="CD74" s="649"/>
      <c r="CE74" s="649"/>
      <c r="CF74" s="649"/>
      <c r="CG74" s="649"/>
      <c r="CH74" s="649"/>
      <c r="CI74" s="649"/>
      <c r="CJ74" s="649"/>
      <c r="CK74" s="649"/>
      <c r="CL74" s="649"/>
      <c r="CM74" s="649"/>
      <c r="CN74" s="424">
        <v>54</v>
      </c>
      <c r="CO74" s="424" t="s">
        <v>758</v>
      </c>
      <c r="CP74" s="424">
        <v>7</v>
      </c>
      <c r="CQ74" s="424" t="s">
        <v>760</v>
      </c>
      <c r="CR74" s="428">
        <v>0</v>
      </c>
      <c r="CS74" s="428">
        <v>0.6</v>
      </c>
      <c r="CT74" s="428">
        <v>0.4</v>
      </c>
      <c r="CU74" s="428">
        <v>0</v>
      </c>
      <c r="CV74" s="428">
        <v>0.2</v>
      </c>
      <c r="CW74" s="428">
        <v>0.38</v>
      </c>
      <c r="CX74" s="428">
        <v>0.36</v>
      </c>
      <c r="CY74" s="428">
        <v>1</v>
      </c>
      <c r="CZ74" s="523">
        <v>0.69</v>
      </c>
      <c r="DA74" s="523">
        <v>0</v>
      </c>
      <c r="DB74" s="524">
        <v>47</v>
      </c>
      <c r="DC74" s="524" t="s">
        <v>758</v>
      </c>
      <c r="DD74" s="524">
        <v>8</v>
      </c>
      <c r="DE74" s="524" t="s">
        <v>758</v>
      </c>
      <c r="DF74" s="525">
        <v>0.5</v>
      </c>
      <c r="DG74" s="525">
        <v>0.25</v>
      </c>
      <c r="DH74" s="525">
        <v>0.25</v>
      </c>
      <c r="DI74" s="525">
        <v>0</v>
      </c>
      <c r="DJ74" s="525">
        <v>0.39</v>
      </c>
      <c r="DK74" s="525">
        <v>0.67</v>
      </c>
      <c r="DL74" s="525">
        <v>0.47</v>
      </c>
      <c r="DM74" s="525">
        <v>0.63</v>
      </c>
      <c r="DN74" s="525">
        <v>0.5</v>
      </c>
      <c r="DO74" s="525">
        <v>0.25</v>
      </c>
      <c r="DP74" s="902">
        <v>52</v>
      </c>
      <c r="DQ74" s="902" t="s">
        <v>758</v>
      </c>
      <c r="DR74" s="902">
        <v>13</v>
      </c>
      <c r="DS74" s="902" t="s">
        <v>758</v>
      </c>
      <c r="DT74" s="949">
        <v>0.17</v>
      </c>
      <c r="DU74" s="949">
        <v>0.5</v>
      </c>
      <c r="DV74" s="949">
        <v>0.33</v>
      </c>
      <c r="DW74" s="949">
        <v>0</v>
      </c>
      <c r="DX74" s="949">
        <v>0.36</v>
      </c>
      <c r="DY74" s="949">
        <v>0.33</v>
      </c>
      <c r="DZ74" s="949">
        <v>0.67</v>
      </c>
      <c r="EA74" s="949">
        <v>0.56000000000000005</v>
      </c>
      <c r="EB74" s="949">
        <v>0.56999999999999995</v>
      </c>
      <c r="EC74" s="949">
        <v>0.33</v>
      </c>
      <c r="ED74" s="922">
        <v>325754002979</v>
      </c>
      <c r="EE74" s="803" t="s">
        <v>56</v>
      </c>
    </row>
    <row r="75" spans="1:135" ht="24.95" customHeight="1" x14ac:dyDescent="0.2">
      <c r="A75" s="806" t="s">
        <v>761</v>
      </c>
      <c r="B75" s="1" t="s">
        <v>123</v>
      </c>
      <c r="C75" s="2">
        <v>6</v>
      </c>
      <c r="D75" s="12"/>
      <c r="E75" s="12"/>
      <c r="F75" s="63"/>
      <c r="G75" s="63"/>
      <c r="H75" s="63"/>
      <c r="I75" s="63"/>
      <c r="J75" s="63"/>
      <c r="K75" s="63"/>
      <c r="L75" s="63"/>
      <c r="M75" s="63"/>
      <c r="N75" s="63"/>
      <c r="O75" s="63"/>
      <c r="P75" s="12"/>
      <c r="Q75" s="12"/>
      <c r="R75" s="61"/>
      <c r="S75" s="61"/>
      <c r="T75" s="61"/>
      <c r="U75" s="61"/>
      <c r="V75" s="61"/>
      <c r="W75" s="61"/>
      <c r="X75" s="61"/>
      <c r="Y75" s="61"/>
      <c r="Z75" s="61"/>
      <c r="AA75" s="61"/>
      <c r="AB75" s="12"/>
      <c r="AC75" s="12"/>
      <c r="AD75" s="63"/>
      <c r="AE75" s="63"/>
      <c r="AF75" s="63"/>
      <c r="AG75" s="63"/>
      <c r="AH75" s="63"/>
      <c r="AI75" s="63"/>
      <c r="AJ75" s="63"/>
      <c r="AK75" s="63"/>
      <c r="AL75" s="63"/>
      <c r="AM75" s="63"/>
      <c r="AN75" s="12"/>
      <c r="AO75" s="12"/>
      <c r="AP75" s="63"/>
      <c r="AQ75" s="63"/>
      <c r="AR75" s="63"/>
      <c r="AS75" s="63"/>
      <c r="AT75" s="63"/>
      <c r="AU75" s="63"/>
      <c r="AV75" s="63"/>
      <c r="AW75" s="63"/>
      <c r="AX75" s="63"/>
      <c r="AY75" s="63"/>
      <c r="AZ75" s="35"/>
      <c r="BA75" s="35"/>
      <c r="BB75" s="40"/>
      <c r="BC75" s="40"/>
      <c r="BD75" s="40"/>
      <c r="BE75" s="40"/>
      <c r="BF75" s="40"/>
      <c r="BG75" s="40"/>
      <c r="BH75" s="40"/>
      <c r="BI75" s="40"/>
      <c r="BJ75" s="40"/>
      <c r="BK75" s="40"/>
      <c r="BL75" s="246">
        <v>45</v>
      </c>
      <c r="BM75" s="246" t="s">
        <v>758</v>
      </c>
      <c r="BN75" s="246">
        <v>8</v>
      </c>
      <c r="BO75" s="246" t="s">
        <v>758</v>
      </c>
      <c r="BP75" s="263">
        <v>0.33</v>
      </c>
      <c r="BQ75" s="263">
        <v>0.5</v>
      </c>
      <c r="BR75" s="263">
        <v>0.17</v>
      </c>
      <c r="BS75" s="263">
        <v>0</v>
      </c>
      <c r="BT75" s="263">
        <v>0.54</v>
      </c>
      <c r="BU75" s="263">
        <v>0.59</v>
      </c>
      <c r="BV75" s="263">
        <v>0.52</v>
      </c>
      <c r="BW75" s="263">
        <v>0.47</v>
      </c>
      <c r="BX75" s="263">
        <v>0.55000000000000004</v>
      </c>
      <c r="BY75" s="263">
        <v>0.59</v>
      </c>
      <c r="BZ75" s="309">
        <v>44</v>
      </c>
      <c r="CA75" s="309" t="s">
        <v>758</v>
      </c>
      <c r="CB75" s="309">
        <v>11</v>
      </c>
      <c r="CC75" s="309" t="s">
        <v>758</v>
      </c>
      <c r="CD75" s="327">
        <v>0.48</v>
      </c>
      <c r="CE75" s="327">
        <v>0.32</v>
      </c>
      <c r="CF75" s="327">
        <v>0.19</v>
      </c>
      <c r="CG75" s="327">
        <v>0</v>
      </c>
      <c r="CH75" s="327">
        <v>0.61</v>
      </c>
      <c r="CI75" s="327">
        <v>0.42</v>
      </c>
      <c r="CJ75" s="327">
        <v>0.56999999999999995</v>
      </c>
      <c r="CK75" s="327">
        <v>0.54</v>
      </c>
      <c r="CL75" s="327">
        <v>0.56999999999999995</v>
      </c>
      <c r="CM75" s="327">
        <v>0.59</v>
      </c>
      <c r="CN75" s="424">
        <v>50</v>
      </c>
      <c r="CO75" s="424" t="s">
        <v>758</v>
      </c>
      <c r="CP75" s="424">
        <v>10</v>
      </c>
      <c r="CQ75" s="424" t="s">
        <v>758</v>
      </c>
      <c r="CR75" s="428">
        <v>0.17</v>
      </c>
      <c r="CS75" s="428">
        <v>0.48</v>
      </c>
      <c r="CT75" s="428">
        <v>0.34</v>
      </c>
      <c r="CU75" s="428">
        <v>0</v>
      </c>
      <c r="CV75" s="428">
        <v>0.34</v>
      </c>
      <c r="CW75" s="428">
        <v>0.54</v>
      </c>
      <c r="CX75" s="428">
        <v>0.63</v>
      </c>
      <c r="CY75" s="428">
        <v>0.88</v>
      </c>
      <c r="CZ75" s="523">
        <v>0.6</v>
      </c>
      <c r="DA75" s="523">
        <v>0.65</v>
      </c>
      <c r="DB75" s="524">
        <v>51</v>
      </c>
      <c r="DC75" s="524" t="s">
        <v>758</v>
      </c>
      <c r="DD75" s="524">
        <v>12</v>
      </c>
      <c r="DE75" s="524" t="s">
        <v>758</v>
      </c>
      <c r="DF75" s="525">
        <v>0.19</v>
      </c>
      <c r="DG75" s="525">
        <v>0.41</v>
      </c>
      <c r="DH75" s="525">
        <v>0.41</v>
      </c>
      <c r="DI75" s="525">
        <v>0</v>
      </c>
      <c r="DJ75" s="525">
        <v>0.51</v>
      </c>
      <c r="DK75" s="525">
        <v>0.59</v>
      </c>
      <c r="DL75" s="525">
        <v>0.51</v>
      </c>
      <c r="DM75" s="525">
        <v>0.56999999999999995</v>
      </c>
      <c r="DN75" s="525">
        <v>0.52</v>
      </c>
      <c r="DO75" s="525">
        <v>0.45</v>
      </c>
      <c r="DP75" s="902">
        <v>57</v>
      </c>
      <c r="DQ75" s="902" t="s">
        <v>758</v>
      </c>
      <c r="DR75" s="902">
        <v>12</v>
      </c>
      <c r="DS75" s="902" t="s">
        <v>758</v>
      </c>
      <c r="DT75" s="949">
        <v>0.11</v>
      </c>
      <c r="DU75" s="949">
        <v>0.25</v>
      </c>
      <c r="DV75" s="949">
        <v>0.54</v>
      </c>
      <c r="DW75" s="949">
        <v>0.11</v>
      </c>
      <c r="DX75" s="949">
        <v>0.43</v>
      </c>
      <c r="DY75" s="949">
        <v>0.26</v>
      </c>
      <c r="DZ75" s="949">
        <v>0.56999999999999995</v>
      </c>
      <c r="EA75" s="949">
        <v>0.3</v>
      </c>
      <c r="EB75" s="949">
        <v>0.42</v>
      </c>
      <c r="EC75" s="949">
        <v>0.28000000000000003</v>
      </c>
      <c r="ED75" s="922">
        <v>325754001549</v>
      </c>
      <c r="EE75" s="806" t="s">
        <v>761</v>
      </c>
    </row>
    <row r="76" spans="1:135" ht="24.95" customHeight="1" x14ac:dyDescent="0.2">
      <c r="A76" s="807" t="s">
        <v>93</v>
      </c>
      <c r="B76" s="1" t="s">
        <v>123</v>
      </c>
      <c r="C76" s="249">
        <v>3</v>
      </c>
      <c r="D76" s="254">
        <v>46</v>
      </c>
      <c r="E76" s="254">
        <v>8</v>
      </c>
      <c r="F76" s="255">
        <v>0.11</v>
      </c>
      <c r="G76" s="255">
        <v>0.67</v>
      </c>
      <c r="H76" s="255">
        <v>0.22</v>
      </c>
      <c r="I76" s="255">
        <v>0</v>
      </c>
      <c r="J76" s="255">
        <v>0.71</v>
      </c>
      <c r="K76" s="255">
        <v>0.59</v>
      </c>
      <c r="L76" s="255">
        <v>0.72</v>
      </c>
      <c r="M76" s="255">
        <v>0.39</v>
      </c>
      <c r="N76" s="255">
        <v>0.55000000000000004</v>
      </c>
      <c r="O76" s="255">
        <v>0.49</v>
      </c>
      <c r="P76" s="254">
        <v>51</v>
      </c>
      <c r="Q76" s="254">
        <v>10</v>
      </c>
      <c r="R76" s="257">
        <v>0.12</v>
      </c>
      <c r="S76" s="257">
        <v>0.6</v>
      </c>
      <c r="T76" s="257">
        <v>0.24</v>
      </c>
      <c r="U76" s="257">
        <v>0.04</v>
      </c>
      <c r="V76" s="257">
        <v>0.43</v>
      </c>
      <c r="W76" s="257">
        <v>0.46</v>
      </c>
      <c r="X76" s="257">
        <v>0.5</v>
      </c>
      <c r="Y76" s="257">
        <v>0.49</v>
      </c>
      <c r="Z76" s="257">
        <v>0.48</v>
      </c>
      <c r="AA76" s="257">
        <v>0.41</v>
      </c>
      <c r="AB76" s="254">
        <v>55</v>
      </c>
      <c r="AC76" s="254">
        <v>10</v>
      </c>
      <c r="AD76" s="255">
        <v>0.04</v>
      </c>
      <c r="AE76" s="255">
        <v>0.43</v>
      </c>
      <c r="AF76" s="255">
        <v>0.48</v>
      </c>
      <c r="AG76" s="255">
        <v>0.04</v>
      </c>
      <c r="AH76" s="255">
        <v>0.34</v>
      </c>
      <c r="AI76" s="255">
        <v>0.32</v>
      </c>
      <c r="AJ76" s="255">
        <v>0.28000000000000003</v>
      </c>
      <c r="AK76" s="255">
        <v>0.39</v>
      </c>
      <c r="AL76" s="255">
        <v>0.53</v>
      </c>
      <c r="AM76" s="255">
        <v>0.42</v>
      </c>
      <c r="AN76" s="254">
        <v>51</v>
      </c>
      <c r="AO76" s="254">
        <v>11</v>
      </c>
      <c r="AP76" s="255">
        <v>0.22</v>
      </c>
      <c r="AQ76" s="255">
        <v>0.44</v>
      </c>
      <c r="AR76" s="255">
        <v>0.33</v>
      </c>
      <c r="AS76" s="255">
        <v>0</v>
      </c>
      <c r="AT76" s="255">
        <v>0.46</v>
      </c>
      <c r="AU76" s="255">
        <v>0.41</v>
      </c>
      <c r="AV76" s="255">
        <v>0.41</v>
      </c>
      <c r="AW76" s="255">
        <v>0.42</v>
      </c>
      <c r="AX76" s="255">
        <v>0.45</v>
      </c>
      <c r="AY76" s="255">
        <v>0.5</v>
      </c>
      <c r="AZ76" s="250">
        <v>48</v>
      </c>
      <c r="BA76" s="250">
        <v>10</v>
      </c>
      <c r="BB76" s="259">
        <v>0.27</v>
      </c>
      <c r="BC76" s="259">
        <v>0.54</v>
      </c>
      <c r="BD76" s="259">
        <v>0.15</v>
      </c>
      <c r="BE76" s="259">
        <v>0.04</v>
      </c>
      <c r="BF76" s="259">
        <v>0.51</v>
      </c>
      <c r="BG76" s="259">
        <v>0.47</v>
      </c>
      <c r="BH76" s="259">
        <v>0.52</v>
      </c>
      <c r="BI76" s="259">
        <v>0.6</v>
      </c>
      <c r="BJ76" s="259">
        <v>0.52</v>
      </c>
      <c r="BK76" s="259">
        <v>0.39</v>
      </c>
      <c r="BL76" s="246">
        <v>44</v>
      </c>
      <c r="BM76" s="246" t="s">
        <v>758</v>
      </c>
      <c r="BN76" s="246">
        <v>11</v>
      </c>
      <c r="BO76" s="246" t="s">
        <v>758</v>
      </c>
      <c r="BP76" s="263">
        <v>0.47</v>
      </c>
      <c r="BQ76" s="263">
        <v>0.28999999999999998</v>
      </c>
      <c r="BR76" s="263">
        <v>0.24</v>
      </c>
      <c r="BS76" s="263">
        <v>0</v>
      </c>
      <c r="BT76" s="263">
        <v>0.59</v>
      </c>
      <c r="BU76" s="263">
        <v>0.57999999999999996</v>
      </c>
      <c r="BV76" s="263">
        <v>0.65</v>
      </c>
      <c r="BW76" s="263">
        <v>0.49</v>
      </c>
      <c r="BX76" s="263">
        <v>0.56999999999999995</v>
      </c>
      <c r="BY76" s="263">
        <v>0.56999999999999995</v>
      </c>
      <c r="BZ76" s="309">
        <v>51</v>
      </c>
      <c r="CA76" s="309" t="s">
        <v>758</v>
      </c>
      <c r="CB76" s="309">
        <v>11</v>
      </c>
      <c r="CC76" s="309" t="s">
        <v>758</v>
      </c>
      <c r="CD76" s="327">
        <v>0.21</v>
      </c>
      <c r="CE76" s="327">
        <v>0.42</v>
      </c>
      <c r="CF76" s="327">
        <v>0.38</v>
      </c>
      <c r="CG76" s="327">
        <v>0</v>
      </c>
      <c r="CH76" s="327">
        <v>0.44</v>
      </c>
      <c r="CI76" s="327">
        <v>0.27</v>
      </c>
      <c r="CJ76" s="327">
        <v>0.63</v>
      </c>
      <c r="CK76" s="327">
        <v>0.56999999999999995</v>
      </c>
      <c r="CL76" s="327">
        <v>0.38</v>
      </c>
      <c r="CM76" s="327">
        <v>0.47</v>
      </c>
      <c r="CN76" s="424">
        <v>56</v>
      </c>
      <c r="CO76" s="424" t="s">
        <v>758</v>
      </c>
      <c r="CP76" s="424">
        <v>11</v>
      </c>
      <c r="CQ76" s="424" t="s">
        <v>758</v>
      </c>
      <c r="CR76" s="428">
        <v>0.04</v>
      </c>
      <c r="CS76" s="428">
        <v>0.42</v>
      </c>
      <c r="CT76" s="428">
        <v>0.46</v>
      </c>
      <c r="CU76" s="428">
        <v>0.08</v>
      </c>
      <c r="CV76" s="428">
        <v>0.25</v>
      </c>
      <c r="CW76" s="428">
        <v>0.42</v>
      </c>
      <c r="CX76" s="428">
        <v>0.42</v>
      </c>
      <c r="CY76" s="428">
        <v>0.38</v>
      </c>
      <c r="CZ76" s="523">
        <v>0.41</v>
      </c>
      <c r="DA76" s="523">
        <v>0.38</v>
      </c>
      <c r="DB76" s="524">
        <v>55</v>
      </c>
      <c r="DC76" s="524" t="s">
        <v>758</v>
      </c>
      <c r="DD76" s="524">
        <v>12</v>
      </c>
      <c r="DE76" s="524" t="s">
        <v>758</v>
      </c>
      <c r="DF76" s="525">
        <v>0.14000000000000001</v>
      </c>
      <c r="DG76" s="525">
        <v>0.32</v>
      </c>
      <c r="DH76" s="525">
        <v>0.45</v>
      </c>
      <c r="DI76" s="525">
        <v>0.09</v>
      </c>
      <c r="DJ76" s="525">
        <v>0.41</v>
      </c>
      <c r="DK76" s="525">
        <v>0.33</v>
      </c>
      <c r="DL76" s="525">
        <v>0.4</v>
      </c>
      <c r="DM76" s="525">
        <v>0.55000000000000004</v>
      </c>
      <c r="DN76" s="525">
        <v>0.51</v>
      </c>
      <c r="DO76" s="525">
        <v>0.25</v>
      </c>
      <c r="DP76" s="902">
        <v>55</v>
      </c>
      <c r="DQ76" s="902" t="s">
        <v>758</v>
      </c>
      <c r="DR76" s="902">
        <v>9</v>
      </c>
      <c r="DS76" s="902" t="s">
        <v>758</v>
      </c>
      <c r="DT76" s="949">
        <v>0.09</v>
      </c>
      <c r="DU76" s="949">
        <v>0.45</v>
      </c>
      <c r="DV76" s="949">
        <v>0.41</v>
      </c>
      <c r="DW76" s="949">
        <v>0.05</v>
      </c>
      <c r="DX76" s="949">
        <v>0.39</v>
      </c>
      <c r="DY76" s="949">
        <v>0.37</v>
      </c>
      <c r="DZ76" s="949">
        <v>0.73</v>
      </c>
      <c r="EA76" s="949">
        <v>0.33</v>
      </c>
      <c r="EB76" s="949">
        <v>0.47</v>
      </c>
      <c r="EC76" s="949">
        <v>0.25</v>
      </c>
      <c r="ED76" s="922">
        <v>325754001921</v>
      </c>
      <c r="EE76" s="807" t="s">
        <v>93</v>
      </c>
    </row>
    <row r="77" spans="1:135" ht="24.95" customHeight="1" x14ac:dyDescent="0.2">
      <c r="A77" s="803" t="s">
        <v>111</v>
      </c>
      <c r="B77" s="1" t="s">
        <v>123</v>
      </c>
      <c r="C77" s="2">
        <v>1</v>
      </c>
      <c r="D77" s="12">
        <v>53</v>
      </c>
      <c r="E77" s="12">
        <v>9</v>
      </c>
      <c r="F77" s="63">
        <v>0.12</v>
      </c>
      <c r="G77" s="63">
        <v>0.47</v>
      </c>
      <c r="H77" s="63">
        <v>0.41</v>
      </c>
      <c r="I77" s="63">
        <v>0</v>
      </c>
      <c r="J77" s="63">
        <v>0.48</v>
      </c>
      <c r="K77" s="63">
        <v>0.49</v>
      </c>
      <c r="L77" s="63">
        <v>0.56999999999999995</v>
      </c>
      <c r="M77" s="63">
        <v>0.44</v>
      </c>
      <c r="N77" s="63">
        <v>0.42</v>
      </c>
      <c r="O77" s="63">
        <v>0.48</v>
      </c>
      <c r="P77" s="12">
        <v>50</v>
      </c>
      <c r="Q77" s="12">
        <v>11</v>
      </c>
      <c r="R77" s="61">
        <v>0.22</v>
      </c>
      <c r="S77" s="61">
        <v>0.44</v>
      </c>
      <c r="T77" s="61">
        <v>0.33</v>
      </c>
      <c r="U77" s="61">
        <v>0</v>
      </c>
      <c r="V77" s="61">
        <v>0.46</v>
      </c>
      <c r="W77" s="61">
        <v>0.48</v>
      </c>
      <c r="X77" s="61">
        <v>0.51</v>
      </c>
      <c r="Y77" s="61">
        <v>0.51</v>
      </c>
      <c r="Z77" s="61">
        <v>0.47</v>
      </c>
      <c r="AA77" s="61">
        <v>0.48</v>
      </c>
      <c r="AB77" s="12">
        <v>49</v>
      </c>
      <c r="AC77" s="12">
        <v>8</v>
      </c>
      <c r="AD77" s="63">
        <v>0.13</v>
      </c>
      <c r="AE77" s="63">
        <v>0.63</v>
      </c>
      <c r="AF77" s="63">
        <v>0.25</v>
      </c>
      <c r="AG77" s="63">
        <v>0</v>
      </c>
      <c r="AH77" s="63">
        <v>0.49</v>
      </c>
      <c r="AI77" s="63">
        <v>0.49</v>
      </c>
      <c r="AJ77" s="63">
        <v>0.38</v>
      </c>
      <c r="AK77" s="63">
        <v>0.42</v>
      </c>
      <c r="AL77" s="63">
        <v>0.56999999999999995</v>
      </c>
      <c r="AM77" s="63">
        <v>0.63</v>
      </c>
      <c r="AN77" s="12">
        <v>48</v>
      </c>
      <c r="AO77" s="12">
        <v>10</v>
      </c>
      <c r="AP77" s="63">
        <v>0.22</v>
      </c>
      <c r="AQ77" s="63">
        <v>0.56000000000000005</v>
      </c>
      <c r="AR77" s="63">
        <v>0.22</v>
      </c>
      <c r="AS77" s="63">
        <v>0</v>
      </c>
      <c r="AT77" s="63">
        <v>0.48</v>
      </c>
      <c r="AU77" s="63">
        <v>0.35</v>
      </c>
      <c r="AV77" s="63">
        <v>0.51</v>
      </c>
      <c r="AW77" s="63">
        <v>0.46</v>
      </c>
      <c r="AX77" s="63">
        <v>0.49</v>
      </c>
      <c r="AY77" s="63">
        <v>0.47</v>
      </c>
      <c r="AZ77" s="35">
        <v>50</v>
      </c>
      <c r="BA77" s="35">
        <v>8</v>
      </c>
      <c r="BB77" s="40">
        <v>0.13</v>
      </c>
      <c r="BC77" s="40">
        <v>0.63</v>
      </c>
      <c r="BD77" s="40">
        <v>0.25</v>
      </c>
      <c r="BE77" s="40">
        <v>0</v>
      </c>
      <c r="BF77" s="40">
        <v>0.56000000000000005</v>
      </c>
      <c r="BG77" s="40">
        <v>0.52</v>
      </c>
      <c r="BH77" s="40">
        <v>0.46</v>
      </c>
      <c r="BI77" s="40">
        <v>0.57999999999999996</v>
      </c>
      <c r="BJ77" s="40">
        <v>0.47</v>
      </c>
      <c r="BK77" s="40">
        <v>0.33</v>
      </c>
      <c r="BL77" s="647">
        <v>53</v>
      </c>
      <c r="BM77" s="647" t="s">
        <v>758</v>
      </c>
      <c r="BN77" s="647">
        <v>7</v>
      </c>
      <c r="BO77" s="647" t="s">
        <v>760</v>
      </c>
      <c r="BP77" s="648">
        <v>0</v>
      </c>
      <c r="BQ77" s="648">
        <v>0.55000000000000004</v>
      </c>
      <c r="BR77" s="648">
        <v>0.45</v>
      </c>
      <c r="BS77" s="648">
        <v>0</v>
      </c>
      <c r="BT77" s="648">
        <v>0.34</v>
      </c>
      <c r="BU77" s="648">
        <v>0.4</v>
      </c>
      <c r="BV77" s="648">
        <v>0.63</v>
      </c>
      <c r="BW77" s="648">
        <v>0.42</v>
      </c>
      <c r="BX77" s="648">
        <v>0.48</v>
      </c>
      <c r="BY77" s="648">
        <v>0.45</v>
      </c>
      <c r="BZ77" s="74">
        <v>49</v>
      </c>
      <c r="CA77" s="74" t="s">
        <v>758</v>
      </c>
      <c r="CB77" s="74">
        <v>10</v>
      </c>
      <c r="CC77" s="74" t="s">
        <v>758</v>
      </c>
      <c r="CD77" s="96">
        <v>0.17</v>
      </c>
      <c r="CE77" s="96">
        <v>0.48</v>
      </c>
      <c r="CF77" s="96">
        <v>0.35</v>
      </c>
      <c r="CG77" s="96">
        <v>0</v>
      </c>
      <c r="CH77" s="96">
        <v>0.55000000000000004</v>
      </c>
      <c r="CI77" s="96">
        <v>0.5</v>
      </c>
      <c r="CJ77" s="96">
        <v>0.54</v>
      </c>
      <c r="CK77" s="96">
        <v>0.51</v>
      </c>
      <c r="CL77" s="96">
        <v>0.38</v>
      </c>
      <c r="CM77" s="96">
        <v>0.51</v>
      </c>
      <c r="CN77" s="424">
        <v>50</v>
      </c>
      <c r="CO77" s="424" t="s">
        <v>758</v>
      </c>
      <c r="CP77" s="424">
        <v>10</v>
      </c>
      <c r="CQ77" s="424" t="s">
        <v>758</v>
      </c>
      <c r="CR77" s="428">
        <v>0.18</v>
      </c>
      <c r="CS77" s="428">
        <v>0.45</v>
      </c>
      <c r="CT77" s="428">
        <v>0.36</v>
      </c>
      <c r="CU77" s="428">
        <v>0</v>
      </c>
      <c r="CV77" s="428">
        <v>0.38</v>
      </c>
      <c r="CW77" s="428">
        <v>0.52</v>
      </c>
      <c r="CX77" s="428">
        <v>0.61</v>
      </c>
      <c r="CY77" s="428">
        <v>0.55000000000000004</v>
      </c>
      <c r="CZ77" s="523">
        <v>0.57999999999999996</v>
      </c>
      <c r="DA77" s="523">
        <v>0.55000000000000004</v>
      </c>
      <c r="DB77" s="524">
        <v>54</v>
      </c>
      <c r="DC77" s="524" t="s">
        <v>758</v>
      </c>
      <c r="DD77" s="524">
        <v>10</v>
      </c>
      <c r="DE77" s="524" t="s">
        <v>758</v>
      </c>
      <c r="DF77" s="525">
        <v>0.11</v>
      </c>
      <c r="DG77" s="525">
        <v>0.42</v>
      </c>
      <c r="DH77" s="525">
        <v>0.42</v>
      </c>
      <c r="DI77" s="525">
        <v>0.05</v>
      </c>
      <c r="DJ77" s="525">
        <v>0.42</v>
      </c>
      <c r="DK77" s="525">
        <v>0.54</v>
      </c>
      <c r="DL77" s="525">
        <v>0.38</v>
      </c>
      <c r="DM77" s="525">
        <v>0.56000000000000005</v>
      </c>
      <c r="DN77" s="525">
        <v>0.45</v>
      </c>
      <c r="DO77" s="525">
        <v>0.21</v>
      </c>
      <c r="DP77" s="902">
        <v>52</v>
      </c>
      <c r="DQ77" s="902" t="s">
        <v>758</v>
      </c>
      <c r="DR77" s="902">
        <v>10</v>
      </c>
      <c r="DS77" s="902" t="s">
        <v>758</v>
      </c>
      <c r="DT77" s="949">
        <v>0.15</v>
      </c>
      <c r="DU77" s="949">
        <v>0.45</v>
      </c>
      <c r="DV77" s="949">
        <v>0.4</v>
      </c>
      <c r="DW77" s="949">
        <v>0</v>
      </c>
      <c r="DX77" s="949">
        <v>0.4</v>
      </c>
      <c r="DY77" s="949">
        <v>0.39</v>
      </c>
      <c r="DZ77" s="949">
        <v>0.67</v>
      </c>
      <c r="EA77" s="949">
        <v>0.43</v>
      </c>
      <c r="EB77" s="949">
        <v>0.56000000000000005</v>
      </c>
      <c r="EC77" s="949">
        <v>0.35</v>
      </c>
      <c r="ED77" s="922">
        <v>325754004581</v>
      </c>
      <c r="EE77" s="803" t="s">
        <v>111</v>
      </c>
    </row>
    <row r="78" spans="1:135" ht="24.95" customHeight="1" x14ac:dyDescent="0.2">
      <c r="A78" s="803" t="s">
        <v>799</v>
      </c>
      <c r="B78" s="14" t="s">
        <v>123</v>
      </c>
      <c r="C78" s="2">
        <v>2</v>
      </c>
      <c r="D78" s="12"/>
      <c r="E78" s="12"/>
      <c r="F78" s="63"/>
      <c r="G78" s="63"/>
      <c r="H78" s="63"/>
      <c r="I78" s="63"/>
      <c r="J78" s="63"/>
      <c r="K78" s="63"/>
      <c r="L78" s="63"/>
      <c r="M78" s="63"/>
      <c r="N78" s="63"/>
      <c r="O78" s="63"/>
      <c r="P78" s="12"/>
      <c r="Q78" s="12"/>
      <c r="R78" s="61"/>
      <c r="S78" s="61"/>
      <c r="T78" s="61"/>
      <c r="U78" s="61"/>
      <c r="V78" s="61"/>
      <c r="W78" s="61"/>
      <c r="X78" s="61"/>
      <c r="Y78" s="61"/>
      <c r="Z78" s="61"/>
      <c r="AA78" s="61"/>
      <c r="AB78" s="12"/>
      <c r="AC78" s="12"/>
      <c r="AD78" s="63"/>
      <c r="AE78" s="63"/>
      <c r="AF78" s="63"/>
      <c r="AG78" s="63"/>
      <c r="AH78" s="63"/>
      <c r="AI78" s="63"/>
      <c r="AJ78" s="63"/>
      <c r="AK78" s="63"/>
      <c r="AL78" s="63"/>
      <c r="AM78" s="63"/>
      <c r="AN78" s="12"/>
      <c r="AO78" s="12"/>
      <c r="AP78" s="63"/>
      <c r="AQ78" s="63"/>
      <c r="AR78" s="63"/>
      <c r="AS78" s="63"/>
      <c r="AT78" s="63"/>
      <c r="AU78" s="63"/>
      <c r="AV78" s="63"/>
      <c r="AW78" s="63"/>
      <c r="AX78" s="63"/>
      <c r="AY78" s="63"/>
      <c r="AZ78" s="35"/>
      <c r="BA78" s="35"/>
      <c r="BB78" s="40"/>
      <c r="BC78" s="40"/>
      <c r="BD78" s="40"/>
      <c r="BE78" s="40"/>
      <c r="BF78" s="40"/>
      <c r="BG78" s="40"/>
      <c r="BH78" s="40"/>
      <c r="BI78" s="40"/>
      <c r="BJ78" s="40"/>
      <c r="BK78" s="40"/>
      <c r="BL78" s="246"/>
      <c r="BM78" s="246"/>
      <c r="BN78" s="246"/>
      <c r="BO78" s="246"/>
      <c r="BP78" s="263"/>
      <c r="BQ78" s="263"/>
      <c r="BR78" s="263"/>
      <c r="BS78" s="263"/>
      <c r="BT78" s="263"/>
      <c r="BU78" s="263"/>
      <c r="BV78" s="263"/>
      <c r="BW78" s="263"/>
      <c r="BX78" s="263"/>
      <c r="BY78" s="263"/>
      <c r="BZ78" s="309">
        <v>50</v>
      </c>
      <c r="CA78" s="309" t="s">
        <v>758</v>
      </c>
      <c r="CB78" s="309">
        <v>10</v>
      </c>
      <c r="CC78" s="309" t="s">
        <v>758</v>
      </c>
      <c r="CD78" s="327">
        <v>0.2</v>
      </c>
      <c r="CE78" s="327">
        <v>0.47</v>
      </c>
      <c r="CF78" s="327">
        <v>0.33</v>
      </c>
      <c r="CG78" s="327">
        <v>0</v>
      </c>
      <c r="CH78" s="327">
        <v>0.52</v>
      </c>
      <c r="CI78" s="327">
        <v>0.45</v>
      </c>
      <c r="CJ78" s="327">
        <v>0.67</v>
      </c>
      <c r="CK78" s="327">
        <v>0.45</v>
      </c>
      <c r="CL78" s="327">
        <v>0.43</v>
      </c>
      <c r="CM78" s="327">
        <v>0.55000000000000004</v>
      </c>
      <c r="CN78" s="424">
        <v>49</v>
      </c>
      <c r="CO78" s="424" t="s">
        <v>758</v>
      </c>
      <c r="CP78" s="424">
        <v>8</v>
      </c>
      <c r="CQ78" s="424" t="s">
        <v>758</v>
      </c>
      <c r="CR78" s="428">
        <v>0.14000000000000001</v>
      </c>
      <c r="CS78" s="428">
        <v>0.67</v>
      </c>
      <c r="CT78" s="428">
        <v>0.19</v>
      </c>
      <c r="CU78" s="428">
        <v>0</v>
      </c>
      <c r="CV78" s="428">
        <v>0.43</v>
      </c>
      <c r="CW78" s="428">
        <v>0.48</v>
      </c>
      <c r="CX78" s="428">
        <v>0.63</v>
      </c>
      <c r="CY78" s="428">
        <v>0.75</v>
      </c>
      <c r="CZ78" s="523">
        <v>0.59</v>
      </c>
      <c r="DA78" s="523">
        <v>0.56000000000000005</v>
      </c>
      <c r="DB78" s="524">
        <v>47</v>
      </c>
      <c r="DC78" s="524" t="s">
        <v>758</v>
      </c>
      <c r="DD78" s="524">
        <v>11</v>
      </c>
      <c r="DE78" s="524" t="s">
        <v>758</v>
      </c>
      <c r="DF78" s="525">
        <v>0.25</v>
      </c>
      <c r="DG78" s="525">
        <v>0.56999999999999995</v>
      </c>
      <c r="DH78" s="525">
        <v>0.14000000000000001</v>
      </c>
      <c r="DI78" s="525">
        <v>0.04</v>
      </c>
      <c r="DJ78" s="525">
        <v>0.53</v>
      </c>
      <c r="DK78" s="525">
        <v>0.38</v>
      </c>
      <c r="DL78" s="525">
        <v>0.48</v>
      </c>
      <c r="DM78" s="525">
        <v>0.73</v>
      </c>
      <c r="DN78" s="525">
        <v>0.52</v>
      </c>
      <c r="DO78" s="525">
        <v>0.42</v>
      </c>
      <c r="DP78" s="902">
        <v>51</v>
      </c>
      <c r="DQ78" s="902" t="s">
        <v>758</v>
      </c>
      <c r="DR78" s="902">
        <v>11</v>
      </c>
      <c r="DS78" s="902" t="s">
        <v>758</v>
      </c>
      <c r="DT78" s="949">
        <v>0.18</v>
      </c>
      <c r="DU78" s="949">
        <v>0.48</v>
      </c>
      <c r="DV78" s="949">
        <v>0.35</v>
      </c>
      <c r="DW78" s="949">
        <v>0</v>
      </c>
      <c r="DX78" s="949">
        <v>0.53</v>
      </c>
      <c r="DY78" s="949">
        <v>0.32</v>
      </c>
      <c r="DZ78" s="949">
        <v>0.52</v>
      </c>
      <c r="EA78" s="949">
        <v>0.5</v>
      </c>
      <c r="EB78" s="949">
        <v>0.56999999999999995</v>
      </c>
      <c r="EC78" s="949">
        <v>0.35</v>
      </c>
      <c r="ED78" s="922">
        <v>325754001531</v>
      </c>
      <c r="EE78" s="803" t="s">
        <v>799</v>
      </c>
    </row>
    <row r="79" spans="1:135" ht="24.95" customHeight="1" x14ac:dyDescent="0.2">
      <c r="A79" s="803" t="s">
        <v>959</v>
      </c>
      <c r="B79" s="1" t="s">
        <v>123</v>
      </c>
      <c r="C79" s="2">
        <v>4</v>
      </c>
      <c r="D79" s="12">
        <v>46</v>
      </c>
      <c r="E79" s="12">
        <v>9</v>
      </c>
      <c r="F79" s="63">
        <v>0.27</v>
      </c>
      <c r="G79" s="63">
        <v>0.55000000000000004</v>
      </c>
      <c r="H79" s="63">
        <v>0.18</v>
      </c>
      <c r="I79" s="63">
        <v>0</v>
      </c>
      <c r="J79" s="63">
        <v>0.61</v>
      </c>
      <c r="K79" s="63">
        <v>0.66</v>
      </c>
      <c r="L79" s="63">
        <v>0.61</v>
      </c>
      <c r="M79" s="63">
        <v>0.52</v>
      </c>
      <c r="N79" s="63">
        <v>0.46</v>
      </c>
      <c r="O79" s="63">
        <v>0.6</v>
      </c>
      <c r="P79" s="12">
        <v>46</v>
      </c>
      <c r="Q79" s="12">
        <v>10</v>
      </c>
      <c r="R79" s="61">
        <v>0.28999999999999998</v>
      </c>
      <c r="S79" s="61">
        <v>0.51</v>
      </c>
      <c r="T79" s="61">
        <v>0.2</v>
      </c>
      <c r="U79" s="61">
        <v>0</v>
      </c>
      <c r="V79" s="61">
        <v>0.48</v>
      </c>
      <c r="W79" s="61">
        <v>0.57999999999999996</v>
      </c>
      <c r="X79" s="61">
        <v>0.61</v>
      </c>
      <c r="Y79" s="61">
        <v>0.55000000000000004</v>
      </c>
      <c r="Z79" s="61">
        <v>0.51</v>
      </c>
      <c r="AA79" s="61">
        <v>0.6</v>
      </c>
      <c r="AB79" s="12">
        <v>50</v>
      </c>
      <c r="AC79" s="12">
        <v>10</v>
      </c>
      <c r="AD79" s="63">
        <v>0.17</v>
      </c>
      <c r="AE79" s="63">
        <v>0.57999999999999996</v>
      </c>
      <c r="AF79" s="63">
        <v>0.25</v>
      </c>
      <c r="AG79" s="63">
        <v>0</v>
      </c>
      <c r="AH79" s="63">
        <v>0.42</v>
      </c>
      <c r="AI79" s="63">
        <v>0.43</v>
      </c>
      <c r="AJ79" s="63">
        <v>0.43</v>
      </c>
      <c r="AK79" s="63">
        <v>0.45</v>
      </c>
      <c r="AL79" s="63">
        <v>0.48</v>
      </c>
      <c r="AM79" s="63">
        <v>0.6</v>
      </c>
      <c r="AN79" s="12">
        <v>43</v>
      </c>
      <c r="AO79" s="12">
        <v>11</v>
      </c>
      <c r="AP79" s="63">
        <v>0.48</v>
      </c>
      <c r="AQ79" s="63">
        <v>0.39</v>
      </c>
      <c r="AR79" s="63">
        <v>0.13</v>
      </c>
      <c r="AS79" s="63">
        <v>0</v>
      </c>
      <c r="AT79" s="63">
        <v>0.65</v>
      </c>
      <c r="AU79" s="63">
        <v>0.56000000000000005</v>
      </c>
      <c r="AV79" s="63">
        <v>0.55000000000000004</v>
      </c>
      <c r="AW79" s="63">
        <v>0.53</v>
      </c>
      <c r="AX79" s="63">
        <v>0.53</v>
      </c>
      <c r="AY79" s="63">
        <v>0.61</v>
      </c>
      <c r="AZ79" s="35"/>
      <c r="BA79" s="35"/>
      <c r="BB79" s="40"/>
      <c r="BC79" s="40"/>
      <c r="BD79" s="40"/>
      <c r="BE79" s="40"/>
      <c r="BF79" s="40"/>
      <c r="BG79" s="40"/>
      <c r="BH79" s="40"/>
      <c r="BI79" s="40"/>
      <c r="BJ79" s="40"/>
      <c r="BK79" s="40"/>
      <c r="BL79" s="246">
        <v>46</v>
      </c>
      <c r="BM79" s="246" t="s">
        <v>758</v>
      </c>
      <c r="BN79" s="246">
        <v>0</v>
      </c>
      <c r="BO79" s="246" t="s">
        <v>760</v>
      </c>
      <c r="BP79" s="263">
        <v>0</v>
      </c>
      <c r="BQ79" s="263">
        <v>1</v>
      </c>
      <c r="BR79" s="263">
        <v>0</v>
      </c>
      <c r="BS79" s="263">
        <v>0</v>
      </c>
      <c r="BT79" s="263">
        <v>0.5</v>
      </c>
      <c r="BU79" s="263">
        <v>0.5</v>
      </c>
      <c r="BV79" s="263">
        <v>0.5</v>
      </c>
      <c r="BW79" s="263">
        <v>0.55000000000000004</v>
      </c>
      <c r="BX79" s="263">
        <v>0.5</v>
      </c>
      <c r="BY79" s="263">
        <v>0.78</v>
      </c>
      <c r="BZ79" s="649"/>
      <c r="CA79" s="649"/>
      <c r="CB79" s="649"/>
      <c r="CC79" s="649"/>
      <c r="CD79" s="649"/>
      <c r="CE79" s="649"/>
      <c r="CF79" s="649"/>
      <c r="CG79" s="649"/>
      <c r="CH79" s="649"/>
      <c r="CI79" s="649"/>
      <c r="CJ79" s="649"/>
      <c r="CK79" s="649"/>
      <c r="CL79" s="649"/>
      <c r="CM79" s="649"/>
      <c r="CN79" s="651"/>
      <c r="CO79" s="651"/>
      <c r="CP79" s="651"/>
      <c r="CQ79" s="651"/>
      <c r="CR79" s="651"/>
      <c r="CS79" s="651"/>
      <c r="CT79" s="651"/>
      <c r="CU79" s="651"/>
      <c r="CV79" s="651"/>
      <c r="CW79" s="651"/>
      <c r="CX79" s="651"/>
      <c r="CY79" s="651"/>
      <c r="CZ79" s="660"/>
      <c r="DA79" s="660"/>
      <c r="DB79" s="662"/>
      <c r="DC79" s="662"/>
      <c r="DD79" s="662"/>
      <c r="DE79" s="662"/>
      <c r="DF79" s="662"/>
      <c r="DG79" s="662"/>
      <c r="DH79" s="662"/>
      <c r="DI79" s="662"/>
      <c r="DJ79" s="662"/>
      <c r="DK79" s="662"/>
      <c r="DL79" s="662"/>
      <c r="DM79" s="662"/>
      <c r="DN79" s="662"/>
      <c r="DO79" s="662"/>
      <c r="DP79" s="902">
        <v>48</v>
      </c>
      <c r="DQ79" s="902" t="s">
        <v>758</v>
      </c>
      <c r="DR79" s="902">
        <v>0</v>
      </c>
      <c r="DS79" s="902" t="s">
        <v>760</v>
      </c>
      <c r="DT79" s="949">
        <v>0</v>
      </c>
      <c r="DU79" s="949">
        <v>1</v>
      </c>
      <c r="DV79" s="949">
        <v>0</v>
      </c>
      <c r="DW79" s="949">
        <v>0</v>
      </c>
      <c r="DX79" s="949">
        <v>0.67</v>
      </c>
      <c r="DY79" s="949">
        <v>0.5</v>
      </c>
      <c r="DZ79" s="949">
        <v>1</v>
      </c>
      <c r="EA79" s="949">
        <v>0.33</v>
      </c>
      <c r="EB79" s="949">
        <v>0.5</v>
      </c>
      <c r="EC79" s="949">
        <v>0.33</v>
      </c>
      <c r="ED79" s="922">
        <v>325754001875</v>
      </c>
      <c r="EE79" s="803" t="s">
        <v>959</v>
      </c>
    </row>
    <row r="80" spans="1:135" ht="24.95" customHeight="1" x14ac:dyDescent="0.2">
      <c r="A80" s="804" t="s">
        <v>94</v>
      </c>
      <c r="B80" s="1" t="s">
        <v>123</v>
      </c>
      <c r="C80" s="309">
        <v>6</v>
      </c>
      <c r="D80" s="328">
        <v>50</v>
      </c>
      <c r="E80" s="328">
        <v>8</v>
      </c>
      <c r="F80" s="327">
        <v>0.2</v>
      </c>
      <c r="G80" s="327">
        <v>0.53</v>
      </c>
      <c r="H80" s="327">
        <v>0.27</v>
      </c>
      <c r="I80" s="327">
        <v>0</v>
      </c>
      <c r="J80" s="327">
        <v>0.57999999999999996</v>
      </c>
      <c r="K80" s="327">
        <v>0.49</v>
      </c>
      <c r="L80" s="327">
        <v>0.73</v>
      </c>
      <c r="M80" s="327">
        <v>0.49</v>
      </c>
      <c r="N80" s="327">
        <v>0.41</v>
      </c>
      <c r="O80" s="327">
        <v>0.53</v>
      </c>
      <c r="P80" s="328">
        <v>45</v>
      </c>
      <c r="Q80" s="328">
        <v>9</v>
      </c>
      <c r="R80" s="330">
        <v>0.28999999999999998</v>
      </c>
      <c r="S80" s="330">
        <v>0.71</v>
      </c>
      <c r="T80" s="330">
        <v>0</v>
      </c>
      <c r="U80" s="330">
        <v>0</v>
      </c>
      <c r="V80" s="330">
        <v>0.48</v>
      </c>
      <c r="W80" s="330">
        <v>0.57999999999999996</v>
      </c>
      <c r="X80" s="330">
        <v>0.79</v>
      </c>
      <c r="Y80" s="330">
        <v>0.53</v>
      </c>
      <c r="Z80" s="330">
        <v>0.54</v>
      </c>
      <c r="AA80" s="330">
        <v>0.64</v>
      </c>
      <c r="AB80" s="328">
        <v>46</v>
      </c>
      <c r="AC80" s="328">
        <v>10</v>
      </c>
      <c r="AD80" s="327">
        <v>0.25</v>
      </c>
      <c r="AE80" s="327">
        <v>0.63</v>
      </c>
      <c r="AF80" s="327">
        <v>0.13</v>
      </c>
      <c r="AG80" s="327">
        <v>0</v>
      </c>
      <c r="AH80" s="327">
        <v>0.44</v>
      </c>
      <c r="AI80" s="327">
        <v>0.56999999999999995</v>
      </c>
      <c r="AJ80" s="327">
        <v>0.44</v>
      </c>
      <c r="AK80" s="327">
        <v>0.6</v>
      </c>
      <c r="AL80" s="327">
        <v>0.68</v>
      </c>
      <c r="AM80" s="327">
        <v>0.48</v>
      </c>
      <c r="AN80" s="328">
        <v>48</v>
      </c>
      <c r="AO80" s="328">
        <v>10</v>
      </c>
      <c r="AP80" s="327">
        <v>0.18</v>
      </c>
      <c r="AQ80" s="327">
        <v>0.64</v>
      </c>
      <c r="AR80" s="327">
        <v>0.18</v>
      </c>
      <c r="AS80" s="327">
        <v>0</v>
      </c>
      <c r="AT80" s="327">
        <v>0.5</v>
      </c>
      <c r="AU80" s="327">
        <v>0.54</v>
      </c>
      <c r="AV80" s="327">
        <v>0.47</v>
      </c>
      <c r="AW80" s="327">
        <v>0.38</v>
      </c>
      <c r="AX80" s="327">
        <v>0.51</v>
      </c>
      <c r="AY80" s="327">
        <v>0.59</v>
      </c>
      <c r="AZ80" s="311">
        <v>44</v>
      </c>
      <c r="BA80" s="311">
        <v>8</v>
      </c>
      <c r="BB80" s="331">
        <v>0.36</v>
      </c>
      <c r="BC80" s="331">
        <v>0.45</v>
      </c>
      <c r="BD80" s="331">
        <v>0.18</v>
      </c>
      <c r="BE80" s="331">
        <v>0</v>
      </c>
      <c r="BF80" s="331">
        <v>0.57999999999999996</v>
      </c>
      <c r="BG80" s="331">
        <v>0.65</v>
      </c>
      <c r="BH80" s="331">
        <v>0.57999999999999996</v>
      </c>
      <c r="BI80" s="331">
        <v>0.57999999999999996</v>
      </c>
      <c r="BJ80" s="331">
        <v>0.51</v>
      </c>
      <c r="BK80" s="331">
        <v>0.53</v>
      </c>
      <c r="BL80" s="312">
        <v>47</v>
      </c>
      <c r="BM80" s="312" t="s">
        <v>758</v>
      </c>
      <c r="BN80" s="312">
        <v>12</v>
      </c>
      <c r="BO80" s="312" t="s">
        <v>758</v>
      </c>
      <c r="BP80" s="332">
        <v>0.33</v>
      </c>
      <c r="BQ80" s="332">
        <v>0.4</v>
      </c>
      <c r="BR80" s="332">
        <v>0.27</v>
      </c>
      <c r="BS80" s="332">
        <v>0</v>
      </c>
      <c r="BT80" s="332">
        <v>0.43</v>
      </c>
      <c r="BU80" s="332">
        <v>0.56000000000000005</v>
      </c>
      <c r="BV80" s="332">
        <v>0.65</v>
      </c>
      <c r="BW80" s="332">
        <v>0.49</v>
      </c>
      <c r="BX80" s="332">
        <v>0.47</v>
      </c>
      <c r="BY80" s="332">
        <v>0.56000000000000005</v>
      </c>
      <c r="BZ80" s="309">
        <v>48</v>
      </c>
      <c r="CA80" s="309" t="s">
        <v>758</v>
      </c>
      <c r="CB80" s="309">
        <v>11</v>
      </c>
      <c r="CC80" s="309" t="s">
        <v>758</v>
      </c>
      <c r="CD80" s="327">
        <v>0.2</v>
      </c>
      <c r="CE80" s="327">
        <v>0.5</v>
      </c>
      <c r="CF80" s="327">
        <v>0.3</v>
      </c>
      <c r="CG80" s="327">
        <v>0</v>
      </c>
      <c r="CH80" s="327">
        <v>0.54</v>
      </c>
      <c r="CI80" s="327">
        <v>0.28000000000000003</v>
      </c>
      <c r="CJ80" s="327">
        <v>0.61</v>
      </c>
      <c r="CK80" s="327">
        <v>0.49</v>
      </c>
      <c r="CL80" s="327">
        <v>0.53</v>
      </c>
      <c r="CM80" s="327">
        <v>0.63</v>
      </c>
      <c r="CN80" s="424">
        <v>45</v>
      </c>
      <c r="CO80" s="424" t="s">
        <v>758</v>
      </c>
      <c r="CP80" s="424">
        <v>8</v>
      </c>
      <c r="CQ80" s="424" t="s">
        <v>758</v>
      </c>
      <c r="CR80" s="428">
        <v>0.33</v>
      </c>
      <c r="CS80" s="428">
        <v>0.47</v>
      </c>
      <c r="CT80" s="428">
        <v>0.2</v>
      </c>
      <c r="CU80" s="428">
        <v>0</v>
      </c>
      <c r="CV80" s="428">
        <v>0.45</v>
      </c>
      <c r="CW80" s="428">
        <v>0.59</v>
      </c>
      <c r="CX80" s="428">
        <v>0.65</v>
      </c>
      <c r="CY80" s="428">
        <v>0.38</v>
      </c>
      <c r="CZ80" s="523">
        <v>0.62</v>
      </c>
      <c r="DA80" s="523">
        <v>0.67</v>
      </c>
      <c r="DB80" s="524">
        <v>43</v>
      </c>
      <c r="DC80" s="524" t="s">
        <v>758</v>
      </c>
      <c r="DD80" s="524">
        <v>11</v>
      </c>
      <c r="DE80" s="524" t="s">
        <v>758</v>
      </c>
      <c r="DF80" s="525">
        <v>0.52</v>
      </c>
      <c r="DG80" s="525">
        <v>0.28000000000000003</v>
      </c>
      <c r="DH80" s="525">
        <v>0.2</v>
      </c>
      <c r="DI80" s="525">
        <v>0</v>
      </c>
      <c r="DJ80" s="525">
        <v>0.52</v>
      </c>
      <c r="DK80" s="525">
        <v>0.7</v>
      </c>
      <c r="DL80" s="525">
        <v>0.61</v>
      </c>
      <c r="DM80" s="525">
        <v>0.74</v>
      </c>
      <c r="DN80" s="525">
        <v>0.63</v>
      </c>
      <c r="DO80" s="525">
        <v>0.55000000000000004</v>
      </c>
      <c r="DP80" s="902">
        <v>47</v>
      </c>
      <c r="DQ80" s="902" t="s">
        <v>758</v>
      </c>
      <c r="DR80" s="902">
        <v>12</v>
      </c>
      <c r="DS80" s="902" t="s">
        <v>758</v>
      </c>
      <c r="DT80" s="949">
        <v>0.28000000000000003</v>
      </c>
      <c r="DU80" s="949">
        <v>0.48</v>
      </c>
      <c r="DV80" s="949">
        <v>0.21</v>
      </c>
      <c r="DW80" s="949">
        <v>0.03</v>
      </c>
      <c r="DX80" s="949">
        <v>0.59</v>
      </c>
      <c r="DY80" s="949">
        <v>0.39</v>
      </c>
      <c r="DZ80" s="949">
        <v>0.61</v>
      </c>
      <c r="EA80" s="949">
        <v>0.56000000000000005</v>
      </c>
      <c r="EB80" s="949">
        <v>0.65</v>
      </c>
      <c r="EC80" s="949">
        <v>0.4</v>
      </c>
      <c r="ED80" s="922">
        <v>325754001221</v>
      </c>
      <c r="EE80" s="804" t="s">
        <v>94</v>
      </c>
    </row>
    <row r="81" spans="1:135" ht="24.95" customHeight="1" x14ac:dyDescent="0.2">
      <c r="A81" s="803" t="s">
        <v>132</v>
      </c>
      <c r="B81" s="1" t="s">
        <v>123</v>
      </c>
      <c r="C81" s="2">
        <v>2</v>
      </c>
      <c r="D81" s="12"/>
      <c r="E81" s="12"/>
      <c r="F81" s="12"/>
      <c r="G81" s="12"/>
      <c r="H81" s="12"/>
      <c r="I81" s="12"/>
      <c r="J81" s="12"/>
      <c r="K81" s="12"/>
      <c r="L81" s="12"/>
      <c r="M81" s="12"/>
      <c r="N81" s="12"/>
      <c r="O81" s="12"/>
      <c r="P81" s="12">
        <v>58</v>
      </c>
      <c r="Q81" s="12">
        <v>9</v>
      </c>
      <c r="R81" s="61">
        <v>0.04</v>
      </c>
      <c r="S81" s="61">
        <v>0.28999999999999998</v>
      </c>
      <c r="T81" s="61">
        <v>0.63</v>
      </c>
      <c r="U81" s="61">
        <v>0.04</v>
      </c>
      <c r="V81" s="61">
        <v>0.27</v>
      </c>
      <c r="W81" s="61">
        <v>0.38</v>
      </c>
      <c r="X81" s="61">
        <v>0.39</v>
      </c>
      <c r="Y81" s="61">
        <v>0.38</v>
      </c>
      <c r="Z81" s="61">
        <v>0.28000000000000003</v>
      </c>
      <c r="AA81" s="61">
        <v>0.34</v>
      </c>
      <c r="AB81" s="12">
        <v>55</v>
      </c>
      <c r="AC81" s="12">
        <v>10</v>
      </c>
      <c r="AD81" s="63">
        <v>0.14000000000000001</v>
      </c>
      <c r="AE81" s="63">
        <v>0.28999999999999998</v>
      </c>
      <c r="AF81" s="63">
        <v>0.56999999999999995</v>
      </c>
      <c r="AG81" s="63">
        <v>0</v>
      </c>
      <c r="AH81" s="63">
        <v>0.35</v>
      </c>
      <c r="AI81" s="63">
        <v>0.26</v>
      </c>
      <c r="AJ81" s="63">
        <v>0.27</v>
      </c>
      <c r="AK81" s="63">
        <v>0.5</v>
      </c>
      <c r="AL81" s="63">
        <v>0.41</v>
      </c>
      <c r="AM81" s="63">
        <v>0.41</v>
      </c>
      <c r="AN81" s="12">
        <v>57</v>
      </c>
      <c r="AO81" s="12">
        <v>13</v>
      </c>
      <c r="AP81" s="63">
        <v>0.13</v>
      </c>
      <c r="AQ81" s="63">
        <v>0.25</v>
      </c>
      <c r="AR81" s="63">
        <v>0.5</v>
      </c>
      <c r="AS81" s="63">
        <v>0.13</v>
      </c>
      <c r="AT81" s="63">
        <v>0.43</v>
      </c>
      <c r="AU81" s="63">
        <v>0.32</v>
      </c>
      <c r="AV81" s="63">
        <v>0.31</v>
      </c>
      <c r="AW81" s="63">
        <v>0.31</v>
      </c>
      <c r="AX81" s="63">
        <v>0.3</v>
      </c>
      <c r="AY81" s="63">
        <v>0.38</v>
      </c>
      <c r="AZ81" s="35">
        <v>63</v>
      </c>
      <c r="BA81" s="35">
        <v>8</v>
      </c>
      <c r="BB81" s="40">
        <v>0</v>
      </c>
      <c r="BC81" s="40">
        <v>0.19</v>
      </c>
      <c r="BD81" s="40">
        <v>0.75</v>
      </c>
      <c r="BE81" s="40">
        <v>0.06</v>
      </c>
      <c r="BF81" s="40">
        <v>0.27</v>
      </c>
      <c r="BG81" s="40">
        <v>0.24</v>
      </c>
      <c r="BH81" s="40">
        <v>0.21</v>
      </c>
      <c r="BI81" s="40">
        <v>0.42</v>
      </c>
      <c r="BJ81" s="40">
        <v>0.24</v>
      </c>
      <c r="BK81" s="40">
        <v>0.17</v>
      </c>
      <c r="BL81" s="246">
        <v>61</v>
      </c>
      <c r="BM81" s="246" t="s">
        <v>759</v>
      </c>
      <c r="BN81" s="246">
        <v>9</v>
      </c>
      <c r="BO81" s="246" t="s">
        <v>758</v>
      </c>
      <c r="BP81" s="263">
        <v>0.05</v>
      </c>
      <c r="BQ81" s="263">
        <v>0.15</v>
      </c>
      <c r="BR81" s="263">
        <v>0.7</v>
      </c>
      <c r="BS81" s="263">
        <v>0.1</v>
      </c>
      <c r="BT81" s="263">
        <v>0.27</v>
      </c>
      <c r="BU81" s="263">
        <v>0.27</v>
      </c>
      <c r="BV81" s="263">
        <v>0.27</v>
      </c>
      <c r="BW81" s="263">
        <v>0.27</v>
      </c>
      <c r="BX81" s="263">
        <v>0.3</v>
      </c>
      <c r="BY81" s="263">
        <v>0.28999999999999998</v>
      </c>
      <c r="BZ81" s="74">
        <v>59</v>
      </c>
      <c r="CA81" s="74" t="s">
        <v>759</v>
      </c>
      <c r="CB81" s="74">
        <v>8</v>
      </c>
      <c r="CC81" s="74" t="s">
        <v>758</v>
      </c>
      <c r="CD81" s="96">
        <v>0.08</v>
      </c>
      <c r="CE81" s="96">
        <v>0.12</v>
      </c>
      <c r="CF81" s="96">
        <v>0.81</v>
      </c>
      <c r="CG81" s="96">
        <v>0</v>
      </c>
      <c r="CH81" s="96">
        <v>0.28999999999999998</v>
      </c>
      <c r="CI81" s="96">
        <v>0.13</v>
      </c>
      <c r="CJ81" s="96">
        <v>0.38</v>
      </c>
      <c r="CK81" s="96">
        <v>0.46</v>
      </c>
      <c r="CL81" s="96">
        <v>0.28999999999999998</v>
      </c>
      <c r="CM81" s="96">
        <v>0.49</v>
      </c>
      <c r="CN81" s="652">
        <v>59</v>
      </c>
      <c r="CO81" s="652" t="s">
        <v>759</v>
      </c>
      <c r="CP81" s="652">
        <v>8</v>
      </c>
      <c r="CQ81" s="652" t="s">
        <v>758</v>
      </c>
      <c r="CR81" s="653">
        <v>0</v>
      </c>
      <c r="CS81" s="653">
        <v>0.34</v>
      </c>
      <c r="CT81" s="653">
        <v>0.59</v>
      </c>
      <c r="CU81" s="653">
        <v>7.0000000000000007E-2</v>
      </c>
      <c r="CV81" s="653">
        <v>0.21</v>
      </c>
      <c r="CW81" s="653">
        <v>0.37</v>
      </c>
      <c r="CX81" s="653">
        <v>0.41</v>
      </c>
      <c r="CY81" s="653">
        <v>0.54</v>
      </c>
      <c r="CZ81" s="661">
        <v>0.34</v>
      </c>
      <c r="DA81" s="661">
        <v>0.57999999999999996</v>
      </c>
      <c r="DB81" s="47">
        <v>60</v>
      </c>
      <c r="DC81" s="47" t="s">
        <v>759</v>
      </c>
      <c r="DD81" s="47">
        <v>8</v>
      </c>
      <c r="DE81" s="47" t="s">
        <v>758</v>
      </c>
      <c r="DF81" s="664">
        <v>0.05</v>
      </c>
      <c r="DG81" s="664">
        <v>0.05</v>
      </c>
      <c r="DH81" s="664">
        <v>0.84</v>
      </c>
      <c r="DI81" s="664">
        <v>0.05</v>
      </c>
      <c r="DJ81" s="664">
        <v>0.33</v>
      </c>
      <c r="DK81" s="664">
        <v>0.33</v>
      </c>
      <c r="DL81" s="664">
        <v>0.25</v>
      </c>
      <c r="DM81" s="664">
        <v>0.43</v>
      </c>
      <c r="DN81" s="664">
        <v>0.36</v>
      </c>
      <c r="DO81" s="664">
        <v>0.28999999999999998</v>
      </c>
      <c r="DP81" s="902">
        <v>60</v>
      </c>
      <c r="DQ81" s="902" t="s">
        <v>759</v>
      </c>
      <c r="DR81" s="902">
        <v>9</v>
      </c>
      <c r="DS81" s="902" t="s">
        <v>758</v>
      </c>
      <c r="DT81" s="949">
        <v>0.04</v>
      </c>
      <c r="DU81" s="949">
        <v>0.21</v>
      </c>
      <c r="DV81" s="949">
        <v>0.64</v>
      </c>
      <c r="DW81" s="949">
        <v>0.11</v>
      </c>
      <c r="DX81" s="949">
        <v>0.32</v>
      </c>
      <c r="DY81" s="949">
        <v>0.17</v>
      </c>
      <c r="DZ81" s="949">
        <v>0.82</v>
      </c>
      <c r="EA81" s="949">
        <v>0.34</v>
      </c>
      <c r="EB81" s="949">
        <v>0.31</v>
      </c>
      <c r="EC81" s="949">
        <v>0.22</v>
      </c>
      <c r="ED81" s="922">
        <v>325754003169</v>
      </c>
      <c r="EE81" s="803" t="s">
        <v>132</v>
      </c>
    </row>
    <row r="82" spans="1:135" ht="24.95" customHeight="1" x14ac:dyDescent="0.2">
      <c r="A82" s="803" t="s">
        <v>30</v>
      </c>
      <c r="B82" s="1" t="s">
        <v>123</v>
      </c>
      <c r="C82" s="2">
        <v>6</v>
      </c>
      <c r="D82" s="12">
        <v>58</v>
      </c>
      <c r="E82" s="12">
        <v>7</v>
      </c>
      <c r="F82" s="63">
        <v>0</v>
      </c>
      <c r="G82" s="63">
        <v>0.36</v>
      </c>
      <c r="H82" s="63">
        <v>0.61</v>
      </c>
      <c r="I82" s="63">
        <v>0.03</v>
      </c>
      <c r="J82" s="63">
        <v>0.49</v>
      </c>
      <c r="K82" s="63">
        <v>0.37</v>
      </c>
      <c r="L82" s="63">
        <v>0.41</v>
      </c>
      <c r="M82" s="63">
        <v>0.33</v>
      </c>
      <c r="N82" s="63">
        <v>0.31</v>
      </c>
      <c r="O82" s="63">
        <v>0.34</v>
      </c>
      <c r="P82" s="12">
        <v>55</v>
      </c>
      <c r="Q82" s="12">
        <v>10</v>
      </c>
      <c r="R82" s="61">
        <v>0.04</v>
      </c>
      <c r="S82" s="61">
        <v>0.46</v>
      </c>
      <c r="T82" s="61">
        <v>0.42</v>
      </c>
      <c r="U82" s="61">
        <v>0.08</v>
      </c>
      <c r="V82" s="61">
        <v>0.32</v>
      </c>
      <c r="W82" s="61">
        <v>0.4</v>
      </c>
      <c r="X82" s="61">
        <v>0.45</v>
      </c>
      <c r="Y82" s="61">
        <v>0.43</v>
      </c>
      <c r="Z82" s="61">
        <v>0.39</v>
      </c>
      <c r="AA82" s="61">
        <v>0.37</v>
      </c>
      <c r="AB82" s="12">
        <v>56</v>
      </c>
      <c r="AC82" s="12">
        <v>11</v>
      </c>
      <c r="AD82" s="63">
        <v>0.08</v>
      </c>
      <c r="AE82" s="63">
        <v>0.36</v>
      </c>
      <c r="AF82" s="63">
        <v>0.53</v>
      </c>
      <c r="AG82" s="63">
        <v>0.03</v>
      </c>
      <c r="AH82" s="63">
        <v>0.28000000000000003</v>
      </c>
      <c r="AI82" s="63">
        <v>0.34</v>
      </c>
      <c r="AJ82" s="63">
        <v>0.33</v>
      </c>
      <c r="AK82" s="63">
        <v>0.38</v>
      </c>
      <c r="AL82" s="63">
        <v>0.52</v>
      </c>
      <c r="AM82" s="63">
        <v>0.42</v>
      </c>
      <c r="AN82" s="12">
        <v>56</v>
      </c>
      <c r="AO82" s="12">
        <v>10</v>
      </c>
      <c r="AP82" s="63">
        <v>7.0000000000000007E-2</v>
      </c>
      <c r="AQ82" s="63">
        <v>0.33</v>
      </c>
      <c r="AR82" s="63">
        <v>0.56999999999999995</v>
      </c>
      <c r="AS82" s="63">
        <v>0.03</v>
      </c>
      <c r="AT82" s="63">
        <v>0.43</v>
      </c>
      <c r="AU82" s="63">
        <v>0.42</v>
      </c>
      <c r="AV82" s="63">
        <v>0.32</v>
      </c>
      <c r="AW82" s="63">
        <v>0.34</v>
      </c>
      <c r="AX82" s="63">
        <v>0.35</v>
      </c>
      <c r="AY82" s="63">
        <v>0.35</v>
      </c>
      <c r="AZ82" s="35">
        <v>57</v>
      </c>
      <c r="BA82" s="35">
        <v>10</v>
      </c>
      <c r="BB82" s="40">
        <v>0.04</v>
      </c>
      <c r="BC82" s="40">
        <v>0.38</v>
      </c>
      <c r="BD82" s="40">
        <v>0.5</v>
      </c>
      <c r="BE82" s="40">
        <v>0.08</v>
      </c>
      <c r="BF82" s="40">
        <v>0.44</v>
      </c>
      <c r="BG82" s="40">
        <v>0.42</v>
      </c>
      <c r="BH82" s="40">
        <v>0.28000000000000003</v>
      </c>
      <c r="BI82" s="40">
        <v>0.41</v>
      </c>
      <c r="BJ82" s="40">
        <v>0.27</v>
      </c>
      <c r="BK82" s="40">
        <v>0.34</v>
      </c>
      <c r="BL82" s="246">
        <v>52</v>
      </c>
      <c r="BM82" s="246" t="s">
        <v>758</v>
      </c>
      <c r="BN82" s="246">
        <v>8</v>
      </c>
      <c r="BO82" s="246" t="s">
        <v>758</v>
      </c>
      <c r="BP82" s="263">
        <v>7.0000000000000007E-2</v>
      </c>
      <c r="BQ82" s="263">
        <v>0.61</v>
      </c>
      <c r="BR82" s="263">
        <v>0.32</v>
      </c>
      <c r="BS82" s="263">
        <v>0</v>
      </c>
      <c r="BT82" s="263">
        <v>0.44</v>
      </c>
      <c r="BU82" s="263">
        <v>0.42</v>
      </c>
      <c r="BV82" s="263">
        <v>0.39</v>
      </c>
      <c r="BW82" s="263">
        <v>0.39</v>
      </c>
      <c r="BX82" s="263">
        <v>0.43</v>
      </c>
      <c r="BY82" s="263">
        <v>0.48</v>
      </c>
      <c r="BZ82" s="309">
        <v>58</v>
      </c>
      <c r="CA82" s="309" t="s">
        <v>759</v>
      </c>
      <c r="CB82" s="309">
        <v>9</v>
      </c>
      <c r="CC82" s="309" t="s">
        <v>758</v>
      </c>
      <c r="CD82" s="327">
        <v>0.03</v>
      </c>
      <c r="CE82" s="327">
        <v>0.28000000000000003</v>
      </c>
      <c r="CF82" s="327">
        <v>0.62</v>
      </c>
      <c r="CG82" s="327">
        <v>7.0000000000000007E-2</v>
      </c>
      <c r="CH82" s="327">
        <v>0.37</v>
      </c>
      <c r="CI82" s="327">
        <v>0.31</v>
      </c>
      <c r="CJ82" s="327">
        <v>0.4</v>
      </c>
      <c r="CK82" s="327">
        <v>0.42</v>
      </c>
      <c r="CL82" s="327">
        <v>0.33</v>
      </c>
      <c r="CM82" s="327">
        <v>0.49</v>
      </c>
      <c r="CN82" s="424">
        <v>57</v>
      </c>
      <c r="CO82" s="424" t="s">
        <v>758</v>
      </c>
      <c r="CP82" s="424">
        <v>8</v>
      </c>
      <c r="CQ82" s="424" t="s">
        <v>758</v>
      </c>
      <c r="CR82" s="428">
        <v>0</v>
      </c>
      <c r="CS82" s="428">
        <v>0.47</v>
      </c>
      <c r="CT82" s="428">
        <v>0.5</v>
      </c>
      <c r="CU82" s="428">
        <v>0.03</v>
      </c>
      <c r="CV82" s="428">
        <v>0.32</v>
      </c>
      <c r="CW82" s="428">
        <v>0.38</v>
      </c>
      <c r="CX82" s="428">
        <v>0.39</v>
      </c>
      <c r="CY82" s="428">
        <v>0.5</v>
      </c>
      <c r="CZ82" s="523">
        <v>0.42</v>
      </c>
      <c r="DA82" s="523">
        <v>0.47</v>
      </c>
      <c r="DB82" s="524">
        <v>57</v>
      </c>
      <c r="DC82" s="524" t="s">
        <v>758</v>
      </c>
      <c r="DD82" s="524">
        <v>8</v>
      </c>
      <c r="DE82" s="524" t="s">
        <v>758</v>
      </c>
      <c r="DF82" s="525">
        <v>0.06</v>
      </c>
      <c r="DG82" s="525">
        <v>0.26</v>
      </c>
      <c r="DH82" s="525">
        <v>0.65</v>
      </c>
      <c r="DI82" s="525">
        <v>0.03</v>
      </c>
      <c r="DJ82" s="525">
        <v>0.42</v>
      </c>
      <c r="DK82" s="525">
        <v>0.41</v>
      </c>
      <c r="DL82" s="525">
        <v>0.4</v>
      </c>
      <c r="DM82" s="525">
        <v>0.68</v>
      </c>
      <c r="DN82" s="525">
        <v>0.38</v>
      </c>
      <c r="DO82" s="525">
        <v>0.18</v>
      </c>
      <c r="DP82" s="902">
        <v>57</v>
      </c>
      <c r="DQ82" s="902" t="s">
        <v>758</v>
      </c>
      <c r="DR82" s="902">
        <v>8</v>
      </c>
      <c r="DS82" s="902" t="s">
        <v>758</v>
      </c>
      <c r="DT82" s="949">
        <v>0</v>
      </c>
      <c r="DU82" s="949">
        <v>0.35</v>
      </c>
      <c r="DV82" s="949">
        <v>0.55000000000000004</v>
      </c>
      <c r="DW82" s="949">
        <v>0.1</v>
      </c>
      <c r="DX82" s="949">
        <v>0.45</v>
      </c>
      <c r="DY82" s="949">
        <v>0.26</v>
      </c>
      <c r="DZ82" s="949">
        <v>0.33</v>
      </c>
      <c r="EA82" s="949">
        <v>0.26</v>
      </c>
      <c r="EB82" s="949">
        <v>0.5</v>
      </c>
      <c r="EC82" s="949">
        <v>0.26</v>
      </c>
      <c r="ED82" s="922">
        <v>325754001212</v>
      </c>
      <c r="EE82" s="803" t="s">
        <v>30</v>
      </c>
    </row>
    <row r="83" spans="1:135" ht="24.95" customHeight="1" x14ac:dyDescent="0.2">
      <c r="A83" s="803" t="s">
        <v>800</v>
      </c>
      <c r="B83" s="14" t="s">
        <v>123</v>
      </c>
      <c r="C83" s="2">
        <v>3</v>
      </c>
      <c r="D83" s="12"/>
      <c r="E83" s="12"/>
      <c r="F83" s="63"/>
      <c r="G83" s="63"/>
      <c r="H83" s="63"/>
      <c r="I83" s="63"/>
      <c r="J83" s="63"/>
      <c r="K83" s="63"/>
      <c r="L83" s="63"/>
      <c r="M83" s="63"/>
      <c r="N83" s="63"/>
      <c r="O83" s="63"/>
      <c r="P83" s="12"/>
      <c r="Q83" s="12"/>
      <c r="R83" s="61"/>
      <c r="S83" s="61"/>
      <c r="T83" s="61"/>
      <c r="U83" s="61"/>
      <c r="V83" s="61"/>
      <c r="W83" s="61"/>
      <c r="X83" s="61"/>
      <c r="Y83" s="61"/>
      <c r="Z83" s="61"/>
      <c r="AA83" s="61"/>
      <c r="AB83" s="12"/>
      <c r="AC83" s="12"/>
      <c r="AD83" s="63"/>
      <c r="AE83" s="63"/>
      <c r="AF83" s="63"/>
      <c r="AG83" s="63"/>
      <c r="AH83" s="63"/>
      <c r="AI83" s="63"/>
      <c r="AJ83" s="63"/>
      <c r="AK83" s="63"/>
      <c r="AL83" s="63"/>
      <c r="AM83" s="63"/>
      <c r="AN83" s="12"/>
      <c r="AO83" s="12"/>
      <c r="AP83" s="63"/>
      <c r="AQ83" s="63"/>
      <c r="AR83" s="63"/>
      <c r="AS83" s="63"/>
      <c r="AT83" s="63"/>
      <c r="AU83" s="63"/>
      <c r="AV83" s="63"/>
      <c r="AW83" s="63"/>
      <c r="AX83" s="63"/>
      <c r="AY83" s="63"/>
      <c r="AZ83" s="35"/>
      <c r="BA83" s="35"/>
      <c r="BB83" s="40"/>
      <c r="BC83" s="40"/>
      <c r="BD83" s="40"/>
      <c r="BE83" s="40"/>
      <c r="BF83" s="40"/>
      <c r="BG83" s="40"/>
      <c r="BH83" s="40"/>
      <c r="BI83" s="40"/>
      <c r="BJ83" s="40"/>
      <c r="BK83" s="40"/>
      <c r="BL83" s="246"/>
      <c r="BM83" s="246"/>
      <c r="BN83" s="246"/>
      <c r="BO83" s="246"/>
      <c r="BP83" s="263"/>
      <c r="BQ83" s="263"/>
      <c r="BR83" s="263"/>
      <c r="BS83" s="263"/>
      <c r="BT83" s="263"/>
      <c r="BU83" s="263"/>
      <c r="BV83" s="263"/>
      <c r="BW83" s="263"/>
      <c r="BX83" s="263"/>
      <c r="BY83" s="263"/>
      <c r="BZ83" s="309">
        <v>55</v>
      </c>
      <c r="CA83" s="309" t="s">
        <v>758</v>
      </c>
      <c r="CB83" s="309">
        <v>11</v>
      </c>
      <c r="CC83" s="309" t="s">
        <v>758</v>
      </c>
      <c r="CD83" s="327">
        <v>7.0000000000000007E-2</v>
      </c>
      <c r="CE83" s="327">
        <v>0.43</v>
      </c>
      <c r="CF83" s="327">
        <v>0.43</v>
      </c>
      <c r="CG83" s="327">
        <v>7.0000000000000007E-2</v>
      </c>
      <c r="CH83" s="327">
        <v>0.3</v>
      </c>
      <c r="CI83" s="327">
        <v>0.39</v>
      </c>
      <c r="CJ83" s="327">
        <v>0.53</v>
      </c>
      <c r="CK83" s="327">
        <v>0.46</v>
      </c>
      <c r="CL83" s="327">
        <v>0.47</v>
      </c>
      <c r="CM83" s="327">
        <v>0.49</v>
      </c>
      <c r="CN83" s="424">
        <v>44</v>
      </c>
      <c r="CO83" s="424" t="s">
        <v>758</v>
      </c>
      <c r="CP83" s="424">
        <v>11</v>
      </c>
      <c r="CQ83" s="424" t="s">
        <v>758</v>
      </c>
      <c r="CR83" s="428">
        <v>0.55000000000000004</v>
      </c>
      <c r="CS83" s="428">
        <v>0.25</v>
      </c>
      <c r="CT83" s="428">
        <v>0.2</v>
      </c>
      <c r="CU83" s="428">
        <v>0</v>
      </c>
      <c r="CV83" s="428">
        <v>0.49</v>
      </c>
      <c r="CW83" s="428">
        <v>0.67</v>
      </c>
      <c r="CX83" s="428">
        <v>0.61</v>
      </c>
      <c r="CY83" s="428">
        <v>0.86</v>
      </c>
      <c r="CZ83" s="523">
        <v>0.67</v>
      </c>
      <c r="DA83" s="523">
        <v>0.67</v>
      </c>
      <c r="DB83" s="524">
        <v>51</v>
      </c>
      <c r="DC83" s="524" t="s">
        <v>758</v>
      </c>
      <c r="DD83" s="524">
        <v>10</v>
      </c>
      <c r="DE83" s="524" t="s">
        <v>758</v>
      </c>
      <c r="DF83" s="525">
        <v>0.15</v>
      </c>
      <c r="DG83" s="525">
        <v>0.5</v>
      </c>
      <c r="DH83" s="525">
        <v>0.35</v>
      </c>
      <c r="DI83" s="525">
        <v>0</v>
      </c>
      <c r="DJ83" s="525">
        <v>0.5</v>
      </c>
      <c r="DK83" s="525">
        <v>0.56000000000000005</v>
      </c>
      <c r="DL83" s="525">
        <v>0.44</v>
      </c>
      <c r="DM83" s="525">
        <v>0.57999999999999996</v>
      </c>
      <c r="DN83" s="525">
        <v>0.45</v>
      </c>
      <c r="DO83" s="525">
        <v>0.5</v>
      </c>
      <c r="DP83" s="902">
        <v>50</v>
      </c>
      <c r="DQ83" s="902" t="s">
        <v>758</v>
      </c>
      <c r="DR83" s="902">
        <v>11</v>
      </c>
      <c r="DS83" s="902" t="s">
        <v>758</v>
      </c>
      <c r="DT83" s="949">
        <v>0.38</v>
      </c>
      <c r="DU83" s="949">
        <v>0.38</v>
      </c>
      <c r="DV83" s="949">
        <v>0.25</v>
      </c>
      <c r="DW83" s="949">
        <v>0</v>
      </c>
      <c r="DX83" s="949">
        <v>0.44</v>
      </c>
      <c r="DY83" s="949">
        <v>0.5</v>
      </c>
      <c r="DZ83" s="949">
        <v>0.44</v>
      </c>
      <c r="EA83" s="949">
        <v>0.48</v>
      </c>
      <c r="EB83" s="949">
        <v>0.56000000000000005</v>
      </c>
      <c r="EC83" s="949">
        <v>0.37</v>
      </c>
      <c r="ED83" s="922">
        <v>325754004335</v>
      </c>
      <c r="EE83" s="803" t="s">
        <v>800</v>
      </c>
    </row>
    <row r="84" spans="1:135" ht="24.95" customHeight="1" x14ac:dyDescent="0.2">
      <c r="A84" s="803" t="s">
        <v>957</v>
      </c>
      <c r="B84" s="1" t="s">
        <v>123</v>
      </c>
      <c r="C84" s="813">
        <v>4</v>
      </c>
      <c r="D84" s="813"/>
      <c r="E84" s="813"/>
      <c r="F84" s="813"/>
      <c r="G84" s="813"/>
      <c r="H84" s="813"/>
      <c r="I84" s="813"/>
      <c r="J84" s="813"/>
      <c r="K84" s="813"/>
      <c r="L84" s="813"/>
      <c r="M84" s="813"/>
      <c r="N84" s="813"/>
      <c r="O84" s="813"/>
      <c r="P84" s="813"/>
      <c r="Q84" s="813"/>
      <c r="R84" s="813"/>
      <c r="S84" s="813"/>
      <c r="T84" s="813"/>
      <c r="U84" s="813"/>
      <c r="V84" s="813"/>
      <c r="W84" s="813"/>
      <c r="X84" s="813"/>
      <c r="Y84" s="813"/>
      <c r="Z84" s="813"/>
      <c r="AA84" s="813"/>
      <c r="AB84" s="813"/>
      <c r="AC84" s="813"/>
      <c r="AD84" s="813"/>
      <c r="AE84" s="813"/>
      <c r="AF84" s="813"/>
      <c r="AG84" s="813"/>
      <c r="AH84" s="813"/>
      <c r="AI84" s="813"/>
      <c r="AJ84" s="813"/>
      <c r="AK84" s="813"/>
      <c r="AL84" s="813"/>
      <c r="AM84" s="813"/>
      <c r="AN84" s="813"/>
      <c r="AO84" s="813"/>
      <c r="AP84" s="813"/>
      <c r="AQ84" s="813"/>
      <c r="AR84" s="813"/>
      <c r="AS84" s="813"/>
      <c r="AT84" s="813"/>
      <c r="AU84" s="813"/>
      <c r="AV84" s="813"/>
      <c r="AW84" s="813"/>
      <c r="AX84" s="813"/>
      <c r="AY84" s="813"/>
      <c r="AZ84" s="813"/>
      <c r="BA84" s="813"/>
      <c r="BB84" s="813"/>
      <c r="BC84" s="813"/>
      <c r="BD84" s="813"/>
      <c r="BE84" s="813"/>
      <c r="BF84" s="813"/>
      <c r="BG84" s="813"/>
      <c r="BH84" s="813"/>
      <c r="BI84" s="813"/>
      <c r="BJ84" s="813"/>
      <c r="BK84" s="813"/>
      <c r="BL84" s="813"/>
      <c r="BM84" s="813"/>
      <c r="BN84" s="813"/>
      <c r="BO84" s="813"/>
      <c r="BP84" s="813"/>
      <c r="BQ84" s="813"/>
      <c r="BR84" s="813"/>
      <c r="BS84" s="813"/>
      <c r="BT84" s="813"/>
      <c r="BU84" s="813"/>
      <c r="BV84" s="813"/>
      <c r="BW84" s="813"/>
      <c r="BX84" s="813"/>
      <c r="BY84" s="813"/>
      <c r="BZ84" s="813"/>
      <c r="CA84" s="813"/>
      <c r="CB84" s="813"/>
      <c r="CC84" s="813"/>
      <c r="CD84" s="813"/>
      <c r="CE84" s="813"/>
      <c r="CF84" s="813"/>
      <c r="CG84" s="813"/>
      <c r="CH84" s="813"/>
      <c r="CI84" s="813"/>
      <c r="CJ84" s="813"/>
      <c r="CK84" s="813"/>
      <c r="CL84" s="813"/>
      <c r="CM84" s="813"/>
      <c r="CN84" s="813"/>
      <c r="CO84" s="813"/>
      <c r="CP84" s="813"/>
      <c r="CQ84" s="813"/>
      <c r="CR84" s="813"/>
      <c r="CS84" s="813"/>
      <c r="CT84" s="813"/>
      <c r="CU84" s="813"/>
      <c r="CV84" s="813"/>
      <c r="CW84" s="813"/>
      <c r="CX84" s="813"/>
      <c r="CY84" s="813"/>
      <c r="CZ84" s="813"/>
      <c r="DA84" s="813"/>
      <c r="DB84" s="813"/>
      <c r="DC84" s="813"/>
      <c r="DD84" s="813"/>
      <c r="DE84" s="813"/>
      <c r="DF84" s="813"/>
      <c r="DG84" s="813"/>
      <c r="DH84" s="813"/>
      <c r="DI84" s="813"/>
      <c r="DJ84" s="813"/>
      <c r="DK84" s="813"/>
      <c r="DL84" s="813"/>
      <c r="DM84" s="813"/>
      <c r="DN84" s="813"/>
      <c r="DO84" s="813"/>
      <c r="DT84" s="949"/>
      <c r="DU84" s="949"/>
      <c r="DV84" s="949"/>
      <c r="DW84" s="949"/>
      <c r="DX84" s="949"/>
      <c r="DY84" s="949"/>
      <c r="DZ84" s="949"/>
      <c r="EA84" s="949"/>
      <c r="EB84" s="949"/>
      <c r="EC84" s="949"/>
      <c r="ED84" s="922"/>
      <c r="EE84" s="803" t="s">
        <v>957</v>
      </c>
    </row>
    <row r="85" spans="1:135" ht="24.95" customHeight="1" x14ac:dyDescent="0.2">
      <c r="A85" s="803" t="s">
        <v>63</v>
      </c>
      <c r="B85" s="1" t="s">
        <v>123</v>
      </c>
      <c r="C85" s="2">
        <v>6</v>
      </c>
      <c r="D85" s="12">
        <v>58</v>
      </c>
      <c r="E85" s="12">
        <v>7</v>
      </c>
      <c r="F85" s="63">
        <v>7.0000000000000007E-2</v>
      </c>
      <c r="G85" s="63">
        <v>0.4</v>
      </c>
      <c r="H85" s="63">
        <v>0.53</v>
      </c>
      <c r="I85" s="63">
        <v>0</v>
      </c>
      <c r="J85" s="63">
        <v>0.47</v>
      </c>
      <c r="K85" s="63">
        <v>0.39</v>
      </c>
      <c r="L85" s="63">
        <v>0.5</v>
      </c>
      <c r="M85" s="63">
        <v>0.32</v>
      </c>
      <c r="N85" s="63">
        <v>0.33</v>
      </c>
      <c r="O85" s="63">
        <v>0.53</v>
      </c>
      <c r="P85" s="12">
        <v>48</v>
      </c>
      <c r="Q85" s="12">
        <v>8</v>
      </c>
      <c r="R85" s="61">
        <v>0.12</v>
      </c>
      <c r="S85" s="61">
        <v>0.71</v>
      </c>
      <c r="T85" s="61">
        <v>0.18</v>
      </c>
      <c r="U85" s="61">
        <v>0</v>
      </c>
      <c r="V85" s="61">
        <v>0.42</v>
      </c>
      <c r="W85" s="61">
        <v>0.59</v>
      </c>
      <c r="X85" s="61">
        <v>0.62</v>
      </c>
      <c r="Y85" s="61">
        <v>0.51</v>
      </c>
      <c r="Z85" s="61">
        <v>0.49</v>
      </c>
      <c r="AA85" s="61">
        <v>0.56999999999999995</v>
      </c>
      <c r="AB85" s="12">
        <v>52</v>
      </c>
      <c r="AC85" s="12">
        <v>10</v>
      </c>
      <c r="AD85" s="63">
        <v>0.18</v>
      </c>
      <c r="AE85" s="63">
        <v>0.45</v>
      </c>
      <c r="AF85" s="63">
        <v>0.36</v>
      </c>
      <c r="AG85" s="63">
        <v>0</v>
      </c>
      <c r="AH85" s="63">
        <v>0.36</v>
      </c>
      <c r="AI85" s="63">
        <v>0.49</v>
      </c>
      <c r="AJ85" s="63">
        <v>0.34</v>
      </c>
      <c r="AK85" s="63">
        <v>0.44</v>
      </c>
      <c r="AL85" s="63">
        <v>0.5</v>
      </c>
      <c r="AM85" s="63">
        <v>0.47</v>
      </c>
      <c r="AN85" s="12">
        <v>53</v>
      </c>
      <c r="AO85" s="12">
        <v>9</v>
      </c>
      <c r="AP85" s="63">
        <v>0.13</v>
      </c>
      <c r="AQ85" s="63">
        <v>0.38</v>
      </c>
      <c r="AR85" s="63">
        <v>0.5</v>
      </c>
      <c r="AS85" s="63">
        <v>0</v>
      </c>
      <c r="AT85" s="63">
        <v>0.4</v>
      </c>
      <c r="AU85" s="63">
        <v>0.33</v>
      </c>
      <c r="AV85" s="63">
        <v>0.37</v>
      </c>
      <c r="AW85" s="63">
        <v>0.38</v>
      </c>
      <c r="AX85" s="63">
        <v>0.43</v>
      </c>
      <c r="AY85" s="63">
        <v>0.4</v>
      </c>
      <c r="AZ85" s="35">
        <v>51</v>
      </c>
      <c r="BA85" s="35">
        <v>12</v>
      </c>
      <c r="BB85" s="40">
        <v>0.16</v>
      </c>
      <c r="BC85" s="40">
        <v>0.47</v>
      </c>
      <c r="BD85" s="40">
        <v>0.32</v>
      </c>
      <c r="BE85" s="40">
        <v>0.05</v>
      </c>
      <c r="BF85" s="40">
        <v>0.48</v>
      </c>
      <c r="BG85" s="40">
        <v>0.42</v>
      </c>
      <c r="BH85" s="40">
        <v>0.47</v>
      </c>
      <c r="BI85" s="40">
        <v>0.56000000000000005</v>
      </c>
      <c r="BJ85" s="40">
        <v>0.38</v>
      </c>
      <c r="BK85" s="40">
        <v>0.39</v>
      </c>
      <c r="BL85" s="246">
        <v>50</v>
      </c>
      <c r="BM85" s="246" t="s">
        <v>758</v>
      </c>
      <c r="BN85" s="246">
        <v>12</v>
      </c>
      <c r="BO85" s="246" t="s">
        <v>758</v>
      </c>
      <c r="BP85" s="263">
        <v>0.15</v>
      </c>
      <c r="BQ85" s="263">
        <v>0.62</v>
      </c>
      <c r="BR85" s="263">
        <v>0.15</v>
      </c>
      <c r="BS85" s="263">
        <v>0.08</v>
      </c>
      <c r="BT85" s="263">
        <v>0.48</v>
      </c>
      <c r="BU85" s="263">
        <v>0.43</v>
      </c>
      <c r="BV85" s="263">
        <v>0.6</v>
      </c>
      <c r="BW85" s="263">
        <v>0.46</v>
      </c>
      <c r="BX85" s="263">
        <v>0.47</v>
      </c>
      <c r="BY85" s="263">
        <v>0.51</v>
      </c>
      <c r="BZ85" s="309">
        <v>48</v>
      </c>
      <c r="CA85" s="309" t="s">
        <v>758</v>
      </c>
      <c r="CB85" s="309">
        <v>10</v>
      </c>
      <c r="CC85" s="309" t="s">
        <v>758</v>
      </c>
      <c r="CD85" s="327">
        <v>0.3</v>
      </c>
      <c r="CE85" s="327">
        <v>0.5</v>
      </c>
      <c r="CF85" s="327">
        <v>0.2</v>
      </c>
      <c r="CG85" s="327">
        <v>0</v>
      </c>
      <c r="CH85" s="327">
        <v>0.67</v>
      </c>
      <c r="CI85" s="327">
        <v>0.64</v>
      </c>
      <c r="CJ85" s="327">
        <v>0.67</v>
      </c>
      <c r="CK85" s="327">
        <v>0.52</v>
      </c>
      <c r="CL85" s="327">
        <v>0.62</v>
      </c>
      <c r="CM85" s="327">
        <v>0.56000000000000005</v>
      </c>
      <c r="CN85" s="424">
        <v>59</v>
      </c>
      <c r="CO85" s="424" t="s">
        <v>759</v>
      </c>
      <c r="CP85" s="424">
        <v>9</v>
      </c>
      <c r="CQ85" s="424" t="s">
        <v>758</v>
      </c>
      <c r="CR85" s="428">
        <v>0.11</v>
      </c>
      <c r="CS85" s="428">
        <v>0.22</v>
      </c>
      <c r="CT85" s="428">
        <v>0.67</v>
      </c>
      <c r="CU85" s="428">
        <v>0</v>
      </c>
      <c r="CV85" s="428">
        <v>0.39</v>
      </c>
      <c r="CW85" s="428">
        <v>0.19</v>
      </c>
      <c r="CX85" s="428">
        <v>0.45</v>
      </c>
      <c r="CY85" s="428">
        <v>1</v>
      </c>
      <c r="CZ85" s="523">
        <v>0.5</v>
      </c>
      <c r="DA85" s="523">
        <v>0.5</v>
      </c>
      <c r="DB85" s="613"/>
      <c r="DC85" s="613"/>
      <c r="DD85" s="613"/>
      <c r="DE85" s="613"/>
      <c r="DF85" s="658"/>
      <c r="DG85" s="658"/>
      <c r="DH85" s="658"/>
      <c r="DI85" s="658"/>
      <c r="DJ85" s="658"/>
      <c r="DK85" s="658"/>
      <c r="DL85" s="658"/>
      <c r="DM85" s="658"/>
      <c r="DN85" s="658"/>
      <c r="DO85" s="658"/>
      <c r="DT85" s="949"/>
      <c r="DU85" s="949"/>
      <c r="DV85" s="949"/>
      <c r="DW85" s="949"/>
      <c r="DX85" s="949"/>
      <c r="DY85" s="949"/>
      <c r="DZ85" s="949"/>
      <c r="EA85" s="949"/>
      <c r="EB85" s="949"/>
      <c r="EC85" s="949"/>
      <c r="ED85" s="922"/>
      <c r="EE85" s="803" t="s">
        <v>63</v>
      </c>
    </row>
    <row r="86" spans="1:135" ht="24.95" customHeight="1" x14ac:dyDescent="0.2">
      <c r="A86" s="804" t="s">
        <v>949</v>
      </c>
      <c r="B86" s="1" t="s">
        <v>123</v>
      </c>
      <c r="C86" s="309">
        <v>5</v>
      </c>
      <c r="D86" s="328"/>
      <c r="E86" s="328"/>
      <c r="F86" s="328"/>
      <c r="G86" s="328"/>
      <c r="H86" s="328"/>
      <c r="I86" s="328"/>
      <c r="J86" s="328"/>
      <c r="K86" s="328"/>
      <c r="L86" s="328"/>
      <c r="M86" s="328"/>
      <c r="N86" s="328"/>
      <c r="O86" s="328"/>
      <c r="P86" s="328"/>
      <c r="Q86" s="328"/>
      <c r="R86" s="330"/>
      <c r="S86" s="330"/>
      <c r="T86" s="330"/>
      <c r="U86" s="330"/>
      <c r="V86" s="330"/>
      <c r="W86" s="330"/>
      <c r="X86" s="330"/>
      <c r="Y86" s="330"/>
      <c r="Z86" s="330"/>
      <c r="AA86" s="330"/>
      <c r="AB86" s="328"/>
      <c r="AC86" s="328"/>
      <c r="AD86" s="309"/>
      <c r="AE86" s="309"/>
      <c r="AF86" s="309"/>
      <c r="AG86" s="309"/>
      <c r="AH86" s="309"/>
      <c r="AI86" s="309"/>
      <c r="AJ86" s="309"/>
      <c r="AK86" s="309"/>
      <c r="AL86" s="309"/>
      <c r="AM86" s="309"/>
      <c r="AN86" s="328"/>
      <c r="AO86" s="328"/>
      <c r="AP86" s="309"/>
      <c r="AQ86" s="309"/>
      <c r="AR86" s="309"/>
      <c r="AS86" s="309"/>
      <c r="AT86" s="309"/>
      <c r="AU86" s="309"/>
      <c r="AV86" s="309"/>
      <c r="AW86" s="309"/>
      <c r="AX86" s="309"/>
      <c r="AY86" s="309"/>
      <c r="AZ86" s="311"/>
      <c r="BA86" s="311"/>
      <c r="BB86" s="331"/>
      <c r="BC86" s="331"/>
      <c r="BD86" s="331"/>
      <c r="BE86" s="331"/>
      <c r="BF86" s="331"/>
      <c r="BG86" s="331"/>
      <c r="BH86" s="331"/>
      <c r="BI86" s="331"/>
      <c r="BJ86" s="331"/>
      <c r="BK86" s="331"/>
      <c r="BL86" s="312"/>
      <c r="BM86" s="312"/>
      <c r="BN86" s="312"/>
      <c r="BO86" s="312"/>
      <c r="BP86" s="332"/>
      <c r="BQ86" s="332"/>
      <c r="BR86" s="332"/>
      <c r="BS86" s="332"/>
      <c r="BT86" s="332"/>
      <c r="BU86" s="332"/>
      <c r="BV86" s="332"/>
      <c r="BW86" s="332"/>
      <c r="BX86" s="332"/>
      <c r="BY86" s="332"/>
      <c r="BZ86" s="309"/>
      <c r="CA86" s="309"/>
      <c r="CB86" s="309"/>
      <c r="CC86" s="309"/>
      <c r="CD86" s="327"/>
      <c r="CE86" s="327"/>
      <c r="CF86" s="327"/>
      <c r="CG86" s="327"/>
      <c r="CH86" s="327"/>
      <c r="CI86" s="327"/>
      <c r="CJ86" s="327"/>
      <c r="CK86" s="327"/>
      <c r="CL86" s="327"/>
      <c r="CM86" s="327"/>
      <c r="CN86" s="424"/>
      <c r="CO86" s="424"/>
      <c r="CP86" s="424"/>
      <c r="CQ86" s="424"/>
      <c r="CR86" s="428"/>
      <c r="CS86" s="428"/>
      <c r="CT86" s="428"/>
      <c r="CU86" s="428"/>
      <c r="CV86" s="428"/>
      <c r="CW86" s="428"/>
      <c r="CX86" s="428"/>
      <c r="CY86" s="424"/>
      <c r="CZ86" s="523"/>
      <c r="DA86" s="523"/>
      <c r="DB86" s="524">
        <v>41</v>
      </c>
      <c r="DC86" s="524" t="s">
        <v>760</v>
      </c>
      <c r="DD86" s="524">
        <v>14</v>
      </c>
      <c r="DE86" s="524" t="s">
        <v>758</v>
      </c>
      <c r="DF86" s="525">
        <v>0.67</v>
      </c>
      <c r="DG86" s="525">
        <v>0</v>
      </c>
      <c r="DH86" s="525">
        <v>0.33</v>
      </c>
      <c r="DI86" s="525">
        <v>0</v>
      </c>
      <c r="DJ86" s="525">
        <v>0.25</v>
      </c>
      <c r="DK86" s="525">
        <v>0.46</v>
      </c>
      <c r="DL86" s="525">
        <v>0.83</v>
      </c>
      <c r="DM86" s="525">
        <v>0.67</v>
      </c>
      <c r="DN86" s="525">
        <v>0.75</v>
      </c>
      <c r="DO86" s="525">
        <v>0.55000000000000004</v>
      </c>
      <c r="DT86" s="949"/>
      <c r="DU86" s="949"/>
      <c r="DV86" s="949"/>
      <c r="DW86" s="949"/>
      <c r="DX86" s="949"/>
      <c r="DY86" s="949"/>
      <c r="DZ86" s="949"/>
      <c r="EA86" s="949"/>
      <c r="EB86" s="949"/>
      <c r="EC86" s="949"/>
      <c r="ED86" s="922"/>
      <c r="EE86" s="804" t="s">
        <v>949</v>
      </c>
    </row>
    <row r="87" spans="1:135" ht="24.95" customHeight="1" x14ac:dyDescent="0.2">
      <c r="A87" s="803" t="s">
        <v>28</v>
      </c>
      <c r="B87" s="1" t="s">
        <v>123</v>
      </c>
      <c r="C87" s="2">
        <v>6</v>
      </c>
      <c r="D87" s="12">
        <v>56</v>
      </c>
      <c r="E87" s="12">
        <v>8</v>
      </c>
      <c r="F87" s="63">
        <v>0.03</v>
      </c>
      <c r="G87" s="63">
        <v>0.51</v>
      </c>
      <c r="H87" s="63">
        <v>0.41</v>
      </c>
      <c r="I87" s="63">
        <v>0.05</v>
      </c>
      <c r="J87" s="63">
        <v>0.46</v>
      </c>
      <c r="K87" s="63">
        <v>0.39</v>
      </c>
      <c r="L87" s="63">
        <v>0.45</v>
      </c>
      <c r="M87" s="63">
        <v>0.34</v>
      </c>
      <c r="N87" s="63">
        <v>0.37</v>
      </c>
      <c r="O87" s="63">
        <v>0.48</v>
      </c>
      <c r="P87" s="12">
        <v>48</v>
      </c>
      <c r="Q87" s="12">
        <v>12</v>
      </c>
      <c r="R87" s="61">
        <v>0.26</v>
      </c>
      <c r="S87" s="61">
        <v>0.48</v>
      </c>
      <c r="T87" s="61">
        <v>0.26</v>
      </c>
      <c r="U87" s="61">
        <v>0</v>
      </c>
      <c r="V87" s="61">
        <v>0.46</v>
      </c>
      <c r="W87" s="61">
        <v>0.52</v>
      </c>
      <c r="X87" s="61">
        <v>0.57999999999999996</v>
      </c>
      <c r="Y87" s="61">
        <v>0.51</v>
      </c>
      <c r="Z87" s="61">
        <v>0.5</v>
      </c>
      <c r="AA87" s="61">
        <v>0.56999999999999995</v>
      </c>
      <c r="AB87" s="12">
        <v>50</v>
      </c>
      <c r="AC87" s="12">
        <v>10</v>
      </c>
      <c r="AD87" s="63">
        <v>0.21</v>
      </c>
      <c r="AE87" s="63">
        <v>0.53</v>
      </c>
      <c r="AF87" s="63">
        <v>0.23</v>
      </c>
      <c r="AG87" s="63">
        <v>0.02</v>
      </c>
      <c r="AH87" s="63">
        <v>0.41</v>
      </c>
      <c r="AI87" s="63">
        <v>0.46</v>
      </c>
      <c r="AJ87" s="63">
        <v>0.41</v>
      </c>
      <c r="AK87" s="63">
        <v>0.51</v>
      </c>
      <c r="AL87" s="63">
        <v>0.53</v>
      </c>
      <c r="AM87" s="63">
        <v>0.49</v>
      </c>
      <c r="AN87" s="12">
        <v>50</v>
      </c>
      <c r="AO87" s="12">
        <v>11</v>
      </c>
      <c r="AP87" s="63">
        <v>0.23</v>
      </c>
      <c r="AQ87" s="63">
        <v>0.46</v>
      </c>
      <c r="AR87" s="63">
        <v>0.28999999999999998</v>
      </c>
      <c r="AS87" s="63">
        <v>0.02</v>
      </c>
      <c r="AT87" s="63">
        <v>0.49</v>
      </c>
      <c r="AU87" s="63">
        <v>0.48</v>
      </c>
      <c r="AV87" s="63">
        <v>0.43</v>
      </c>
      <c r="AW87" s="63">
        <v>0.46</v>
      </c>
      <c r="AX87" s="63">
        <v>0.46</v>
      </c>
      <c r="AY87" s="63">
        <v>0.43</v>
      </c>
      <c r="AZ87" s="35">
        <v>50</v>
      </c>
      <c r="BA87" s="35">
        <v>11</v>
      </c>
      <c r="BB87" s="40">
        <v>0.21</v>
      </c>
      <c r="BC87" s="40">
        <v>0.47</v>
      </c>
      <c r="BD87" s="40">
        <v>0.28000000000000003</v>
      </c>
      <c r="BE87" s="40">
        <v>0.04</v>
      </c>
      <c r="BF87" s="40">
        <v>0.46</v>
      </c>
      <c r="BG87" s="40">
        <v>0.49</v>
      </c>
      <c r="BH87" s="40">
        <v>0.5</v>
      </c>
      <c r="BI87" s="40">
        <v>0.59</v>
      </c>
      <c r="BJ87" s="40">
        <v>0.43</v>
      </c>
      <c r="BK87" s="40">
        <v>0.43</v>
      </c>
      <c r="BL87" s="246">
        <v>46</v>
      </c>
      <c r="BM87" s="246" t="s">
        <v>758</v>
      </c>
      <c r="BN87" s="246">
        <v>12</v>
      </c>
      <c r="BO87" s="246" t="s">
        <v>758</v>
      </c>
      <c r="BP87" s="263">
        <v>0.36</v>
      </c>
      <c r="BQ87" s="263">
        <v>0.41</v>
      </c>
      <c r="BR87" s="263">
        <v>0.23</v>
      </c>
      <c r="BS87" s="263">
        <v>0</v>
      </c>
      <c r="BT87" s="263">
        <v>0.48</v>
      </c>
      <c r="BU87" s="263">
        <v>0.54</v>
      </c>
      <c r="BV87" s="263">
        <v>0.56000000000000005</v>
      </c>
      <c r="BW87" s="263">
        <v>0.46</v>
      </c>
      <c r="BX87" s="263">
        <v>0.49</v>
      </c>
      <c r="BY87" s="263">
        <v>0.57999999999999996</v>
      </c>
      <c r="BZ87" s="309">
        <v>49</v>
      </c>
      <c r="CA87" s="309" t="s">
        <v>758</v>
      </c>
      <c r="CB87" s="309">
        <v>10</v>
      </c>
      <c r="CC87" s="309" t="s">
        <v>758</v>
      </c>
      <c r="CD87" s="327">
        <v>0.26</v>
      </c>
      <c r="CE87" s="327">
        <v>0.46</v>
      </c>
      <c r="CF87" s="327">
        <v>0.28000000000000003</v>
      </c>
      <c r="CG87" s="327">
        <v>0</v>
      </c>
      <c r="CH87" s="327">
        <v>0.48</v>
      </c>
      <c r="CI87" s="327">
        <v>0.4</v>
      </c>
      <c r="CJ87" s="327">
        <v>0.62</v>
      </c>
      <c r="CK87" s="327">
        <v>0.53</v>
      </c>
      <c r="CL87" s="327">
        <v>0.44</v>
      </c>
      <c r="CM87" s="327">
        <v>0.61</v>
      </c>
      <c r="CN87" s="424">
        <v>51</v>
      </c>
      <c r="CO87" s="424" t="s">
        <v>758</v>
      </c>
      <c r="CP87" s="424">
        <v>10</v>
      </c>
      <c r="CQ87" s="424" t="s">
        <v>758</v>
      </c>
      <c r="CR87" s="428">
        <v>0.17</v>
      </c>
      <c r="CS87" s="428">
        <v>0.49</v>
      </c>
      <c r="CT87" s="428">
        <v>0.32</v>
      </c>
      <c r="CU87" s="428">
        <v>0.02</v>
      </c>
      <c r="CV87" s="428">
        <v>0.38</v>
      </c>
      <c r="CW87" s="428">
        <v>0.54</v>
      </c>
      <c r="CX87" s="428">
        <v>0.56000000000000005</v>
      </c>
      <c r="CY87" s="428">
        <v>0.6</v>
      </c>
      <c r="CZ87" s="523">
        <v>0.6</v>
      </c>
      <c r="DA87" s="523">
        <v>0.59</v>
      </c>
      <c r="DB87" s="612">
        <v>49</v>
      </c>
      <c r="DC87" s="612" t="s">
        <v>758</v>
      </c>
      <c r="DD87" s="612">
        <v>10</v>
      </c>
      <c r="DE87" s="612" t="s">
        <v>758</v>
      </c>
      <c r="DF87" s="663">
        <v>0.24</v>
      </c>
      <c r="DG87" s="663">
        <v>0.53</v>
      </c>
      <c r="DH87" s="663">
        <v>0.22</v>
      </c>
      <c r="DI87" s="663">
        <v>0.02</v>
      </c>
      <c r="DJ87" s="663">
        <v>0.54</v>
      </c>
      <c r="DK87" s="663">
        <v>0.64</v>
      </c>
      <c r="DL87" s="663">
        <v>0.51</v>
      </c>
      <c r="DM87" s="663">
        <v>0.73</v>
      </c>
      <c r="DN87" s="663">
        <v>0.53</v>
      </c>
      <c r="DO87" s="663">
        <v>0.33</v>
      </c>
      <c r="DP87" s="902">
        <v>48</v>
      </c>
      <c r="DQ87" s="902" t="s">
        <v>758</v>
      </c>
      <c r="DR87" s="902">
        <v>11</v>
      </c>
      <c r="DS87" s="902" t="s">
        <v>758</v>
      </c>
      <c r="DT87" s="949">
        <v>0.28999999999999998</v>
      </c>
      <c r="DU87" s="949">
        <v>0.44</v>
      </c>
      <c r="DV87" s="949">
        <v>0.27</v>
      </c>
      <c r="DW87" s="949">
        <v>0</v>
      </c>
      <c r="DX87" s="949">
        <v>0.55000000000000004</v>
      </c>
      <c r="DY87" s="949">
        <v>0.38</v>
      </c>
      <c r="DZ87" s="949">
        <v>0.63</v>
      </c>
      <c r="EA87" s="949">
        <v>0.44</v>
      </c>
      <c r="EB87" s="949">
        <v>0.57999999999999996</v>
      </c>
      <c r="EC87" s="949">
        <v>0.46</v>
      </c>
      <c r="ED87" s="922">
        <v>325754001859</v>
      </c>
      <c r="EE87" s="803" t="s">
        <v>28</v>
      </c>
    </row>
    <row r="88" spans="1:135" ht="24.95" customHeight="1" x14ac:dyDescent="0.2">
      <c r="A88" s="803" t="s">
        <v>101</v>
      </c>
      <c r="B88" s="1" t="s">
        <v>123</v>
      </c>
      <c r="C88" s="2">
        <v>3</v>
      </c>
      <c r="D88" s="12">
        <v>52</v>
      </c>
      <c r="E88" s="12">
        <v>11</v>
      </c>
      <c r="F88" s="63">
        <v>0.09</v>
      </c>
      <c r="G88" s="63">
        <v>0.65</v>
      </c>
      <c r="H88" s="63">
        <v>0.22</v>
      </c>
      <c r="I88" s="63">
        <v>0.04</v>
      </c>
      <c r="J88" s="63">
        <v>0.52</v>
      </c>
      <c r="K88" s="63">
        <v>0.5</v>
      </c>
      <c r="L88" s="63">
        <v>0.59</v>
      </c>
      <c r="M88" s="63">
        <v>0.33</v>
      </c>
      <c r="N88" s="63">
        <v>0.4</v>
      </c>
      <c r="O88" s="63">
        <v>0.52</v>
      </c>
      <c r="P88" s="12">
        <v>50</v>
      </c>
      <c r="Q88" s="12">
        <v>10</v>
      </c>
      <c r="R88" s="61">
        <v>0.17</v>
      </c>
      <c r="S88" s="61">
        <v>0.46</v>
      </c>
      <c r="T88" s="61">
        <v>0.38</v>
      </c>
      <c r="U88" s="61">
        <v>0</v>
      </c>
      <c r="V88" s="61">
        <v>0.43</v>
      </c>
      <c r="W88" s="61">
        <v>0.53</v>
      </c>
      <c r="X88" s="61">
        <v>0.6</v>
      </c>
      <c r="Y88" s="61">
        <v>0.49</v>
      </c>
      <c r="Z88" s="61">
        <v>0.41</v>
      </c>
      <c r="AA88" s="61">
        <v>0.54</v>
      </c>
      <c r="AB88" s="12">
        <v>51</v>
      </c>
      <c r="AC88" s="12">
        <v>12</v>
      </c>
      <c r="AD88" s="63">
        <v>0.17</v>
      </c>
      <c r="AE88" s="63">
        <v>0.44</v>
      </c>
      <c r="AF88" s="63">
        <v>0.39</v>
      </c>
      <c r="AG88" s="63">
        <v>0</v>
      </c>
      <c r="AH88" s="63">
        <v>0.43</v>
      </c>
      <c r="AI88" s="63">
        <v>0.43</v>
      </c>
      <c r="AJ88" s="63">
        <v>0.38</v>
      </c>
      <c r="AK88" s="63">
        <v>0.47</v>
      </c>
      <c r="AL88" s="63">
        <v>0.61</v>
      </c>
      <c r="AM88" s="63">
        <v>0.45</v>
      </c>
      <c r="AN88" s="12">
        <v>47</v>
      </c>
      <c r="AO88" s="12">
        <v>10</v>
      </c>
      <c r="AP88" s="63">
        <v>0.33</v>
      </c>
      <c r="AQ88" s="63">
        <v>0.39</v>
      </c>
      <c r="AR88" s="63">
        <v>0.28000000000000003</v>
      </c>
      <c r="AS88" s="63">
        <v>0</v>
      </c>
      <c r="AT88" s="63">
        <v>0.6</v>
      </c>
      <c r="AU88" s="63">
        <v>0.47</v>
      </c>
      <c r="AV88" s="63">
        <v>0.49</v>
      </c>
      <c r="AW88" s="63">
        <v>0.55000000000000004</v>
      </c>
      <c r="AX88" s="63">
        <v>0.39</v>
      </c>
      <c r="AY88" s="63">
        <v>0.5</v>
      </c>
      <c r="AZ88" s="35">
        <v>56</v>
      </c>
      <c r="BA88" s="35">
        <v>14</v>
      </c>
      <c r="BB88" s="40">
        <v>0.1</v>
      </c>
      <c r="BC88" s="40">
        <v>0.45</v>
      </c>
      <c r="BD88" s="40">
        <v>0.35</v>
      </c>
      <c r="BE88" s="40">
        <v>0.1</v>
      </c>
      <c r="BF88" s="40">
        <v>0.33</v>
      </c>
      <c r="BG88" s="40">
        <v>0.37</v>
      </c>
      <c r="BH88" s="40">
        <v>0.37</v>
      </c>
      <c r="BI88" s="40">
        <v>0.45</v>
      </c>
      <c r="BJ88" s="40">
        <v>0.31</v>
      </c>
      <c r="BK88" s="40">
        <v>0.38</v>
      </c>
      <c r="BL88" s="246">
        <v>47</v>
      </c>
      <c r="BM88" s="246" t="s">
        <v>758</v>
      </c>
      <c r="BN88" s="246">
        <v>7</v>
      </c>
      <c r="BO88" s="246" t="s">
        <v>760</v>
      </c>
      <c r="BP88" s="263">
        <v>0.22</v>
      </c>
      <c r="BQ88" s="263">
        <v>0.63</v>
      </c>
      <c r="BR88" s="263">
        <v>0.16</v>
      </c>
      <c r="BS88" s="263">
        <v>0</v>
      </c>
      <c r="BT88" s="263">
        <v>0.4</v>
      </c>
      <c r="BU88" s="263">
        <v>0.52</v>
      </c>
      <c r="BV88" s="263">
        <v>0.57999999999999996</v>
      </c>
      <c r="BW88" s="263">
        <v>0.44</v>
      </c>
      <c r="BX88" s="263">
        <v>0.5</v>
      </c>
      <c r="BY88" s="263">
        <v>0.6</v>
      </c>
      <c r="BZ88" s="309">
        <v>49</v>
      </c>
      <c r="CA88" s="309" t="s">
        <v>758</v>
      </c>
      <c r="CB88" s="309">
        <v>11</v>
      </c>
      <c r="CC88" s="309" t="s">
        <v>758</v>
      </c>
      <c r="CD88" s="327">
        <v>0.25</v>
      </c>
      <c r="CE88" s="327">
        <v>0.56000000000000005</v>
      </c>
      <c r="CF88" s="327">
        <v>0.19</v>
      </c>
      <c r="CG88" s="327">
        <v>0</v>
      </c>
      <c r="CH88" s="327">
        <v>0.5</v>
      </c>
      <c r="CI88" s="327">
        <v>0.27</v>
      </c>
      <c r="CJ88" s="327">
        <v>0.57999999999999996</v>
      </c>
      <c r="CK88" s="327">
        <v>0.62</v>
      </c>
      <c r="CL88" s="327">
        <v>0.45</v>
      </c>
      <c r="CM88" s="327">
        <v>0.65</v>
      </c>
      <c r="CN88" s="424">
        <v>51</v>
      </c>
      <c r="CO88" s="424" t="s">
        <v>758</v>
      </c>
      <c r="CP88" s="424">
        <v>11</v>
      </c>
      <c r="CQ88" s="424" t="s">
        <v>758</v>
      </c>
      <c r="CR88" s="428">
        <v>0.15</v>
      </c>
      <c r="CS88" s="428">
        <v>0.38</v>
      </c>
      <c r="CT88" s="428">
        <v>0.46</v>
      </c>
      <c r="CU88" s="428">
        <v>0</v>
      </c>
      <c r="CV88" s="428">
        <v>0.39</v>
      </c>
      <c r="CW88" s="428">
        <v>0.46</v>
      </c>
      <c r="CX88" s="428">
        <v>0.59</v>
      </c>
      <c r="CY88" s="428">
        <v>0.5</v>
      </c>
      <c r="CZ88" s="523">
        <v>0.63</v>
      </c>
      <c r="DA88" s="523">
        <v>0.63</v>
      </c>
      <c r="DB88" s="524">
        <v>46</v>
      </c>
      <c r="DC88" s="524" t="s">
        <v>758</v>
      </c>
      <c r="DD88" s="524">
        <v>11</v>
      </c>
      <c r="DE88" s="524" t="s">
        <v>758</v>
      </c>
      <c r="DF88" s="525">
        <v>0.38</v>
      </c>
      <c r="DG88" s="525">
        <v>0.38</v>
      </c>
      <c r="DH88" s="525">
        <v>0.24</v>
      </c>
      <c r="DI88" s="525">
        <v>0</v>
      </c>
      <c r="DJ88" s="525">
        <v>0.6</v>
      </c>
      <c r="DK88" s="525">
        <v>0.44</v>
      </c>
      <c r="DL88" s="525">
        <v>0.53</v>
      </c>
      <c r="DM88" s="525">
        <v>0.75</v>
      </c>
      <c r="DN88" s="525">
        <v>0.61</v>
      </c>
      <c r="DO88" s="525">
        <v>0.44</v>
      </c>
      <c r="DP88" s="902">
        <v>53</v>
      </c>
      <c r="DQ88" s="902" t="s">
        <v>758</v>
      </c>
      <c r="DR88" s="902">
        <v>10</v>
      </c>
      <c r="DS88" s="902" t="s">
        <v>758</v>
      </c>
      <c r="DT88" s="949">
        <v>0.08</v>
      </c>
      <c r="DU88" s="949">
        <v>0.46</v>
      </c>
      <c r="DV88" s="949">
        <v>0.38</v>
      </c>
      <c r="DW88" s="949">
        <v>0.08</v>
      </c>
      <c r="DX88" s="949">
        <v>0.4</v>
      </c>
      <c r="DY88" s="949">
        <v>0.33</v>
      </c>
      <c r="DZ88" s="949">
        <v>0.73</v>
      </c>
      <c r="EA88" s="949">
        <v>0.42</v>
      </c>
      <c r="EB88" s="949">
        <v>0.4</v>
      </c>
      <c r="EC88" s="949">
        <v>0.36</v>
      </c>
      <c r="ED88" s="922">
        <v>325754002782</v>
      </c>
      <c r="EE88" s="803" t="s">
        <v>101</v>
      </c>
    </row>
    <row r="89" spans="1:135" ht="24.95" customHeight="1" x14ac:dyDescent="0.2">
      <c r="A89" s="803" t="s">
        <v>64</v>
      </c>
      <c r="B89" s="1" t="s">
        <v>123</v>
      </c>
      <c r="C89" s="2">
        <v>2</v>
      </c>
      <c r="D89" s="12">
        <v>58</v>
      </c>
      <c r="E89" s="12">
        <v>8</v>
      </c>
      <c r="F89" s="63">
        <v>0</v>
      </c>
      <c r="G89" s="63">
        <v>0.39</v>
      </c>
      <c r="H89" s="63">
        <v>0.55000000000000004</v>
      </c>
      <c r="I89" s="63">
        <v>0.06</v>
      </c>
      <c r="J89" s="63">
        <v>0.41</v>
      </c>
      <c r="K89" s="63">
        <v>0.33</v>
      </c>
      <c r="L89" s="63">
        <v>0.45</v>
      </c>
      <c r="M89" s="63">
        <v>0.27</v>
      </c>
      <c r="N89" s="63">
        <v>0.36</v>
      </c>
      <c r="O89" s="63">
        <v>0.41</v>
      </c>
      <c r="P89" s="12">
        <v>56</v>
      </c>
      <c r="Q89" s="12">
        <v>8</v>
      </c>
      <c r="R89" s="61">
        <v>0.04</v>
      </c>
      <c r="S89" s="61">
        <v>0.47</v>
      </c>
      <c r="T89" s="61">
        <v>0.47</v>
      </c>
      <c r="U89" s="61">
        <v>0.03</v>
      </c>
      <c r="V89" s="61">
        <v>0.33</v>
      </c>
      <c r="W89" s="61">
        <v>0.39</v>
      </c>
      <c r="X89" s="61">
        <v>0.49</v>
      </c>
      <c r="Y89" s="61">
        <v>0.35</v>
      </c>
      <c r="Z89" s="61">
        <v>0.36</v>
      </c>
      <c r="AA89" s="61">
        <v>0.39</v>
      </c>
      <c r="AB89" s="12">
        <v>58</v>
      </c>
      <c r="AC89" s="12">
        <v>8</v>
      </c>
      <c r="AD89" s="63">
        <v>0.04</v>
      </c>
      <c r="AE89" s="63">
        <v>0.31</v>
      </c>
      <c r="AF89" s="63">
        <v>0.59</v>
      </c>
      <c r="AG89" s="63">
        <v>0.06</v>
      </c>
      <c r="AH89" s="63">
        <v>0.27</v>
      </c>
      <c r="AI89" s="63">
        <v>0.26</v>
      </c>
      <c r="AJ89" s="63">
        <v>0.28999999999999998</v>
      </c>
      <c r="AK89" s="63">
        <v>0.38</v>
      </c>
      <c r="AL89" s="63">
        <v>0.36</v>
      </c>
      <c r="AM89" s="63">
        <v>0.39</v>
      </c>
      <c r="AN89" s="12">
        <v>58</v>
      </c>
      <c r="AO89" s="12">
        <v>7</v>
      </c>
      <c r="AP89" s="63">
        <v>0</v>
      </c>
      <c r="AQ89" s="63">
        <v>0.35</v>
      </c>
      <c r="AR89" s="63">
        <v>0.63</v>
      </c>
      <c r="AS89" s="63">
        <v>0.03</v>
      </c>
      <c r="AT89" s="63">
        <v>0.33</v>
      </c>
      <c r="AU89" s="63">
        <v>0.28000000000000003</v>
      </c>
      <c r="AV89" s="63">
        <v>0.28999999999999998</v>
      </c>
      <c r="AW89" s="63">
        <v>0.33</v>
      </c>
      <c r="AX89" s="63">
        <v>0.27</v>
      </c>
      <c r="AY89" s="63">
        <v>0.3</v>
      </c>
      <c r="AZ89" s="35">
        <v>60</v>
      </c>
      <c r="BA89" s="35">
        <v>9</v>
      </c>
      <c r="BB89" s="40">
        <v>0.02</v>
      </c>
      <c r="BC89" s="40">
        <v>0.31</v>
      </c>
      <c r="BD89" s="40">
        <v>0.52</v>
      </c>
      <c r="BE89" s="40">
        <v>0.14000000000000001</v>
      </c>
      <c r="BF89" s="40">
        <v>0.28999999999999998</v>
      </c>
      <c r="BG89" s="40">
        <v>0.31</v>
      </c>
      <c r="BH89" s="40">
        <v>0.28999999999999998</v>
      </c>
      <c r="BI89" s="40">
        <v>0.39</v>
      </c>
      <c r="BJ89" s="40">
        <v>0.27</v>
      </c>
      <c r="BK89" s="40">
        <v>0.22</v>
      </c>
      <c r="BL89" s="246">
        <v>57</v>
      </c>
      <c r="BM89" s="246" t="s">
        <v>759</v>
      </c>
      <c r="BN89" s="246">
        <v>9</v>
      </c>
      <c r="BO89" s="246" t="s">
        <v>758</v>
      </c>
      <c r="BP89" s="263">
        <v>0.05</v>
      </c>
      <c r="BQ89" s="263">
        <v>0.32</v>
      </c>
      <c r="BR89" s="263">
        <v>0.55000000000000004</v>
      </c>
      <c r="BS89" s="263">
        <v>0.08</v>
      </c>
      <c r="BT89" s="263">
        <v>0.28999999999999998</v>
      </c>
      <c r="BU89" s="263">
        <v>0.33</v>
      </c>
      <c r="BV89" s="263">
        <v>0.33</v>
      </c>
      <c r="BW89" s="263">
        <v>0.32</v>
      </c>
      <c r="BX89" s="263">
        <v>0.35</v>
      </c>
      <c r="BY89" s="263">
        <v>0.38</v>
      </c>
      <c r="BZ89" s="309">
        <v>61</v>
      </c>
      <c r="CA89" s="309" t="s">
        <v>759</v>
      </c>
      <c r="CB89" s="309">
        <v>9</v>
      </c>
      <c r="CC89" s="309" t="s">
        <v>758</v>
      </c>
      <c r="CD89" s="327">
        <v>0.04</v>
      </c>
      <c r="CE89" s="327">
        <v>0.26</v>
      </c>
      <c r="CF89" s="327">
        <v>0.56999999999999995</v>
      </c>
      <c r="CG89" s="327">
        <v>0.13</v>
      </c>
      <c r="CH89" s="327">
        <v>0.44</v>
      </c>
      <c r="CI89" s="327">
        <v>0.19</v>
      </c>
      <c r="CJ89" s="327">
        <v>0.38</v>
      </c>
      <c r="CK89" s="327">
        <v>0.39</v>
      </c>
      <c r="CL89" s="327">
        <v>0.47</v>
      </c>
      <c r="CM89" s="327">
        <v>0.49</v>
      </c>
      <c r="CN89" s="424">
        <v>63</v>
      </c>
      <c r="CO89" s="424" t="s">
        <v>759</v>
      </c>
      <c r="CP89" s="424">
        <v>9</v>
      </c>
      <c r="CQ89" s="424" t="s">
        <v>758</v>
      </c>
      <c r="CR89" s="428">
        <v>0</v>
      </c>
      <c r="CS89" s="428">
        <v>0.24</v>
      </c>
      <c r="CT89" s="428">
        <v>0.59</v>
      </c>
      <c r="CU89" s="428">
        <v>0.18</v>
      </c>
      <c r="CV89" s="428">
        <v>0.24</v>
      </c>
      <c r="CW89" s="428">
        <v>0.27</v>
      </c>
      <c r="CX89" s="428">
        <v>0.34</v>
      </c>
      <c r="CY89" s="428">
        <v>0.67</v>
      </c>
      <c r="CZ89" s="523">
        <v>0.39</v>
      </c>
      <c r="DA89" s="523">
        <v>0.18</v>
      </c>
      <c r="DB89" s="524">
        <v>61</v>
      </c>
      <c r="DC89" s="524" t="s">
        <v>759</v>
      </c>
      <c r="DD89" s="524">
        <v>10</v>
      </c>
      <c r="DE89" s="524" t="s">
        <v>758</v>
      </c>
      <c r="DF89" s="525">
        <v>0</v>
      </c>
      <c r="DG89" s="525">
        <v>0.32</v>
      </c>
      <c r="DH89" s="525">
        <v>0.46</v>
      </c>
      <c r="DI89" s="525">
        <v>0.21</v>
      </c>
      <c r="DJ89" s="525">
        <v>0.26</v>
      </c>
      <c r="DK89" s="525">
        <v>0.22</v>
      </c>
      <c r="DL89" s="525">
        <v>0.27</v>
      </c>
      <c r="DM89" s="525">
        <v>0.41</v>
      </c>
      <c r="DN89" s="525">
        <v>0.3</v>
      </c>
      <c r="DO89" s="525">
        <v>0.14000000000000001</v>
      </c>
      <c r="DP89" s="902">
        <v>58</v>
      </c>
      <c r="DQ89" s="902" t="s">
        <v>759</v>
      </c>
      <c r="DR89" s="902">
        <v>8</v>
      </c>
      <c r="DS89" s="902" t="s">
        <v>758</v>
      </c>
      <c r="DT89" s="949">
        <v>0</v>
      </c>
      <c r="DU89" s="949">
        <v>0.4</v>
      </c>
      <c r="DV89" s="949">
        <v>0.56000000000000005</v>
      </c>
      <c r="DW89" s="949">
        <v>0.04</v>
      </c>
      <c r="DX89" s="949">
        <v>0.4</v>
      </c>
      <c r="DY89" s="949">
        <v>0.32</v>
      </c>
      <c r="DZ89" s="949">
        <v>0.57999999999999996</v>
      </c>
      <c r="EA89" s="949">
        <v>0.31</v>
      </c>
      <c r="EB89" s="949">
        <v>0.45</v>
      </c>
      <c r="EC89" s="949">
        <v>0.24</v>
      </c>
      <c r="ED89" s="922">
        <v>325754000046</v>
      </c>
      <c r="EE89" s="803" t="s">
        <v>64</v>
      </c>
    </row>
    <row r="90" spans="1:135" ht="24.95" customHeight="1" x14ac:dyDescent="0.2">
      <c r="A90" s="803" t="s">
        <v>801</v>
      </c>
      <c r="B90" s="14" t="s">
        <v>123</v>
      </c>
      <c r="C90" s="2">
        <v>6</v>
      </c>
      <c r="D90" s="12"/>
      <c r="E90" s="12"/>
      <c r="F90" s="63"/>
      <c r="G90" s="63"/>
      <c r="H90" s="63"/>
      <c r="I90" s="63"/>
      <c r="J90" s="63"/>
      <c r="K90" s="63"/>
      <c r="L90" s="63"/>
      <c r="M90" s="63"/>
      <c r="N90" s="63"/>
      <c r="O90" s="63"/>
      <c r="P90" s="12"/>
      <c r="Q90" s="12"/>
      <c r="R90" s="61"/>
      <c r="S90" s="61"/>
      <c r="T90" s="61"/>
      <c r="U90" s="61"/>
      <c r="V90" s="61"/>
      <c r="W90" s="61"/>
      <c r="X90" s="61"/>
      <c r="Y90" s="61"/>
      <c r="Z90" s="61"/>
      <c r="AA90" s="61"/>
      <c r="AB90" s="12"/>
      <c r="AC90" s="12"/>
      <c r="AD90" s="63"/>
      <c r="AE90" s="63"/>
      <c r="AF90" s="63"/>
      <c r="AG90" s="63"/>
      <c r="AH90" s="63"/>
      <c r="AI90" s="63"/>
      <c r="AJ90" s="63"/>
      <c r="AK90" s="63"/>
      <c r="AL90" s="63"/>
      <c r="AM90" s="63"/>
      <c r="AN90" s="12"/>
      <c r="AO90" s="12"/>
      <c r="AP90" s="63"/>
      <c r="AQ90" s="63"/>
      <c r="AR90" s="63"/>
      <c r="AS90" s="63"/>
      <c r="AT90" s="63"/>
      <c r="AU90" s="63"/>
      <c r="AV90" s="63"/>
      <c r="AW90" s="63"/>
      <c r="AX90" s="63"/>
      <c r="AY90" s="63"/>
      <c r="AZ90" s="35"/>
      <c r="BA90" s="35"/>
      <c r="BB90" s="40"/>
      <c r="BC90" s="40"/>
      <c r="BD90" s="40"/>
      <c r="BE90" s="40"/>
      <c r="BF90" s="40"/>
      <c r="BG90" s="40"/>
      <c r="BH90" s="40"/>
      <c r="BI90" s="40"/>
      <c r="BJ90" s="40"/>
      <c r="BK90" s="40"/>
      <c r="BL90" s="246"/>
      <c r="BM90" s="246"/>
      <c r="BN90" s="246"/>
      <c r="BO90" s="246"/>
      <c r="BP90" s="263"/>
      <c r="BQ90" s="263"/>
      <c r="BR90" s="263"/>
      <c r="BS90" s="263"/>
      <c r="BT90" s="263"/>
      <c r="BU90" s="263"/>
      <c r="BV90" s="263"/>
      <c r="BW90" s="263"/>
      <c r="BX90" s="263"/>
      <c r="BY90" s="263"/>
      <c r="BZ90" s="309">
        <v>44</v>
      </c>
      <c r="CA90" s="309" t="s">
        <v>758</v>
      </c>
      <c r="CB90" s="309">
        <v>9</v>
      </c>
      <c r="CC90" s="309" t="s">
        <v>758</v>
      </c>
      <c r="CD90" s="327">
        <v>0.53</v>
      </c>
      <c r="CE90" s="327">
        <v>0.35</v>
      </c>
      <c r="CF90" s="327">
        <v>0.12</v>
      </c>
      <c r="CG90" s="327">
        <v>0</v>
      </c>
      <c r="CH90" s="327">
        <v>0.56000000000000005</v>
      </c>
      <c r="CI90" s="327">
        <v>0.52</v>
      </c>
      <c r="CJ90" s="327">
        <v>0.67</v>
      </c>
      <c r="CK90" s="327">
        <v>0.65</v>
      </c>
      <c r="CL90" s="327">
        <v>0.56999999999999995</v>
      </c>
      <c r="CM90" s="327">
        <v>0.53</v>
      </c>
      <c r="CN90" s="424">
        <v>48</v>
      </c>
      <c r="CO90" s="424" t="s">
        <v>758</v>
      </c>
      <c r="CP90" s="424">
        <v>0</v>
      </c>
      <c r="CQ90" s="424" t="s">
        <v>760</v>
      </c>
      <c r="CR90" s="428">
        <v>0</v>
      </c>
      <c r="CS90" s="428">
        <v>1</v>
      </c>
      <c r="CT90" s="428">
        <v>0</v>
      </c>
      <c r="CU90" s="428">
        <v>0</v>
      </c>
      <c r="CV90" s="428">
        <v>0.33</v>
      </c>
      <c r="CW90" s="428">
        <v>0.8</v>
      </c>
      <c r="CX90" s="428">
        <v>0.17</v>
      </c>
      <c r="CY90" s="428">
        <v>1</v>
      </c>
      <c r="CZ90" s="523">
        <v>1</v>
      </c>
      <c r="DA90" s="523">
        <v>1</v>
      </c>
      <c r="DB90" s="613"/>
      <c r="DC90" s="613"/>
      <c r="DD90" s="613"/>
      <c r="DE90" s="613"/>
      <c r="DF90" s="658"/>
      <c r="DG90" s="658"/>
      <c r="DH90" s="658"/>
      <c r="DI90" s="658"/>
      <c r="DJ90" s="658"/>
      <c r="DK90" s="658"/>
      <c r="DL90" s="658"/>
      <c r="DM90" s="658"/>
      <c r="DN90" s="658"/>
      <c r="DO90" s="658"/>
      <c r="DT90" s="949"/>
      <c r="DU90" s="949"/>
      <c r="DV90" s="949"/>
      <c r="DW90" s="949"/>
      <c r="DX90" s="949"/>
      <c r="DY90" s="949"/>
      <c r="DZ90" s="949"/>
      <c r="EA90" s="949"/>
      <c r="EB90" s="949"/>
      <c r="EC90" s="949"/>
      <c r="ED90" s="922"/>
      <c r="EE90" s="803" t="s">
        <v>801</v>
      </c>
    </row>
    <row r="91" spans="1:135" ht="24.95" customHeight="1" x14ac:dyDescent="0.2">
      <c r="A91" s="808" t="s">
        <v>162</v>
      </c>
      <c r="B91" s="1" t="s">
        <v>123</v>
      </c>
      <c r="C91" s="309">
        <v>3</v>
      </c>
      <c r="D91" s="328"/>
      <c r="E91" s="328"/>
      <c r="F91" s="328"/>
      <c r="G91" s="328"/>
      <c r="H91" s="328"/>
      <c r="I91" s="328"/>
      <c r="J91" s="328"/>
      <c r="K91" s="328"/>
      <c r="L91" s="328"/>
      <c r="M91" s="328"/>
      <c r="N91" s="328"/>
      <c r="O91" s="328"/>
      <c r="P91" s="328" t="s">
        <v>126</v>
      </c>
      <c r="Q91" s="328" t="s">
        <v>126</v>
      </c>
      <c r="R91" s="330"/>
      <c r="S91" s="330"/>
      <c r="T91" s="330"/>
      <c r="U91" s="330"/>
      <c r="V91" s="330"/>
      <c r="W91" s="330"/>
      <c r="X91" s="330"/>
      <c r="Y91" s="330"/>
      <c r="Z91" s="330"/>
      <c r="AA91" s="330"/>
      <c r="AB91" s="328" t="s">
        <v>126</v>
      </c>
      <c r="AC91" s="328" t="s">
        <v>126</v>
      </c>
      <c r="AD91" s="309"/>
      <c r="AE91" s="309"/>
      <c r="AF91" s="309"/>
      <c r="AG91" s="309"/>
      <c r="AH91" s="309"/>
      <c r="AI91" s="309"/>
      <c r="AJ91" s="309"/>
      <c r="AK91" s="309"/>
      <c r="AL91" s="309"/>
      <c r="AM91" s="309"/>
      <c r="AN91" s="328" t="s">
        <v>126</v>
      </c>
      <c r="AO91" s="328" t="s">
        <v>126</v>
      </c>
      <c r="AP91" s="309"/>
      <c r="AQ91" s="309"/>
      <c r="AR91" s="309"/>
      <c r="AS91" s="309"/>
      <c r="AT91" s="309"/>
      <c r="AU91" s="309"/>
      <c r="AV91" s="309"/>
      <c r="AW91" s="309"/>
      <c r="AX91" s="309"/>
      <c r="AY91" s="309"/>
      <c r="AZ91" s="311">
        <v>55</v>
      </c>
      <c r="BA91" s="311">
        <v>9</v>
      </c>
      <c r="BB91" s="331">
        <v>0</v>
      </c>
      <c r="BC91" s="331">
        <v>0.63</v>
      </c>
      <c r="BD91" s="331">
        <v>0.25</v>
      </c>
      <c r="BE91" s="331">
        <v>0.13</v>
      </c>
      <c r="BF91" s="331">
        <v>0.56999999999999995</v>
      </c>
      <c r="BG91" s="331">
        <v>0.31</v>
      </c>
      <c r="BH91" s="331">
        <v>0.38</v>
      </c>
      <c r="BI91" s="331">
        <v>0.46</v>
      </c>
      <c r="BJ91" s="331">
        <v>0.37</v>
      </c>
      <c r="BK91" s="331">
        <v>0.24</v>
      </c>
      <c r="BL91" s="312">
        <v>54</v>
      </c>
      <c r="BM91" s="312" t="s">
        <v>758</v>
      </c>
      <c r="BN91" s="312">
        <v>9</v>
      </c>
      <c r="BO91" s="312" t="s">
        <v>758</v>
      </c>
      <c r="BP91" s="332">
        <v>0</v>
      </c>
      <c r="BQ91" s="332">
        <v>0.56000000000000005</v>
      </c>
      <c r="BR91" s="332">
        <v>0.44</v>
      </c>
      <c r="BS91" s="332">
        <v>0</v>
      </c>
      <c r="BT91" s="332">
        <v>0.43</v>
      </c>
      <c r="BU91" s="332">
        <v>0.31</v>
      </c>
      <c r="BV91" s="332">
        <v>0.54</v>
      </c>
      <c r="BW91" s="332">
        <v>0.35</v>
      </c>
      <c r="BX91" s="332">
        <v>0.31</v>
      </c>
      <c r="BY91" s="332">
        <v>0.47</v>
      </c>
      <c r="BZ91" s="309">
        <v>59</v>
      </c>
      <c r="CA91" s="309" t="s">
        <v>759</v>
      </c>
      <c r="CB91" s="309">
        <v>8</v>
      </c>
      <c r="CC91" s="309" t="s">
        <v>758</v>
      </c>
      <c r="CD91" s="327">
        <v>0</v>
      </c>
      <c r="CE91" s="327">
        <v>0.28000000000000003</v>
      </c>
      <c r="CF91" s="327">
        <v>0.72</v>
      </c>
      <c r="CG91" s="327">
        <v>0</v>
      </c>
      <c r="CH91" s="327">
        <v>0.24</v>
      </c>
      <c r="CI91" s="327">
        <v>0.23</v>
      </c>
      <c r="CJ91" s="327">
        <v>0.46</v>
      </c>
      <c r="CK91" s="327">
        <v>0.42</v>
      </c>
      <c r="CL91" s="327">
        <v>0.23</v>
      </c>
      <c r="CM91" s="327">
        <v>0.37</v>
      </c>
      <c r="CN91" s="424">
        <v>57</v>
      </c>
      <c r="CO91" s="424" t="s">
        <v>758</v>
      </c>
      <c r="CP91" s="424">
        <v>11</v>
      </c>
      <c r="CQ91" s="424" t="s">
        <v>758</v>
      </c>
      <c r="CR91" s="428">
        <v>0.1</v>
      </c>
      <c r="CS91" s="428">
        <v>0.2</v>
      </c>
      <c r="CT91" s="428">
        <v>0.6</v>
      </c>
      <c r="CU91" s="428">
        <v>0.1</v>
      </c>
      <c r="CV91" s="428">
        <v>0.18</v>
      </c>
      <c r="CW91" s="428">
        <v>0.33</v>
      </c>
      <c r="CX91" s="428">
        <v>0.42</v>
      </c>
      <c r="CY91" s="428">
        <v>0</v>
      </c>
      <c r="CZ91" s="523">
        <v>0.6</v>
      </c>
      <c r="DA91" s="523">
        <v>0.46</v>
      </c>
      <c r="DB91" s="612">
        <v>56</v>
      </c>
      <c r="DC91" s="612" t="s">
        <v>758</v>
      </c>
      <c r="DD91" s="612">
        <v>7</v>
      </c>
      <c r="DE91" s="612" t="s">
        <v>760</v>
      </c>
      <c r="DF91" s="663">
        <v>0</v>
      </c>
      <c r="DG91" s="663">
        <v>0.44</v>
      </c>
      <c r="DH91" s="663">
        <v>0.56000000000000005</v>
      </c>
      <c r="DI91" s="663">
        <v>0</v>
      </c>
      <c r="DJ91" s="663">
        <v>0.43</v>
      </c>
      <c r="DK91" s="663">
        <v>0.19</v>
      </c>
      <c r="DL91" s="663">
        <v>0.4</v>
      </c>
      <c r="DM91" s="663">
        <v>0.52</v>
      </c>
      <c r="DN91" s="663">
        <v>0.45</v>
      </c>
      <c r="DO91" s="663">
        <v>0.5</v>
      </c>
      <c r="DP91" s="902">
        <v>55</v>
      </c>
      <c r="DQ91" s="902" t="s">
        <v>758</v>
      </c>
      <c r="DR91" s="902">
        <v>8</v>
      </c>
      <c r="DS91" s="902" t="s">
        <v>758</v>
      </c>
      <c r="DT91" s="949">
        <v>0.04</v>
      </c>
      <c r="DU91" s="949">
        <v>0.5</v>
      </c>
      <c r="DV91" s="949">
        <v>0.46</v>
      </c>
      <c r="DW91" s="949">
        <v>0</v>
      </c>
      <c r="DX91" s="949">
        <v>0.37</v>
      </c>
      <c r="DY91" s="949">
        <v>0.25</v>
      </c>
      <c r="DZ91" s="949">
        <v>0.69</v>
      </c>
      <c r="EA91" s="949">
        <v>0.38</v>
      </c>
      <c r="EB91" s="949">
        <v>0.54</v>
      </c>
      <c r="EC91" s="949">
        <v>0.33</v>
      </c>
      <c r="ED91" s="922">
        <v>325754800018</v>
      </c>
      <c r="EE91" s="808" t="s">
        <v>162</v>
      </c>
    </row>
    <row r="92" spans="1:135" ht="24.95" customHeight="1" x14ac:dyDescent="0.2">
      <c r="A92" s="803" t="s">
        <v>134</v>
      </c>
      <c r="B92" s="1" t="s">
        <v>123</v>
      </c>
      <c r="C92" s="2">
        <v>5</v>
      </c>
      <c r="D92" s="12"/>
      <c r="E92" s="12"/>
      <c r="F92" s="12"/>
      <c r="G92" s="12"/>
      <c r="H92" s="12"/>
      <c r="I92" s="12"/>
      <c r="J92" s="12"/>
      <c r="K92" s="12"/>
      <c r="L92" s="12"/>
      <c r="M92" s="12"/>
      <c r="N92" s="12"/>
      <c r="O92" s="12"/>
      <c r="P92" s="12" t="s">
        <v>126</v>
      </c>
      <c r="Q92" s="12" t="s">
        <v>126</v>
      </c>
      <c r="R92" s="61"/>
      <c r="S92" s="61"/>
      <c r="T92" s="61"/>
      <c r="U92" s="61"/>
      <c r="V92" s="61"/>
      <c r="W92" s="61"/>
      <c r="X92" s="61"/>
      <c r="Y92" s="61"/>
      <c r="Z92" s="61"/>
      <c r="AA92" s="61"/>
      <c r="AB92" s="12" t="s">
        <v>126</v>
      </c>
      <c r="AC92" s="12" t="s">
        <v>126</v>
      </c>
      <c r="AD92" s="2"/>
      <c r="AE92" s="2"/>
      <c r="AF92" s="2"/>
      <c r="AG92" s="2"/>
      <c r="AH92" s="2"/>
      <c r="AI92" s="2"/>
      <c r="AJ92" s="2"/>
      <c r="AK92" s="2"/>
      <c r="AL92" s="2"/>
      <c r="AM92" s="2"/>
      <c r="AN92" s="12">
        <v>45</v>
      </c>
      <c r="AO92" s="12">
        <v>9</v>
      </c>
      <c r="AP92" s="63">
        <v>0.25</v>
      </c>
      <c r="AQ92" s="63">
        <v>0.67</v>
      </c>
      <c r="AR92" s="63">
        <v>0.08</v>
      </c>
      <c r="AS92" s="63">
        <v>0</v>
      </c>
      <c r="AT92" s="63">
        <v>0.51</v>
      </c>
      <c r="AU92" s="63">
        <v>0.46</v>
      </c>
      <c r="AV92" s="63">
        <v>0.54</v>
      </c>
      <c r="AW92" s="63">
        <v>0.56000000000000005</v>
      </c>
      <c r="AX92" s="63">
        <v>0.56000000000000005</v>
      </c>
      <c r="AY92" s="63">
        <v>0.53</v>
      </c>
      <c r="AZ92" s="35"/>
      <c r="BA92" s="35"/>
      <c r="BB92" s="40"/>
      <c r="BC92" s="40"/>
      <c r="BD92" s="40"/>
      <c r="BE92" s="40"/>
      <c r="BF92" s="40"/>
      <c r="BG92" s="40"/>
      <c r="BH92" s="40"/>
      <c r="BI92" s="40"/>
      <c r="BJ92" s="40"/>
      <c r="BK92" s="40"/>
      <c r="BL92" s="646"/>
      <c r="BM92" s="646"/>
      <c r="BN92" s="646"/>
      <c r="BO92" s="646"/>
      <c r="BP92" s="646"/>
      <c r="BQ92" s="646"/>
      <c r="BR92" s="646"/>
      <c r="BS92" s="646"/>
      <c r="BT92" s="646"/>
      <c r="BU92" s="646"/>
      <c r="BV92" s="646"/>
      <c r="BW92" s="646"/>
      <c r="BX92" s="646"/>
      <c r="BY92" s="646"/>
      <c r="BZ92" s="649"/>
      <c r="CA92" s="649"/>
      <c r="CB92" s="649"/>
      <c r="CC92" s="649"/>
      <c r="CD92" s="649"/>
      <c r="CE92" s="649"/>
      <c r="CF92" s="649"/>
      <c r="CG92" s="649"/>
      <c r="CH92" s="649"/>
      <c r="CI92" s="649"/>
      <c r="CJ92" s="649"/>
      <c r="CK92" s="649"/>
      <c r="CL92" s="649"/>
      <c r="CM92" s="649"/>
      <c r="CN92" s="651"/>
      <c r="CO92" s="651"/>
      <c r="CP92" s="651"/>
      <c r="CQ92" s="651"/>
      <c r="CR92" s="651"/>
      <c r="CS92" s="651"/>
      <c r="CT92" s="651"/>
      <c r="CU92" s="651"/>
      <c r="CV92" s="651"/>
      <c r="CW92" s="651"/>
      <c r="CX92" s="651"/>
      <c r="CY92" s="651"/>
      <c r="CZ92" s="660"/>
      <c r="DA92" s="660"/>
      <c r="DB92" s="662"/>
      <c r="DC92" s="662"/>
      <c r="DD92" s="662"/>
      <c r="DE92" s="662"/>
      <c r="DF92" s="662"/>
      <c r="DG92" s="662"/>
      <c r="DH92" s="662"/>
      <c r="DI92" s="662"/>
      <c r="DJ92" s="662"/>
      <c r="DK92" s="662"/>
      <c r="DL92" s="662"/>
      <c r="DM92" s="662"/>
      <c r="DN92" s="662"/>
      <c r="DO92" s="662"/>
      <c r="DT92" s="949"/>
      <c r="DU92" s="949"/>
      <c r="DV92" s="949"/>
      <c r="DW92" s="949"/>
      <c r="DX92" s="949"/>
      <c r="DY92" s="949"/>
      <c r="DZ92" s="949"/>
      <c r="EA92" s="949"/>
      <c r="EB92" s="949"/>
      <c r="EC92" s="949"/>
      <c r="ED92" s="922"/>
      <c r="EE92" s="803" t="s">
        <v>134</v>
      </c>
    </row>
    <row r="93" spans="1:135" ht="24.95" customHeight="1" x14ac:dyDescent="0.2">
      <c r="A93" s="809" t="s">
        <v>86</v>
      </c>
      <c r="B93" s="1" t="s">
        <v>123</v>
      </c>
      <c r="C93" s="2">
        <v>2</v>
      </c>
      <c r="D93" s="12">
        <v>55</v>
      </c>
      <c r="E93" s="12">
        <v>8</v>
      </c>
      <c r="F93" s="63">
        <v>0.1</v>
      </c>
      <c r="G93" s="63">
        <v>0.28000000000000003</v>
      </c>
      <c r="H93" s="63">
        <v>0.59</v>
      </c>
      <c r="I93" s="63">
        <v>0.03</v>
      </c>
      <c r="J93" s="63">
        <v>0.46</v>
      </c>
      <c r="K93" s="63">
        <v>0.48</v>
      </c>
      <c r="L93" s="63">
        <v>0.56000000000000005</v>
      </c>
      <c r="M93" s="63">
        <v>0.36</v>
      </c>
      <c r="N93" s="63">
        <v>0.36</v>
      </c>
      <c r="O93" s="63">
        <v>0.39</v>
      </c>
      <c r="P93" s="12">
        <v>57</v>
      </c>
      <c r="Q93" s="12">
        <v>9</v>
      </c>
      <c r="R93" s="61">
        <v>0</v>
      </c>
      <c r="S93" s="61">
        <v>0.43</v>
      </c>
      <c r="T93" s="61">
        <v>0.5</v>
      </c>
      <c r="U93" s="61">
        <v>7.0000000000000007E-2</v>
      </c>
      <c r="V93" s="61">
        <v>0.34</v>
      </c>
      <c r="W93" s="61">
        <v>0.4</v>
      </c>
      <c r="X93" s="61">
        <v>0.49</v>
      </c>
      <c r="Y93" s="61">
        <v>0.37</v>
      </c>
      <c r="Z93" s="61">
        <v>0.33</v>
      </c>
      <c r="AA93" s="61">
        <v>0.31</v>
      </c>
      <c r="AB93" s="12">
        <v>52</v>
      </c>
      <c r="AC93" s="12">
        <v>10</v>
      </c>
      <c r="AD93" s="63">
        <v>0.15</v>
      </c>
      <c r="AE93" s="63">
        <v>0.47</v>
      </c>
      <c r="AF93" s="63">
        <v>0.35</v>
      </c>
      <c r="AG93" s="63">
        <v>0.03</v>
      </c>
      <c r="AH93" s="63">
        <v>0.37</v>
      </c>
      <c r="AI93" s="63">
        <v>0.38</v>
      </c>
      <c r="AJ93" s="63">
        <v>0.39</v>
      </c>
      <c r="AK93" s="63">
        <v>0.48</v>
      </c>
      <c r="AL93" s="63">
        <v>0.54</v>
      </c>
      <c r="AM93" s="63">
        <v>0.46</v>
      </c>
      <c r="AN93" s="12">
        <v>55</v>
      </c>
      <c r="AO93" s="12">
        <v>10</v>
      </c>
      <c r="AP93" s="63">
        <v>7.0000000000000007E-2</v>
      </c>
      <c r="AQ93" s="63">
        <v>0.48</v>
      </c>
      <c r="AR93" s="63">
        <v>0.44</v>
      </c>
      <c r="AS93" s="63">
        <v>0</v>
      </c>
      <c r="AT93" s="63">
        <v>0.45</v>
      </c>
      <c r="AU93" s="63">
        <v>0.33</v>
      </c>
      <c r="AV93" s="63">
        <v>0.37</v>
      </c>
      <c r="AW93" s="63">
        <v>0.38</v>
      </c>
      <c r="AX93" s="63">
        <v>0.34</v>
      </c>
      <c r="AY93" s="63">
        <v>0.34</v>
      </c>
      <c r="AZ93" s="35">
        <v>55</v>
      </c>
      <c r="BA93" s="35">
        <v>9</v>
      </c>
      <c r="BB93" s="40">
        <v>0.03</v>
      </c>
      <c r="BC93" s="40">
        <v>0.46</v>
      </c>
      <c r="BD93" s="40">
        <v>0.49</v>
      </c>
      <c r="BE93" s="40">
        <v>0.03</v>
      </c>
      <c r="BF93" s="40">
        <v>0.38</v>
      </c>
      <c r="BG93" s="40">
        <v>0.42</v>
      </c>
      <c r="BH93" s="40">
        <v>0.38</v>
      </c>
      <c r="BI93" s="40">
        <v>0.5</v>
      </c>
      <c r="BJ93" s="40">
        <v>0.34</v>
      </c>
      <c r="BK93" s="40">
        <v>0.28999999999999998</v>
      </c>
      <c r="BL93" s="647">
        <v>51</v>
      </c>
      <c r="BM93" s="647" t="s">
        <v>758</v>
      </c>
      <c r="BN93" s="647">
        <v>10</v>
      </c>
      <c r="BO93" s="647" t="s">
        <v>758</v>
      </c>
      <c r="BP93" s="648">
        <v>0.17</v>
      </c>
      <c r="BQ93" s="648">
        <v>0.45</v>
      </c>
      <c r="BR93" s="648">
        <v>0.35</v>
      </c>
      <c r="BS93" s="648">
        <v>0.03</v>
      </c>
      <c r="BT93" s="648">
        <v>0.42</v>
      </c>
      <c r="BU93" s="648">
        <v>0.44</v>
      </c>
      <c r="BV93" s="648">
        <v>0.64</v>
      </c>
      <c r="BW93" s="648">
        <v>0.42</v>
      </c>
      <c r="BX93" s="648">
        <v>0.42</v>
      </c>
      <c r="BY93" s="648">
        <v>0.48</v>
      </c>
      <c r="BZ93" s="74">
        <v>51</v>
      </c>
      <c r="CA93" s="74" t="s">
        <v>758</v>
      </c>
      <c r="CB93" s="74">
        <v>10</v>
      </c>
      <c r="CC93" s="74" t="s">
        <v>758</v>
      </c>
      <c r="CD93" s="96">
        <v>0.1</v>
      </c>
      <c r="CE93" s="96">
        <v>0.6</v>
      </c>
      <c r="CF93" s="96">
        <v>0.31</v>
      </c>
      <c r="CG93" s="96">
        <v>0</v>
      </c>
      <c r="CH93" s="96">
        <v>0.38</v>
      </c>
      <c r="CI93" s="96">
        <v>0.32</v>
      </c>
      <c r="CJ93" s="96">
        <v>0.53</v>
      </c>
      <c r="CK93" s="96">
        <v>0.47</v>
      </c>
      <c r="CL93" s="96">
        <v>0.4</v>
      </c>
      <c r="CM93" s="96">
        <v>0.56999999999999995</v>
      </c>
      <c r="CN93" s="652">
        <v>54</v>
      </c>
      <c r="CO93" s="652" t="s">
        <v>758</v>
      </c>
      <c r="CP93" s="652">
        <v>10</v>
      </c>
      <c r="CQ93" s="652" t="s">
        <v>758</v>
      </c>
      <c r="CR93" s="653">
        <v>0.12</v>
      </c>
      <c r="CS93" s="653">
        <v>0.36</v>
      </c>
      <c r="CT93" s="653">
        <v>0.48</v>
      </c>
      <c r="CU93" s="653">
        <v>0.03</v>
      </c>
      <c r="CV93" s="653">
        <v>0.27</v>
      </c>
      <c r="CW93" s="653">
        <v>0.53</v>
      </c>
      <c r="CX93" s="653">
        <v>0.42</v>
      </c>
      <c r="CY93" s="653">
        <v>0.65</v>
      </c>
      <c r="CZ93" s="661">
        <v>0.44</v>
      </c>
      <c r="DA93" s="661">
        <v>0.45</v>
      </c>
      <c r="DB93" s="47">
        <v>52</v>
      </c>
      <c r="DC93" s="47" t="s">
        <v>758</v>
      </c>
      <c r="DD93" s="47">
        <v>9</v>
      </c>
      <c r="DE93" s="47" t="s">
        <v>758</v>
      </c>
      <c r="DF93" s="664">
        <v>7.0000000000000007E-2</v>
      </c>
      <c r="DG93" s="664">
        <v>0.56999999999999995</v>
      </c>
      <c r="DH93" s="664">
        <v>0.33</v>
      </c>
      <c r="DI93" s="664">
        <v>0.03</v>
      </c>
      <c r="DJ93" s="664">
        <v>0.53</v>
      </c>
      <c r="DK93" s="664">
        <v>0.34</v>
      </c>
      <c r="DL93" s="664">
        <v>0.44</v>
      </c>
      <c r="DM93" s="664">
        <v>0.59</v>
      </c>
      <c r="DN93" s="664">
        <v>0.53</v>
      </c>
      <c r="DO93" s="664">
        <v>0.27</v>
      </c>
      <c r="DP93" s="902">
        <v>54</v>
      </c>
      <c r="DQ93" s="902" t="s">
        <v>758</v>
      </c>
      <c r="DR93" s="902">
        <v>8</v>
      </c>
      <c r="DS93" s="902" t="s">
        <v>758</v>
      </c>
      <c r="DT93" s="949">
        <v>0.03</v>
      </c>
      <c r="DU93" s="949">
        <v>0.56999999999999995</v>
      </c>
      <c r="DV93" s="949">
        <v>0.4</v>
      </c>
      <c r="DW93" s="949">
        <v>0</v>
      </c>
      <c r="DX93" s="949">
        <v>0.42</v>
      </c>
      <c r="DY93" s="949">
        <v>0.23</v>
      </c>
      <c r="DZ93" s="949">
        <v>0.81</v>
      </c>
      <c r="EA93" s="949">
        <v>0.45</v>
      </c>
      <c r="EB93" s="949">
        <v>0.53</v>
      </c>
      <c r="EC93" s="949">
        <v>0.37</v>
      </c>
      <c r="ED93" s="922">
        <v>325754001450</v>
      </c>
      <c r="EE93" s="809" t="s">
        <v>86</v>
      </c>
    </row>
    <row r="94" spans="1:135" ht="24.95" customHeight="1" x14ac:dyDescent="0.2">
      <c r="A94" s="803" t="s">
        <v>77</v>
      </c>
      <c r="B94" s="1" t="s">
        <v>123</v>
      </c>
      <c r="C94" s="2">
        <v>4</v>
      </c>
      <c r="D94" s="12">
        <v>47</v>
      </c>
      <c r="E94" s="12">
        <v>7</v>
      </c>
      <c r="F94" s="63">
        <v>0.15</v>
      </c>
      <c r="G94" s="63">
        <v>0.77</v>
      </c>
      <c r="H94" s="63">
        <v>0.08</v>
      </c>
      <c r="I94" s="63">
        <v>0</v>
      </c>
      <c r="J94" s="63">
        <v>0.62</v>
      </c>
      <c r="K94" s="63">
        <v>0.5</v>
      </c>
      <c r="L94" s="63">
        <v>0.76</v>
      </c>
      <c r="M94" s="63">
        <v>0.48</v>
      </c>
      <c r="N94" s="63">
        <v>0.45</v>
      </c>
      <c r="O94" s="63">
        <v>0.52</v>
      </c>
      <c r="P94" s="12">
        <v>53</v>
      </c>
      <c r="Q94" s="12">
        <v>10</v>
      </c>
      <c r="R94" s="61">
        <v>0.08</v>
      </c>
      <c r="S94" s="61">
        <v>0.5</v>
      </c>
      <c r="T94" s="61">
        <v>0.42</v>
      </c>
      <c r="U94" s="61">
        <v>0</v>
      </c>
      <c r="V94" s="61">
        <v>0.36</v>
      </c>
      <c r="W94" s="61">
        <v>0.45</v>
      </c>
      <c r="X94" s="61">
        <v>0.52</v>
      </c>
      <c r="Y94" s="61">
        <v>0.44</v>
      </c>
      <c r="Z94" s="61">
        <v>0.39</v>
      </c>
      <c r="AA94" s="61">
        <v>0.48</v>
      </c>
      <c r="AB94" s="12">
        <v>49</v>
      </c>
      <c r="AC94" s="12">
        <v>9</v>
      </c>
      <c r="AD94" s="63">
        <v>0.17</v>
      </c>
      <c r="AE94" s="63">
        <v>0.64</v>
      </c>
      <c r="AF94" s="63">
        <v>0.19</v>
      </c>
      <c r="AG94" s="63">
        <v>0</v>
      </c>
      <c r="AH94" s="63">
        <v>0.45</v>
      </c>
      <c r="AI94" s="63">
        <v>0.41</v>
      </c>
      <c r="AJ94" s="63">
        <v>0.39</v>
      </c>
      <c r="AK94" s="63">
        <v>0.49</v>
      </c>
      <c r="AL94" s="63">
        <v>0.56999999999999995</v>
      </c>
      <c r="AM94" s="63">
        <v>0.56999999999999995</v>
      </c>
      <c r="AN94" s="12">
        <v>47</v>
      </c>
      <c r="AO94" s="12">
        <v>13</v>
      </c>
      <c r="AP94" s="63">
        <v>0.32</v>
      </c>
      <c r="AQ94" s="63">
        <v>0.48</v>
      </c>
      <c r="AR94" s="63">
        <v>0.14000000000000001</v>
      </c>
      <c r="AS94" s="63">
        <v>0.06</v>
      </c>
      <c r="AT94" s="63">
        <v>0.56000000000000005</v>
      </c>
      <c r="AU94" s="63">
        <v>0.49</v>
      </c>
      <c r="AV94" s="63">
        <v>0.48</v>
      </c>
      <c r="AW94" s="63">
        <v>0.48</v>
      </c>
      <c r="AX94" s="63">
        <v>0.51</v>
      </c>
      <c r="AY94" s="63">
        <v>0.48</v>
      </c>
      <c r="AZ94" s="35">
        <v>53</v>
      </c>
      <c r="BA94" s="35">
        <v>10</v>
      </c>
      <c r="BB94" s="40">
        <v>0.1</v>
      </c>
      <c r="BC94" s="40">
        <v>0.44</v>
      </c>
      <c r="BD94" s="40">
        <v>0.46</v>
      </c>
      <c r="BE94" s="40">
        <v>0</v>
      </c>
      <c r="BF94" s="40">
        <v>0.49</v>
      </c>
      <c r="BG94" s="40">
        <v>0.42</v>
      </c>
      <c r="BH94" s="40">
        <v>0.42</v>
      </c>
      <c r="BI94" s="40">
        <v>0.49</v>
      </c>
      <c r="BJ94" s="40">
        <v>0.34</v>
      </c>
      <c r="BK94" s="40">
        <v>0.35</v>
      </c>
      <c r="BL94" s="246">
        <v>48</v>
      </c>
      <c r="BM94" s="246" t="s">
        <v>758</v>
      </c>
      <c r="BN94" s="246">
        <v>12</v>
      </c>
      <c r="BO94" s="246" t="s">
        <v>758</v>
      </c>
      <c r="BP94" s="263">
        <v>0.27</v>
      </c>
      <c r="BQ94" s="263">
        <v>0.49</v>
      </c>
      <c r="BR94" s="263">
        <v>0.2</v>
      </c>
      <c r="BS94" s="263">
        <v>0.04</v>
      </c>
      <c r="BT94" s="263">
        <v>0.46</v>
      </c>
      <c r="BU94" s="263">
        <v>0.5</v>
      </c>
      <c r="BV94" s="263">
        <v>0.52</v>
      </c>
      <c r="BW94" s="263">
        <v>0.46</v>
      </c>
      <c r="BX94" s="263">
        <v>0.48</v>
      </c>
      <c r="BY94" s="263">
        <v>0.51</v>
      </c>
      <c r="BZ94" s="309">
        <v>50</v>
      </c>
      <c r="CA94" s="309" t="s">
        <v>758</v>
      </c>
      <c r="CB94" s="309">
        <v>11</v>
      </c>
      <c r="CC94" s="309" t="s">
        <v>758</v>
      </c>
      <c r="CD94" s="327">
        <v>0.21</v>
      </c>
      <c r="CE94" s="327">
        <v>0.5</v>
      </c>
      <c r="CF94" s="327">
        <v>0.27</v>
      </c>
      <c r="CG94" s="327">
        <v>0.02</v>
      </c>
      <c r="CH94" s="327">
        <v>0.51</v>
      </c>
      <c r="CI94" s="327">
        <v>0.32</v>
      </c>
      <c r="CJ94" s="327">
        <v>0.6</v>
      </c>
      <c r="CK94" s="327">
        <v>0.51</v>
      </c>
      <c r="CL94" s="327">
        <v>0.47</v>
      </c>
      <c r="CM94" s="327">
        <v>0.57999999999999996</v>
      </c>
      <c r="CN94" s="424">
        <v>48</v>
      </c>
      <c r="CO94" s="424" t="s">
        <v>758</v>
      </c>
      <c r="CP94" s="424">
        <v>12</v>
      </c>
      <c r="CQ94" s="424" t="s">
        <v>758</v>
      </c>
      <c r="CR94" s="428">
        <v>0.28999999999999998</v>
      </c>
      <c r="CS94" s="428">
        <v>0.41</v>
      </c>
      <c r="CT94" s="428">
        <v>0.25</v>
      </c>
      <c r="CU94" s="428">
        <v>0.04</v>
      </c>
      <c r="CV94" s="428">
        <v>0.39</v>
      </c>
      <c r="CW94" s="428">
        <v>0.57999999999999996</v>
      </c>
      <c r="CX94" s="428">
        <v>0.56999999999999995</v>
      </c>
      <c r="CY94" s="428">
        <v>0.52</v>
      </c>
      <c r="CZ94" s="523">
        <v>0.52</v>
      </c>
      <c r="DA94" s="523">
        <v>0.5</v>
      </c>
      <c r="DB94" s="524">
        <v>50</v>
      </c>
      <c r="DC94" s="524" t="s">
        <v>758</v>
      </c>
      <c r="DD94" s="524">
        <v>10</v>
      </c>
      <c r="DE94" s="524" t="s">
        <v>758</v>
      </c>
      <c r="DF94" s="525">
        <v>0.18</v>
      </c>
      <c r="DG94" s="525">
        <v>0.51</v>
      </c>
      <c r="DH94" s="525">
        <v>0.31</v>
      </c>
      <c r="DI94" s="525">
        <v>0</v>
      </c>
      <c r="DJ94" s="525">
        <v>0.49</v>
      </c>
      <c r="DK94" s="525">
        <v>0.52</v>
      </c>
      <c r="DL94" s="525">
        <v>0.48</v>
      </c>
      <c r="DM94" s="525">
        <v>0.65</v>
      </c>
      <c r="DN94" s="525">
        <v>0.56000000000000005</v>
      </c>
      <c r="DO94" s="525">
        <v>0.44</v>
      </c>
      <c r="DP94" s="902">
        <v>50</v>
      </c>
      <c r="DQ94" s="902" t="s">
        <v>758</v>
      </c>
      <c r="DR94" s="902">
        <v>10</v>
      </c>
      <c r="DS94" s="902" t="s">
        <v>758</v>
      </c>
      <c r="DT94" s="949">
        <v>0.18</v>
      </c>
      <c r="DU94" s="949">
        <v>0.54</v>
      </c>
      <c r="DV94" s="949">
        <v>0.27</v>
      </c>
      <c r="DW94" s="949">
        <v>0.02</v>
      </c>
      <c r="DX94" s="949">
        <v>0.48</v>
      </c>
      <c r="DY94" s="949">
        <v>0.35</v>
      </c>
      <c r="DZ94" s="949">
        <v>0.72</v>
      </c>
      <c r="EA94" s="949">
        <v>0.46</v>
      </c>
      <c r="EB94" s="949">
        <v>0.56000000000000005</v>
      </c>
      <c r="EC94" s="949">
        <v>0.39</v>
      </c>
      <c r="ED94" s="922">
        <v>325754004521</v>
      </c>
      <c r="EE94" s="803" t="s">
        <v>77</v>
      </c>
    </row>
    <row r="95" spans="1:135" ht="24.95" customHeight="1" x14ac:dyDescent="0.2">
      <c r="A95" s="803" t="s">
        <v>58</v>
      </c>
      <c r="B95" s="1" t="s">
        <v>123</v>
      </c>
      <c r="C95" s="2">
        <v>2</v>
      </c>
      <c r="D95" s="12">
        <v>59</v>
      </c>
      <c r="E95" s="12">
        <v>7</v>
      </c>
      <c r="F95" s="63">
        <v>0</v>
      </c>
      <c r="G95" s="63">
        <v>0.14000000000000001</v>
      </c>
      <c r="H95" s="63">
        <v>0.86</v>
      </c>
      <c r="I95" s="63">
        <v>0</v>
      </c>
      <c r="J95" s="63">
        <v>0.38</v>
      </c>
      <c r="K95" s="63">
        <v>0.31</v>
      </c>
      <c r="L95" s="63">
        <v>0.59</v>
      </c>
      <c r="M95" s="63">
        <v>0.32</v>
      </c>
      <c r="N95" s="63">
        <v>0.39</v>
      </c>
      <c r="O95" s="63">
        <v>0.28999999999999998</v>
      </c>
      <c r="P95" s="12">
        <v>43</v>
      </c>
      <c r="Q95" s="12">
        <v>9</v>
      </c>
      <c r="R95" s="61">
        <v>0.44</v>
      </c>
      <c r="S95" s="61">
        <v>0.44</v>
      </c>
      <c r="T95" s="61">
        <v>0.11</v>
      </c>
      <c r="U95" s="61">
        <v>0</v>
      </c>
      <c r="V95" s="61">
        <v>0.6</v>
      </c>
      <c r="W95" s="61">
        <v>0.64</v>
      </c>
      <c r="X95" s="61">
        <v>0.62</v>
      </c>
      <c r="Y95" s="61">
        <v>0.54</v>
      </c>
      <c r="Z95" s="61">
        <v>0.54</v>
      </c>
      <c r="AA95" s="61">
        <v>0.56999999999999995</v>
      </c>
      <c r="AB95" s="12">
        <v>40</v>
      </c>
      <c r="AC95" s="12">
        <v>7</v>
      </c>
      <c r="AD95" s="63">
        <v>0.67</v>
      </c>
      <c r="AE95" s="63">
        <v>0.33</v>
      </c>
      <c r="AF95" s="63">
        <v>0</v>
      </c>
      <c r="AG95" s="63">
        <v>0</v>
      </c>
      <c r="AH95" s="63">
        <v>0.55000000000000004</v>
      </c>
      <c r="AI95" s="63">
        <v>0.61</v>
      </c>
      <c r="AJ95" s="63">
        <v>0.59</v>
      </c>
      <c r="AK95" s="63">
        <v>0.61</v>
      </c>
      <c r="AL95" s="63">
        <v>0.53</v>
      </c>
      <c r="AM95" s="63">
        <v>0.78</v>
      </c>
      <c r="AN95" s="12">
        <v>42</v>
      </c>
      <c r="AO95" s="12">
        <v>11</v>
      </c>
      <c r="AP95" s="63">
        <v>0.44</v>
      </c>
      <c r="AQ95" s="63">
        <v>0.44</v>
      </c>
      <c r="AR95" s="63">
        <v>0.11</v>
      </c>
      <c r="AS95" s="63">
        <v>0</v>
      </c>
      <c r="AT95" s="63">
        <v>0.68</v>
      </c>
      <c r="AU95" s="63">
        <v>0.5</v>
      </c>
      <c r="AV95" s="63">
        <v>0.51</v>
      </c>
      <c r="AW95" s="63">
        <v>0.59</v>
      </c>
      <c r="AX95" s="63">
        <v>0.57999999999999996</v>
      </c>
      <c r="AY95" s="63">
        <v>0.66</v>
      </c>
      <c r="AZ95" s="35">
        <v>42</v>
      </c>
      <c r="BA95" s="35">
        <v>8</v>
      </c>
      <c r="BB95" s="40">
        <v>0.45</v>
      </c>
      <c r="BC95" s="40">
        <v>0.45</v>
      </c>
      <c r="BD95" s="40">
        <v>0.09</v>
      </c>
      <c r="BE95" s="40">
        <v>0</v>
      </c>
      <c r="BF95" s="40">
        <v>0.61</v>
      </c>
      <c r="BG95" s="40">
        <v>0.64</v>
      </c>
      <c r="BH95" s="40">
        <v>0.61</v>
      </c>
      <c r="BI95" s="40">
        <v>0.7</v>
      </c>
      <c r="BJ95" s="40">
        <v>0.59</v>
      </c>
      <c r="BK95" s="40">
        <v>0.48</v>
      </c>
      <c r="BL95" s="246">
        <v>40</v>
      </c>
      <c r="BM95" s="246" t="s">
        <v>760</v>
      </c>
      <c r="BN95" s="246">
        <v>7</v>
      </c>
      <c r="BO95" s="246" t="s">
        <v>760</v>
      </c>
      <c r="BP95" s="263">
        <v>0.67</v>
      </c>
      <c r="BQ95" s="263">
        <v>0.33</v>
      </c>
      <c r="BR95" s="263">
        <v>0</v>
      </c>
      <c r="BS95" s="263">
        <v>0</v>
      </c>
      <c r="BT95" s="263">
        <v>0.5</v>
      </c>
      <c r="BU95" s="263">
        <v>0.61</v>
      </c>
      <c r="BV95" s="263">
        <v>0.75</v>
      </c>
      <c r="BW95" s="263">
        <v>0.59</v>
      </c>
      <c r="BX95" s="263">
        <v>0.51</v>
      </c>
      <c r="BY95" s="263">
        <v>0.79</v>
      </c>
      <c r="BZ95" s="309">
        <v>43</v>
      </c>
      <c r="CA95" s="309" t="s">
        <v>758</v>
      </c>
      <c r="CB95" s="309">
        <v>19</v>
      </c>
      <c r="CC95" s="309" t="s">
        <v>759</v>
      </c>
      <c r="CD95" s="327">
        <v>0.67</v>
      </c>
      <c r="CE95" s="327">
        <v>0</v>
      </c>
      <c r="CF95" s="327">
        <v>0.33</v>
      </c>
      <c r="CG95" s="327">
        <v>0</v>
      </c>
      <c r="CH95" s="327">
        <v>0.75</v>
      </c>
      <c r="CI95" s="327">
        <v>0.5</v>
      </c>
      <c r="CJ95" s="327">
        <v>0.73</v>
      </c>
      <c r="CK95" s="327">
        <v>0.36</v>
      </c>
      <c r="CL95" s="327">
        <v>0.33</v>
      </c>
      <c r="CM95" s="327">
        <v>0.55000000000000004</v>
      </c>
      <c r="CN95" s="424">
        <v>52</v>
      </c>
      <c r="CO95" s="424" t="s">
        <v>758</v>
      </c>
      <c r="CP95" s="424">
        <v>9</v>
      </c>
      <c r="CQ95" s="424" t="s">
        <v>758</v>
      </c>
      <c r="CR95" s="428">
        <v>0.13</v>
      </c>
      <c r="CS95" s="428">
        <v>0.5</v>
      </c>
      <c r="CT95" s="428">
        <v>0.38</v>
      </c>
      <c r="CU95" s="428">
        <v>0</v>
      </c>
      <c r="CV95" s="428">
        <v>0.13</v>
      </c>
      <c r="CW95" s="428">
        <v>0.51</v>
      </c>
      <c r="CX95" s="428">
        <v>0.61</v>
      </c>
      <c r="CY95" s="428">
        <v>0.8</v>
      </c>
      <c r="CZ95" s="523">
        <v>0.7</v>
      </c>
      <c r="DA95" s="523">
        <v>0.71</v>
      </c>
      <c r="DB95" s="524">
        <v>53</v>
      </c>
      <c r="DC95" s="524" t="s">
        <v>758</v>
      </c>
      <c r="DD95" s="524">
        <v>7</v>
      </c>
      <c r="DE95" s="524" t="s">
        <v>760</v>
      </c>
      <c r="DF95" s="525">
        <v>0</v>
      </c>
      <c r="DG95" s="525">
        <v>0.5</v>
      </c>
      <c r="DH95" s="525">
        <v>0.5</v>
      </c>
      <c r="DI95" s="525">
        <v>0</v>
      </c>
      <c r="DJ95" s="525">
        <v>0.46</v>
      </c>
      <c r="DK95" s="525">
        <v>0.33</v>
      </c>
      <c r="DL95" s="525">
        <v>0.39</v>
      </c>
      <c r="DM95" s="525">
        <v>0.7</v>
      </c>
      <c r="DN95" s="525">
        <v>0.62</v>
      </c>
      <c r="DO95" s="525">
        <v>0</v>
      </c>
      <c r="DP95" s="902">
        <v>46</v>
      </c>
      <c r="DQ95" s="902" t="s">
        <v>758</v>
      </c>
      <c r="DR95" s="902">
        <v>9</v>
      </c>
      <c r="DS95" s="902" t="s">
        <v>758</v>
      </c>
      <c r="DT95" s="949">
        <v>0.2</v>
      </c>
      <c r="DU95" s="949">
        <v>0.6</v>
      </c>
      <c r="DV95" s="949">
        <v>0.2</v>
      </c>
      <c r="DW95" s="949">
        <v>0</v>
      </c>
      <c r="DX95" s="949">
        <v>0.64</v>
      </c>
      <c r="DY95" s="949">
        <v>0.5</v>
      </c>
      <c r="DZ95" s="949">
        <v>0.4</v>
      </c>
      <c r="EA95" s="949">
        <v>0.33</v>
      </c>
      <c r="EB95" s="949">
        <v>0.68</v>
      </c>
      <c r="EC95" s="949">
        <v>0.56000000000000005</v>
      </c>
      <c r="ED95" s="922">
        <v>325754005129</v>
      </c>
      <c r="EE95" s="803" t="s">
        <v>58</v>
      </c>
    </row>
    <row r="96" spans="1:135" ht="24.95" customHeight="1" x14ac:dyDescent="0.2">
      <c r="A96" s="803" t="s">
        <v>100</v>
      </c>
      <c r="B96" s="1" t="s">
        <v>123</v>
      </c>
      <c r="C96" s="2">
        <v>3</v>
      </c>
      <c r="D96" s="12">
        <v>54</v>
      </c>
      <c r="E96" s="12">
        <v>7</v>
      </c>
      <c r="F96" s="63">
        <v>0</v>
      </c>
      <c r="G96" s="63">
        <v>0.63</v>
      </c>
      <c r="H96" s="63">
        <v>0.37</v>
      </c>
      <c r="I96" s="63">
        <v>0</v>
      </c>
      <c r="J96" s="63">
        <v>0.51</v>
      </c>
      <c r="K96" s="63">
        <v>0.46</v>
      </c>
      <c r="L96" s="63">
        <v>0.56999999999999995</v>
      </c>
      <c r="M96" s="63">
        <v>0.39</v>
      </c>
      <c r="N96" s="63">
        <v>0.41</v>
      </c>
      <c r="O96" s="63">
        <v>0.41</v>
      </c>
      <c r="P96" s="12">
        <v>57</v>
      </c>
      <c r="Q96" s="12">
        <v>10</v>
      </c>
      <c r="R96" s="61">
        <v>0</v>
      </c>
      <c r="S96" s="61">
        <v>0.47</v>
      </c>
      <c r="T96" s="61">
        <v>0.44</v>
      </c>
      <c r="U96" s="61">
        <v>0.09</v>
      </c>
      <c r="V96" s="61">
        <v>0.27</v>
      </c>
      <c r="W96" s="61">
        <v>0.36</v>
      </c>
      <c r="X96" s="61">
        <v>0.46</v>
      </c>
      <c r="Y96" s="61">
        <v>0.34</v>
      </c>
      <c r="Z96" s="61">
        <v>0.33</v>
      </c>
      <c r="AA96" s="61">
        <v>0.42</v>
      </c>
      <c r="AB96" s="12">
        <v>54</v>
      </c>
      <c r="AC96" s="12">
        <v>12</v>
      </c>
      <c r="AD96" s="63">
        <v>0.09</v>
      </c>
      <c r="AE96" s="63">
        <v>0.44</v>
      </c>
      <c r="AF96" s="63">
        <v>0.38</v>
      </c>
      <c r="AG96" s="63">
        <v>0.09</v>
      </c>
      <c r="AH96" s="63">
        <v>0.36</v>
      </c>
      <c r="AI96" s="63">
        <v>0.35</v>
      </c>
      <c r="AJ96" s="63">
        <v>0.34</v>
      </c>
      <c r="AK96" s="63">
        <v>0.38</v>
      </c>
      <c r="AL96" s="63">
        <v>0.52</v>
      </c>
      <c r="AM96" s="63">
        <v>0.46</v>
      </c>
      <c r="AN96" s="12">
        <v>49</v>
      </c>
      <c r="AO96" s="12">
        <v>10</v>
      </c>
      <c r="AP96" s="63">
        <v>0.23</v>
      </c>
      <c r="AQ96" s="63">
        <v>0.46</v>
      </c>
      <c r="AR96" s="63">
        <v>0.31</v>
      </c>
      <c r="AS96" s="63">
        <v>0</v>
      </c>
      <c r="AT96" s="63">
        <v>0.55000000000000004</v>
      </c>
      <c r="AU96" s="63">
        <v>0.49</v>
      </c>
      <c r="AV96" s="63">
        <v>0.45</v>
      </c>
      <c r="AW96" s="63">
        <v>0.48</v>
      </c>
      <c r="AX96" s="63">
        <v>0.43</v>
      </c>
      <c r="AY96" s="63">
        <v>0.45</v>
      </c>
      <c r="AZ96" s="35">
        <v>54</v>
      </c>
      <c r="BA96" s="35">
        <v>11</v>
      </c>
      <c r="BB96" s="40">
        <v>0.14000000000000001</v>
      </c>
      <c r="BC96" s="40">
        <v>0.35</v>
      </c>
      <c r="BD96" s="40">
        <v>0.46</v>
      </c>
      <c r="BE96" s="40">
        <v>0.05</v>
      </c>
      <c r="BF96" s="40">
        <v>0.39</v>
      </c>
      <c r="BG96" s="40">
        <v>0.43</v>
      </c>
      <c r="BH96" s="40">
        <v>0.39</v>
      </c>
      <c r="BI96" s="40">
        <v>0.5</v>
      </c>
      <c r="BJ96" s="40">
        <v>0.37</v>
      </c>
      <c r="BK96" s="40">
        <v>0.35</v>
      </c>
      <c r="BL96" s="246">
        <v>55</v>
      </c>
      <c r="BM96" s="246" t="s">
        <v>758</v>
      </c>
      <c r="BN96" s="246">
        <v>8</v>
      </c>
      <c r="BO96" s="246" t="s">
        <v>758</v>
      </c>
      <c r="BP96" s="263">
        <v>0.04</v>
      </c>
      <c r="BQ96" s="263">
        <v>0.42</v>
      </c>
      <c r="BR96" s="263">
        <v>0.52</v>
      </c>
      <c r="BS96" s="263">
        <v>0.01</v>
      </c>
      <c r="BT96" s="263">
        <v>0.32</v>
      </c>
      <c r="BU96" s="263">
        <v>0.4</v>
      </c>
      <c r="BV96" s="263">
        <v>0.38</v>
      </c>
      <c r="BW96" s="263">
        <v>0.33</v>
      </c>
      <c r="BX96" s="263">
        <v>0.38</v>
      </c>
      <c r="BY96" s="263">
        <v>0.44</v>
      </c>
      <c r="BZ96" s="309">
        <v>54</v>
      </c>
      <c r="CA96" s="309" t="s">
        <v>758</v>
      </c>
      <c r="CB96" s="309">
        <v>10</v>
      </c>
      <c r="CC96" s="309" t="s">
        <v>758</v>
      </c>
      <c r="CD96" s="327">
        <v>0.12</v>
      </c>
      <c r="CE96" s="327">
        <v>0.41</v>
      </c>
      <c r="CF96" s="327">
        <v>0.39</v>
      </c>
      <c r="CG96" s="327">
        <v>0.08</v>
      </c>
      <c r="CH96" s="327">
        <v>0.43</v>
      </c>
      <c r="CI96" s="327">
        <v>0.27</v>
      </c>
      <c r="CJ96" s="327">
        <v>0.47</v>
      </c>
      <c r="CK96" s="327">
        <v>0.48</v>
      </c>
      <c r="CL96" s="327">
        <v>0.38</v>
      </c>
      <c r="CM96" s="327">
        <v>0.54</v>
      </c>
      <c r="CN96" s="424">
        <v>55</v>
      </c>
      <c r="CO96" s="424" t="s">
        <v>758</v>
      </c>
      <c r="CP96" s="424">
        <v>9</v>
      </c>
      <c r="CQ96" s="424" t="s">
        <v>758</v>
      </c>
      <c r="CR96" s="428">
        <v>0.08</v>
      </c>
      <c r="CS96" s="428">
        <v>0.43</v>
      </c>
      <c r="CT96" s="428">
        <v>0.45</v>
      </c>
      <c r="CU96" s="428">
        <v>0.04</v>
      </c>
      <c r="CV96" s="428">
        <v>0.24</v>
      </c>
      <c r="CW96" s="428">
        <v>0.48</v>
      </c>
      <c r="CX96" s="428">
        <v>0.5</v>
      </c>
      <c r="CY96" s="428">
        <v>0.61</v>
      </c>
      <c r="CZ96" s="523">
        <v>0.53</v>
      </c>
      <c r="DA96" s="523">
        <v>0.54</v>
      </c>
      <c r="DB96" s="524">
        <v>51</v>
      </c>
      <c r="DC96" s="524" t="s">
        <v>758</v>
      </c>
      <c r="DD96" s="524">
        <v>10</v>
      </c>
      <c r="DE96" s="524" t="s">
        <v>758</v>
      </c>
      <c r="DF96" s="525">
        <v>0.18</v>
      </c>
      <c r="DG96" s="525">
        <v>0.43</v>
      </c>
      <c r="DH96" s="525">
        <v>0.39</v>
      </c>
      <c r="DI96" s="525">
        <v>0</v>
      </c>
      <c r="DJ96" s="525">
        <v>0.47</v>
      </c>
      <c r="DK96" s="525">
        <v>0.47</v>
      </c>
      <c r="DL96" s="525">
        <v>0.48</v>
      </c>
      <c r="DM96" s="525">
        <v>0.63</v>
      </c>
      <c r="DN96" s="525">
        <v>0.52</v>
      </c>
      <c r="DO96" s="525">
        <v>0.43</v>
      </c>
      <c r="DP96" s="902">
        <v>54</v>
      </c>
      <c r="DQ96" s="902" t="s">
        <v>758</v>
      </c>
      <c r="DR96" s="902">
        <v>9</v>
      </c>
      <c r="DS96" s="902" t="s">
        <v>758</v>
      </c>
      <c r="DT96" s="949">
        <v>0.08</v>
      </c>
      <c r="DU96" s="949">
        <v>0.49</v>
      </c>
      <c r="DV96" s="949">
        <v>0.4</v>
      </c>
      <c r="DW96" s="949">
        <v>0.02</v>
      </c>
      <c r="DX96" s="949">
        <v>0.4</v>
      </c>
      <c r="DY96" s="949">
        <v>0.33</v>
      </c>
      <c r="DZ96" s="949">
        <v>0.7</v>
      </c>
      <c r="EA96" s="949">
        <v>0.43</v>
      </c>
      <c r="EB96" s="949">
        <v>0.51</v>
      </c>
      <c r="EC96" s="949">
        <v>0.34</v>
      </c>
      <c r="ED96" s="922">
        <v>325754003461</v>
      </c>
      <c r="EE96" s="803" t="s">
        <v>100</v>
      </c>
    </row>
    <row r="97" spans="1:135" ht="24.95" customHeight="1" x14ac:dyDescent="0.2">
      <c r="A97" s="803" t="s">
        <v>95</v>
      </c>
      <c r="B97" s="1" t="s">
        <v>123</v>
      </c>
      <c r="C97" s="2">
        <v>2</v>
      </c>
      <c r="D97" s="12">
        <v>55</v>
      </c>
      <c r="E97" s="12">
        <v>9</v>
      </c>
      <c r="F97" s="63">
        <v>0.1</v>
      </c>
      <c r="G97" s="63">
        <v>0.41</v>
      </c>
      <c r="H97" s="63">
        <v>0.44</v>
      </c>
      <c r="I97" s="63">
        <v>0.05</v>
      </c>
      <c r="J97" s="63">
        <v>0.57999999999999996</v>
      </c>
      <c r="K97" s="63">
        <v>0.4</v>
      </c>
      <c r="L97" s="63">
        <v>0.49</v>
      </c>
      <c r="M97" s="63">
        <v>0.37</v>
      </c>
      <c r="N97" s="63">
        <v>0.3</v>
      </c>
      <c r="O97" s="63">
        <v>0.44</v>
      </c>
      <c r="P97" s="12">
        <v>54</v>
      </c>
      <c r="Q97" s="12">
        <v>9</v>
      </c>
      <c r="R97" s="61">
        <v>0.06</v>
      </c>
      <c r="S97" s="61">
        <v>0.56000000000000005</v>
      </c>
      <c r="T97" s="61">
        <v>0.36</v>
      </c>
      <c r="U97" s="61">
        <v>0.03</v>
      </c>
      <c r="V97" s="61">
        <v>0.36</v>
      </c>
      <c r="W97" s="61">
        <v>0.43</v>
      </c>
      <c r="X97" s="61">
        <v>0.56999999999999995</v>
      </c>
      <c r="Y97" s="61">
        <v>0.39</v>
      </c>
      <c r="Z97" s="61">
        <v>0.41</v>
      </c>
      <c r="AA97" s="61">
        <v>0.42</v>
      </c>
      <c r="AB97" s="12">
        <v>50</v>
      </c>
      <c r="AC97" s="12">
        <v>10</v>
      </c>
      <c r="AD97" s="63">
        <v>0.21</v>
      </c>
      <c r="AE97" s="63">
        <v>0.48</v>
      </c>
      <c r="AF97" s="63">
        <v>0.3</v>
      </c>
      <c r="AG97" s="63">
        <v>0</v>
      </c>
      <c r="AH97" s="63">
        <v>0.43</v>
      </c>
      <c r="AI97" s="63">
        <v>0.42</v>
      </c>
      <c r="AJ97" s="63">
        <v>0.42</v>
      </c>
      <c r="AK97" s="63">
        <v>0.49</v>
      </c>
      <c r="AL97" s="63">
        <v>0.59</v>
      </c>
      <c r="AM97" s="63">
        <v>0.51</v>
      </c>
      <c r="AN97" s="12">
        <v>50</v>
      </c>
      <c r="AO97" s="12">
        <v>11</v>
      </c>
      <c r="AP97" s="63">
        <v>0.16</v>
      </c>
      <c r="AQ97" s="63">
        <v>0.51</v>
      </c>
      <c r="AR97" s="63">
        <v>0.3</v>
      </c>
      <c r="AS97" s="63">
        <v>0.03</v>
      </c>
      <c r="AT97" s="63">
        <v>0.45</v>
      </c>
      <c r="AU97" s="63">
        <v>0.4</v>
      </c>
      <c r="AV97" s="63">
        <v>0.41</v>
      </c>
      <c r="AW97" s="63">
        <v>0.45</v>
      </c>
      <c r="AX97" s="63">
        <v>0.45</v>
      </c>
      <c r="AY97" s="63">
        <v>0.49</v>
      </c>
      <c r="AZ97" s="35">
        <v>52</v>
      </c>
      <c r="BA97" s="35">
        <v>9</v>
      </c>
      <c r="BB97" s="40">
        <v>0.08</v>
      </c>
      <c r="BC97" s="40">
        <v>0.56000000000000005</v>
      </c>
      <c r="BD97" s="40">
        <v>0.36</v>
      </c>
      <c r="BE97" s="40">
        <v>0</v>
      </c>
      <c r="BF97" s="40">
        <v>0.47</v>
      </c>
      <c r="BG97" s="40">
        <v>0.42</v>
      </c>
      <c r="BH97" s="40">
        <v>0.39</v>
      </c>
      <c r="BI97" s="40">
        <v>0.47</v>
      </c>
      <c r="BJ97" s="40">
        <v>0.37</v>
      </c>
      <c r="BK97" s="40">
        <v>0.42</v>
      </c>
      <c r="BL97" s="246">
        <v>52</v>
      </c>
      <c r="BM97" s="246" t="s">
        <v>758</v>
      </c>
      <c r="BN97" s="246">
        <v>11</v>
      </c>
      <c r="BO97" s="246" t="s">
        <v>758</v>
      </c>
      <c r="BP97" s="263">
        <v>0.19</v>
      </c>
      <c r="BQ97" s="263">
        <v>0.4</v>
      </c>
      <c r="BR97" s="263">
        <v>0.38</v>
      </c>
      <c r="BS97" s="263">
        <v>0.04</v>
      </c>
      <c r="BT97" s="263">
        <v>0.39</v>
      </c>
      <c r="BU97" s="263">
        <v>0.39</v>
      </c>
      <c r="BV97" s="263">
        <v>0.53</v>
      </c>
      <c r="BW97" s="263">
        <v>0.44</v>
      </c>
      <c r="BX97" s="263">
        <v>0.43</v>
      </c>
      <c r="BY97" s="263">
        <v>0.46</v>
      </c>
      <c r="BZ97" s="309">
        <v>54</v>
      </c>
      <c r="CA97" s="309" t="s">
        <v>758</v>
      </c>
      <c r="CB97" s="309">
        <v>10</v>
      </c>
      <c r="CC97" s="309" t="s">
        <v>758</v>
      </c>
      <c r="CD97" s="327">
        <v>0.08</v>
      </c>
      <c r="CE97" s="327">
        <v>0.46</v>
      </c>
      <c r="CF97" s="327">
        <v>0.41</v>
      </c>
      <c r="CG97" s="327">
        <v>0.05</v>
      </c>
      <c r="CH97" s="327">
        <v>0.43</v>
      </c>
      <c r="CI97" s="327">
        <v>0.27</v>
      </c>
      <c r="CJ97" s="327">
        <v>0.5</v>
      </c>
      <c r="CK97" s="327">
        <v>0.5</v>
      </c>
      <c r="CL97" s="327">
        <v>0.35</v>
      </c>
      <c r="CM97" s="327">
        <v>0.51</v>
      </c>
      <c r="CN97" s="424">
        <v>53</v>
      </c>
      <c r="CO97" s="424" t="s">
        <v>758</v>
      </c>
      <c r="CP97" s="424">
        <v>10</v>
      </c>
      <c r="CQ97" s="424" t="s">
        <v>758</v>
      </c>
      <c r="CR97" s="428">
        <v>0.12</v>
      </c>
      <c r="CS97" s="428">
        <v>0.47</v>
      </c>
      <c r="CT97" s="428">
        <v>0.38</v>
      </c>
      <c r="CU97" s="428">
        <v>0.03</v>
      </c>
      <c r="CV97" s="428">
        <v>0.22</v>
      </c>
      <c r="CW97" s="428">
        <v>0.47</v>
      </c>
      <c r="CX97" s="428">
        <v>0.51</v>
      </c>
      <c r="CY97" s="428">
        <v>0.71</v>
      </c>
      <c r="CZ97" s="523">
        <v>0.48</v>
      </c>
      <c r="DA97" s="523">
        <v>0.44</v>
      </c>
      <c r="DB97" s="524">
        <v>52</v>
      </c>
      <c r="DC97" s="524" t="s">
        <v>758</v>
      </c>
      <c r="DD97" s="524">
        <v>11</v>
      </c>
      <c r="DE97" s="524" t="s">
        <v>758</v>
      </c>
      <c r="DF97" s="525">
        <v>0.19</v>
      </c>
      <c r="DG97" s="525">
        <v>0.42</v>
      </c>
      <c r="DH97" s="525">
        <v>0.33</v>
      </c>
      <c r="DI97" s="525">
        <v>0.06</v>
      </c>
      <c r="DJ97" s="525">
        <v>0.53</v>
      </c>
      <c r="DK97" s="525">
        <v>0.43</v>
      </c>
      <c r="DL97" s="525">
        <v>0.47</v>
      </c>
      <c r="DM97" s="525">
        <v>0.54</v>
      </c>
      <c r="DN97" s="525">
        <v>0.47</v>
      </c>
      <c r="DO97" s="525">
        <v>0.56999999999999995</v>
      </c>
      <c r="DP97" s="902">
        <v>49</v>
      </c>
      <c r="DQ97" s="902" t="s">
        <v>758</v>
      </c>
      <c r="DR97" s="902">
        <v>9</v>
      </c>
      <c r="DS97" s="902" t="s">
        <v>758</v>
      </c>
      <c r="DT97" s="949">
        <v>0.15</v>
      </c>
      <c r="DU97" s="949">
        <v>0.59</v>
      </c>
      <c r="DV97" s="949">
        <v>0.26</v>
      </c>
      <c r="DW97" s="949">
        <v>0</v>
      </c>
      <c r="DX97" s="949">
        <v>0.47</v>
      </c>
      <c r="DY97" s="949">
        <v>0.45</v>
      </c>
      <c r="DZ97" s="949">
        <v>0.83</v>
      </c>
      <c r="EA97" s="949">
        <v>0.44</v>
      </c>
      <c r="EB97" s="949">
        <v>0.52</v>
      </c>
      <c r="EC97" s="949">
        <v>0.43</v>
      </c>
      <c r="ED97" s="922">
        <v>325754005161</v>
      </c>
      <c r="EE97" s="803" t="s">
        <v>95</v>
      </c>
    </row>
    <row r="98" spans="1:135" ht="24.95" customHeight="1" x14ac:dyDescent="0.2">
      <c r="A98" s="803" t="s">
        <v>47</v>
      </c>
      <c r="B98" s="1" t="s">
        <v>123</v>
      </c>
      <c r="C98" s="2">
        <v>2</v>
      </c>
      <c r="D98" s="12">
        <v>51</v>
      </c>
      <c r="E98" s="12">
        <v>11</v>
      </c>
      <c r="F98" s="63">
        <v>0.28999999999999998</v>
      </c>
      <c r="G98" s="63">
        <v>0.41</v>
      </c>
      <c r="H98" s="63">
        <v>0.24</v>
      </c>
      <c r="I98" s="63">
        <v>0.06</v>
      </c>
      <c r="J98" s="63">
        <v>0.56000000000000005</v>
      </c>
      <c r="K98" s="63">
        <v>0.57999999999999996</v>
      </c>
      <c r="L98" s="63">
        <v>0.55000000000000004</v>
      </c>
      <c r="M98" s="63">
        <v>0.44</v>
      </c>
      <c r="N98" s="63">
        <v>0.38</v>
      </c>
      <c r="O98" s="63">
        <v>0.51</v>
      </c>
      <c r="P98" s="12">
        <v>46</v>
      </c>
      <c r="Q98" s="12">
        <v>8</v>
      </c>
      <c r="R98" s="61">
        <v>0.24</v>
      </c>
      <c r="S98" s="61">
        <v>0.65</v>
      </c>
      <c r="T98" s="61">
        <v>0.12</v>
      </c>
      <c r="U98" s="61">
        <v>0</v>
      </c>
      <c r="V98" s="61">
        <v>0.52</v>
      </c>
      <c r="W98" s="61">
        <v>0.53</v>
      </c>
      <c r="X98" s="61">
        <v>0.61</v>
      </c>
      <c r="Y98" s="61">
        <v>0.59</v>
      </c>
      <c r="Z98" s="61">
        <v>0.47</v>
      </c>
      <c r="AA98" s="61">
        <v>0.69</v>
      </c>
      <c r="AB98" s="12">
        <v>49</v>
      </c>
      <c r="AC98" s="12">
        <v>10</v>
      </c>
      <c r="AD98" s="63">
        <v>0.33</v>
      </c>
      <c r="AE98" s="63">
        <v>0.4</v>
      </c>
      <c r="AF98" s="63">
        <v>0.27</v>
      </c>
      <c r="AG98" s="63">
        <v>0</v>
      </c>
      <c r="AH98" s="63">
        <v>0.46</v>
      </c>
      <c r="AI98" s="63">
        <v>0.38</v>
      </c>
      <c r="AJ98" s="63">
        <v>0.5</v>
      </c>
      <c r="AK98" s="63">
        <v>0.51</v>
      </c>
      <c r="AL98" s="63">
        <v>0.62</v>
      </c>
      <c r="AM98" s="63">
        <v>0.48</v>
      </c>
      <c r="AN98" s="12">
        <v>46</v>
      </c>
      <c r="AO98" s="12">
        <v>10</v>
      </c>
      <c r="AP98" s="63">
        <v>0.27</v>
      </c>
      <c r="AQ98" s="63">
        <v>0.55000000000000004</v>
      </c>
      <c r="AR98" s="63">
        <v>0.18</v>
      </c>
      <c r="AS98" s="63">
        <v>0</v>
      </c>
      <c r="AT98" s="63">
        <v>0.6</v>
      </c>
      <c r="AU98" s="63">
        <v>0.59</v>
      </c>
      <c r="AV98" s="63">
        <v>0.56000000000000005</v>
      </c>
      <c r="AW98" s="63">
        <v>0.48</v>
      </c>
      <c r="AX98" s="63">
        <v>0.51</v>
      </c>
      <c r="AY98" s="63">
        <v>0.44</v>
      </c>
      <c r="AZ98" s="35">
        <v>53</v>
      </c>
      <c r="BA98" s="35">
        <v>10</v>
      </c>
      <c r="BB98" s="40">
        <v>0.14000000000000001</v>
      </c>
      <c r="BC98" s="40">
        <v>0.64</v>
      </c>
      <c r="BD98" s="40">
        <v>0.14000000000000001</v>
      </c>
      <c r="BE98" s="40">
        <v>7.0000000000000007E-2</v>
      </c>
      <c r="BF98" s="40">
        <v>0.35</v>
      </c>
      <c r="BG98" s="40">
        <v>0.4</v>
      </c>
      <c r="BH98" s="40">
        <v>0.49</v>
      </c>
      <c r="BI98" s="40">
        <v>0.48</v>
      </c>
      <c r="BJ98" s="40">
        <v>0.36</v>
      </c>
      <c r="BK98" s="40">
        <v>0.39</v>
      </c>
      <c r="BL98" s="246">
        <v>44</v>
      </c>
      <c r="BM98" s="246" t="s">
        <v>758</v>
      </c>
      <c r="BN98" s="246">
        <v>7</v>
      </c>
      <c r="BO98" s="246" t="s">
        <v>760</v>
      </c>
      <c r="BP98" s="263">
        <v>0.14000000000000001</v>
      </c>
      <c r="BQ98" s="263">
        <v>0.86</v>
      </c>
      <c r="BR98" s="263">
        <v>0</v>
      </c>
      <c r="BS98" s="263">
        <v>0</v>
      </c>
      <c r="BT98" s="263">
        <v>0.4</v>
      </c>
      <c r="BU98" s="263">
        <v>0.51</v>
      </c>
      <c r="BV98" s="263">
        <v>0.8</v>
      </c>
      <c r="BW98" s="263">
        <v>0.57999999999999996</v>
      </c>
      <c r="BX98" s="263">
        <v>0.56000000000000005</v>
      </c>
      <c r="BY98" s="263">
        <v>0.59</v>
      </c>
      <c r="BZ98" s="309">
        <v>48</v>
      </c>
      <c r="CA98" s="309" t="s">
        <v>758</v>
      </c>
      <c r="CB98" s="309">
        <v>12</v>
      </c>
      <c r="CC98" s="309" t="s">
        <v>758</v>
      </c>
      <c r="CD98" s="327">
        <v>0.3</v>
      </c>
      <c r="CE98" s="327">
        <v>0.4</v>
      </c>
      <c r="CF98" s="327">
        <v>0.3</v>
      </c>
      <c r="CG98" s="327">
        <v>0</v>
      </c>
      <c r="CH98" s="327">
        <v>0.69</v>
      </c>
      <c r="CI98" s="327">
        <v>0.31</v>
      </c>
      <c r="CJ98" s="327">
        <v>0.57999999999999996</v>
      </c>
      <c r="CK98" s="327">
        <v>0.55000000000000004</v>
      </c>
      <c r="CL98" s="327">
        <v>0.42</v>
      </c>
      <c r="CM98" s="327">
        <v>0.65</v>
      </c>
      <c r="CN98" s="424">
        <v>49</v>
      </c>
      <c r="CO98" s="424" t="s">
        <v>758</v>
      </c>
      <c r="CP98" s="424">
        <v>11</v>
      </c>
      <c r="CQ98" s="424" t="s">
        <v>758</v>
      </c>
      <c r="CR98" s="428">
        <v>0.33</v>
      </c>
      <c r="CS98" s="428">
        <v>0.33</v>
      </c>
      <c r="CT98" s="428">
        <v>0.33</v>
      </c>
      <c r="CU98" s="428">
        <v>0</v>
      </c>
      <c r="CV98" s="428">
        <v>0.42</v>
      </c>
      <c r="CW98" s="428">
        <v>0.56000000000000005</v>
      </c>
      <c r="CX98" s="428">
        <v>0.63</v>
      </c>
      <c r="CY98" s="428">
        <v>0.67</v>
      </c>
      <c r="CZ98" s="523">
        <v>0.25</v>
      </c>
      <c r="DA98" s="523">
        <v>0.75</v>
      </c>
      <c r="DB98" s="524">
        <v>55</v>
      </c>
      <c r="DC98" s="524" t="s">
        <v>758</v>
      </c>
      <c r="DD98" s="524">
        <v>9</v>
      </c>
      <c r="DE98" s="524" t="s">
        <v>758</v>
      </c>
      <c r="DF98" s="525">
        <v>0</v>
      </c>
      <c r="DG98" s="525">
        <v>0.56999999999999995</v>
      </c>
      <c r="DH98" s="525">
        <v>0.43</v>
      </c>
      <c r="DI98" s="525">
        <v>0</v>
      </c>
      <c r="DJ98" s="525">
        <v>0.39</v>
      </c>
      <c r="DK98" s="525">
        <v>0.17</v>
      </c>
      <c r="DL98" s="525">
        <v>0.39</v>
      </c>
      <c r="DM98" s="525">
        <v>0.64</v>
      </c>
      <c r="DN98" s="525">
        <v>0.4</v>
      </c>
      <c r="DO98" s="525">
        <v>0.17</v>
      </c>
      <c r="DP98" s="902">
        <v>49</v>
      </c>
      <c r="DQ98" s="902" t="s">
        <v>758</v>
      </c>
      <c r="DR98" s="902">
        <v>9</v>
      </c>
      <c r="DS98" s="902" t="s">
        <v>758</v>
      </c>
      <c r="DT98" s="949">
        <v>0.14000000000000001</v>
      </c>
      <c r="DU98" s="949">
        <v>0.43</v>
      </c>
      <c r="DV98" s="949">
        <v>0.43</v>
      </c>
      <c r="DW98" s="949">
        <v>0</v>
      </c>
      <c r="DX98" s="949">
        <v>0.39</v>
      </c>
      <c r="DY98" s="949">
        <v>0.44</v>
      </c>
      <c r="DZ98" s="949">
        <v>1</v>
      </c>
      <c r="EA98" s="949">
        <v>0.56999999999999995</v>
      </c>
      <c r="EB98" s="949">
        <v>0.52</v>
      </c>
      <c r="EC98" s="949">
        <v>0.2</v>
      </c>
      <c r="ED98" s="922">
        <v>325754002839</v>
      </c>
      <c r="EE98" s="803" t="s">
        <v>47</v>
      </c>
    </row>
    <row r="99" spans="1:135" ht="24.95" customHeight="1" x14ac:dyDescent="0.2">
      <c r="A99" s="803" t="s">
        <v>27</v>
      </c>
      <c r="B99" s="1" t="s">
        <v>121</v>
      </c>
      <c r="C99" s="2" t="s">
        <v>122</v>
      </c>
      <c r="D99" s="12">
        <v>50</v>
      </c>
      <c r="E99" s="12">
        <v>9</v>
      </c>
      <c r="F99" s="63">
        <v>0.15</v>
      </c>
      <c r="G99" s="63">
        <v>0.54</v>
      </c>
      <c r="H99" s="63">
        <v>0.32</v>
      </c>
      <c r="I99" s="63">
        <v>0</v>
      </c>
      <c r="J99" s="63">
        <v>0.63</v>
      </c>
      <c r="K99" s="63">
        <v>0.56999999999999995</v>
      </c>
      <c r="L99" s="63">
        <v>0.54</v>
      </c>
      <c r="M99" s="63">
        <v>0.4</v>
      </c>
      <c r="N99" s="63">
        <v>0.44</v>
      </c>
      <c r="O99" s="63">
        <v>0.63</v>
      </c>
      <c r="P99" s="12">
        <v>49</v>
      </c>
      <c r="Q99" s="12">
        <v>9</v>
      </c>
      <c r="R99" s="61">
        <v>0.19</v>
      </c>
      <c r="S99" s="61">
        <v>0.6</v>
      </c>
      <c r="T99" s="61">
        <v>0.21</v>
      </c>
      <c r="U99" s="61">
        <v>0</v>
      </c>
      <c r="V99" s="61">
        <v>0.47</v>
      </c>
      <c r="W99" s="61">
        <v>0.55000000000000004</v>
      </c>
      <c r="X99" s="61">
        <v>0.6</v>
      </c>
      <c r="Y99" s="61">
        <v>0.52</v>
      </c>
      <c r="Z99" s="61">
        <v>0.37</v>
      </c>
      <c r="AA99" s="61">
        <v>0.56000000000000005</v>
      </c>
      <c r="AB99" s="12">
        <v>46</v>
      </c>
      <c r="AC99" s="12">
        <v>11</v>
      </c>
      <c r="AD99" s="63">
        <v>0.32</v>
      </c>
      <c r="AE99" s="63">
        <v>0.41</v>
      </c>
      <c r="AF99" s="63">
        <v>0.26</v>
      </c>
      <c r="AG99" s="63">
        <v>0</v>
      </c>
      <c r="AH99" s="63">
        <v>0.46</v>
      </c>
      <c r="AI99" s="63">
        <v>0.48</v>
      </c>
      <c r="AJ99" s="63">
        <v>0.49</v>
      </c>
      <c r="AK99" s="63">
        <v>0.55000000000000004</v>
      </c>
      <c r="AL99" s="63">
        <v>0.57999999999999996</v>
      </c>
      <c r="AM99" s="63">
        <v>0.56000000000000005</v>
      </c>
      <c r="AN99" s="12">
        <v>46</v>
      </c>
      <c r="AO99" s="12">
        <v>12</v>
      </c>
      <c r="AP99" s="63">
        <v>0.35</v>
      </c>
      <c r="AQ99" s="63">
        <v>0.41</v>
      </c>
      <c r="AR99" s="63">
        <v>0.22</v>
      </c>
      <c r="AS99" s="63">
        <v>0.02</v>
      </c>
      <c r="AT99" s="63">
        <v>0.64</v>
      </c>
      <c r="AU99" s="63">
        <v>0.48</v>
      </c>
      <c r="AV99" s="63">
        <v>0.47</v>
      </c>
      <c r="AW99" s="63">
        <v>0.5</v>
      </c>
      <c r="AX99" s="63">
        <v>0.5</v>
      </c>
      <c r="AY99" s="63">
        <v>0.55000000000000004</v>
      </c>
      <c r="AZ99" s="35">
        <v>48</v>
      </c>
      <c r="BA99" s="35">
        <v>12</v>
      </c>
      <c r="BB99" s="40">
        <v>0.28999999999999998</v>
      </c>
      <c r="BC99" s="40">
        <v>0.47</v>
      </c>
      <c r="BD99" s="40">
        <v>0.24</v>
      </c>
      <c r="BE99" s="40">
        <v>0</v>
      </c>
      <c r="BF99" s="40">
        <v>0.61</v>
      </c>
      <c r="BG99" s="40">
        <v>0.47</v>
      </c>
      <c r="BH99" s="40">
        <v>0.51</v>
      </c>
      <c r="BI99" s="40">
        <v>0.56999999999999995</v>
      </c>
      <c r="BJ99" s="40">
        <v>0.43</v>
      </c>
      <c r="BK99" s="40">
        <v>0.43</v>
      </c>
      <c r="BL99" s="246">
        <v>46</v>
      </c>
      <c r="BM99" s="246" t="s">
        <v>758</v>
      </c>
      <c r="BN99" s="246">
        <v>10</v>
      </c>
      <c r="BO99" s="246" t="s">
        <v>758</v>
      </c>
      <c r="BP99" s="263">
        <v>0.3</v>
      </c>
      <c r="BQ99" s="263">
        <v>0.5</v>
      </c>
      <c r="BR99" s="263">
        <v>0.2</v>
      </c>
      <c r="BS99" s="263">
        <v>0</v>
      </c>
      <c r="BT99" s="263">
        <v>0.42</v>
      </c>
      <c r="BU99" s="263">
        <v>0.56000000000000005</v>
      </c>
      <c r="BV99" s="263">
        <v>0.49</v>
      </c>
      <c r="BW99" s="263">
        <v>0.5</v>
      </c>
      <c r="BX99" s="263">
        <v>0.51</v>
      </c>
      <c r="BY99" s="263">
        <v>0.61</v>
      </c>
      <c r="BZ99" s="309">
        <v>46</v>
      </c>
      <c r="CA99" s="309" t="s">
        <v>758</v>
      </c>
      <c r="CB99" s="309">
        <v>11</v>
      </c>
      <c r="CC99" s="309" t="s">
        <v>758</v>
      </c>
      <c r="CD99" s="327">
        <v>0.33</v>
      </c>
      <c r="CE99" s="327">
        <v>0.48</v>
      </c>
      <c r="CF99" s="327">
        <v>0.2</v>
      </c>
      <c r="CG99" s="327">
        <v>0</v>
      </c>
      <c r="CH99" s="327">
        <v>0.61</v>
      </c>
      <c r="CI99" s="327">
        <v>0.53</v>
      </c>
      <c r="CJ99" s="327">
        <v>0.62</v>
      </c>
      <c r="CK99" s="327">
        <v>0.57999999999999996</v>
      </c>
      <c r="CL99" s="327">
        <v>0.41</v>
      </c>
      <c r="CM99" s="327">
        <v>0.6</v>
      </c>
      <c r="CN99" s="424">
        <v>46</v>
      </c>
      <c r="CO99" s="424" t="s">
        <v>758</v>
      </c>
      <c r="CP99" s="424">
        <v>11</v>
      </c>
      <c r="CQ99" s="424" t="s">
        <v>758</v>
      </c>
      <c r="CR99" s="428">
        <v>0.38</v>
      </c>
      <c r="CS99" s="428">
        <v>0.42</v>
      </c>
      <c r="CT99" s="428">
        <v>0.18</v>
      </c>
      <c r="CU99" s="428">
        <v>0.02</v>
      </c>
      <c r="CV99" s="428">
        <v>0.42</v>
      </c>
      <c r="CW99" s="428">
        <v>0.6</v>
      </c>
      <c r="CX99" s="428">
        <v>0.56999999999999995</v>
      </c>
      <c r="CY99" s="428">
        <v>0.65</v>
      </c>
      <c r="CZ99" s="523">
        <v>0.61</v>
      </c>
      <c r="DA99" s="523">
        <v>0.6</v>
      </c>
      <c r="DB99" s="524">
        <v>44</v>
      </c>
      <c r="DC99" s="524" t="s">
        <v>758</v>
      </c>
      <c r="DD99" s="524">
        <v>10</v>
      </c>
      <c r="DE99" s="524" t="s">
        <v>758</v>
      </c>
      <c r="DF99" s="525">
        <v>0.4</v>
      </c>
      <c r="DG99" s="525">
        <v>0.49</v>
      </c>
      <c r="DH99" s="525">
        <v>0.11</v>
      </c>
      <c r="DI99" s="525">
        <v>0</v>
      </c>
      <c r="DJ99" s="525">
        <v>0.55000000000000004</v>
      </c>
      <c r="DK99" s="525">
        <v>0.6</v>
      </c>
      <c r="DL99" s="525">
        <v>0.57999999999999996</v>
      </c>
      <c r="DM99" s="525">
        <v>0.81</v>
      </c>
      <c r="DN99" s="525">
        <v>0.65</v>
      </c>
      <c r="DO99" s="525">
        <v>0.52</v>
      </c>
      <c r="DP99" s="902">
        <v>47</v>
      </c>
      <c r="DQ99" s="902" t="s">
        <v>758</v>
      </c>
      <c r="DR99" s="902">
        <v>10</v>
      </c>
      <c r="DS99" s="902" t="s">
        <v>758</v>
      </c>
      <c r="DT99" s="949">
        <v>0.28999999999999998</v>
      </c>
      <c r="DU99" s="949">
        <v>0.5</v>
      </c>
      <c r="DV99" s="949">
        <v>0.21</v>
      </c>
      <c r="DW99" s="949">
        <v>0</v>
      </c>
      <c r="DX99" s="949">
        <v>0.52</v>
      </c>
      <c r="DY99" s="949">
        <v>0.46</v>
      </c>
      <c r="DZ99" s="949">
        <v>0.9</v>
      </c>
      <c r="EA99" s="949">
        <v>0.51</v>
      </c>
      <c r="EB99" s="949">
        <v>0.64</v>
      </c>
      <c r="EC99" s="949">
        <v>0.39</v>
      </c>
      <c r="ED99" s="922">
        <v>225754000661</v>
      </c>
      <c r="EE99" s="803" t="s">
        <v>27</v>
      </c>
    </row>
    <row r="100" spans="1:135" ht="24.95" customHeight="1" x14ac:dyDescent="0.2">
      <c r="A100" s="803" t="s">
        <v>127</v>
      </c>
      <c r="B100" s="1" t="s">
        <v>123</v>
      </c>
      <c r="C100" s="2">
        <v>4</v>
      </c>
      <c r="D100" s="12"/>
      <c r="E100" s="12"/>
      <c r="F100" s="12"/>
      <c r="G100" s="12"/>
      <c r="H100" s="12"/>
      <c r="I100" s="12"/>
      <c r="J100" s="12"/>
      <c r="K100" s="12"/>
      <c r="L100" s="12"/>
      <c r="M100" s="12"/>
      <c r="N100" s="12"/>
      <c r="O100" s="12"/>
      <c r="P100" s="12">
        <v>64</v>
      </c>
      <c r="Q100" s="12">
        <v>0</v>
      </c>
      <c r="R100" s="61">
        <v>0</v>
      </c>
      <c r="S100" s="61">
        <v>0</v>
      </c>
      <c r="T100" s="61">
        <v>1</v>
      </c>
      <c r="U100" s="61">
        <v>0</v>
      </c>
      <c r="V100" s="61">
        <v>0.3</v>
      </c>
      <c r="W100" s="61">
        <v>0.25</v>
      </c>
      <c r="X100" s="61">
        <v>0.25</v>
      </c>
      <c r="Y100" s="61">
        <v>0.25</v>
      </c>
      <c r="Z100" s="61">
        <v>0.27</v>
      </c>
      <c r="AA100" s="61">
        <v>0</v>
      </c>
      <c r="AB100" s="12" t="s">
        <v>126</v>
      </c>
      <c r="AC100" s="12" t="s">
        <v>126</v>
      </c>
      <c r="AD100" s="2"/>
      <c r="AE100" s="2"/>
      <c r="AF100" s="2"/>
      <c r="AG100" s="2"/>
      <c r="AH100" s="2"/>
      <c r="AI100" s="2"/>
      <c r="AJ100" s="2"/>
      <c r="AK100" s="2"/>
      <c r="AL100" s="2"/>
      <c r="AM100" s="2"/>
      <c r="AN100" s="12" t="s">
        <v>126</v>
      </c>
      <c r="AO100" s="12" t="s">
        <v>126</v>
      </c>
      <c r="AP100" s="2"/>
      <c r="AQ100" s="2"/>
      <c r="AR100" s="2"/>
      <c r="AS100" s="2"/>
      <c r="AT100" s="2"/>
      <c r="AU100" s="2"/>
      <c r="AV100" s="2"/>
      <c r="AW100" s="2"/>
      <c r="AX100" s="2"/>
      <c r="AY100" s="2"/>
      <c r="AZ100" s="35"/>
      <c r="BA100" s="35"/>
      <c r="BB100" s="40"/>
      <c r="BC100" s="40"/>
      <c r="BD100" s="40"/>
      <c r="BE100" s="40"/>
      <c r="BF100" s="40"/>
      <c r="BG100" s="40"/>
      <c r="BH100" s="40"/>
      <c r="BI100" s="40"/>
      <c r="BJ100" s="40"/>
      <c r="BK100" s="40"/>
      <c r="BL100" s="646"/>
      <c r="BM100" s="646"/>
      <c r="BN100" s="646"/>
      <c r="BO100" s="646"/>
      <c r="BP100" s="646"/>
      <c r="BQ100" s="646"/>
      <c r="BR100" s="646"/>
      <c r="BS100" s="646"/>
      <c r="BT100" s="646"/>
      <c r="BU100" s="646"/>
      <c r="BV100" s="646"/>
      <c r="BW100" s="646"/>
      <c r="BX100" s="646"/>
      <c r="BY100" s="646"/>
      <c r="BZ100" s="649"/>
      <c r="CA100" s="649"/>
      <c r="CB100" s="649"/>
      <c r="CC100" s="649"/>
      <c r="CD100" s="649"/>
      <c r="CE100" s="649"/>
      <c r="CF100" s="649"/>
      <c r="CG100" s="649"/>
      <c r="CH100" s="649"/>
      <c r="CI100" s="649"/>
      <c r="CJ100" s="649"/>
      <c r="CK100" s="649"/>
      <c r="CL100" s="649"/>
      <c r="CM100" s="649"/>
      <c r="CN100" s="651"/>
      <c r="CO100" s="651"/>
      <c r="CP100" s="651"/>
      <c r="CQ100" s="651"/>
      <c r="CR100" s="651"/>
      <c r="CS100" s="651"/>
      <c r="CT100" s="651"/>
      <c r="CU100" s="651"/>
      <c r="CV100" s="651"/>
      <c r="CW100" s="651"/>
      <c r="CX100" s="651"/>
      <c r="CY100" s="651"/>
      <c r="CZ100" s="660"/>
      <c r="DA100" s="660"/>
      <c r="DB100" s="662"/>
      <c r="DC100" s="662"/>
      <c r="DD100" s="662"/>
      <c r="DE100" s="662"/>
      <c r="DF100" s="662"/>
      <c r="DG100" s="662"/>
      <c r="DH100" s="662"/>
      <c r="DI100" s="662"/>
      <c r="DJ100" s="662"/>
      <c r="DK100" s="662"/>
      <c r="DL100" s="662"/>
      <c r="DM100" s="662"/>
      <c r="DN100" s="662"/>
      <c r="DO100" s="662"/>
      <c r="DT100" s="949"/>
      <c r="DU100" s="949"/>
      <c r="DV100" s="949"/>
      <c r="DW100" s="949"/>
      <c r="DX100" s="949"/>
      <c r="DY100" s="949"/>
      <c r="DZ100" s="949"/>
      <c r="EA100" s="949"/>
      <c r="EB100" s="949"/>
      <c r="EC100" s="949"/>
      <c r="ED100" s="922"/>
      <c r="EE100" s="803" t="s">
        <v>127</v>
      </c>
    </row>
    <row r="101" spans="1:135" ht="24.95" customHeight="1" x14ac:dyDescent="0.2">
      <c r="A101" s="803" t="s">
        <v>55</v>
      </c>
      <c r="B101" s="1" t="s">
        <v>121</v>
      </c>
      <c r="C101" s="2">
        <v>1</v>
      </c>
      <c r="D101" s="12">
        <v>49</v>
      </c>
      <c r="E101" s="12">
        <v>9</v>
      </c>
      <c r="F101" s="63">
        <v>0.23</v>
      </c>
      <c r="G101" s="63">
        <v>0.53</v>
      </c>
      <c r="H101" s="63">
        <v>0.24</v>
      </c>
      <c r="I101" s="63">
        <v>0.01</v>
      </c>
      <c r="J101" s="63">
        <v>0.57999999999999996</v>
      </c>
      <c r="K101" s="63">
        <v>0.52</v>
      </c>
      <c r="L101" s="63">
        <v>0.64</v>
      </c>
      <c r="M101" s="63">
        <v>0.46</v>
      </c>
      <c r="N101" s="63">
        <v>0.41</v>
      </c>
      <c r="O101" s="63">
        <v>0.54</v>
      </c>
      <c r="P101" s="12">
        <v>51</v>
      </c>
      <c r="Q101" s="12">
        <v>9</v>
      </c>
      <c r="R101" s="61">
        <v>0.12</v>
      </c>
      <c r="S101" s="61">
        <v>0.55000000000000004</v>
      </c>
      <c r="T101" s="61">
        <v>0.31</v>
      </c>
      <c r="U101" s="61">
        <v>0.02</v>
      </c>
      <c r="V101" s="61">
        <v>0.43</v>
      </c>
      <c r="W101" s="61">
        <v>0.47</v>
      </c>
      <c r="X101" s="61">
        <v>0.54</v>
      </c>
      <c r="Y101" s="61">
        <v>0.45</v>
      </c>
      <c r="Z101" s="61">
        <v>0.44</v>
      </c>
      <c r="AA101" s="61">
        <v>0.48</v>
      </c>
      <c r="AB101" s="12">
        <v>48</v>
      </c>
      <c r="AC101" s="12">
        <v>10</v>
      </c>
      <c r="AD101" s="63">
        <v>0.24</v>
      </c>
      <c r="AE101" s="63">
        <v>0.54</v>
      </c>
      <c r="AF101" s="63">
        <v>0.23</v>
      </c>
      <c r="AG101" s="63">
        <v>0</v>
      </c>
      <c r="AH101" s="63">
        <v>0.48</v>
      </c>
      <c r="AI101" s="63">
        <v>0.46</v>
      </c>
      <c r="AJ101" s="63">
        <v>0.4</v>
      </c>
      <c r="AK101" s="63">
        <v>0.54</v>
      </c>
      <c r="AL101" s="63">
        <v>0.56999999999999995</v>
      </c>
      <c r="AM101" s="63">
        <v>0.56999999999999995</v>
      </c>
      <c r="AN101" s="12">
        <v>48</v>
      </c>
      <c r="AO101" s="12">
        <v>11</v>
      </c>
      <c r="AP101" s="63">
        <v>0.26</v>
      </c>
      <c r="AQ101" s="63">
        <v>0.51</v>
      </c>
      <c r="AR101" s="63">
        <v>0.21</v>
      </c>
      <c r="AS101" s="63">
        <v>0.02</v>
      </c>
      <c r="AT101" s="63">
        <v>0.54</v>
      </c>
      <c r="AU101" s="63">
        <v>0.5</v>
      </c>
      <c r="AV101" s="63">
        <v>0.46</v>
      </c>
      <c r="AW101" s="63">
        <v>0.46</v>
      </c>
      <c r="AX101" s="63">
        <v>0.5</v>
      </c>
      <c r="AY101" s="63">
        <v>0.49</v>
      </c>
      <c r="AZ101" s="35">
        <v>49</v>
      </c>
      <c r="BA101" s="35">
        <v>11</v>
      </c>
      <c r="BB101" s="40">
        <v>0.23</v>
      </c>
      <c r="BC101" s="40">
        <v>0.49</v>
      </c>
      <c r="BD101" s="40">
        <v>0.26</v>
      </c>
      <c r="BE101" s="40">
        <v>0.02</v>
      </c>
      <c r="BF101" s="40">
        <v>0.49</v>
      </c>
      <c r="BG101" s="40">
        <v>0.48</v>
      </c>
      <c r="BH101" s="40">
        <v>0.5</v>
      </c>
      <c r="BI101" s="40">
        <v>0.56999999999999995</v>
      </c>
      <c r="BJ101" s="40">
        <v>0.44</v>
      </c>
      <c r="BK101" s="40">
        <v>0.43</v>
      </c>
      <c r="BL101" s="647">
        <v>48</v>
      </c>
      <c r="BM101" s="647" t="s">
        <v>758</v>
      </c>
      <c r="BN101" s="647">
        <v>10</v>
      </c>
      <c r="BO101" s="647" t="s">
        <v>758</v>
      </c>
      <c r="BP101" s="648">
        <v>0.23</v>
      </c>
      <c r="BQ101" s="648">
        <v>0.51</v>
      </c>
      <c r="BR101" s="648">
        <v>0.25</v>
      </c>
      <c r="BS101" s="648">
        <v>0.01</v>
      </c>
      <c r="BT101" s="648">
        <v>0.46</v>
      </c>
      <c r="BU101" s="648">
        <v>0.5</v>
      </c>
      <c r="BV101" s="648">
        <v>0.61</v>
      </c>
      <c r="BW101" s="648">
        <v>0.44</v>
      </c>
      <c r="BX101" s="648">
        <v>0.48</v>
      </c>
      <c r="BY101" s="648">
        <v>0.55000000000000004</v>
      </c>
      <c r="BZ101" s="74">
        <v>47</v>
      </c>
      <c r="CA101" s="74" t="s">
        <v>758</v>
      </c>
      <c r="CB101" s="74">
        <v>11</v>
      </c>
      <c r="CC101" s="74" t="s">
        <v>758</v>
      </c>
      <c r="CD101" s="96">
        <v>0.32</v>
      </c>
      <c r="CE101" s="96">
        <v>0.45</v>
      </c>
      <c r="CF101" s="96">
        <v>0.21</v>
      </c>
      <c r="CG101" s="96">
        <v>0.02</v>
      </c>
      <c r="CH101" s="96">
        <v>0.55000000000000004</v>
      </c>
      <c r="CI101" s="96">
        <v>0.47</v>
      </c>
      <c r="CJ101" s="96">
        <v>0.56999999999999995</v>
      </c>
      <c r="CK101" s="96">
        <v>0.57999999999999996</v>
      </c>
      <c r="CL101" s="96">
        <v>0.47</v>
      </c>
      <c r="CM101" s="96">
        <v>0.59</v>
      </c>
      <c r="CN101" s="652">
        <v>47</v>
      </c>
      <c r="CO101" s="652" t="s">
        <v>758</v>
      </c>
      <c r="CP101" s="652">
        <v>10</v>
      </c>
      <c r="CQ101" s="652" t="s">
        <v>758</v>
      </c>
      <c r="CR101" s="653">
        <v>0.31</v>
      </c>
      <c r="CS101" s="653">
        <v>0.48</v>
      </c>
      <c r="CT101" s="653">
        <v>0.2</v>
      </c>
      <c r="CU101" s="653">
        <v>0.01</v>
      </c>
      <c r="CV101" s="653">
        <v>0.38</v>
      </c>
      <c r="CW101" s="653">
        <v>0.6</v>
      </c>
      <c r="CX101" s="653">
        <v>0.6</v>
      </c>
      <c r="CY101" s="653">
        <v>0.59</v>
      </c>
      <c r="CZ101" s="661">
        <v>0.62</v>
      </c>
      <c r="DA101" s="661">
        <v>0.63</v>
      </c>
      <c r="DB101" s="47">
        <v>48</v>
      </c>
      <c r="DC101" s="47" t="s">
        <v>758</v>
      </c>
      <c r="DD101" s="47">
        <v>11</v>
      </c>
      <c r="DE101" s="47" t="s">
        <v>758</v>
      </c>
      <c r="DF101" s="664">
        <v>0.27</v>
      </c>
      <c r="DG101" s="664">
        <v>0.47</v>
      </c>
      <c r="DH101" s="664">
        <v>0.25</v>
      </c>
      <c r="DI101" s="664">
        <v>0.01</v>
      </c>
      <c r="DJ101" s="664">
        <v>0.53</v>
      </c>
      <c r="DK101" s="664">
        <v>0.53</v>
      </c>
      <c r="DL101" s="664">
        <v>0.54</v>
      </c>
      <c r="DM101" s="664">
        <v>0.64</v>
      </c>
      <c r="DN101" s="664">
        <v>0.56000000000000005</v>
      </c>
      <c r="DO101" s="664">
        <v>0.4</v>
      </c>
      <c r="DP101" s="902">
        <v>49</v>
      </c>
      <c r="DQ101" s="902" t="s">
        <v>758</v>
      </c>
      <c r="DR101" s="902">
        <v>10</v>
      </c>
      <c r="DS101" s="902" t="s">
        <v>758</v>
      </c>
      <c r="DT101" s="949">
        <v>0.23</v>
      </c>
      <c r="DU101" s="949">
        <v>0.49</v>
      </c>
      <c r="DV101" s="949">
        <v>0.27</v>
      </c>
      <c r="DW101" s="949">
        <v>0.02</v>
      </c>
      <c r="DX101" s="949">
        <v>0.53</v>
      </c>
      <c r="DY101" s="949">
        <v>0.41</v>
      </c>
      <c r="DZ101" s="949">
        <v>0.77</v>
      </c>
      <c r="EA101" s="949">
        <v>0.5</v>
      </c>
      <c r="EB101" s="949">
        <v>0.61</v>
      </c>
      <c r="EC101" s="949">
        <v>0.43</v>
      </c>
      <c r="ED101" s="922">
        <v>125754003569</v>
      </c>
      <c r="EE101" s="803" t="s">
        <v>55</v>
      </c>
    </row>
    <row r="102" spans="1:135" ht="24.95" customHeight="1" x14ac:dyDescent="0.2">
      <c r="A102" s="803" t="s">
        <v>22</v>
      </c>
      <c r="B102" s="1" t="s">
        <v>121</v>
      </c>
      <c r="C102" s="2">
        <v>6</v>
      </c>
      <c r="D102" s="12">
        <v>50</v>
      </c>
      <c r="E102" s="12">
        <v>9</v>
      </c>
      <c r="F102" s="63">
        <v>0.17</v>
      </c>
      <c r="G102" s="63">
        <v>0.59</v>
      </c>
      <c r="H102" s="63">
        <v>0.24</v>
      </c>
      <c r="I102" s="63">
        <v>0</v>
      </c>
      <c r="J102" s="63">
        <v>0.56000000000000005</v>
      </c>
      <c r="K102" s="63">
        <v>0.51</v>
      </c>
      <c r="L102" s="63">
        <v>0.64</v>
      </c>
      <c r="M102" s="63">
        <v>0.43</v>
      </c>
      <c r="N102" s="63">
        <v>0.47</v>
      </c>
      <c r="O102" s="63">
        <v>0.51</v>
      </c>
      <c r="P102" s="12">
        <v>49</v>
      </c>
      <c r="Q102" s="12">
        <v>9</v>
      </c>
      <c r="R102" s="61">
        <v>0.17</v>
      </c>
      <c r="S102" s="61">
        <v>0.59</v>
      </c>
      <c r="T102" s="61">
        <v>0.24</v>
      </c>
      <c r="U102" s="61">
        <v>0</v>
      </c>
      <c r="V102" s="61">
        <v>0.45</v>
      </c>
      <c r="W102" s="61">
        <v>0.52</v>
      </c>
      <c r="X102" s="61">
        <v>0.54</v>
      </c>
      <c r="Y102" s="61">
        <v>0.48</v>
      </c>
      <c r="Z102" s="61">
        <v>0.49</v>
      </c>
      <c r="AA102" s="61">
        <v>0.56000000000000005</v>
      </c>
      <c r="AB102" s="12">
        <v>46</v>
      </c>
      <c r="AC102" s="12">
        <v>10</v>
      </c>
      <c r="AD102" s="63">
        <v>0.31</v>
      </c>
      <c r="AE102" s="63">
        <v>0.51</v>
      </c>
      <c r="AF102" s="63">
        <v>0.17</v>
      </c>
      <c r="AG102" s="63">
        <v>0.01</v>
      </c>
      <c r="AH102" s="63">
        <v>0.5</v>
      </c>
      <c r="AI102" s="63">
        <v>0.45</v>
      </c>
      <c r="AJ102" s="63">
        <v>0.48</v>
      </c>
      <c r="AK102" s="63">
        <v>0.56999999999999995</v>
      </c>
      <c r="AL102" s="63">
        <v>0.63</v>
      </c>
      <c r="AM102" s="63">
        <v>0.55000000000000004</v>
      </c>
      <c r="AN102" s="12">
        <v>47</v>
      </c>
      <c r="AO102" s="12">
        <v>11</v>
      </c>
      <c r="AP102" s="63">
        <v>0.33</v>
      </c>
      <c r="AQ102" s="63">
        <v>0.46</v>
      </c>
      <c r="AR102" s="63">
        <v>0.19</v>
      </c>
      <c r="AS102" s="63">
        <v>0.02</v>
      </c>
      <c r="AT102" s="63">
        <v>0.57999999999999996</v>
      </c>
      <c r="AU102" s="63">
        <v>0.49</v>
      </c>
      <c r="AV102" s="63">
        <v>0.48</v>
      </c>
      <c r="AW102" s="63">
        <v>0.52</v>
      </c>
      <c r="AX102" s="63">
        <v>0.5</v>
      </c>
      <c r="AY102" s="63">
        <v>0.5</v>
      </c>
      <c r="AZ102" s="35">
        <v>48</v>
      </c>
      <c r="BA102" s="35">
        <v>10</v>
      </c>
      <c r="BB102" s="40">
        <v>0.24</v>
      </c>
      <c r="BC102" s="40">
        <v>0.53</v>
      </c>
      <c r="BD102" s="40">
        <v>0.21</v>
      </c>
      <c r="BE102" s="40">
        <v>0.02</v>
      </c>
      <c r="BF102" s="40">
        <v>0.5</v>
      </c>
      <c r="BG102" s="40">
        <v>0.55000000000000004</v>
      </c>
      <c r="BH102" s="40">
        <v>0.51</v>
      </c>
      <c r="BI102" s="40">
        <v>0.56999999999999995</v>
      </c>
      <c r="BJ102" s="40">
        <v>0.46</v>
      </c>
      <c r="BK102" s="40">
        <v>0.45</v>
      </c>
      <c r="BL102" s="246">
        <v>46</v>
      </c>
      <c r="BM102" s="246" t="s">
        <v>758</v>
      </c>
      <c r="BN102" s="246">
        <v>10</v>
      </c>
      <c r="BO102" s="246" t="s">
        <v>758</v>
      </c>
      <c r="BP102" s="263">
        <v>0.31</v>
      </c>
      <c r="BQ102" s="263">
        <v>0.5</v>
      </c>
      <c r="BR102" s="263">
        <v>0.19</v>
      </c>
      <c r="BS102" s="263">
        <v>0</v>
      </c>
      <c r="BT102" s="263">
        <v>0.5</v>
      </c>
      <c r="BU102" s="263">
        <v>0.55000000000000004</v>
      </c>
      <c r="BV102" s="263">
        <v>0.59</v>
      </c>
      <c r="BW102" s="263">
        <v>0.45</v>
      </c>
      <c r="BX102" s="263">
        <v>0.52</v>
      </c>
      <c r="BY102" s="263">
        <v>0.59</v>
      </c>
      <c r="BZ102" s="309">
        <v>46</v>
      </c>
      <c r="CA102" s="309" t="s">
        <v>758</v>
      </c>
      <c r="CB102" s="309">
        <v>10</v>
      </c>
      <c r="CC102" s="309" t="s">
        <v>758</v>
      </c>
      <c r="CD102" s="327">
        <v>0.3</v>
      </c>
      <c r="CE102" s="327">
        <v>0.5</v>
      </c>
      <c r="CF102" s="327">
        <v>0.19</v>
      </c>
      <c r="CG102" s="327">
        <v>0.01</v>
      </c>
      <c r="CH102" s="327">
        <v>0.55000000000000004</v>
      </c>
      <c r="CI102" s="327">
        <v>0.45</v>
      </c>
      <c r="CJ102" s="327">
        <v>0.62</v>
      </c>
      <c r="CK102" s="327">
        <v>0.6</v>
      </c>
      <c r="CL102" s="327">
        <v>0.47</v>
      </c>
      <c r="CM102" s="327">
        <v>0.63</v>
      </c>
      <c r="CN102" s="424">
        <v>47</v>
      </c>
      <c r="CO102" s="424" t="s">
        <v>758</v>
      </c>
      <c r="CP102" s="424">
        <v>10</v>
      </c>
      <c r="CQ102" s="424" t="s">
        <v>758</v>
      </c>
      <c r="CR102" s="428">
        <v>0.28000000000000003</v>
      </c>
      <c r="CS102" s="428">
        <v>0.51</v>
      </c>
      <c r="CT102" s="428">
        <v>0.19</v>
      </c>
      <c r="CU102" s="428">
        <v>0.01</v>
      </c>
      <c r="CV102" s="428">
        <v>0.42</v>
      </c>
      <c r="CW102" s="428">
        <v>0.61</v>
      </c>
      <c r="CX102" s="428">
        <v>0.64</v>
      </c>
      <c r="CY102" s="428">
        <v>0.61</v>
      </c>
      <c r="CZ102" s="523">
        <v>0.62</v>
      </c>
      <c r="DA102" s="523">
        <v>0.56000000000000005</v>
      </c>
      <c r="DB102" s="524">
        <v>47</v>
      </c>
      <c r="DC102" s="524" t="s">
        <v>758</v>
      </c>
      <c r="DD102" s="524">
        <v>10</v>
      </c>
      <c r="DE102" s="524" t="s">
        <v>758</v>
      </c>
      <c r="DF102" s="525">
        <v>0.28999999999999998</v>
      </c>
      <c r="DG102" s="525">
        <v>0.49</v>
      </c>
      <c r="DH102" s="525">
        <v>0.2</v>
      </c>
      <c r="DI102" s="525">
        <v>0.02</v>
      </c>
      <c r="DJ102" s="525">
        <v>0.5</v>
      </c>
      <c r="DK102" s="525">
        <v>0.56000000000000005</v>
      </c>
      <c r="DL102" s="525">
        <v>0.53</v>
      </c>
      <c r="DM102" s="525">
        <v>0.66</v>
      </c>
      <c r="DN102" s="525">
        <v>0.56999999999999995</v>
      </c>
      <c r="DO102" s="525">
        <v>0.51</v>
      </c>
      <c r="DP102" s="902">
        <v>49</v>
      </c>
      <c r="DQ102" s="902" t="s">
        <v>758</v>
      </c>
      <c r="DR102" s="902">
        <v>11</v>
      </c>
      <c r="DS102" s="902" t="s">
        <v>758</v>
      </c>
      <c r="DT102" s="949">
        <v>0.25</v>
      </c>
      <c r="DU102" s="949">
        <v>0.47</v>
      </c>
      <c r="DV102" s="949">
        <v>0.25</v>
      </c>
      <c r="DW102" s="949">
        <v>0.03</v>
      </c>
      <c r="DX102" s="949">
        <v>0.48</v>
      </c>
      <c r="DY102" s="949">
        <v>0.51</v>
      </c>
      <c r="DZ102" s="949">
        <v>0.7</v>
      </c>
      <c r="EA102" s="949">
        <v>0.46</v>
      </c>
      <c r="EB102" s="949">
        <v>0.63</v>
      </c>
      <c r="EC102" s="949">
        <v>0.4</v>
      </c>
      <c r="ED102" s="922">
        <v>325754001590</v>
      </c>
      <c r="EE102" s="803" t="s">
        <v>22</v>
      </c>
    </row>
    <row r="103" spans="1:135" ht="24.95" customHeight="1" x14ac:dyDescent="0.2">
      <c r="A103" s="803" t="s">
        <v>83</v>
      </c>
      <c r="B103" s="1" t="s">
        <v>121</v>
      </c>
      <c r="C103" s="2">
        <v>5</v>
      </c>
      <c r="D103" s="12">
        <v>53</v>
      </c>
      <c r="E103" s="12">
        <v>9</v>
      </c>
      <c r="F103" s="63">
        <v>0.11</v>
      </c>
      <c r="G103" s="63">
        <v>0.52</v>
      </c>
      <c r="H103" s="63">
        <v>0.36</v>
      </c>
      <c r="I103" s="63">
        <v>0.02</v>
      </c>
      <c r="J103" s="63">
        <v>0.5</v>
      </c>
      <c r="K103" s="63">
        <v>0.47</v>
      </c>
      <c r="L103" s="63">
        <v>0.61</v>
      </c>
      <c r="M103" s="63">
        <v>0.39</v>
      </c>
      <c r="N103" s="63">
        <v>0.43</v>
      </c>
      <c r="O103" s="63">
        <v>0.51</v>
      </c>
      <c r="P103" s="12">
        <v>52</v>
      </c>
      <c r="Q103" s="12">
        <v>10</v>
      </c>
      <c r="R103" s="61">
        <v>0.11</v>
      </c>
      <c r="S103" s="61">
        <v>0.54</v>
      </c>
      <c r="T103" s="61">
        <v>0.32</v>
      </c>
      <c r="U103" s="61">
        <v>0.03</v>
      </c>
      <c r="V103" s="61">
        <v>0.39</v>
      </c>
      <c r="W103" s="61">
        <v>0.45</v>
      </c>
      <c r="X103" s="61">
        <v>0.54</v>
      </c>
      <c r="Y103" s="61">
        <v>0.44</v>
      </c>
      <c r="Z103" s="61">
        <v>0.44</v>
      </c>
      <c r="AA103" s="61">
        <v>0.49</v>
      </c>
      <c r="AB103" s="12">
        <v>49</v>
      </c>
      <c r="AC103" s="12">
        <v>10</v>
      </c>
      <c r="AD103" s="63">
        <v>0.23</v>
      </c>
      <c r="AE103" s="63">
        <v>0.49</v>
      </c>
      <c r="AF103" s="63">
        <v>0.27</v>
      </c>
      <c r="AG103" s="63">
        <v>0.01</v>
      </c>
      <c r="AH103" s="63">
        <v>0.44</v>
      </c>
      <c r="AI103" s="63">
        <v>0.46</v>
      </c>
      <c r="AJ103" s="63">
        <v>0.42</v>
      </c>
      <c r="AK103" s="63">
        <v>0.51</v>
      </c>
      <c r="AL103" s="63">
        <v>0.59</v>
      </c>
      <c r="AM103" s="63">
        <v>0.56000000000000005</v>
      </c>
      <c r="AN103" s="12">
        <v>48</v>
      </c>
      <c r="AO103" s="12">
        <v>10</v>
      </c>
      <c r="AP103" s="63">
        <v>0.21</v>
      </c>
      <c r="AQ103" s="63">
        <v>0.56999999999999995</v>
      </c>
      <c r="AR103" s="63">
        <v>0.22</v>
      </c>
      <c r="AS103" s="63">
        <v>0.01</v>
      </c>
      <c r="AT103" s="63">
        <v>0.52</v>
      </c>
      <c r="AU103" s="63">
        <v>0.52</v>
      </c>
      <c r="AV103" s="63">
        <v>0.44</v>
      </c>
      <c r="AW103" s="63">
        <v>0.49</v>
      </c>
      <c r="AX103" s="63">
        <v>0.48</v>
      </c>
      <c r="AY103" s="63">
        <v>0.48</v>
      </c>
      <c r="AZ103" s="35">
        <v>50</v>
      </c>
      <c r="BA103" s="35">
        <v>10</v>
      </c>
      <c r="BB103" s="40">
        <v>0.22</v>
      </c>
      <c r="BC103" s="40">
        <v>0.5</v>
      </c>
      <c r="BD103" s="40">
        <v>0.27</v>
      </c>
      <c r="BE103" s="40">
        <v>0.01</v>
      </c>
      <c r="BF103" s="40">
        <v>0.52</v>
      </c>
      <c r="BG103" s="40">
        <v>0.49</v>
      </c>
      <c r="BH103" s="40">
        <v>0.48</v>
      </c>
      <c r="BI103" s="40">
        <v>0.54</v>
      </c>
      <c r="BJ103" s="40">
        <v>0.42</v>
      </c>
      <c r="BK103" s="40">
        <v>0.4</v>
      </c>
      <c r="BL103" s="246">
        <v>49</v>
      </c>
      <c r="BM103" s="246" t="s">
        <v>758</v>
      </c>
      <c r="BN103" s="246">
        <v>11</v>
      </c>
      <c r="BO103" s="246" t="s">
        <v>758</v>
      </c>
      <c r="BP103" s="263">
        <v>0.24</v>
      </c>
      <c r="BQ103" s="263">
        <v>0.47</v>
      </c>
      <c r="BR103" s="263">
        <v>0.28000000000000003</v>
      </c>
      <c r="BS103" s="263">
        <v>0.02</v>
      </c>
      <c r="BT103" s="263">
        <v>0.45</v>
      </c>
      <c r="BU103" s="263">
        <v>0.49</v>
      </c>
      <c r="BV103" s="263">
        <v>0.59</v>
      </c>
      <c r="BW103" s="263">
        <v>0.43</v>
      </c>
      <c r="BX103" s="263">
        <v>0.49</v>
      </c>
      <c r="BY103" s="263">
        <v>0.53</v>
      </c>
      <c r="BZ103" s="309">
        <v>50</v>
      </c>
      <c r="CA103" s="309" t="s">
        <v>758</v>
      </c>
      <c r="CB103" s="309">
        <v>10</v>
      </c>
      <c r="CC103" s="309" t="s">
        <v>758</v>
      </c>
      <c r="CD103" s="327">
        <v>0.18</v>
      </c>
      <c r="CE103" s="327">
        <v>0.52</v>
      </c>
      <c r="CF103" s="327">
        <v>0.27</v>
      </c>
      <c r="CG103" s="327">
        <v>0.03</v>
      </c>
      <c r="CH103" s="327">
        <v>0.5</v>
      </c>
      <c r="CI103" s="327">
        <v>0.39</v>
      </c>
      <c r="CJ103" s="327">
        <v>0.56000000000000005</v>
      </c>
      <c r="CK103" s="327">
        <v>0.52</v>
      </c>
      <c r="CL103" s="327">
        <v>0.41</v>
      </c>
      <c r="CM103" s="327">
        <v>0.54</v>
      </c>
      <c r="CN103" s="424">
        <v>51</v>
      </c>
      <c r="CO103" s="424" t="s">
        <v>758</v>
      </c>
      <c r="CP103" s="424">
        <v>10</v>
      </c>
      <c r="CQ103" s="424" t="s">
        <v>758</v>
      </c>
      <c r="CR103" s="428">
        <v>0.18</v>
      </c>
      <c r="CS103" s="428">
        <v>0.49</v>
      </c>
      <c r="CT103" s="428">
        <v>0.32</v>
      </c>
      <c r="CU103" s="428">
        <v>0.02</v>
      </c>
      <c r="CV103" s="428">
        <v>0.34</v>
      </c>
      <c r="CW103" s="428">
        <v>0.53</v>
      </c>
      <c r="CX103" s="428">
        <v>0.56999999999999995</v>
      </c>
      <c r="CY103" s="428">
        <v>0.69</v>
      </c>
      <c r="CZ103" s="523">
        <v>0.55000000000000004</v>
      </c>
      <c r="DA103" s="523">
        <v>0.5</v>
      </c>
      <c r="DB103" s="524">
        <v>50</v>
      </c>
      <c r="DC103" s="524" t="s">
        <v>758</v>
      </c>
      <c r="DD103" s="524">
        <v>10</v>
      </c>
      <c r="DE103" s="524" t="s">
        <v>758</v>
      </c>
      <c r="DF103" s="525">
        <v>0.18</v>
      </c>
      <c r="DG103" s="525">
        <v>0.52</v>
      </c>
      <c r="DH103" s="525">
        <v>0.28999999999999998</v>
      </c>
      <c r="DI103" s="525">
        <v>0</v>
      </c>
      <c r="DJ103" s="525">
        <v>0.49</v>
      </c>
      <c r="DK103" s="525">
        <v>0.47</v>
      </c>
      <c r="DL103" s="525">
        <v>0.48</v>
      </c>
      <c r="DM103" s="525">
        <v>0.67</v>
      </c>
      <c r="DN103" s="525">
        <v>0.49</v>
      </c>
      <c r="DO103" s="525">
        <v>0.43</v>
      </c>
      <c r="DP103" s="902">
        <v>51</v>
      </c>
      <c r="DQ103" s="902" t="s">
        <v>758</v>
      </c>
      <c r="DR103" s="902">
        <v>10</v>
      </c>
      <c r="DS103" s="902" t="s">
        <v>758</v>
      </c>
      <c r="DT103" s="949">
        <v>0.18</v>
      </c>
      <c r="DU103" s="949">
        <v>0.47</v>
      </c>
      <c r="DV103" s="949">
        <v>0.33</v>
      </c>
      <c r="DW103" s="949">
        <v>0.02</v>
      </c>
      <c r="DX103" s="949">
        <v>0.47</v>
      </c>
      <c r="DY103" s="949">
        <v>0.36</v>
      </c>
      <c r="DZ103" s="949">
        <v>0.68</v>
      </c>
      <c r="EA103" s="949">
        <v>0.46</v>
      </c>
      <c r="EB103" s="949">
        <v>0.53</v>
      </c>
      <c r="EC103" s="949">
        <v>0.37</v>
      </c>
      <c r="ED103" s="922">
        <v>125754002147</v>
      </c>
      <c r="EE103" s="803" t="s">
        <v>83</v>
      </c>
    </row>
    <row r="104" spans="1:135" ht="24.95" customHeight="1" x14ac:dyDescent="0.2">
      <c r="A104" s="803" t="s">
        <v>65</v>
      </c>
      <c r="B104" s="1" t="s">
        <v>121</v>
      </c>
      <c r="C104" s="2">
        <v>4</v>
      </c>
      <c r="D104" s="12">
        <v>46</v>
      </c>
      <c r="E104" s="12">
        <v>9</v>
      </c>
      <c r="F104" s="63">
        <v>0.32</v>
      </c>
      <c r="G104" s="63">
        <v>0.53</v>
      </c>
      <c r="H104" s="63">
        <v>0.14000000000000001</v>
      </c>
      <c r="I104" s="63">
        <v>0</v>
      </c>
      <c r="J104" s="63">
        <v>0.68</v>
      </c>
      <c r="K104" s="63">
        <v>0.56999999999999995</v>
      </c>
      <c r="L104" s="63">
        <v>0.66</v>
      </c>
      <c r="M104" s="63">
        <v>0.53</v>
      </c>
      <c r="N104" s="63">
        <v>0.51</v>
      </c>
      <c r="O104" s="63">
        <v>0.66</v>
      </c>
      <c r="P104" s="12">
        <v>47</v>
      </c>
      <c r="Q104" s="12">
        <v>11</v>
      </c>
      <c r="R104" s="61">
        <v>0.28999999999999998</v>
      </c>
      <c r="S104" s="61">
        <v>0.51</v>
      </c>
      <c r="T104" s="61">
        <v>0.17</v>
      </c>
      <c r="U104" s="61">
        <v>0.03</v>
      </c>
      <c r="V104" s="61">
        <v>0.5</v>
      </c>
      <c r="W104" s="61">
        <v>0.55000000000000004</v>
      </c>
      <c r="X104" s="61">
        <v>0.6</v>
      </c>
      <c r="Y104" s="61">
        <v>0.54</v>
      </c>
      <c r="Z104" s="61">
        <v>0.46</v>
      </c>
      <c r="AA104" s="61">
        <v>0.56999999999999995</v>
      </c>
      <c r="AB104" s="12">
        <v>45</v>
      </c>
      <c r="AC104" s="12">
        <v>11</v>
      </c>
      <c r="AD104" s="63">
        <v>0.39</v>
      </c>
      <c r="AE104" s="63">
        <v>0.44</v>
      </c>
      <c r="AF104" s="63">
        <v>0.16</v>
      </c>
      <c r="AG104" s="63">
        <v>0.02</v>
      </c>
      <c r="AH104" s="63">
        <v>0.5</v>
      </c>
      <c r="AI104" s="63">
        <v>0.54</v>
      </c>
      <c r="AJ104" s="63">
        <v>0.51</v>
      </c>
      <c r="AK104" s="63">
        <v>0.57999999999999996</v>
      </c>
      <c r="AL104" s="63">
        <v>0.63</v>
      </c>
      <c r="AM104" s="63">
        <v>0.56999999999999995</v>
      </c>
      <c r="AN104" s="12">
        <v>40</v>
      </c>
      <c r="AO104" s="12">
        <v>11</v>
      </c>
      <c r="AP104" s="63">
        <v>0.64</v>
      </c>
      <c r="AQ104" s="63">
        <v>0.25</v>
      </c>
      <c r="AR104" s="63">
        <v>0.1</v>
      </c>
      <c r="AS104" s="63">
        <v>0.01</v>
      </c>
      <c r="AT104" s="63">
        <v>0.66</v>
      </c>
      <c r="AU104" s="63">
        <v>0.6</v>
      </c>
      <c r="AV104" s="63">
        <v>0.56000000000000005</v>
      </c>
      <c r="AW104" s="63">
        <v>0.62</v>
      </c>
      <c r="AX104" s="63">
        <v>0.62</v>
      </c>
      <c r="AY104" s="63">
        <v>0.63</v>
      </c>
      <c r="AZ104" s="35">
        <v>45</v>
      </c>
      <c r="BA104" s="35">
        <v>9</v>
      </c>
      <c r="BB104" s="40">
        <v>0.36</v>
      </c>
      <c r="BC104" s="40">
        <v>0.5</v>
      </c>
      <c r="BD104" s="40">
        <v>0.14000000000000001</v>
      </c>
      <c r="BE104" s="40">
        <v>0</v>
      </c>
      <c r="BF104" s="40">
        <v>0.55000000000000004</v>
      </c>
      <c r="BG104" s="40">
        <v>0.56000000000000005</v>
      </c>
      <c r="BH104" s="40">
        <v>0.55000000000000004</v>
      </c>
      <c r="BI104" s="40">
        <v>0.61</v>
      </c>
      <c r="BJ104" s="40">
        <v>0.51</v>
      </c>
      <c r="BK104" s="40">
        <v>0.55000000000000004</v>
      </c>
      <c r="BL104" s="246">
        <v>44</v>
      </c>
      <c r="BM104" s="246" t="s">
        <v>758</v>
      </c>
      <c r="BN104" s="246">
        <v>10</v>
      </c>
      <c r="BO104" s="246" t="s">
        <v>758</v>
      </c>
      <c r="BP104" s="263">
        <v>0.38</v>
      </c>
      <c r="BQ104" s="263">
        <v>0.49</v>
      </c>
      <c r="BR104" s="263">
        <v>0.13</v>
      </c>
      <c r="BS104" s="263">
        <v>0</v>
      </c>
      <c r="BT104" s="263">
        <v>0.54</v>
      </c>
      <c r="BU104" s="263">
        <v>0.55000000000000004</v>
      </c>
      <c r="BV104" s="263">
        <v>0.65</v>
      </c>
      <c r="BW104" s="263">
        <v>0.52</v>
      </c>
      <c r="BX104" s="263">
        <v>0.56999999999999995</v>
      </c>
      <c r="BY104" s="263">
        <v>0.6</v>
      </c>
      <c r="BZ104" s="309">
        <v>44</v>
      </c>
      <c r="CA104" s="309" t="s">
        <v>758</v>
      </c>
      <c r="CB104" s="309">
        <v>10</v>
      </c>
      <c r="CC104" s="309" t="s">
        <v>758</v>
      </c>
      <c r="CD104" s="327">
        <v>0.38</v>
      </c>
      <c r="CE104" s="327">
        <v>0.51</v>
      </c>
      <c r="CF104" s="327">
        <v>0.11</v>
      </c>
      <c r="CG104" s="327">
        <v>0</v>
      </c>
      <c r="CH104" s="327">
        <v>0.54</v>
      </c>
      <c r="CI104" s="327">
        <v>0.54</v>
      </c>
      <c r="CJ104" s="327">
        <v>0.62</v>
      </c>
      <c r="CK104" s="327">
        <v>0.63</v>
      </c>
      <c r="CL104" s="327">
        <v>0.54</v>
      </c>
      <c r="CM104" s="327">
        <v>0.66</v>
      </c>
      <c r="CN104" s="424">
        <v>43</v>
      </c>
      <c r="CO104" s="424" t="s">
        <v>758</v>
      </c>
      <c r="CP104" s="424">
        <v>9</v>
      </c>
      <c r="CQ104" s="424" t="s">
        <v>758</v>
      </c>
      <c r="CR104" s="428">
        <v>0.46</v>
      </c>
      <c r="CS104" s="428">
        <v>0.46</v>
      </c>
      <c r="CT104" s="428">
        <v>7.0000000000000007E-2</v>
      </c>
      <c r="CU104" s="428">
        <v>0.01</v>
      </c>
      <c r="CV104" s="428">
        <v>0.47</v>
      </c>
      <c r="CW104" s="428">
        <v>0.66</v>
      </c>
      <c r="CX104" s="428">
        <v>0.69</v>
      </c>
      <c r="CY104" s="428">
        <v>0.7</v>
      </c>
      <c r="CZ104" s="523">
        <v>0.67</v>
      </c>
      <c r="DA104" s="523">
        <v>0.7</v>
      </c>
      <c r="DB104" s="524">
        <v>44</v>
      </c>
      <c r="DC104" s="524" t="s">
        <v>758</v>
      </c>
      <c r="DD104" s="524">
        <v>10</v>
      </c>
      <c r="DE104" s="524" t="s">
        <v>758</v>
      </c>
      <c r="DF104" s="525">
        <v>0.36</v>
      </c>
      <c r="DG104" s="525">
        <v>0.48</v>
      </c>
      <c r="DH104" s="525">
        <v>0.16</v>
      </c>
      <c r="DI104" s="525">
        <v>0</v>
      </c>
      <c r="DJ104" s="525">
        <v>0.56999999999999995</v>
      </c>
      <c r="DK104" s="525">
        <v>0.56000000000000005</v>
      </c>
      <c r="DL104" s="525">
        <v>0.61</v>
      </c>
      <c r="DM104" s="525">
        <v>0.7</v>
      </c>
      <c r="DN104" s="525">
        <v>0.61</v>
      </c>
      <c r="DO104" s="525">
        <v>0.61</v>
      </c>
      <c r="DP104" s="902">
        <v>43</v>
      </c>
      <c r="DQ104" s="902" t="s">
        <v>758</v>
      </c>
      <c r="DR104" s="902">
        <v>10</v>
      </c>
      <c r="DS104" s="902" t="s">
        <v>758</v>
      </c>
      <c r="DT104" s="949">
        <v>0.49</v>
      </c>
      <c r="DU104" s="949">
        <v>0.37</v>
      </c>
      <c r="DV104" s="949">
        <v>0.13</v>
      </c>
      <c r="DW104" s="949">
        <v>0</v>
      </c>
      <c r="DX104" s="949">
        <v>0.57999999999999996</v>
      </c>
      <c r="DY104" s="949">
        <v>0.49</v>
      </c>
      <c r="DZ104" s="949">
        <v>0.75</v>
      </c>
      <c r="EA104" s="949">
        <v>0.59</v>
      </c>
      <c r="EB104" s="949">
        <v>0.67</v>
      </c>
      <c r="EC104" s="949">
        <v>0.49</v>
      </c>
      <c r="ED104" s="922">
        <v>125754002554</v>
      </c>
      <c r="EE104" s="803" t="s">
        <v>65</v>
      </c>
    </row>
    <row r="105" spans="1:135" ht="24.95" customHeight="1" x14ac:dyDescent="0.2">
      <c r="A105" s="803" t="s">
        <v>33</v>
      </c>
      <c r="B105" s="1" t="s">
        <v>121</v>
      </c>
      <c r="C105" s="2">
        <v>4</v>
      </c>
      <c r="D105" s="12">
        <v>47</v>
      </c>
      <c r="E105" s="12">
        <v>8</v>
      </c>
      <c r="F105" s="63">
        <v>0.31</v>
      </c>
      <c r="G105" s="63">
        <v>0.57999999999999996</v>
      </c>
      <c r="H105" s="63">
        <v>0.12</v>
      </c>
      <c r="I105" s="63">
        <v>0</v>
      </c>
      <c r="J105" s="63">
        <v>0.62</v>
      </c>
      <c r="K105" s="63">
        <v>0.56000000000000005</v>
      </c>
      <c r="L105" s="63">
        <v>0.62</v>
      </c>
      <c r="M105" s="63">
        <v>0.45</v>
      </c>
      <c r="N105" s="63">
        <v>0.48</v>
      </c>
      <c r="O105" s="63">
        <v>0.51</v>
      </c>
      <c r="P105" s="12">
        <v>47</v>
      </c>
      <c r="Q105" s="12">
        <v>9</v>
      </c>
      <c r="R105" s="61">
        <v>0.31</v>
      </c>
      <c r="S105" s="61">
        <v>0.52</v>
      </c>
      <c r="T105" s="61">
        <v>0.17</v>
      </c>
      <c r="U105" s="61">
        <v>0</v>
      </c>
      <c r="V105" s="61">
        <v>0.51</v>
      </c>
      <c r="W105" s="61">
        <v>0.56999999999999995</v>
      </c>
      <c r="X105" s="61">
        <v>0.65</v>
      </c>
      <c r="Y105" s="61">
        <v>0.49</v>
      </c>
      <c r="Z105" s="61">
        <v>0.42</v>
      </c>
      <c r="AA105" s="61">
        <v>0.59</v>
      </c>
      <c r="AB105" s="12">
        <v>48</v>
      </c>
      <c r="AC105" s="12">
        <v>11</v>
      </c>
      <c r="AD105" s="63">
        <v>0.31</v>
      </c>
      <c r="AE105" s="63">
        <v>0.41</v>
      </c>
      <c r="AF105" s="63">
        <v>0.28000000000000003</v>
      </c>
      <c r="AG105" s="63">
        <v>0</v>
      </c>
      <c r="AH105" s="63">
        <v>0.5</v>
      </c>
      <c r="AI105" s="63">
        <v>0.49</v>
      </c>
      <c r="AJ105" s="63">
        <v>0.42</v>
      </c>
      <c r="AK105" s="63">
        <v>0.51</v>
      </c>
      <c r="AL105" s="63">
        <v>0.55000000000000004</v>
      </c>
      <c r="AM105" s="63">
        <v>0.56000000000000005</v>
      </c>
      <c r="AN105" s="12">
        <v>46</v>
      </c>
      <c r="AO105" s="12">
        <v>11</v>
      </c>
      <c r="AP105" s="63">
        <v>0.35</v>
      </c>
      <c r="AQ105" s="63">
        <v>0.48</v>
      </c>
      <c r="AR105" s="63">
        <v>0.16</v>
      </c>
      <c r="AS105" s="63">
        <v>0</v>
      </c>
      <c r="AT105" s="63">
        <v>0.56999999999999995</v>
      </c>
      <c r="AU105" s="63">
        <v>0.54</v>
      </c>
      <c r="AV105" s="63">
        <v>0.53</v>
      </c>
      <c r="AW105" s="63">
        <v>0.48</v>
      </c>
      <c r="AX105" s="63">
        <v>0.56000000000000005</v>
      </c>
      <c r="AY105" s="63">
        <v>0.5</v>
      </c>
      <c r="AZ105" s="35">
        <v>45</v>
      </c>
      <c r="BA105" s="35">
        <v>9</v>
      </c>
      <c r="BB105" s="40">
        <v>0.36</v>
      </c>
      <c r="BC105" s="40">
        <v>0.55000000000000004</v>
      </c>
      <c r="BD105" s="40">
        <v>0.09</v>
      </c>
      <c r="BE105" s="40">
        <v>0</v>
      </c>
      <c r="BF105" s="40">
        <v>0.57999999999999996</v>
      </c>
      <c r="BG105" s="40">
        <v>0.56999999999999995</v>
      </c>
      <c r="BH105" s="40">
        <v>0.59</v>
      </c>
      <c r="BI105" s="40">
        <v>0.7</v>
      </c>
      <c r="BJ105" s="40">
        <v>0.47</v>
      </c>
      <c r="BK105" s="40">
        <v>0.55000000000000004</v>
      </c>
      <c r="BL105" s="246">
        <v>42</v>
      </c>
      <c r="BM105" s="246" t="s">
        <v>758</v>
      </c>
      <c r="BN105" s="246">
        <v>9</v>
      </c>
      <c r="BO105" s="246" t="s">
        <v>758</v>
      </c>
      <c r="BP105" s="263">
        <v>0.44</v>
      </c>
      <c r="BQ105" s="263">
        <v>0.5</v>
      </c>
      <c r="BR105" s="263">
        <v>0.06</v>
      </c>
      <c r="BS105" s="263">
        <v>0</v>
      </c>
      <c r="BT105" s="263">
        <v>0.61</v>
      </c>
      <c r="BU105" s="263">
        <v>0.59</v>
      </c>
      <c r="BV105" s="263">
        <v>0.7</v>
      </c>
      <c r="BW105" s="263">
        <v>0.51</v>
      </c>
      <c r="BX105" s="263">
        <v>0.59</v>
      </c>
      <c r="BY105" s="263">
        <v>0.62</v>
      </c>
      <c r="BZ105" s="309">
        <v>44</v>
      </c>
      <c r="CA105" s="309" t="s">
        <v>758</v>
      </c>
      <c r="CB105" s="309">
        <v>7</v>
      </c>
      <c r="CC105" s="309" t="s">
        <v>760</v>
      </c>
      <c r="CD105" s="327">
        <v>0.36</v>
      </c>
      <c r="CE105" s="327">
        <v>0.57999999999999996</v>
      </c>
      <c r="CF105" s="327">
        <v>0.06</v>
      </c>
      <c r="CG105" s="327">
        <v>0</v>
      </c>
      <c r="CH105" s="327">
        <v>0.47</v>
      </c>
      <c r="CI105" s="327">
        <v>0.44</v>
      </c>
      <c r="CJ105" s="327">
        <v>0.69</v>
      </c>
      <c r="CK105" s="327">
        <v>0.62</v>
      </c>
      <c r="CL105" s="327">
        <v>0.53</v>
      </c>
      <c r="CM105" s="327">
        <v>0.6</v>
      </c>
      <c r="CN105" s="424">
        <v>47</v>
      </c>
      <c r="CO105" s="424" t="s">
        <v>758</v>
      </c>
      <c r="CP105" s="424">
        <v>10</v>
      </c>
      <c r="CQ105" s="424" t="s">
        <v>758</v>
      </c>
      <c r="CR105" s="428">
        <v>0.25</v>
      </c>
      <c r="CS105" s="428">
        <v>0.56999999999999995</v>
      </c>
      <c r="CT105" s="428">
        <v>0.18</v>
      </c>
      <c r="CU105" s="428">
        <v>0</v>
      </c>
      <c r="CV105" s="428">
        <v>0.48</v>
      </c>
      <c r="CW105" s="428">
        <v>0.57999999999999996</v>
      </c>
      <c r="CX105" s="428">
        <v>0.57999999999999996</v>
      </c>
      <c r="CY105" s="428">
        <v>0.75</v>
      </c>
      <c r="CZ105" s="523">
        <v>0.59</v>
      </c>
      <c r="DA105" s="523">
        <v>0.7</v>
      </c>
      <c r="DB105" s="524">
        <v>47</v>
      </c>
      <c r="DC105" s="524" t="s">
        <v>758</v>
      </c>
      <c r="DD105" s="524">
        <v>10</v>
      </c>
      <c r="DE105" s="524" t="s">
        <v>758</v>
      </c>
      <c r="DF105" s="525">
        <v>0.15</v>
      </c>
      <c r="DG105" s="525">
        <v>0.65</v>
      </c>
      <c r="DH105" s="525">
        <v>0.21</v>
      </c>
      <c r="DI105" s="525">
        <v>0</v>
      </c>
      <c r="DJ105" s="525">
        <v>0.54</v>
      </c>
      <c r="DK105" s="525">
        <v>0.59</v>
      </c>
      <c r="DL105" s="525">
        <v>0.48</v>
      </c>
      <c r="DM105" s="525">
        <v>0.62</v>
      </c>
      <c r="DN105" s="525">
        <v>0.57999999999999996</v>
      </c>
      <c r="DO105" s="525">
        <v>0.53</v>
      </c>
      <c r="DP105" s="902">
        <v>48</v>
      </c>
      <c r="DQ105" s="902" t="s">
        <v>758</v>
      </c>
      <c r="DR105" s="902">
        <v>9</v>
      </c>
      <c r="DS105" s="902" t="s">
        <v>758</v>
      </c>
      <c r="DT105" s="949">
        <v>0.19</v>
      </c>
      <c r="DU105" s="949">
        <v>0.45</v>
      </c>
      <c r="DV105" s="949">
        <v>0.35</v>
      </c>
      <c r="DW105" s="949">
        <v>0</v>
      </c>
      <c r="DX105" s="949">
        <v>0.52</v>
      </c>
      <c r="DY105" s="949">
        <v>0.43</v>
      </c>
      <c r="DZ105" s="949">
        <v>0.71</v>
      </c>
      <c r="EA105" s="949">
        <v>0.42</v>
      </c>
      <c r="EB105" s="949">
        <v>0.66</v>
      </c>
      <c r="EC105" s="949">
        <v>0.42</v>
      </c>
      <c r="ED105" s="922">
        <v>125754001973</v>
      </c>
      <c r="EE105" s="803" t="s">
        <v>33</v>
      </c>
    </row>
    <row r="106" spans="1:135" ht="24.95" customHeight="1" x14ac:dyDescent="0.2">
      <c r="A106" s="803" t="s">
        <v>773</v>
      </c>
      <c r="B106" s="1" t="s">
        <v>121</v>
      </c>
      <c r="C106" s="2">
        <v>3</v>
      </c>
      <c r="D106" s="12">
        <v>51</v>
      </c>
      <c r="E106" s="12">
        <v>8</v>
      </c>
      <c r="F106" s="63">
        <v>0.12</v>
      </c>
      <c r="G106" s="63">
        <v>0.56999999999999995</v>
      </c>
      <c r="H106" s="63">
        <v>0.3</v>
      </c>
      <c r="I106" s="63">
        <v>0.01</v>
      </c>
      <c r="J106" s="63">
        <v>0.52</v>
      </c>
      <c r="K106" s="63">
        <v>0.5</v>
      </c>
      <c r="L106" s="63">
        <v>0.55000000000000004</v>
      </c>
      <c r="M106" s="63">
        <v>0.47</v>
      </c>
      <c r="N106" s="63">
        <v>0.49</v>
      </c>
      <c r="O106" s="63">
        <v>0.54</v>
      </c>
      <c r="P106" s="12">
        <v>53</v>
      </c>
      <c r="Q106" s="12">
        <v>10</v>
      </c>
      <c r="R106" s="61">
        <v>0.12</v>
      </c>
      <c r="S106" s="61">
        <v>0.39</v>
      </c>
      <c r="T106" s="61">
        <v>0.49</v>
      </c>
      <c r="U106" s="61">
        <v>0</v>
      </c>
      <c r="V106" s="61">
        <v>0.43</v>
      </c>
      <c r="W106" s="61">
        <v>0.49</v>
      </c>
      <c r="X106" s="61">
        <v>0.55000000000000004</v>
      </c>
      <c r="Y106" s="61">
        <v>0.45</v>
      </c>
      <c r="Z106" s="61">
        <v>0.42</v>
      </c>
      <c r="AA106" s="61">
        <v>0.5</v>
      </c>
      <c r="AB106" s="12">
        <v>50</v>
      </c>
      <c r="AC106" s="12"/>
      <c r="AD106" s="63">
        <v>0.18</v>
      </c>
      <c r="AE106" s="63">
        <v>0.5</v>
      </c>
      <c r="AF106" s="63">
        <v>0.31</v>
      </c>
      <c r="AG106" s="63">
        <v>0.01</v>
      </c>
      <c r="AH106" s="63">
        <v>0.44</v>
      </c>
      <c r="AI106" s="63">
        <v>0.45</v>
      </c>
      <c r="AJ106" s="63">
        <v>0.41</v>
      </c>
      <c r="AK106" s="63">
        <v>0.52</v>
      </c>
      <c r="AL106" s="63">
        <v>0.55000000000000004</v>
      </c>
      <c r="AM106" s="63">
        <v>0.52</v>
      </c>
      <c r="AN106" s="12">
        <v>49</v>
      </c>
      <c r="AO106" s="12"/>
      <c r="AP106" s="63">
        <v>0.21</v>
      </c>
      <c r="AQ106" s="63">
        <v>0.5</v>
      </c>
      <c r="AR106" s="63">
        <v>0.28000000000000003</v>
      </c>
      <c r="AS106" s="63">
        <v>0.01</v>
      </c>
      <c r="AT106" s="63">
        <v>0.53</v>
      </c>
      <c r="AU106" s="63">
        <v>0.47</v>
      </c>
      <c r="AV106" s="63">
        <v>0.46</v>
      </c>
      <c r="AW106" s="63">
        <v>0.47</v>
      </c>
      <c r="AX106" s="63">
        <v>0.49</v>
      </c>
      <c r="AY106" s="63">
        <v>0.48</v>
      </c>
      <c r="AZ106" s="35">
        <v>52</v>
      </c>
      <c r="BA106" s="35">
        <v>10</v>
      </c>
      <c r="BB106" s="40">
        <v>0.12</v>
      </c>
      <c r="BC106" s="40">
        <v>0.48</v>
      </c>
      <c r="BD106" s="40">
        <v>0.38</v>
      </c>
      <c r="BE106" s="40">
        <v>0.03</v>
      </c>
      <c r="BF106" s="40">
        <v>0.45</v>
      </c>
      <c r="BG106" s="40">
        <v>0.46</v>
      </c>
      <c r="BH106" s="40">
        <v>0.47</v>
      </c>
      <c r="BI106" s="40">
        <v>0.54</v>
      </c>
      <c r="BJ106" s="40">
        <v>0.43</v>
      </c>
      <c r="BK106" s="40">
        <v>0.41</v>
      </c>
      <c r="BL106" s="246">
        <v>48</v>
      </c>
      <c r="BM106" s="246" t="s">
        <v>758</v>
      </c>
      <c r="BN106" s="246">
        <v>10</v>
      </c>
      <c r="BO106" s="246" t="s">
        <v>758</v>
      </c>
      <c r="BP106" s="263">
        <v>0.25</v>
      </c>
      <c r="BQ106" s="263">
        <v>0.55000000000000004</v>
      </c>
      <c r="BR106" s="263">
        <v>0.19</v>
      </c>
      <c r="BS106" s="263">
        <v>0.02</v>
      </c>
      <c r="BT106" s="263">
        <v>0.47</v>
      </c>
      <c r="BU106" s="263">
        <v>0.5</v>
      </c>
      <c r="BV106" s="263">
        <v>0.57999999999999996</v>
      </c>
      <c r="BW106" s="263">
        <v>0.45</v>
      </c>
      <c r="BX106" s="263">
        <v>0.48</v>
      </c>
      <c r="BY106" s="263">
        <v>0.55000000000000004</v>
      </c>
      <c r="BZ106" s="309">
        <v>51</v>
      </c>
      <c r="CA106" s="309" t="s">
        <v>758</v>
      </c>
      <c r="CB106" s="309">
        <v>10</v>
      </c>
      <c r="CC106" s="309" t="s">
        <v>758</v>
      </c>
      <c r="CD106" s="327">
        <v>0.19</v>
      </c>
      <c r="CE106" s="327">
        <v>0.45</v>
      </c>
      <c r="CF106" s="327">
        <v>0.34</v>
      </c>
      <c r="CG106" s="327">
        <v>0.02</v>
      </c>
      <c r="CH106" s="327">
        <v>0.52</v>
      </c>
      <c r="CI106" s="327">
        <v>0.36</v>
      </c>
      <c r="CJ106" s="327">
        <v>0.56999999999999995</v>
      </c>
      <c r="CK106" s="327">
        <v>0.55000000000000004</v>
      </c>
      <c r="CL106" s="327">
        <v>0.46</v>
      </c>
      <c r="CM106" s="327">
        <v>0.54</v>
      </c>
      <c r="CN106" s="424">
        <v>52</v>
      </c>
      <c r="CO106" s="424" t="s">
        <v>758</v>
      </c>
      <c r="CP106" s="424">
        <v>11</v>
      </c>
      <c r="CQ106" s="424" t="s">
        <v>758</v>
      </c>
      <c r="CR106" s="428">
        <v>0.16</v>
      </c>
      <c r="CS106" s="428">
        <v>0.46</v>
      </c>
      <c r="CT106" s="428">
        <v>0.34</v>
      </c>
      <c r="CU106" s="428">
        <v>0.04</v>
      </c>
      <c r="CV106" s="428">
        <v>0.34</v>
      </c>
      <c r="CW106" s="428">
        <v>0.51</v>
      </c>
      <c r="CX106" s="428">
        <v>0.55000000000000004</v>
      </c>
      <c r="CY106" s="428">
        <v>0.59</v>
      </c>
      <c r="CZ106" s="523">
        <v>0.56999999999999995</v>
      </c>
      <c r="DA106" s="523">
        <v>0.47</v>
      </c>
      <c r="DB106" s="524">
        <v>51</v>
      </c>
      <c r="DC106" s="524" t="s">
        <v>758</v>
      </c>
      <c r="DD106" s="524">
        <v>10</v>
      </c>
      <c r="DE106" s="524" t="s">
        <v>758</v>
      </c>
      <c r="DF106" s="525">
        <v>0.15</v>
      </c>
      <c r="DG106" s="525">
        <v>0.52</v>
      </c>
      <c r="DH106" s="525">
        <v>0.28999999999999998</v>
      </c>
      <c r="DI106" s="525">
        <v>0.04</v>
      </c>
      <c r="DJ106" s="525">
        <v>0.5</v>
      </c>
      <c r="DK106" s="525">
        <v>0.6</v>
      </c>
      <c r="DL106" s="525">
        <v>0.49</v>
      </c>
      <c r="DM106" s="525">
        <v>0.63</v>
      </c>
      <c r="DN106" s="525">
        <v>0.51</v>
      </c>
      <c r="DO106" s="525">
        <v>0.41</v>
      </c>
      <c r="DP106" s="902">
        <v>52</v>
      </c>
      <c r="DQ106" s="902" t="s">
        <v>758</v>
      </c>
      <c r="DR106" s="902">
        <v>11</v>
      </c>
      <c r="DS106" s="902" t="s">
        <v>758</v>
      </c>
      <c r="DT106" s="949">
        <v>0.17</v>
      </c>
      <c r="DU106" s="949">
        <v>0.45</v>
      </c>
      <c r="DV106" s="949">
        <v>0.36</v>
      </c>
      <c r="DW106" s="949">
        <v>0.03</v>
      </c>
      <c r="DX106" s="949">
        <v>0.49</v>
      </c>
      <c r="DY106" s="949">
        <v>0.39</v>
      </c>
      <c r="DZ106" s="949">
        <v>0.76</v>
      </c>
      <c r="EA106" s="949">
        <v>0.46</v>
      </c>
      <c r="EB106" s="949">
        <v>0.54</v>
      </c>
      <c r="EC106" s="949">
        <v>0.38</v>
      </c>
      <c r="ED106" s="922">
        <v>125754005600</v>
      </c>
      <c r="EE106" s="803" t="s">
        <v>773</v>
      </c>
    </row>
    <row r="107" spans="1:135" ht="24.95" customHeight="1" x14ac:dyDescent="0.2">
      <c r="A107" s="803" t="s">
        <v>78</v>
      </c>
      <c r="B107" s="1" t="s">
        <v>121</v>
      </c>
      <c r="C107" s="2">
        <v>1</v>
      </c>
      <c r="D107" s="12">
        <v>51</v>
      </c>
      <c r="E107" s="12">
        <v>9</v>
      </c>
      <c r="F107" s="63">
        <v>0.17</v>
      </c>
      <c r="G107" s="63">
        <v>0.52</v>
      </c>
      <c r="H107" s="63">
        <v>0.28999999999999998</v>
      </c>
      <c r="I107" s="63">
        <v>0.01</v>
      </c>
      <c r="J107" s="63">
        <v>0.56000000000000005</v>
      </c>
      <c r="K107" s="63">
        <v>0.56999999999999995</v>
      </c>
      <c r="L107" s="63">
        <v>0.56999999999999995</v>
      </c>
      <c r="M107" s="63">
        <v>0.49</v>
      </c>
      <c r="N107" s="63">
        <v>0.46</v>
      </c>
      <c r="O107" s="63">
        <v>0.47</v>
      </c>
      <c r="P107" s="12">
        <v>51</v>
      </c>
      <c r="Q107" s="12">
        <v>9</v>
      </c>
      <c r="R107" s="61">
        <v>0.15</v>
      </c>
      <c r="S107" s="61">
        <v>0.55000000000000004</v>
      </c>
      <c r="T107" s="61">
        <v>0.28999999999999998</v>
      </c>
      <c r="U107" s="61">
        <v>0.01</v>
      </c>
      <c r="V107" s="61">
        <v>0.44</v>
      </c>
      <c r="W107" s="61">
        <v>0.51</v>
      </c>
      <c r="X107" s="61">
        <v>0.55000000000000004</v>
      </c>
      <c r="Y107" s="61">
        <v>0.45</v>
      </c>
      <c r="Z107" s="61">
        <v>0.43</v>
      </c>
      <c r="AA107" s="61">
        <v>0.55000000000000004</v>
      </c>
      <c r="AB107" s="12">
        <v>47</v>
      </c>
      <c r="AC107" s="12">
        <v>10</v>
      </c>
      <c r="AD107" s="63">
        <v>0.26</v>
      </c>
      <c r="AE107" s="63">
        <v>0.57999999999999996</v>
      </c>
      <c r="AF107" s="63">
        <v>0.15</v>
      </c>
      <c r="AG107" s="63">
        <v>0.01</v>
      </c>
      <c r="AH107" s="63">
        <v>0.47</v>
      </c>
      <c r="AI107" s="63">
        <v>0.48</v>
      </c>
      <c r="AJ107" s="63">
        <v>0.47</v>
      </c>
      <c r="AK107" s="63">
        <v>0.54</v>
      </c>
      <c r="AL107" s="63">
        <v>0.62</v>
      </c>
      <c r="AM107" s="63">
        <v>0.59</v>
      </c>
      <c r="AN107" s="12">
        <v>46</v>
      </c>
      <c r="AO107" s="12">
        <v>10</v>
      </c>
      <c r="AP107" s="63">
        <v>0.33</v>
      </c>
      <c r="AQ107" s="63">
        <v>0.48</v>
      </c>
      <c r="AR107" s="63">
        <v>0.18</v>
      </c>
      <c r="AS107" s="63">
        <v>0.02</v>
      </c>
      <c r="AT107" s="63">
        <v>0.6</v>
      </c>
      <c r="AU107" s="63">
        <v>0.51</v>
      </c>
      <c r="AV107" s="63">
        <v>0.51</v>
      </c>
      <c r="AW107" s="63">
        <v>0.49</v>
      </c>
      <c r="AX107" s="63">
        <v>0.54</v>
      </c>
      <c r="AY107" s="63">
        <v>0.52</v>
      </c>
      <c r="AZ107" s="35">
        <v>50</v>
      </c>
      <c r="BA107" s="35">
        <v>10</v>
      </c>
      <c r="BB107" s="40">
        <v>0.17</v>
      </c>
      <c r="BC107" s="40">
        <v>0.55000000000000004</v>
      </c>
      <c r="BD107" s="40">
        <v>0.25</v>
      </c>
      <c r="BE107" s="40">
        <v>0.02</v>
      </c>
      <c r="BF107" s="40">
        <v>0.47</v>
      </c>
      <c r="BG107" s="40">
        <v>0.48</v>
      </c>
      <c r="BH107" s="40">
        <v>0.49</v>
      </c>
      <c r="BI107" s="40">
        <v>0.6</v>
      </c>
      <c r="BJ107" s="40">
        <v>0.43</v>
      </c>
      <c r="BK107" s="40">
        <v>0.43</v>
      </c>
      <c r="BL107" s="246">
        <v>48</v>
      </c>
      <c r="BM107" s="246" t="s">
        <v>758</v>
      </c>
      <c r="BN107" s="246">
        <v>10</v>
      </c>
      <c r="BO107" s="246" t="s">
        <v>758</v>
      </c>
      <c r="BP107" s="263">
        <v>0.24</v>
      </c>
      <c r="BQ107" s="263">
        <v>0.54</v>
      </c>
      <c r="BR107" s="263">
        <v>0.21</v>
      </c>
      <c r="BS107" s="263">
        <v>0.01</v>
      </c>
      <c r="BT107" s="263">
        <v>0.48</v>
      </c>
      <c r="BU107" s="263">
        <v>0.52</v>
      </c>
      <c r="BV107" s="263">
        <v>0.63</v>
      </c>
      <c r="BW107" s="263">
        <v>0.47</v>
      </c>
      <c r="BX107" s="263">
        <v>0.46</v>
      </c>
      <c r="BY107" s="263">
        <v>0.54</v>
      </c>
      <c r="BZ107" s="309">
        <v>49</v>
      </c>
      <c r="CA107" s="309" t="s">
        <v>758</v>
      </c>
      <c r="CB107" s="309">
        <v>11</v>
      </c>
      <c r="CC107" s="309" t="s">
        <v>758</v>
      </c>
      <c r="CD107" s="327">
        <v>0.26</v>
      </c>
      <c r="CE107" s="327">
        <v>0.47</v>
      </c>
      <c r="CF107" s="327">
        <v>0.25</v>
      </c>
      <c r="CG107" s="327">
        <v>0.02</v>
      </c>
      <c r="CH107" s="327">
        <v>0.54</v>
      </c>
      <c r="CI107" s="327">
        <v>0.47</v>
      </c>
      <c r="CJ107" s="327">
        <v>0.57999999999999996</v>
      </c>
      <c r="CK107" s="327">
        <v>0.56999999999999995</v>
      </c>
      <c r="CL107" s="327">
        <v>0.4</v>
      </c>
      <c r="CM107" s="327">
        <v>0.59</v>
      </c>
      <c r="CN107" s="424">
        <v>47</v>
      </c>
      <c r="CO107" s="424" t="s">
        <v>758</v>
      </c>
      <c r="CP107" s="424">
        <v>10</v>
      </c>
      <c r="CQ107" s="424" t="s">
        <v>758</v>
      </c>
      <c r="CR107" s="428">
        <v>0.28999999999999998</v>
      </c>
      <c r="CS107" s="428">
        <v>0.47</v>
      </c>
      <c r="CT107" s="428">
        <v>0.23</v>
      </c>
      <c r="CU107" s="428">
        <v>0.01</v>
      </c>
      <c r="CV107" s="428">
        <v>0.38</v>
      </c>
      <c r="CW107" s="428">
        <v>0.56000000000000005</v>
      </c>
      <c r="CX107" s="428">
        <v>0.63</v>
      </c>
      <c r="CY107" s="428">
        <v>0.65</v>
      </c>
      <c r="CZ107" s="523">
        <v>0.6</v>
      </c>
      <c r="DA107" s="523">
        <v>0.61</v>
      </c>
      <c r="DB107" s="524">
        <v>47</v>
      </c>
      <c r="DC107" s="524" t="s">
        <v>758</v>
      </c>
      <c r="DD107" s="524">
        <v>11</v>
      </c>
      <c r="DE107" s="524" t="s">
        <v>758</v>
      </c>
      <c r="DF107" s="525">
        <v>0.31</v>
      </c>
      <c r="DG107" s="525">
        <v>0.47</v>
      </c>
      <c r="DH107" s="525">
        <v>0.21</v>
      </c>
      <c r="DI107" s="525">
        <v>0.01</v>
      </c>
      <c r="DJ107" s="525">
        <v>0.52</v>
      </c>
      <c r="DK107" s="525">
        <v>0.43</v>
      </c>
      <c r="DL107" s="525">
        <v>0.55000000000000004</v>
      </c>
      <c r="DM107" s="525">
        <v>0.72</v>
      </c>
      <c r="DN107" s="525">
        <v>0.56999999999999995</v>
      </c>
      <c r="DO107" s="525">
        <v>0.43</v>
      </c>
      <c r="DP107" s="902">
        <v>44</v>
      </c>
      <c r="DQ107" s="902" t="s">
        <v>758</v>
      </c>
      <c r="DR107" s="902">
        <v>10</v>
      </c>
      <c r="DS107" s="902" t="s">
        <v>758</v>
      </c>
      <c r="DT107" s="949">
        <v>0.36</v>
      </c>
      <c r="DU107" s="949">
        <v>0.47</v>
      </c>
      <c r="DV107" s="949">
        <v>0.17</v>
      </c>
      <c r="DW107" s="949">
        <v>0</v>
      </c>
      <c r="DX107" s="949">
        <v>0.56999999999999995</v>
      </c>
      <c r="DY107" s="949">
        <v>0.52</v>
      </c>
      <c r="DZ107" s="949">
        <v>0.79</v>
      </c>
      <c r="EA107" s="949">
        <v>0.53</v>
      </c>
      <c r="EB107" s="949">
        <v>0.64</v>
      </c>
      <c r="EC107" s="949">
        <v>0.5</v>
      </c>
      <c r="ED107" s="922">
        <v>125754001418</v>
      </c>
      <c r="EE107" s="803" t="s">
        <v>78</v>
      </c>
    </row>
    <row r="108" spans="1:135" ht="24.95" customHeight="1" x14ac:dyDescent="0.2">
      <c r="A108" s="809" t="s">
        <v>177</v>
      </c>
      <c r="B108" s="14" t="s">
        <v>121</v>
      </c>
      <c r="C108" s="2">
        <v>3</v>
      </c>
      <c r="D108" s="12">
        <v>49</v>
      </c>
      <c r="E108" s="12">
        <v>9</v>
      </c>
      <c r="F108" s="63">
        <v>0.21</v>
      </c>
      <c r="G108" s="63">
        <v>0.59</v>
      </c>
      <c r="H108" s="63">
        <v>0.18</v>
      </c>
      <c r="I108" s="63">
        <v>0.03</v>
      </c>
      <c r="J108" s="63">
        <v>0.56000000000000005</v>
      </c>
      <c r="K108" s="63">
        <v>0.51</v>
      </c>
      <c r="L108" s="63">
        <v>0.65</v>
      </c>
      <c r="M108" s="63">
        <v>0.47</v>
      </c>
      <c r="N108" s="63">
        <v>0.45</v>
      </c>
      <c r="O108" s="63">
        <v>0.54</v>
      </c>
      <c r="P108" s="12">
        <v>50</v>
      </c>
      <c r="Q108" s="12">
        <v>9</v>
      </c>
      <c r="R108" s="61">
        <v>0.17</v>
      </c>
      <c r="S108" s="61">
        <v>0.52</v>
      </c>
      <c r="T108" s="61">
        <v>0.31</v>
      </c>
      <c r="U108" s="61">
        <v>0</v>
      </c>
      <c r="V108" s="61">
        <v>0.46</v>
      </c>
      <c r="W108" s="61">
        <v>0.5</v>
      </c>
      <c r="X108" s="61">
        <v>0.59</v>
      </c>
      <c r="Y108" s="61">
        <v>0.48</v>
      </c>
      <c r="Z108" s="61">
        <v>0.45</v>
      </c>
      <c r="AA108" s="61">
        <v>0.52</v>
      </c>
      <c r="AB108" s="12">
        <v>51</v>
      </c>
      <c r="AC108" s="12">
        <v>10</v>
      </c>
      <c r="AD108" s="63">
        <v>0.15</v>
      </c>
      <c r="AE108" s="63">
        <v>0.52</v>
      </c>
      <c r="AF108" s="63">
        <v>0.31</v>
      </c>
      <c r="AG108" s="63">
        <v>0.02</v>
      </c>
      <c r="AH108" s="63">
        <v>0.44</v>
      </c>
      <c r="AI108" s="63">
        <v>0.42</v>
      </c>
      <c r="AJ108" s="63">
        <v>0.42</v>
      </c>
      <c r="AK108" s="63">
        <v>0.51</v>
      </c>
      <c r="AL108" s="63">
        <v>0.55000000000000004</v>
      </c>
      <c r="AM108" s="63">
        <v>0.52</v>
      </c>
      <c r="AN108" s="12">
        <v>48</v>
      </c>
      <c r="AO108" s="12">
        <v>10</v>
      </c>
      <c r="AP108" s="63">
        <v>0.28000000000000003</v>
      </c>
      <c r="AQ108" s="63">
        <v>0.47</v>
      </c>
      <c r="AR108" s="63">
        <v>0.23</v>
      </c>
      <c r="AS108" s="63">
        <v>0.02</v>
      </c>
      <c r="AT108" s="63">
        <v>0.56000000000000005</v>
      </c>
      <c r="AU108" s="63">
        <v>0.51</v>
      </c>
      <c r="AV108" s="63">
        <v>0.48</v>
      </c>
      <c r="AW108" s="63">
        <v>0.49</v>
      </c>
      <c r="AX108" s="63">
        <v>0.51</v>
      </c>
      <c r="AY108" s="63">
        <v>0.5</v>
      </c>
      <c r="AZ108" s="35">
        <v>51</v>
      </c>
      <c r="BA108" s="35">
        <v>10</v>
      </c>
      <c r="BB108" s="40">
        <v>0.19</v>
      </c>
      <c r="BC108" s="40">
        <v>0.44</v>
      </c>
      <c r="BD108" s="40">
        <v>0.36</v>
      </c>
      <c r="BE108" s="40">
        <v>0.01</v>
      </c>
      <c r="BF108" s="40">
        <v>0.47</v>
      </c>
      <c r="BG108" s="40">
        <v>0.46</v>
      </c>
      <c r="BH108" s="40">
        <v>0.44</v>
      </c>
      <c r="BI108" s="40">
        <v>0.51</v>
      </c>
      <c r="BJ108" s="40">
        <v>0.42</v>
      </c>
      <c r="BK108" s="40">
        <v>0.39</v>
      </c>
      <c r="BL108" s="246">
        <v>49</v>
      </c>
      <c r="BM108" s="246" t="s">
        <v>758</v>
      </c>
      <c r="BN108" s="246">
        <v>10</v>
      </c>
      <c r="BO108" s="246" t="s">
        <v>758</v>
      </c>
      <c r="BP108" s="263">
        <v>0.19</v>
      </c>
      <c r="BQ108" s="263">
        <v>0.54</v>
      </c>
      <c r="BR108" s="263">
        <v>0.25</v>
      </c>
      <c r="BS108" s="263">
        <v>0.02</v>
      </c>
      <c r="BT108" s="263">
        <v>0.47</v>
      </c>
      <c r="BU108" s="263">
        <v>0.49</v>
      </c>
      <c r="BV108" s="263">
        <v>0.54</v>
      </c>
      <c r="BW108" s="263">
        <v>0.43</v>
      </c>
      <c r="BX108" s="263">
        <v>0.46</v>
      </c>
      <c r="BY108" s="263">
        <v>0.54</v>
      </c>
      <c r="BZ108" s="309">
        <v>51</v>
      </c>
      <c r="CA108" s="309" t="s">
        <v>758</v>
      </c>
      <c r="CB108" s="309">
        <v>10</v>
      </c>
      <c r="CC108" s="309" t="s">
        <v>758</v>
      </c>
      <c r="CD108" s="327">
        <v>0.16</v>
      </c>
      <c r="CE108" s="327">
        <v>0.51</v>
      </c>
      <c r="CF108" s="327">
        <v>0.3</v>
      </c>
      <c r="CG108" s="327">
        <v>0.02</v>
      </c>
      <c r="CH108" s="327">
        <v>0.52</v>
      </c>
      <c r="CI108" s="327">
        <v>0.39</v>
      </c>
      <c r="CJ108" s="327">
        <v>0.56999999999999995</v>
      </c>
      <c r="CK108" s="327">
        <v>0.52</v>
      </c>
      <c r="CL108" s="327">
        <v>0.43</v>
      </c>
      <c r="CM108" s="327">
        <v>0.55000000000000004</v>
      </c>
      <c r="CN108" s="424">
        <v>51</v>
      </c>
      <c r="CO108" s="424" t="s">
        <v>758</v>
      </c>
      <c r="CP108" s="424">
        <v>10</v>
      </c>
      <c r="CQ108" s="424" t="s">
        <v>758</v>
      </c>
      <c r="CR108" s="428">
        <v>0.18</v>
      </c>
      <c r="CS108" s="428">
        <v>0.49</v>
      </c>
      <c r="CT108" s="428">
        <v>0.3</v>
      </c>
      <c r="CU108" s="428">
        <v>0.03</v>
      </c>
      <c r="CV108" s="428">
        <v>0.33</v>
      </c>
      <c r="CW108" s="428">
        <v>0.53</v>
      </c>
      <c r="CX108" s="428">
        <v>0.59</v>
      </c>
      <c r="CY108" s="428">
        <v>0.65</v>
      </c>
      <c r="CZ108" s="523">
        <v>0.57999999999999996</v>
      </c>
      <c r="DA108" s="523">
        <v>0.51</v>
      </c>
      <c r="DB108" s="524">
        <v>51</v>
      </c>
      <c r="DC108" s="524" t="s">
        <v>758</v>
      </c>
      <c r="DD108" s="524">
        <v>11</v>
      </c>
      <c r="DE108" s="524" t="s">
        <v>758</v>
      </c>
      <c r="DF108" s="525">
        <v>0.17</v>
      </c>
      <c r="DG108" s="525">
        <v>0.47</v>
      </c>
      <c r="DH108" s="525">
        <v>0.32</v>
      </c>
      <c r="DI108" s="525">
        <v>0.03</v>
      </c>
      <c r="DJ108" s="525">
        <v>0.52</v>
      </c>
      <c r="DK108" s="525">
        <v>0.5</v>
      </c>
      <c r="DL108" s="525">
        <v>0.48</v>
      </c>
      <c r="DM108" s="525">
        <v>0.61</v>
      </c>
      <c r="DN108" s="525">
        <v>0.53</v>
      </c>
      <c r="DO108" s="525">
        <v>0.38</v>
      </c>
      <c r="DP108" s="902">
        <v>51</v>
      </c>
      <c r="DQ108" s="902" t="s">
        <v>758</v>
      </c>
      <c r="DR108" s="902">
        <v>10</v>
      </c>
      <c r="DS108" s="902" t="s">
        <v>758</v>
      </c>
      <c r="DT108" s="949">
        <v>0.16</v>
      </c>
      <c r="DU108" s="949">
        <v>0.51</v>
      </c>
      <c r="DV108" s="949">
        <v>0.3</v>
      </c>
      <c r="DW108" s="949">
        <v>0.03</v>
      </c>
      <c r="DX108" s="949">
        <v>0.5</v>
      </c>
      <c r="DY108" s="949">
        <v>0.35</v>
      </c>
      <c r="DZ108" s="949">
        <v>0.65</v>
      </c>
      <c r="EA108" s="949">
        <v>0.45</v>
      </c>
      <c r="EB108" s="949">
        <v>0.56000000000000005</v>
      </c>
      <c r="EC108" s="949">
        <v>0.38</v>
      </c>
      <c r="ED108" s="922">
        <v>125754005464</v>
      </c>
      <c r="EE108" s="809" t="s">
        <v>177</v>
      </c>
    </row>
    <row r="109" spans="1:135" ht="24.95" customHeight="1" x14ac:dyDescent="0.2">
      <c r="A109" s="803" t="s">
        <v>61</v>
      </c>
      <c r="B109" s="1" t="s">
        <v>121</v>
      </c>
      <c r="C109" s="2">
        <v>4</v>
      </c>
      <c r="D109" s="12">
        <v>48</v>
      </c>
      <c r="E109" s="12">
        <v>9</v>
      </c>
      <c r="F109" s="63">
        <v>0.26</v>
      </c>
      <c r="G109" s="63">
        <v>0.52</v>
      </c>
      <c r="H109" s="63">
        <v>0.22</v>
      </c>
      <c r="I109" s="63">
        <v>0</v>
      </c>
      <c r="J109" s="63">
        <v>0.61</v>
      </c>
      <c r="K109" s="63">
        <v>0.53</v>
      </c>
      <c r="L109" s="63">
        <v>0.66</v>
      </c>
      <c r="M109" s="63">
        <v>0.48</v>
      </c>
      <c r="N109" s="63">
        <v>0.49</v>
      </c>
      <c r="O109" s="63">
        <v>0.5</v>
      </c>
      <c r="P109" s="12">
        <v>46</v>
      </c>
      <c r="Q109" s="12">
        <v>9</v>
      </c>
      <c r="R109" s="61">
        <v>0.3</v>
      </c>
      <c r="S109" s="61">
        <v>0.55000000000000004</v>
      </c>
      <c r="T109" s="61">
        <v>0.15</v>
      </c>
      <c r="U109" s="61">
        <v>0</v>
      </c>
      <c r="V109" s="61">
        <v>0.53</v>
      </c>
      <c r="W109" s="61">
        <v>0.56000000000000005</v>
      </c>
      <c r="X109" s="61">
        <v>0.66</v>
      </c>
      <c r="Y109" s="61">
        <v>0.56000000000000005</v>
      </c>
      <c r="Z109" s="61">
        <v>0.47</v>
      </c>
      <c r="AA109" s="61">
        <v>0.61</v>
      </c>
      <c r="AB109" s="12">
        <v>44</v>
      </c>
      <c r="AC109" s="12">
        <v>9</v>
      </c>
      <c r="AD109" s="63">
        <v>0.37</v>
      </c>
      <c r="AE109" s="63">
        <v>0.52</v>
      </c>
      <c r="AF109" s="63">
        <v>0.1</v>
      </c>
      <c r="AG109" s="63">
        <v>0.01</v>
      </c>
      <c r="AH109" s="63">
        <v>0.53</v>
      </c>
      <c r="AI109" s="63">
        <v>0.54</v>
      </c>
      <c r="AJ109" s="63">
        <v>0.52</v>
      </c>
      <c r="AK109" s="63">
        <v>0.59</v>
      </c>
      <c r="AL109" s="63">
        <v>0.62</v>
      </c>
      <c r="AM109" s="63">
        <v>0.57999999999999996</v>
      </c>
      <c r="AN109" s="12">
        <v>41</v>
      </c>
      <c r="AO109" s="12">
        <v>9</v>
      </c>
      <c r="AP109" s="63">
        <v>0.49</v>
      </c>
      <c r="AQ109" s="63">
        <v>0.41</v>
      </c>
      <c r="AR109" s="63">
        <v>0.1</v>
      </c>
      <c r="AS109" s="63">
        <v>0</v>
      </c>
      <c r="AT109" s="63">
        <v>0.7</v>
      </c>
      <c r="AU109" s="63">
        <v>0.57999999999999996</v>
      </c>
      <c r="AV109" s="63">
        <v>0.57999999999999996</v>
      </c>
      <c r="AW109" s="63">
        <v>0.6</v>
      </c>
      <c r="AX109" s="63">
        <v>0.57999999999999996</v>
      </c>
      <c r="AY109" s="63">
        <v>0.54</v>
      </c>
      <c r="AZ109" s="35">
        <v>45</v>
      </c>
      <c r="BA109" s="35">
        <v>9</v>
      </c>
      <c r="BB109" s="40">
        <v>0.31</v>
      </c>
      <c r="BC109" s="40">
        <v>0.56000000000000005</v>
      </c>
      <c r="BD109" s="40">
        <v>0.12</v>
      </c>
      <c r="BE109" s="40">
        <v>0.01</v>
      </c>
      <c r="BF109" s="40">
        <v>0.61</v>
      </c>
      <c r="BG109" s="40">
        <v>0.55000000000000004</v>
      </c>
      <c r="BH109" s="40">
        <v>0.53</v>
      </c>
      <c r="BI109" s="40">
        <v>0.65</v>
      </c>
      <c r="BJ109" s="40">
        <v>0.51</v>
      </c>
      <c r="BK109" s="40">
        <v>0.52</v>
      </c>
      <c r="BL109" s="246">
        <v>43</v>
      </c>
      <c r="BM109" s="246" t="s">
        <v>758</v>
      </c>
      <c r="BN109" s="246">
        <v>10</v>
      </c>
      <c r="BO109" s="246" t="s">
        <v>758</v>
      </c>
      <c r="BP109" s="263">
        <v>0.43</v>
      </c>
      <c r="BQ109" s="263">
        <v>0.46</v>
      </c>
      <c r="BR109" s="263">
        <v>0.11</v>
      </c>
      <c r="BS109" s="263">
        <v>0</v>
      </c>
      <c r="BT109" s="263">
        <v>0.51</v>
      </c>
      <c r="BU109" s="263">
        <v>0.57999999999999996</v>
      </c>
      <c r="BV109" s="263">
        <v>0.66</v>
      </c>
      <c r="BW109" s="263">
        <v>0.53</v>
      </c>
      <c r="BX109" s="263">
        <v>0.57999999999999996</v>
      </c>
      <c r="BY109" s="263">
        <v>0.64</v>
      </c>
      <c r="BZ109" s="309">
        <v>45</v>
      </c>
      <c r="CA109" s="309" t="s">
        <v>758</v>
      </c>
      <c r="CB109" s="309">
        <v>11</v>
      </c>
      <c r="CC109" s="309" t="s">
        <v>758</v>
      </c>
      <c r="CD109" s="327">
        <v>0.35</v>
      </c>
      <c r="CE109" s="327">
        <v>0.46</v>
      </c>
      <c r="CF109" s="327">
        <v>0.18</v>
      </c>
      <c r="CG109" s="327">
        <v>0.02</v>
      </c>
      <c r="CH109" s="327">
        <v>0.59</v>
      </c>
      <c r="CI109" s="327">
        <v>0.49</v>
      </c>
      <c r="CJ109" s="327">
        <v>0.62</v>
      </c>
      <c r="CK109" s="327">
        <v>0.62</v>
      </c>
      <c r="CL109" s="327">
        <v>0.51</v>
      </c>
      <c r="CM109" s="327">
        <v>0.63</v>
      </c>
      <c r="CN109" s="424">
        <v>44</v>
      </c>
      <c r="CO109" s="424" t="s">
        <v>758</v>
      </c>
      <c r="CP109" s="424">
        <v>10</v>
      </c>
      <c r="CQ109" s="424" t="s">
        <v>758</v>
      </c>
      <c r="CR109" s="428">
        <v>0.38</v>
      </c>
      <c r="CS109" s="428">
        <v>0.53</v>
      </c>
      <c r="CT109" s="428">
        <v>0.08</v>
      </c>
      <c r="CU109" s="428">
        <v>0.01</v>
      </c>
      <c r="CV109" s="428">
        <v>0.51</v>
      </c>
      <c r="CW109" s="428">
        <v>0.61</v>
      </c>
      <c r="CX109" s="428">
        <v>0.64</v>
      </c>
      <c r="CY109" s="428">
        <v>0.73</v>
      </c>
      <c r="CZ109" s="523">
        <v>0.65</v>
      </c>
      <c r="DA109" s="523">
        <v>0.59</v>
      </c>
      <c r="DB109" s="524">
        <v>44</v>
      </c>
      <c r="DC109" s="524" t="s">
        <v>758</v>
      </c>
      <c r="DD109" s="524">
        <v>10</v>
      </c>
      <c r="DE109" s="524" t="s">
        <v>758</v>
      </c>
      <c r="DF109" s="525">
        <v>0.4</v>
      </c>
      <c r="DG109" s="525">
        <v>0.43</v>
      </c>
      <c r="DH109" s="525">
        <v>0.16</v>
      </c>
      <c r="DI109" s="525">
        <v>0.01</v>
      </c>
      <c r="DJ109" s="525">
        <v>0.55000000000000004</v>
      </c>
      <c r="DK109" s="525">
        <v>0.54</v>
      </c>
      <c r="DL109" s="525">
        <v>0.59</v>
      </c>
      <c r="DM109" s="525">
        <v>0.69</v>
      </c>
      <c r="DN109" s="525">
        <v>0.63</v>
      </c>
      <c r="DO109" s="525">
        <v>0.57999999999999996</v>
      </c>
      <c r="DP109" s="902">
        <v>44</v>
      </c>
      <c r="DQ109" s="902" t="s">
        <v>758</v>
      </c>
      <c r="DR109" s="902">
        <v>11</v>
      </c>
      <c r="DS109" s="902" t="s">
        <v>758</v>
      </c>
      <c r="DT109" s="949">
        <v>0.44</v>
      </c>
      <c r="DU109" s="949">
        <v>0.35</v>
      </c>
      <c r="DV109" s="949">
        <v>0.21</v>
      </c>
      <c r="DW109" s="949">
        <v>0</v>
      </c>
      <c r="DX109" s="949">
        <v>0.63</v>
      </c>
      <c r="DY109" s="949">
        <v>0.52</v>
      </c>
      <c r="DZ109" s="949">
        <v>0.76</v>
      </c>
      <c r="EA109" s="949">
        <v>0.61</v>
      </c>
      <c r="EB109" s="949">
        <v>0.64</v>
      </c>
      <c r="EC109" s="949">
        <v>0.5</v>
      </c>
      <c r="ED109" s="922">
        <v>125754001957</v>
      </c>
      <c r="EE109" s="803" t="s">
        <v>61</v>
      </c>
    </row>
    <row r="110" spans="1:135" ht="24.95" customHeight="1" x14ac:dyDescent="0.2">
      <c r="A110" s="803" t="s">
        <v>52</v>
      </c>
      <c r="B110" s="1" t="s">
        <v>121</v>
      </c>
      <c r="C110" s="2">
        <v>1</v>
      </c>
      <c r="D110" s="12">
        <v>50</v>
      </c>
      <c r="E110" s="12">
        <v>9</v>
      </c>
      <c r="F110" s="63">
        <v>0.17</v>
      </c>
      <c r="G110" s="63">
        <v>0.56000000000000005</v>
      </c>
      <c r="H110" s="63">
        <v>0.27</v>
      </c>
      <c r="I110" s="63">
        <v>0</v>
      </c>
      <c r="J110" s="63">
        <v>0.54</v>
      </c>
      <c r="K110" s="63">
        <v>0.5</v>
      </c>
      <c r="L110" s="63">
        <v>0.62</v>
      </c>
      <c r="M110" s="63">
        <v>0.42</v>
      </c>
      <c r="N110" s="63">
        <v>0.44</v>
      </c>
      <c r="O110" s="63">
        <v>0.5</v>
      </c>
      <c r="P110" s="12">
        <v>49</v>
      </c>
      <c r="Q110" s="12">
        <v>9</v>
      </c>
      <c r="R110" s="61">
        <v>0.2</v>
      </c>
      <c r="S110" s="61">
        <v>0.53</v>
      </c>
      <c r="T110" s="61">
        <v>0.27</v>
      </c>
      <c r="U110" s="61">
        <v>0</v>
      </c>
      <c r="V110" s="61">
        <v>0.46</v>
      </c>
      <c r="W110" s="61">
        <v>0.51</v>
      </c>
      <c r="X110" s="61">
        <v>0.56000000000000005</v>
      </c>
      <c r="Y110" s="61">
        <v>0.49</v>
      </c>
      <c r="Z110" s="61">
        <v>0.45</v>
      </c>
      <c r="AA110" s="61">
        <v>0.53</v>
      </c>
      <c r="AB110" s="12">
        <v>48</v>
      </c>
      <c r="AC110" s="12">
        <v>10</v>
      </c>
      <c r="AD110" s="63">
        <v>0.23</v>
      </c>
      <c r="AE110" s="63">
        <v>0.55000000000000004</v>
      </c>
      <c r="AF110" s="63">
        <v>0.21</v>
      </c>
      <c r="AG110" s="63">
        <v>0.01</v>
      </c>
      <c r="AH110" s="63">
        <v>0.45</v>
      </c>
      <c r="AI110" s="63">
        <v>0.46</v>
      </c>
      <c r="AJ110" s="63">
        <v>0.43</v>
      </c>
      <c r="AK110" s="63">
        <v>0.52</v>
      </c>
      <c r="AL110" s="63">
        <v>0.57999999999999996</v>
      </c>
      <c r="AM110" s="63">
        <v>0.56999999999999995</v>
      </c>
      <c r="AN110" s="12">
        <v>47</v>
      </c>
      <c r="AO110" s="12">
        <v>11</v>
      </c>
      <c r="AP110" s="63">
        <v>0.28999999999999998</v>
      </c>
      <c r="AQ110" s="63">
        <v>0.46</v>
      </c>
      <c r="AR110" s="63">
        <v>0.24</v>
      </c>
      <c r="AS110" s="63">
        <v>0.01</v>
      </c>
      <c r="AT110" s="63">
        <v>0.59</v>
      </c>
      <c r="AU110" s="63">
        <v>0.5</v>
      </c>
      <c r="AV110" s="63">
        <v>0.47</v>
      </c>
      <c r="AW110" s="63">
        <v>0.49</v>
      </c>
      <c r="AX110" s="63">
        <v>0.49</v>
      </c>
      <c r="AY110" s="63">
        <v>0.5</v>
      </c>
      <c r="AZ110" s="35">
        <v>47</v>
      </c>
      <c r="BA110" s="35">
        <v>9</v>
      </c>
      <c r="BB110" s="40">
        <v>0.24</v>
      </c>
      <c r="BC110" s="40">
        <v>0.56999999999999995</v>
      </c>
      <c r="BD110" s="40">
        <v>0.18</v>
      </c>
      <c r="BE110" s="40">
        <v>0.01</v>
      </c>
      <c r="BF110" s="40">
        <v>0.54</v>
      </c>
      <c r="BG110" s="40">
        <v>0.55000000000000004</v>
      </c>
      <c r="BH110" s="40">
        <v>0.51</v>
      </c>
      <c r="BI110" s="40">
        <v>0.61</v>
      </c>
      <c r="BJ110" s="40">
        <v>0.46</v>
      </c>
      <c r="BK110" s="40">
        <v>0.45</v>
      </c>
      <c r="BL110" s="246">
        <v>46</v>
      </c>
      <c r="BM110" s="246" t="s">
        <v>758</v>
      </c>
      <c r="BN110" s="246">
        <v>10</v>
      </c>
      <c r="BO110" s="246" t="s">
        <v>758</v>
      </c>
      <c r="BP110" s="263">
        <v>0.3</v>
      </c>
      <c r="BQ110" s="263">
        <v>0.5</v>
      </c>
      <c r="BR110" s="263">
        <v>0.19</v>
      </c>
      <c r="BS110" s="263">
        <v>0.01</v>
      </c>
      <c r="BT110" s="263">
        <v>0.48</v>
      </c>
      <c r="BU110" s="263">
        <v>0.53</v>
      </c>
      <c r="BV110" s="263">
        <v>0.65</v>
      </c>
      <c r="BW110" s="263">
        <v>0.47</v>
      </c>
      <c r="BX110" s="263">
        <v>0.52</v>
      </c>
      <c r="BY110" s="263">
        <v>0.57999999999999996</v>
      </c>
      <c r="BZ110" s="309">
        <v>49</v>
      </c>
      <c r="CA110" s="309" t="s">
        <v>758</v>
      </c>
      <c r="CB110" s="309">
        <v>10</v>
      </c>
      <c r="CC110" s="309" t="s">
        <v>758</v>
      </c>
      <c r="CD110" s="327">
        <v>0.22</v>
      </c>
      <c r="CE110" s="327">
        <v>0.51</v>
      </c>
      <c r="CF110" s="327">
        <v>0.26</v>
      </c>
      <c r="CG110" s="327">
        <v>0.01</v>
      </c>
      <c r="CH110" s="327">
        <v>0.52</v>
      </c>
      <c r="CI110" s="327">
        <v>0.43</v>
      </c>
      <c r="CJ110" s="327">
        <v>0.57999999999999996</v>
      </c>
      <c r="CK110" s="327">
        <v>0.53</v>
      </c>
      <c r="CL110" s="327">
        <v>0.44</v>
      </c>
      <c r="CM110" s="327">
        <v>0.57999999999999996</v>
      </c>
      <c r="CN110" s="424">
        <v>48</v>
      </c>
      <c r="CO110" s="424" t="s">
        <v>758</v>
      </c>
      <c r="CP110" s="424">
        <v>10</v>
      </c>
      <c r="CQ110" s="424" t="s">
        <v>758</v>
      </c>
      <c r="CR110" s="428">
        <v>0.25</v>
      </c>
      <c r="CS110" s="428">
        <v>0.56000000000000005</v>
      </c>
      <c r="CT110" s="428">
        <v>0.18</v>
      </c>
      <c r="CU110" s="428">
        <v>0.01</v>
      </c>
      <c r="CV110" s="428">
        <v>0.38</v>
      </c>
      <c r="CW110" s="428">
        <v>0.57999999999999996</v>
      </c>
      <c r="CX110" s="428">
        <v>0.61</v>
      </c>
      <c r="CY110" s="428">
        <v>0.56999999999999995</v>
      </c>
      <c r="CZ110" s="523">
        <v>0.6</v>
      </c>
      <c r="DA110" s="523">
        <v>0.57999999999999996</v>
      </c>
      <c r="DB110" s="524">
        <v>49</v>
      </c>
      <c r="DC110" s="524" t="s">
        <v>758</v>
      </c>
      <c r="DD110" s="524">
        <v>10</v>
      </c>
      <c r="DE110" s="524" t="s">
        <v>758</v>
      </c>
      <c r="DF110" s="525">
        <v>0.24</v>
      </c>
      <c r="DG110" s="525">
        <v>0.46</v>
      </c>
      <c r="DH110" s="525">
        <v>0.28999999999999998</v>
      </c>
      <c r="DI110" s="525">
        <v>0</v>
      </c>
      <c r="DJ110" s="525">
        <v>0.51</v>
      </c>
      <c r="DK110" s="525">
        <v>0.5</v>
      </c>
      <c r="DL110" s="525">
        <v>0.52</v>
      </c>
      <c r="DM110" s="525">
        <v>0.64</v>
      </c>
      <c r="DN110" s="525">
        <v>0.54</v>
      </c>
      <c r="DO110" s="525">
        <v>0.45</v>
      </c>
      <c r="DP110" s="902">
        <v>48</v>
      </c>
      <c r="DQ110" s="902" t="s">
        <v>758</v>
      </c>
      <c r="DR110" s="902">
        <v>11</v>
      </c>
      <c r="DS110" s="902" t="s">
        <v>758</v>
      </c>
      <c r="DT110" s="949">
        <v>0.26</v>
      </c>
      <c r="DU110" s="949">
        <v>0.5</v>
      </c>
      <c r="DV110" s="949">
        <v>0.2</v>
      </c>
      <c r="DW110" s="949">
        <v>0.04</v>
      </c>
      <c r="DX110" s="949">
        <v>0.53</v>
      </c>
      <c r="DY110" s="949">
        <v>0.45</v>
      </c>
      <c r="DZ110" s="949">
        <v>0.77</v>
      </c>
      <c r="EA110" s="949">
        <v>0.49</v>
      </c>
      <c r="EB110" s="949">
        <v>0.56999999999999995</v>
      </c>
      <c r="EC110" s="949">
        <v>0.4</v>
      </c>
      <c r="ED110" s="922">
        <v>125754003267</v>
      </c>
      <c r="EE110" s="803" t="s">
        <v>52</v>
      </c>
    </row>
    <row r="111" spans="1:135" ht="24.95" customHeight="1" x14ac:dyDescent="0.2">
      <c r="A111" s="803" t="s">
        <v>32</v>
      </c>
      <c r="B111" s="1" t="s">
        <v>123</v>
      </c>
      <c r="C111" s="2">
        <v>5</v>
      </c>
      <c r="D111" s="12">
        <v>55</v>
      </c>
      <c r="E111" s="12">
        <v>9</v>
      </c>
      <c r="F111" s="63">
        <v>0.08</v>
      </c>
      <c r="G111" s="63">
        <v>0.33</v>
      </c>
      <c r="H111" s="63">
        <v>0.57999999999999996</v>
      </c>
      <c r="I111" s="63">
        <v>0</v>
      </c>
      <c r="J111" s="63">
        <v>0.5</v>
      </c>
      <c r="K111" s="63">
        <v>0.44</v>
      </c>
      <c r="L111" s="63">
        <v>0.52</v>
      </c>
      <c r="M111" s="63">
        <v>0.35</v>
      </c>
      <c r="N111" s="63">
        <v>0.42</v>
      </c>
      <c r="O111" s="63">
        <v>0.45</v>
      </c>
      <c r="P111" s="12">
        <v>50</v>
      </c>
      <c r="Q111" s="12">
        <v>9</v>
      </c>
      <c r="R111" s="61">
        <v>0.12</v>
      </c>
      <c r="S111" s="61">
        <v>0.56000000000000005</v>
      </c>
      <c r="T111" s="61">
        <v>0.28999999999999998</v>
      </c>
      <c r="U111" s="61">
        <v>0.02</v>
      </c>
      <c r="V111" s="61">
        <v>0.43</v>
      </c>
      <c r="W111" s="61">
        <v>0.51</v>
      </c>
      <c r="X111" s="61">
        <v>0.63</v>
      </c>
      <c r="Y111" s="61">
        <v>0.43</v>
      </c>
      <c r="Z111" s="61">
        <v>0.42</v>
      </c>
      <c r="AA111" s="61">
        <v>0.55000000000000004</v>
      </c>
      <c r="AB111" s="12">
        <v>47</v>
      </c>
      <c r="AC111" s="12">
        <v>11</v>
      </c>
      <c r="AD111" s="63">
        <v>0.19</v>
      </c>
      <c r="AE111" s="63">
        <v>0.62</v>
      </c>
      <c r="AF111" s="63">
        <v>0.14000000000000001</v>
      </c>
      <c r="AG111" s="63">
        <v>0.05</v>
      </c>
      <c r="AH111" s="63">
        <v>0.45</v>
      </c>
      <c r="AI111" s="63">
        <v>0.55000000000000004</v>
      </c>
      <c r="AJ111" s="63">
        <v>0.46</v>
      </c>
      <c r="AK111" s="63">
        <v>0.53</v>
      </c>
      <c r="AL111" s="63">
        <v>0.55000000000000004</v>
      </c>
      <c r="AM111" s="63">
        <v>0.69</v>
      </c>
      <c r="AN111" s="12">
        <v>50</v>
      </c>
      <c r="AO111" s="12">
        <v>11</v>
      </c>
      <c r="AP111" s="63">
        <v>0.23</v>
      </c>
      <c r="AQ111" s="63">
        <v>0.46</v>
      </c>
      <c r="AR111" s="63">
        <v>0.31</v>
      </c>
      <c r="AS111" s="63">
        <v>0</v>
      </c>
      <c r="AT111" s="63">
        <v>0.5</v>
      </c>
      <c r="AU111" s="63">
        <v>0.47</v>
      </c>
      <c r="AV111" s="63">
        <v>0.42</v>
      </c>
      <c r="AW111" s="63">
        <v>0.44</v>
      </c>
      <c r="AX111" s="63">
        <v>0.45</v>
      </c>
      <c r="AY111" s="63">
        <v>0.41</v>
      </c>
      <c r="AZ111" s="35">
        <v>50</v>
      </c>
      <c r="BA111" s="35">
        <v>10</v>
      </c>
      <c r="BB111" s="40">
        <v>0.19</v>
      </c>
      <c r="BC111" s="40">
        <v>0.52</v>
      </c>
      <c r="BD111" s="40">
        <v>0.26</v>
      </c>
      <c r="BE111" s="40">
        <v>0.04</v>
      </c>
      <c r="BF111" s="40">
        <v>0.48</v>
      </c>
      <c r="BG111" s="40">
        <v>0.49</v>
      </c>
      <c r="BH111" s="40">
        <v>0.45</v>
      </c>
      <c r="BI111" s="40">
        <v>0.56999999999999995</v>
      </c>
      <c r="BJ111" s="40">
        <v>0.43</v>
      </c>
      <c r="BK111" s="40">
        <v>0.42</v>
      </c>
      <c r="BL111" s="246">
        <v>53</v>
      </c>
      <c r="BM111" s="246" t="s">
        <v>758</v>
      </c>
      <c r="BN111" s="246">
        <v>11</v>
      </c>
      <c r="BO111" s="246" t="s">
        <v>758</v>
      </c>
      <c r="BP111" s="263">
        <v>0.11</v>
      </c>
      <c r="BQ111" s="263">
        <v>0.44</v>
      </c>
      <c r="BR111" s="263">
        <v>0.39</v>
      </c>
      <c r="BS111" s="263">
        <v>0.06</v>
      </c>
      <c r="BT111" s="263">
        <v>0.37</v>
      </c>
      <c r="BU111" s="263">
        <v>0.46</v>
      </c>
      <c r="BV111" s="263">
        <v>0.39</v>
      </c>
      <c r="BW111" s="263">
        <v>0.36</v>
      </c>
      <c r="BX111" s="263">
        <v>0.44</v>
      </c>
      <c r="BY111" s="263">
        <v>0.49</v>
      </c>
      <c r="BZ111" s="649"/>
      <c r="CA111" s="649"/>
      <c r="CB111" s="649"/>
      <c r="CC111" s="649"/>
      <c r="CD111" s="649"/>
      <c r="CE111" s="649"/>
      <c r="CF111" s="649"/>
      <c r="CG111" s="649"/>
      <c r="CH111" s="649"/>
      <c r="CI111" s="649"/>
      <c r="CJ111" s="649"/>
      <c r="CK111" s="649"/>
      <c r="CL111" s="649"/>
      <c r="CM111" s="649"/>
      <c r="CN111" s="651"/>
      <c r="CO111" s="651"/>
      <c r="CP111" s="651"/>
      <c r="CQ111" s="651"/>
      <c r="CR111" s="651"/>
      <c r="CS111" s="651"/>
      <c r="CT111" s="651"/>
      <c r="CU111" s="651"/>
      <c r="CV111" s="651"/>
      <c r="CW111" s="651"/>
      <c r="CX111" s="651"/>
      <c r="CY111" s="651"/>
      <c r="CZ111" s="660"/>
      <c r="DA111" s="660"/>
      <c r="DB111" s="662"/>
      <c r="DC111" s="662"/>
      <c r="DD111" s="662"/>
      <c r="DE111" s="662"/>
      <c r="DF111" s="662"/>
      <c r="DG111" s="662"/>
      <c r="DH111" s="662"/>
      <c r="DI111" s="662"/>
      <c r="DJ111" s="662"/>
      <c r="DK111" s="662"/>
      <c r="DL111" s="662"/>
      <c r="DM111" s="662"/>
      <c r="DN111" s="662"/>
      <c r="DO111" s="662"/>
      <c r="DT111" s="949"/>
      <c r="DU111" s="949"/>
      <c r="DV111" s="949"/>
      <c r="DW111" s="949"/>
      <c r="DX111" s="949"/>
      <c r="DY111" s="949"/>
      <c r="DZ111" s="949"/>
      <c r="EA111" s="949"/>
      <c r="EB111" s="949"/>
      <c r="EC111" s="949"/>
      <c r="ED111" s="922"/>
      <c r="EE111" s="803" t="s">
        <v>32</v>
      </c>
    </row>
    <row r="112" spans="1:135" ht="24.95" customHeight="1" x14ac:dyDescent="0.2">
      <c r="A112" s="803" t="s">
        <v>39</v>
      </c>
      <c r="B112" s="1" t="s">
        <v>121</v>
      </c>
      <c r="C112" s="2">
        <v>6</v>
      </c>
      <c r="D112" s="12">
        <v>51</v>
      </c>
      <c r="E112" s="12">
        <v>8</v>
      </c>
      <c r="F112" s="63">
        <v>0.12</v>
      </c>
      <c r="G112" s="63">
        <v>0.56000000000000005</v>
      </c>
      <c r="H112" s="63">
        <v>0.32</v>
      </c>
      <c r="I112" s="63">
        <v>0</v>
      </c>
      <c r="J112" s="63">
        <v>0.54</v>
      </c>
      <c r="K112" s="63">
        <v>0.48</v>
      </c>
      <c r="L112" s="63">
        <v>0.6</v>
      </c>
      <c r="M112" s="63">
        <v>0.33</v>
      </c>
      <c r="N112" s="63">
        <v>0.43</v>
      </c>
      <c r="O112" s="63">
        <v>0.43</v>
      </c>
      <c r="P112" s="12">
        <v>50</v>
      </c>
      <c r="Q112" s="12">
        <v>9</v>
      </c>
      <c r="R112" s="61">
        <v>0.15</v>
      </c>
      <c r="S112" s="61">
        <v>0.56999999999999995</v>
      </c>
      <c r="T112" s="61">
        <v>0.28000000000000003</v>
      </c>
      <c r="U112" s="61">
        <v>0.01</v>
      </c>
      <c r="V112" s="61">
        <v>0.42</v>
      </c>
      <c r="W112" s="61">
        <v>0.51</v>
      </c>
      <c r="X112" s="61">
        <v>0.54</v>
      </c>
      <c r="Y112" s="61">
        <v>0.48</v>
      </c>
      <c r="Z112" s="61">
        <v>0.44</v>
      </c>
      <c r="AA112" s="61">
        <v>0.51</v>
      </c>
      <c r="AB112" s="12">
        <v>47</v>
      </c>
      <c r="AC112" s="12">
        <v>11</v>
      </c>
      <c r="AD112" s="63">
        <v>0.31</v>
      </c>
      <c r="AE112" s="63">
        <v>0.45</v>
      </c>
      <c r="AF112" s="63">
        <v>0.23</v>
      </c>
      <c r="AG112" s="63">
        <v>0.01</v>
      </c>
      <c r="AH112" s="63">
        <v>0.48</v>
      </c>
      <c r="AI112" s="63">
        <v>0.51</v>
      </c>
      <c r="AJ112" s="63">
        <v>0.45</v>
      </c>
      <c r="AK112" s="63">
        <v>0.54</v>
      </c>
      <c r="AL112" s="63">
        <v>0.62</v>
      </c>
      <c r="AM112" s="63">
        <v>0.55000000000000004</v>
      </c>
      <c r="AN112" s="12">
        <v>47</v>
      </c>
      <c r="AO112" s="12">
        <v>10</v>
      </c>
      <c r="AP112" s="63">
        <v>0.3</v>
      </c>
      <c r="AQ112" s="63">
        <v>0.54</v>
      </c>
      <c r="AR112" s="63">
        <v>0.15</v>
      </c>
      <c r="AS112" s="63">
        <v>0.01</v>
      </c>
      <c r="AT112" s="63">
        <v>0.59</v>
      </c>
      <c r="AU112" s="63">
        <v>0.5</v>
      </c>
      <c r="AV112" s="63">
        <v>0.49</v>
      </c>
      <c r="AW112" s="63">
        <v>0.5</v>
      </c>
      <c r="AX112" s="63">
        <v>0.48</v>
      </c>
      <c r="AY112" s="63">
        <v>0.52</v>
      </c>
      <c r="AZ112" s="35">
        <v>48</v>
      </c>
      <c r="BA112" s="35">
        <v>10</v>
      </c>
      <c r="BB112" s="40">
        <v>0.26</v>
      </c>
      <c r="BC112" s="40">
        <v>0.5</v>
      </c>
      <c r="BD112" s="40">
        <v>0.22</v>
      </c>
      <c r="BE112" s="40">
        <v>0.02</v>
      </c>
      <c r="BF112" s="40">
        <v>0.5</v>
      </c>
      <c r="BG112" s="40">
        <v>0.48</v>
      </c>
      <c r="BH112" s="40">
        <v>0.51</v>
      </c>
      <c r="BI112" s="40">
        <v>0.61</v>
      </c>
      <c r="BJ112" s="40">
        <v>0.45</v>
      </c>
      <c r="BK112" s="40">
        <v>0.45</v>
      </c>
      <c r="BL112" s="246">
        <v>48</v>
      </c>
      <c r="BM112" s="246" t="s">
        <v>758</v>
      </c>
      <c r="BN112" s="246">
        <v>11</v>
      </c>
      <c r="BO112" s="246" t="s">
        <v>758</v>
      </c>
      <c r="BP112" s="263">
        <v>0.27</v>
      </c>
      <c r="BQ112" s="263">
        <v>0.47</v>
      </c>
      <c r="BR112" s="263">
        <v>0.26</v>
      </c>
      <c r="BS112" s="263">
        <v>0.01</v>
      </c>
      <c r="BT112" s="263">
        <v>0.5</v>
      </c>
      <c r="BU112" s="263">
        <v>0.48</v>
      </c>
      <c r="BV112" s="263">
        <v>0.61</v>
      </c>
      <c r="BW112" s="263">
        <v>0.44</v>
      </c>
      <c r="BX112" s="263">
        <v>0.48</v>
      </c>
      <c r="BY112" s="263">
        <v>0.55000000000000004</v>
      </c>
      <c r="BZ112" s="74">
        <v>48</v>
      </c>
      <c r="CA112" s="74" t="s">
        <v>758</v>
      </c>
      <c r="CB112" s="74">
        <v>10</v>
      </c>
      <c r="CC112" s="74" t="s">
        <v>758</v>
      </c>
      <c r="CD112" s="96">
        <v>0.28999999999999998</v>
      </c>
      <c r="CE112" s="96">
        <v>0.45</v>
      </c>
      <c r="CF112" s="96">
        <v>0.26</v>
      </c>
      <c r="CG112" s="96">
        <v>0</v>
      </c>
      <c r="CH112" s="96">
        <v>0.44</v>
      </c>
      <c r="CI112" s="96">
        <v>0.4</v>
      </c>
      <c r="CJ112" s="96">
        <v>0.56999999999999995</v>
      </c>
      <c r="CK112" s="96">
        <v>0.56000000000000005</v>
      </c>
      <c r="CL112" s="96">
        <v>0.49</v>
      </c>
      <c r="CM112" s="96">
        <v>0.64</v>
      </c>
      <c r="CN112" s="652">
        <v>48</v>
      </c>
      <c r="CO112" s="652" t="s">
        <v>758</v>
      </c>
      <c r="CP112" s="652">
        <v>9</v>
      </c>
      <c r="CQ112" s="652" t="s">
        <v>758</v>
      </c>
      <c r="CR112" s="653">
        <v>0.25</v>
      </c>
      <c r="CS112" s="653">
        <v>0.55000000000000004</v>
      </c>
      <c r="CT112" s="653">
        <v>0.2</v>
      </c>
      <c r="CU112" s="653">
        <v>0</v>
      </c>
      <c r="CV112" s="653">
        <v>0.36</v>
      </c>
      <c r="CW112" s="653">
        <v>0.57999999999999996</v>
      </c>
      <c r="CX112" s="653">
        <v>0.59</v>
      </c>
      <c r="CY112" s="653">
        <v>0.65</v>
      </c>
      <c r="CZ112" s="661">
        <v>0.65</v>
      </c>
      <c r="DA112" s="661">
        <v>0.56999999999999995</v>
      </c>
      <c r="DB112" s="47">
        <v>49</v>
      </c>
      <c r="DC112" s="47" t="s">
        <v>758</v>
      </c>
      <c r="DD112" s="47">
        <v>10</v>
      </c>
      <c r="DE112" s="47" t="s">
        <v>758</v>
      </c>
      <c r="DF112" s="664">
        <v>0.21</v>
      </c>
      <c r="DG112" s="664">
        <v>0.49</v>
      </c>
      <c r="DH112" s="664">
        <v>0.28999999999999998</v>
      </c>
      <c r="DI112" s="664">
        <v>0.01</v>
      </c>
      <c r="DJ112" s="664">
        <v>0.5</v>
      </c>
      <c r="DK112" s="664">
        <v>0.5</v>
      </c>
      <c r="DL112" s="664">
        <v>0.53</v>
      </c>
      <c r="DM112" s="664">
        <v>0.65</v>
      </c>
      <c r="DN112" s="664">
        <v>0.53</v>
      </c>
      <c r="DO112" s="664">
        <v>0.43</v>
      </c>
      <c r="DP112" s="902">
        <v>49</v>
      </c>
      <c r="DQ112" s="902" t="s">
        <v>758</v>
      </c>
      <c r="DR112" s="902">
        <v>11</v>
      </c>
      <c r="DS112" s="902" t="s">
        <v>758</v>
      </c>
      <c r="DT112" s="949">
        <v>0.24</v>
      </c>
      <c r="DU112" s="949">
        <v>0.46</v>
      </c>
      <c r="DV112" s="949">
        <v>0.28999999999999998</v>
      </c>
      <c r="DW112" s="949">
        <v>0.02</v>
      </c>
      <c r="DX112" s="949">
        <v>0.53</v>
      </c>
      <c r="DY112" s="949">
        <v>0.41</v>
      </c>
      <c r="DZ112" s="949">
        <v>0.59</v>
      </c>
      <c r="EA112" s="949">
        <v>0.5</v>
      </c>
      <c r="EB112" s="949">
        <v>0.56999999999999995</v>
      </c>
      <c r="EC112" s="949">
        <v>0.39</v>
      </c>
      <c r="ED112" s="922">
        <v>125754001183</v>
      </c>
      <c r="EE112" s="803" t="s">
        <v>39</v>
      </c>
    </row>
    <row r="113" spans="1:135" ht="24.95" customHeight="1" x14ac:dyDescent="0.2">
      <c r="A113" s="803" t="s">
        <v>19</v>
      </c>
      <c r="B113" s="1" t="s">
        <v>121</v>
      </c>
      <c r="C113" s="2">
        <v>5</v>
      </c>
      <c r="D113" s="12">
        <v>51</v>
      </c>
      <c r="E113" s="12">
        <v>8</v>
      </c>
      <c r="F113" s="63">
        <v>0.14000000000000001</v>
      </c>
      <c r="G113" s="63">
        <v>0.62</v>
      </c>
      <c r="H113" s="63">
        <v>0.23</v>
      </c>
      <c r="I113" s="63">
        <v>0.01</v>
      </c>
      <c r="J113" s="63">
        <v>0.55000000000000004</v>
      </c>
      <c r="K113" s="63">
        <v>0.48</v>
      </c>
      <c r="L113" s="63">
        <v>0.53</v>
      </c>
      <c r="M113" s="63">
        <v>0.39</v>
      </c>
      <c r="N113" s="63">
        <v>0.42</v>
      </c>
      <c r="O113" s="63">
        <v>0.54</v>
      </c>
      <c r="P113" s="12">
        <v>48</v>
      </c>
      <c r="Q113" s="12">
        <v>9</v>
      </c>
      <c r="R113" s="61">
        <v>0.18</v>
      </c>
      <c r="S113" s="61">
        <v>0.61</v>
      </c>
      <c r="T113" s="61">
        <v>0.2</v>
      </c>
      <c r="U113" s="61">
        <v>0.01</v>
      </c>
      <c r="V113" s="61">
        <v>0.46</v>
      </c>
      <c r="W113" s="61">
        <v>0.54</v>
      </c>
      <c r="X113" s="61">
        <v>0.55000000000000004</v>
      </c>
      <c r="Y113" s="61">
        <v>0.51</v>
      </c>
      <c r="Z113" s="61">
        <v>0.47</v>
      </c>
      <c r="AA113" s="61">
        <v>0.59</v>
      </c>
      <c r="AB113" s="12">
        <v>47</v>
      </c>
      <c r="AC113" s="12">
        <v>9</v>
      </c>
      <c r="AD113" s="63">
        <v>0.26</v>
      </c>
      <c r="AE113" s="63">
        <v>0.53</v>
      </c>
      <c r="AF113" s="63">
        <v>0.2</v>
      </c>
      <c r="AG113" s="63">
        <v>0</v>
      </c>
      <c r="AH113" s="63">
        <v>0.49</v>
      </c>
      <c r="AI113" s="63">
        <v>0.49</v>
      </c>
      <c r="AJ113" s="63">
        <v>0.45</v>
      </c>
      <c r="AK113" s="63">
        <v>0.54</v>
      </c>
      <c r="AL113" s="63">
        <v>0.57999999999999996</v>
      </c>
      <c r="AM113" s="63">
        <v>0.56000000000000005</v>
      </c>
      <c r="AN113" s="12">
        <v>47</v>
      </c>
      <c r="AO113" s="12">
        <v>10</v>
      </c>
      <c r="AP113" s="63">
        <v>0.28000000000000003</v>
      </c>
      <c r="AQ113" s="63">
        <v>0.54</v>
      </c>
      <c r="AR113" s="63">
        <v>0.17</v>
      </c>
      <c r="AS113" s="63">
        <v>0.01</v>
      </c>
      <c r="AT113" s="63">
        <v>0.54</v>
      </c>
      <c r="AU113" s="63">
        <v>0.49</v>
      </c>
      <c r="AV113" s="63">
        <v>0.48</v>
      </c>
      <c r="AW113" s="63">
        <v>0.5</v>
      </c>
      <c r="AX113" s="63">
        <v>0.49</v>
      </c>
      <c r="AY113" s="63">
        <v>0.5</v>
      </c>
      <c r="AZ113" s="35">
        <v>49</v>
      </c>
      <c r="BA113" s="35">
        <v>9</v>
      </c>
      <c r="BB113" s="40">
        <v>0.23</v>
      </c>
      <c r="BC113" s="40">
        <v>0.54</v>
      </c>
      <c r="BD113" s="40">
        <v>0.23</v>
      </c>
      <c r="BE113" s="40">
        <v>0.01</v>
      </c>
      <c r="BF113" s="40">
        <v>0.53</v>
      </c>
      <c r="BG113" s="40">
        <v>0.52</v>
      </c>
      <c r="BH113" s="40">
        <v>0.48</v>
      </c>
      <c r="BI113" s="40">
        <v>0.57999999999999996</v>
      </c>
      <c r="BJ113" s="40">
        <v>0.44</v>
      </c>
      <c r="BK113" s="40">
        <v>0.44</v>
      </c>
      <c r="BL113" s="246">
        <v>47</v>
      </c>
      <c r="BM113" s="246" t="s">
        <v>758</v>
      </c>
      <c r="BN113" s="246">
        <v>10</v>
      </c>
      <c r="BO113" s="246" t="s">
        <v>758</v>
      </c>
      <c r="BP113" s="263">
        <v>0.27</v>
      </c>
      <c r="BQ113" s="263">
        <v>0.51</v>
      </c>
      <c r="BR113" s="263">
        <v>0.21</v>
      </c>
      <c r="BS113" s="263">
        <v>0.01</v>
      </c>
      <c r="BT113" s="263">
        <v>0.49</v>
      </c>
      <c r="BU113" s="263">
        <v>0.51</v>
      </c>
      <c r="BV113" s="263">
        <v>0.67</v>
      </c>
      <c r="BW113" s="263">
        <v>0.46</v>
      </c>
      <c r="BX113" s="263">
        <v>0.51</v>
      </c>
      <c r="BY113" s="263">
        <v>0.56999999999999995</v>
      </c>
      <c r="BZ113" s="309">
        <v>50</v>
      </c>
      <c r="CA113" s="309" t="s">
        <v>758</v>
      </c>
      <c r="CB113" s="309">
        <v>10</v>
      </c>
      <c r="CC113" s="309" t="s">
        <v>758</v>
      </c>
      <c r="CD113" s="327">
        <v>0.2</v>
      </c>
      <c r="CE113" s="327">
        <v>0.48</v>
      </c>
      <c r="CF113" s="327">
        <v>0.3</v>
      </c>
      <c r="CG113" s="327">
        <v>0.02</v>
      </c>
      <c r="CH113" s="327">
        <v>0.45</v>
      </c>
      <c r="CI113" s="327">
        <v>0.38</v>
      </c>
      <c r="CJ113" s="327">
        <v>0.57999999999999996</v>
      </c>
      <c r="CK113" s="327">
        <v>0.55000000000000004</v>
      </c>
      <c r="CL113" s="327">
        <v>0.42</v>
      </c>
      <c r="CM113" s="327">
        <v>0.59</v>
      </c>
      <c r="CN113" s="424">
        <v>48</v>
      </c>
      <c r="CO113" s="424" t="s">
        <v>758</v>
      </c>
      <c r="CP113" s="424">
        <v>9</v>
      </c>
      <c r="CQ113" s="424" t="s">
        <v>758</v>
      </c>
      <c r="CR113" s="428">
        <v>0.2</v>
      </c>
      <c r="CS113" s="428">
        <v>0.56999999999999995</v>
      </c>
      <c r="CT113" s="428">
        <v>0.22</v>
      </c>
      <c r="CU113" s="428">
        <v>0.01</v>
      </c>
      <c r="CV113" s="428">
        <v>0.37</v>
      </c>
      <c r="CW113" s="428">
        <v>0.57999999999999996</v>
      </c>
      <c r="CX113" s="428">
        <v>0.56999999999999995</v>
      </c>
      <c r="CY113" s="428">
        <v>0.66</v>
      </c>
      <c r="CZ113" s="523">
        <v>0.62</v>
      </c>
      <c r="DA113" s="523">
        <v>0.61</v>
      </c>
      <c r="DB113" s="524">
        <v>49</v>
      </c>
      <c r="DC113" s="524" t="s">
        <v>758</v>
      </c>
      <c r="DD113" s="524">
        <v>11</v>
      </c>
      <c r="DE113" s="524" t="s">
        <v>758</v>
      </c>
      <c r="DF113" s="525">
        <v>0.23</v>
      </c>
      <c r="DG113" s="525">
        <v>0.49</v>
      </c>
      <c r="DH113" s="525">
        <v>0.25</v>
      </c>
      <c r="DI113" s="525">
        <v>0.03</v>
      </c>
      <c r="DJ113" s="525">
        <v>0.49</v>
      </c>
      <c r="DK113" s="525">
        <v>0.48</v>
      </c>
      <c r="DL113" s="525">
        <v>0.47</v>
      </c>
      <c r="DM113" s="525">
        <v>0.68</v>
      </c>
      <c r="DN113" s="525">
        <v>0.55000000000000004</v>
      </c>
      <c r="DO113" s="525">
        <v>0.43</v>
      </c>
      <c r="DP113" s="902">
        <v>48</v>
      </c>
      <c r="DQ113" s="902" t="s">
        <v>758</v>
      </c>
      <c r="DR113" s="902">
        <v>11</v>
      </c>
      <c r="DS113" s="902" t="s">
        <v>758</v>
      </c>
      <c r="DT113" s="949">
        <v>0.25</v>
      </c>
      <c r="DU113" s="949">
        <v>0.46</v>
      </c>
      <c r="DV113" s="949">
        <v>0.27</v>
      </c>
      <c r="DW113" s="949">
        <v>0.02</v>
      </c>
      <c r="DX113" s="949">
        <v>0.49</v>
      </c>
      <c r="DY113" s="949">
        <v>0.43</v>
      </c>
      <c r="DZ113" s="949">
        <v>0.72</v>
      </c>
      <c r="EA113" s="949">
        <v>0.47</v>
      </c>
      <c r="EB113" s="949">
        <v>0.6</v>
      </c>
      <c r="EC113" s="949">
        <v>0.42</v>
      </c>
      <c r="ED113" s="922">
        <v>125754002066</v>
      </c>
      <c r="EE113" s="803" t="s">
        <v>19</v>
      </c>
    </row>
    <row r="114" spans="1:135" ht="24.95" customHeight="1" x14ac:dyDescent="0.2">
      <c r="A114" s="803" t="s">
        <v>71</v>
      </c>
      <c r="B114" s="1" t="s">
        <v>121</v>
      </c>
      <c r="C114" s="2">
        <v>4</v>
      </c>
      <c r="D114" s="12">
        <v>42</v>
      </c>
      <c r="E114" s="12">
        <v>8</v>
      </c>
      <c r="F114" s="63">
        <v>0.51</v>
      </c>
      <c r="G114" s="63">
        <v>0.43</v>
      </c>
      <c r="H114" s="63">
        <v>0.06</v>
      </c>
      <c r="I114" s="63">
        <v>0</v>
      </c>
      <c r="J114" s="63">
        <v>0.66</v>
      </c>
      <c r="K114" s="63">
        <v>0.61</v>
      </c>
      <c r="L114" s="63">
        <v>0.53</v>
      </c>
      <c r="M114" s="63">
        <v>0.56000000000000005</v>
      </c>
      <c r="N114" s="63">
        <v>0.54</v>
      </c>
      <c r="O114" s="63">
        <v>0.61</v>
      </c>
      <c r="P114" s="12">
        <v>44</v>
      </c>
      <c r="Q114" s="12">
        <v>8</v>
      </c>
      <c r="R114" s="61">
        <v>0.28999999999999998</v>
      </c>
      <c r="S114" s="61">
        <v>0.69</v>
      </c>
      <c r="T114" s="61">
        <v>0.02</v>
      </c>
      <c r="U114" s="61">
        <v>0</v>
      </c>
      <c r="V114" s="61">
        <v>0.57999999999999996</v>
      </c>
      <c r="W114" s="61">
        <v>0.55000000000000004</v>
      </c>
      <c r="X114" s="61">
        <v>0.59</v>
      </c>
      <c r="Y114" s="61">
        <v>0.55000000000000004</v>
      </c>
      <c r="Z114" s="61">
        <v>0.56000000000000005</v>
      </c>
      <c r="AA114" s="61">
        <v>0.64</v>
      </c>
      <c r="AB114" s="12">
        <v>42</v>
      </c>
      <c r="AC114" s="12">
        <v>10</v>
      </c>
      <c r="AD114" s="63">
        <v>0.43</v>
      </c>
      <c r="AE114" s="63">
        <v>0.47</v>
      </c>
      <c r="AF114" s="63">
        <v>0.11</v>
      </c>
      <c r="AG114" s="63">
        <v>0</v>
      </c>
      <c r="AH114" s="63">
        <v>0.55000000000000004</v>
      </c>
      <c r="AI114" s="63">
        <v>0.54</v>
      </c>
      <c r="AJ114" s="63">
        <v>0.54</v>
      </c>
      <c r="AK114" s="63">
        <v>0.65</v>
      </c>
      <c r="AL114" s="63">
        <v>0.7</v>
      </c>
      <c r="AM114" s="63">
        <v>0.65</v>
      </c>
      <c r="AN114" s="12">
        <v>41</v>
      </c>
      <c r="AO114" s="12">
        <v>11</v>
      </c>
      <c r="AP114" s="63">
        <v>0.56000000000000005</v>
      </c>
      <c r="AQ114" s="63">
        <v>0.32</v>
      </c>
      <c r="AR114" s="63">
        <v>0.12</v>
      </c>
      <c r="AS114" s="63">
        <v>0</v>
      </c>
      <c r="AT114" s="63">
        <v>0.6</v>
      </c>
      <c r="AU114" s="63">
        <v>0.62</v>
      </c>
      <c r="AV114" s="63">
        <v>0.61</v>
      </c>
      <c r="AW114" s="63">
        <v>0.6</v>
      </c>
      <c r="AX114" s="63">
        <v>0.62</v>
      </c>
      <c r="AY114" s="63">
        <v>0.56000000000000005</v>
      </c>
      <c r="AZ114" s="35">
        <v>43</v>
      </c>
      <c r="BA114" s="35">
        <v>9</v>
      </c>
      <c r="BB114" s="40">
        <v>0.39</v>
      </c>
      <c r="BC114" s="40">
        <v>0.5</v>
      </c>
      <c r="BD114" s="40">
        <v>0.11</v>
      </c>
      <c r="BE114" s="40">
        <v>0</v>
      </c>
      <c r="BF114" s="40">
        <v>0.6</v>
      </c>
      <c r="BG114" s="40">
        <v>0.57999999999999996</v>
      </c>
      <c r="BH114" s="40">
        <v>0.57999999999999996</v>
      </c>
      <c r="BI114" s="40">
        <v>0.65</v>
      </c>
      <c r="BJ114" s="40">
        <v>0.53</v>
      </c>
      <c r="BK114" s="40">
        <v>0.56000000000000005</v>
      </c>
      <c r="BL114" s="246">
        <v>43</v>
      </c>
      <c r="BM114" s="246" t="s">
        <v>758</v>
      </c>
      <c r="BN114" s="246">
        <v>9</v>
      </c>
      <c r="BO114" s="246" t="s">
        <v>758</v>
      </c>
      <c r="BP114" s="263">
        <v>0.44</v>
      </c>
      <c r="BQ114" s="263">
        <v>0.49</v>
      </c>
      <c r="BR114" s="263">
        <v>7.0000000000000007E-2</v>
      </c>
      <c r="BS114" s="263">
        <v>0</v>
      </c>
      <c r="BT114" s="263">
        <v>0.62</v>
      </c>
      <c r="BU114" s="263">
        <v>0.6</v>
      </c>
      <c r="BV114" s="263">
        <v>0.61</v>
      </c>
      <c r="BW114" s="263">
        <v>0.52</v>
      </c>
      <c r="BX114" s="263">
        <v>0.53</v>
      </c>
      <c r="BY114" s="263">
        <v>0.66</v>
      </c>
      <c r="BZ114" s="309">
        <v>44</v>
      </c>
      <c r="CA114" s="309" t="s">
        <v>758</v>
      </c>
      <c r="CB114" s="309">
        <v>12</v>
      </c>
      <c r="CC114" s="309" t="s">
        <v>758</v>
      </c>
      <c r="CD114" s="327">
        <v>0.45</v>
      </c>
      <c r="CE114" s="327">
        <v>0.4</v>
      </c>
      <c r="CF114" s="327">
        <v>0.13</v>
      </c>
      <c r="CG114" s="327">
        <v>0.02</v>
      </c>
      <c r="CH114" s="327">
        <v>0.54</v>
      </c>
      <c r="CI114" s="327">
        <v>0.53</v>
      </c>
      <c r="CJ114" s="327">
        <v>0.65</v>
      </c>
      <c r="CK114" s="327">
        <v>0.64</v>
      </c>
      <c r="CL114" s="327">
        <v>0.51</v>
      </c>
      <c r="CM114" s="327">
        <v>0.66</v>
      </c>
      <c r="CN114" s="424">
        <v>44</v>
      </c>
      <c r="CO114" s="424" t="s">
        <v>758</v>
      </c>
      <c r="CP114" s="424">
        <v>11</v>
      </c>
      <c r="CQ114" s="424" t="s">
        <v>758</v>
      </c>
      <c r="CR114" s="428">
        <v>0.44</v>
      </c>
      <c r="CS114" s="428">
        <v>0.39</v>
      </c>
      <c r="CT114" s="428">
        <v>0.18</v>
      </c>
      <c r="CU114" s="428">
        <v>0</v>
      </c>
      <c r="CV114" s="428">
        <v>0.47</v>
      </c>
      <c r="CW114" s="428">
        <v>0.66</v>
      </c>
      <c r="CX114" s="428">
        <v>0.68</v>
      </c>
      <c r="CY114" s="428">
        <v>0.6</v>
      </c>
      <c r="CZ114" s="523">
        <v>0.6</v>
      </c>
      <c r="DA114" s="523">
        <v>0.64</v>
      </c>
      <c r="DB114" s="524">
        <v>42</v>
      </c>
      <c r="DC114" s="524" t="s">
        <v>760</v>
      </c>
      <c r="DD114" s="524">
        <v>10</v>
      </c>
      <c r="DE114" s="524" t="s">
        <v>758</v>
      </c>
      <c r="DF114" s="525">
        <v>0.46</v>
      </c>
      <c r="DG114" s="525">
        <v>0.44</v>
      </c>
      <c r="DH114" s="525">
        <v>0.11</v>
      </c>
      <c r="DI114" s="525">
        <v>0</v>
      </c>
      <c r="DJ114" s="525">
        <v>0.59</v>
      </c>
      <c r="DK114" s="525">
        <v>0.53</v>
      </c>
      <c r="DL114" s="525">
        <v>0.62</v>
      </c>
      <c r="DM114" s="525">
        <v>0.72</v>
      </c>
      <c r="DN114" s="525">
        <v>0.68</v>
      </c>
      <c r="DO114" s="525">
        <v>0.63</v>
      </c>
      <c r="DP114" s="902">
        <v>43</v>
      </c>
      <c r="DQ114" s="902" t="s">
        <v>758</v>
      </c>
      <c r="DR114" s="902">
        <v>10</v>
      </c>
      <c r="DS114" s="902" t="s">
        <v>758</v>
      </c>
      <c r="DT114" s="949">
        <v>0.43</v>
      </c>
      <c r="DU114" s="949">
        <v>0.43</v>
      </c>
      <c r="DV114" s="949">
        <v>0.13</v>
      </c>
      <c r="DW114" s="949">
        <v>0</v>
      </c>
      <c r="DX114" s="949">
        <v>0.61</v>
      </c>
      <c r="DY114" s="949">
        <v>0.5</v>
      </c>
      <c r="DZ114" s="949">
        <v>0.67</v>
      </c>
      <c r="EA114" s="949">
        <v>0.64</v>
      </c>
      <c r="EB114" s="949">
        <v>0.65</v>
      </c>
      <c r="EC114" s="949">
        <v>0.57999999999999996</v>
      </c>
      <c r="ED114" s="922">
        <v>125754002538</v>
      </c>
      <c r="EE114" s="803" t="s">
        <v>71</v>
      </c>
    </row>
    <row r="115" spans="1:135" ht="24.95" customHeight="1" x14ac:dyDescent="0.2">
      <c r="A115" s="803" t="s">
        <v>20</v>
      </c>
      <c r="B115" s="1" t="s">
        <v>121</v>
      </c>
      <c r="C115" s="2">
        <v>2</v>
      </c>
      <c r="D115" s="12">
        <v>53</v>
      </c>
      <c r="E115" s="12">
        <v>9</v>
      </c>
      <c r="F115" s="63">
        <v>0.11</v>
      </c>
      <c r="G115" s="63">
        <v>0.48</v>
      </c>
      <c r="H115" s="63">
        <v>0.39</v>
      </c>
      <c r="I115" s="63">
        <v>0.02</v>
      </c>
      <c r="J115" s="63">
        <v>0.5</v>
      </c>
      <c r="K115" s="63">
        <v>0.45</v>
      </c>
      <c r="L115" s="63">
        <v>0.56999999999999995</v>
      </c>
      <c r="M115" s="63">
        <v>0.45</v>
      </c>
      <c r="N115" s="63">
        <v>0.38</v>
      </c>
      <c r="O115" s="63">
        <v>0.52</v>
      </c>
      <c r="P115" s="12">
        <v>51</v>
      </c>
      <c r="Q115" s="12">
        <v>9</v>
      </c>
      <c r="R115" s="61">
        <v>0.13</v>
      </c>
      <c r="S115" s="61">
        <v>0.53</v>
      </c>
      <c r="T115" s="61">
        <v>0.33</v>
      </c>
      <c r="U115" s="61">
        <v>0.02</v>
      </c>
      <c r="V115" s="61">
        <v>0.42</v>
      </c>
      <c r="W115" s="61">
        <v>0.47</v>
      </c>
      <c r="X115" s="61">
        <v>0.55000000000000004</v>
      </c>
      <c r="Y115" s="61">
        <v>0.45</v>
      </c>
      <c r="Z115" s="61">
        <v>0.44</v>
      </c>
      <c r="AA115" s="61">
        <v>0.49</v>
      </c>
      <c r="AB115" s="12">
        <v>49</v>
      </c>
      <c r="AC115" s="12">
        <v>10</v>
      </c>
      <c r="AD115" s="63">
        <v>0.2</v>
      </c>
      <c r="AE115" s="63">
        <v>0.5</v>
      </c>
      <c r="AF115" s="63">
        <v>0.3</v>
      </c>
      <c r="AG115" s="63">
        <v>0</v>
      </c>
      <c r="AH115" s="63">
        <v>0.44</v>
      </c>
      <c r="AI115" s="63">
        <v>0.43</v>
      </c>
      <c r="AJ115" s="63">
        <v>0.42</v>
      </c>
      <c r="AK115" s="63">
        <v>0.51</v>
      </c>
      <c r="AL115" s="63">
        <v>0.54</v>
      </c>
      <c r="AM115" s="63">
        <v>0.53</v>
      </c>
      <c r="AN115" s="12">
        <v>48</v>
      </c>
      <c r="AO115" s="12">
        <v>10</v>
      </c>
      <c r="AP115" s="63">
        <v>0.27</v>
      </c>
      <c r="AQ115" s="63">
        <v>0.47</v>
      </c>
      <c r="AR115" s="63">
        <v>0.25</v>
      </c>
      <c r="AS115" s="63">
        <v>0.01</v>
      </c>
      <c r="AT115" s="63">
        <v>0.56999999999999995</v>
      </c>
      <c r="AU115" s="63">
        <v>0.45</v>
      </c>
      <c r="AV115" s="63">
        <v>0.48</v>
      </c>
      <c r="AW115" s="63">
        <v>0.48</v>
      </c>
      <c r="AX115" s="63">
        <v>0.49</v>
      </c>
      <c r="AY115" s="63">
        <v>0.47</v>
      </c>
      <c r="AZ115" s="35">
        <v>51</v>
      </c>
      <c r="BA115" s="35">
        <v>10</v>
      </c>
      <c r="BB115" s="40">
        <v>0.18</v>
      </c>
      <c r="BC115" s="40">
        <v>0.45</v>
      </c>
      <c r="BD115" s="40">
        <v>0.34</v>
      </c>
      <c r="BE115" s="40">
        <v>0.03</v>
      </c>
      <c r="BF115" s="40">
        <v>0.45</v>
      </c>
      <c r="BG115" s="40">
        <v>0.46</v>
      </c>
      <c r="BH115" s="40">
        <v>0.45</v>
      </c>
      <c r="BI115" s="40">
        <v>0.53</v>
      </c>
      <c r="BJ115" s="40">
        <v>0.4</v>
      </c>
      <c r="BK115" s="40">
        <v>0.39</v>
      </c>
      <c r="BL115" s="246">
        <v>49</v>
      </c>
      <c r="BM115" s="246" t="s">
        <v>758</v>
      </c>
      <c r="BN115" s="246">
        <v>10</v>
      </c>
      <c r="BO115" s="246" t="s">
        <v>758</v>
      </c>
      <c r="BP115" s="263">
        <v>0.24</v>
      </c>
      <c r="BQ115" s="263">
        <v>0.5</v>
      </c>
      <c r="BR115" s="263">
        <v>0.25</v>
      </c>
      <c r="BS115" s="263">
        <v>0.01</v>
      </c>
      <c r="BT115" s="263">
        <v>0.46</v>
      </c>
      <c r="BU115" s="263">
        <v>0.49</v>
      </c>
      <c r="BV115" s="263">
        <v>0.54</v>
      </c>
      <c r="BW115" s="263">
        <v>0.45</v>
      </c>
      <c r="BX115" s="263">
        <v>0.48</v>
      </c>
      <c r="BY115" s="263">
        <v>0.56000000000000005</v>
      </c>
      <c r="BZ115" s="309">
        <v>50</v>
      </c>
      <c r="CA115" s="309" t="s">
        <v>758</v>
      </c>
      <c r="CB115" s="309">
        <v>10</v>
      </c>
      <c r="CC115" s="309" t="s">
        <v>758</v>
      </c>
      <c r="CD115" s="327">
        <v>0.17</v>
      </c>
      <c r="CE115" s="327">
        <v>0.5</v>
      </c>
      <c r="CF115" s="327">
        <v>0.32</v>
      </c>
      <c r="CG115" s="327">
        <v>0.02</v>
      </c>
      <c r="CH115" s="327">
        <v>0.51</v>
      </c>
      <c r="CI115" s="327">
        <v>0.35</v>
      </c>
      <c r="CJ115" s="327">
        <v>0.56999999999999995</v>
      </c>
      <c r="CK115" s="327">
        <v>0.54</v>
      </c>
      <c r="CL115" s="327">
        <v>0.43</v>
      </c>
      <c r="CM115" s="327">
        <v>0.57999999999999996</v>
      </c>
      <c r="CN115" s="424">
        <v>50</v>
      </c>
      <c r="CO115" s="424" t="s">
        <v>758</v>
      </c>
      <c r="CP115" s="424">
        <v>10</v>
      </c>
      <c r="CQ115" s="424" t="s">
        <v>758</v>
      </c>
      <c r="CR115" s="428">
        <v>0.2</v>
      </c>
      <c r="CS115" s="428">
        <v>0.49</v>
      </c>
      <c r="CT115" s="428">
        <v>0.28999999999999998</v>
      </c>
      <c r="CU115" s="428">
        <v>0.02</v>
      </c>
      <c r="CV115" s="428">
        <v>0.36</v>
      </c>
      <c r="CW115" s="428">
        <v>0.55000000000000004</v>
      </c>
      <c r="CX115" s="428">
        <v>0.56999999999999995</v>
      </c>
      <c r="CY115" s="428">
        <v>0.63</v>
      </c>
      <c r="CZ115" s="523">
        <v>0.55000000000000004</v>
      </c>
      <c r="DA115" s="523">
        <v>0.63</v>
      </c>
      <c r="DB115" s="524">
        <v>49</v>
      </c>
      <c r="DC115" s="524" t="s">
        <v>758</v>
      </c>
      <c r="DD115" s="524">
        <v>10</v>
      </c>
      <c r="DE115" s="524" t="s">
        <v>758</v>
      </c>
      <c r="DF115" s="525">
        <v>0.22</v>
      </c>
      <c r="DG115" s="525">
        <v>0.5</v>
      </c>
      <c r="DH115" s="525">
        <v>0.28000000000000003</v>
      </c>
      <c r="DI115" s="525">
        <v>0</v>
      </c>
      <c r="DJ115" s="525">
        <v>0.51</v>
      </c>
      <c r="DK115" s="525">
        <v>0.49</v>
      </c>
      <c r="DL115" s="525">
        <v>0.49</v>
      </c>
      <c r="DM115" s="525">
        <v>0.64</v>
      </c>
      <c r="DN115" s="525">
        <v>0.56000000000000005</v>
      </c>
      <c r="DO115" s="525">
        <v>0.48</v>
      </c>
      <c r="DP115" s="902">
        <v>49</v>
      </c>
      <c r="DQ115" s="902" t="s">
        <v>758</v>
      </c>
      <c r="DR115" s="902">
        <v>12</v>
      </c>
      <c r="DS115" s="902" t="s">
        <v>758</v>
      </c>
      <c r="DT115" s="949">
        <v>0.25</v>
      </c>
      <c r="DU115" s="949">
        <v>0.42</v>
      </c>
      <c r="DV115" s="949">
        <v>0.3</v>
      </c>
      <c r="DW115" s="949">
        <v>0.02</v>
      </c>
      <c r="DX115" s="949">
        <v>0.51</v>
      </c>
      <c r="DY115" s="949">
        <v>0.42</v>
      </c>
      <c r="DZ115" s="949">
        <v>0.7</v>
      </c>
      <c r="EA115" s="949">
        <v>0.46</v>
      </c>
      <c r="EB115" s="949">
        <v>0.57999999999999996</v>
      </c>
      <c r="EC115" s="949">
        <v>0.39</v>
      </c>
      <c r="ED115" s="922">
        <v>125754000331</v>
      </c>
      <c r="EE115" s="803" t="s">
        <v>20</v>
      </c>
    </row>
    <row r="116" spans="1:135" ht="24.95" customHeight="1" x14ac:dyDescent="0.2">
      <c r="A116" s="803" t="s">
        <v>124</v>
      </c>
      <c r="B116" s="1" t="s">
        <v>123</v>
      </c>
      <c r="C116" s="2">
        <v>1</v>
      </c>
      <c r="D116" s="12">
        <v>50</v>
      </c>
      <c r="E116" s="12">
        <v>8</v>
      </c>
      <c r="F116" s="63">
        <v>0.2</v>
      </c>
      <c r="G116" s="63">
        <v>0.56999999999999995</v>
      </c>
      <c r="H116" s="63">
        <v>0.24</v>
      </c>
      <c r="I116" s="63">
        <v>0</v>
      </c>
      <c r="J116" s="63">
        <v>0.61</v>
      </c>
      <c r="K116" s="63">
        <v>0.52</v>
      </c>
      <c r="L116" s="63">
        <v>0.65</v>
      </c>
      <c r="M116" s="63">
        <v>0.45</v>
      </c>
      <c r="N116" s="63">
        <v>0.46</v>
      </c>
      <c r="O116" s="63">
        <v>0.57999999999999996</v>
      </c>
      <c r="P116" s="12">
        <v>54</v>
      </c>
      <c r="Q116" s="12">
        <v>9</v>
      </c>
      <c r="R116" s="61">
        <v>0.05</v>
      </c>
      <c r="S116" s="61">
        <v>0.54</v>
      </c>
      <c r="T116" s="61">
        <v>0.38</v>
      </c>
      <c r="U116" s="61">
        <v>0.03</v>
      </c>
      <c r="V116" s="61">
        <v>0.35</v>
      </c>
      <c r="W116" s="61">
        <v>0.41</v>
      </c>
      <c r="X116" s="61">
        <v>0.53</v>
      </c>
      <c r="Y116" s="61">
        <v>0.43</v>
      </c>
      <c r="Z116" s="61">
        <v>0.42</v>
      </c>
      <c r="AA116" s="61">
        <v>0.54</v>
      </c>
      <c r="AB116" s="12">
        <v>51</v>
      </c>
      <c r="AC116" s="12">
        <v>10</v>
      </c>
      <c r="AD116" s="63">
        <v>0.18</v>
      </c>
      <c r="AE116" s="63">
        <v>0.5</v>
      </c>
      <c r="AF116" s="63">
        <v>0.32</v>
      </c>
      <c r="AG116" s="63">
        <v>0</v>
      </c>
      <c r="AH116" s="63">
        <v>0.44</v>
      </c>
      <c r="AI116" s="63">
        <v>0.45</v>
      </c>
      <c r="AJ116" s="63">
        <v>0.39</v>
      </c>
      <c r="AK116" s="63">
        <v>0.47</v>
      </c>
      <c r="AL116" s="63">
        <v>0.53</v>
      </c>
      <c r="AM116" s="63">
        <v>0.47</v>
      </c>
      <c r="AN116" s="12">
        <v>49</v>
      </c>
      <c r="AO116" s="12">
        <v>9</v>
      </c>
      <c r="AP116" s="63">
        <v>0.16</v>
      </c>
      <c r="AQ116" s="63">
        <v>0.56999999999999995</v>
      </c>
      <c r="AR116" s="63">
        <v>0.24</v>
      </c>
      <c r="AS116" s="63">
        <v>0.03</v>
      </c>
      <c r="AT116" s="63">
        <v>0.51</v>
      </c>
      <c r="AU116" s="63">
        <v>0.48</v>
      </c>
      <c r="AV116" s="63">
        <v>0.43</v>
      </c>
      <c r="AW116" s="63">
        <v>0.46</v>
      </c>
      <c r="AX116" s="63">
        <v>0.48</v>
      </c>
      <c r="AY116" s="63">
        <v>0.46</v>
      </c>
      <c r="AZ116" s="35">
        <v>53</v>
      </c>
      <c r="BA116" s="35">
        <v>10</v>
      </c>
      <c r="BB116" s="40">
        <v>0.13</v>
      </c>
      <c r="BC116" s="40">
        <v>0.42</v>
      </c>
      <c r="BD116" s="40">
        <v>0.44</v>
      </c>
      <c r="BE116" s="40">
        <v>0</v>
      </c>
      <c r="BF116" s="40">
        <v>0.4</v>
      </c>
      <c r="BG116" s="40">
        <v>0.44</v>
      </c>
      <c r="BH116" s="40">
        <v>0.43</v>
      </c>
      <c r="BI116" s="40">
        <v>0.56000000000000005</v>
      </c>
      <c r="BJ116" s="40">
        <v>0.34</v>
      </c>
      <c r="BK116" s="40">
        <v>0.39</v>
      </c>
      <c r="BL116" s="246">
        <v>52</v>
      </c>
      <c r="BM116" s="246" t="s">
        <v>758</v>
      </c>
      <c r="BN116" s="246">
        <v>9</v>
      </c>
      <c r="BO116" s="246" t="s">
        <v>758</v>
      </c>
      <c r="BP116" s="263">
        <v>0.14000000000000001</v>
      </c>
      <c r="BQ116" s="263">
        <v>0.47</v>
      </c>
      <c r="BR116" s="263">
        <v>0.4</v>
      </c>
      <c r="BS116" s="263">
        <v>0</v>
      </c>
      <c r="BT116" s="263">
        <v>0.41</v>
      </c>
      <c r="BU116" s="263">
        <v>0.42</v>
      </c>
      <c r="BV116" s="263">
        <v>0.56999999999999995</v>
      </c>
      <c r="BW116" s="263">
        <v>0.41</v>
      </c>
      <c r="BX116" s="263">
        <v>0.41</v>
      </c>
      <c r="BY116" s="263">
        <v>0.49</v>
      </c>
      <c r="BZ116" s="309">
        <v>50</v>
      </c>
      <c r="CA116" s="309" t="s">
        <v>758</v>
      </c>
      <c r="CB116" s="309">
        <v>11</v>
      </c>
      <c r="CC116" s="309" t="s">
        <v>758</v>
      </c>
      <c r="CD116" s="327">
        <v>0.19</v>
      </c>
      <c r="CE116" s="327">
        <v>0.51</v>
      </c>
      <c r="CF116" s="327">
        <v>0.26</v>
      </c>
      <c r="CG116" s="327">
        <v>0.03</v>
      </c>
      <c r="CH116" s="327">
        <v>0.47</v>
      </c>
      <c r="CI116" s="327">
        <v>0.37</v>
      </c>
      <c r="CJ116" s="327">
        <v>0.61</v>
      </c>
      <c r="CK116" s="327">
        <v>0.53</v>
      </c>
      <c r="CL116" s="327">
        <v>0.48</v>
      </c>
      <c r="CM116" s="327">
        <v>0.56999999999999995</v>
      </c>
      <c r="CN116" s="424">
        <v>53</v>
      </c>
      <c r="CO116" s="424" t="s">
        <v>758</v>
      </c>
      <c r="CP116" s="424">
        <v>11</v>
      </c>
      <c r="CQ116" s="424" t="s">
        <v>758</v>
      </c>
      <c r="CR116" s="428">
        <v>0.11</v>
      </c>
      <c r="CS116" s="428">
        <v>0.46</v>
      </c>
      <c r="CT116" s="428">
        <v>0.39</v>
      </c>
      <c r="CU116" s="428">
        <v>0.04</v>
      </c>
      <c r="CV116" s="428">
        <v>0.3</v>
      </c>
      <c r="CW116" s="428">
        <v>0.53</v>
      </c>
      <c r="CX116" s="428">
        <v>0.56000000000000005</v>
      </c>
      <c r="CY116" s="428">
        <v>0.68</v>
      </c>
      <c r="CZ116" s="523">
        <v>0.45</v>
      </c>
      <c r="DA116" s="523">
        <v>0.42</v>
      </c>
      <c r="DB116" s="524">
        <v>52</v>
      </c>
      <c r="DC116" s="524" t="s">
        <v>758</v>
      </c>
      <c r="DD116" s="524">
        <v>12</v>
      </c>
      <c r="DE116" s="524" t="s">
        <v>758</v>
      </c>
      <c r="DF116" s="525">
        <v>0.19</v>
      </c>
      <c r="DG116" s="525">
        <v>0.47</v>
      </c>
      <c r="DH116" s="525">
        <v>0.28000000000000003</v>
      </c>
      <c r="DI116" s="525">
        <v>0.06</v>
      </c>
      <c r="DJ116" s="525">
        <v>0.48</v>
      </c>
      <c r="DK116" s="525">
        <v>0.53</v>
      </c>
      <c r="DL116" s="525">
        <v>0.52</v>
      </c>
      <c r="DM116" s="525">
        <v>0.56000000000000005</v>
      </c>
      <c r="DN116" s="525">
        <v>0.56999999999999995</v>
      </c>
      <c r="DO116" s="525">
        <v>0.4</v>
      </c>
      <c r="DP116" s="902">
        <v>53</v>
      </c>
      <c r="DQ116" s="902" t="s">
        <v>758</v>
      </c>
      <c r="DR116" s="902">
        <v>11</v>
      </c>
      <c r="DS116" s="902" t="s">
        <v>758</v>
      </c>
      <c r="DT116" s="949">
        <v>0.11</v>
      </c>
      <c r="DU116" s="949">
        <v>0.43</v>
      </c>
      <c r="DV116" s="949">
        <v>0.43</v>
      </c>
      <c r="DW116" s="949">
        <v>0.03</v>
      </c>
      <c r="DX116" s="949">
        <v>0.44</v>
      </c>
      <c r="DY116" s="949">
        <v>0.37</v>
      </c>
      <c r="DZ116" s="949">
        <v>0.72</v>
      </c>
      <c r="EA116" s="949">
        <v>0.42</v>
      </c>
      <c r="EB116" s="949">
        <v>0.49</v>
      </c>
      <c r="EC116" s="949">
        <v>0.38</v>
      </c>
      <c r="ED116" s="922">
        <v>325754001441</v>
      </c>
      <c r="EE116" s="803" t="s">
        <v>124</v>
      </c>
    </row>
    <row r="117" spans="1:135" ht="24.95" customHeight="1" x14ac:dyDescent="0.2">
      <c r="A117" s="803" t="s">
        <v>53</v>
      </c>
      <c r="B117" s="1" t="s">
        <v>121</v>
      </c>
      <c r="C117" s="2">
        <v>2</v>
      </c>
      <c r="D117" s="12">
        <v>51</v>
      </c>
      <c r="E117" s="12">
        <v>8</v>
      </c>
      <c r="F117" s="63">
        <v>0.11</v>
      </c>
      <c r="G117" s="63">
        <v>0.63</v>
      </c>
      <c r="H117" s="63">
        <v>0.27</v>
      </c>
      <c r="I117" s="63">
        <v>0</v>
      </c>
      <c r="J117" s="63">
        <v>0.55000000000000004</v>
      </c>
      <c r="K117" s="63">
        <v>0.51</v>
      </c>
      <c r="L117" s="63">
        <v>0.59</v>
      </c>
      <c r="M117" s="63">
        <v>0.43</v>
      </c>
      <c r="N117" s="63">
        <v>0.46</v>
      </c>
      <c r="O117" s="63">
        <v>0.52</v>
      </c>
      <c r="P117" s="12">
        <v>51</v>
      </c>
      <c r="Q117" s="12">
        <v>10</v>
      </c>
      <c r="R117" s="61">
        <v>0.14000000000000001</v>
      </c>
      <c r="S117" s="61">
        <v>0.52</v>
      </c>
      <c r="T117" s="61">
        <v>0.31</v>
      </c>
      <c r="U117" s="61">
        <v>0.03</v>
      </c>
      <c r="V117" s="61">
        <v>0.41</v>
      </c>
      <c r="W117" s="61">
        <v>0.49</v>
      </c>
      <c r="X117" s="61">
        <v>0.54</v>
      </c>
      <c r="Y117" s="61">
        <v>0.44</v>
      </c>
      <c r="Z117" s="61">
        <v>0.44</v>
      </c>
      <c r="AA117" s="61">
        <v>0.5</v>
      </c>
      <c r="AB117" s="12">
        <v>49</v>
      </c>
      <c r="AC117" s="12">
        <v>10</v>
      </c>
      <c r="AD117" s="63">
        <v>0.22</v>
      </c>
      <c r="AE117" s="63">
        <v>0.5</v>
      </c>
      <c r="AF117" s="63">
        <v>0.28000000000000003</v>
      </c>
      <c r="AG117" s="63">
        <v>0.01</v>
      </c>
      <c r="AH117" s="63">
        <v>0.45</v>
      </c>
      <c r="AI117" s="63">
        <v>0.44</v>
      </c>
      <c r="AJ117" s="63">
        <v>0.42</v>
      </c>
      <c r="AK117" s="63">
        <v>0.52</v>
      </c>
      <c r="AL117" s="63">
        <v>0.54</v>
      </c>
      <c r="AM117" s="63">
        <v>0.52</v>
      </c>
      <c r="AN117" s="12">
        <v>48</v>
      </c>
      <c r="AO117" s="12">
        <v>11</v>
      </c>
      <c r="AP117" s="63">
        <v>0.28999999999999998</v>
      </c>
      <c r="AQ117" s="63">
        <v>0.44</v>
      </c>
      <c r="AR117" s="63">
        <v>0.26</v>
      </c>
      <c r="AS117" s="63">
        <v>0.01</v>
      </c>
      <c r="AT117" s="63">
        <v>0.55000000000000004</v>
      </c>
      <c r="AU117" s="63">
        <v>0.47</v>
      </c>
      <c r="AV117" s="63">
        <v>0.48</v>
      </c>
      <c r="AW117" s="63">
        <v>0.47</v>
      </c>
      <c r="AX117" s="63">
        <v>0.5</v>
      </c>
      <c r="AY117" s="63">
        <v>0.49</v>
      </c>
      <c r="AZ117" s="35">
        <v>49</v>
      </c>
      <c r="BA117" s="35">
        <v>10</v>
      </c>
      <c r="BB117" s="40">
        <v>0.19</v>
      </c>
      <c r="BC117" s="40">
        <v>0.53</v>
      </c>
      <c r="BD117" s="40">
        <v>0.28000000000000003</v>
      </c>
      <c r="BE117" s="40">
        <v>0.01</v>
      </c>
      <c r="BF117" s="40">
        <v>0.51</v>
      </c>
      <c r="BG117" s="40">
        <v>0.47</v>
      </c>
      <c r="BH117" s="40">
        <v>0.48</v>
      </c>
      <c r="BI117" s="40">
        <v>0.54</v>
      </c>
      <c r="BJ117" s="40">
        <v>0.45</v>
      </c>
      <c r="BK117" s="40">
        <v>0.42</v>
      </c>
      <c r="BL117" s="246">
        <v>48</v>
      </c>
      <c r="BM117" s="246" t="s">
        <v>758</v>
      </c>
      <c r="BN117" s="246">
        <v>10</v>
      </c>
      <c r="BO117" s="246" t="s">
        <v>758</v>
      </c>
      <c r="BP117" s="263">
        <v>0.25</v>
      </c>
      <c r="BQ117" s="263">
        <v>0.51</v>
      </c>
      <c r="BR117" s="263">
        <v>0.24</v>
      </c>
      <c r="BS117" s="263">
        <v>0</v>
      </c>
      <c r="BT117" s="263">
        <v>0.5</v>
      </c>
      <c r="BU117" s="263">
        <v>0.51</v>
      </c>
      <c r="BV117" s="263">
        <v>0.56000000000000005</v>
      </c>
      <c r="BW117" s="263">
        <v>0.46</v>
      </c>
      <c r="BX117" s="263">
        <v>0.5</v>
      </c>
      <c r="BY117" s="263">
        <v>0.55000000000000004</v>
      </c>
      <c r="BZ117" s="309">
        <v>47</v>
      </c>
      <c r="CA117" s="309" t="s">
        <v>758</v>
      </c>
      <c r="CB117" s="309">
        <v>11</v>
      </c>
      <c r="CC117" s="309" t="s">
        <v>758</v>
      </c>
      <c r="CD117" s="327">
        <v>0.31</v>
      </c>
      <c r="CE117" s="327">
        <v>0.49</v>
      </c>
      <c r="CF117" s="327">
        <v>0.18</v>
      </c>
      <c r="CG117" s="327">
        <v>0.02</v>
      </c>
      <c r="CH117" s="327">
        <v>0.56999999999999995</v>
      </c>
      <c r="CI117" s="327">
        <v>0.5</v>
      </c>
      <c r="CJ117" s="327">
        <v>0.6</v>
      </c>
      <c r="CK117" s="327">
        <v>0.56999999999999995</v>
      </c>
      <c r="CL117" s="327">
        <v>0.45</v>
      </c>
      <c r="CM117" s="327">
        <v>0.6</v>
      </c>
      <c r="CN117" s="424">
        <v>49</v>
      </c>
      <c r="CO117" s="424" t="s">
        <v>758</v>
      </c>
      <c r="CP117" s="424">
        <v>9</v>
      </c>
      <c r="CQ117" s="424" t="s">
        <v>758</v>
      </c>
      <c r="CR117" s="428">
        <v>0.18</v>
      </c>
      <c r="CS117" s="428">
        <v>0.54</v>
      </c>
      <c r="CT117" s="428">
        <v>0.27</v>
      </c>
      <c r="CU117" s="428">
        <v>0.01</v>
      </c>
      <c r="CV117" s="428">
        <v>0.37</v>
      </c>
      <c r="CW117" s="428">
        <v>0.59</v>
      </c>
      <c r="CX117" s="428">
        <v>0.57999999999999996</v>
      </c>
      <c r="CY117" s="428">
        <v>0.6</v>
      </c>
      <c r="CZ117" s="523">
        <v>0.56999999999999995</v>
      </c>
      <c r="DA117" s="523">
        <v>0.57999999999999996</v>
      </c>
      <c r="DB117" s="524">
        <v>50</v>
      </c>
      <c r="DC117" s="524" t="s">
        <v>758</v>
      </c>
      <c r="DD117" s="524">
        <v>10</v>
      </c>
      <c r="DE117" s="524" t="s">
        <v>758</v>
      </c>
      <c r="DF117" s="525">
        <v>0.17</v>
      </c>
      <c r="DG117" s="525">
        <v>0.51</v>
      </c>
      <c r="DH117" s="525">
        <v>0.3</v>
      </c>
      <c r="DI117" s="525">
        <v>0.01</v>
      </c>
      <c r="DJ117" s="525">
        <v>0.5</v>
      </c>
      <c r="DK117" s="525">
        <v>0.46</v>
      </c>
      <c r="DL117" s="525">
        <v>0.49</v>
      </c>
      <c r="DM117" s="525">
        <v>0.65</v>
      </c>
      <c r="DN117" s="525">
        <v>0.54</v>
      </c>
      <c r="DO117" s="525">
        <v>0.41</v>
      </c>
      <c r="DP117" s="902">
        <v>48</v>
      </c>
      <c r="DQ117" s="902" t="s">
        <v>758</v>
      </c>
      <c r="DR117" s="902">
        <v>11</v>
      </c>
      <c r="DS117" s="902" t="s">
        <v>758</v>
      </c>
      <c r="DT117" s="949">
        <v>0.28000000000000003</v>
      </c>
      <c r="DU117" s="949">
        <v>0.44</v>
      </c>
      <c r="DV117" s="949">
        <v>0.26</v>
      </c>
      <c r="DW117" s="949">
        <v>0.01</v>
      </c>
      <c r="DX117" s="949">
        <v>0.53</v>
      </c>
      <c r="DY117" s="949">
        <v>0.43</v>
      </c>
      <c r="DZ117" s="949">
        <v>0.73</v>
      </c>
      <c r="EA117" s="949">
        <v>0.52</v>
      </c>
      <c r="EB117" s="949">
        <v>0.57999999999999996</v>
      </c>
      <c r="EC117" s="949">
        <v>0.4</v>
      </c>
      <c r="ED117" s="922">
        <v>125754001035</v>
      </c>
      <c r="EE117" s="803" t="s">
        <v>53</v>
      </c>
    </row>
    <row r="118" spans="1:135" ht="24.95" customHeight="1" x14ac:dyDescent="0.2">
      <c r="A118" s="803" t="s">
        <v>953</v>
      </c>
      <c r="B118" s="1" t="s">
        <v>121</v>
      </c>
      <c r="C118" s="2">
        <v>4</v>
      </c>
      <c r="D118" s="12">
        <v>52</v>
      </c>
      <c r="E118" s="12">
        <v>9</v>
      </c>
      <c r="F118" s="63">
        <v>0.14000000000000001</v>
      </c>
      <c r="G118" s="63">
        <v>0.5</v>
      </c>
      <c r="H118" s="63">
        <v>0.34</v>
      </c>
      <c r="I118" s="63">
        <v>0.02</v>
      </c>
      <c r="J118" s="63">
        <v>0.52</v>
      </c>
      <c r="K118" s="63">
        <v>0.47</v>
      </c>
      <c r="L118" s="63">
        <v>0.56999999999999995</v>
      </c>
      <c r="M118" s="63">
        <v>0.41</v>
      </c>
      <c r="N118" s="63">
        <v>0.4</v>
      </c>
      <c r="O118" s="63">
        <v>0.53</v>
      </c>
      <c r="P118" s="12">
        <v>53</v>
      </c>
      <c r="Q118" s="12">
        <v>11</v>
      </c>
      <c r="R118" s="61">
        <v>0.11</v>
      </c>
      <c r="S118" s="61">
        <v>0.47</v>
      </c>
      <c r="T118" s="61">
        <v>0.36</v>
      </c>
      <c r="U118" s="61">
        <v>0.05</v>
      </c>
      <c r="V118" s="61">
        <v>0.4</v>
      </c>
      <c r="W118" s="61">
        <v>0.45</v>
      </c>
      <c r="X118" s="61">
        <v>0.52</v>
      </c>
      <c r="Y118" s="61">
        <v>0.43</v>
      </c>
      <c r="Z118" s="61">
        <v>0.39</v>
      </c>
      <c r="AA118" s="61">
        <v>0.46</v>
      </c>
      <c r="AB118" s="12">
        <v>48</v>
      </c>
      <c r="AC118" s="12">
        <v>10</v>
      </c>
      <c r="AD118" s="63">
        <v>0.19</v>
      </c>
      <c r="AE118" s="63">
        <v>0.57999999999999996</v>
      </c>
      <c r="AF118" s="63">
        <v>0.22</v>
      </c>
      <c r="AG118" s="63">
        <v>0.01</v>
      </c>
      <c r="AH118" s="63">
        <v>0.46</v>
      </c>
      <c r="AI118" s="63">
        <v>0.44</v>
      </c>
      <c r="AJ118" s="63">
        <v>0.44</v>
      </c>
      <c r="AK118" s="63">
        <v>0.54</v>
      </c>
      <c r="AL118" s="63">
        <v>0.56999999999999995</v>
      </c>
      <c r="AM118" s="63">
        <v>0.55000000000000004</v>
      </c>
      <c r="AN118" s="12">
        <v>47</v>
      </c>
      <c r="AO118" s="12">
        <v>11</v>
      </c>
      <c r="AP118" s="63">
        <v>0.32</v>
      </c>
      <c r="AQ118" s="63">
        <v>0.43</v>
      </c>
      <c r="AR118" s="63">
        <v>0.25</v>
      </c>
      <c r="AS118" s="63">
        <v>0</v>
      </c>
      <c r="AT118" s="63">
        <v>0.59</v>
      </c>
      <c r="AU118" s="63">
        <v>0.5</v>
      </c>
      <c r="AV118" s="63">
        <v>0.47</v>
      </c>
      <c r="AW118" s="63">
        <v>0.47</v>
      </c>
      <c r="AX118" s="63">
        <v>0.51</v>
      </c>
      <c r="AY118" s="63">
        <v>0.5</v>
      </c>
      <c r="AZ118" s="35">
        <v>49</v>
      </c>
      <c r="BA118" s="35">
        <v>10</v>
      </c>
      <c r="BB118" s="40">
        <v>0.17</v>
      </c>
      <c r="BC118" s="40">
        <v>0.57999999999999996</v>
      </c>
      <c r="BD118" s="40">
        <v>0.25</v>
      </c>
      <c r="BE118" s="40">
        <v>0.01</v>
      </c>
      <c r="BF118" s="40">
        <v>0.54</v>
      </c>
      <c r="BG118" s="40">
        <v>0.5</v>
      </c>
      <c r="BH118" s="40">
        <v>0.5</v>
      </c>
      <c r="BI118" s="40">
        <v>0.61</v>
      </c>
      <c r="BJ118" s="40">
        <v>0.43</v>
      </c>
      <c r="BK118" s="40">
        <v>0.42</v>
      </c>
      <c r="BL118" s="246">
        <v>46</v>
      </c>
      <c r="BM118" s="246" t="s">
        <v>758</v>
      </c>
      <c r="BN118" s="246">
        <v>10</v>
      </c>
      <c r="BO118" s="246" t="s">
        <v>758</v>
      </c>
      <c r="BP118" s="263">
        <v>0.28999999999999998</v>
      </c>
      <c r="BQ118" s="263">
        <v>0.54</v>
      </c>
      <c r="BR118" s="263">
        <v>0.16</v>
      </c>
      <c r="BS118" s="263">
        <v>0.01</v>
      </c>
      <c r="BT118" s="263">
        <v>0.47</v>
      </c>
      <c r="BU118" s="263">
        <v>0.56000000000000005</v>
      </c>
      <c r="BV118" s="263">
        <v>0.63</v>
      </c>
      <c r="BW118" s="263">
        <v>0.48</v>
      </c>
      <c r="BX118" s="263">
        <v>0.52</v>
      </c>
      <c r="BY118" s="263">
        <v>0.6</v>
      </c>
      <c r="BZ118" s="309">
        <v>46</v>
      </c>
      <c r="CA118" s="309" t="s">
        <v>758</v>
      </c>
      <c r="CB118" s="309">
        <v>9</v>
      </c>
      <c r="CC118" s="309" t="s">
        <v>758</v>
      </c>
      <c r="CD118" s="327">
        <v>0.3</v>
      </c>
      <c r="CE118" s="327">
        <v>0.54</v>
      </c>
      <c r="CF118" s="327">
        <v>0.16</v>
      </c>
      <c r="CG118" s="327">
        <v>0</v>
      </c>
      <c r="CH118" s="327">
        <v>0.52</v>
      </c>
      <c r="CI118" s="327">
        <v>0.42</v>
      </c>
      <c r="CJ118" s="327">
        <v>0.64</v>
      </c>
      <c r="CK118" s="327">
        <v>0.59</v>
      </c>
      <c r="CL118" s="327">
        <v>0.47</v>
      </c>
      <c r="CM118" s="327">
        <v>0.64</v>
      </c>
      <c r="CN118" s="424">
        <v>48</v>
      </c>
      <c r="CO118" s="424" t="s">
        <v>758</v>
      </c>
      <c r="CP118" s="424">
        <v>10</v>
      </c>
      <c r="CQ118" s="424" t="s">
        <v>758</v>
      </c>
      <c r="CR118" s="428">
        <v>0.27</v>
      </c>
      <c r="CS118" s="428">
        <v>0.48</v>
      </c>
      <c r="CT118" s="428">
        <v>0.25</v>
      </c>
      <c r="CU118" s="428">
        <v>0.01</v>
      </c>
      <c r="CV118" s="428">
        <v>0.39</v>
      </c>
      <c r="CW118" s="428">
        <v>0.61</v>
      </c>
      <c r="CX118" s="428">
        <v>0.6</v>
      </c>
      <c r="CY118" s="428">
        <v>0.68</v>
      </c>
      <c r="CZ118" s="523">
        <v>0.6</v>
      </c>
      <c r="DA118" s="523">
        <v>0.62</v>
      </c>
      <c r="DB118" s="524">
        <v>48</v>
      </c>
      <c r="DC118" s="524" t="s">
        <v>758</v>
      </c>
      <c r="DD118" s="524">
        <v>10</v>
      </c>
      <c r="DE118" s="524" t="s">
        <v>758</v>
      </c>
      <c r="DF118" s="525">
        <v>0.27</v>
      </c>
      <c r="DG118" s="525">
        <v>0.48</v>
      </c>
      <c r="DH118" s="525">
        <v>0.25</v>
      </c>
      <c r="DI118" s="525">
        <v>0</v>
      </c>
      <c r="DJ118" s="525">
        <v>0.52</v>
      </c>
      <c r="DK118" s="525">
        <v>0.62</v>
      </c>
      <c r="DL118" s="525">
        <v>0.51</v>
      </c>
      <c r="DM118" s="525">
        <v>0.63</v>
      </c>
      <c r="DN118" s="525">
        <v>0.59</v>
      </c>
      <c r="DO118" s="525">
        <v>0.43</v>
      </c>
      <c r="DP118" s="902">
        <v>47</v>
      </c>
      <c r="DQ118" s="902" t="s">
        <v>758</v>
      </c>
      <c r="DR118" s="902">
        <v>10</v>
      </c>
      <c r="DS118" s="902" t="s">
        <v>758</v>
      </c>
      <c r="DT118" s="949">
        <v>0.28999999999999998</v>
      </c>
      <c r="DU118" s="949">
        <v>0.48</v>
      </c>
      <c r="DV118" s="949">
        <v>0.22</v>
      </c>
      <c r="DW118" s="949">
        <v>0.01</v>
      </c>
      <c r="DX118" s="949">
        <v>0.54</v>
      </c>
      <c r="DY118" s="949">
        <v>0.44</v>
      </c>
      <c r="DZ118" s="949">
        <v>0.81</v>
      </c>
      <c r="EA118" s="949">
        <v>0.53</v>
      </c>
      <c r="EB118" s="949">
        <v>0.61</v>
      </c>
      <c r="EC118" s="949">
        <v>0.44</v>
      </c>
      <c r="ED118" s="922">
        <v>125754001159</v>
      </c>
      <c r="EE118" s="803" t="s">
        <v>953</v>
      </c>
    </row>
    <row r="119" spans="1:135" ht="24.95" customHeight="1" x14ac:dyDescent="0.2">
      <c r="A119" s="803" t="s">
        <v>954</v>
      </c>
      <c r="B119" s="1" t="s">
        <v>123</v>
      </c>
      <c r="C119" s="2">
        <v>1</v>
      </c>
      <c r="D119" s="12">
        <v>47</v>
      </c>
      <c r="E119" s="12">
        <v>9</v>
      </c>
      <c r="F119" s="63">
        <v>0.33</v>
      </c>
      <c r="G119" s="63">
        <v>0.52</v>
      </c>
      <c r="H119" s="63">
        <v>0.14000000000000001</v>
      </c>
      <c r="I119" s="63">
        <v>0</v>
      </c>
      <c r="J119" s="63">
        <v>0.56999999999999995</v>
      </c>
      <c r="K119" s="63">
        <v>0.62</v>
      </c>
      <c r="L119" s="63">
        <v>0.6</v>
      </c>
      <c r="M119" s="63">
        <v>0.44</v>
      </c>
      <c r="N119" s="63">
        <v>0.55000000000000004</v>
      </c>
      <c r="O119" s="63">
        <v>0.56999999999999995</v>
      </c>
      <c r="P119" s="12">
        <v>46</v>
      </c>
      <c r="Q119" s="12">
        <v>12</v>
      </c>
      <c r="R119" s="61">
        <v>0.53</v>
      </c>
      <c r="S119" s="61">
        <v>0.18</v>
      </c>
      <c r="T119" s="61">
        <v>0.24</v>
      </c>
      <c r="U119" s="61">
        <v>0.06</v>
      </c>
      <c r="V119" s="61">
        <v>0.54</v>
      </c>
      <c r="W119" s="61">
        <v>0.49</v>
      </c>
      <c r="X119" s="61">
        <v>0.67</v>
      </c>
      <c r="Y119" s="61">
        <v>0.5</v>
      </c>
      <c r="Z119" s="61">
        <v>0.52</v>
      </c>
      <c r="AA119" s="61">
        <v>0.57999999999999996</v>
      </c>
      <c r="AB119" s="12">
        <v>44</v>
      </c>
      <c r="AC119" s="12">
        <v>9</v>
      </c>
      <c r="AD119" s="63">
        <v>0.5</v>
      </c>
      <c r="AE119" s="63">
        <v>0.28999999999999998</v>
      </c>
      <c r="AF119" s="63">
        <v>0.21</v>
      </c>
      <c r="AG119" s="63">
        <v>0</v>
      </c>
      <c r="AH119" s="63">
        <v>0.51</v>
      </c>
      <c r="AI119" s="63">
        <v>0.52</v>
      </c>
      <c r="AJ119" s="63">
        <v>0.54</v>
      </c>
      <c r="AK119" s="63">
        <v>0.61</v>
      </c>
      <c r="AL119" s="63">
        <v>0.67</v>
      </c>
      <c r="AM119" s="63">
        <v>0.56999999999999995</v>
      </c>
      <c r="AN119" s="12">
        <v>44</v>
      </c>
      <c r="AO119" s="12">
        <v>10</v>
      </c>
      <c r="AP119" s="63">
        <v>0.43</v>
      </c>
      <c r="AQ119" s="63">
        <v>0.43</v>
      </c>
      <c r="AR119" s="63">
        <v>0.13</v>
      </c>
      <c r="AS119" s="63">
        <v>0</v>
      </c>
      <c r="AT119" s="63">
        <v>0.53</v>
      </c>
      <c r="AU119" s="63">
        <v>0.49</v>
      </c>
      <c r="AV119" s="63">
        <v>0.57999999999999996</v>
      </c>
      <c r="AW119" s="63">
        <v>0.51</v>
      </c>
      <c r="AX119" s="63">
        <v>0.54</v>
      </c>
      <c r="AY119" s="63">
        <v>0.52</v>
      </c>
      <c r="AZ119" s="35">
        <v>51</v>
      </c>
      <c r="BA119" s="35">
        <v>9</v>
      </c>
      <c r="BB119" s="40">
        <v>0.15</v>
      </c>
      <c r="BC119" s="40">
        <v>0.5</v>
      </c>
      <c r="BD119" s="40">
        <v>0.35</v>
      </c>
      <c r="BE119" s="40">
        <v>0</v>
      </c>
      <c r="BF119" s="40">
        <v>0.56000000000000005</v>
      </c>
      <c r="BG119" s="40">
        <v>0.4</v>
      </c>
      <c r="BH119" s="40">
        <v>0.43</v>
      </c>
      <c r="BI119" s="40">
        <v>0.57999999999999996</v>
      </c>
      <c r="BJ119" s="40">
        <v>0.45</v>
      </c>
      <c r="BK119" s="40">
        <v>0.39</v>
      </c>
      <c r="BL119" s="246">
        <v>49</v>
      </c>
      <c r="BM119" s="246" t="s">
        <v>758</v>
      </c>
      <c r="BN119" s="246">
        <v>11</v>
      </c>
      <c r="BO119" s="246" t="s">
        <v>758</v>
      </c>
      <c r="BP119" s="263">
        <v>0.28999999999999998</v>
      </c>
      <c r="BQ119" s="263">
        <v>0.38</v>
      </c>
      <c r="BR119" s="263">
        <v>0.33</v>
      </c>
      <c r="BS119" s="263">
        <v>0</v>
      </c>
      <c r="BT119" s="263">
        <v>0.45</v>
      </c>
      <c r="BU119" s="263">
        <v>0.46</v>
      </c>
      <c r="BV119" s="263">
        <v>0.53</v>
      </c>
      <c r="BW119" s="263">
        <v>0.44</v>
      </c>
      <c r="BX119" s="263">
        <v>0.48</v>
      </c>
      <c r="BY119" s="263">
        <v>0.53</v>
      </c>
      <c r="BZ119" s="309">
        <v>49</v>
      </c>
      <c r="CA119" s="309" t="s">
        <v>758</v>
      </c>
      <c r="CB119" s="309">
        <v>11</v>
      </c>
      <c r="CC119" s="309" t="s">
        <v>758</v>
      </c>
      <c r="CD119" s="327">
        <v>0.24</v>
      </c>
      <c r="CE119" s="327">
        <v>0.38</v>
      </c>
      <c r="CF119" s="327">
        <v>0.38</v>
      </c>
      <c r="CG119" s="327">
        <v>0</v>
      </c>
      <c r="CH119" s="327">
        <v>0.68</v>
      </c>
      <c r="CI119" s="327">
        <v>0.62</v>
      </c>
      <c r="CJ119" s="327">
        <v>0.62</v>
      </c>
      <c r="CK119" s="327">
        <v>0.5</v>
      </c>
      <c r="CL119" s="327">
        <v>0.4</v>
      </c>
      <c r="CM119" s="327">
        <v>0.6</v>
      </c>
      <c r="CN119" s="424">
        <v>51</v>
      </c>
      <c r="CO119" s="424" t="s">
        <v>758</v>
      </c>
      <c r="CP119" s="424">
        <v>9</v>
      </c>
      <c r="CQ119" s="424" t="s">
        <v>758</v>
      </c>
      <c r="CR119" s="428">
        <v>0.2</v>
      </c>
      <c r="CS119" s="428">
        <v>0.44</v>
      </c>
      <c r="CT119" s="428">
        <v>0.36</v>
      </c>
      <c r="CU119" s="428">
        <v>0</v>
      </c>
      <c r="CV119" s="428">
        <v>0.28999999999999998</v>
      </c>
      <c r="CW119" s="428">
        <v>0.56000000000000005</v>
      </c>
      <c r="CX119" s="428">
        <v>0.54</v>
      </c>
      <c r="CY119" s="428">
        <v>0.33</v>
      </c>
      <c r="CZ119" s="523">
        <v>0.6</v>
      </c>
      <c r="DA119" s="523">
        <v>0.65</v>
      </c>
      <c r="DB119" s="524">
        <v>52</v>
      </c>
      <c r="DC119" s="524" t="s">
        <v>758</v>
      </c>
      <c r="DD119" s="524">
        <v>7</v>
      </c>
      <c r="DE119" s="524" t="s">
        <v>760</v>
      </c>
      <c r="DF119" s="525">
        <v>0.05</v>
      </c>
      <c r="DG119" s="525">
        <v>0.68</v>
      </c>
      <c r="DH119" s="525">
        <v>0.26</v>
      </c>
      <c r="DI119" s="525">
        <v>0</v>
      </c>
      <c r="DJ119" s="525">
        <v>0.46</v>
      </c>
      <c r="DK119" s="525">
        <v>0.39</v>
      </c>
      <c r="DL119" s="525">
        <v>0.38</v>
      </c>
      <c r="DM119" s="525">
        <v>0.62</v>
      </c>
      <c r="DN119" s="525">
        <v>0.53</v>
      </c>
      <c r="DO119" s="525">
        <v>0.45</v>
      </c>
      <c r="DP119" s="902">
        <v>50</v>
      </c>
      <c r="DQ119" s="902" t="s">
        <v>758</v>
      </c>
      <c r="DR119" s="902">
        <v>12</v>
      </c>
      <c r="DS119" s="902" t="s">
        <v>758</v>
      </c>
      <c r="DT119" s="949">
        <v>0.21</v>
      </c>
      <c r="DU119" s="949">
        <v>0.35</v>
      </c>
      <c r="DV119" s="949">
        <v>0.44</v>
      </c>
      <c r="DW119" s="949">
        <v>0</v>
      </c>
      <c r="DX119" s="949">
        <v>0.5</v>
      </c>
      <c r="DY119" s="949">
        <v>0.31</v>
      </c>
      <c r="DZ119" s="949">
        <v>0.5</v>
      </c>
      <c r="EA119" s="949">
        <v>0.44</v>
      </c>
      <c r="EB119" s="949">
        <v>0.56999999999999995</v>
      </c>
      <c r="EC119" s="949">
        <v>0.33</v>
      </c>
      <c r="ED119" s="922">
        <v>325754002596</v>
      </c>
      <c r="EE119" s="803" t="s">
        <v>954</v>
      </c>
    </row>
    <row r="120" spans="1:135" ht="24.95" customHeight="1" x14ac:dyDescent="0.2">
      <c r="A120" s="803" t="s">
        <v>96</v>
      </c>
      <c r="B120" s="1" t="s">
        <v>121</v>
      </c>
      <c r="C120" s="2">
        <v>3</v>
      </c>
      <c r="D120" s="12">
        <v>50</v>
      </c>
      <c r="E120" s="12">
        <v>9</v>
      </c>
      <c r="F120" s="63">
        <v>0.18</v>
      </c>
      <c r="G120" s="63">
        <v>0.55000000000000004</v>
      </c>
      <c r="H120" s="63">
        <v>0.25</v>
      </c>
      <c r="I120" s="63">
        <v>0.02</v>
      </c>
      <c r="J120" s="63">
        <v>0.56000000000000005</v>
      </c>
      <c r="K120" s="63">
        <v>0.51</v>
      </c>
      <c r="L120" s="63">
        <v>0.65</v>
      </c>
      <c r="M120" s="63">
        <v>0.47</v>
      </c>
      <c r="N120" s="63">
        <v>0.45</v>
      </c>
      <c r="O120" s="63">
        <v>0.54</v>
      </c>
      <c r="P120" s="12">
        <v>50</v>
      </c>
      <c r="Q120" s="12">
        <v>9</v>
      </c>
      <c r="R120" s="61">
        <v>0.18</v>
      </c>
      <c r="S120" s="61">
        <v>0.55000000000000004</v>
      </c>
      <c r="T120" s="61">
        <v>0.27</v>
      </c>
      <c r="U120" s="61">
        <v>0</v>
      </c>
      <c r="V120" s="61">
        <v>0.46</v>
      </c>
      <c r="W120" s="61">
        <v>0.5</v>
      </c>
      <c r="X120" s="61">
        <v>0.59</v>
      </c>
      <c r="Y120" s="61">
        <v>0.48</v>
      </c>
      <c r="Z120" s="61">
        <v>0.45</v>
      </c>
      <c r="AA120" s="61">
        <v>0.52</v>
      </c>
      <c r="AB120" s="12">
        <v>50</v>
      </c>
      <c r="AC120" s="12">
        <v>10</v>
      </c>
      <c r="AD120" s="63">
        <v>0.2</v>
      </c>
      <c r="AE120" s="63">
        <v>0.51</v>
      </c>
      <c r="AF120" s="63">
        <v>0.28000000000000003</v>
      </c>
      <c r="AG120" s="63">
        <v>0.01</v>
      </c>
      <c r="AH120" s="63">
        <v>0.44</v>
      </c>
      <c r="AI120" s="63">
        <v>0.42</v>
      </c>
      <c r="AJ120" s="63">
        <v>0.42</v>
      </c>
      <c r="AK120" s="63">
        <v>0.51</v>
      </c>
      <c r="AL120" s="63">
        <v>0.55000000000000004</v>
      </c>
      <c r="AM120" s="63">
        <v>0.52</v>
      </c>
      <c r="AN120" s="12">
        <v>47</v>
      </c>
      <c r="AO120" s="12">
        <v>10</v>
      </c>
      <c r="AP120" s="63">
        <v>0.3</v>
      </c>
      <c r="AQ120" s="63">
        <v>0.49</v>
      </c>
      <c r="AR120" s="63">
        <v>0.2</v>
      </c>
      <c r="AS120" s="63">
        <v>0.01</v>
      </c>
      <c r="AT120" s="63">
        <v>0.56000000000000005</v>
      </c>
      <c r="AU120" s="63">
        <v>0.51</v>
      </c>
      <c r="AV120" s="63">
        <v>0.48</v>
      </c>
      <c r="AW120" s="63">
        <v>0.49</v>
      </c>
      <c r="AX120" s="63">
        <v>0.51</v>
      </c>
      <c r="AY120" s="63">
        <v>0.5</v>
      </c>
      <c r="AZ120" s="35">
        <v>47</v>
      </c>
      <c r="BA120" s="35">
        <v>10</v>
      </c>
      <c r="BB120" s="40">
        <v>0.26</v>
      </c>
      <c r="BC120" s="40">
        <v>0.5</v>
      </c>
      <c r="BD120" s="40">
        <v>0.24</v>
      </c>
      <c r="BE120" s="40">
        <v>0</v>
      </c>
      <c r="BF120" s="40">
        <v>0.56999999999999995</v>
      </c>
      <c r="BG120" s="40">
        <v>0.51</v>
      </c>
      <c r="BH120" s="40">
        <v>0.52</v>
      </c>
      <c r="BI120" s="40">
        <v>0.61</v>
      </c>
      <c r="BJ120" s="40">
        <v>0.5</v>
      </c>
      <c r="BK120" s="40">
        <v>0.45</v>
      </c>
      <c r="BL120" s="246">
        <v>47</v>
      </c>
      <c r="BM120" s="246" t="s">
        <v>758</v>
      </c>
      <c r="BN120" s="246">
        <v>10</v>
      </c>
      <c r="BO120" s="246" t="s">
        <v>758</v>
      </c>
      <c r="BP120" s="263">
        <v>0.28000000000000003</v>
      </c>
      <c r="BQ120" s="263">
        <v>0.5</v>
      </c>
      <c r="BR120" s="263">
        <v>0.22</v>
      </c>
      <c r="BS120" s="263">
        <v>0</v>
      </c>
      <c r="BT120" s="263">
        <v>0.48</v>
      </c>
      <c r="BU120" s="263">
        <v>0.53</v>
      </c>
      <c r="BV120" s="263">
        <v>0.56999999999999995</v>
      </c>
      <c r="BW120" s="263">
        <v>0.45</v>
      </c>
      <c r="BX120" s="263">
        <v>0.48</v>
      </c>
      <c r="BY120" s="263">
        <v>0.6</v>
      </c>
      <c r="BZ120" s="309">
        <v>48</v>
      </c>
      <c r="CA120" s="309" t="s">
        <v>758</v>
      </c>
      <c r="CB120" s="309">
        <v>10</v>
      </c>
      <c r="CC120" s="309" t="s">
        <v>758</v>
      </c>
      <c r="CD120" s="327">
        <v>0.23</v>
      </c>
      <c r="CE120" s="327">
        <v>0.53</v>
      </c>
      <c r="CF120" s="327">
        <v>0.23</v>
      </c>
      <c r="CG120" s="327">
        <v>0.01</v>
      </c>
      <c r="CH120" s="327">
        <v>0.49</v>
      </c>
      <c r="CI120" s="327">
        <v>0.47</v>
      </c>
      <c r="CJ120" s="327">
        <v>0.63</v>
      </c>
      <c r="CK120" s="327">
        <v>0.55000000000000004</v>
      </c>
      <c r="CL120" s="327">
        <v>0.44</v>
      </c>
      <c r="CM120" s="327">
        <v>0.61</v>
      </c>
      <c r="CN120" s="424">
        <v>48</v>
      </c>
      <c r="CO120" s="424" t="s">
        <v>758</v>
      </c>
      <c r="CP120" s="424">
        <v>9</v>
      </c>
      <c r="CQ120" s="424" t="s">
        <v>758</v>
      </c>
      <c r="CR120" s="428">
        <v>0.24</v>
      </c>
      <c r="CS120" s="428">
        <v>0.54</v>
      </c>
      <c r="CT120" s="428">
        <v>0.21</v>
      </c>
      <c r="CU120" s="428">
        <v>0</v>
      </c>
      <c r="CV120" s="428">
        <v>0.37</v>
      </c>
      <c r="CW120" s="428">
        <v>0.6</v>
      </c>
      <c r="CX120" s="428">
        <v>0.59</v>
      </c>
      <c r="CY120" s="428">
        <v>0.65</v>
      </c>
      <c r="CZ120" s="523">
        <v>0.55000000000000004</v>
      </c>
      <c r="DA120" s="523">
        <v>0.59</v>
      </c>
      <c r="DB120" s="524">
        <v>48</v>
      </c>
      <c r="DC120" s="524" t="s">
        <v>758</v>
      </c>
      <c r="DD120" s="524">
        <v>11</v>
      </c>
      <c r="DE120" s="524" t="s">
        <v>758</v>
      </c>
      <c r="DF120" s="525">
        <v>0.26</v>
      </c>
      <c r="DG120" s="525">
        <v>0.49</v>
      </c>
      <c r="DH120" s="525">
        <v>0.24</v>
      </c>
      <c r="DI120" s="525">
        <v>0.01</v>
      </c>
      <c r="DJ120" s="525">
        <v>0.52</v>
      </c>
      <c r="DK120" s="525">
        <v>0.51</v>
      </c>
      <c r="DL120" s="525">
        <v>0.52</v>
      </c>
      <c r="DM120" s="525">
        <v>0.64</v>
      </c>
      <c r="DN120" s="525">
        <v>0.48</v>
      </c>
      <c r="DO120" s="525">
        <v>0.44</v>
      </c>
      <c r="DP120" s="902">
        <v>47</v>
      </c>
      <c r="DQ120" s="902" t="s">
        <v>758</v>
      </c>
      <c r="DR120" s="902">
        <v>10</v>
      </c>
      <c r="DS120" s="902" t="s">
        <v>758</v>
      </c>
      <c r="DT120" s="949">
        <v>0.26</v>
      </c>
      <c r="DU120" s="949">
        <v>0.54</v>
      </c>
      <c r="DV120" s="949">
        <v>0.16</v>
      </c>
      <c r="DW120" s="949">
        <v>0.04</v>
      </c>
      <c r="DX120" s="949">
        <v>0.57999999999999996</v>
      </c>
      <c r="DY120" s="949">
        <v>0.41</v>
      </c>
      <c r="DZ120" s="949">
        <v>0.71</v>
      </c>
      <c r="EA120" s="949">
        <v>0.49</v>
      </c>
      <c r="EB120" s="949">
        <v>0.6</v>
      </c>
      <c r="EC120" s="949">
        <v>0.4</v>
      </c>
      <c r="ED120" s="922">
        <v>125754000713</v>
      </c>
      <c r="EE120" s="803" t="s">
        <v>96</v>
      </c>
    </row>
    <row r="121" spans="1:135" ht="24.95" customHeight="1" x14ac:dyDescent="0.2">
      <c r="A121" s="803" t="s">
        <v>25</v>
      </c>
      <c r="B121" s="1" t="s">
        <v>121</v>
      </c>
      <c r="C121" s="2">
        <v>6</v>
      </c>
      <c r="D121" s="12">
        <v>51</v>
      </c>
      <c r="E121" s="12">
        <v>9</v>
      </c>
      <c r="F121" s="63">
        <v>0.13</v>
      </c>
      <c r="G121" s="63">
        <v>0.56999999999999995</v>
      </c>
      <c r="H121" s="63">
        <v>0.28999999999999998</v>
      </c>
      <c r="I121" s="63">
        <v>0.01</v>
      </c>
      <c r="J121" s="63">
        <v>0.56999999999999995</v>
      </c>
      <c r="K121" s="63">
        <v>0.48</v>
      </c>
      <c r="L121" s="63">
        <v>0.68</v>
      </c>
      <c r="M121" s="63">
        <v>0.45</v>
      </c>
      <c r="N121" s="63">
        <v>0.42</v>
      </c>
      <c r="O121" s="63">
        <v>0.47</v>
      </c>
      <c r="P121" s="12">
        <v>51</v>
      </c>
      <c r="Q121" s="12">
        <v>10</v>
      </c>
      <c r="R121" s="61">
        <v>0.14000000000000001</v>
      </c>
      <c r="S121" s="61">
        <v>0.47</v>
      </c>
      <c r="T121" s="61">
        <v>0.36</v>
      </c>
      <c r="U121" s="61">
        <v>0.03</v>
      </c>
      <c r="V121" s="61">
        <v>0.42</v>
      </c>
      <c r="W121" s="61">
        <v>0.47</v>
      </c>
      <c r="X121" s="61">
        <v>0.55000000000000004</v>
      </c>
      <c r="Y121" s="61">
        <v>0.45</v>
      </c>
      <c r="Z121" s="61">
        <v>0.41</v>
      </c>
      <c r="AA121" s="61">
        <v>0.51</v>
      </c>
      <c r="AB121" s="12">
        <v>50</v>
      </c>
      <c r="AC121" s="12">
        <v>11</v>
      </c>
      <c r="AD121" s="63">
        <v>0.21</v>
      </c>
      <c r="AE121" s="63">
        <v>0.49</v>
      </c>
      <c r="AF121" s="63">
        <v>0.28000000000000003</v>
      </c>
      <c r="AG121" s="63">
        <v>0.03</v>
      </c>
      <c r="AH121" s="63">
        <v>0.42</v>
      </c>
      <c r="AI121" s="63">
        <v>0.41</v>
      </c>
      <c r="AJ121" s="63">
        <v>0.4</v>
      </c>
      <c r="AK121" s="63">
        <v>0.49</v>
      </c>
      <c r="AL121" s="63">
        <v>0.51</v>
      </c>
      <c r="AM121" s="63">
        <v>0.5</v>
      </c>
      <c r="AN121" s="12">
        <v>46</v>
      </c>
      <c r="AO121" s="12">
        <v>11</v>
      </c>
      <c r="AP121" s="63">
        <v>0.3</v>
      </c>
      <c r="AQ121" s="63">
        <v>0.5</v>
      </c>
      <c r="AR121" s="63">
        <v>0.18</v>
      </c>
      <c r="AS121" s="63">
        <v>0.02</v>
      </c>
      <c r="AT121" s="63">
        <v>0.56000000000000005</v>
      </c>
      <c r="AU121" s="63">
        <v>0.53</v>
      </c>
      <c r="AV121" s="63">
        <v>0.48</v>
      </c>
      <c r="AW121" s="63">
        <v>0.5</v>
      </c>
      <c r="AX121" s="63">
        <v>0.51</v>
      </c>
      <c r="AY121" s="63">
        <v>0.52</v>
      </c>
      <c r="AZ121" s="35">
        <v>50</v>
      </c>
      <c r="BA121" s="35">
        <v>10</v>
      </c>
      <c r="BB121" s="40">
        <v>0.2</v>
      </c>
      <c r="BC121" s="40">
        <v>0.46</v>
      </c>
      <c r="BD121" s="40">
        <v>0.32</v>
      </c>
      <c r="BE121" s="40">
        <v>0.02</v>
      </c>
      <c r="BF121" s="40">
        <v>0.51</v>
      </c>
      <c r="BG121" s="40">
        <v>0.49</v>
      </c>
      <c r="BH121" s="40">
        <v>0.48</v>
      </c>
      <c r="BI121" s="40">
        <v>0.53</v>
      </c>
      <c r="BJ121" s="40">
        <v>0.42</v>
      </c>
      <c r="BK121" s="40">
        <v>0.42</v>
      </c>
      <c r="BL121" s="246">
        <v>46</v>
      </c>
      <c r="BM121" s="246" t="s">
        <v>758</v>
      </c>
      <c r="BN121" s="246">
        <v>10</v>
      </c>
      <c r="BO121" s="246" t="s">
        <v>758</v>
      </c>
      <c r="BP121" s="263">
        <v>0.28999999999999998</v>
      </c>
      <c r="BQ121" s="263">
        <v>0.55000000000000004</v>
      </c>
      <c r="BR121" s="263">
        <v>0.16</v>
      </c>
      <c r="BS121" s="263">
        <v>0.01</v>
      </c>
      <c r="BT121" s="263">
        <v>0.5</v>
      </c>
      <c r="BU121" s="263">
        <v>0.54</v>
      </c>
      <c r="BV121" s="263">
        <v>0.64</v>
      </c>
      <c r="BW121" s="263">
        <v>0.47</v>
      </c>
      <c r="BX121" s="263">
        <v>0.52</v>
      </c>
      <c r="BY121" s="263">
        <v>0.56999999999999995</v>
      </c>
      <c r="BZ121" s="309">
        <v>47</v>
      </c>
      <c r="CA121" s="309" t="s">
        <v>758</v>
      </c>
      <c r="CB121" s="309">
        <v>10</v>
      </c>
      <c r="CC121" s="309" t="s">
        <v>758</v>
      </c>
      <c r="CD121" s="327">
        <v>0.28999999999999998</v>
      </c>
      <c r="CE121" s="327">
        <v>0.49</v>
      </c>
      <c r="CF121" s="327">
        <v>0.21</v>
      </c>
      <c r="CG121" s="327">
        <v>0</v>
      </c>
      <c r="CH121" s="327">
        <v>0.52</v>
      </c>
      <c r="CI121" s="327">
        <v>0.47</v>
      </c>
      <c r="CJ121" s="327">
        <v>0.6</v>
      </c>
      <c r="CK121" s="327">
        <v>0.59</v>
      </c>
      <c r="CL121" s="327">
        <v>0.48</v>
      </c>
      <c r="CM121" s="327">
        <v>0.62</v>
      </c>
      <c r="CN121" s="424">
        <v>47</v>
      </c>
      <c r="CO121" s="424" t="s">
        <v>758</v>
      </c>
      <c r="CP121" s="424">
        <v>10</v>
      </c>
      <c r="CQ121" s="424" t="s">
        <v>758</v>
      </c>
      <c r="CR121" s="428">
        <v>0.28000000000000003</v>
      </c>
      <c r="CS121" s="428">
        <v>0.49</v>
      </c>
      <c r="CT121" s="428">
        <v>0.23</v>
      </c>
      <c r="CU121" s="428">
        <v>0</v>
      </c>
      <c r="CV121" s="428">
        <v>0.4</v>
      </c>
      <c r="CW121" s="428">
        <v>0.57999999999999996</v>
      </c>
      <c r="CX121" s="428">
        <v>0.62</v>
      </c>
      <c r="CY121" s="428">
        <v>0.68</v>
      </c>
      <c r="CZ121" s="523">
        <v>0.63</v>
      </c>
      <c r="DA121" s="523">
        <v>0.53</v>
      </c>
      <c r="DB121" s="524">
        <v>46</v>
      </c>
      <c r="DC121" s="524" t="s">
        <v>758</v>
      </c>
      <c r="DD121" s="524">
        <v>10</v>
      </c>
      <c r="DE121" s="524" t="s">
        <v>758</v>
      </c>
      <c r="DF121" s="525">
        <v>0.33</v>
      </c>
      <c r="DG121" s="525">
        <v>0.5</v>
      </c>
      <c r="DH121" s="525">
        <v>0.17</v>
      </c>
      <c r="DI121" s="525">
        <v>0.01</v>
      </c>
      <c r="DJ121" s="525">
        <v>0.55000000000000004</v>
      </c>
      <c r="DK121" s="525">
        <v>0.53</v>
      </c>
      <c r="DL121" s="525">
        <v>0.55000000000000004</v>
      </c>
      <c r="DM121" s="525">
        <v>0.68</v>
      </c>
      <c r="DN121" s="525">
        <v>0.57999999999999996</v>
      </c>
      <c r="DO121" s="525">
        <v>0.51</v>
      </c>
      <c r="DP121" s="902">
        <v>47</v>
      </c>
      <c r="DQ121" s="902" t="s">
        <v>758</v>
      </c>
      <c r="DR121" s="902">
        <v>11</v>
      </c>
      <c r="DS121" s="902" t="s">
        <v>758</v>
      </c>
      <c r="DT121" s="949">
        <v>0.31</v>
      </c>
      <c r="DU121" s="949">
        <v>0.44</v>
      </c>
      <c r="DV121" s="949">
        <v>0.24</v>
      </c>
      <c r="DW121" s="949">
        <v>0.01</v>
      </c>
      <c r="DX121" s="949">
        <v>0.53</v>
      </c>
      <c r="DY121" s="949">
        <v>0.44</v>
      </c>
      <c r="DZ121" s="949">
        <v>0.68</v>
      </c>
      <c r="EA121" s="949">
        <v>0.52</v>
      </c>
      <c r="EB121" s="949">
        <v>0.6</v>
      </c>
      <c r="EC121" s="949">
        <v>0.45</v>
      </c>
      <c r="ED121" s="922">
        <v>125754001019</v>
      </c>
      <c r="EE121" s="803" t="s">
        <v>25</v>
      </c>
    </row>
    <row r="122" spans="1:135" ht="24.95" customHeight="1" x14ac:dyDescent="0.2">
      <c r="A122" s="803" t="s">
        <v>41</v>
      </c>
      <c r="B122" s="1" t="s">
        <v>121</v>
      </c>
      <c r="C122" s="2">
        <v>3</v>
      </c>
      <c r="D122" s="12">
        <v>51</v>
      </c>
      <c r="E122" s="12">
        <v>8</v>
      </c>
      <c r="F122" s="63">
        <v>0.12</v>
      </c>
      <c r="G122" s="63">
        <v>0.56999999999999995</v>
      </c>
      <c r="H122" s="63">
        <v>0.31</v>
      </c>
      <c r="I122" s="63">
        <v>0.01</v>
      </c>
      <c r="J122" s="63">
        <v>0.52</v>
      </c>
      <c r="K122" s="63">
        <v>0.5</v>
      </c>
      <c r="L122" s="63">
        <v>0.55000000000000004</v>
      </c>
      <c r="M122" s="63">
        <v>0.47</v>
      </c>
      <c r="N122" s="63">
        <v>0.49</v>
      </c>
      <c r="O122" s="63">
        <v>0.54</v>
      </c>
      <c r="P122" s="12">
        <v>51</v>
      </c>
      <c r="Q122" s="12">
        <v>10</v>
      </c>
      <c r="R122" s="61">
        <v>0.14000000000000001</v>
      </c>
      <c r="S122" s="61">
        <v>0.52</v>
      </c>
      <c r="T122" s="61">
        <v>0.33</v>
      </c>
      <c r="U122" s="61">
        <v>0.01</v>
      </c>
      <c r="V122" s="61">
        <v>0.43</v>
      </c>
      <c r="W122" s="61">
        <v>0.49</v>
      </c>
      <c r="X122" s="61">
        <v>0.55000000000000004</v>
      </c>
      <c r="Y122" s="61">
        <v>0.45</v>
      </c>
      <c r="Z122" s="61">
        <v>0.42</v>
      </c>
      <c r="AA122" s="61">
        <v>0.5</v>
      </c>
      <c r="AB122" s="12">
        <v>49</v>
      </c>
      <c r="AC122" s="12">
        <v>10</v>
      </c>
      <c r="AD122" s="63">
        <v>0.23</v>
      </c>
      <c r="AE122" s="63">
        <v>0.49</v>
      </c>
      <c r="AF122" s="63">
        <v>0.27</v>
      </c>
      <c r="AG122" s="63">
        <v>0.01</v>
      </c>
      <c r="AH122" s="63">
        <v>0.44</v>
      </c>
      <c r="AI122" s="63">
        <v>0.45</v>
      </c>
      <c r="AJ122" s="63">
        <v>0.41</v>
      </c>
      <c r="AK122" s="63">
        <v>0.52</v>
      </c>
      <c r="AL122" s="63">
        <v>0.55000000000000004</v>
      </c>
      <c r="AM122" s="63">
        <v>0.52</v>
      </c>
      <c r="AN122" s="12">
        <v>48</v>
      </c>
      <c r="AO122" s="12">
        <v>10</v>
      </c>
      <c r="AP122" s="63">
        <v>0.25</v>
      </c>
      <c r="AQ122" s="63">
        <v>0.5</v>
      </c>
      <c r="AR122" s="63">
        <v>0.24</v>
      </c>
      <c r="AS122" s="63">
        <v>0.01</v>
      </c>
      <c r="AT122" s="63">
        <v>0.53</v>
      </c>
      <c r="AU122" s="63">
        <v>0.47</v>
      </c>
      <c r="AV122" s="63">
        <v>0.46</v>
      </c>
      <c r="AW122" s="63">
        <v>0.47</v>
      </c>
      <c r="AX122" s="63">
        <v>0.49</v>
      </c>
      <c r="AY122" s="63">
        <v>0.48</v>
      </c>
      <c r="AZ122" s="35">
        <v>50</v>
      </c>
      <c r="BA122" s="35">
        <v>10</v>
      </c>
      <c r="BB122" s="40">
        <v>0.18</v>
      </c>
      <c r="BC122" s="40">
        <v>0.46</v>
      </c>
      <c r="BD122" s="40">
        <v>0.35</v>
      </c>
      <c r="BE122" s="40">
        <v>0.02</v>
      </c>
      <c r="BF122" s="40">
        <v>0.45</v>
      </c>
      <c r="BG122" s="40">
        <v>0.46</v>
      </c>
      <c r="BH122" s="40">
        <v>0.47</v>
      </c>
      <c r="BI122" s="40">
        <v>0.54</v>
      </c>
      <c r="BJ122" s="40">
        <v>0.43</v>
      </c>
      <c r="BK122" s="40">
        <v>0.41</v>
      </c>
      <c r="BL122" s="246">
        <v>46</v>
      </c>
      <c r="BM122" s="246" t="s">
        <v>758</v>
      </c>
      <c r="BN122" s="246">
        <v>10</v>
      </c>
      <c r="BO122" s="246" t="s">
        <v>758</v>
      </c>
      <c r="BP122" s="263">
        <v>0.33</v>
      </c>
      <c r="BQ122" s="263">
        <v>0.45</v>
      </c>
      <c r="BR122" s="263">
        <v>0.21</v>
      </c>
      <c r="BS122" s="263">
        <v>0.01</v>
      </c>
      <c r="BT122" s="263">
        <v>0.52</v>
      </c>
      <c r="BU122" s="263">
        <v>0.52</v>
      </c>
      <c r="BV122" s="263">
        <v>0.6</v>
      </c>
      <c r="BW122" s="263">
        <v>0.46</v>
      </c>
      <c r="BX122" s="263">
        <v>0.52</v>
      </c>
      <c r="BY122" s="263">
        <v>0.59</v>
      </c>
      <c r="BZ122" s="309">
        <v>47</v>
      </c>
      <c r="CA122" s="309" t="s">
        <v>758</v>
      </c>
      <c r="CB122" s="309">
        <v>9</v>
      </c>
      <c r="CC122" s="309" t="s">
        <v>758</v>
      </c>
      <c r="CD122" s="327">
        <v>0.24</v>
      </c>
      <c r="CE122" s="327">
        <v>0.59</v>
      </c>
      <c r="CF122" s="327">
        <v>0.17</v>
      </c>
      <c r="CG122" s="327">
        <v>0</v>
      </c>
      <c r="CH122" s="327">
        <v>0.52</v>
      </c>
      <c r="CI122" s="327">
        <v>0.43</v>
      </c>
      <c r="CJ122" s="327">
        <v>0.61</v>
      </c>
      <c r="CK122" s="327">
        <v>0.59</v>
      </c>
      <c r="CL122" s="327">
        <v>0.46</v>
      </c>
      <c r="CM122" s="327">
        <v>0.57999999999999996</v>
      </c>
      <c r="CN122" s="424">
        <v>47</v>
      </c>
      <c r="CO122" s="424" t="s">
        <v>758</v>
      </c>
      <c r="CP122" s="424">
        <v>10</v>
      </c>
      <c r="CQ122" s="424" t="s">
        <v>758</v>
      </c>
      <c r="CR122" s="428">
        <v>0.3</v>
      </c>
      <c r="CS122" s="428">
        <v>0.51</v>
      </c>
      <c r="CT122" s="428">
        <v>0.19</v>
      </c>
      <c r="CU122" s="428">
        <v>0.01</v>
      </c>
      <c r="CV122" s="428">
        <v>0.41</v>
      </c>
      <c r="CW122" s="428">
        <v>0.61</v>
      </c>
      <c r="CX122" s="428">
        <v>0.62</v>
      </c>
      <c r="CY122" s="428">
        <v>0.65</v>
      </c>
      <c r="CZ122" s="523">
        <v>0.62</v>
      </c>
      <c r="DA122" s="523">
        <v>0.57999999999999996</v>
      </c>
      <c r="DB122" s="524">
        <v>49</v>
      </c>
      <c r="DC122" s="524" t="s">
        <v>758</v>
      </c>
      <c r="DD122" s="524">
        <v>11</v>
      </c>
      <c r="DE122" s="524" t="s">
        <v>758</v>
      </c>
      <c r="DF122" s="525">
        <v>0.21</v>
      </c>
      <c r="DG122" s="525">
        <v>0.55000000000000004</v>
      </c>
      <c r="DH122" s="525">
        <v>0.2</v>
      </c>
      <c r="DI122" s="525">
        <v>0.04</v>
      </c>
      <c r="DJ122" s="525">
        <v>0.54</v>
      </c>
      <c r="DK122" s="525">
        <v>0.47</v>
      </c>
      <c r="DL122" s="525">
        <v>0.51</v>
      </c>
      <c r="DM122" s="525">
        <v>0.62</v>
      </c>
      <c r="DN122" s="525">
        <v>0.56000000000000005</v>
      </c>
      <c r="DO122" s="525">
        <v>0.47</v>
      </c>
      <c r="DP122" s="902">
        <v>46</v>
      </c>
      <c r="DQ122" s="902" t="s">
        <v>758</v>
      </c>
      <c r="DR122" s="902">
        <v>10</v>
      </c>
      <c r="DS122" s="902" t="s">
        <v>758</v>
      </c>
      <c r="DT122" s="949">
        <v>0.32</v>
      </c>
      <c r="DU122" s="949">
        <v>0.47</v>
      </c>
      <c r="DV122" s="949">
        <v>0.2</v>
      </c>
      <c r="DW122" s="949">
        <v>0.01</v>
      </c>
      <c r="DX122" s="949">
        <v>0.55000000000000004</v>
      </c>
      <c r="DY122" s="949">
        <v>0.44</v>
      </c>
      <c r="DZ122" s="949">
        <v>0.74</v>
      </c>
      <c r="EA122" s="949">
        <v>0.52</v>
      </c>
      <c r="EB122" s="949">
        <v>0.63</v>
      </c>
      <c r="EC122" s="949">
        <v>0.42</v>
      </c>
      <c r="ED122" s="922">
        <v>125754003291</v>
      </c>
      <c r="EE122" s="803" t="s">
        <v>41</v>
      </c>
    </row>
    <row r="123" spans="1:135" ht="24.95" customHeight="1" x14ac:dyDescent="0.2">
      <c r="A123" s="803" t="s">
        <v>62</v>
      </c>
      <c r="B123" s="1" t="s">
        <v>123</v>
      </c>
      <c r="C123" s="2">
        <v>1</v>
      </c>
      <c r="D123" s="12">
        <v>56</v>
      </c>
      <c r="E123" s="12">
        <v>8</v>
      </c>
      <c r="F123" s="63">
        <v>0.1</v>
      </c>
      <c r="G123" s="63">
        <v>0.28999999999999998</v>
      </c>
      <c r="H123" s="63">
        <v>0.61</v>
      </c>
      <c r="I123" s="63">
        <v>0</v>
      </c>
      <c r="J123" s="63">
        <v>0.44</v>
      </c>
      <c r="K123" s="63">
        <v>0.41</v>
      </c>
      <c r="L123" s="63">
        <v>0.56000000000000005</v>
      </c>
      <c r="M123" s="63">
        <v>0.3</v>
      </c>
      <c r="N123" s="63">
        <v>0.38</v>
      </c>
      <c r="O123" s="63">
        <v>0.46</v>
      </c>
      <c r="P123" s="12">
        <v>55</v>
      </c>
      <c r="Q123" s="12">
        <v>9</v>
      </c>
      <c r="R123" s="61">
        <v>0.05</v>
      </c>
      <c r="S123" s="61">
        <v>0.34</v>
      </c>
      <c r="T123" s="61">
        <v>0.55000000000000004</v>
      </c>
      <c r="U123" s="61">
        <v>0.05</v>
      </c>
      <c r="V123" s="61">
        <v>0.37</v>
      </c>
      <c r="W123" s="61">
        <v>0.42</v>
      </c>
      <c r="X123" s="61">
        <v>0.53</v>
      </c>
      <c r="Y123" s="61">
        <v>0.34</v>
      </c>
      <c r="Z123" s="61">
        <v>0.38</v>
      </c>
      <c r="AA123" s="61">
        <v>0.38</v>
      </c>
      <c r="AB123" s="12">
        <v>50</v>
      </c>
      <c r="AC123" s="12">
        <v>10</v>
      </c>
      <c r="AD123" s="63">
        <v>0.24</v>
      </c>
      <c r="AE123" s="63">
        <v>0.43</v>
      </c>
      <c r="AF123" s="63">
        <v>0.33</v>
      </c>
      <c r="AG123" s="63">
        <v>0</v>
      </c>
      <c r="AH123" s="63">
        <v>0.41</v>
      </c>
      <c r="AI123" s="63">
        <v>0.42</v>
      </c>
      <c r="AJ123" s="63">
        <v>0.4</v>
      </c>
      <c r="AK123" s="63">
        <v>0.51</v>
      </c>
      <c r="AL123" s="63">
        <v>0.56000000000000005</v>
      </c>
      <c r="AM123" s="63">
        <v>0.53</v>
      </c>
      <c r="AN123" s="12">
        <v>44</v>
      </c>
      <c r="AO123" s="12">
        <v>11</v>
      </c>
      <c r="AP123" s="63">
        <v>0.41</v>
      </c>
      <c r="AQ123" s="63">
        <v>0.41</v>
      </c>
      <c r="AR123" s="63">
        <v>0.19</v>
      </c>
      <c r="AS123" s="63">
        <v>0</v>
      </c>
      <c r="AT123" s="63">
        <v>0.71</v>
      </c>
      <c r="AU123" s="63">
        <v>0.56000000000000005</v>
      </c>
      <c r="AV123" s="63">
        <v>0.54</v>
      </c>
      <c r="AW123" s="63">
        <v>0.57999999999999996</v>
      </c>
      <c r="AX123" s="63">
        <v>0.52</v>
      </c>
      <c r="AY123" s="63">
        <v>0.53</v>
      </c>
      <c r="AZ123" s="35">
        <v>50</v>
      </c>
      <c r="BA123" s="35">
        <v>10</v>
      </c>
      <c r="BB123" s="40">
        <v>0.14000000000000001</v>
      </c>
      <c r="BC123" s="40">
        <v>0.55000000000000004</v>
      </c>
      <c r="BD123" s="40">
        <v>0.32</v>
      </c>
      <c r="BE123" s="40">
        <v>0</v>
      </c>
      <c r="BF123" s="40">
        <v>0.48</v>
      </c>
      <c r="BG123" s="40">
        <v>0.49</v>
      </c>
      <c r="BH123" s="40">
        <v>0.48</v>
      </c>
      <c r="BI123" s="40">
        <v>0.57999999999999996</v>
      </c>
      <c r="BJ123" s="40">
        <v>0.42</v>
      </c>
      <c r="BK123" s="40">
        <v>0.41</v>
      </c>
      <c r="BL123" s="246">
        <v>48</v>
      </c>
      <c r="BM123" s="246" t="s">
        <v>758</v>
      </c>
      <c r="BN123" s="246">
        <v>10</v>
      </c>
      <c r="BO123" s="246" t="s">
        <v>758</v>
      </c>
      <c r="BP123" s="263">
        <v>0.3</v>
      </c>
      <c r="BQ123" s="263">
        <v>0.46</v>
      </c>
      <c r="BR123" s="263">
        <v>0.24</v>
      </c>
      <c r="BS123" s="263">
        <v>0</v>
      </c>
      <c r="BT123" s="263">
        <v>0.41</v>
      </c>
      <c r="BU123" s="263">
        <v>0.51</v>
      </c>
      <c r="BV123" s="263">
        <v>0.59</v>
      </c>
      <c r="BW123" s="263">
        <v>0.47</v>
      </c>
      <c r="BX123" s="263">
        <v>0.47</v>
      </c>
      <c r="BY123" s="263">
        <v>0.52</v>
      </c>
      <c r="BZ123" s="309">
        <v>52</v>
      </c>
      <c r="CA123" s="309" t="s">
        <v>758</v>
      </c>
      <c r="CB123" s="309">
        <v>9</v>
      </c>
      <c r="CC123" s="309" t="s">
        <v>758</v>
      </c>
      <c r="CD123" s="327">
        <v>0.09</v>
      </c>
      <c r="CE123" s="327">
        <v>0.56000000000000005</v>
      </c>
      <c r="CF123" s="327">
        <v>0.35</v>
      </c>
      <c r="CG123" s="327">
        <v>0</v>
      </c>
      <c r="CH123" s="327">
        <v>0.49</v>
      </c>
      <c r="CI123" s="327">
        <v>0.45</v>
      </c>
      <c r="CJ123" s="327">
        <v>0.56000000000000005</v>
      </c>
      <c r="CK123" s="327">
        <v>0.53</v>
      </c>
      <c r="CL123" s="327">
        <v>0.33</v>
      </c>
      <c r="CM123" s="327">
        <v>0.53</v>
      </c>
      <c r="CN123" s="424">
        <v>53</v>
      </c>
      <c r="CO123" s="424" t="s">
        <v>758</v>
      </c>
      <c r="CP123" s="424">
        <v>11</v>
      </c>
      <c r="CQ123" s="424" t="s">
        <v>758</v>
      </c>
      <c r="CR123" s="428">
        <v>0.17</v>
      </c>
      <c r="CS123" s="428">
        <v>0.31</v>
      </c>
      <c r="CT123" s="428">
        <v>0.5</v>
      </c>
      <c r="CU123" s="428">
        <v>0.02</v>
      </c>
      <c r="CV123" s="428">
        <v>0.33</v>
      </c>
      <c r="CW123" s="428">
        <v>0.44</v>
      </c>
      <c r="CX123" s="428">
        <v>0.54</v>
      </c>
      <c r="CY123" s="428">
        <v>0.65</v>
      </c>
      <c r="CZ123" s="523">
        <v>0.5</v>
      </c>
      <c r="DA123" s="523">
        <v>0.54</v>
      </c>
      <c r="DB123" s="524">
        <v>48</v>
      </c>
      <c r="DC123" s="524" t="s">
        <v>758</v>
      </c>
      <c r="DD123" s="524">
        <v>12</v>
      </c>
      <c r="DE123" s="524" t="s">
        <v>758</v>
      </c>
      <c r="DF123" s="525">
        <v>0.27</v>
      </c>
      <c r="DG123" s="525">
        <v>0.46</v>
      </c>
      <c r="DH123" s="525">
        <v>0.25</v>
      </c>
      <c r="DI123" s="525">
        <v>0.02</v>
      </c>
      <c r="DJ123" s="525">
        <v>0.5</v>
      </c>
      <c r="DK123" s="525">
        <v>0.41</v>
      </c>
      <c r="DL123" s="525">
        <v>0.51</v>
      </c>
      <c r="DM123" s="525">
        <v>0.7</v>
      </c>
      <c r="DN123" s="525">
        <v>0.56000000000000005</v>
      </c>
      <c r="DO123" s="525">
        <v>0.54</v>
      </c>
      <c r="DP123" s="902">
        <v>57</v>
      </c>
      <c r="DQ123" s="902" t="s">
        <v>758</v>
      </c>
      <c r="DR123" s="902">
        <v>12</v>
      </c>
      <c r="DS123" s="902" t="s">
        <v>758</v>
      </c>
      <c r="DT123" s="949">
        <v>0.1</v>
      </c>
      <c r="DU123" s="949">
        <v>0.37</v>
      </c>
      <c r="DV123" s="949">
        <v>0.49</v>
      </c>
      <c r="DW123" s="949">
        <v>0.05</v>
      </c>
      <c r="DX123" s="949">
        <v>0.35</v>
      </c>
      <c r="DY123" s="949">
        <v>0.34</v>
      </c>
      <c r="DZ123" s="949">
        <v>0.74</v>
      </c>
      <c r="EA123" s="949">
        <v>0.38</v>
      </c>
      <c r="EB123" s="949">
        <v>0.46</v>
      </c>
      <c r="EC123" s="949">
        <v>0.31</v>
      </c>
      <c r="ED123" s="922">
        <v>325754004076</v>
      </c>
      <c r="EE123" s="803" t="s">
        <v>62</v>
      </c>
    </row>
    <row r="124" spans="1:135" ht="24.95" customHeight="1" x14ac:dyDescent="0.2">
      <c r="A124" s="803" t="s">
        <v>103</v>
      </c>
      <c r="B124" s="1" t="s">
        <v>121</v>
      </c>
      <c r="C124" s="2">
        <v>4</v>
      </c>
      <c r="D124" s="12">
        <v>48</v>
      </c>
      <c r="E124" s="12">
        <v>8</v>
      </c>
      <c r="F124" s="63">
        <v>0.2</v>
      </c>
      <c r="G124" s="63">
        <v>0.56999999999999995</v>
      </c>
      <c r="H124" s="63">
        <v>0.23</v>
      </c>
      <c r="I124" s="63">
        <v>0</v>
      </c>
      <c r="J124" s="63">
        <v>0.56999999999999995</v>
      </c>
      <c r="K124" s="63">
        <v>0.52</v>
      </c>
      <c r="L124" s="63">
        <v>0.64</v>
      </c>
      <c r="M124" s="63">
        <v>0.53</v>
      </c>
      <c r="N124" s="63">
        <v>0.41</v>
      </c>
      <c r="O124" s="63">
        <v>0.6</v>
      </c>
      <c r="P124" s="12">
        <v>48</v>
      </c>
      <c r="Q124" s="12">
        <v>10</v>
      </c>
      <c r="R124" s="61">
        <v>0.28000000000000003</v>
      </c>
      <c r="S124" s="61">
        <v>0.44</v>
      </c>
      <c r="T124" s="61">
        <v>0.26</v>
      </c>
      <c r="U124" s="61">
        <v>0.03</v>
      </c>
      <c r="V124" s="61">
        <v>0.5</v>
      </c>
      <c r="W124" s="61">
        <v>0.55000000000000004</v>
      </c>
      <c r="X124" s="61">
        <v>0.62</v>
      </c>
      <c r="Y124" s="61">
        <v>0.5</v>
      </c>
      <c r="Z124" s="61">
        <v>0.47</v>
      </c>
      <c r="AA124" s="61">
        <v>0.56000000000000005</v>
      </c>
      <c r="AB124" s="12">
        <v>44</v>
      </c>
      <c r="AC124" s="12">
        <v>9</v>
      </c>
      <c r="AD124" s="63">
        <v>0.42</v>
      </c>
      <c r="AE124" s="63">
        <v>0.45</v>
      </c>
      <c r="AF124" s="63">
        <v>0.12</v>
      </c>
      <c r="AG124" s="63">
        <v>0</v>
      </c>
      <c r="AH124" s="63">
        <v>0.51</v>
      </c>
      <c r="AI124" s="63">
        <v>0.54</v>
      </c>
      <c r="AJ124" s="63">
        <v>0.51</v>
      </c>
      <c r="AK124" s="63">
        <v>0.59</v>
      </c>
      <c r="AL124" s="63">
        <v>0.7</v>
      </c>
      <c r="AM124" s="63">
        <v>0.62</v>
      </c>
      <c r="AN124" s="12">
        <v>43</v>
      </c>
      <c r="AO124" s="12">
        <v>11</v>
      </c>
      <c r="AP124" s="63">
        <v>0.44</v>
      </c>
      <c r="AQ124" s="63">
        <v>0.39</v>
      </c>
      <c r="AR124" s="63">
        <v>0.17</v>
      </c>
      <c r="AS124" s="63">
        <v>0</v>
      </c>
      <c r="AT124" s="63">
        <v>0.67</v>
      </c>
      <c r="AU124" s="63">
        <v>0.49</v>
      </c>
      <c r="AV124" s="63">
        <v>0.5</v>
      </c>
      <c r="AW124" s="63">
        <v>0.55000000000000004</v>
      </c>
      <c r="AX124" s="63">
        <v>0.55000000000000004</v>
      </c>
      <c r="AY124" s="63">
        <v>0.56999999999999995</v>
      </c>
      <c r="AZ124" s="35">
        <v>45</v>
      </c>
      <c r="BA124" s="35">
        <v>8</v>
      </c>
      <c r="BB124" s="40">
        <v>0.22</v>
      </c>
      <c r="BC124" s="40">
        <v>0.66</v>
      </c>
      <c r="BD124" s="40">
        <v>0.13</v>
      </c>
      <c r="BE124" s="40">
        <v>0</v>
      </c>
      <c r="BF124" s="40">
        <v>0.59</v>
      </c>
      <c r="BG124" s="40">
        <v>0.55000000000000004</v>
      </c>
      <c r="BH124" s="40">
        <v>0.53</v>
      </c>
      <c r="BI124" s="40">
        <v>0.65</v>
      </c>
      <c r="BJ124" s="40">
        <v>0.53</v>
      </c>
      <c r="BK124" s="40">
        <v>0.51</v>
      </c>
      <c r="BL124" s="246">
        <v>46</v>
      </c>
      <c r="BM124" s="246" t="s">
        <v>758</v>
      </c>
      <c r="BN124" s="246">
        <v>11</v>
      </c>
      <c r="BO124" s="246" t="s">
        <v>758</v>
      </c>
      <c r="BP124" s="263">
        <v>0.33</v>
      </c>
      <c r="BQ124" s="263">
        <v>0.4</v>
      </c>
      <c r="BR124" s="263">
        <v>0.27</v>
      </c>
      <c r="BS124" s="263">
        <v>0</v>
      </c>
      <c r="BT124" s="263">
        <v>0.56999999999999995</v>
      </c>
      <c r="BU124" s="263">
        <v>0.45</v>
      </c>
      <c r="BV124" s="263">
        <v>0.77</v>
      </c>
      <c r="BW124" s="263">
        <v>0.47</v>
      </c>
      <c r="BX124" s="263">
        <v>0.55000000000000004</v>
      </c>
      <c r="BY124" s="263">
        <v>0.56000000000000005</v>
      </c>
      <c r="BZ124" s="309">
        <v>47</v>
      </c>
      <c r="CA124" s="309" t="s">
        <v>758</v>
      </c>
      <c r="CB124" s="309">
        <v>10</v>
      </c>
      <c r="CC124" s="309" t="s">
        <v>758</v>
      </c>
      <c r="CD124" s="327">
        <v>0.28000000000000003</v>
      </c>
      <c r="CE124" s="327">
        <v>0.56000000000000005</v>
      </c>
      <c r="CF124" s="327">
        <v>0.17</v>
      </c>
      <c r="CG124" s="327">
        <v>0</v>
      </c>
      <c r="CH124" s="327">
        <v>0.49</v>
      </c>
      <c r="CI124" s="327">
        <v>0.44</v>
      </c>
      <c r="CJ124" s="327">
        <v>0.62</v>
      </c>
      <c r="CK124" s="327">
        <v>0.63</v>
      </c>
      <c r="CL124" s="327">
        <v>0.36</v>
      </c>
      <c r="CM124" s="327">
        <v>0.68</v>
      </c>
      <c r="CN124" s="424">
        <v>47</v>
      </c>
      <c r="CO124" s="424" t="s">
        <v>758</v>
      </c>
      <c r="CP124" s="424">
        <v>10</v>
      </c>
      <c r="CQ124" s="424" t="s">
        <v>758</v>
      </c>
      <c r="CR124" s="428">
        <v>0.25</v>
      </c>
      <c r="CS124" s="428">
        <v>0.59</v>
      </c>
      <c r="CT124" s="428">
        <v>0.16</v>
      </c>
      <c r="CU124" s="428">
        <v>0</v>
      </c>
      <c r="CV124" s="428">
        <v>0.47</v>
      </c>
      <c r="CW124" s="428">
        <v>0.59</v>
      </c>
      <c r="CX124" s="428">
        <v>0.56000000000000005</v>
      </c>
      <c r="CY124" s="428">
        <v>0.74</v>
      </c>
      <c r="CZ124" s="523">
        <v>0.56000000000000005</v>
      </c>
      <c r="DA124" s="523">
        <v>0.57999999999999996</v>
      </c>
      <c r="DB124" s="524">
        <v>45</v>
      </c>
      <c r="DC124" s="524" t="s">
        <v>758</v>
      </c>
      <c r="DD124" s="524">
        <v>10</v>
      </c>
      <c r="DE124" s="524" t="s">
        <v>758</v>
      </c>
      <c r="DF124" s="525">
        <v>0.3</v>
      </c>
      <c r="DG124" s="525">
        <v>0.5</v>
      </c>
      <c r="DH124" s="525">
        <v>0.2</v>
      </c>
      <c r="DI124" s="525">
        <v>0</v>
      </c>
      <c r="DJ124" s="525">
        <v>0.55000000000000004</v>
      </c>
      <c r="DK124" s="525">
        <v>0.45</v>
      </c>
      <c r="DL124" s="525">
        <v>0.56999999999999995</v>
      </c>
      <c r="DM124" s="525">
        <v>0.62</v>
      </c>
      <c r="DN124" s="525">
        <v>0.62</v>
      </c>
      <c r="DO124" s="525">
        <v>0.47</v>
      </c>
      <c r="DP124" s="902">
        <v>46</v>
      </c>
      <c r="DQ124" s="902" t="s">
        <v>758</v>
      </c>
      <c r="DR124" s="902">
        <v>9</v>
      </c>
      <c r="DS124" s="902" t="s">
        <v>758</v>
      </c>
      <c r="DT124" s="949">
        <v>0.32</v>
      </c>
      <c r="DU124" s="949">
        <v>0.56999999999999995</v>
      </c>
      <c r="DV124" s="949">
        <v>0.11</v>
      </c>
      <c r="DW124" s="949">
        <v>0</v>
      </c>
      <c r="DX124" s="949">
        <v>0.56000000000000005</v>
      </c>
      <c r="DY124" s="949">
        <v>0.41</v>
      </c>
      <c r="DZ124" s="949">
        <v>0.77</v>
      </c>
      <c r="EA124" s="949">
        <v>0.55000000000000004</v>
      </c>
      <c r="EB124" s="949">
        <v>0.57999999999999996</v>
      </c>
      <c r="EC124" s="949">
        <v>0.48</v>
      </c>
      <c r="ED124" s="922">
        <v>125754000934</v>
      </c>
      <c r="EE124" s="803" t="s">
        <v>103</v>
      </c>
    </row>
    <row r="125" spans="1:135" ht="24.95" customHeight="1" x14ac:dyDescent="0.2">
      <c r="A125" s="803" t="s">
        <v>802</v>
      </c>
      <c r="B125" s="1" t="s">
        <v>121</v>
      </c>
      <c r="C125" s="2">
        <v>2</v>
      </c>
      <c r="D125" s="12"/>
      <c r="E125" s="12"/>
      <c r="F125" s="63"/>
      <c r="G125" s="63"/>
      <c r="H125" s="63"/>
      <c r="I125" s="63"/>
      <c r="J125" s="63"/>
      <c r="K125" s="63"/>
      <c r="L125" s="63"/>
      <c r="M125" s="63"/>
      <c r="N125" s="63"/>
      <c r="O125" s="63"/>
      <c r="P125" s="12"/>
      <c r="Q125" s="12"/>
      <c r="R125" s="61"/>
      <c r="S125" s="61"/>
      <c r="T125" s="61"/>
      <c r="U125" s="61"/>
      <c r="V125" s="61"/>
      <c r="W125" s="61"/>
      <c r="X125" s="61"/>
      <c r="Y125" s="61"/>
      <c r="Z125" s="61"/>
      <c r="AA125" s="61"/>
      <c r="AB125" s="12"/>
      <c r="AC125" s="12"/>
      <c r="AD125" s="63"/>
      <c r="AE125" s="63"/>
      <c r="AF125" s="63"/>
      <c r="AG125" s="63"/>
      <c r="AH125" s="63"/>
      <c r="AI125" s="63"/>
      <c r="AJ125" s="63"/>
      <c r="AK125" s="63"/>
      <c r="AL125" s="63"/>
      <c r="AM125" s="63"/>
      <c r="AN125" s="12"/>
      <c r="AO125" s="12"/>
      <c r="AP125" s="63"/>
      <c r="AQ125" s="63"/>
      <c r="AR125" s="63"/>
      <c r="AS125" s="63"/>
      <c r="AT125" s="63"/>
      <c r="AU125" s="63"/>
      <c r="AV125" s="63"/>
      <c r="AW125" s="63"/>
      <c r="AX125" s="63"/>
      <c r="AY125" s="63"/>
      <c r="AZ125" s="35"/>
      <c r="BA125" s="35"/>
      <c r="BB125" s="40"/>
      <c r="BC125" s="40"/>
      <c r="BD125" s="40"/>
      <c r="BE125" s="40"/>
      <c r="BF125" s="40"/>
      <c r="BG125" s="40"/>
      <c r="BH125" s="40"/>
      <c r="BI125" s="40"/>
      <c r="BJ125" s="40"/>
      <c r="BK125" s="40"/>
      <c r="BL125" s="246"/>
      <c r="BM125" s="246"/>
      <c r="BN125" s="246"/>
      <c r="BO125" s="246"/>
      <c r="BP125" s="263"/>
      <c r="BQ125" s="263"/>
      <c r="BR125" s="263"/>
      <c r="BS125" s="263"/>
      <c r="BT125" s="263"/>
      <c r="BU125" s="263"/>
      <c r="BV125" s="263"/>
      <c r="BW125" s="263"/>
      <c r="BX125" s="263"/>
      <c r="BY125" s="263"/>
      <c r="BZ125" s="309">
        <v>50</v>
      </c>
      <c r="CA125" s="309" t="s">
        <v>758</v>
      </c>
      <c r="CB125" s="309">
        <v>10</v>
      </c>
      <c r="CC125" s="309" t="s">
        <v>758</v>
      </c>
      <c r="CD125" s="327">
        <v>0.18</v>
      </c>
      <c r="CE125" s="327">
        <v>0.45</v>
      </c>
      <c r="CF125" s="327">
        <v>0.37</v>
      </c>
      <c r="CG125" s="327">
        <v>0</v>
      </c>
      <c r="CH125" s="327">
        <v>0.55000000000000004</v>
      </c>
      <c r="CI125" s="327">
        <v>0.33</v>
      </c>
      <c r="CJ125" s="327">
        <v>0.51</v>
      </c>
      <c r="CK125" s="327">
        <v>0.55000000000000004</v>
      </c>
      <c r="CL125" s="327">
        <v>0.51</v>
      </c>
      <c r="CM125" s="327">
        <v>0.55000000000000004</v>
      </c>
      <c r="CN125" s="424">
        <v>49</v>
      </c>
      <c r="CO125" s="424" t="s">
        <v>758</v>
      </c>
      <c r="CP125" s="424">
        <v>11</v>
      </c>
      <c r="CQ125" s="424" t="s">
        <v>758</v>
      </c>
      <c r="CR125" s="428">
        <v>0.25</v>
      </c>
      <c r="CS125" s="428">
        <v>0.47</v>
      </c>
      <c r="CT125" s="428">
        <v>0.26</v>
      </c>
      <c r="CU125" s="428">
        <v>0.03</v>
      </c>
      <c r="CV125" s="428">
        <v>0.36</v>
      </c>
      <c r="CW125" s="428">
        <v>0.54</v>
      </c>
      <c r="CX125" s="428">
        <v>0.59</v>
      </c>
      <c r="CY125" s="428">
        <v>0.61</v>
      </c>
      <c r="CZ125" s="523">
        <v>0.61</v>
      </c>
      <c r="DA125" s="523">
        <v>0.63</v>
      </c>
      <c r="DB125" s="524">
        <v>48</v>
      </c>
      <c r="DC125" s="524" t="s">
        <v>758</v>
      </c>
      <c r="DD125" s="524">
        <v>10</v>
      </c>
      <c r="DE125" s="524" t="s">
        <v>758</v>
      </c>
      <c r="DF125" s="525">
        <v>0.28999999999999998</v>
      </c>
      <c r="DG125" s="525">
        <v>0.46</v>
      </c>
      <c r="DH125" s="525">
        <v>0.23</v>
      </c>
      <c r="DI125" s="525">
        <v>0.03</v>
      </c>
      <c r="DJ125" s="525">
        <v>0.52</v>
      </c>
      <c r="DK125" s="525">
        <v>0.49</v>
      </c>
      <c r="DL125" s="525">
        <v>0.51</v>
      </c>
      <c r="DM125" s="525">
        <v>0.66</v>
      </c>
      <c r="DN125" s="525">
        <v>0.56000000000000005</v>
      </c>
      <c r="DO125" s="525">
        <v>0.44</v>
      </c>
      <c r="DP125" s="902">
        <v>48</v>
      </c>
      <c r="DQ125" s="902" t="s">
        <v>758</v>
      </c>
      <c r="DR125" s="902">
        <v>10</v>
      </c>
      <c r="DS125" s="902" t="s">
        <v>758</v>
      </c>
      <c r="DT125" s="949">
        <v>0.27</v>
      </c>
      <c r="DU125" s="949">
        <v>0.54</v>
      </c>
      <c r="DV125" s="949">
        <v>0.18</v>
      </c>
      <c r="DW125" s="949">
        <v>0.01</v>
      </c>
      <c r="DX125" s="949">
        <v>0.55000000000000004</v>
      </c>
      <c r="DY125" s="949">
        <v>0.46</v>
      </c>
      <c r="DZ125" s="949">
        <v>0.53</v>
      </c>
      <c r="EA125" s="949">
        <v>0.47</v>
      </c>
      <c r="EB125" s="949">
        <v>0.64</v>
      </c>
      <c r="EC125" s="949">
        <v>0.46</v>
      </c>
      <c r="ED125" s="922">
        <v>125754800141</v>
      </c>
      <c r="EE125" s="803" t="s">
        <v>802</v>
      </c>
    </row>
    <row r="126" spans="1:135" ht="24.95" customHeight="1" x14ac:dyDescent="0.2">
      <c r="A126" s="804" t="s">
        <v>74</v>
      </c>
      <c r="B126" s="1" t="s">
        <v>121</v>
      </c>
      <c r="C126" s="309">
        <v>3</v>
      </c>
      <c r="D126" s="328">
        <v>51</v>
      </c>
      <c r="E126" s="328">
        <v>10</v>
      </c>
      <c r="F126" s="327">
        <v>0.16</v>
      </c>
      <c r="G126" s="327">
        <v>0.55000000000000004</v>
      </c>
      <c r="H126" s="327">
        <v>0.28999999999999998</v>
      </c>
      <c r="I126" s="327">
        <v>0.01</v>
      </c>
      <c r="J126" s="327">
        <v>0.56000000000000005</v>
      </c>
      <c r="K126" s="327">
        <v>0.5</v>
      </c>
      <c r="L126" s="327">
        <v>0.6</v>
      </c>
      <c r="M126" s="327">
        <v>0.4</v>
      </c>
      <c r="N126" s="327">
        <v>0.41</v>
      </c>
      <c r="O126" s="327">
        <v>0.47</v>
      </c>
      <c r="P126" s="328">
        <v>51</v>
      </c>
      <c r="Q126" s="328">
        <v>9</v>
      </c>
      <c r="R126" s="330">
        <v>0.14000000000000001</v>
      </c>
      <c r="S126" s="330">
        <v>0.55000000000000004</v>
      </c>
      <c r="T126" s="330">
        <v>0.3</v>
      </c>
      <c r="U126" s="330">
        <v>0.01</v>
      </c>
      <c r="V126" s="330">
        <v>0.42</v>
      </c>
      <c r="W126" s="330">
        <v>0.48</v>
      </c>
      <c r="X126" s="330">
        <v>0.59</v>
      </c>
      <c r="Y126" s="330">
        <v>0.46</v>
      </c>
      <c r="Z126" s="330">
        <v>0.43</v>
      </c>
      <c r="AA126" s="330">
        <v>0.48</v>
      </c>
      <c r="AB126" s="328">
        <v>50</v>
      </c>
      <c r="AC126" s="328">
        <v>10</v>
      </c>
      <c r="AD126" s="327">
        <v>0.17</v>
      </c>
      <c r="AE126" s="327">
        <v>0.5</v>
      </c>
      <c r="AF126" s="327">
        <v>0.31</v>
      </c>
      <c r="AG126" s="327">
        <v>0.01</v>
      </c>
      <c r="AH126" s="327">
        <v>0.42</v>
      </c>
      <c r="AI126" s="327">
        <v>0.4</v>
      </c>
      <c r="AJ126" s="327">
        <v>0.41</v>
      </c>
      <c r="AK126" s="327">
        <v>0.49</v>
      </c>
      <c r="AL126" s="327">
        <v>0.57999999999999996</v>
      </c>
      <c r="AM126" s="327">
        <v>0.52</v>
      </c>
      <c r="AN126" s="328">
        <v>44</v>
      </c>
      <c r="AO126" s="328">
        <v>10</v>
      </c>
      <c r="AP126" s="327">
        <v>0.39</v>
      </c>
      <c r="AQ126" s="327">
        <v>0.45</v>
      </c>
      <c r="AR126" s="327">
        <v>0.16</v>
      </c>
      <c r="AS126" s="327">
        <v>0</v>
      </c>
      <c r="AT126" s="327">
        <v>0.59</v>
      </c>
      <c r="AU126" s="327">
        <v>0.53</v>
      </c>
      <c r="AV126" s="327">
        <v>0.52</v>
      </c>
      <c r="AW126" s="327">
        <v>0.54</v>
      </c>
      <c r="AX126" s="327">
        <v>0.56999999999999995</v>
      </c>
      <c r="AY126" s="327">
        <v>0.54</v>
      </c>
      <c r="AZ126" s="311">
        <v>49</v>
      </c>
      <c r="BA126" s="311">
        <v>10</v>
      </c>
      <c r="BB126" s="331">
        <v>0.17</v>
      </c>
      <c r="BC126" s="331">
        <v>0.54</v>
      </c>
      <c r="BD126" s="331">
        <v>0.28000000000000003</v>
      </c>
      <c r="BE126" s="331">
        <v>0.01</v>
      </c>
      <c r="BF126" s="331">
        <v>0.52</v>
      </c>
      <c r="BG126" s="331">
        <v>0.46</v>
      </c>
      <c r="BH126" s="331">
        <v>0.5</v>
      </c>
      <c r="BI126" s="331">
        <v>0.56999999999999995</v>
      </c>
      <c r="BJ126" s="331">
        <v>0.46</v>
      </c>
      <c r="BK126" s="331">
        <v>0.42</v>
      </c>
      <c r="BL126" s="312">
        <v>48</v>
      </c>
      <c r="BM126" s="312" t="s">
        <v>758</v>
      </c>
      <c r="BN126" s="312">
        <v>10</v>
      </c>
      <c r="BO126" s="312" t="s">
        <v>758</v>
      </c>
      <c r="BP126" s="332">
        <v>0.23</v>
      </c>
      <c r="BQ126" s="332">
        <v>0.56999999999999995</v>
      </c>
      <c r="BR126" s="332">
        <v>0.21</v>
      </c>
      <c r="BS126" s="332">
        <v>0</v>
      </c>
      <c r="BT126" s="332">
        <v>0.5</v>
      </c>
      <c r="BU126" s="332">
        <v>0.54</v>
      </c>
      <c r="BV126" s="332">
        <v>0.55000000000000004</v>
      </c>
      <c r="BW126" s="332">
        <v>0.43</v>
      </c>
      <c r="BX126" s="332">
        <v>0.48</v>
      </c>
      <c r="BY126" s="332">
        <v>0.56000000000000005</v>
      </c>
      <c r="BZ126" s="309">
        <v>49</v>
      </c>
      <c r="CA126" s="309" t="s">
        <v>758</v>
      </c>
      <c r="CB126" s="309">
        <v>10</v>
      </c>
      <c r="CC126" s="309" t="s">
        <v>758</v>
      </c>
      <c r="CD126" s="327">
        <v>0.19</v>
      </c>
      <c r="CE126" s="327">
        <v>0.55000000000000004</v>
      </c>
      <c r="CF126" s="327">
        <v>0.22</v>
      </c>
      <c r="CG126" s="327">
        <v>0.03</v>
      </c>
      <c r="CH126" s="327">
        <v>0.43</v>
      </c>
      <c r="CI126" s="327">
        <v>0.41</v>
      </c>
      <c r="CJ126" s="327">
        <v>0.56999999999999995</v>
      </c>
      <c r="CK126" s="327">
        <v>0.56999999999999995</v>
      </c>
      <c r="CL126" s="327">
        <v>0.45</v>
      </c>
      <c r="CM126" s="327">
        <v>0.61</v>
      </c>
      <c r="CN126" s="424">
        <v>49</v>
      </c>
      <c r="CO126" s="424" t="s">
        <v>758</v>
      </c>
      <c r="CP126" s="424">
        <v>10</v>
      </c>
      <c r="CQ126" s="424" t="s">
        <v>758</v>
      </c>
      <c r="CR126" s="428">
        <v>0.23</v>
      </c>
      <c r="CS126" s="428">
        <v>0.5</v>
      </c>
      <c r="CT126" s="428">
        <v>0.27</v>
      </c>
      <c r="CU126" s="428">
        <v>0</v>
      </c>
      <c r="CV126" s="428">
        <v>0.35</v>
      </c>
      <c r="CW126" s="428">
        <v>0.53</v>
      </c>
      <c r="CX126" s="428">
        <v>0.56000000000000005</v>
      </c>
      <c r="CY126" s="428">
        <v>0.64</v>
      </c>
      <c r="CZ126" s="523">
        <v>0.57999999999999996</v>
      </c>
      <c r="DA126" s="523">
        <v>0.55000000000000004</v>
      </c>
      <c r="DB126" s="524">
        <v>47</v>
      </c>
      <c r="DC126" s="524" t="s">
        <v>758</v>
      </c>
      <c r="DD126" s="524">
        <v>10</v>
      </c>
      <c r="DE126" s="524" t="s">
        <v>758</v>
      </c>
      <c r="DF126" s="525">
        <v>0.32</v>
      </c>
      <c r="DG126" s="525">
        <v>0.5</v>
      </c>
      <c r="DH126" s="525">
        <v>0.16</v>
      </c>
      <c r="DI126" s="525">
        <v>0.02</v>
      </c>
      <c r="DJ126" s="525">
        <v>0.56999999999999995</v>
      </c>
      <c r="DK126" s="525">
        <v>0.61</v>
      </c>
      <c r="DL126" s="525">
        <v>0.51</v>
      </c>
      <c r="DM126" s="525">
        <v>0.64</v>
      </c>
      <c r="DN126" s="525">
        <v>0.61</v>
      </c>
      <c r="DO126" s="525">
        <v>0.48</v>
      </c>
      <c r="DP126" s="902">
        <v>46</v>
      </c>
      <c r="DQ126" s="902" t="s">
        <v>758</v>
      </c>
      <c r="DR126" s="902">
        <v>10</v>
      </c>
      <c r="DS126" s="902" t="s">
        <v>758</v>
      </c>
      <c r="DT126" s="949">
        <v>0.32</v>
      </c>
      <c r="DU126" s="949">
        <v>0.5</v>
      </c>
      <c r="DV126" s="949">
        <v>0.18</v>
      </c>
      <c r="DW126" s="949">
        <v>0</v>
      </c>
      <c r="DX126" s="949">
        <v>0.56000000000000005</v>
      </c>
      <c r="DY126" s="949">
        <v>0.45</v>
      </c>
      <c r="DZ126" s="949">
        <v>0.78</v>
      </c>
      <c r="EA126" s="949">
        <v>0.59</v>
      </c>
      <c r="EB126" s="949">
        <v>0.64</v>
      </c>
      <c r="EC126" s="949">
        <v>0.45</v>
      </c>
      <c r="ED126" s="922">
        <v>225754000238</v>
      </c>
      <c r="EE126" s="804" t="s">
        <v>74</v>
      </c>
    </row>
    <row r="127" spans="1:135" ht="24.95" customHeight="1" x14ac:dyDescent="0.2">
      <c r="A127" s="803" t="s">
        <v>803</v>
      </c>
      <c r="B127" s="1" t="s">
        <v>121</v>
      </c>
      <c r="C127" s="2">
        <v>1</v>
      </c>
      <c r="D127" s="12"/>
      <c r="E127" s="12"/>
      <c r="F127" s="63"/>
      <c r="G127" s="63"/>
      <c r="H127" s="63"/>
      <c r="I127" s="63"/>
      <c r="J127" s="63"/>
      <c r="K127" s="63"/>
      <c r="L127" s="63"/>
      <c r="M127" s="63"/>
      <c r="N127" s="63"/>
      <c r="O127" s="63"/>
      <c r="P127" s="12"/>
      <c r="Q127" s="12"/>
      <c r="R127" s="61"/>
      <c r="S127" s="61"/>
      <c r="T127" s="61"/>
      <c r="U127" s="61"/>
      <c r="V127" s="61"/>
      <c r="W127" s="61"/>
      <c r="X127" s="61"/>
      <c r="Y127" s="61"/>
      <c r="Z127" s="61"/>
      <c r="AA127" s="61"/>
      <c r="AB127" s="12"/>
      <c r="AC127" s="12"/>
      <c r="AD127" s="63"/>
      <c r="AE127" s="63"/>
      <c r="AF127" s="63"/>
      <c r="AG127" s="63"/>
      <c r="AH127" s="63"/>
      <c r="AI127" s="63"/>
      <c r="AJ127" s="63"/>
      <c r="AK127" s="63"/>
      <c r="AL127" s="63"/>
      <c r="AM127" s="63"/>
      <c r="AN127" s="12"/>
      <c r="AO127" s="12"/>
      <c r="AP127" s="63"/>
      <c r="AQ127" s="63"/>
      <c r="AR127" s="63"/>
      <c r="AS127" s="63"/>
      <c r="AT127" s="63"/>
      <c r="AU127" s="63"/>
      <c r="AV127" s="63"/>
      <c r="AW127" s="63"/>
      <c r="AX127" s="63"/>
      <c r="AY127" s="63"/>
      <c r="AZ127" s="35"/>
      <c r="BA127" s="35"/>
      <c r="BB127" s="40"/>
      <c r="BC127" s="40"/>
      <c r="BD127" s="40"/>
      <c r="BE127" s="40"/>
      <c r="BF127" s="40"/>
      <c r="BG127" s="40"/>
      <c r="BH127" s="40"/>
      <c r="BI127" s="40"/>
      <c r="BJ127" s="40"/>
      <c r="BK127" s="40"/>
      <c r="BL127" s="246"/>
      <c r="BM127" s="246"/>
      <c r="BN127" s="246"/>
      <c r="BO127" s="246"/>
      <c r="BP127" s="263"/>
      <c r="BQ127" s="263"/>
      <c r="BR127" s="263"/>
      <c r="BS127" s="263"/>
      <c r="BT127" s="263"/>
      <c r="BU127" s="263"/>
      <c r="BV127" s="263"/>
      <c r="BW127" s="263"/>
      <c r="BX127" s="263"/>
      <c r="BY127" s="263"/>
      <c r="BZ127" s="309">
        <v>47</v>
      </c>
      <c r="CA127" s="309" t="s">
        <v>758</v>
      </c>
      <c r="CB127" s="309">
        <v>12</v>
      </c>
      <c r="CC127" s="309" t="s">
        <v>758</v>
      </c>
      <c r="CD127" s="327">
        <v>0.27</v>
      </c>
      <c r="CE127" s="327">
        <v>0.49</v>
      </c>
      <c r="CF127" s="327">
        <v>0.22</v>
      </c>
      <c r="CG127" s="327">
        <v>0.03</v>
      </c>
      <c r="CH127" s="327">
        <v>0.51</v>
      </c>
      <c r="CI127" s="327">
        <v>0.39</v>
      </c>
      <c r="CJ127" s="327">
        <v>0.64</v>
      </c>
      <c r="CK127" s="327">
        <v>0.55000000000000004</v>
      </c>
      <c r="CL127" s="327">
        <v>0.46</v>
      </c>
      <c r="CM127" s="327">
        <v>0.59</v>
      </c>
      <c r="CN127" s="424">
        <v>49</v>
      </c>
      <c r="CO127" s="424" t="s">
        <v>758</v>
      </c>
      <c r="CP127" s="424">
        <v>9</v>
      </c>
      <c r="CQ127" s="424" t="s">
        <v>758</v>
      </c>
      <c r="CR127" s="428">
        <v>0.19</v>
      </c>
      <c r="CS127" s="428">
        <v>0.57999999999999996</v>
      </c>
      <c r="CT127" s="428">
        <v>0.22</v>
      </c>
      <c r="CU127" s="428">
        <v>0</v>
      </c>
      <c r="CV127" s="428">
        <v>0.42</v>
      </c>
      <c r="CW127" s="428">
        <v>0.61</v>
      </c>
      <c r="CX127" s="428">
        <v>0.59</v>
      </c>
      <c r="CY127" s="428">
        <v>0.62</v>
      </c>
      <c r="CZ127" s="523">
        <v>0.62</v>
      </c>
      <c r="DA127" s="523">
        <v>0.62</v>
      </c>
      <c r="DB127" s="524">
        <v>46</v>
      </c>
      <c r="DC127" s="524" t="s">
        <v>758</v>
      </c>
      <c r="DD127" s="524">
        <v>10</v>
      </c>
      <c r="DE127" s="524" t="s">
        <v>758</v>
      </c>
      <c r="DF127" s="525">
        <v>0.33</v>
      </c>
      <c r="DG127" s="525">
        <v>0.45</v>
      </c>
      <c r="DH127" s="525">
        <v>0.22</v>
      </c>
      <c r="DI127" s="525">
        <v>0</v>
      </c>
      <c r="DJ127" s="525">
        <v>0.51</v>
      </c>
      <c r="DK127" s="525">
        <v>0.61</v>
      </c>
      <c r="DL127" s="525">
        <v>0.53</v>
      </c>
      <c r="DM127" s="525">
        <v>0.7</v>
      </c>
      <c r="DN127" s="525">
        <v>0.59</v>
      </c>
      <c r="DO127" s="525">
        <v>0.43</v>
      </c>
      <c r="DP127" s="902">
        <v>49</v>
      </c>
      <c r="DQ127" s="902" t="s">
        <v>758</v>
      </c>
      <c r="DR127" s="902">
        <v>12</v>
      </c>
      <c r="DS127" s="902" t="s">
        <v>758</v>
      </c>
      <c r="DT127" s="949">
        <v>0.3</v>
      </c>
      <c r="DU127" s="949">
        <v>0.38</v>
      </c>
      <c r="DV127" s="949">
        <v>0.31</v>
      </c>
      <c r="DW127" s="949">
        <v>0.01</v>
      </c>
      <c r="DX127" s="949">
        <v>0.48</v>
      </c>
      <c r="DY127" s="949">
        <v>0.43</v>
      </c>
      <c r="DZ127" s="949">
        <v>0.62</v>
      </c>
      <c r="EA127" s="949">
        <v>0.54</v>
      </c>
      <c r="EB127" s="949">
        <v>0.54</v>
      </c>
      <c r="EC127" s="949">
        <v>0.37</v>
      </c>
      <c r="ED127" s="922">
        <v>125754800132</v>
      </c>
      <c r="EE127" s="803" t="s">
        <v>803</v>
      </c>
    </row>
    <row r="128" spans="1:135" ht="24.95" customHeight="1" x14ac:dyDescent="0.2">
      <c r="A128" s="804" t="s">
        <v>54</v>
      </c>
      <c r="B128" s="1" t="s">
        <v>121</v>
      </c>
      <c r="C128" s="309">
        <v>1</v>
      </c>
      <c r="D128" s="328">
        <v>53</v>
      </c>
      <c r="E128" s="328">
        <v>9</v>
      </c>
      <c r="F128" s="327">
        <v>0.08</v>
      </c>
      <c r="G128" s="327">
        <v>0.54</v>
      </c>
      <c r="H128" s="327">
        <v>0.37</v>
      </c>
      <c r="I128" s="327">
        <v>0</v>
      </c>
      <c r="J128" s="327">
        <v>0.51</v>
      </c>
      <c r="K128" s="327">
        <v>0.49</v>
      </c>
      <c r="L128" s="327">
        <v>0.55000000000000004</v>
      </c>
      <c r="M128" s="327">
        <v>0.35</v>
      </c>
      <c r="N128" s="327">
        <v>0.4</v>
      </c>
      <c r="O128" s="327">
        <v>0.53</v>
      </c>
      <c r="P128" s="328">
        <v>55</v>
      </c>
      <c r="Q128" s="328">
        <v>8</v>
      </c>
      <c r="R128" s="330">
        <v>0.03</v>
      </c>
      <c r="S128" s="330">
        <v>0.52</v>
      </c>
      <c r="T128" s="330">
        <v>0.44</v>
      </c>
      <c r="U128" s="330">
        <v>0.01</v>
      </c>
      <c r="V128" s="330">
        <v>0.35</v>
      </c>
      <c r="W128" s="330">
        <v>0.42</v>
      </c>
      <c r="X128" s="330">
        <v>0.54</v>
      </c>
      <c r="Y128" s="330">
        <v>0.38</v>
      </c>
      <c r="Z128" s="330">
        <v>0.36</v>
      </c>
      <c r="AA128" s="330">
        <v>0.39</v>
      </c>
      <c r="AB128" s="328">
        <v>50</v>
      </c>
      <c r="AC128" s="328">
        <v>10</v>
      </c>
      <c r="AD128" s="327">
        <v>0.24</v>
      </c>
      <c r="AE128" s="327">
        <v>0.45</v>
      </c>
      <c r="AF128" s="327">
        <v>0.28999999999999998</v>
      </c>
      <c r="AG128" s="327">
        <v>0.02</v>
      </c>
      <c r="AH128" s="327">
        <v>0.42</v>
      </c>
      <c r="AI128" s="327">
        <v>0.44</v>
      </c>
      <c r="AJ128" s="327">
        <v>0.4</v>
      </c>
      <c r="AK128" s="327">
        <v>0.49</v>
      </c>
      <c r="AL128" s="327">
        <v>0.56000000000000005</v>
      </c>
      <c r="AM128" s="327">
        <v>0.53</v>
      </c>
      <c r="AN128" s="328">
        <v>48</v>
      </c>
      <c r="AO128" s="328">
        <v>11</v>
      </c>
      <c r="AP128" s="327">
        <v>0.28000000000000003</v>
      </c>
      <c r="AQ128" s="327">
        <v>0.47</v>
      </c>
      <c r="AR128" s="327">
        <v>0.24</v>
      </c>
      <c r="AS128" s="327">
        <v>0.02</v>
      </c>
      <c r="AT128" s="327">
        <v>0.56000000000000005</v>
      </c>
      <c r="AU128" s="327">
        <v>0.48</v>
      </c>
      <c r="AV128" s="327">
        <v>0.46</v>
      </c>
      <c r="AW128" s="327">
        <v>0.47</v>
      </c>
      <c r="AX128" s="327">
        <v>0.49</v>
      </c>
      <c r="AY128" s="327">
        <v>0.45</v>
      </c>
      <c r="AZ128" s="311">
        <v>53</v>
      </c>
      <c r="BA128" s="311">
        <v>9</v>
      </c>
      <c r="BB128" s="331">
        <v>0.15</v>
      </c>
      <c r="BC128" s="331">
        <v>0.48</v>
      </c>
      <c r="BD128" s="331">
        <v>0.33</v>
      </c>
      <c r="BE128" s="331">
        <v>0.04</v>
      </c>
      <c r="BF128" s="331">
        <v>0.4</v>
      </c>
      <c r="BG128" s="331">
        <v>0.43</v>
      </c>
      <c r="BH128" s="331">
        <v>0.45</v>
      </c>
      <c r="BI128" s="331">
        <v>0.53</v>
      </c>
      <c r="BJ128" s="331">
        <v>0.32</v>
      </c>
      <c r="BK128" s="331">
        <v>0.36</v>
      </c>
      <c r="BL128" s="312">
        <v>48</v>
      </c>
      <c r="BM128" s="312" t="s">
        <v>758</v>
      </c>
      <c r="BN128" s="312">
        <v>11</v>
      </c>
      <c r="BO128" s="312" t="s">
        <v>758</v>
      </c>
      <c r="BP128" s="332">
        <v>0.28999999999999998</v>
      </c>
      <c r="BQ128" s="332">
        <v>0.44</v>
      </c>
      <c r="BR128" s="332">
        <v>0.24</v>
      </c>
      <c r="BS128" s="332">
        <v>0.03</v>
      </c>
      <c r="BT128" s="332">
        <v>0.47</v>
      </c>
      <c r="BU128" s="332">
        <v>0.52</v>
      </c>
      <c r="BV128" s="332">
        <v>0.56000000000000005</v>
      </c>
      <c r="BW128" s="332">
        <v>0.44</v>
      </c>
      <c r="BX128" s="332">
        <v>0.49</v>
      </c>
      <c r="BY128" s="332">
        <v>0.54</v>
      </c>
      <c r="BZ128" s="309">
        <v>49</v>
      </c>
      <c r="CA128" s="309" t="s">
        <v>758</v>
      </c>
      <c r="CB128" s="309">
        <v>10</v>
      </c>
      <c r="CC128" s="309" t="s">
        <v>758</v>
      </c>
      <c r="CD128" s="327">
        <v>0.21</v>
      </c>
      <c r="CE128" s="327">
        <v>0.54</v>
      </c>
      <c r="CF128" s="327">
        <v>0.24</v>
      </c>
      <c r="CG128" s="327">
        <v>0.01</v>
      </c>
      <c r="CH128" s="327">
        <v>0.53</v>
      </c>
      <c r="CI128" s="327">
        <v>0.45</v>
      </c>
      <c r="CJ128" s="327">
        <v>0.59</v>
      </c>
      <c r="CK128" s="327">
        <v>0.57999999999999996</v>
      </c>
      <c r="CL128" s="327">
        <v>0.49</v>
      </c>
      <c r="CM128" s="327">
        <v>0.61</v>
      </c>
      <c r="CN128" s="424">
        <v>50</v>
      </c>
      <c r="CO128" s="424" t="s">
        <v>758</v>
      </c>
      <c r="CP128" s="424">
        <v>10</v>
      </c>
      <c r="CQ128" s="424" t="s">
        <v>758</v>
      </c>
      <c r="CR128" s="428">
        <v>0.19</v>
      </c>
      <c r="CS128" s="428">
        <v>0.49</v>
      </c>
      <c r="CT128" s="428">
        <v>0.31</v>
      </c>
      <c r="CU128" s="428">
        <v>0.01</v>
      </c>
      <c r="CV128" s="428">
        <v>0.38</v>
      </c>
      <c r="CW128" s="428">
        <v>0.5</v>
      </c>
      <c r="CX128" s="428">
        <v>0.6</v>
      </c>
      <c r="CY128" s="428">
        <v>0.55000000000000004</v>
      </c>
      <c r="CZ128" s="523">
        <v>0.56000000000000005</v>
      </c>
      <c r="DA128" s="523">
        <v>0.61</v>
      </c>
      <c r="DB128" s="524">
        <v>49</v>
      </c>
      <c r="DC128" s="524" t="s">
        <v>758</v>
      </c>
      <c r="DD128" s="524">
        <v>10</v>
      </c>
      <c r="DE128" s="524" t="s">
        <v>758</v>
      </c>
      <c r="DF128" s="525">
        <v>0.24</v>
      </c>
      <c r="DG128" s="525">
        <v>0.44</v>
      </c>
      <c r="DH128" s="525">
        <v>0.32</v>
      </c>
      <c r="DI128" s="525">
        <v>0</v>
      </c>
      <c r="DJ128" s="525">
        <v>0.54</v>
      </c>
      <c r="DK128" s="525">
        <v>0.5</v>
      </c>
      <c r="DL128" s="525">
        <v>0.51</v>
      </c>
      <c r="DM128" s="525">
        <v>0.64</v>
      </c>
      <c r="DN128" s="525">
        <v>0.57999999999999996</v>
      </c>
      <c r="DO128" s="525">
        <v>0.44</v>
      </c>
      <c r="DP128" s="902">
        <v>50</v>
      </c>
      <c r="DQ128" s="902" t="s">
        <v>758</v>
      </c>
      <c r="DR128" s="902">
        <v>10</v>
      </c>
      <c r="DS128" s="902" t="s">
        <v>758</v>
      </c>
      <c r="DT128" s="949">
        <v>0.17</v>
      </c>
      <c r="DU128" s="949">
        <v>0.56999999999999995</v>
      </c>
      <c r="DV128" s="949">
        <v>0.27</v>
      </c>
      <c r="DW128" s="949">
        <v>0</v>
      </c>
      <c r="DX128" s="949">
        <v>0.52</v>
      </c>
      <c r="DY128" s="949">
        <v>0.34</v>
      </c>
      <c r="DZ128" s="949">
        <v>0.76</v>
      </c>
      <c r="EA128" s="949">
        <v>0.48</v>
      </c>
      <c r="EB128" s="949">
        <v>0.57999999999999996</v>
      </c>
      <c r="EC128" s="949">
        <v>0.41</v>
      </c>
      <c r="ED128" s="922">
        <v>125754000250</v>
      </c>
      <c r="EE128" s="804" t="s">
        <v>54</v>
      </c>
    </row>
    <row r="129" spans="1:135" ht="24.95" customHeight="1" x14ac:dyDescent="0.2">
      <c r="A129" s="803" t="s">
        <v>34</v>
      </c>
      <c r="B129" s="1" t="s">
        <v>123</v>
      </c>
      <c r="C129" s="2">
        <v>1</v>
      </c>
      <c r="D129" s="12">
        <v>52</v>
      </c>
      <c r="E129" s="12">
        <v>10</v>
      </c>
      <c r="F129" s="63">
        <v>0.15</v>
      </c>
      <c r="G129" s="63">
        <v>0.49</v>
      </c>
      <c r="H129" s="63">
        <v>0.35</v>
      </c>
      <c r="I129" s="63">
        <v>0.01</v>
      </c>
      <c r="J129" s="63">
        <v>0.53</v>
      </c>
      <c r="K129" s="63">
        <v>0.47</v>
      </c>
      <c r="L129" s="63">
        <v>0.59</v>
      </c>
      <c r="M129" s="63">
        <v>0.39</v>
      </c>
      <c r="N129" s="63">
        <v>0.44</v>
      </c>
      <c r="O129" s="63">
        <v>0.5</v>
      </c>
      <c r="P129" s="12">
        <v>51</v>
      </c>
      <c r="Q129" s="12">
        <v>10</v>
      </c>
      <c r="R129" s="61">
        <v>0.13</v>
      </c>
      <c r="S129" s="61">
        <v>0.5</v>
      </c>
      <c r="T129" s="61">
        <v>0.36</v>
      </c>
      <c r="U129" s="61">
        <v>0.01</v>
      </c>
      <c r="V129" s="61">
        <v>0.41</v>
      </c>
      <c r="W129" s="61">
        <v>0.49</v>
      </c>
      <c r="X129" s="61">
        <v>0.59</v>
      </c>
      <c r="Y129" s="61">
        <v>0.43</v>
      </c>
      <c r="Z129" s="61">
        <v>0.41</v>
      </c>
      <c r="AA129" s="61">
        <v>0.54</v>
      </c>
      <c r="AB129" s="12">
        <v>50</v>
      </c>
      <c r="AC129" s="12">
        <v>11</v>
      </c>
      <c r="AD129" s="63">
        <v>0.22</v>
      </c>
      <c r="AE129" s="63">
        <v>0.47</v>
      </c>
      <c r="AF129" s="63">
        <v>0.3</v>
      </c>
      <c r="AG129" s="63">
        <v>0.01</v>
      </c>
      <c r="AH129" s="63">
        <v>0.41</v>
      </c>
      <c r="AI129" s="63">
        <v>0.41</v>
      </c>
      <c r="AJ129" s="63">
        <v>0.41</v>
      </c>
      <c r="AK129" s="63">
        <v>0.47</v>
      </c>
      <c r="AL129" s="63">
        <v>0.51</v>
      </c>
      <c r="AM129" s="63">
        <v>0.53</v>
      </c>
      <c r="AN129" s="12">
        <v>48</v>
      </c>
      <c r="AO129" s="12">
        <v>9</v>
      </c>
      <c r="AP129" s="63">
        <v>0.23</v>
      </c>
      <c r="AQ129" s="63">
        <v>0.57999999999999996</v>
      </c>
      <c r="AR129" s="63">
        <v>0.18</v>
      </c>
      <c r="AS129" s="63">
        <v>0.02</v>
      </c>
      <c r="AT129" s="63">
        <v>0.63</v>
      </c>
      <c r="AU129" s="63">
        <v>0.43</v>
      </c>
      <c r="AV129" s="63">
        <v>0.48</v>
      </c>
      <c r="AW129" s="63">
        <v>0.47</v>
      </c>
      <c r="AX129" s="63">
        <v>0.47</v>
      </c>
      <c r="AY129" s="63">
        <v>0.49</v>
      </c>
      <c r="AZ129" s="35">
        <v>51</v>
      </c>
      <c r="BA129" s="35">
        <v>10</v>
      </c>
      <c r="BB129" s="40">
        <v>0.13</v>
      </c>
      <c r="BC129" s="40">
        <v>0.57999999999999996</v>
      </c>
      <c r="BD129" s="40">
        <v>0.28000000000000003</v>
      </c>
      <c r="BE129" s="40">
        <v>0</v>
      </c>
      <c r="BF129" s="40">
        <v>0.48</v>
      </c>
      <c r="BG129" s="40">
        <v>0.48</v>
      </c>
      <c r="BH129" s="40">
        <v>0.47</v>
      </c>
      <c r="BI129" s="40">
        <v>0.52</v>
      </c>
      <c r="BJ129" s="40">
        <v>0.41</v>
      </c>
      <c r="BK129" s="40">
        <v>0.4</v>
      </c>
      <c r="BL129" s="246">
        <v>47</v>
      </c>
      <c r="BM129" s="246" t="s">
        <v>758</v>
      </c>
      <c r="BN129" s="246">
        <v>12</v>
      </c>
      <c r="BO129" s="246" t="s">
        <v>758</v>
      </c>
      <c r="BP129" s="263">
        <v>0.31</v>
      </c>
      <c r="BQ129" s="263">
        <v>0.46</v>
      </c>
      <c r="BR129" s="263">
        <v>0.21</v>
      </c>
      <c r="BS129" s="263">
        <v>0.02</v>
      </c>
      <c r="BT129" s="263">
        <v>0.5</v>
      </c>
      <c r="BU129" s="263">
        <v>0.51</v>
      </c>
      <c r="BV129" s="263">
        <v>0.56000000000000005</v>
      </c>
      <c r="BW129" s="263">
        <v>0.43</v>
      </c>
      <c r="BX129" s="263">
        <v>0.51</v>
      </c>
      <c r="BY129" s="263">
        <v>0.56000000000000005</v>
      </c>
      <c r="BZ129" s="309">
        <v>51</v>
      </c>
      <c r="CA129" s="309" t="s">
        <v>758</v>
      </c>
      <c r="CB129" s="309">
        <v>10</v>
      </c>
      <c r="CC129" s="309" t="s">
        <v>758</v>
      </c>
      <c r="CD129" s="327">
        <v>0.22</v>
      </c>
      <c r="CE129" s="327">
        <v>0.41</v>
      </c>
      <c r="CF129" s="327">
        <v>0.36</v>
      </c>
      <c r="CG129" s="327">
        <v>0</v>
      </c>
      <c r="CH129" s="327">
        <v>0.5</v>
      </c>
      <c r="CI129" s="327">
        <v>0.36</v>
      </c>
      <c r="CJ129" s="327">
        <v>0.55000000000000004</v>
      </c>
      <c r="CK129" s="327">
        <v>0.52</v>
      </c>
      <c r="CL129" s="327">
        <v>0.45</v>
      </c>
      <c r="CM129" s="327">
        <v>0.52</v>
      </c>
      <c r="CN129" s="651"/>
      <c r="CO129" s="651"/>
      <c r="CP129" s="651"/>
      <c r="CQ129" s="651"/>
      <c r="CR129" s="651"/>
      <c r="CS129" s="651"/>
      <c r="CT129" s="651"/>
      <c r="CU129" s="651"/>
      <c r="CV129" s="651"/>
      <c r="CW129" s="651"/>
      <c r="CX129" s="651"/>
      <c r="CY129" s="651"/>
      <c r="CZ129" s="660"/>
      <c r="DA129" s="660"/>
      <c r="DB129" s="662"/>
      <c r="DC129" s="662"/>
      <c r="DD129" s="662"/>
      <c r="DE129" s="662"/>
      <c r="DF129" s="662"/>
      <c r="DG129" s="662"/>
      <c r="DH129" s="662"/>
      <c r="DI129" s="662"/>
      <c r="DJ129" s="662"/>
      <c r="DK129" s="662"/>
      <c r="DL129" s="662"/>
      <c r="DM129" s="662"/>
      <c r="DN129" s="662"/>
      <c r="DO129" s="662"/>
      <c r="DT129" s="949"/>
      <c r="DU129" s="949"/>
      <c r="DV129" s="949"/>
      <c r="DW129" s="949"/>
      <c r="DX129" s="949"/>
      <c r="DY129" s="949"/>
      <c r="DZ129" s="949"/>
      <c r="EA129" s="949"/>
      <c r="EB129" s="949"/>
      <c r="EC129" s="949"/>
      <c r="ED129" s="922"/>
      <c r="EE129" s="803" t="s">
        <v>34</v>
      </c>
    </row>
    <row r="130" spans="1:135" ht="24.95" customHeight="1" x14ac:dyDescent="0.2">
      <c r="A130" s="803" t="s">
        <v>804</v>
      </c>
      <c r="B130" s="1" t="s">
        <v>121</v>
      </c>
      <c r="C130" s="2">
        <v>3</v>
      </c>
      <c r="D130" s="12"/>
      <c r="E130" s="12"/>
      <c r="F130" s="63"/>
      <c r="G130" s="63"/>
      <c r="H130" s="63"/>
      <c r="I130" s="63"/>
      <c r="J130" s="63"/>
      <c r="K130" s="63"/>
      <c r="L130" s="63"/>
      <c r="M130" s="63"/>
      <c r="N130" s="63"/>
      <c r="O130" s="63"/>
      <c r="P130" s="12"/>
      <c r="Q130" s="12"/>
      <c r="R130" s="61"/>
      <c r="S130" s="61"/>
      <c r="T130" s="61"/>
      <c r="U130" s="61"/>
      <c r="V130" s="61"/>
      <c r="W130" s="61"/>
      <c r="X130" s="61"/>
      <c r="Y130" s="61"/>
      <c r="Z130" s="61"/>
      <c r="AA130" s="61"/>
      <c r="AB130" s="12"/>
      <c r="AC130" s="12"/>
      <c r="AD130" s="63"/>
      <c r="AE130" s="63"/>
      <c r="AF130" s="63"/>
      <c r="AG130" s="63"/>
      <c r="AH130" s="63"/>
      <c r="AI130" s="63"/>
      <c r="AJ130" s="63"/>
      <c r="AK130" s="63"/>
      <c r="AL130" s="63"/>
      <c r="AM130" s="63"/>
      <c r="AN130" s="12"/>
      <c r="AO130" s="12"/>
      <c r="AP130" s="63"/>
      <c r="AQ130" s="63"/>
      <c r="AR130" s="63"/>
      <c r="AS130" s="63"/>
      <c r="AT130" s="63"/>
      <c r="AU130" s="63"/>
      <c r="AV130" s="63"/>
      <c r="AW130" s="63"/>
      <c r="AX130" s="63"/>
      <c r="AY130" s="63"/>
      <c r="AZ130" s="35"/>
      <c r="BA130" s="35"/>
      <c r="BB130" s="40"/>
      <c r="BC130" s="40"/>
      <c r="BD130" s="40"/>
      <c r="BE130" s="40"/>
      <c r="BF130" s="40"/>
      <c r="BG130" s="40"/>
      <c r="BH130" s="40"/>
      <c r="BI130" s="40"/>
      <c r="BJ130" s="40"/>
      <c r="BK130" s="40"/>
      <c r="BL130" s="246"/>
      <c r="BM130" s="246"/>
      <c r="BN130" s="246"/>
      <c r="BO130" s="246"/>
      <c r="BP130" s="263"/>
      <c r="BQ130" s="263"/>
      <c r="BR130" s="263"/>
      <c r="BS130" s="263"/>
      <c r="BT130" s="263"/>
      <c r="BU130" s="263"/>
      <c r="BV130" s="263"/>
      <c r="BW130" s="263"/>
      <c r="BX130" s="263"/>
      <c r="BY130" s="263"/>
      <c r="BZ130" s="309">
        <v>50</v>
      </c>
      <c r="CA130" s="309" t="s">
        <v>758</v>
      </c>
      <c r="CB130" s="309">
        <v>11</v>
      </c>
      <c r="CC130" s="309" t="s">
        <v>758</v>
      </c>
      <c r="CD130" s="327">
        <v>0.2</v>
      </c>
      <c r="CE130" s="327">
        <v>0.46</v>
      </c>
      <c r="CF130" s="327">
        <v>0.32</v>
      </c>
      <c r="CG130" s="327">
        <v>0.02</v>
      </c>
      <c r="CH130" s="327">
        <v>0.47</v>
      </c>
      <c r="CI130" s="327">
        <v>0.45</v>
      </c>
      <c r="CJ130" s="327">
        <v>0.56000000000000005</v>
      </c>
      <c r="CK130" s="327">
        <v>0.52</v>
      </c>
      <c r="CL130" s="327">
        <v>0.48</v>
      </c>
      <c r="CM130" s="327">
        <v>0.54</v>
      </c>
      <c r="CN130" s="652">
        <v>51</v>
      </c>
      <c r="CO130" s="652" t="s">
        <v>758</v>
      </c>
      <c r="CP130" s="652">
        <v>10</v>
      </c>
      <c r="CQ130" s="652" t="s">
        <v>758</v>
      </c>
      <c r="CR130" s="653">
        <v>0.17</v>
      </c>
      <c r="CS130" s="653">
        <v>0.48</v>
      </c>
      <c r="CT130" s="653">
        <v>0.35</v>
      </c>
      <c r="CU130" s="653">
        <v>0.01</v>
      </c>
      <c r="CV130" s="653">
        <v>0.34</v>
      </c>
      <c r="CW130" s="653">
        <v>0.56000000000000005</v>
      </c>
      <c r="CX130" s="653">
        <v>0.56000000000000005</v>
      </c>
      <c r="CY130" s="653">
        <v>0.69</v>
      </c>
      <c r="CZ130" s="661">
        <v>0.56999999999999995</v>
      </c>
      <c r="DA130" s="661">
        <v>0.53</v>
      </c>
      <c r="DB130" s="47">
        <v>51</v>
      </c>
      <c r="DC130" s="47" t="s">
        <v>758</v>
      </c>
      <c r="DD130" s="47">
        <v>10</v>
      </c>
      <c r="DE130" s="47" t="s">
        <v>758</v>
      </c>
      <c r="DF130" s="664">
        <v>0.17</v>
      </c>
      <c r="DG130" s="664">
        <v>0.47</v>
      </c>
      <c r="DH130" s="664">
        <v>0.33</v>
      </c>
      <c r="DI130" s="664">
        <v>0.03</v>
      </c>
      <c r="DJ130" s="664">
        <v>0.49</v>
      </c>
      <c r="DK130" s="664">
        <v>0.44</v>
      </c>
      <c r="DL130" s="664">
        <v>0.5</v>
      </c>
      <c r="DM130" s="664">
        <v>0.63</v>
      </c>
      <c r="DN130" s="664">
        <v>0.48</v>
      </c>
      <c r="DO130" s="664">
        <v>0.38</v>
      </c>
      <c r="DP130" s="902">
        <v>52</v>
      </c>
      <c r="DQ130" s="902" t="s">
        <v>758</v>
      </c>
      <c r="DR130" s="902">
        <v>10</v>
      </c>
      <c r="DS130" s="902" t="s">
        <v>758</v>
      </c>
      <c r="DT130" s="949">
        <v>0.15</v>
      </c>
      <c r="DU130" s="949">
        <v>0.46</v>
      </c>
      <c r="DV130" s="949">
        <v>0.37</v>
      </c>
      <c r="DW130" s="949">
        <v>0.03</v>
      </c>
      <c r="DX130" s="949">
        <v>0.42</v>
      </c>
      <c r="DY130" s="949">
        <v>0.32</v>
      </c>
      <c r="DZ130" s="949">
        <v>0.61</v>
      </c>
      <c r="EA130" s="949">
        <v>0.41</v>
      </c>
      <c r="EB130" s="949">
        <v>0.5</v>
      </c>
      <c r="EC130" s="949">
        <v>0.39</v>
      </c>
      <c r="ED130" s="922">
        <v>125754800329</v>
      </c>
      <c r="EE130" s="803" t="s">
        <v>804</v>
      </c>
    </row>
    <row r="131" spans="1:135" ht="24.95" customHeight="1" x14ac:dyDescent="0.2">
      <c r="A131" s="805" t="s">
        <v>176</v>
      </c>
      <c r="B131" s="1" t="s">
        <v>121</v>
      </c>
      <c r="C131" s="309">
        <v>6</v>
      </c>
      <c r="D131" s="328">
        <v>50</v>
      </c>
      <c r="E131" s="328">
        <v>8</v>
      </c>
      <c r="F131" s="327">
        <v>0.14000000000000001</v>
      </c>
      <c r="G131" s="327">
        <v>0.61</v>
      </c>
      <c r="H131" s="327">
        <v>0.24</v>
      </c>
      <c r="I131" s="327">
        <v>0.01</v>
      </c>
      <c r="J131" s="327">
        <v>0.54</v>
      </c>
      <c r="K131" s="327">
        <v>0.49</v>
      </c>
      <c r="L131" s="327">
        <v>0.59</v>
      </c>
      <c r="M131" s="327">
        <v>0.44</v>
      </c>
      <c r="N131" s="327">
        <v>0.43</v>
      </c>
      <c r="O131" s="327">
        <v>0.55000000000000004</v>
      </c>
      <c r="P131" s="328">
        <v>50</v>
      </c>
      <c r="Q131" s="328">
        <v>10</v>
      </c>
      <c r="R131" s="330">
        <v>0.17</v>
      </c>
      <c r="S131" s="330">
        <v>0.5</v>
      </c>
      <c r="T131" s="330">
        <v>0.31</v>
      </c>
      <c r="U131" s="330">
        <v>0.02</v>
      </c>
      <c r="V131" s="330">
        <v>0.41</v>
      </c>
      <c r="W131" s="330">
        <v>0.49</v>
      </c>
      <c r="X131" s="330">
        <v>0.57999999999999996</v>
      </c>
      <c r="Y131" s="330">
        <v>0.45</v>
      </c>
      <c r="Z131" s="330">
        <v>0.48</v>
      </c>
      <c r="AA131" s="330">
        <v>0.49</v>
      </c>
      <c r="AB131" s="328">
        <v>48</v>
      </c>
      <c r="AC131" s="328">
        <v>10</v>
      </c>
      <c r="AD131" s="327">
        <v>0.23</v>
      </c>
      <c r="AE131" s="327">
        <v>0.52</v>
      </c>
      <c r="AF131" s="327">
        <v>0.24</v>
      </c>
      <c r="AG131" s="327">
        <v>0.01</v>
      </c>
      <c r="AH131" s="327">
        <v>0.45</v>
      </c>
      <c r="AI131" s="327">
        <v>0.46</v>
      </c>
      <c r="AJ131" s="327">
        <v>0.44</v>
      </c>
      <c r="AK131" s="327">
        <v>0.52</v>
      </c>
      <c r="AL131" s="327">
        <v>0.56999999999999995</v>
      </c>
      <c r="AM131" s="327">
        <v>0.56000000000000005</v>
      </c>
      <c r="AN131" s="328">
        <v>46</v>
      </c>
      <c r="AO131" s="328">
        <v>9</v>
      </c>
      <c r="AP131" s="327">
        <v>0.32</v>
      </c>
      <c r="AQ131" s="327">
        <v>0.53</v>
      </c>
      <c r="AR131" s="327">
        <v>0.15</v>
      </c>
      <c r="AS131" s="327">
        <v>0</v>
      </c>
      <c r="AT131" s="327">
        <v>0.57999999999999996</v>
      </c>
      <c r="AU131" s="327">
        <v>0.49</v>
      </c>
      <c r="AV131" s="327">
        <v>0.49</v>
      </c>
      <c r="AW131" s="327">
        <v>0.51</v>
      </c>
      <c r="AX131" s="327">
        <v>0.53</v>
      </c>
      <c r="AY131" s="327">
        <v>0.52</v>
      </c>
      <c r="AZ131" s="311">
        <v>48</v>
      </c>
      <c r="BA131" s="311">
        <v>10</v>
      </c>
      <c r="BB131" s="331">
        <v>0.23</v>
      </c>
      <c r="BC131" s="331">
        <v>0.54</v>
      </c>
      <c r="BD131" s="331">
        <v>0.22</v>
      </c>
      <c r="BE131" s="331">
        <v>0.01</v>
      </c>
      <c r="BF131" s="331">
        <v>0.51</v>
      </c>
      <c r="BG131" s="331">
        <v>0.5</v>
      </c>
      <c r="BH131" s="331">
        <v>0.53</v>
      </c>
      <c r="BI131" s="331">
        <v>0.64</v>
      </c>
      <c r="BJ131" s="331">
        <v>0.45</v>
      </c>
      <c r="BK131" s="331">
        <v>0.48</v>
      </c>
      <c r="BL131" s="312">
        <v>46</v>
      </c>
      <c r="BM131" s="312" t="s">
        <v>758</v>
      </c>
      <c r="BN131" s="312">
        <v>10</v>
      </c>
      <c r="BO131" s="312" t="s">
        <v>758</v>
      </c>
      <c r="BP131" s="332">
        <v>0.31</v>
      </c>
      <c r="BQ131" s="332">
        <v>0.53</v>
      </c>
      <c r="BR131" s="332">
        <v>0.17</v>
      </c>
      <c r="BS131" s="332">
        <v>0</v>
      </c>
      <c r="BT131" s="332">
        <v>0.5</v>
      </c>
      <c r="BU131" s="332">
        <v>0.52</v>
      </c>
      <c r="BV131" s="332">
        <v>0.62</v>
      </c>
      <c r="BW131" s="332">
        <v>0.49</v>
      </c>
      <c r="BX131" s="332">
        <v>0.52</v>
      </c>
      <c r="BY131" s="332">
        <v>0.56999999999999995</v>
      </c>
      <c r="BZ131" s="309">
        <v>46</v>
      </c>
      <c r="CA131" s="309" t="s">
        <v>758</v>
      </c>
      <c r="CB131" s="309">
        <v>11</v>
      </c>
      <c r="CC131" s="309" t="s">
        <v>758</v>
      </c>
      <c r="CD131" s="327">
        <v>0.36</v>
      </c>
      <c r="CE131" s="327">
        <v>0.42</v>
      </c>
      <c r="CF131" s="327">
        <v>0.21</v>
      </c>
      <c r="CG131" s="327">
        <v>0.01</v>
      </c>
      <c r="CH131" s="327">
        <v>0.52</v>
      </c>
      <c r="CI131" s="327">
        <v>0.45</v>
      </c>
      <c r="CJ131" s="327">
        <v>0.63</v>
      </c>
      <c r="CK131" s="327">
        <v>0.63</v>
      </c>
      <c r="CL131" s="327">
        <v>0.44</v>
      </c>
      <c r="CM131" s="327">
        <v>0.6</v>
      </c>
      <c r="CN131" s="424">
        <v>48</v>
      </c>
      <c r="CO131" s="424" t="s">
        <v>758</v>
      </c>
      <c r="CP131" s="424">
        <v>10</v>
      </c>
      <c r="CQ131" s="424" t="s">
        <v>758</v>
      </c>
      <c r="CR131" s="428">
        <v>0.27</v>
      </c>
      <c r="CS131" s="428">
        <v>0.45</v>
      </c>
      <c r="CT131" s="428">
        <v>0.28000000000000003</v>
      </c>
      <c r="CU131" s="428">
        <v>0</v>
      </c>
      <c r="CV131" s="428">
        <v>0.47</v>
      </c>
      <c r="CW131" s="428">
        <v>0.56000000000000005</v>
      </c>
      <c r="CX131" s="428">
        <v>0.57999999999999996</v>
      </c>
      <c r="CY131" s="428">
        <v>0.68</v>
      </c>
      <c r="CZ131" s="523">
        <v>0.6</v>
      </c>
      <c r="DA131" s="523">
        <v>0.64</v>
      </c>
      <c r="DB131" s="524">
        <v>50</v>
      </c>
      <c r="DC131" s="524" t="s">
        <v>758</v>
      </c>
      <c r="DD131" s="524">
        <v>11</v>
      </c>
      <c r="DE131" s="524" t="s">
        <v>758</v>
      </c>
      <c r="DF131" s="525">
        <v>0.21</v>
      </c>
      <c r="DG131" s="525">
        <v>0.46</v>
      </c>
      <c r="DH131" s="525">
        <v>0.31</v>
      </c>
      <c r="DI131" s="525">
        <v>0.02</v>
      </c>
      <c r="DJ131" s="525">
        <v>0.46</v>
      </c>
      <c r="DK131" s="525">
        <v>0.53</v>
      </c>
      <c r="DL131" s="525">
        <v>0.47</v>
      </c>
      <c r="DM131" s="525">
        <v>0.63</v>
      </c>
      <c r="DN131" s="525">
        <v>0.51</v>
      </c>
      <c r="DO131" s="525">
        <v>0.43</v>
      </c>
      <c r="DP131" s="902">
        <v>51</v>
      </c>
      <c r="DQ131" s="902" t="s">
        <v>758</v>
      </c>
      <c r="DR131" s="902">
        <v>11</v>
      </c>
      <c r="DS131" s="902" t="s">
        <v>758</v>
      </c>
      <c r="DT131" s="949">
        <v>0.19</v>
      </c>
      <c r="DU131" s="949">
        <v>0.45</v>
      </c>
      <c r="DV131" s="949">
        <v>0.33</v>
      </c>
      <c r="DW131" s="949">
        <v>0.03</v>
      </c>
      <c r="DX131" s="949">
        <v>0.51</v>
      </c>
      <c r="DY131" s="949">
        <v>0.38</v>
      </c>
      <c r="DZ131" s="949">
        <v>0.84</v>
      </c>
      <c r="EA131" s="949">
        <v>0.45</v>
      </c>
      <c r="EB131" s="949">
        <v>0.48</v>
      </c>
      <c r="EC131" s="949">
        <v>0.41</v>
      </c>
      <c r="ED131" s="922">
        <v>325754005404</v>
      </c>
      <c r="EE131" s="805" t="s">
        <v>176</v>
      </c>
    </row>
    <row r="132" spans="1:135" ht="24.95" customHeight="1" x14ac:dyDescent="0.2">
      <c r="A132" s="803" t="s">
        <v>805</v>
      </c>
      <c r="B132" s="1" t="s">
        <v>121</v>
      </c>
      <c r="C132" s="2">
        <v>2</v>
      </c>
      <c r="D132" s="12"/>
      <c r="E132" s="12"/>
      <c r="F132" s="63"/>
      <c r="G132" s="63"/>
      <c r="H132" s="63"/>
      <c r="I132" s="63"/>
      <c r="J132" s="63"/>
      <c r="K132" s="63"/>
      <c r="L132" s="63"/>
      <c r="M132" s="63"/>
      <c r="N132" s="63"/>
      <c r="O132" s="63"/>
      <c r="P132" s="12"/>
      <c r="Q132" s="12"/>
      <c r="R132" s="61"/>
      <c r="S132" s="61"/>
      <c r="T132" s="61"/>
      <c r="U132" s="61"/>
      <c r="V132" s="61"/>
      <c r="W132" s="61"/>
      <c r="X132" s="61"/>
      <c r="Y132" s="61"/>
      <c r="Z132" s="61"/>
      <c r="AA132" s="61"/>
      <c r="AB132" s="12"/>
      <c r="AC132" s="12"/>
      <c r="AD132" s="63"/>
      <c r="AE132" s="63"/>
      <c r="AF132" s="63"/>
      <c r="AG132" s="63"/>
      <c r="AH132" s="63"/>
      <c r="AI132" s="63"/>
      <c r="AJ132" s="63"/>
      <c r="AK132" s="63"/>
      <c r="AL132" s="63"/>
      <c r="AM132" s="63"/>
      <c r="AN132" s="12"/>
      <c r="AO132" s="12"/>
      <c r="AP132" s="63"/>
      <c r="AQ132" s="63"/>
      <c r="AR132" s="63"/>
      <c r="AS132" s="63"/>
      <c r="AT132" s="63"/>
      <c r="AU132" s="63"/>
      <c r="AV132" s="63"/>
      <c r="AW132" s="63"/>
      <c r="AX132" s="63"/>
      <c r="AY132" s="63"/>
      <c r="AZ132" s="35"/>
      <c r="BA132" s="35"/>
      <c r="BB132" s="40"/>
      <c r="BC132" s="40"/>
      <c r="BD132" s="40"/>
      <c r="BE132" s="40"/>
      <c r="BF132" s="40"/>
      <c r="BG132" s="40"/>
      <c r="BH132" s="40"/>
      <c r="BI132" s="40"/>
      <c r="BJ132" s="40"/>
      <c r="BK132" s="40"/>
      <c r="BL132" s="246"/>
      <c r="BM132" s="246"/>
      <c r="BN132" s="246"/>
      <c r="BO132" s="246"/>
      <c r="BP132" s="263"/>
      <c r="BQ132" s="263"/>
      <c r="BR132" s="263"/>
      <c r="BS132" s="263"/>
      <c r="BT132" s="263"/>
      <c r="BU132" s="263"/>
      <c r="BV132" s="263"/>
      <c r="BW132" s="263"/>
      <c r="BX132" s="263"/>
      <c r="BY132" s="263"/>
      <c r="BZ132" s="309">
        <v>47</v>
      </c>
      <c r="CA132" s="309" t="s">
        <v>758</v>
      </c>
      <c r="CB132" s="309">
        <v>10</v>
      </c>
      <c r="CC132" s="309" t="s">
        <v>758</v>
      </c>
      <c r="CD132" s="327">
        <v>0.28999999999999998</v>
      </c>
      <c r="CE132" s="327">
        <v>0.51</v>
      </c>
      <c r="CF132" s="327">
        <v>0.2</v>
      </c>
      <c r="CG132" s="327">
        <v>0</v>
      </c>
      <c r="CH132" s="327">
        <v>0.46</v>
      </c>
      <c r="CI132" s="327">
        <v>0.57999999999999996</v>
      </c>
      <c r="CJ132" s="327">
        <v>0.63</v>
      </c>
      <c r="CK132" s="327">
        <v>0.59</v>
      </c>
      <c r="CL132" s="327">
        <v>0.44</v>
      </c>
      <c r="CM132" s="327">
        <v>0.63</v>
      </c>
      <c r="CN132" s="424">
        <v>48</v>
      </c>
      <c r="CO132" s="424" t="s">
        <v>758</v>
      </c>
      <c r="CP132" s="424">
        <v>10</v>
      </c>
      <c r="CQ132" s="424" t="s">
        <v>758</v>
      </c>
      <c r="CR132" s="428">
        <v>0.24</v>
      </c>
      <c r="CS132" s="428">
        <v>0.52</v>
      </c>
      <c r="CT132" s="428">
        <v>0.24</v>
      </c>
      <c r="CU132" s="428">
        <v>0</v>
      </c>
      <c r="CV132" s="428">
        <v>0.4</v>
      </c>
      <c r="CW132" s="428">
        <v>0.61</v>
      </c>
      <c r="CX132" s="428">
        <v>0.61</v>
      </c>
      <c r="CY132" s="428">
        <v>0.68</v>
      </c>
      <c r="CZ132" s="523">
        <v>0.57999999999999996</v>
      </c>
      <c r="DA132" s="523">
        <v>0.6</v>
      </c>
      <c r="DB132" s="524">
        <v>52</v>
      </c>
      <c r="DC132" s="524" t="s">
        <v>758</v>
      </c>
      <c r="DD132" s="524">
        <v>11</v>
      </c>
      <c r="DE132" s="524" t="s">
        <v>758</v>
      </c>
      <c r="DF132" s="525">
        <v>0.19</v>
      </c>
      <c r="DG132" s="525">
        <v>0.39</v>
      </c>
      <c r="DH132" s="525">
        <v>0.36</v>
      </c>
      <c r="DI132" s="525">
        <v>0.06</v>
      </c>
      <c r="DJ132" s="525">
        <v>0.47</v>
      </c>
      <c r="DK132" s="525">
        <v>0.48</v>
      </c>
      <c r="DL132" s="525">
        <v>0.47</v>
      </c>
      <c r="DM132" s="525">
        <v>0.64</v>
      </c>
      <c r="DN132" s="525">
        <v>0.48</v>
      </c>
      <c r="DO132" s="525">
        <v>0.38</v>
      </c>
      <c r="DP132" s="902">
        <v>51</v>
      </c>
      <c r="DQ132" s="902" t="s">
        <v>758</v>
      </c>
      <c r="DR132" s="902">
        <v>11</v>
      </c>
      <c r="DS132" s="902" t="s">
        <v>758</v>
      </c>
      <c r="DT132" s="949">
        <v>0.18</v>
      </c>
      <c r="DU132" s="949">
        <v>0.48</v>
      </c>
      <c r="DV132" s="949">
        <v>0.31</v>
      </c>
      <c r="DW132" s="949">
        <v>0.02</v>
      </c>
      <c r="DX132" s="949">
        <v>0.48</v>
      </c>
      <c r="DY132" s="949">
        <v>0.39</v>
      </c>
      <c r="DZ132" s="949">
        <v>0.66</v>
      </c>
      <c r="EA132" s="949">
        <v>0.46</v>
      </c>
      <c r="EB132" s="949">
        <v>0.55000000000000004</v>
      </c>
      <c r="EC132" s="949">
        <v>0.39</v>
      </c>
      <c r="ED132" s="922">
        <v>125754800256</v>
      </c>
      <c r="EE132" s="803" t="s">
        <v>805</v>
      </c>
    </row>
    <row r="133" spans="1:135" ht="24.95" customHeight="1" x14ac:dyDescent="0.2">
      <c r="A133" s="804" t="s">
        <v>106</v>
      </c>
      <c r="B133" s="1" t="s">
        <v>123</v>
      </c>
      <c r="C133" s="309">
        <v>2</v>
      </c>
      <c r="D133" s="328">
        <v>48</v>
      </c>
      <c r="E133" s="328">
        <v>7</v>
      </c>
      <c r="F133" s="327">
        <v>0</v>
      </c>
      <c r="G133" s="327">
        <v>1</v>
      </c>
      <c r="H133" s="327">
        <v>0</v>
      </c>
      <c r="I133" s="327">
        <v>0</v>
      </c>
      <c r="J133" s="327">
        <v>0.67</v>
      </c>
      <c r="K133" s="327">
        <v>0.61</v>
      </c>
      <c r="L133" s="327">
        <v>0.63</v>
      </c>
      <c r="M133" s="327">
        <v>0.36</v>
      </c>
      <c r="N133" s="327">
        <v>0.56000000000000005</v>
      </c>
      <c r="O133" s="327">
        <v>0.67</v>
      </c>
      <c r="P133" s="328" t="s">
        <v>126</v>
      </c>
      <c r="Q133" s="328" t="s">
        <v>126</v>
      </c>
      <c r="R133" s="330"/>
      <c r="S133" s="330"/>
      <c r="T133" s="330"/>
      <c r="U133" s="330"/>
      <c r="V133" s="330"/>
      <c r="W133" s="330"/>
      <c r="X133" s="330"/>
      <c r="Y133" s="330"/>
      <c r="Z133" s="330"/>
      <c r="AA133" s="330"/>
      <c r="AB133" s="328" t="s">
        <v>126</v>
      </c>
      <c r="AC133" s="328" t="s">
        <v>126</v>
      </c>
      <c r="AD133" s="309"/>
      <c r="AE133" s="309"/>
      <c r="AF133" s="309"/>
      <c r="AG133" s="309"/>
      <c r="AH133" s="309"/>
      <c r="AI133" s="309"/>
      <c r="AJ133" s="309"/>
      <c r="AK133" s="309"/>
      <c r="AL133" s="309"/>
      <c r="AM133" s="309"/>
      <c r="AN133" s="328" t="s">
        <v>126</v>
      </c>
      <c r="AO133" s="328" t="s">
        <v>126</v>
      </c>
      <c r="AP133" s="309"/>
      <c r="AQ133" s="309"/>
      <c r="AR133" s="309"/>
      <c r="AS133" s="309"/>
      <c r="AT133" s="309"/>
      <c r="AU133" s="309"/>
      <c r="AV133" s="309"/>
      <c r="AW133" s="309"/>
      <c r="AX133" s="309"/>
      <c r="AY133" s="309"/>
      <c r="AZ133" s="311">
        <v>45</v>
      </c>
      <c r="BA133" s="311">
        <v>9</v>
      </c>
      <c r="BB133" s="331">
        <v>0.38</v>
      </c>
      <c r="BC133" s="331">
        <v>0.48</v>
      </c>
      <c r="BD133" s="331">
        <v>0.15</v>
      </c>
      <c r="BE133" s="331">
        <v>0</v>
      </c>
      <c r="BF133" s="331">
        <v>0.55000000000000004</v>
      </c>
      <c r="BG133" s="331">
        <v>0.55000000000000004</v>
      </c>
      <c r="BH133" s="331">
        <v>0.56999999999999995</v>
      </c>
      <c r="BI133" s="331">
        <v>0.63</v>
      </c>
      <c r="BJ133" s="331">
        <v>0.54</v>
      </c>
      <c r="BK133" s="331">
        <v>0.5</v>
      </c>
      <c r="BL133" s="312">
        <v>36</v>
      </c>
      <c r="BM133" s="312" t="s">
        <v>760</v>
      </c>
      <c r="BN133" s="312">
        <v>8</v>
      </c>
      <c r="BO133" s="312" t="s">
        <v>758</v>
      </c>
      <c r="BP133" s="332">
        <v>0.78</v>
      </c>
      <c r="BQ133" s="332">
        <v>0.22</v>
      </c>
      <c r="BR133" s="332">
        <v>0</v>
      </c>
      <c r="BS133" s="332">
        <v>0</v>
      </c>
      <c r="BT133" s="332">
        <v>0.56000000000000005</v>
      </c>
      <c r="BU133" s="332">
        <v>0.81</v>
      </c>
      <c r="BV133" s="332">
        <v>0.75</v>
      </c>
      <c r="BW133" s="332">
        <v>0.59</v>
      </c>
      <c r="BX133" s="332">
        <v>0.63</v>
      </c>
      <c r="BY133" s="332">
        <v>0.68</v>
      </c>
      <c r="BZ133" s="649"/>
      <c r="CA133" s="649"/>
      <c r="CB133" s="649"/>
      <c r="CC133" s="649"/>
      <c r="CD133" s="649"/>
      <c r="CE133" s="649"/>
      <c r="CF133" s="649"/>
      <c r="CG133" s="649"/>
      <c r="CH133" s="649"/>
      <c r="CI133" s="649"/>
      <c r="CJ133" s="649"/>
      <c r="CK133" s="649"/>
      <c r="CL133" s="649"/>
      <c r="CM133" s="649"/>
      <c r="CN133" s="651"/>
      <c r="CO133" s="651"/>
      <c r="CP133" s="651"/>
      <c r="CQ133" s="651"/>
      <c r="CR133" s="651"/>
      <c r="CS133" s="651"/>
      <c r="CT133" s="651"/>
      <c r="CU133" s="651"/>
      <c r="CV133" s="651"/>
      <c r="CW133" s="651"/>
      <c r="CX133" s="651"/>
      <c r="CY133" s="651"/>
      <c r="CZ133" s="660"/>
      <c r="DA133" s="660"/>
      <c r="DB133" s="524">
        <v>48</v>
      </c>
      <c r="DC133" s="524" t="s">
        <v>758</v>
      </c>
      <c r="DD133" s="524">
        <v>23</v>
      </c>
      <c r="DE133" s="524" t="s">
        <v>759</v>
      </c>
      <c r="DF133" s="525">
        <v>0.5</v>
      </c>
      <c r="DG133" s="525">
        <v>0</v>
      </c>
      <c r="DH133" s="525">
        <v>0.5</v>
      </c>
      <c r="DI133" s="525">
        <v>0</v>
      </c>
      <c r="DJ133" s="525">
        <v>0.56999999999999995</v>
      </c>
      <c r="DK133" s="525">
        <v>0.67</v>
      </c>
      <c r="DL133" s="525">
        <v>0.5</v>
      </c>
      <c r="DM133" s="525">
        <v>0.5</v>
      </c>
      <c r="DN133" s="525">
        <v>0.67</v>
      </c>
      <c r="DO133" s="524" t="s">
        <v>173</v>
      </c>
      <c r="DP133" s="902">
        <v>45</v>
      </c>
      <c r="DQ133" s="902" t="s">
        <v>758</v>
      </c>
      <c r="DR133" s="902">
        <v>8</v>
      </c>
      <c r="DS133" s="902" t="s">
        <v>758</v>
      </c>
      <c r="DT133" s="949">
        <v>0.41</v>
      </c>
      <c r="DU133" s="949">
        <v>0.47</v>
      </c>
      <c r="DV133" s="949">
        <v>0.12</v>
      </c>
      <c r="DW133" s="949">
        <v>0</v>
      </c>
      <c r="DX133" s="949">
        <v>0.6</v>
      </c>
      <c r="DY133" s="949">
        <v>0.47</v>
      </c>
      <c r="DZ133" s="949">
        <v>0.63</v>
      </c>
      <c r="EA133" s="949">
        <v>0.61</v>
      </c>
      <c r="EB133" s="949">
        <v>0.68</v>
      </c>
      <c r="EC133" s="949">
        <v>0.48</v>
      </c>
      <c r="ED133" s="922">
        <v>325754005366</v>
      </c>
      <c r="EE133" s="804" t="s">
        <v>106</v>
      </c>
    </row>
    <row r="134" spans="1:135" ht="24.95" customHeight="1" x14ac:dyDescent="0.2">
      <c r="A134" s="803" t="s">
        <v>133</v>
      </c>
      <c r="B134" s="1" t="s">
        <v>123</v>
      </c>
      <c r="C134" s="2">
        <v>4</v>
      </c>
      <c r="D134" s="12"/>
      <c r="E134" s="12"/>
      <c r="F134" s="12"/>
      <c r="G134" s="12"/>
      <c r="H134" s="12"/>
      <c r="I134" s="12"/>
      <c r="J134" s="12"/>
      <c r="K134" s="12"/>
      <c r="L134" s="12"/>
      <c r="M134" s="12"/>
      <c r="N134" s="12"/>
      <c r="O134" s="12"/>
      <c r="P134" s="12" t="s">
        <v>126</v>
      </c>
      <c r="Q134" s="12" t="s">
        <v>126</v>
      </c>
      <c r="R134" s="61"/>
      <c r="S134" s="61"/>
      <c r="T134" s="61"/>
      <c r="U134" s="61"/>
      <c r="V134" s="61"/>
      <c r="W134" s="61"/>
      <c r="X134" s="61"/>
      <c r="Y134" s="61"/>
      <c r="Z134" s="61"/>
      <c r="AA134" s="61"/>
      <c r="AB134" s="12">
        <v>54</v>
      </c>
      <c r="AC134" s="12">
        <v>2</v>
      </c>
      <c r="AD134" s="63">
        <v>0</v>
      </c>
      <c r="AE134" s="63">
        <v>1</v>
      </c>
      <c r="AF134" s="63">
        <v>0</v>
      </c>
      <c r="AG134" s="63">
        <v>0</v>
      </c>
      <c r="AH134" s="63">
        <v>0.33</v>
      </c>
      <c r="AI134" s="63">
        <v>0.2</v>
      </c>
      <c r="AJ134" s="63">
        <v>0.47</v>
      </c>
      <c r="AK134" s="63">
        <v>0.3</v>
      </c>
      <c r="AL134" s="63">
        <v>0.6</v>
      </c>
      <c r="AM134" s="63">
        <v>0.28999999999999998</v>
      </c>
      <c r="AN134" s="12" t="s">
        <v>126</v>
      </c>
      <c r="AO134" s="12" t="s">
        <v>126</v>
      </c>
      <c r="AP134" s="2"/>
      <c r="AQ134" s="2"/>
      <c r="AR134" s="2"/>
      <c r="AS134" s="2"/>
      <c r="AT134" s="2"/>
      <c r="AU134" s="2"/>
      <c r="AV134" s="2"/>
      <c r="AW134" s="2"/>
      <c r="AX134" s="2"/>
      <c r="AY134" s="2"/>
      <c r="AZ134" s="35"/>
      <c r="BA134" s="35"/>
      <c r="BB134" s="40"/>
      <c r="BC134" s="40"/>
      <c r="BD134" s="40"/>
      <c r="BE134" s="40"/>
      <c r="BF134" s="40"/>
      <c r="BG134" s="40"/>
      <c r="BH134" s="40"/>
      <c r="BI134" s="40"/>
      <c r="BJ134" s="40"/>
      <c r="BK134" s="40"/>
      <c r="BL134" s="646"/>
      <c r="BM134" s="646"/>
      <c r="BN134" s="646"/>
      <c r="BO134" s="646"/>
      <c r="BP134" s="646"/>
      <c r="BQ134" s="646"/>
      <c r="BR134" s="646"/>
      <c r="BS134" s="646"/>
      <c r="BT134" s="646"/>
      <c r="BU134" s="646"/>
      <c r="BV134" s="646"/>
      <c r="BW134" s="646"/>
      <c r="BX134" s="646"/>
      <c r="BY134" s="646"/>
      <c r="CZ134" s="67"/>
      <c r="DA134" s="67"/>
      <c r="DB134" s="662"/>
      <c r="DC134" s="662"/>
      <c r="DD134" s="662"/>
      <c r="DE134" s="662"/>
      <c r="DF134" s="662"/>
      <c r="DG134" s="662"/>
      <c r="DH134" s="662"/>
      <c r="DI134" s="662"/>
      <c r="DJ134" s="662"/>
      <c r="DK134" s="662"/>
      <c r="DL134" s="662"/>
      <c r="DM134" s="662"/>
      <c r="DN134" s="662"/>
      <c r="DO134" s="662"/>
      <c r="DT134" s="949"/>
      <c r="DU134" s="949"/>
      <c r="DV134" s="949"/>
      <c r="DW134" s="949"/>
      <c r="DX134" s="949"/>
      <c r="DY134" s="949"/>
      <c r="DZ134" s="949"/>
      <c r="EA134" s="949"/>
      <c r="EB134" s="949"/>
      <c r="EC134" s="949"/>
      <c r="ED134" s="922"/>
      <c r="EE134" s="803" t="s">
        <v>133</v>
      </c>
    </row>
    <row r="135" spans="1:135" ht="24.95" customHeight="1" x14ac:dyDescent="0.2">
      <c r="A135" s="803" t="s">
        <v>955</v>
      </c>
      <c r="B135" s="1" t="s">
        <v>123</v>
      </c>
      <c r="C135" s="2">
        <v>5</v>
      </c>
      <c r="D135" s="12">
        <v>53</v>
      </c>
      <c r="E135" s="12">
        <v>10</v>
      </c>
      <c r="F135" s="63">
        <v>0.14000000000000001</v>
      </c>
      <c r="G135" s="63">
        <v>0.49</v>
      </c>
      <c r="H135" s="63">
        <v>0.35</v>
      </c>
      <c r="I135" s="63">
        <v>0.02</v>
      </c>
      <c r="J135" s="63">
        <v>0.52</v>
      </c>
      <c r="K135" s="63">
        <v>0.44</v>
      </c>
      <c r="L135" s="63">
        <v>0.6</v>
      </c>
      <c r="M135" s="63">
        <v>0.38</v>
      </c>
      <c r="N135" s="63">
        <v>0.37</v>
      </c>
      <c r="O135" s="63">
        <v>0.49</v>
      </c>
      <c r="P135" s="12">
        <v>55</v>
      </c>
      <c r="Q135" s="12">
        <v>9</v>
      </c>
      <c r="R135" s="61">
        <v>7.0000000000000007E-2</v>
      </c>
      <c r="S135" s="61">
        <v>0.44</v>
      </c>
      <c r="T135" s="61">
        <v>0.47</v>
      </c>
      <c r="U135" s="61">
        <v>0.02</v>
      </c>
      <c r="V135" s="61">
        <v>0.33</v>
      </c>
      <c r="W135" s="61">
        <v>0.41</v>
      </c>
      <c r="X135" s="61">
        <v>0.51</v>
      </c>
      <c r="Y135" s="61">
        <v>0.39</v>
      </c>
      <c r="Z135" s="61">
        <v>0.41</v>
      </c>
      <c r="AA135" s="61">
        <v>0.5</v>
      </c>
      <c r="AB135" s="12">
        <v>50</v>
      </c>
      <c r="AC135" s="12">
        <v>11</v>
      </c>
      <c r="AD135" s="63">
        <v>0.19</v>
      </c>
      <c r="AE135" s="63">
        <v>0.4</v>
      </c>
      <c r="AF135" s="63">
        <v>0.38</v>
      </c>
      <c r="AG135" s="63">
        <v>0.02</v>
      </c>
      <c r="AH135" s="63">
        <v>0.45</v>
      </c>
      <c r="AI135" s="63">
        <v>0.39</v>
      </c>
      <c r="AJ135" s="63">
        <v>0.37</v>
      </c>
      <c r="AK135" s="63">
        <v>0.49</v>
      </c>
      <c r="AL135" s="63">
        <v>0.57999999999999996</v>
      </c>
      <c r="AM135" s="63">
        <v>0.51</v>
      </c>
      <c r="AN135" s="12">
        <v>47</v>
      </c>
      <c r="AO135" s="12">
        <v>9</v>
      </c>
      <c r="AP135" s="63">
        <v>0.21</v>
      </c>
      <c r="AQ135" s="63">
        <v>0.6</v>
      </c>
      <c r="AR135" s="63">
        <v>0.19</v>
      </c>
      <c r="AS135" s="63">
        <v>0</v>
      </c>
      <c r="AT135" s="63">
        <v>0.59</v>
      </c>
      <c r="AU135" s="63">
        <v>0.46</v>
      </c>
      <c r="AV135" s="63">
        <v>0.48</v>
      </c>
      <c r="AW135" s="63">
        <v>0.47</v>
      </c>
      <c r="AX135" s="63">
        <v>0.5</v>
      </c>
      <c r="AY135" s="63">
        <v>0.51</v>
      </c>
      <c r="AZ135" s="35">
        <v>53</v>
      </c>
      <c r="BA135" s="35">
        <v>10</v>
      </c>
      <c r="BB135" s="40">
        <v>0.13</v>
      </c>
      <c r="BC135" s="40">
        <v>0.38</v>
      </c>
      <c r="BD135" s="40">
        <v>0.49</v>
      </c>
      <c r="BE135" s="40">
        <v>0</v>
      </c>
      <c r="BF135" s="40">
        <v>0.47</v>
      </c>
      <c r="BG135" s="40">
        <v>0.42</v>
      </c>
      <c r="BH135" s="40">
        <v>0.41</v>
      </c>
      <c r="BI135" s="40">
        <v>0.48</v>
      </c>
      <c r="BJ135" s="40">
        <v>0.34</v>
      </c>
      <c r="BK135" s="40">
        <v>0.35</v>
      </c>
      <c r="BL135" s="647">
        <v>50</v>
      </c>
      <c r="BM135" s="647" t="s">
        <v>758</v>
      </c>
      <c r="BN135" s="647">
        <v>11</v>
      </c>
      <c r="BO135" s="647" t="s">
        <v>758</v>
      </c>
      <c r="BP135" s="648">
        <v>0.26</v>
      </c>
      <c r="BQ135" s="648">
        <v>0.38</v>
      </c>
      <c r="BR135" s="648">
        <v>0.34</v>
      </c>
      <c r="BS135" s="648">
        <v>0.02</v>
      </c>
      <c r="BT135" s="648">
        <v>0.49</v>
      </c>
      <c r="BU135" s="648">
        <v>0.48</v>
      </c>
      <c r="BV135" s="648">
        <v>0.5</v>
      </c>
      <c r="BW135" s="648">
        <v>0.43</v>
      </c>
      <c r="BX135" s="648">
        <v>0.46</v>
      </c>
      <c r="BY135" s="648">
        <v>0.51</v>
      </c>
      <c r="BZ135" s="74">
        <v>50</v>
      </c>
      <c r="CA135" s="74" t="s">
        <v>758</v>
      </c>
      <c r="CB135" s="74">
        <v>11</v>
      </c>
      <c r="CC135" s="74" t="s">
        <v>758</v>
      </c>
      <c r="CD135" s="96">
        <v>0.16</v>
      </c>
      <c r="CE135" s="96">
        <v>0.52</v>
      </c>
      <c r="CF135" s="96">
        <v>0.28999999999999998</v>
      </c>
      <c r="CG135" s="96">
        <v>0.02</v>
      </c>
      <c r="CH135" s="96">
        <v>0.56000000000000005</v>
      </c>
      <c r="CI135" s="96">
        <v>0.46</v>
      </c>
      <c r="CJ135" s="96">
        <v>0.56000000000000005</v>
      </c>
      <c r="CK135" s="96">
        <v>0.54</v>
      </c>
      <c r="CL135" s="96">
        <v>0.43</v>
      </c>
      <c r="CM135" s="96">
        <v>0.56000000000000005</v>
      </c>
      <c r="CN135" s="652">
        <v>53</v>
      </c>
      <c r="CO135" s="652" t="s">
        <v>758</v>
      </c>
      <c r="CP135" s="652">
        <v>10</v>
      </c>
      <c r="CQ135" s="652" t="s">
        <v>758</v>
      </c>
      <c r="CR135" s="653">
        <v>0.13</v>
      </c>
      <c r="CS135" s="653">
        <v>0.43</v>
      </c>
      <c r="CT135" s="653">
        <v>0.39</v>
      </c>
      <c r="CU135" s="653">
        <v>0.06</v>
      </c>
      <c r="CV135" s="653">
        <v>0.31</v>
      </c>
      <c r="CW135" s="653">
        <v>0.48</v>
      </c>
      <c r="CX135" s="653">
        <v>0.54</v>
      </c>
      <c r="CY135" s="653">
        <v>0.55000000000000004</v>
      </c>
      <c r="CZ135" s="661">
        <v>0.44</v>
      </c>
      <c r="DA135" s="661">
        <v>0.55000000000000004</v>
      </c>
      <c r="DB135" s="47">
        <v>49</v>
      </c>
      <c r="DC135" s="47" t="s">
        <v>758</v>
      </c>
      <c r="DD135" s="47">
        <v>11</v>
      </c>
      <c r="DE135" s="47" t="s">
        <v>758</v>
      </c>
      <c r="DF135" s="664">
        <v>0.26</v>
      </c>
      <c r="DG135" s="664">
        <v>0.45</v>
      </c>
      <c r="DH135" s="664">
        <v>0.28000000000000003</v>
      </c>
      <c r="DI135" s="664">
        <v>0</v>
      </c>
      <c r="DJ135" s="664">
        <v>0.5</v>
      </c>
      <c r="DK135" s="664">
        <v>0.47</v>
      </c>
      <c r="DL135" s="664">
        <v>0.45</v>
      </c>
      <c r="DM135" s="664">
        <v>0.66</v>
      </c>
      <c r="DN135" s="664">
        <v>0.63</v>
      </c>
      <c r="DO135" s="664">
        <v>0.46</v>
      </c>
      <c r="DP135" s="902">
        <v>49</v>
      </c>
      <c r="DQ135" s="902" t="s">
        <v>758</v>
      </c>
      <c r="DR135" s="902">
        <v>10</v>
      </c>
      <c r="DS135" s="902" t="s">
        <v>758</v>
      </c>
      <c r="DT135" s="949">
        <v>0.23</v>
      </c>
      <c r="DU135" s="949">
        <v>0.47</v>
      </c>
      <c r="DV135" s="949">
        <v>0.28999999999999998</v>
      </c>
      <c r="DW135" s="949">
        <v>0</v>
      </c>
      <c r="DX135" s="949">
        <v>0.48</v>
      </c>
      <c r="DY135" s="949">
        <v>0.44</v>
      </c>
      <c r="DZ135" s="949">
        <v>0.7</v>
      </c>
      <c r="EA135" s="949">
        <v>0.51</v>
      </c>
      <c r="EB135" s="949">
        <v>0.62</v>
      </c>
      <c r="EC135" s="949">
        <v>0.37</v>
      </c>
      <c r="ED135" s="922">
        <v>325754005196</v>
      </c>
      <c r="EE135" s="803" t="s">
        <v>955</v>
      </c>
    </row>
    <row r="136" spans="1:135" ht="24.95" customHeight="1" x14ac:dyDescent="0.2">
      <c r="A136" s="803" t="s">
        <v>117</v>
      </c>
      <c r="B136" s="1" t="s">
        <v>123</v>
      </c>
      <c r="C136" s="2">
        <v>6</v>
      </c>
      <c r="D136" s="12">
        <v>30</v>
      </c>
      <c r="E136" s="12">
        <v>0</v>
      </c>
      <c r="F136" s="63">
        <v>1</v>
      </c>
      <c r="G136" s="63">
        <v>0</v>
      </c>
      <c r="H136" s="63">
        <v>0</v>
      </c>
      <c r="I136" s="63">
        <v>0</v>
      </c>
      <c r="J136" s="63">
        <v>0.67</v>
      </c>
      <c r="K136" s="63">
        <v>0.78</v>
      </c>
      <c r="L136" s="63">
        <v>0.5</v>
      </c>
      <c r="M136" s="63">
        <v>1</v>
      </c>
      <c r="N136" s="63">
        <v>0.78</v>
      </c>
      <c r="O136" s="63">
        <v>0.67</v>
      </c>
      <c r="P136" s="12" t="s">
        <v>128</v>
      </c>
      <c r="Q136" s="12" t="s">
        <v>128</v>
      </c>
      <c r="R136" s="61"/>
      <c r="S136" s="61"/>
      <c r="T136" s="61"/>
      <c r="U136" s="61"/>
      <c r="V136" s="61"/>
      <c r="W136" s="61"/>
      <c r="X136" s="61"/>
      <c r="Y136" s="61"/>
      <c r="Z136" s="61"/>
      <c r="AA136" s="61"/>
      <c r="AB136" s="12" t="s">
        <v>126</v>
      </c>
      <c r="AC136" s="12" t="s">
        <v>126</v>
      </c>
      <c r="AD136" s="2"/>
      <c r="AE136" s="2"/>
      <c r="AF136" s="2"/>
      <c r="AG136" s="2"/>
      <c r="AH136" s="2"/>
      <c r="AI136" s="2"/>
      <c r="AJ136" s="2"/>
      <c r="AK136" s="2"/>
      <c r="AL136" s="2"/>
      <c r="AM136" s="2"/>
      <c r="AN136" s="12" t="s">
        <v>126</v>
      </c>
      <c r="AO136" s="12" t="s">
        <v>126</v>
      </c>
      <c r="AP136" s="2"/>
      <c r="AQ136" s="2"/>
      <c r="AR136" s="2"/>
      <c r="AS136" s="2"/>
      <c r="AT136" s="2"/>
      <c r="AU136" s="2"/>
      <c r="AV136" s="2"/>
      <c r="AW136" s="2"/>
      <c r="AX136" s="2"/>
      <c r="AY136" s="2"/>
      <c r="AZ136" s="35"/>
      <c r="BA136" s="35"/>
      <c r="BB136" s="40"/>
      <c r="BC136" s="40"/>
      <c r="BD136" s="40"/>
      <c r="BE136" s="40"/>
      <c r="BF136" s="40"/>
      <c r="BG136" s="40"/>
      <c r="BH136" s="40"/>
      <c r="BI136" s="40"/>
      <c r="BJ136" s="40"/>
      <c r="BK136" s="40"/>
      <c r="BL136" s="246">
        <v>55</v>
      </c>
      <c r="BM136" s="246" t="s">
        <v>758</v>
      </c>
      <c r="BN136" s="246">
        <v>0</v>
      </c>
      <c r="BO136" s="246" t="s">
        <v>760</v>
      </c>
      <c r="BP136" s="263">
        <v>0</v>
      </c>
      <c r="BQ136" s="263">
        <v>1</v>
      </c>
      <c r="BR136" s="263">
        <v>0</v>
      </c>
      <c r="BS136" s="263">
        <v>0</v>
      </c>
      <c r="BT136" s="263">
        <v>0</v>
      </c>
      <c r="BU136" s="263">
        <v>0.33</v>
      </c>
      <c r="BV136" s="263">
        <v>0</v>
      </c>
      <c r="BW136" s="263">
        <v>0.36</v>
      </c>
      <c r="BX136" s="263">
        <v>0.56000000000000005</v>
      </c>
      <c r="BY136" s="263">
        <v>0.6</v>
      </c>
      <c r="BZ136" s="649"/>
      <c r="CA136" s="649"/>
      <c r="CB136" s="649"/>
      <c r="CC136" s="649"/>
      <c r="CD136" s="649"/>
      <c r="CE136" s="649"/>
      <c r="CF136" s="649"/>
      <c r="CG136" s="649"/>
      <c r="CH136" s="649"/>
      <c r="CI136" s="649"/>
      <c r="CJ136" s="649"/>
      <c r="CK136" s="649"/>
      <c r="CL136" s="649"/>
      <c r="CM136" s="649"/>
      <c r="CN136" s="651"/>
      <c r="CO136" s="651"/>
      <c r="CP136" s="651"/>
      <c r="CQ136" s="651"/>
      <c r="CR136" s="651"/>
      <c r="CS136" s="651"/>
      <c r="CT136" s="651"/>
      <c r="CU136" s="651"/>
      <c r="CV136" s="651"/>
      <c r="CW136" s="651"/>
      <c r="CX136" s="651"/>
      <c r="CY136" s="651"/>
      <c r="CZ136" s="660"/>
      <c r="DA136" s="660"/>
      <c r="DB136" s="662"/>
      <c r="DC136" s="662"/>
      <c r="DD136" s="662"/>
      <c r="DE136" s="662"/>
      <c r="DF136" s="662"/>
      <c r="DG136" s="662"/>
      <c r="DH136" s="662"/>
      <c r="DI136" s="662"/>
      <c r="DJ136" s="662"/>
      <c r="DK136" s="662"/>
      <c r="DL136" s="662"/>
      <c r="DM136" s="662"/>
      <c r="DN136" s="662"/>
      <c r="DO136" s="662"/>
      <c r="DT136" s="949"/>
      <c r="DU136" s="949"/>
      <c r="DV136" s="949"/>
      <c r="DW136" s="949"/>
      <c r="DX136" s="949"/>
      <c r="DY136" s="949"/>
      <c r="DZ136" s="949"/>
      <c r="EA136" s="949"/>
      <c r="EB136" s="949"/>
      <c r="EC136" s="949"/>
      <c r="ED136" s="922"/>
      <c r="EE136" s="803" t="s">
        <v>117</v>
      </c>
    </row>
    <row r="137" spans="1:135" ht="24.95" customHeight="1" x14ac:dyDescent="0.2">
      <c r="A137" s="803" t="s">
        <v>69</v>
      </c>
      <c r="B137" s="1" t="s">
        <v>123</v>
      </c>
      <c r="C137" s="2">
        <v>4</v>
      </c>
      <c r="D137" s="12">
        <v>55</v>
      </c>
      <c r="E137" s="12">
        <v>8</v>
      </c>
      <c r="F137" s="63">
        <v>0.06</v>
      </c>
      <c r="G137" s="63">
        <v>0.5</v>
      </c>
      <c r="H137" s="63">
        <v>0.44</v>
      </c>
      <c r="I137" s="63">
        <v>0</v>
      </c>
      <c r="J137" s="63">
        <v>0.44</v>
      </c>
      <c r="K137" s="63">
        <v>0.45</v>
      </c>
      <c r="L137" s="63">
        <v>0.46</v>
      </c>
      <c r="M137" s="63">
        <v>0.39</v>
      </c>
      <c r="N137" s="63">
        <v>0.31</v>
      </c>
      <c r="O137" s="63">
        <v>0.41</v>
      </c>
      <c r="P137" s="12">
        <v>54</v>
      </c>
      <c r="Q137" s="12">
        <v>8</v>
      </c>
      <c r="R137" s="61">
        <v>0.05</v>
      </c>
      <c r="S137" s="61">
        <v>0.5</v>
      </c>
      <c r="T137" s="61">
        <v>0.45</v>
      </c>
      <c r="U137" s="61">
        <v>0</v>
      </c>
      <c r="V137" s="61">
        <v>0.38</v>
      </c>
      <c r="W137" s="61">
        <v>0.44</v>
      </c>
      <c r="X137" s="61">
        <v>0.47</v>
      </c>
      <c r="Y137" s="61">
        <v>0.44</v>
      </c>
      <c r="Z137" s="61">
        <v>0.39</v>
      </c>
      <c r="AA137" s="61">
        <v>0.36</v>
      </c>
      <c r="AB137" s="12">
        <v>57</v>
      </c>
      <c r="AC137" s="12">
        <v>6</v>
      </c>
      <c r="AD137" s="63">
        <v>0</v>
      </c>
      <c r="AE137" s="63">
        <v>0.36</v>
      </c>
      <c r="AF137" s="63">
        <v>0.64</v>
      </c>
      <c r="AG137" s="63">
        <v>0</v>
      </c>
      <c r="AH137" s="63">
        <v>0.32</v>
      </c>
      <c r="AI137" s="63">
        <v>0.32</v>
      </c>
      <c r="AJ137" s="63">
        <v>0.27</v>
      </c>
      <c r="AK137" s="63">
        <v>0.35</v>
      </c>
      <c r="AL137" s="63">
        <v>0.47</v>
      </c>
      <c r="AM137" s="63">
        <v>0.45</v>
      </c>
      <c r="AN137" s="12">
        <v>53</v>
      </c>
      <c r="AO137" s="12">
        <v>10</v>
      </c>
      <c r="AP137" s="63">
        <v>0.15</v>
      </c>
      <c r="AQ137" s="63">
        <v>0.38</v>
      </c>
      <c r="AR137" s="63">
        <v>0.46</v>
      </c>
      <c r="AS137" s="63">
        <v>0</v>
      </c>
      <c r="AT137" s="63">
        <v>0.52</v>
      </c>
      <c r="AU137" s="63">
        <v>0.41</v>
      </c>
      <c r="AV137" s="63">
        <v>0.38</v>
      </c>
      <c r="AW137" s="63">
        <v>0.35</v>
      </c>
      <c r="AX137" s="63">
        <v>0.46</v>
      </c>
      <c r="AY137" s="63">
        <v>0.39</v>
      </c>
      <c r="AZ137" s="35">
        <v>52</v>
      </c>
      <c r="BA137" s="35">
        <v>10</v>
      </c>
      <c r="BB137" s="40">
        <v>0.17</v>
      </c>
      <c r="BC137" s="40">
        <v>0.33</v>
      </c>
      <c r="BD137" s="40">
        <v>0.5</v>
      </c>
      <c r="BE137" s="40">
        <v>0</v>
      </c>
      <c r="BF137" s="40">
        <v>0.42</v>
      </c>
      <c r="BG137" s="40">
        <v>0.43</v>
      </c>
      <c r="BH137" s="40">
        <v>0.37</v>
      </c>
      <c r="BI137" s="40">
        <v>0.56000000000000005</v>
      </c>
      <c r="BJ137" s="40">
        <v>0.46</v>
      </c>
      <c r="BK137" s="40">
        <v>0.4</v>
      </c>
      <c r="BL137" s="246">
        <v>48</v>
      </c>
      <c r="BM137" s="246" t="s">
        <v>758</v>
      </c>
      <c r="BN137" s="246">
        <v>11</v>
      </c>
      <c r="BO137" s="246" t="s">
        <v>758</v>
      </c>
      <c r="BP137" s="263">
        <v>0.23</v>
      </c>
      <c r="BQ137" s="263">
        <v>0.5</v>
      </c>
      <c r="BR137" s="263">
        <v>0.27</v>
      </c>
      <c r="BS137" s="263">
        <v>0</v>
      </c>
      <c r="BT137" s="263">
        <v>0.4</v>
      </c>
      <c r="BU137" s="263">
        <v>0.56000000000000005</v>
      </c>
      <c r="BV137" s="263">
        <v>0.56000000000000005</v>
      </c>
      <c r="BW137" s="263">
        <v>0.39</v>
      </c>
      <c r="BX137" s="263">
        <v>0.47</v>
      </c>
      <c r="BY137" s="263">
        <v>0.5</v>
      </c>
      <c r="BZ137" s="74">
        <v>57</v>
      </c>
      <c r="CA137" s="74" t="s">
        <v>758</v>
      </c>
      <c r="CB137" s="74">
        <v>10</v>
      </c>
      <c r="CC137" s="74" t="s">
        <v>758</v>
      </c>
      <c r="CD137" s="96">
        <v>0.06</v>
      </c>
      <c r="CE137" s="96">
        <v>0.35</v>
      </c>
      <c r="CF137" s="96">
        <v>0.53</v>
      </c>
      <c r="CG137" s="96">
        <v>0.06</v>
      </c>
      <c r="CH137" s="96">
        <v>0.24</v>
      </c>
      <c r="CI137" s="96">
        <v>0.35</v>
      </c>
      <c r="CJ137" s="96">
        <v>0.38</v>
      </c>
      <c r="CK137" s="96">
        <v>0.46</v>
      </c>
      <c r="CL137" s="96">
        <v>0.46</v>
      </c>
      <c r="CM137" s="96">
        <v>0.45</v>
      </c>
      <c r="CN137" s="652">
        <v>47</v>
      </c>
      <c r="CO137" s="652" t="s">
        <v>758</v>
      </c>
      <c r="CP137" s="652">
        <v>10</v>
      </c>
      <c r="CQ137" s="652" t="s">
        <v>758</v>
      </c>
      <c r="CR137" s="653">
        <v>0.27</v>
      </c>
      <c r="CS137" s="653">
        <v>0.45</v>
      </c>
      <c r="CT137" s="653">
        <v>0.27</v>
      </c>
      <c r="CU137" s="653">
        <v>0</v>
      </c>
      <c r="CV137" s="653">
        <v>0.37</v>
      </c>
      <c r="CW137" s="653">
        <v>0.66</v>
      </c>
      <c r="CX137" s="653">
        <v>0.56999999999999995</v>
      </c>
      <c r="CY137" s="653">
        <v>0.6</v>
      </c>
      <c r="CZ137" s="661">
        <v>0.66</v>
      </c>
      <c r="DA137" s="661">
        <v>0.71</v>
      </c>
      <c r="DB137" s="47">
        <v>57</v>
      </c>
      <c r="DC137" s="47" t="s">
        <v>758</v>
      </c>
      <c r="DD137" s="47">
        <v>10</v>
      </c>
      <c r="DE137" s="47" t="s">
        <v>758</v>
      </c>
      <c r="DF137" s="664">
        <v>0.09</v>
      </c>
      <c r="DG137" s="664">
        <v>0.3</v>
      </c>
      <c r="DH137" s="664">
        <v>0.55000000000000004</v>
      </c>
      <c r="DI137" s="664">
        <v>0.06</v>
      </c>
      <c r="DJ137" s="664">
        <v>0.43</v>
      </c>
      <c r="DK137" s="664">
        <v>0.39</v>
      </c>
      <c r="DL137" s="664">
        <v>0.35</v>
      </c>
      <c r="DM137" s="664">
        <v>0.43</v>
      </c>
      <c r="DN137" s="664">
        <v>0.38</v>
      </c>
      <c r="DO137" s="664">
        <v>0.13</v>
      </c>
      <c r="DP137" s="902">
        <v>52</v>
      </c>
      <c r="DQ137" s="902" t="s">
        <v>758</v>
      </c>
      <c r="DR137" s="902">
        <v>11</v>
      </c>
      <c r="DS137" s="902" t="s">
        <v>758</v>
      </c>
      <c r="DT137" s="949">
        <v>0.18</v>
      </c>
      <c r="DU137" s="949">
        <v>0.42</v>
      </c>
      <c r="DV137" s="949">
        <v>0.37</v>
      </c>
      <c r="DW137" s="949">
        <v>0.03</v>
      </c>
      <c r="DX137" s="949">
        <v>0.44</v>
      </c>
      <c r="DY137" s="949">
        <v>0.4</v>
      </c>
      <c r="DZ137" s="949">
        <v>0.79</v>
      </c>
      <c r="EA137" s="949">
        <v>0.45</v>
      </c>
      <c r="EB137" s="949">
        <v>0.5</v>
      </c>
      <c r="EC137" s="949">
        <v>0.28000000000000003</v>
      </c>
      <c r="ED137" s="922">
        <v>325754004629</v>
      </c>
      <c r="EE137" s="803" t="s">
        <v>69</v>
      </c>
    </row>
    <row r="138" spans="1:135" ht="24.95" customHeight="1" x14ac:dyDescent="0.2">
      <c r="A138" s="803" t="s">
        <v>35</v>
      </c>
      <c r="B138" s="1" t="s">
        <v>123</v>
      </c>
      <c r="C138" s="2">
        <v>6</v>
      </c>
      <c r="D138" s="12">
        <v>54</v>
      </c>
      <c r="E138" s="12">
        <v>9</v>
      </c>
      <c r="F138" s="63">
        <v>0.09</v>
      </c>
      <c r="G138" s="63">
        <v>0.52</v>
      </c>
      <c r="H138" s="63">
        <v>0.36</v>
      </c>
      <c r="I138" s="63">
        <v>0.03</v>
      </c>
      <c r="J138" s="63">
        <v>0.47</v>
      </c>
      <c r="K138" s="63">
        <v>0.48</v>
      </c>
      <c r="L138" s="63">
        <v>0.59</v>
      </c>
      <c r="M138" s="63">
        <v>0.41</v>
      </c>
      <c r="N138" s="63">
        <v>0.4</v>
      </c>
      <c r="O138" s="63">
        <v>0.48</v>
      </c>
      <c r="P138" s="12">
        <v>53</v>
      </c>
      <c r="Q138" s="12">
        <v>9</v>
      </c>
      <c r="R138" s="61">
        <v>0.11</v>
      </c>
      <c r="S138" s="61">
        <v>0.45</v>
      </c>
      <c r="T138" s="61">
        <v>0.45</v>
      </c>
      <c r="U138" s="61">
        <v>0</v>
      </c>
      <c r="V138" s="61">
        <v>0.38</v>
      </c>
      <c r="W138" s="61">
        <v>0.43</v>
      </c>
      <c r="X138" s="61">
        <v>0.54</v>
      </c>
      <c r="Y138" s="61">
        <v>0.42</v>
      </c>
      <c r="Z138" s="61">
        <v>0.41</v>
      </c>
      <c r="AA138" s="61">
        <v>0.49</v>
      </c>
      <c r="AB138" s="12">
        <v>51</v>
      </c>
      <c r="AC138" s="12">
        <v>10</v>
      </c>
      <c r="AD138" s="63">
        <v>0.16</v>
      </c>
      <c r="AE138" s="63">
        <v>0.51</v>
      </c>
      <c r="AF138" s="63">
        <v>0.31</v>
      </c>
      <c r="AG138" s="63">
        <v>0.02</v>
      </c>
      <c r="AH138" s="63">
        <v>0.45</v>
      </c>
      <c r="AI138" s="63">
        <v>0.4</v>
      </c>
      <c r="AJ138" s="63">
        <v>0.4</v>
      </c>
      <c r="AK138" s="63">
        <v>0.47</v>
      </c>
      <c r="AL138" s="63">
        <v>0.55000000000000004</v>
      </c>
      <c r="AM138" s="63">
        <v>0.53</v>
      </c>
      <c r="AN138" s="12">
        <v>50</v>
      </c>
      <c r="AO138" s="12">
        <v>13</v>
      </c>
      <c r="AP138" s="63">
        <v>0.27</v>
      </c>
      <c r="AQ138" s="63">
        <v>0.35</v>
      </c>
      <c r="AR138" s="63">
        <v>0.36</v>
      </c>
      <c r="AS138" s="63">
        <v>0.02</v>
      </c>
      <c r="AT138" s="63">
        <v>0.56000000000000005</v>
      </c>
      <c r="AU138" s="63">
        <v>0.43</v>
      </c>
      <c r="AV138" s="63">
        <v>0.41</v>
      </c>
      <c r="AW138" s="63">
        <v>0.45</v>
      </c>
      <c r="AX138" s="63">
        <v>0.46</v>
      </c>
      <c r="AY138" s="63">
        <v>0.48</v>
      </c>
      <c r="AZ138" s="35">
        <v>52</v>
      </c>
      <c r="BA138" s="35">
        <v>10</v>
      </c>
      <c r="BB138" s="40">
        <v>0.12</v>
      </c>
      <c r="BC138" s="40">
        <v>0.49</v>
      </c>
      <c r="BD138" s="40">
        <v>0.39</v>
      </c>
      <c r="BE138" s="40">
        <v>0</v>
      </c>
      <c r="BF138" s="40">
        <v>0.48</v>
      </c>
      <c r="BG138" s="40">
        <v>0.46</v>
      </c>
      <c r="BH138" s="40">
        <v>0.43</v>
      </c>
      <c r="BI138" s="40">
        <v>0.55000000000000004</v>
      </c>
      <c r="BJ138" s="40">
        <v>0.38</v>
      </c>
      <c r="BK138" s="40">
        <v>0.34</v>
      </c>
      <c r="BL138" s="246">
        <v>49</v>
      </c>
      <c r="BM138" s="246" t="s">
        <v>758</v>
      </c>
      <c r="BN138" s="246">
        <v>11</v>
      </c>
      <c r="BO138" s="246" t="s">
        <v>758</v>
      </c>
      <c r="BP138" s="263">
        <v>0.25</v>
      </c>
      <c r="BQ138" s="263">
        <v>0.38</v>
      </c>
      <c r="BR138" s="263">
        <v>0.38</v>
      </c>
      <c r="BS138" s="263">
        <v>0</v>
      </c>
      <c r="BT138" s="263">
        <v>0.51</v>
      </c>
      <c r="BU138" s="263">
        <v>0.43</v>
      </c>
      <c r="BV138" s="263">
        <v>0.5</v>
      </c>
      <c r="BW138" s="263">
        <v>0.41</v>
      </c>
      <c r="BX138" s="263">
        <v>0.51</v>
      </c>
      <c r="BY138" s="263">
        <v>0.53</v>
      </c>
      <c r="BZ138" s="309">
        <v>54</v>
      </c>
      <c r="CA138" s="309" t="s">
        <v>758</v>
      </c>
      <c r="CB138" s="309">
        <v>10</v>
      </c>
      <c r="CC138" s="309" t="s">
        <v>758</v>
      </c>
      <c r="CD138" s="327">
        <v>0.11</v>
      </c>
      <c r="CE138" s="327">
        <v>0.45</v>
      </c>
      <c r="CF138" s="327">
        <v>0.39</v>
      </c>
      <c r="CG138" s="327">
        <v>0.05</v>
      </c>
      <c r="CH138" s="327">
        <v>0.49</v>
      </c>
      <c r="CI138" s="327">
        <v>0.28000000000000003</v>
      </c>
      <c r="CJ138" s="327">
        <v>0.51</v>
      </c>
      <c r="CK138" s="327">
        <v>0.53</v>
      </c>
      <c r="CL138" s="327">
        <v>0.42</v>
      </c>
      <c r="CM138" s="327">
        <v>0.6</v>
      </c>
      <c r="CN138" s="424">
        <v>52</v>
      </c>
      <c r="CO138" s="424" t="s">
        <v>758</v>
      </c>
      <c r="CP138" s="424">
        <v>9</v>
      </c>
      <c r="CQ138" s="424" t="s">
        <v>758</v>
      </c>
      <c r="CR138" s="428">
        <v>0.05</v>
      </c>
      <c r="CS138" s="428">
        <v>0.56000000000000005</v>
      </c>
      <c r="CT138" s="428">
        <v>0.37</v>
      </c>
      <c r="CU138" s="428">
        <v>0.02</v>
      </c>
      <c r="CV138" s="428">
        <v>0.32</v>
      </c>
      <c r="CW138" s="428">
        <v>0.52</v>
      </c>
      <c r="CX138" s="428">
        <v>0.55000000000000004</v>
      </c>
      <c r="CY138" s="428">
        <v>0.8</v>
      </c>
      <c r="CZ138" s="523">
        <v>0.52</v>
      </c>
      <c r="DA138" s="523">
        <v>0.42</v>
      </c>
      <c r="DB138" s="524">
        <v>54</v>
      </c>
      <c r="DC138" s="524" t="s">
        <v>758</v>
      </c>
      <c r="DD138" s="524">
        <v>11</v>
      </c>
      <c r="DE138" s="524" t="s">
        <v>758</v>
      </c>
      <c r="DF138" s="525">
        <v>0.09</v>
      </c>
      <c r="DG138" s="525">
        <v>0.47</v>
      </c>
      <c r="DH138" s="525">
        <v>0.34</v>
      </c>
      <c r="DI138" s="525">
        <v>0.1</v>
      </c>
      <c r="DJ138" s="525">
        <v>0.43</v>
      </c>
      <c r="DK138" s="525">
        <v>0.38</v>
      </c>
      <c r="DL138" s="525">
        <v>0.36</v>
      </c>
      <c r="DM138" s="525">
        <v>0.56999999999999995</v>
      </c>
      <c r="DN138" s="525">
        <v>0.48</v>
      </c>
      <c r="DO138" s="525">
        <v>0.25</v>
      </c>
      <c r="DP138" s="902">
        <v>55</v>
      </c>
      <c r="DQ138" s="902" t="s">
        <v>758</v>
      </c>
      <c r="DR138" s="902">
        <v>11</v>
      </c>
      <c r="DS138" s="902" t="s">
        <v>758</v>
      </c>
      <c r="DT138" s="949">
        <v>0.1</v>
      </c>
      <c r="DU138" s="949">
        <v>0.37</v>
      </c>
      <c r="DV138" s="949">
        <v>0.46</v>
      </c>
      <c r="DW138" s="949">
        <v>7.0000000000000007E-2</v>
      </c>
      <c r="DX138" s="949">
        <v>0.39</v>
      </c>
      <c r="DY138" s="949">
        <v>0.25</v>
      </c>
      <c r="DZ138" s="949">
        <v>0.63</v>
      </c>
      <c r="EA138" s="949">
        <v>0.36</v>
      </c>
      <c r="EB138" s="949">
        <v>0.52</v>
      </c>
      <c r="EC138" s="949">
        <v>0.28999999999999998</v>
      </c>
      <c r="ED138" s="922">
        <v>325754003592</v>
      </c>
      <c r="EE138" s="803" t="s">
        <v>35</v>
      </c>
    </row>
    <row r="139" spans="1:135" ht="24.95" customHeight="1" x14ac:dyDescent="0.2">
      <c r="A139" s="803" t="s">
        <v>29</v>
      </c>
      <c r="B139" s="1" t="s">
        <v>123</v>
      </c>
      <c r="C139" s="2">
        <v>2</v>
      </c>
      <c r="D139" s="12">
        <v>50</v>
      </c>
      <c r="E139" s="12">
        <v>8</v>
      </c>
      <c r="F139" s="63">
        <v>0.18</v>
      </c>
      <c r="G139" s="63">
        <v>0.54</v>
      </c>
      <c r="H139" s="63">
        <v>0.28000000000000003</v>
      </c>
      <c r="I139" s="63">
        <v>0</v>
      </c>
      <c r="J139" s="63">
        <v>0.57999999999999996</v>
      </c>
      <c r="K139" s="63">
        <v>0.53</v>
      </c>
      <c r="L139" s="63">
        <v>0.64</v>
      </c>
      <c r="M139" s="63">
        <v>0.4</v>
      </c>
      <c r="N139" s="63">
        <v>0.47</v>
      </c>
      <c r="O139" s="63">
        <v>0.49</v>
      </c>
      <c r="P139" s="12">
        <v>51</v>
      </c>
      <c r="Q139" s="12">
        <v>9</v>
      </c>
      <c r="R139" s="61">
        <v>0.14000000000000001</v>
      </c>
      <c r="S139" s="61">
        <v>0.56000000000000005</v>
      </c>
      <c r="T139" s="61">
        <v>0.28000000000000003</v>
      </c>
      <c r="U139" s="61">
        <v>0.02</v>
      </c>
      <c r="V139" s="61">
        <v>0.41</v>
      </c>
      <c r="W139" s="61">
        <v>0.47</v>
      </c>
      <c r="X139" s="61">
        <v>0.57999999999999996</v>
      </c>
      <c r="Y139" s="61">
        <v>0.46</v>
      </c>
      <c r="Z139" s="61">
        <v>0.48</v>
      </c>
      <c r="AA139" s="61">
        <v>0.52</v>
      </c>
      <c r="AB139" s="12">
        <v>47</v>
      </c>
      <c r="AC139" s="12">
        <v>10</v>
      </c>
      <c r="AD139" s="63">
        <v>0.26</v>
      </c>
      <c r="AE139" s="63">
        <v>0.51</v>
      </c>
      <c r="AF139" s="63">
        <v>0.23</v>
      </c>
      <c r="AG139" s="63">
        <v>0</v>
      </c>
      <c r="AH139" s="63">
        <v>0.48</v>
      </c>
      <c r="AI139" s="63">
        <v>0.47</v>
      </c>
      <c r="AJ139" s="63">
        <v>0.49</v>
      </c>
      <c r="AK139" s="63">
        <v>0.53</v>
      </c>
      <c r="AL139" s="63">
        <v>0.55000000000000004</v>
      </c>
      <c r="AM139" s="63">
        <v>0.55000000000000004</v>
      </c>
      <c r="AN139" s="12">
        <v>47</v>
      </c>
      <c r="AO139" s="12">
        <v>11</v>
      </c>
      <c r="AP139" s="63">
        <v>0.33</v>
      </c>
      <c r="AQ139" s="63">
        <v>0.39</v>
      </c>
      <c r="AR139" s="63">
        <v>0.28000000000000003</v>
      </c>
      <c r="AS139" s="63">
        <v>0</v>
      </c>
      <c r="AT139" s="63">
        <v>0.53</v>
      </c>
      <c r="AU139" s="63">
        <v>0.48</v>
      </c>
      <c r="AV139" s="63">
        <v>0.5</v>
      </c>
      <c r="AW139" s="63">
        <v>0.49</v>
      </c>
      <c r="AX139" s="63">
        <v>0.52</v>
      </c>
      <c r="AY139" s="63">
        <v>0.51</v>
      </c>
      <c r="AZ139" s="35">
        <v>49</v>
      </c>
      <c r="BA139" s="35">
        <v>11</v>
      </c>
      <c r="BB139" s="40">
        <v>0.28999999999999998</v>
      </c>
      <c r="BC139" s="40">
        <v>0.41</v>
      </c>
      <c r="BD139" s="40">
        <v>0.28999999999999998</v>
      </c>
      <c r="BE139" s="40">
        <v>0.02</v>
      </c>
      <c r="BF139" s="40">
        <v>0.51</v>
      </c>
      <c r="BG139" s="40">
        <v>0.52</v>
      </c>
      <c r="BH139" s="40">
        <v>0.49</v>
      </c>
      <c r="BI139" s="40">
        <v>0.61</v>
      </c>
      <c r="BJ139" s="40">
        <v>0.44</v>
      </c>
      <c r="BK139" s="40">
        <v>0.42</v>
      </c>
      <c r="BL139" s="246">
        <v>49</v>
      </c>
      <c r="BM139" s="246" t="s">
        <v>758</v>
      </c>
      <c r="BN139" s="246">
        <v>11</v>
      </c>
      <c r="BO139" s="246" t="s">
        <v>758</v>
      </c>
      <c r="BP139" s="263">
        <v>0.28999999999999998</v>
      </c>
      <c r="BQ139" s="263">
        <v>0.47</v>
      </c>
      <c r="BR139" s="263">
        <v>0.24</v>
      </c>
      <c r="BS139" s="263">
        <v>0</v>
      </c>
      <c r="BT139" s="263">
        <v>0.5</v>
      </c>
      <c r="BU139" s="263">
        <v>0.42</v>
      </c>
      <c r="BV139" s="263">
        <v>0.62</v>
      </c>
      <c r="BW139" s="263">
        <v>0.44</v>
      </c>
      <c r="BX139" s="263">
        <v>0.47</v>
      </c>
      <c r="BY139" s="263">
        <v>0.56000000000000005</v>
      </c>
      <c r="BZ139" s="309">
        <v>47</v>
      </c>
      <c r="CA139" s="309" t="s">
        <v>758</v>
      </c>
      <c r="CB139" s="309">
        <v>10</v>
      </c>
      <c r="CC139" s="309" t="s">
        <v>758</v>
      </c>
      <c r="CD139" s="327">
        <v>0.31</v>
      </c>
      <c r="CE139" s="327">
        <v>0.46</v>
      </c>
      <c r="CF139" s="327">
        <v>0.24</v>
      </c>
      <c r="CG139" s="327">
        <v>0</v>
      </c>
      <c r="CH139" s="327">
        <v>0.53</v>
      </c>
      <c r="CI139" s="327">
        <v>0.39</v>
      </c>
      <c r="CJ139" s="327">
        <v>0.59</v>
      </c>
      <c r="CK139" s="327">
        <v>0.54</v>
      </c>
      <c r="CL139" s="327">
        <v>0.49</v>
      </c>
      <c r="CM139" s="327">
        <v>0.6</v>
      </c>
      <c r="CN139" s="424">
        <v>49</v>
      </c>
      <c r="CO139" s="424" t="s">
        <v>758</v>
      </c>
      <c r="CP139" s="424">
        <v>11</v>
      </c>
      <c r="CQ139" s="424" t="s">
        <v>758</v>
      </c>
      <c r="CR139" s="428">
        <v>0.16</v>
      </c>
      <c r="CS139" s="428">
        <v>0.54</v>
      </c>
      <c r="CT139" s="428">
        <v>0.3</v>
      </c>
      <c r="CU139" s="428">
        <v>0</v>
      </c>
      <c r="CV139" s="428">
        <v>0.39</v>
      </c>
      <c r="CW139" s="428">
        <v>0.59</v>
      </c>
      <c r="CX139" s="428">
        <v>0.59</v>
      </c>
      <c r="CY139" s="428">
        <v>0.66</v>
      </c>
      <c r="CZ139" s="523">
        <v>0.55000000000000004</v>
      </c>
      <c r="DA139" s="523">
        <v>0.47</v>
      </c>
      <c r="DB139" s="524">
        <v>53</v>
      </c>
      <c r="DC139" s="524" t="s">
        <v>758</v>
      </c>
      <c r="DD139" s="524">
        <v>10</v>
      </c>
      <c r="DE139" s="524" t="s">
        <v>758</v>
      </c>
      <c r="DF139" s="525">
        <v>0.09</v>
      </c>
      <c r="DG139" s="525">
        <v>0.38</v>
      </c>
      <c r="DH139" s="525">
        <v>0.47</v>
      </c>
      <c r="DI139" s="525">
        <v>0.06</v>
      </c>
      <c r="DJ139" s="525">
        <v>0.47</v>
      </c>
      <c r="DK139" s="525">
        <v>0.3</v>
      </c>
      <c r="DL139" s="525">
        <v>0.41</v>
      </c>
      <c r="DM139" s="525">
        <v>0.6</v>
      </c>
      <c r="DN139" s="525">
        <v>0.46</v>
      </c>
      <c r="DO139" s="525">
        <v>0.38</v>
      </c>
      <c r="DP139" s="902">
        <v>52</v>
      </c>
      <c r="DQ139" s="902" t="s">
        <v>758</v>
      </c>
      <c r="DR139" s="902">
        <v>11</v>
      </c>
      <c r="DS139" s="902" t="s">
        <v>758</v>
      </c>
      <c r="DT139" s="949">
        <v>0.17</v>
      </c>
      <c r="DU139" s="949">
        <v>0.46</v>
      </c>
      <c r="DV139" s="949">
        <v>0.33</v>
      </c>
      <c r="DW139" s="949">
        <v>0.04</v>
      </c>
      <c r="DX139" s="949">
        <v>0.4</v>
      </c>
      <c r="DY139" s="949">
        <v>0.34</v>
      </c>
      <c r="DZ139" s="949">
        <v>0.63</v>
      </c>
      <c r="EA139" s="949">
        <v>0.42</v>
      </c>
      <c r="EB139" s="949">
        <v>0.56999999999999995</v>
      </c>
      <c r="EC139" s="949">
        <v>0.34</v>
      </c>
      <c r="ED139" s="922">
        <v>325754003606</v>
      </c>
      <c r="EE139" s="803" t="s">
        <v>29</v>
      </c>
    </row>
    <row r="140" spans="1:135" ht="24.95" customHeight="1" x14ac:dyDescent="0.2">
      <c r="A140" s="803" t="s">
        <v>129</v>
      </c>
      <c r="B140" s="1" t="s">
        <v>123</v>
      </c>
      <c r="C140" s="2">
        <v>2</v>
      </c>
      <c r="D140" s="12"/>
      <c r="E140" s="12"/>
      <c r="F140" s="12"/>
      <c r="G140" s="12"/>
      <c r="H140" s="12"/>
      <c r="I140" s="12"/>
      <c r="J140" s="12"/>
      <c r="K140" s="12"/>
      <c r="L140" s="12"/>
      <c r="M140" s="12"/>
      <c r="N140" s="12"/>
      <c r="O140" s="12"/>
      <c r="P140" s="12">
        <v>44</v>
      </c>
      <c r="Q140" s="12">
        <v>11</v>
      </c>
      <c r="R140" s="61">
        <v>0.5</v>
      </c>
      <c r="S140" s="61">
        <v>0.33</v>
      </c>
      <c r="T140" s="61">
        <v>0.17</v>
      </c>
      <c r="U140" s="61">
        <v>0</v>
      </c>
      <c r="V140" s="61">
        <v>0.59</v>
      </c>
      <c r="W140" s="61">
        <v>0.56000000000000005</v>
      </c>
      <c r="X140" s="61">
        <v>0.6</v>
      </c>
      <c r="Y140" s="61">
        <v>0.59</v>
      </c>
      <c r="Z140" s="61">
        <v>0.51</v>
      </c>
      <c r="AA140" s="61">
        <v>0.56000000000000005</v>
      </c>
      <c r="AB140" s="12" t="s">
        <v>126</v>
      </c>
      <c r="AC140" s="12" t="s">
        <v>126</v>
      </c>
      <c r="AD140" s="2"/>
      <c r="AE140" s="2"/>
      <c r="AF140" s="2"/>
      <c r="AG140" s="2"/>
      <c r="AH140" s="2"/>
      <c r="AI140" s="2"/>
      <c r="AJ140" s="2"/>
      <c r="AK140" s="2"/>
      <c r="AL140" s="2"/>
      <c r="AM140" s="2"/>
      <c r="AN140" s="12" t="s">
        <v>126</v>
      </c>
      <c r="AO140" s="12" t="s">
        <v>126</v>
      </c>
      <c r="AP140" s="2"/>
      <c r="AQ140" s="2"/>
      <c r="AR140" s="2"/>
      <c r="AS140" s="2"/>
      <c r="AT140" s="2"/>
      <c r="AU140" s="2"/>
      <c r="AV140" s="2"/>
      <c r="AW140" s="2"/>
      <c r="AX140" s="2"/>
      <c r="AY140" s="2"/>
      <c r="AZ140" s="35"/>
      <c r="BA140" s="35"/>
      <c r="BB140" s="40"/>
      <c r="BC140" s="40"/>
      <c r="BD140" s="40"/>
      <c r="BE140" s="40"/>
      <c r="BF140" s="40"/>
      <c r="BG140" s="40"/>
      <c r="BH140" s="40"/>
      <c r="BI140" s="40"/>
      <c r="BJ140" s="40"/>
      <c r="BK140" s="40"/>
      <c r="BL140" s="646"/>
      <c r="BM140" s="646"/>
      <c r="BN140" s="646"/>
      <c r="BO140" s="646"/>
      <c r="BP140" s="646"/>
      <c r="BQ140" s="646"/>
      <c r="BR140" s="646"/>
      <c r="BS140" s="646"/>
      <c r="BT140" s="646"/>
      <c r="BU140" s="646"/>
      <c r="BV140" s="646"/>
      <c r="BW140" s="646"/>
      <c r="BX140" s="646"/>
      <c r="BY140" s="646"/>
      <c r="BZ140" s="309">
        <v>52</v>
      </c>
      <c r="CA140" s="309" t="s">
        <v>758</v>
      </c>
      <c r="CB140" s="309">
        <v>0</v>
      </c>
      <c r="CC140" s="309" t="s">
        <v>760</v>
      </c>
      <c r="CD140" s="327">
        <v>0</v>
      </c>
      <c r="CE140" s="327">
        <v>1</v>
      </c>
      <c r="CF140" s="327">
        <v>0</v>
      </c>
      <c r="CG140" s="327">
        <v>0</v>
      </c>
      <c r="CH140" s="309" t="s">
        <v>173</v>
      </c>
      <c r="CI140" s="327">
        <v>0</v>
      </c>
      <c r="CJ140" s="327">
        <v>0.75</v>
      </c>
      <c r="CK140" s="327">
        <v>0.33</v>
      </c>
      <c r="CL140" s="327">
        <v>0.75</v>
      </c>
      <c r="CM140" s="327">
        <v>0.4</v>
      </c>
      <c r="CN140" s="424">
        <v>41</v>
      </c>
      <c r="CO140" s="424" t="s">
        <v>760</v>
      </c>
      <c r="CP140" s="424">
        <v>8</v>
      </c>
      <c r="CQ140" s="424" t="s">
        <v>758</v>
      </c>
      <c r="CR140" s="428">
        <v>0.62</v>
      </c>
      <c r="CS140" s="428">
        <v>0.31</v>
      </c>
      <c r="CT140" s="428">
        <v>0.08</v>
      </c>
      <c r="CU140" s="428">
        <v>0</v>
      </c>
      <c r="CV140" s="428">
        <v>0.55000000000000004</v>
      </c>
      <c r="CW140" s="428">
        <v>0.76</v>
      </c>
      <c r="CX140" s="428">
        <v>0.7</v>
      </c>
      <c r="CY140" s="428">
        <v>1</v>
      </c>
      <c r="CZ140" s="523">
        <v>0.66</v>
      </c>
      <c r="DA140" s="523">
        <v>0.75</v>
      </c>
      <c r="DB140" s="613"/>
      <c r="DC140" s="613"/>
      <c r="DD140" s="613"/>
      <c r="DE140" s="613"/>
      <c r="DF140" s="658"/>
      <c r="DG140" s="658"/>
      <c r="DH140" s="658"/>
      <c r="DI140" s="658"/>
      <c r="DJ140" s="658"/>
      <c r="DK140" s="658"/>
      <c r="DL140" s="658"/>
      <c r="DM140" s="658"/>
      <c r="DN140" s="658"/>
      <c r="DO140" s="658"/>
      <c r="DT140" s="949"/>
      <c r="DU140" s="949"/>
      <c r="DV140" s="949"/>
      <c r="DW140" s="949"/>
      <c r="DX140" s="949"/>
      <c r="DY140" s="949"/>
      <c r="DZ140" s="949"/>
      <c r="EA140" s="949"/>
      <c r="EB140" s="949"/>
      <c r="EC140" s="949"/>
      <c r="ED140" s="922"/>
      <c r="EE140" s="803" t="s">
        <v>129</v>
      </c>
    </row>
    <row r="141" spans="1:135" ht="24.95" customHeight="1" x14ac:dyDescent="0.2">
      <c r="A141" s="803" t="s">
        <v>806</v>
      </c>
      <c r="B141" s="1" t="s">
        <v>123</v>
      </c>
      <c r="C141" s="2">
        <v>4</v>
      </c>
      <c r="D141" s="12"/>
      <c r="E141" s="12"/>
      <c r="F141" s="12"/>
      <c r="G141" s="12"/>
      <c r="H141" s="12"/>
      <c r="I141" s="12"/>
      <c r="J141" s="12"/>
      <c r="K141" s="12"/>
      <c r="L141" s="12"/>
      <c r="M141" s="12"/>
      <c r="N141" s="12"/>
      <c r="O141" s="12"/>
      <c r="P141" s="12"/>
      <c r="Q141" s="12"/>
      <c r="R141" s="61"/>
      <c r="S141" s="61"/>
      <c r="T141" s="61"/>
      <c r="U141" s="61"/>
      <c r="V141" s="61"/>
      <c r="W141" s="61"/>
      <c r="X141" s="61"/>
      <c r="Y141" s="61"/>
      <c r="Z141" s="61"/>
      <c r="AA141" s="61"/>
      <c r="AB141" s="12"/>
      <c r="AC141" s="12"/>
      <c r="AD141" s="2"/>
      <c r="AE141" s="2"/>
      <c r="AF141" s="2"/>
      <c r="AG141" s="2"/>
      <c r="AH141" s="2"/>
      <c r="AI141" s="2"/>
      <c r="AJ141" s="2"/>
      <c r="AK141" s="2"/>
      <c r="AL141" s="2"/>
      <c r="AM141" s="2"/>
      <c r="AN141" s="12"/>
      <c r="AO141" s="12"/>
      <c r="AP141" s="2"/>
      <c r="AQ141" s="2"/>
      <c r="AR141" s="2"/>
      <c r="AS141" s="2"/>
      <c r="AT141" s="2"/>
      <c r="AU141" s="2"/>
      <c r="AV141" s="2"/>
      <c r="AW141" s="2"/>
      <c r="AX141" s="2"/>
      <c r="AY141" s="2"/>
      <c r="AZ141" s="35"/>
      <c r="BA141" s="35"/>
      <c r="BB141" s="40"/>
      <c r="BC141" s="40"/>
      <c r="BD141" s="40"/>
      <c r="BE141" s="40"/>
      <c r="BF141" s="40"/>
      <c r="BG141" s="40"/>
      <c r="BH141" s="40"/>
      <c r="BI141" s="40"/>
      <c r="BJ141" s="40"/>
      <c r="BK141" s="40"/>
      <c r="BZ141" s="309">
        <v>43</v>
      </c>
      <c r="CA141" s="309" t="s">
        <v>758</v>
      </c>
      <c r="CB141" s="309">
        <v>10</v>
      </c>
      <c r="CC141" s="309" t="s">
        <v>758</v>
      </c>
      <c r="CD141" s="327">
        <v>0.53</v>
      </c>
      <c r="CE141" s="327">
        <v>0.4</v>
      </c>
      <c r="CF141" s="327">
        <v>7.0000000000000007E-2</v>
      </c>
      <c r="CG141" s="327">
        <v>0</v>
      </c>
      <c r="CH141" s="327">
        <v>0.57999999999999996</v>
      </c>
      <c r="CI141" s="327">
        <v>0.6</v>
      </c>
      <c r="CJ141" s="327">
        <v>0.56000000000000005</v>
      </c>
      <c r="CK141" s="327">
        <v>0.75</v>
      </c>
      <c r="CL141" s="327">
        <v>0.5</v>
      </c>
      <c r="CM141" s="327">
        <v>0.53</v>
      </c>
      <c r="CN141" s="424">
        <v>40</v>
      </c>
      <c r="CO141" s="424" t="s">
        <v>760</v>
      </c>
      <c r="CP141" s="424">
        <v>8</v>
      </c>
      <c r="CQ141" s="424" t="s">
        <v>758</v>
      </c>
      <c r="CR141" s="428">
        <v>0.54</v>
      </c>
      <c r="CS141" s="428">
        <v>0.46</v>
      </c>
      <c r="CT141" s="428">
        <v>0</v>
      </c>
      <c r="CU141" s="428">
        <v>0</v>
      </c>
      <c r="CV141" s="428">
        <v>0.45</v>
      </c>
      <c r="CW141" s="428">
        <v>0.72</v>
      </c>
      <c r="CX141" s="428">
        <v>0.73</v>
      </c>
      <c r="CY141" s="428">
        <v>0.8</v>
      </c>
      <c r="CZ141" s="523">
        <v>0.57999999999999996</v>
      </c>
      <c r="DA141" s="523">
        <v>0.71</v>
      </c>
      <c r="DB141" s="526"/>
      <c r="DC141" s="526"/>
      <c r="DD141" s="526"/>
      <c r="DE141" s="526"/>
      <c r="DF141" s="523"/>
      <c r="DG141" s="523"/>
      <c r="DH141" s="523"/>
      <c r="DI141" s="523"/>
      <c r="DJ141" s="523"/>
      <c r="DK141" s="523"/>
      <c r="DL141" s="523"/>
      <c r="DM141" s="523"/>
      <c r="DN141" s="523"/>
      <c r="DO141" s="523"/>
      <c r="DT141" s="949"/>
      <c r="DU141" s="949"/>
      <c r="DV141" s="949"/>
      <c r="DW141" s="949"/>
      <c r="DX141" s="949"/>
      <c r="DY141" s="949"/>
      <c r="DZ141" s="949"/>
      <c r="EA141" s="949"/>
      <c r="EB141" s="949"/>
      <c r="EC141" s="949"/>
      <c r="ED141" s="922"/>
      <c r="EE141" s="803" t="s">
        <v>806</v>
      </c>
    </row>
    <row r="142" spans="1:135" ht="24.95" customHeight="1" x14ac:dyDescent="0.2">
      <c r="A142" s="804" t="s">
        <v>87</v>
      </c>
      <c r="B142" s="1" t="s">
        <v>123</v>
      </c>
      <c r="C142" s="309">
        <v>5</v>
      </c>
      <c r="D142" s="328">
        <v>52</v>
      </c>
      <c r="E142" s="328">
        <v>12</v>
      </c>
      <c r="F142" s="327">
        <v>0</v>
      </c>
      <c r="G142" s="327">
        <v>0.67</v>
      </c>
      <c r="H142" s="327">
        <v>0.33</v>
      </c>
      <c r="I142" s="327">
        <v>0</v>
      </c>
      <c r="J142" s="327">
        <v>0.52</v>
      </c>
      <c r="K142" s="327">
        <v>0.37</v>
      </c>
      <c r="L142" s="327">
        <v>0.67</v>
      </c>
      <c r="M142" s="327">
        <v>0.48</v>
      </c>
      <c r="N142" s="327">
        <v>0.48</v>
      </c>
      <c r="O142" s="327">
        <v>0.33</v>
      </c>
      <c r="P142" s="328">
        <v>52</v>
      </c>
      <c r="Q142" s="328">
        <v>12</v>
      </c>
      <c r="R142" s="330">
        <v>0.17</v>
      </c>
      <c r="S142" s="330">
        <v>0.57999999999999996</v>
      </c>
      <c r="T142" s="330">
        <v>0.08</v>
      </c>
      <c r="U142" s="330">
        <v>0.17</v>
      </c>
      <c r="V142" s="330">
        <v>0.43</v>
      </c>
      <c r="W142" s="330">
        <v>0.45</v>
      </c>
      <c r="X142" s="330">
        <v>0.48</v>
      </c>
      <c r="Y142" s="330">
        <v>0.4</v>
      </c>
      <c r="Z142" s="330">
        <v>0.42</v>
      </c>
      <c r="AA142" s="330">
        <v>0.49</v>
      </c>
      <c r="AB142" s="328">
        <v>50</v>
      </c>
      <c r="AC142" s="328">
        <v>8</v>
      </c>
      <c r="AD142" s="327">
        <v>0</v>
      </c>
      <c r="AE142" s="327">
        <v>0.5</v>
      </c>
      <c r="AF142" s="327">
        <v>0.5</v>
      </c>
      <c r="AG142" s="327">
        <v>0</v>
      </c>
      <c r="AH142" s="327">
        <v>0.64</v>
      </c>
      <c r="AI142" s="327">
        <v>0.69</v>
      </c>
      <c r="AJ142" s="327">
        <v>0.35</v>
      </c>
      <c r="AK142" s="327">
        <v>0.32</v>
      </c>
      <c r="AL142" s="327">
        <v>0.43</v>
      </c>
      <c r="AM142" s="327">
        <v>0.71</v>
      </c>
      <c r="AN142" s="328">
        <v>43</v>
      </c>
      <c r="AO142" s="328">
        <v>6</v>
      </c>
      <c r="AP142" s="327">
        <v>0.2</v>
      </c>
      <c r="AQ142" s="327">
        <v>0.8</v>
      </c>
      <c r="AR142" s="327">
        <v>0</v>
      </c>
      <c r="AS142" s="327">
        <v>0</v>
      </c>
      <c r="AT142" s="327">
        <v>0.47</v>
      </c>
      <c r="AU142" s="327">
        <v>0.56000000000000005</v>
      </c>
      <c r="AV142" s="327">
        <v>0.52</v>
      </c>
      <c r="AW142" s="327">
        <v>0.64</v>
      </c>
      <c r="AX142" s="327">
        <v>0.53</v>
      </c>
      <c r="AY142" s="327">
        <v>0.68</v>
      </c>
      <c r="AZ142" s="311">
        <v>58</v>
      </c>
      <c r="BA142" s="311">
        <v>5</v>
      </c>
      <c r="BB142" s="331">
        <v>0</v>
      </c>
      <c r="BC142" s="331">
        <v>0.33</v>
      </c>
      <c r="BD142" s="331">
        <v>0.67</v>
      </c>
      <c r="BE142" s="331">
        <v>0</v>
      </c>
      <c r="BF142" s="331">
        <v>0.11</v>
      </c>
      <c r="BG142" s="331">
        <v>0.39</v>
      </c>
      <c r="BH142" s="331">
        <v>0.28999999999999998</v>
      </c>
      <c r="BI142" s="331">
        <v>0.22</v>
      </c>
      <c r="BJ142" s="331">
        <v>0.3</v>
      </c>
      <c r="BK142" s="331">
        <v>0.33</v>
      </c>
      <c r="BL142" s="647">
        <v>55</v>
      </c>
      <c r="BM142" s="647" t="s">
        <v>758</v>
      </c>
      <c r="BN142" s="647">
        <v>5</v>
      </c>
      <c r="BO142" s="647" t="s">
        <v>760</v>
      </c>
      <c r="BP142" s="648">
        <v>0</v>
      </c>
      <c r="BQ142" s="648">
        <v>0.5</v>
      </c>
      <c r="BR142" s="648">
        <v>0.5</v>
      </c>
      <c r="BS142" s="648">
        <v>0</v>
      </c>
      <c r="BT142" s="648">
        <v>0.22</v>
      </c>
      <c r="BU142" s="648">
        <v>0.35</v>
      </c>
      <c r="BV142" s="648">
        <v>0.33</v>
      </c>
      <c r="BW142" s="648">
        <v>0.39</v>
      </c>
      <c r="BX142" s="648">
        <v>0.41</v>
      </c>
      <c r="BY142" s="648">
        <v>0.5</v>
      </c>
      <c r="BZ142" s="309">
        <v>47</v>
      </c>
      <c r="CA142" s="309" t="s">
        <v>758</v>
      </c>
      <c r="CB142" s="309">
        <v>7</v>
      </c>
      <c r="CC142" s="309" t="s">
        <v>760</v>
      </c>
      <c r="CD142" s="327">
        <v>0.25</v>
      </c>
      <c r="CE142" s="327">
        <v>0.75</v>
      </c>
      <c r="CF142" s="327">
        <v>0</v>
      </c>
      <c r="CG142" s="327">
        <v>0</v>
      </c>
      <c r="CH142" s="327">
        <v>0.75</v>
      </c>
      <c r="CI142" s="327">
        <v>0.43</v>
      </c>
      <c r="CJ142" s="327">
        <v>0.47</v>
      </c>
      <c r="CK142" s="327">
        <v>0.63</v>
      </c>
      <c r="CL142" s="327">
        <v>0.5</v>
      </c>
      <c r="CM142" s="327">
        <v>0.31</v>
      </c>
      <c r="CN142" s="424">
        <v>52</v>
      </c>
      <c r="CO142" s="424" t="s">
        <v>758</v>
      </c>
      <c r="CP142" s="424">
        <v>11</v>
      </c>
      <c r="CQ142" s="424" t="s">
        <v>758</v>
      </c>
      <c r="CR142" s="428">
        <v>0</v>
      </c>
      <c r="CS142" s="428">
        <v>0.5</v>
      </c>
      <c r="CT142" s="428">
        <v>0.5</v>
      </c>
      <c r="CU142" s="428">
        <v>0</v>
      </c>
      <c r="CV142" s="428">
        <v>0.4</v>
      </c>
      <c r="CW142" s="428">
        <v>0.5</v>
      </c>
      <c r="CX142" s="428">
        <v>0.45</v>
      </c>
      <c r="CY142" s="428">
        <v>0.67</v>
      </c>
      <c r="CZ142" s="523">
        <v>0.45</v>
      </c>
      <c r="DA142" s="523">
        <v>0.33</v>
      </c>
      <c r="DB142" s="612">
        <v>46</v>
      </c>
      <c r="DC142" s="612" t="s">
        <v>758</v>
      </c>
      <c r="DD142" s="612">
        <v>7</v>
      </c>
      <c r="DE142" s="612" t="s">
        <v>760</v>
      </c>
      <c r="DF142" s="663">
        <v>0.14000000000000001</v>
      </c>
      <c r="DG142" s="663">
        <v>0.71</v>
      </c>
      <c r="DH142" s="663">
        <v>0.14000000000000001</v>
      </c>
      <c r="DI142" s="663">
        <v>0</v>
      </c>
      <c r="DJ142" s="663">
        <v>0.52</v>
      </c>
      <c r="DK142" s="663">
        <v>0.71</v>
      </c>
      <c r="DL142" s="663">
        <v>0.56999999999999995</v>
      </c>
      <c r="DM142" s="663">
        <v>0.75</v>
      </c>
      <c r="DN142" s="663">
        <v>0.76</v>
      </c>
      <c r="DO142" s="663">
        <v>0.5</v>
      </c>
      <c r="DP142" s="902">
        <v>43</v>
      </c>
      <c r="DQ142" s="902" t="s">
        <v>758</v>
      </c>
      <c r="DR142" s="902">
        <v>10</v>
      </c>
      <c r="DS142" s="902" t="s">
        <v>758</v>
      </c>
      <c r="DT142" s="949">
        <v>0.6</v>
      </c>
      <c r="DU142" s="949">
        <v>0.3</v>
      </c>
      <c r="DV142" s="949">
        <v>0.1</v>
      </c>
      <c r="DW142" s="949">
        <v>0</v>
      </c>
      <c r="DX142" s="949">
        <v>0.69</v>
      </c>
      <c r="DY142" s="949">
        <v>0.57999999999999996</v>
      </c>
      <c r="DZ142" s="949">
        <v>1</v>
      </c>
      <c r="EA142" s="949">
        <v>0.63</v>
      </c>
      <c r="EB142" s="949">
        <v>0.66</v>
      </c>
      <c r="EC142" s="949">
        <v>0.48</v>
      </c>
      <c r="ED142" s="922">
        <v>325754004173</v>
      </c>
      <c r="EE142" s="804" t="s">
        <v>87</v>
      </c>
    </row>
    <row r="143" spans="1:135" ht="24.95" customHeight="1" x14ac:dyDescent="0.2">
      <c r="A143" s="803" t="s">
        <v>135</v>
      </c>
      <c r="B143" s="1" t="s">
        <v>123</v>
      </c>
      <c r="C143" s="2">
        <v>2</v>
      </c>
      <c r="D143" s="12"/>
      <c r="E143" s="12"/>
      <c r="F143" s="12"/>
      <c r="G143" s="12"/>
      <c r="H143" s="12"/>
      <c r="I143" s="12"/>
      <c r="J143" s="12"/>
      <c r="K143" s="12"/>
      <c r="L143" s="12"/>
      <c r="M143" s="12"/>
      <c r="N143" s="12"/>
      <c r="O143" s="12"/>
      <c r="P143" s="12" t="s">
        <v>126</v>
      </c>
      <c r="Q143" s="12" t="s">
        <v>126</v>
      </c>
      <c r="R143" s="61"/>
      <c r="S143" s="61"/>
      <c r="T143" s="61"/>
      <c r="U143" s="61"/>
      <c r="V143" s="61"/>
      <c r="W143" s="61"/>
      <c r="X143" s="61"/>
      <c r="Y143" s="61"/>
      <c r="Z143" s="61"/>
      <c r="AA143" s="61"/>
      <c r="AB143" s="12" t="s">
        <v>126</v>
      </c>
      <c r="AC143" s="12" t="s">
        <v>126</v>
      </c>
      <c r="AD143" s="2"/>
      <c r="AE143" s="2"/>
      <c r="AF143" s="2"/>
      <c r="AG143" s="2"/>
      <c r="AH143" s="2"/>
      <c r="AI143" s="2"/>
      <c r="AJ143" s="2"/>
      <c r="AK143" s="2"/>
      <c r="AL143" s="2"/>
      <c r="AM143" s="2"/>
      <c r="AN143" s="12">
        <v>49</v>
      </c>
      <c r="AO143" s="12">
        <v>5</v>
      </c>
      <c r="AP143" s="63">
        <v>0</v>
      </c>
      <c r="AQ143" s="63">
        <v>0.83</v>
      </c>
      <c r="AR143" s="63">
        <v>0.17</v>
      </c>
      <c r="AS143" s="63">
        <v>0</v>
      </c>
      <c r="AT143" s="63">
        <v>0.44</v>
      </c>
      <c r="AU143" s="63">
        <v>0.28999999999999998</v>
      </c>
      <c r="AV143" s="63">
        <v>0.38</v>
      </c>
      <c r="AW143" s="63">
        <v>0.4</v>
      </c>
      <c r="AX143" s="63">
        <v>0.42</v>
      </c>
      <c r="AY143" s="63">
        <v>0.56000000000000005</v>
      </c>
      <c r="AZ143" s="35">
        <v>53</v>
      </c>
      <c r="BA143" s="35">
        <v>12</v>
      </c>
      <c r="BB143" s="40">
        <v>0</v>
      </c>
      <c r="BC143" s="40">
        <v>0.67</v>
      </c>
      <c r="BD143" s="40">
        <v>0.33</v>
      </c>
      <c r="BE143" s="40">
        <v>0</v>
      </c>
      <c r="BF143" s="40">
        <v>0.28999999999999998</v>
      </c>
      <c r="BG143" s="40">
        <v>0.39</v>
      </c>
      <c r="BH143" s="40">
        <v>0.5</v>
      </c>
      <c r="BI143" s="40">
        <v>0.56000000000000005</v>
      </c>
      <c r="BJ143" s="40">
        <v>0.38</v>
      </c>
      <c r="BK143" s="40">
        <v>0.31</v>
      </c>
      <c r="BL143" s="246">
        <v>47</v>
      </c>
      <c r="BM143" s="246" t="s">
        <v>758</v>
      </c>
      <c r="BN143" s="246">
        <v>12</v>
      </c>
      <c r="BO143" s="246" t="s">
        <v>758</v>
      </c>
      <c r="BP143" s="263">
        <v>0.28999999999999998</v>
      </c>
      <c r="BQ143" s="263">
        <v>0.43</v>
      </c>
      <c r="BR143" s="263">
        <v>0.28999999999999998</v>
      </c>
      <c r="BS143" s="263">
        <v>0</v>
      </c>
      <c r="BT143" s="263">
        <v>0.52</v>
      </c>
      <c r="BU143" s="263">
        <v>0.47</v>
      </c>
      <c r="BV143" s="263">
        <v>0.86</v>
      </c>
      <c r="BW143" s="263">
        <v>0.48</v>
      </c>
      <c r="BX143" s="263">
        <v>0.45</v>
      </c>
      <c r="BY143" s="263">
        <v>0.59</v>
      </c>
      <c r="BZ143" s="309">
        <v>47</v>
      </c>
      <c r="CA143" s="309" t="s">
        <v>758</v>
      </c>
      <c r="CB143" s="309">
        <v>8</v>
      </c>
      <c r="CC143" s="309" t="s">
        <v>758</v>
      </c>
      <c r="CD143" s="327">
        <v>0.19</v>
      </c>
      <c r="CE143" s="327">
        <v>0.62</v>
      </c>
      <c r="CF143" s="327">
        <v>0.19</v>
      </c>
      <c r="CG143" s="327">
        <v>0</v>
      </c>
      <c r="CH143" s="327">
        <v>0.51</v>
      </c>
      <c r="CI143" s="327">
        <v>0.5</v>
      </c>
      <c r="CJ143" s="327">
        <v>0.65</v>
      </c>
      <c r="CK143" s="327">
        <v>0.67</v>
      </c>
      <c r="CL143" s="327">
        <v>0.47</v>
      </c>
      <c r="CM143" s="327">
        <v>0.65</v>
      </c>
      <c r="CN143" s="424">
        <v>46</v>
      </c>
      <c r="CO143" s="424" t="s">
        <v>758</v>
      </c>
      <c r="CP143" s="424">
        <v>10</v>
      </c>
      <c r="CQ143" s="424" t="s">
        <v>758</v>
      </c>
      <c r="CR143" s="428">
        <v>0.32</v>
      </c>
      <c r="CS143" s="428">
        <v>0.53</v>
      </c>
      <c r="CT143" s="428">
        <v>0.16</v>
      </c>
      <c r="CU143" s="428">
        <v>0</v>
      </c>
      <c r="CV143" s="428">
        <v>0.41</v>
      </c>
      <c r="CW143" s="428">
        <v>0.6</v>
      </c>
      <c r="CX143" s="428">
        <v>0.64</v>
      </c>
      <c r="CY143" s="428">
        <v>0.9</v>
      </c>
      <c r="CZ143" s="523">
        <v>0.6</v>
      </c>
      <c r="DA143" s="523">
        <v>0.7</v>
      </c>
      <c r="DB143" s="524">
        <v>45</v>
      </c>
      <c r="DC143" s="524" t="s">
        <v>758</v>
      </c>
      <c r="DD143" s="524">
        <v>7</v>
      </c>
      <c r="DE143" s="524" t="s">
        <v>760</v>
      </c>
      <c r="DF143" s="525">
        <v>0.33</v>
      </c>
      <c r="DG143" s="525">
        <v>0.57999999999999996</v>
      </c>
      <c r="DH143" s="525">
        <v>0.08</v>
      </c>
      <c r="DI143" s="525">
        <v>0</v>
      </c>
      <c r="DJ143" s="525">
        <v>0.67</v>
      </c>
      <c r="DK143" s="525">
        <v>0.67</v>
      </c>
      <c r="DL143" s="525">
        <v>0.56999999999999995</v>
      </c>
      <c r="DM143" s="525">
        <v>0.59</v>
      </c>
      <c r="DN143" s="525">
        <v>0.64</v>
      </c>
      <c r="DO143" s="525">
        <v>1</v>
      </c>
      <c r="DP143" s="902">
        <v>44</v>
      </c>
      <c r="DQ143" s="902" t="s">
        <v>758</v>
      </c>
      <c r="DR143" s="902">
        <v>9</v>
      </c>
      <c r="DS143" s="902" t="s">
        <v>758</v>
      </c>
      <c r="DT143" s="949">
        <v>0.5</v>
      </c>
      <c r="DU143" s="949">
        <v>0.38</v>
      </c>
      <c r="DV143" s="949">
        <v>0.13</v>
      </c>
      <c r="DW143" s="949">
        <v>0</v>
      </c>
      <c r="DX143" s="949">
        <v>0.56999999999999995</v>
      </c>
      <c r="DY143" s="949">
        <v>0.5</v>
      </c>
      <c r="DZ143" s="949">
        <v>0.67</v>
      </c>
      <c r="EA143" s="949">
        <v>0.63</v>
      </c>
      <c r="EB143" s="949">
        <v>0.57999999999999996</v>
      </c>
      <c r="EC143" s="949">
        <v>0.7</v>
      </c>
      <c r="ED143" s="922">
        <v>325754000968</v>
      </c>
      <c r="EE143" s="803" t="s">
        <v>135</v>
      </c>
    </row>
    <row r="144" spans="1:135" ht="24.95" customHeight="1" x14ac:dyDescent="0.2">
      <c r="A144" s="803" t="s">
        <v>81</v>
      </c>
      <c r="B144" s="1" t="s">
        <v>123</v>
      </c>
      <c r="C144" s="2">
        <v>2</v>
      </c>
      <c r="D144" s="12">
        <v>52</v>
      </c>
      <c r="E144" s="12">
        <v>9</v>
      </c>
      <c r="F144" s="63">
        <v>0.14000000000000001</v>
      </c>
      <c r="G144" s="63">
        <v>0.56999999999999995</v>
      </c>
      <c r="H144" s="63">
        <v>0.28999999999999998</v>
      </c>
      <c r="I144" s="63">
        <v>0</v>
      </c>
      <c r="J144" s="63">
        <v>0.54</v>
      </c>
      <c r="K144" s="63">
        <v>0.56000000000000005</v>
      </c>
      <c r="L144" s="63">
        <v>0.61</v>
      </c>
      <c r="M144" s="63">
        <v>0.47</v>
      </c>
      <c r="N144" s="63">
        <v>0.43</v>
      </c>
      <c r="O144" s="63">
        <v>0.46</v>
      </c>
      <c r="P144" s="12">
        <v>57</v>
      </c>
      <c r="Q144" s="12">
        <v>8</v>
      </c>
      <c r="R144" s="61">
        <v>0.03</v>
      </c>
      <c r="S144" s="61">
        <v>0.44</v>
      </c>
      <c r="T144" s="61">
        <v>0.54</v>
      </c>
      <c r="U144" s="61">
        <v>0</v>
      </c>
      <c r="V144" s="61">
        <v>0.3</v>
      </c>
      <c r="W144" s="61">
        <v>0.36</v>
      </c>
      <c r="X144" s="61">
        <v>0.51</v>
      </c>
      <c r="Y144" s="61">
        <v>0.41</v>
      </c>
      <c r="Z144" s="61">
        <v>0.34</v>
      </c>
      <c r="AA144" s="61">
        <v>0.39</v>
      </c>
      <c r="AB144" s="12">
        <v>52</v>
      </c>
      <c r="AC144" s="12">
        <v>11</v>
      </c>
      <c r="AD144" s="63">
        <v>0.2</v>
      </c>
      <c r="AE144" s="63">
        <v>0.43</v>
      </c>
      <c r="AF144" s="63">
        <v>0.33</v>
      </c>
      <c r="AG144" s="63">
        <v>0.04</v>
      </c>
      <c r="AH144" s="63">
        <v>0.39</v>
      </c>
      <c r="AI144" s="63">
        <v>0.35</v>
      </c>
      <c r="AJ144" s="63">
        <v>0.35</v>
      </c>
      <c r="AK144" s="63">
        <v>0.5</v>
      </c>
      <c r="AL144" s="63">
        <v>0.5</v>
      </c>
      <c r="AM144" s="63">
        <v>0.49</v>
      </c>
      <c r="AN144" s="12">
        <v>50</v>
      </c>
      <c r="AO144" s="12">
        <v>9</v>
      </c>
      <c r="AP144" s="63">
        <v>0.14000000000000001</v>
      </c>
      <c r="AQ144" s="63">
        <v>0.59</v>
      </c>
      <c r="AR144" s="63">
        <v>0.27</v>
      </c>
      <c r="AS144" s="63">
        <v>0</v>
      </c>
      <c r="AT144" s="63">
        <v>0.5</v>
      </c>
      <c r="AU144" s="63">
        <v>0.39</v>
      </c>
      <c r="AV144" s="63">
        <v>0.44</v>
      </c>
      <c r="AW144" s="63">
        <v>0.42</v>
      </c>
      <c r="AX144" s="63">
        <v>0.45</v>
      </c>
      <c r="AY144" s="63">
        <v>0.46</v>
      </c>
      <c r="AZ144" s="35">
        <v>54</v>
      </c>
      <c r="BA144" s="35">
        <v>11</v>
      </c>
      <c r="BB144" s="40">
        <v>0.11</v>
      </c>
      <c r="BC144" s="40">
        <v>0.46</v>
      </c>
      <c r="BD144" s="40">
        <v>0.34</v>
      </c>
      <c r="BE144" s="40">
        <v>0.09</v>
      </c>
      <c r="BF144" s="40">
        <v>0.34</v>
      </c>
      <c r="BG144" s="40">
        <v>0.43</v>
      </c>
      <c r="BH144" s="40">
        <v>0.39</v>
      </c>
      <c r="BI144" s="40">
        <v>0.46</v>
      </c>
      <c r="BJ144" s="40">
        <v>0.34</v>
      </c>
      <c r="BK144" s="40">
        <v>0.32</v>
      </c>
      <c r="BL144" s="246">
        <v>51</v>
      </c>
      <c r="BM144" s="246" t="s">
        <v>758</v>
      </c>
      <c r="BN144" s="246">
        <v>10</v>
      </c>
      <c r="BO144" s="246" t="s">
        <v>758</v>
      </c>
      <c r="BP144" s="263">
        <v>0.24</v>
      </c>
      <c r="BQ144" s="263">
        <v>0.36</v>
      </c>
      <c r="BR144" s="263">
        <v>0.41</v>
      </c>
      <c r="BS144" s="263">
        <v>0</v>
      </c>
      <c r="BT144" s="263">
        <v>0.47</v>
      </c>
      <c r="BU144" s="263">
        <v>0.44</v>
      </c>
      <c r="BV144" s="263">
        <v>0.62</v>
      </c>
      <c r="BW144" s="263">
        <v>0.42</v>
      </c>
      <c r="BX144" s="263">
        <v>0.42</v>
      </c>
      <c r="BY144" s="263">
        <v>0.49</v>
      </c>
      <c r="BZ144" s="309">
        <v>50</v>
      </c>
      <c r="CA144" s="309" t="s">
        <v>758</v>
      </c>
      <c r="CB144" s="309">
        <v>10</v>
      </c>
      <c r="CC144" s="309" t="s">
        <v>758</v>
      </c>
      <c r="CD144" s="327">
        <v>0.17</v>
      </c>
      <c r="CE144" s="327">
        <v>0.49</v>
      </c>
      <c r="CF144" s="327">
        <v>0.32</v>
      </c>
      <c r="CG144" s="327">
        <v>0.02</v>
      </c>
      <c r="CH144" s="327">
        <v>0.47</v>
      </c>
      <c r="CI144" s="327">
        <v>0.45</v>
      </c>
      <c r="CJ144" s="327">
        <v>0.56000000000000005</v>
      </c>
      <c r="CK144" s="327">
        <v>0.53</v>
      </c>
      <c r="CL144" s="327">
        <v>0.45</v>
      </c>
      <c r="CM144" s="327">
        <v>0.62</v>
      </c>
      <c r="CN144" s="424">
        <v>52</v>
      </c>
      <c r="CO144" s="424" t="s">
        <v>758</v>
      </c>
      <c r="CP144" s="424">
        <v>11</v>
      </c>
      <c r="CQ144" s="424" t="s">
        <v>758</v>
      </c>
      <c r="CR144" s="428">
        <v>0.15</v>
      </c>
      <c r="CS144" s="428">
        <v>0.5</v>
      </c>
      <c r="CT144" s="428">
        <v>0.34</v>
      </c>
      <c r="CU144" s="428">
        <v>0.02</v>
      </c>
      <c r="CV144" s="428">
        <v>0.37</v>
      </c>
      <c r="CW144" s="428">
        <v>0.5</v>
      </c>
      <c r="CX144" s="428">
        <v>0.53</v>
      </c>
      <c r="CY144" s="428">
        <v>0.68</v>
      </c>
      <c r="CZ144" s="523">
        <v>0.49</v>
      </c>
      <c r="DA144" s="523">
        <v>0.6</v>
      </c>
      <c r="DB144" s="524">
        <v>52</v>
      </c>
      <c r="DC144" s="524" t="s">
        <v>758</v>
      </c>
      <c r="DD144" s="524">
        <v>10</v>
      </c>
      <c r="DE144" s="524" t="s">
        <v>758</v>
      </c>
      <c r="DF144" s="525">
        <v>0.16</v>
      </c>
      <c r="DG144" s="525">
        <v>0.48</v>
      </c>
      <c r="DH144" s="525">
        <v>0.32</v>
      </c>
      <c r="DI144" s="525">
        <v>0.04</v>
      </c>
      <c r="DJ144" s="525">
        <v>0.46</v>
      </c>
      <c r="DK144" s="525">
        <v>0.46</v>
      </c>
      <c r="DL144" s="525">
        <v>0.48</v>
      </c>
      <c r="DM144" s="525">
        <v>0.63</v>
      </c>
      <c r="DN144" s="525">
        <v>0.52</v>
      </c>
      <c r="DO144" s="525">
        <v>0.27</v>
      </c>
      <c r="DP144" s="902">
        <v>52</v>
      </c>
      <c r="DQ144" s="902" t="s">
        <v>758</v>
      </c>
      <c r="DR144" s="902">
        <v>11</v>
      </c>
      <c r="DS144" s="902" t="s">
        <v>758</v>
      </c>
      <c r="DT144" s="949">
        <v>0.14000000000000001</v>
      </c>
      <c r="DU144" s="949">
        <v>0.47</v>
      </c>
      <c r="DV144" s="949">
        <v>0.36</v>
      </c>
      <c r="DW144" s="949">
        <v>0.03</v>
      </c>
      <c r="DX144" s="949">
        <v>0.48</v>
      </c>
      <c r="DY144" s="949">
        <v>0.38</v>
      </c>
      <c r="DZ144" s="949">
        <v>0.73</v>
      </c>
      <c r="EA144" s="949">
        <v>0.46</v>
      </c>
      <c r="EB144" s="949">
        <v>0.54</v>
      </c>
      <c r="EC144" s="949">
        <v>0.36</v>
      </c>
      <c r="ED144" s="922">
        <v>325754004530</v>
      </c>
      <c r="EE144" s="803" t="s">
        <v>81</v>
      </c>
    </row>
    <row r="145" spans="1:135" ht="24.95" customHeight="1" x14ac:dyDescent="0.2">
      <c r="A145" s="803" t="s">
        <v>114</v>
      </c>
      <c r="B145" s="1" t="s">
        <v>123</v>
      </c>
      <c r="C145" s="2">
        <v>1</v>
      </c>
      <c r="D145" s="12">
        <v>54</v>
      </c>
      <c r="E145" s="12">
        <v>7</v>
      </c>
      <c r="F145" s="63">
        <v>0</v>
      </c>
      <c r="G145" s="63">
        <v>0.64</v>
      </c>
      <c r="H145" s="63">
        <v>0.36</v>
      </c>
      <c r="I145" s="63">
        <v>0</v>
      </c>
      <c r="J145" s="63">
        <v>0.47</v>
      </c>
      <c r="K145" s="63">
        <v>0.45</v>
      </c>
      <c r="L145" s="63">
        <v>0.73</v>
      </c>
      <c r="M145" s="63">
        <v>0.38</v>
      </c>
      <c r="N145" s="63">
        <v>0.4</v>
      </c>
      <c r="O145" s="63">
        <v>0.28999999999999998</v>
      </c>
      <c r="P145" s="12">
        <v>52</v>
      </c>
      <c r="Q145" s="12">
        <v>8</v>
      </c>
      <c r="R145" s="61">
        <v>0.1</v>
      </c>
      <c r="S145" s="61">
        <v>0.56999999999999995</v>
      </c>
      <c r="T145" s="61">
        <v>0.33</v>
      </c>
      <c r="U145" s="61">
        <v>0</v>
      </c>
      <c r="V145" s="61">
        <v>0.39</v>
      </c>
      <c r="W145" s="61">
        <v>0.45</v>
      </c>
      <c r="X145" s="61">
        <v>0.49</v>
      </c>
      <c r="Y145" s="61">
        <v>0.43</v>
      </c>
      <c r="Z145" s="61">
        <v>0.43</v>
      </c>
      <c r="AA145" s="61">
        <v>0.51</v>
      </c>
      <c r="AB145" s="12">
        <v>53</v>
      </c>
      <c r="AC145" s="12">
        <v>14</v>
      </c>
      <c r="AD145" s="63">
        <v>0.13</v>
      </c>
      <c r="AE145" s="63">
        <v>0.5</v>
      </c>
      <c r="AF145" s="63">
        <v>0.25</v>
      </c>
      <c r="AG145" s="63">
        <v>0.13</v>
      </c>
      <c r="AH145" s="63">
        <v>0.38</v>
      </c>
      <c r="AI145" s="63">
        <v>0.45</v>
      </c>
      <c r="AJ145" s="63">
        <v>0.39</v>
      </c>
      <c r="AK145" s="63">
        <v>0.42</v>
      </c>
      <c r="AL145" s="63">
        <v>0.65</v>
      </c>
      <c r="AM145" s="63">
        <v>0.44</v>
      </c>
      <c r="AN145" s="12">
        <v>50</v>
      </c>
      <c r="AO145" s="12">
        <v>9</v>
      </c>
      <c r="AP145" s="63">
        <v>0.22</v>
      </c>
      <c r="AQ145" s="63">
        <v>0.5</v>
      </c>
      <c r="AR145" s="63">
        <v>0.28000000000000003</v>
      </c>
      <c r="AS145" s="63">
        <v>0</v>
      </c>
      <c r="AT145" s="63">
        <v>0.54</v>
      </c>
      <c r="AU145" s="63">
        <v>0.44</v>
      </c>
      <c r="AV145" s="63">
        <v>0.41</v>
      </c>
      <c r="AW145" s="63">
        <v>0.45</v>
      </c>
      <c r="AX145" s="63">
        <v>0.41</v>
      </c>
      <c r="AY145" s="63">
        <v>0.47</v>
      </c>
      <c r="AZ145" s="35">
        <v>56</v>
      </c>
      <c r="BA145" s="35">
        <v>11</v>
      </c>
      <c r="BB145" s="40">
        <v>0.16</v>
      </c>
      <c r="BC145" s="40">
        <v>0.24</v>
      </c>
      <c r="BD145" s="40">
        <v>0.52</v>
      </c>
      <c r="BE145" s="40">
        <v>0.08</v>
      </c>
      <c r="BF145" s="40">
        <v>0.38</v>
      </c>
      <c r="BG145" s="40">
        <v>0.39</v>
      </c>
      <c r="BH145" s="40">
        <v>0.38</v>
      </c>
      <c r="BI145" s="40">
        <v>0.47</v>
      </c>
      <c r="BJ145" s="40">
        <v>0.32</v>
      </c>
      <c r="BK145" s="40">
        <v>0.31</v>
      </c>
      <c r="BL145" s="246">
        <v>49</v>
      </c>
      <c r="BM145" s="246" t="s">
        <v>758</v>
      </c>
      <c r="BN145" s="246">
        <v>9</v>
      </c>
      <c r="BO145" s="246" t="s">
        <v>758</v>
      </c>
      <c r="BP145" s="263">
        <v>0.08</v>
      </c>
      <c r="BQ145" s="263">
        <v>0.71</v>
      </c>
      <c r="BR145" s="263">
        <v>0.21</v>
      </c>
      <c r="BS145" s="263">
        <v>0</v>
      </c>
      <c r="BT145" s="263">
        <v>0.4</v>
      </c>
      <c r="BU145" s="263">
        <v>0.44</v>
      </c>
      <c r="BV145" s="263">
        <v>0.6</v>
      </c>
      <c r="BW145" s="263">
        <v>0.46</v>
      </c>
      <c r="BX145" s="263">
        <v>0.49</v>
      </c>
      <c r="BY145" s="263">
        <v>0.52</v>
      </c>
      <c r="BZ145" s="309">
        <v>54</v>
      </c>
      <c r="CA145" s="309" t="s">
        <v>758</v>
      </c>
      <c r="CB145" s="309">
        <v>11</v>
      </c>
      <c r="CC145" s="309" t="s">
        <v>758</v>
      </c>
      <c r="CD145" s="327">
        <v>0.14000000000000001</v>
      </c>
      <c r="CE145" s="327">
        <v>0.28000000000000003</v>
      </c>
      <c r="CF145" s="327">
        <v>0.59</v>
      </c>
      <c r="CG145" s="327">
        <v>0</v>
      </c>
      <c r="CH145" s="327">
        <v>0.47</v>
      </c>
      <c r="CI145" s="327">
        <v>0.28999999999999998</v>
      </c>
      <c r="CJ145" s="327">
        <v>0.56000000000000005</v>
      </c>
      <c r="CK145" s="327">
        <v>0.48</v>
      </c>
      <c r="CL145" s="327">
        <v>0.39</v>
      </c>
      <c r="CM145" s="327">
        <v>0.53</v>
      </c>
      <c r="CN145" s="424">
        <v>53</v>
      </c>
      <c r="CO145" s="424" t="s">
        <v>758</v>
      </c>
      <c r="CP145" s="424">
        <v>10</v>
      </c>
      <c r="CQ145" s="424" t="s">
        <v>758</v>
      </c>
      <c r="CR145" s="428">
        <v>0.13</v>
      </c>
      <c r="CS145" s="428">
        <v>0.45</v>
      </c>
      <c r="CT145" s="428">
        <v>0.43</v>
      </c>
      <c r="CU145" s="428">
        <v>0</v>
      </c>
      <c r="CV145" s="428">
        <v>0.31</v>
      </c>
      <c r="CW145" s="428">
        <v>0.48</v>
      </c>
      <c r="CX145" s="428">
        <v>0.53</v>
      </c>
      <c r="CY145" s="428">
        <v>0.65</v>
      </c>
      <c r="CZ145" s="523">
        <v>0.42</v>
      </c>
      <c r="DA145" s="523">
        <v>0.48</v>
      </c>
      <c r="DB145" s="524">
        <v>52</v>
      </c>
      <c r="DC145" s="524" t="s">
        <v>758</v>
      </c>
      <c r="DD145" s="524">
        <v>9</v>
      </c>
      <c r="DE145" s="524" t="s">
        <v>758</v>
      </c>
      <c r="DF145" s="525">
        <v>0.1</v>
      </c>
      <c r="DG145" s="525">
        <v>0.45</v>
      </c>
      <c r="DH145" s="525">
        <v>0.45</v>
      </c>
      <c r="DI145" s="525">
        <v>0</v>
      </c>
      <c r="DJ145" s="525">
        <v>0.48</v>
      </c>
      <c r="DK145" s="525">
        <v>0.36</v>
      </c>
      <c r="DL145" s="525">
        <v>0.45</v>
      </c>
      <c r="DM145" s="525">
        <v>0.63</v>
      </c>
      <c r="DN145" s="525">
        <v>0.55000000000000004</v>
      </c>
      <c r="DO145" s="525">
        <v>0.31</v>
      </c>
      <c r="DP145" s="902">
        <v>50</v>
      </c>
      <c r="DQ145" s="902" t="s">
        <v>758</v>
      </c>
      <c r="DR145" s="902">
        <v>11</v>
      </c>
      <c r="DS145" s="902" t="s">
        <v>758</v>
      </c>
      <c r="DT145" s="949">
        <v>0.21</v>
      </c>
      <c r="DU145" s="949">
        <v>0.52</v>
      </c>
      <c r="DV145" s="949">
        <v>0.23</v>
      </c>
      <c r="DW145" s="949">
        <v>0.04</v>
      </c>
      <c r="DX145" s="949">
        <v>0.51</v>
      </c>
      <c r="DY145" s="949">
        <v>0.35</v>
      </c>
      <c r="DZ145" s="949">
        <v>0.79</v>
      </c>
      <c r="EA145" s="949">
        <v>0.54</v>
      </c>
      <c r="EB145" s="949">
        <v>0.56000000000000005</v>
      </c>
      <c r="EC145" s="949">
        <v>0.42</v>
      </c>
      <c r="ED145" s="922">
        <v>325754003134</v>
      </c>
      <c r="EE145" s="803" t="s">
        <v>114</v>
      </c>
    </row>
    <row r="146" spans="1:135" ht="24.95" customHeight="1" x14ac:dyDescent="0.2">
      <c r="A146" s="803" t="s">
        <v>42</v>
      </c>
      <c r="B146" s="1" t="s">
        <v>123</v>
      </c>
      <c r="C146" s="2">
        <v>1</v>
      </c>
      <c r="D146" s="12">
        <v>52</v>
      </c>
      <c r="E146" s="12">
        <v>9</v>
      </c>
      <c r="F146" s="63">
        <v>0.12</v>
      </c>
      <c r="G146" s="63">
        <v>0.52</v>
      </c>
      <c r="H146" s="63">
        <v>0.36</v>
      </c>
      <c r="I146" s="63">
        <v>0</v>
      </c>
      <c r="J146" s="63">
        <v>0.54</v>
      </c>
      <c r="K146" s="63">
        <v>0.49</v>
      </c>
      <c r="L146" s="63">
        <v>0.62</v>
      </c>
      <c r="M146" s="63">
        <v>0.4</v>
      </c>
      <c r="N146" s="63">
        <v>0.41</v>
      </c>
      <c r="O146" s="63">
        <v>0.61</v>
      </c>
      <c r="P146" s="12">
        <v>55</v>
      </c>
      <c r="Q146" s="12">
        <v>10</v>
      </c>
      <c r="R146" s="61">
        <v>0.05</v>
      </c>
      <c r="S146" s="61">
        <v>0.46</v>
      </c>
      <c r="T146" s="61">
        <v>0.44</v>
      </c>
      <c r="U146" s="61">
        <v>0.05</v>
      </c>
      <c r="V146" s="61">
        <v>0.38</v>
      </c>
      <c r="W146" s="61">
        <v>0.4</v>
      </c>
      <c r="X146" s="61">
        <v>0.51</v>
      </c>
      <c r="Y146" s="61">
        <v>0.39</v>
      </c>
      <c r="Z146" s="61">
        <v>0.34</v>
      </c>
      <c r="AA146" s="61">
        <v>0.4</v>
      </c>
      <c r="AB146" s="12">
        <v>51</v>
      </c>
      <c r="AC146" s="12">
        <v>10</v>
      </c>
      <c r="AD146" s="63">
        <v>0.12</v>
      </c>
      <c r="AE146" s="63">
        <v>0.52</v>
      </c>
      <c r="AF146" s="63">
        <v>0.33</v>
      </c>
      <c r="AG146" s="63">
        <v>0.03</v>
      </c>
      <c r="AH146" s="63">
        <v>0.41</v>
      </c>
      <c r="AI146" s="63">
        <v>0.39</v>
      </c>
      <c r="AJ146" s="63">
        <v>0.38</v>
      </c>
      <c r="AK146" s="63">
        <v>0.48</v>
      </c>
      <c r="AL146" s="63">
        <v>0.52</v>
      </c>
      <c r="AM146" s="63">
        <v>0.47</v>
      </c>
      <c r="AN146" s="12">
        <v>51</v>
      </c>
      <c r="AO146" s="12">
        <v>10</v>
      </c>
      <c r="AP146" s="63">
        <v>0.15</v>
      </c>
      <c r="AQ146" s="63">
        <v>0.5</v>
      </c>
      <c r="AR146" s="63">
        <v>0.34</v>
      </c>
      <c r="AS146" s="63">
        <v>0.01</v>
      </c>
      <c r="AT146" s="63">
        <v>0.51</v>
      </c>
      <c r="AU146" s="63">
        <v>0.45</v>
      </c>
      <c r="AV146" s="63">
        <v>0.41</v>
      </c>
      <c r="AW146" s="63">
        <v>0.45</v>
      </c>
      <c r="AX146" s="63">
        <v>0.43</v>
      </c>
      <c r="AY146" s="63">
        <v>0.44</v>
      </c>
      <c r="AZ146" s="35">
        <v>54</v>
      </c>
      <c r="BA146" s="35">
        <v>11</v>
      </c>
      <c r="BB146" s="40">
        <v>0.11</v>
      </c>
      <c r="BC146" s="40">
        <v>0.41</v>
      </c>
      <c r="BD146" s="40">
        <v>0.42</v>
      </c>
      <c r="BE146" s="40">
        <v>0.06</v>
      </c>
      <c r="BF146" s="40">
        <v>0.43</v>
      </c>
      <c r="BG146" s="40">
        <v>0.41</v>
      </c>
      <c r="BH146" s="40">
        <v>0.4</v>
      </c>
      <c r="BI146" s="40">
        <v>0.48</v>
      </c>
      <c r="BJ146" s="40">
        <v>0.34</v>
      </c>
      <c r="BK146" s="40">
        <v>0.32</v>
      </c>
      <c r="BL146" s="246">
        <v>52</v>
      </c>
      <c r="BM146" s="246" t="s">
        <v>758</v>
      </c>
      <c r="BN146" s="246">
        <v>11</v>
      </c>
      <c r="BO146" s="246" t="s">
        <v>758</v>
      </c>
      <c r="BP146" s="263">
        <v>0.15</v>
      </c>
      <c r="BQ146" s="263">
        <v>0.48</v>
      </c>
      <c r="BR146" s="263">
        <v>0.31</v>
      </c>
      <c r="BS146" s="263">
        <v>0.05</v>
      </c>
      <c r="BT146" s="263">
        <v>0.39</v>
      </c>
      <c r="BU146" s="263">
        <v>0.44</v>
      </c>
      <c r="BV146" s="263">
        <v>0.55000000000000004</v>
      </c>
      <c r="BW146" s="263">
        <v>0.39</v>
      </c>
      <c r="BX146" s="263">
        <v>0.41</v>
      </c>
      <c r="BY146" s="263">
        <v>0.49</v>
      </c>
      <c r="BZ146" s="309">
        <v>53</v>
      </c>
      <c r="CA146" s="309" t="s">
        <v>758</v>
      </c>
      <c r="CB146" s="309">
        <v>10</v>
      </c>
      <c r="CC146" s="309" t="s">
        <v>758</v>
      </c>
      <c r="CD146" s="327">
        <v>0.14000000000000001</v>
      </c>
      <c r="CE146" s="327">
        <v>0.38</v>
      </c>
      <c r="CF146" s="327">
        <v>0.43</v>
      </c>
      <c r="CG146" s="327">
        <v>0.04</v>
      </c>
      <c r="CH146" s="327">
        <v>0.5</v>
      </c>
      <c r="CI146" s="327">
        <v>0.35</v>
      </c>
      <c r="CJ146" s="327">
        <v>0.48</v>
      </c>
      <c r="CK146" s="327">
        <v>0.53</v>
      </c>
      <c r="CL146" s="327">
        <v>0.4</v>
      </c>
      <c r="CM146" s="327">
        <v>0.53</v>
      </c>
      <c r="CN146" s="424">
        <v>55</v>
      </c>
      <c r="CO146" s="424" t="s">
        <v>758</v>
      </c>
      <c r="CP146" s="424">
        <v>10</v>
      </c>
      <c r="CQ146" s="424" t="s">
        <v>758</v>
      </c>
      <c r="CR146" s="428">
        <v>0.09</v>
      </c>
      <c r="CS146" s="428">
        <v>0.41</v>
      </c>
      <c r="CT146" s="428">
        <v>0.44</v>
      </c>
      <c r="CU146" s="428">
        <v>0.05</v>
      </c>
      <c r="CV146" s="428">
        <v>0.32</v>
      </c>
      <c r="CW146" s="428">
        <v>0.42</v>
      </c>
      <c r="CX146" s="428">
        <v>0.49</v>
      </c>
      <c r="CY146" s="428">
        <v>0.59</v>
      </c>
      <c r="CZ146" s="523">
        <v>0.49</v>
      </c>
      <c r="DA146" s="523">
        <v>0.56000000000000005</v>
      </c>
      <c r="DB146" s="524">
        <v>51</v>
      </c>
      <c r="DC146" s="524" t="s">
        <v>758</v>
      </c>
      <c r="DD146" s="524">
        <v>13</v>
      </c>
      <c r="DE146" s="524" t="s">
        <v>758</v>
      </c>
      <c r="DF146" s="525">
        <v>0.21</v>
      </c>
      <c r="DG146" s="525">
        <v>0.37</v>
      </c>
      <c r="DH146" s="525">
        <v>0.33</v>
      </c>
      <c r="DI146" s="525">
        <v>0.08</v>
      </c>
      <c r="DJ146" s="525">
        <v>0.43</v>
      </c>
      <c r="DK146" s="525">
        <v>0.53</v>
      </c>
      <c r="DL146" s="525">
        <v>0.47</v>
      </c>
      <c r="DM146" s="525">
        <v>0.55000000000000004</v>
      </c>
      <c r="DN146" s="525">
        <v>0.52</v>
      </c>
      <c r="DO146" s="525">
        <v>0.33</v>
      </c>
      <c r="DP146" s="902">
        <v>53</v>
      </c>
      <c r="DQ146" s="902" t="s">
        <v>758</v>
      </c>
      <c r="DR146" s="902">
        <v>10</v>
      </c>
      <c r="DS146" s="902" t="s">
        <v>758</v>
      </c>
      <c r="DT146" s="949">
        <v>0.15</v>
      </c>
      <c r="DU146" s="949">
        <v>0.43</v>
      </c>
      <c r="DV146" s="949">
        <v>0.38</v>
      </c>
      <c r="DW146" s="949">
        <v>0.03</v>
      </c>
      <c r="DX146" s="949">
        <v>0.45</v>
      </c>
      <c r="DY146" s="949">
        <v>0.33</v>
      </c>
      <c r="DZ146" s="949">
        <v>0.7</v>
      </c>
      <c r="EA146" s="949">
        <v>0.49</v>
      </c>
      <c r="EB146" s="949">
        <v>0.53</v>
      </c>
      <c r="EC146" s="949">
        <v>0.33</v>
      </c>
      <c r="ED146" s="922">
        <v>325754003410</v>
      </c>
      <c r="EE146" s="803" t="s">
        <v>42</v>
      </c>
    </row>
    <row r="147" spans="1:135" ht="24.95" customHeight="1" x14ac:dyDescent="0.2">
      <c r="A147" s="803" t="s">
        <v>774</v>
      </c>
      <c r="B147" s="1" t="s">
        <v>123</v>
      </c>
      <c r="C147" s="2">
        <v>6</v>
      </c>
      <c r="D147" s="12"/>
      <c r="E147" s="12"/>
      <c r="F147" s="63"/>
      <c r="G147" s="63"/>
      <c r="H147" s="63"/>
      <c r="I147" s="63"/>
      <c r="J147" s="63"/>
      <c r="K147" s="63"/>
      <c r="L147" s="63"/>
      <c r="M147" s="63"/>
      <c r="N147" s="63"/>
      <c r="O147" s="63"/>
      <c r="P147" s="12"/>
      <c r="Q147" s="12"/>
      <c r="R147" s="61"/>
      <c r="S147" s="61"/>
      <c r="T147" s="61"/>
      <c r="U147" s="61"/>
      <c r="V147" s="61"/>
      <c r="W147" s="61"/>
      <c r="X147" s="61"/>
      <c r="Y147" s="61"/>
      <c r="Z147" s="61"/>
      <c r="AA147" s="61"/>
      <c r="AB147" s="12"/>
      <c r="AC147" s="12"/>
      <c r="AD147" s="63"/>
      <c r="AE147" s="63"/>
      <c r="AF147" s="63"/>
      <c r="AG147" s="63"/>
      <c r="AH147" s="63"/>
      <c r="AI147" s="63"/>
      <c r="AJ147" s="63"/>
      <c r="AK147" s="63"/>
      <c r="AL147" s="63"/>
      <c r="AM147" s="63"/>
      <c r="AN147" s="12"/>
      <c r="AO147" s="12"/>
      <c r="AP147" s="63"/>
      <c r="AQ147" s="63"/>
      <c r="AR147" s="63"/>
      <c r="AS147" s="63"/>
      <c r="AT147" s="63"/>
      <c r="AU147" s="63"/>
      <c r="AV147" s="63"/>
      <c r="AW147" s="63"/>
      <c r="AX147" s="63"/>
      <c r="AY147" s="63"/>
      <c r="AZ147" s="35"/>
      <c r="BA147" s="35"/>
      <c r="BB147" s="40"/>
      <c r="BC147" s="40"/>
      <c r="BD147" s="40"/>
      <c r="BE147" s="40"/>
      <c r="BF147" s="40"/>
      <c r="BG147" s="40"/>
      <c r="BH147" s="40"/>
      <c r="BI147" s="40"/>
      <c r="BJ147" s="40"/>
      <c r="BK147" s="40"/>
      <c r="BL147" s="246"/>
      <c r="BM147" s="246"/>
      <c r="BN147" s="246"/>
      <c r="BO147" s="246"/>
      <c r="BP147" s="263"/>
      <c r="BQ147" s="263"/>
      <c r="BR147" s="263"/>
      <c r="BS147" s="263"/>
      <c r="BT147" s="263"/>
      <c r="BU147" s="263"/>
      <c r="BV147" s="263"/>
      <c r="BW147" s="263"/>
      <c r="BX147" s="263"/>
      <c r="BY147" s="263"/>
      <c r="BZ147" s="309">
        <v>47</v>
      </c>
      <c r="CA147" s="309" t="s">
        <v>758</v>
      </c>
      <c r="CB147" s="309">
        <v>12</v>
      </c>
      <c r="CC147" s="309" t="s">
        <v>758</v>
      </c>
      <c r="CD147" s="327">
        <v>0.28999999999999998</v>
      </c>
      <c r="CE147" s="327">
        <v>0.28999999999999998</v>
      </c>
      <c r="CF147" s="327">
        <v>0.43</v>
      </c>
      <c r="CG147" s="327">
        <v>0</v>
      </c>
      <c r="CH147" s="327">
        <v>0.53</v>
      </c>
      <c r="CI147" s="327">
        <v>0.25</v>
      </c>
      <c r="CJ147" s="327">
        <v>0.68</v>
      </c>
      <c r="CK147" s="327">
        <v>0.56999999999999995</v>
      </c>
      <c r="CL147" s="327">
        <v>0.53</v>
      </c>
      <c r="CM147" s="327">
        <v>0.5</v>
      </c>
      <c r="CN147" s="424">
        <v>41</v>
      </c>
      <c r="CO147" s="424" t="s">
        <v>760</v>
      </c>
      <c r="CP147" s="424">
        <v>8</v>
      </c>
      <c r="CQ147" s="424" t="s">
        <v>758</v>
      </c>
      <c r="CR147" s="428">
        <v>0.67</v>
      </c>
      <c r="CS147" s="428">
        <v>0.33</v>
      </c>
      <c r="CT147" s="428">
        <v>0</v>
      </c>
      <c r="CU147" s="428">
        <v>0</v>
      </c>
      <c r="CV147" s="428">
        <v>0.5</v>
      </c>
      <c r="CW147" s="428">
        <v>0.69</v>
      </c>
      <c r="CX147" s="428">
        <v>0.84</v>
      </c>
      <c r="CY147" s="428">
        <v>1</v>
      </c>
      <c r="CZ147" s="523">
        <v>0.83</v>
      </c>
      <c r="DA147" s="523">
        <v>0.67</v>
      </c>
      <c r="DB147" s="524">
        <v>48</v>
      </c>
      <c r="DC147" s="524" t="s">
        <v>758</v>
      </c>
      <c r="DD147" s="524">
        <v>12</v>
      </c>
      <c r="DE147" s="524" t="s">
        <v>758</v>
      </c>
      <c r="DF147" s="525">
        <v>0.25</v>
      </c>
      <c r="DG147" s="525">
        <v>0.5</v>
      </c>
      <c r="DH147" s="525">
        <v>0.25</v>
      </c>
      <c r="DI147" s="525">
        <v>0</v>
      </c>
      <c r="DJ147" s="525">
        <v>0.57999999999999996</v>
      </c>
      <c r="DK147" s="525">
        <v>0.5</v>
      </c>
      <c r="DL147" s="525">
        <v>0.59</v>
      </c>
      <c r="DM147" s="525">
        <v>0.63</v>
      </c>
      <c r="DN147" s="525">
        <v>0.73</v>
      </c>
      <c r="DO147" s="525">
        <v>0.75</v>
      </c>
      <c r="DP147" s="902">
        <v>40</v>
      </c>
      <c r="DQ147" s="902" t="s">
        <v>760</v>
      </c>
      <c r="DR147" s="902">
        <v>9</v>
      </c>
      <c r="DS147" s="902" t="s">
        <v>758</v>
      </c>
      <c r="DT147" s="949">
        <v>0.6</v>
      </c>
      <c r="DU147" s="949">
        <v>0.38</v>
      </c>
      <c r="DV147" s="949">
        <v>0.02</v>
      </c>
      <c r="DW147" s="949">
        <v>0</v>
      </c>
      <c r="DX147" s="949">
        <v>0.64</v>
      </c>
      <c r="DY147" s="949">
        <v>0.57999999999999996</v>
      </c>
      <c r="DZ147" s="949">
        <v>0.75</v>
      </c>
      <c r="EA147" s="949">
        <v>0.66</v>
      </c>
      <c r="EB147" s="949">
        <v>0.71</v>
      </c>
      <c r="EC147" s="949">
        <v>0.54</v>
      </c>
      <c r="ED147" s="922">
        <v>325754005498</v>
      </c>
      <c r="EE147" s="803" t="s">
        <v>774</v>
      </c>
    </row>
    <row r="148" spans="1:135" ht="24.95" customHeight="1" x14ac:dyDescent="0.2">
      <c r="A148" s="804" t="s">
        <v>24</v>
      </c>
      <c r="B148" s="1" t="s">
        <v>123</v>
      </c>
      <c r="C148" s="309">
        <v>6</v>
      </c>
      <c r="D148" s="328">
        <v>54</v>
      </c>
      <c r="E148" s="328">
        <v>9</v>
      </c>
      <c r="F148" s="327">
        <v>0</v>
      </c>
      <c r="G148" s="327">
        <v>0.64</v>
      </c>
      <c r="H148" s="327">
        <v>0.36</v>
      </c>
      <c r="I148" s="327">
        <v>0</v>
      </c>
      <c r="J148" s="327">
        <v>0.5</v>
      </c>
      <c r="K148" s="327">
        <v>0.51</v>
      </c>
      <c r="L148" s="327">
        <v>0.56999999999999995</v>
      </c>
      <c r="M148" s="327">
        <v>0.39</v>
      </c>
      <c r="N148" s="327">
        <v>0.39</v>
      </c>
      <c r="O148" s="327">
        <v>0.44</v>
      </c>
      <c r="P148" s="328">
        <v>44</v>
      </c>
      <c r="Q148" s="328">
        <v>8</v>
      </c>
      <c r="R148" s="330">
        <v>0.42</v>
      </c>
      <c r="S148" s="330">
        <v>0.42</v>
      </c>
      <c r="T148" s="330">
        <v>0.17</v>
      </c>
      <c r="U148" s="330">
        <v>0</v>
      </c>
      <c r="V148" s="330">
        <v>0.51</v>
      </c>
      <c r="W148" s="330">
        <v>0.64</v>
      </c>
      <c r="X148" s="330">
        <v>0.59</v>
      </c>
      <c r="Y148" s="330">
        <v>0.57999999999999996</v>
      </c>
      <c r="Z148" s="330">
        <v>0.57999999999999996</v>
      </c>
      <c r="AA148" s="330">
        <v>0.62</v>
      </c>
      <c r="AB148" s="328">
        <v>53</v>
      </c>
      <c r="AC148" s="328">
        <v>11</v>
      </c>
      <c r="AD148" s="327">
        <v>0.13</v>
      </c>
      <c r="AE148" s="327">
        <v>0.63</v>
      </c>
      <c r="AF148" s="327">
        <v>0.13</v>
      </c>
      <c r="AG148" s="327">
        <v>0.13</v>
      </c>
      <c r="AH148" s="327">
        <v>0.45</v>
      </c>
      <c r="AI148" s="327">
        <v>0.42</v>
      </c>
      <c r="AJ148" s="327">
        <v>0.28000000000000003</v>
      </c>
      <c r="AK148" s="327">
        <v>0.34</v>
      </c>
      <c r="AL148" s="327">
        <v>0.43</v>
      </c>
      <c r="AM148" s="327">
        <v>0.65</v>
      </c>
      <c r="AN148" s="328">
        <v>48</v>
      </c>
      <c r="AO148" s="328">
        <v>9</v>
      </c>
      <c r="AP148" s="327">
        <v>0.25</v>
      </c>
      <c r="AQ148" s="327">
        <v>0.75</v>
      </c>
      <c r="AR148" s="327">
        <v>0</v>
      </c>
      <c r="AS148" s="327">
        <v>0</v>
      </c>
      <c r="AT148" s="327">
        <v>0.62</v>
      </c>
      <c r="AU148" s="327">
        <v>0.5</v>
      </c>
      <c r="AV148" s="327">
        <v>0.5</v>
      </c>
      <c r="AW148" s="327">
        <v>0.49</v>
      </c>
      <c r="AX148" s="327">
        <v>0.47</v>
      </c>
      <c r="AY148" s="327">
        <v>0.47</v>
      </c>
      <c r="AZ148" s="311">
        <v>49</v>
      </c>
      <c r="BA148" s="311">
        <v>5</v>
      </c>
      <c r="BB148" s="331">
        <v>0</v>
      </c>
      <c r="BC148" s="331">
        <v>1</v>
      </c>
      <c r="BD148" s="331">
        <v>0</v>
      </c>
      <c r="BE148" s="331">
        <v>0</v>
      </c>
      <c r="BF148" s="331">
        <v>0.57999999999999996</v>
      </c>
      <c r="BG148" s="331">
        <v>0.42</v>
      </c>
      <c r="BH148" s="331">
        <v>0.43</v>
      </c>
      <c r="BI148" s="331">
        <v>0.75</v>
      </c>
      <c r="BJ148" s="331">
        <v>0.36</v>
      </c>
      <c r="BK148" s="331">
        <v>0.47</v>
      </c>
      <c r="BL148" s="312">
        <v>49</v>
      </c>
      <c r="BM148" s="312" t="s">
        <v>758</v>
      </c>
      <c r="BN148" s="312">
        <v>10</v>
      </c>
      <c r="BO148" s="312" t="s">
        <v>758</v>
      </c>
      <c r="BP148" s="332">
        <v>0.2</v>
      </c>
      <c r="BQ148" s="332">
        <v>0.4</v>
      </c>
      <c r="BR148" s="332">
        <v>0.4</v>
      </c>
      <c r="BS148" s="332">
        <v>0</v>
      </c>
      <c r="BT148" s="332">
        <v>0.32</v>
      </c>
      <c r="BU148" s="332">
        <v>0.55000000000000004</v>
      </c>
      <c r="BV148" s="332">
        <v>0.75</v>
      </c>
      <c r="BW148" s="332">
        <v>0.45</v>
      </c>
      <c r="BX148" s="332">
        <v>0.52</v>
      </c>
      <c r="BY148" s="332">
        <v>0.56000000000000005</v>
      </c>
      <c r="BZ148" s="309">
        <v>48</v>
      </c>
      <c r="CA148" s="309" t="s">
        <v>758</v>
      </c>
      <c r="CB148" s="309">
        <v>12</v>
      </c>
      <c r="CC148" s="309" t="s">
        <v>758</v>
      </c>
      <c r="CD148" s="327">
        <v>0.3</v>
      </c>
      <c r="CE148" s="327">
        <v>0.4</v>
      </c>
      <c r="CF148" s="327">
        <v>0.3</v>
      </c>
      <c r="CG148" s="327">
        <v>0</v>
      </c>
      <c r="CH148" s="327">
        <v>0.23</v>
      </c>
      <c r="CI148" s="327">
        <v>0.43</v>
      </c>
      <c r="CJ148" s="327">
        <v>0.6</v>
      </c>
      <c r="CK148" s="327">
        <v>0.62</v>
      </c>
      <c r="CL148" s="327">
        <v>0.36</v>
      </c>
      <c r="CM148" s="327">
        <v>0.49</v>
      </c>
      <c r="CN148" s="424">
        <v>52</v>
      </c>
      <c r="CO148" s="424" t="s">
        <v>758</v>
      </c>
      <c r="CP148" s="424">
        <v>4</v>
      </c>
      <c r="CQ148" s="424" t="s">
        <v>760</v>
      </c>
      <c r="CR148" s="428">
        <v>0</v>
      </c>
      <c r="CS148" s="428">
        <v>0.86</v>
      </c>
      <c r="CT148" s="428">
        <v>0.14000000000000001</v>
      </c>
      <c r="CU148" s="428">
        <v>0</v>
      </c>
      <c r="CV148" s="428">
        <v>0.21</v>
      </c>
      <c r="CW148" s="428">
        <v>0.42</v>
      </c>
      <c r="CX148" s="428">
        <v>0.53</v>
      </c>
      <c r="CY148" s="428">
        <v>0.5</v>
      </c>
      <c r="CZ148" s="523">
        <v>0.45</v>
      </c>
      <c r="DA148" s="523">
        <v>0.38</v>
      </c>
      <c r="DB148" s="524">
        <v>46</v>
      </c>
      <c r="DC148" s="524" t="s">
        <v>758</v>
      </c>
      <c r="DD148" s="524">
        <v>9</v>
      </c>
      <c r="DE148" s="524" t="s">
        <v>758</v>
      </c>
      <c r="DF148" s="525">
        <v>0.3</v>
      </c>
      <c r="DG148" s="525">
        <v>0.5</v>
      </c>
      <c r="DH148" s="525">
        <v>0.2</v>
      </c>
      <c r="DI148" s="525">
        <v>0</v>
      </c>
      <c r="DJ148" s="525">
        <v>0.63</v>
      </c>
      <c r="DK148" s="525">
        <v>0.56000000000000005</v>
      </c>
      <c r="DL148" s="525">
        <v>0.51</v>
      </c>
      <c r="DM148" s="525">
        <v>0.85</v>
      </c>
      <c r="DN148" s="525">
        <v>0.62</v>
      </c>
      <c r="DO148" s="525">
        <v>0.17</v>
      </c>
      <c r="DP148" s="902">
        <v>52</v>
      </c>
      <c r="DQ148" s="902" t="s">
        <v>758</v>
      </c>
      <c r="DR148" s="902">
        <v>11</v>
      </c>
      <c r="DS148" s="902" t="s">
        <v>758</v>
      </c>
      <c r="DT148" s="949">
        <v>0.14000000000000001</v>
      </c>
      <c r="DU148" s="949">
        <v>0.43</v>
      </c>
      <c r="DV148" s="949">
        <v>0.43</v>
      </c>
      <c r="DW148" s="949">
        <v>0</v>
      </c>
      <c r="DX148" s="949">
        <v>0.48</v>
      </c>
      <c r="DY148" s="949">
        <v>0.32</v>
      </c>
      <c r="DZ148" s="949">
        <v>0.45</v>
      </c>
      <c r="EA148" s="949">
        <v>0.56000000000000005</v>
      </c>
      <c r="EB148" s="949">
        <v>0.53</v>
      </c>
      <c r="EC148" s="949">
        <v>0.33</v>
      </c>
      <c r="ED148" s="922">
        <v>325754004050</v>
      </c>
      <c r="EE148" s="804" t="s">
        <v>24</v>
      </c>
    </row>
    <row r="149" spans="1:135" ht="24.95" customHeight="1" x14ac:dyDescent="0.2">
      <c r="A149" s="803" t="s">
        <v>36</v>
      </c>
      <c r="B149" s="1" t="s">
        <v>123</v>
      </c>
      <c r="C149" s="2">
        <v>6</v>
      </c>
      <c r="D149" s="12">
        <v>59</v>
      </c>
      <c r="E149" s="12">
        <v>7</v>
      </c>
      <c r="F149" s="63">
        <v>0</v>
      </c>
      <c r="G149" s="63">
        <v>0.42</v>
      </c>
      <c r="H149" s="63">
        <v>0.56000000000000005</v>
      </c>
      <c r="I149" s="63">
        <v>0.03</v>
      </c>
      <c r="J149" s="63">
        <v>0.4</v>
      </c>
      <c r="K149" s="63">
        <v>0.43</v>
      </c>
      <c r="L149" s="63">
        <v>0.45</v>
      </c>
      <c r="M149" s="63">
        <v>0.2</v>
      </c>
      <c r="N149" s="63">
        <v>0.34</v>
      </c>
      <c r="O149" s="63">
        <v>0.44</v>
      </c>
      <c r="P149" s="12">
        <v>58</v>
      </c>
      <c r="Q149" s="12">
        <v>8</v>
      </c>
      <c r="R149" s="61">
        <v>0</v>
      </c>
      <c r="S149" s="61">
        <v>0.37</v>
      </c>
      <c r="T149" s="61">
        <v>0.56999999999999995</v>
      </c>
      <c r="U149" s="61">
        <v>0.06</v>
      </c>
      <c r="V149" s="61">
        <v>0.23</v>
      </c>
      <c r="W149" s="61">
        <v>0.35</v>
      </c>
      <c r="X149" s="61">
        <v>0.44</v>
      </c>
      <c r="Y149" s="61">
        <v>0.34</v>
      </c>
      <c r="Z149" s="61">
        <v>0.38</v>
      </c>
      <c r="AA149" s="61">
        <v>0.31</v>
      </c>
      <c r="AB149" s="12">
        <v>56</v>
      </c>
      <c r="AC149" s="12">
        <v>8</v>
      </c>
      <c r="AD149" s="63">
        <v>0</v>
      </c>
      <c r="AE149" s="63">
        <v>0.6</v>
      </c>
      <c r="AF149" s="63">
        <v>0.36</v>
      </c>
      <c r="AG149" s="63">
        <v>0.04</v>
      </c>
      <c r="AH149" s="63">
        <v>0.31</v>
      </c>
      <c r="AI149" s="63">
        <v>0.33</v>
      </c>
      <c r="AJ149" s="63">
        <v>0.27</v>
      </c>
      <c r="AK149" s="63">
        <v>0.44</v>
      </c>
      <c r="AL149" s="63">
        <v>0.42</v>
      </c>
      <c r="AM149" s="63">
        <v>0.41</v>
      </c>
      <c r="AN149" s="12">
        <v>56</v>
      </c>
      <c r="AO149" s="12">
        <v>11</v>
      </c>
      <c r="AP149" s="63">
        <v>0.1</v>
      </c>
      <c r="AQ149" s="63">
        <v>0.23</v>
      </c>
      <c r="AR149" s="63">
        <v>0.67</v>
      </c>
      <c r="AS149" s="63">
        <v>0</v>
      </c>
      <c r="AT149" s="63">
        <v>0.39</v>
      </c>
      <c r="AU149" s="63">
        <v>0.37</v>
      </c>
      <c r="AV149" s="63">
        <v>0.35</v>
      </c>
      <c r="AW149" s="63">
        <v>0.34</v>
      </c>
      <c r="AX149" s="63">
        <v>0.34</v>
      </c>
      <c r="AY149" s="63">
        <v>0.32</v>
      </c>
      <c r="AZ149" s="35">
        <v>55</v>
      </c>
      <c r="BA149" s="35">
        <v>12</v>
      </c>
      <c r="BB149" s="40">
        <v>0.16</v>
      </c>
      <c r="BC149" s="40">
        <v>0.36</v>
      </c>
      <c r="BD149" s="40">
        <v>0.4</v>
      </c>
      <c r="BE149" s="40">
        <v>0.08</v>
      </c>
      <c r="BF149" s="40">
        <v>0.41</v>
      </c>
      <c r="BG149" s="40">
        <v>0.42</v>
      </c>
      <c r="BH149" s="40">
        <v>0.37</v>
      </c>
      <c r="BI149" s="40">
        <v>0.51</v>
      </c>
      <c r="BJ149" s="40">
        <v>0.36</v>
      </c>
      <c r="BK149" s="40">
        <v>0.34</v>
      </c>
      <c r="BL149" s="246">
        <v>56</v>
      </c>
      <c r="BM149" s="246" t="s">
        <v>758</v>
      </c>
      <c r="BN149" s="246">
        <v>8</v>
      </c>
      <c r="BO149" s="246" t="s">
        <v>758</v>
      </c>
      <c r="BP149" s="263">
        <v>0.03</v>
      </c>
      <c r="BQ149" s="263">
        <v>0.52</v>
      </c>
      <c r="BR149" s="263">
        <v>0.42</v>
      </c>
      <c r="BS149" s="263">
        <v>0.03</v>
      </c>
      <c r="BT149" s="263">
        <v>0.38</v>
      </c>
      <c r="BU149" s="263">
        <v>0.38</v>
      </c>
      <c r="BV149" s="263">
        <v>0.45</v>
      </c>
      <c r="BW149" s="263">
        <v>0.38</v>
      </c>
      <c r="BX149" s="263">
        <v>0.37</v>
      </c>
      <c r="BY149" s="263">
        <v>0.39</v>
      </c>
      <c r="BZ149" s="309">
        <v>55</v>
      </c>
      <c r="CA149" s="309" t="s">
        <v>758</v>
      </c>
      <c r="CB149" s="309">
        <v>9</v>
      </c>
      <c r="CC149" s="309" t="s">
        <v>758</v>
      </c>
      <c r="CD149" s="327">
        <v>0.04</v>
      </c>
      <c r="CE149" s="327">
        <v>0.57999999999999996</v>
      </c>
      <c r="CF149" s="327">
        <v>0.35</v>
      </c>
      <c r="CG149" s="327">
        <v>0.04</v>
      </c>
      <c r="CH149" s="327">
        <v>0.54</v>
      </c>
      <c r="CI149" s="327">
        <v>0.28000000000000003</v>
      </c>
      <c r="CJ149" s="327">
        <v>0.56000000000000005</v>
      </c>
      <c r="CK149" s="327">
        <v>0.44</v>
      </c>
      <c r="CL149" s="327">
        <v>0.36</v>
      </c>
      <c r="CM149" s="327">
        <v>0.46</v>
      </c>
      <c r="CN149" s="424">
        <v>60</v>
      </c>
      <c r="CO149" s="424" t="s">
        <v>759</v>
      </c>
      <c r="CP149" s="424">
        <v>8</v>
      </c>
      <c r="CQ149" s="424" t="s">
        <v>758</v>
      </c>
      <c r="CR149" s="428">
        <v>0</v>
      </c>
      <c r="CS149" s="428">
        <v>0.35</v>
      </c>
      <c r="CT149" s="428">
        <v>0.61</v>
      </c>
      <c r="CU149" s="428">
        <v>0.04</v>
      </c>
      <c r="CV149" s="428">
        <v>0.17</v>
      </c>
      <c r="CW149" s="428">
        <v>0.37</v>
      </c>
      <c r="CX149" s="428">
        <v>0.39</v>
      </c>
      <c r="CY149" s="428">
        <v>0.5</v>
      </c>
      <c r="CZ149" s="523">
        <v>0.42</v>
      </c>
      <c r="DA149" s="523">
        <v>0.33</v>
      </c>
      <c r="DB149" s="524">
        <v>54</v>
      </c>
      <c r="DC149" s="524" t="s">
        <v>758</v>
      </c>
      <c r="DD149" s="524">
        <v>9</v>
      </c>
      <c r="DE149" s="524" t="s">
        <v>758</v>
      </c>
      <c r="DF149" s="525">
        <v>0.1</v>
      </c>
      <c r="DG149" s="525">
        <v>0.48</v>
      </c>
      <c r="DH149" s="525">
        <v>0.38</v>
      </c>
      <c r="DI149" s="525">
        <v>0.05</v>
      </c>
      <c r="DJ149" s="525">
        <v>0.53</v>
      </c>
      <c r="DK149" s="525">
        <v>0.33</v>
      </c>
      <c r="DL149" s="525">
        <v>0.43</v>
      </c>
      <c r="DM149" s="525">
        <v>0.55000000000000004</v>
      </c>
      <c r="DN149" s="525">
        <v>0.55000000000000004</v>
      </c>
      <c r="DO149" s="525">
        <v>0.33</v>
      </c>
      <c r="DP149" s="902">
        <v>55</v>
      </c>
      <c r="DQ149" s="902" t="s">
        <v>758</v>
      </c>
      <c r="DR149" s="902">
        <v>9</v>
      </c>
      <c r="DS149" s="902" t="s">
        <v>758</v>
      </c>
      <c r="DT149" s="949">
        <v>0.08</v>
      </c>
      <c r="DU149" s="949">
        <v>0.42</v>
      </c>
      <c r="DV149" s="949">
        <v>0.46</v>
      </c>
      <c r="DW149" s="949">
        <v>0.04</v>
      </c>
      <c r="DX149" s="949">
        <v>0.35</v>
      </c>
      <c r="DY149" s="949">
        <v>0.27</v>
      </c>
      <c r="DZ149" s="949">
        <v>0.44</v>
      </c>
      <c r="EA149" s="949">
        <v>0.44</v>
      </c>
      <c r="EB149" s="949">
        <v>0.52</v>
      </c>
      <c r="EC149" s="949">
        <v>0.38</v>
      </c>
      <c r="ED149" s="922">
        <v>425754001551</v>
      </c>
      <c r="EE149" s="803" t="s">
        <v>36</v>
      </c>
    </row>
    <row r="150" spans="1:135" ht="24.95" customHeight="1" x14ac:dyDescent="0.2">
      <c r="A150" s="803" t="s">
        <v>728</v>
      </c>
      <c r="B150" s="1" t="s">
        <v>123</v>
      </c>
      <c r="C150" s="2">
        <v>4</v>
      </c>
      <c r="D150" s="12"/>
      <c r="E150" s="12"/>
      <c r="F150" s="63"/>
      <c r="G150" s="63"/>
      <c r="H150" s="63"/>
      <c r="I150" s="63"/>
      <c r="J150" s="63"/>
      <c r="K150" s="63"/>
      <c r="L150" s="63"/>
      <c r="M150" s="63"/>
      <c r="N150" s="63"/>
      <c r="O150" s="63"/>
      <c r="P150" s="12"/>
      <c r="Q150" s="12"/>
      <c r="R150" s="61"/>
      <c r="S150" s="61"/>
      <c r="T150" s="61"/>
      <c r="U150" s="61"/>
      <c r="V150" s="61"/>
      <c r="W150" s="61"/>
      <c r="X150" s="61"/>
      <c r="Y150" s="61"/>
      <c r="Z150" s="61"/>
      <c r="AA150" s="61"/>
      <c r="AB150" s="12"/>
      <c r="AC150" s="12"/>
      <c r="AD150" s="63"/>
      <c r="AE150" s="63"/>
      <c r="AF150" s="63"/>
      <c r="AG150" s="63"/>
      <c r="AH150" s="63"/>
      <c r="AI150" s="63"/>
      <c r="AJ150" s="63"/>
      <c r="AK150" s="63"/>
      <c r="AL150" s="63"/>
      <c r="AM150" s="63"/>
      <c r="AN150" s="12"/>
      <c r="AO150" s="12"/>
      <c r="AP150" s="63"/>
      <c r="AQ150" s="63"/>
      <c r="AR150" s="63"/>
      <c r="AS150" s="63"/>
      <c r="AT150" s="63"/>
      <c r="AU150" s="63"/>
      <c r="AV150" s="63"/>
      <c r="AW150" s="63"/>
      <c r="AX150" s="63"/>
      <c r="AY150" s="63"/>
      <c r="AZ150" s="35"/>
      <c r="BA150" s="35"/>
      <c r="BB150" s="40"/>
      <c r="BC150" s="40"/>
      <c r="BD150" s="40"/>
      <c r="BE150" s="40"/>
      <c r="BF150" s="40"/>
      <c r="BG150" s="40"/>
      <c r="BH150" s="40"/>
      <c r="BI150" s="40"/>
      <c r="BJ150" s="40"/>
      <c r="BK150" s="40"/>
      <c r="BL150" s="646"/>
      <c r="BM150" s="646"/>
      <c r="BN150" s="646"/>
      <c r="BO150" s="646"/>
      <c r="BP150" s="646"/>
      <c r="BQ150" s="646"/>
      <c r="BR150" s="646"/>
      <c r="BS150" s="646"/>
      <c r="BT150" s="646"/>
      <c r="BU150" s="646"/>
      <c r="BV150" s="646"/>
      <c r="BW150" s="646"/>
      <c r="BX150" s="646"/>
      <c r="BY150" s="646"/>
      <c r="BZ150" s="649"/>
      <c r="CA150" s="649"/>
      <c r="CB150" s="649"/>
      <c r="CC150" s="649"/>
      <c r="CD150" s="649"/>
      <c r="CE150" s="649"/>
      <c r="CF150" s="649"/>
      <c r="CG150" s="649"/>
      <c r="CH150" s="649"/>
      <c r="CI150" s="649"/>
      <c r="CJ150" s="649"/>
      <c r="CK150" s="649"/>
      <c r="CL150" s="649"/>
      <c r="CM150" s="649"/>
      <c r="CN150" s="424">
        <v>51</v>
      </c>
      <c r="CO150" s="424" t="s">
        <v>758</v>
      </c>
      <c r="CP150" s="424">
        <v>8</v>
      </c>
      <c r="CQ150" s="424" t="s">
        <v>758</v>
      </c>
      <c r="CR150" s="428">
        <v>0</v>
      </c>
      <c r="CS150" s="428">
        <v>0.75</v>
      </c>
      <c r="CT150" s="428">
        <v>0.25</v>
      </c>
      <c r="CU150" s="428">
        <v>0</v>
      </c>
      <c r="CV150" s="428">
        <v>0.36</v>
      </c>
      <c r="CW150" s="428">
        <v>0.54</v>
      </c>
      <c r="CX150" s="428">
        <v>0.54</v>
      </c>
      <c r="CY150" s="428">
        <v>0.67</v>
      </c>
      <c r="CZ150" s="523">
        <v>0.59</v>
      </c>
      <c r="DA150" s="523">
        <v>0.67</v>
      </c>
      <c r="DB150" s="613"/>
      <c r="DC150" s="613"/>
      <c r="DD150" s="613"/>
      <c r="DE150" s="613"/>
      <c r="DF150" s="658"/>
      <c r="DG150" s="658"/>
      <c r="DH150" s="658"/>
      <c r="DI150" s="658"/>
      <c r="DJ150" s="658"/>
      <c r="DK150" s="658"/>
      <c r="DL150" s="658"/>
      <c r="DM150" s="658"/>
      <c r="DN150" s="658"/>
      <c r="DO150" s="658"/>
      <c r="DP150" s="902">
        <v>54</v>
      </c>
      <c r="DQ150" s="902" t="s">
        <v>758</v>
      </c>
      <c r="DR150" s="902">
        <v>12</v>
      </c>
      <c r="DS150" s="902" t="s">
        <v>758</v>
      </c>
      <c r="DT150" s="949">
        <v>0.25</v>
      </c>
      <c r="DU150" s="949">
        <v>0.17</v>
      </c>
      <c r="DV150" s="949">
        <v>0.57999999999999996</v>
      </c>
      <c r="DW150" s="949">
        <v>0</v>
      </c>
      <c r="DX150" s="949">
        <v>0.44</v>
      </c>
      <c r="DY150" s="949">
        <v>0.21</v>
      </c>
      <c r="DZ150" s="949">
        <v>0.43</v>
      </c>
      <c r="EA150" s="949">
        <v>0.46</v>
      </c>
      <c r="EB150" s="949">
        <v>0.43</v>
      </c>
      <c r="EC150" s="949">
        <v>0.43</v>
      </c>
      <c r="ED150" s="922">
        <v>325754004203</v>
      </c>
      <c r="EE150" s="803" t="s">
        <v>728</v>
      </c>
    </row>
    <row r="151" spans="1:135" ht="24.95" customHeight="1" x14ac:dyDescent="0.2">
      <c r="A151" s="803" t="s">
        <v>80</v>
      </c>
      <c r="B151" s="1" t="s">
        <v>123</v>
      </c>
      <c r="C151" s="2">
        <v>2</v>
      </c>
      <c r="D151" s="12">
        <v>44</v>
      </c>
      <c r="E151" s="12">
        <v>10</v>
      </c>
      <c r="F151" s="63">
        <v>0.38</v>
      </c>
      <c r="G151" s="63">
        <v>0.38</v>
      </c>
      <c r="H151" s="63">
        <v>0.25</v>
      </c>
      <c r="I151" s="63">
        <v>0</v>
      </c>
      <c r="J151" s="63">
        <v>0.59</v>
      </c>
      <c r="K151" s="63">
        <v>0.6</v>
      </c>
      <c r="L151" s="63">
        <v>0.72</v>
      </c>
      <c r="M151" s="63">
        <v>0.44</v>
      </c>
      <c r="N151" s="63">
        <v>0.56000000000000005</v>
      </c>
      <c r="O151" s="63">
        <v>0.64</v>
      </c>
      <c r="P151" s="12">
        <v>53</v>
      </c>
      <c r="Q151" s="12">
        <v>10</v>
      </c>
      <c r="R151" s="61">
        <v>0</v>
      </c>
      <c r="S151" s="61">
        <v>0.78</v>
      </c>
      <c r="T151" s="61">
        <v>0.11</v>
      </c>
      <c r="U151" s="61">
        <v>0.11</v>
      </c>
      <c r="V151" s="61">
        <v>0.38</v>
      </c>
      <c r="W151" s="61">
        <v>0.54</v>
      </c>
      <c r="X151" s="61">
        <v>0.56999999999999995</v>
      </c>
      <c r="Y151" s="61">
        <v>0.39</v>
      </c>
      <c r="Z151" s="61">
        <v>0.41</v>
      </c>
      <c r="AA151" s="61">
        <v>0.47</v>
      </c>
      <c r="AB151" s="12">
        <v>49</v>
      </c>
      <c r="AC151" s="12">
        <v>8</v>
      </c>
      <c r="AD151" s="63">
        <v>0.27</v>
      </c>
      <c r="AE151" s="63">
        <v>0.47</v>
      </c>
      <c r="AF151" s="63">
        <v>0.27</v>
      </c>
      <c r="AG151" s="63">
        <v>0</v>
      </c>
      <c r="AH151" s="63">
        <v>0.49</v>
      </c>
      <c r="AI151" s="63">
        <v>0.47</v>
      </c>
      <c r="AJ151" s="63">
        <v>0.34</v>
      </c>
      <c r="AK151" s="63">
        <v>0.53</v>
      </c>
      <c r="AL151" s="63">
        <v>0.67</v>
      </c>
      <c r="AM151" s="63">
        <v>0.44</v>
      </c>
      <c r="AN151" s="12">
        <v>40</v>
      </c>
      <c r="AO151" s="12">
        <v>10</v>
      </c>
      <c r="AP151" s="63">
        <v>0.55000000000000004</v>
      </c>
      <c r="AQ151" s="63">
        <v>0.45</v>
      </c>
      <c r="AR151" s="63">
        <v>0</v>
      </c>
      <c r="AS151" s="63">
        <v>0</v>
      </c>
      <c r="AT151" s="63">
        <v>0.82</v>
      </c>
      <c r="AU151" s="63">
        <v>0.61</v>
      </c>
      <c r="AV151" s="63">
        <v>0.65</v>
      </c>
      <c r="AW151" s="63">
        <v>0.52</v>
      </c>
      <c r="AX151" s="63">
        <v>0.62</v>
      </c>
      <c r="AY151" s="63">
        <v>0.52</v>
      </c>
      <c r="AZ151" s="35">
        <v>45</v>
      </c>
      <c r="BA151" s="35">
        <v>11</v>
      </c>
      <c r="BB151" s="40">
        <v>0.36</v>
      </c>
      <c r="BC151" s="40">
        <v>0.5</v>
      </c>
      <c r="BD151" s="40">
        <v>7.0000000000000007E-2</v>
      </c>
      <c r="BE151" s="40">
        <v>7.0000000000000007E-2</v>
      </c>
      <c r="BF151" s="40">
        <v>0.56000000000000005</v>
      </c>
      <c r="BG151" s="40">
        <v>0.6</v>
      </c>
      <c r="BH151" s="40">
        <v>0.65</v>
      </c>
      <c r="BI151" s="40">
        <v>0.56999999999999995</v>
      </c>
      <c r="BJ151" s="40">
        <v>0.52</v>
      </c>
      <c r="BK151" s="40">
        <v>0.44</v>
      </c>
      <c r="BL151" s="647">
        <v>50</v>
      </c>
      <c r="BM151" s="647" t="s">
        <v>758</v>
      </c>
      <c r="BN151" s="647">
        <v>10</v>
      </c>
      <c r="BO151" s="647" t="s">
        <v>758</v>
      </c>
      <c r="BP151" s="648">
        <v>0.15</v>
      </c>
      <c r="BQ151" s="648">
        <v>0.54</v>
      </c>
      <c r="BR151" s="648">
        <v>0.31</v>
      </c>
      <c r="BS151" s="648">
        <v>0</v>
      </c>
      <c r="BT151" s="648">
        <v>0.47</v>
      </c>
      <c r="BU151" s="648">
        <v>0.41</v>
      </c>
      <c r="BV151" s="648">
        <v>0.62</v>
      </c>
      <c r="BW151" s="648">
        <v>0.45</v>
      </c>
      <c r="BX151" s="648">
        <v>0.52</v>
      </c>
      <c r="BY151" s="648">
        <v>0.48</v>
      </c>
      <c r="BZ151" s="74">
        <v>54</v>
      </c>
      <c r="CA151" s="74" t="s">
        <v>758</v>
      </c>
      <c r="CB151" s="74">
        <v>7</v>
      </c>
      <c r="CC151" s="74" t="s">
        <v>760</v>
      </c>
      <c r="CD151" s="96">
        <v>0</v>
      </c>
      <c r="CE151" s="96">
        <v>0.64</v>
      </c>
      <c r="CF151" s="96">
        <v>0.36</v>
      </c>
      <c r="CG151" s="96">
        <v>0</v>
      </c>
      <c r="CH151" s="96">
        <v>0.62</v>
      </c>
      <c r="CI151" s="96">
        <v>0.26</v>
      </c>
      <c r="CJ151" s="96">
        <v>0.56999999999999995</v>
      </c>
      <c r="CK151" s="96">
        <v>0.56000000000000005</v>
      </c>
      <c r="CL151" s="96">
        <v>0.35</v>
      </c>
      <c r="CM151" s="96">
        <v>0.49</v>
      </c>
      <c r="CN151" s="424">
        <v>54</v>
      </c>
      <c r="CO151" s="424" t="s">
        <v>758</v>
      </c>
      <c r="CP151" s="424">
        <v>9</v>
      </c>
      <c r="CQ151" s="424" t="s">
        <v>758</v>
      </c>
      <c r="CR151" s="428">
        <v>0.16</v>
      </c>
      <c r="CS151" s="428">
        <v>0.32</v>
      </c>
      <c r="CT151" s="428">
        <v>0.53</v>
      </c>
      <c r="CU151" s="428">
        <v>0</v>
      </c>
      <c r="CV151" s="428">
        <v>0.34</v>
      </c>
      <c r="CW151" s="428">
        <v>0.46</v>
      </c>
      <c r="CX151" s="428">
        <v>0.48</v>
      </c>
      <c r="CY151" s="428">
        <v>0.55000000000000004</v>
      </c>
      <c r="CZ151" s="523">
        <v>0.46</v>
      </c>
      <c r="DA151" s="523">
        <v>0.37</v>
      </c>
      <c r="DB151" s="612">
        <v>56</v>
      </c>
      <c r="DC151" s="612" t="s">
        <v>758</v>
      </c>
      <c r="DD151" s="612">
        <v>11</v>
      </c>
      <c r="DE151" s="612" t="s">
        <v>758</v>
      </c>
      <c r="DF151" s="663">
        <v>0.11</v>
      </c>
      <c r="DG151" s="663">
        <v>0.21</v>
      </c>
      <c r="DH151" s="663">
        <v>0.63</v>
      </c>
      <c r="DI151" s="663">
        <v>0.05</v>
      </c>
      <c r="DJ151" s="663">
        <v>0.44</v>
      </c>
      <c r="DK151" s="663">
        <v>0.32</v>
      </c>
      <c r="DL151" s="663">
        <v>0.39</v>
      </c>
      <c r="DM151" s="663">
        <v>0.55000000000000004</v>
      </c>
      <c r="DN151" s="663">
        <v>0.46</v>
      </c>
      <c r="DO151" s="663">
        <v>0.25</v>
      </c>
      <c r="DT151" s="949"/>
      <c r="DU151" s="949"/>
      <c r="DV151" s="949"/>
      <c r="DW151" s="949"/>
      <c r="DX151" s="949"/>
      <c r="DY151" s="949"/>
      <c r="DZ151" s="949"/>
      <c r="EA151" s="949"/>
      <c r="EB151" s="949"/>
      <c r="EC151" s="949"/>
      <c r="ED151" s="922"/>
      <c r="EE151" s="803" t="s">
        <v>80</v>
      </c>
    </row>
    <row r="152" spans="1:135" ht="24.95" customHeight="1" x14ac:dyDescent="0.2">
      <c r="A152" s="803" t="s">
        <v>84</v>
      </c>
      <c r="B152" s="1" t="s">
        <v>123</v>
      </c>
      <c r="C152" s="2">
        <v>5</v>
      </c>
      <c r="D152" s="12">
        <v>52</v>
      </c>
      <c r="E152" s="12">
        <v>9</v>
      </c>
      <c r="F152" s="63">
        <v>0.12</v>
      </c>
      <c r="G152" s="63">
        <v>0.55000000000000004</v>
      </c>
      <c r="H152" s="63">
        <v>0.33</v>
      </c>
      <c r="I152" s="63">
        <v>0</v>
      </c>
      <c r="J152" s="63">
        <v>0.53</v>
      </c>
      <c r="K152" s="63">
        <v>0.51</v>
      </c>
      <c r="L152" s="63">
        <v>0.65</v>
      </c>
      <c r="M152" s="63">
        <v>0.37</v>
      </c>
      <c r="N152" s="63">
        <v>0.4</v>
      </c>
      <c r="O152" s="63">
        <v>0.47</v>
      </c>
      <c r="P152" s="12">
        <v>47</v>
      </c>
      <c r="Q152" s="12">
        <v>11</v>
      </c>
      <c r="R152" s="61">
        <v>0.32</v>
      </c>
      <c r="S152" s="61">
        <v>0.49</v>
      </c>
      <c r="T152" s="61">
        <v>0.2</v>
      </c>
      <c r="U152" s="61">
        <v>0</v>
      </c>
      <c r="V152" s="61">
        <v>0.46</v>
      </c>
      <c r="W152" s="61">
        <v>0.59</v>
      </c>
      <c r="X152" s="61">
        <v>0.56000000000000005</v>
      </c>
      <c r="Y152" s="61">
        <v>0.51</v>
      </c>
      <c r="Z152" s="61">
        <v>0.47</v>
      </c>
      <c r="AA152" s="61">
        <v>0.57999999999999996</v>
      </c>
      <c r="AB152" s="12">
        <v>45</v>
      </c>
      <c r="AC152" s="12">
        <v>8</v>
      </c>
      <c r="AD152" s="63">
        <v>0.34</v>
      </c>
      <c r="AE152" s="63">
        <v>0.5</v>
      </c>
      <c r="AF152" s="63">
        <v>0.16</v>
      </c>
      <c r="AG152" s="63">
        <v>0</v>
      </c>
      <c r="AH152" s="63">
        <v>0.53</v>
      </c>
      <c r="AI152" s="63">
        <v>0.49</v>
      </c>
      <c r="AJ152" s="63">
        <v>0.5</v>
      </c>
      <c r="AK152" s="63">
        <v>0.57999999999999996</v>
      </c>
      <c r="AL152" s="63">
        <v>0.63</v>
      </c>
      <c r="AM152" s="63">
        <v>0.62</v>
      </c>
      <c r="AN152" s="12">
        <v>49</v>
      </c>
      <c r="AO152" s="12">
        <v>11</v>
      </c>
      <c r="AP152" s="63">
        <v>0.28999999999999998</v>
      </c>
      <c r="AQ152" s="63">
        <v>0.38</v>
      </c>
      <c r="AR152" s="63">
        <v>0.33</v>
      </c>
      <c r="AS152" s="63">
        <v>0</v>
      </c>
      <c r="AT152" s="63">
        <v>0.49</v>
      </c>
      <c r="AU152" s="63">
        <v>0.47</v>
      </c>
      <c r="AV152" s="63">
        <v>0.45</v>
      </c>
      <c r="AW152" s="63">
        <v>0.45</v>
      </c>
      <c r="AX152" s="63">
        <v>0.53</v>
      </c>
      <c r="AY152" s="63">
        <v>0.39</v>
      </c>
      <c r="AZ152" s="35">
        <v>46</v>
      </c>
      <c r="BA152" s="35">
        <v>11</v>
      </c>
      <c r="BB152" s="40">
        <v>0.22</v>
      </c>
      <c r="BC152" s="40">
        <v>0.61</v>
      </c>
      <c r="BD152" s="40">
        <v>0.17</v>
      </c>
      <c r="BE152" s="40">
        <v>0</v>
      </c>
      <c r="BF152" s="40">
        <v>0.62</v>
      </c>
      <c r="BG152" s="40">
        <v>0.55000000000000004</v>
      </c>
      <c r="BH152" s="40">
        <v>0.48</v>
      </c>
      <c r="BI152" s="40">
        <v>0.59</v>
      </c>
      <c r="BJ152" s="40">
        <v>0.49</v>
      </c>
      <c r="BK152" s="40">
        <v>0.49</v>
      </c>
      <c r="BL152" s="246">
        <v>45</v>
      </c>
      <c r="BM152" s="246" t="s">
        <v>758</v>
      </c>
      <c r="BN152" s="246">
        <v>10</v>
      </c>
      <c r="BO152" s="246" t="s">
        <v>758</v>
      </c>
      <c r="BP152" s="263">
        <v>0.41</v>
      </c>
      <c r="BQ152" s="263">
        <v>0.45</v>
      </c>
      <c r="BR152" s="263">
        <v>0.14000000000000001</v>
      </c>
      <c r="BS152" s="263">
        <v>0</v>
      </c>
      <c r="BT152" s="263">
        <v>0.55000000000000004</v>
      </c>
      <c r="BU152" s="263">
        <v>0.55000000000000004</v>
      </c>
      <c r="BV152" s="263">
        <v>0.48</v>
      </c>
      <c r="BW152" s="263">
        <v>0.5</v>
      </c>
      <c r="BX152" s="263">
        <v>0.54</v>
      </c>
      <c r="BY152" s="263">
        <v>0.6</v>
      </c>
      <c r="BZ152" s="309">
        <v>46</v>
      </c>
      <c r="CA152" s="309" t="s">
        <v>758</v>
      </c>
      <c r="CB152" s="309">
        <v>10</v>
      </c>
      <c r="CC152" s="309" t="s">
        <v>758</v>
      </c>
      <c r="CD152" s="327">
        <v>0.31</v>
      </c>
      <c r="CE152" s="327">
        <v>0.54</v>
      </c>
      <c r="CF152" s="327">
        <v>0.15</v>
      </c>
      <c r="CG152" s="327">
        <v>0</v>
      </c>
      <c r="CH152" s="327">
        <v>0.46</v>
      </c>
      <c r="CI152" s="327">
        <v>0.47</v>
      </c>
      <c r="CJ152" s="327">
        <v>0.63</v>
      </c>
      <c r="CK152" s="327">
        <v>0.56999999999999995</v>
      </c>
      <c r="CL152" s="327">
        <v>0.4</v>
      </c>
      <c r="CM152" s="327">
        <v>0.55000000000000004</v>
      </c>
      <c r="CN152" s="424">
        <v>46</v>
      </c>
      <c r="CO152" s="424" t="s">
        <v>758</v>
      </c>
      <c r="CP152" s="424">
        <v>9</v>
      </c>
      <c r="CQ152" s="424" t="s">
        <v>758</v>
      </c>
      <c r="CR152" s="428">
        <v>0.28999999999999998</v>
      </c>
      <c r="CS152" s="428">
        <v>0.49</v>
      </c>
      <c r="CT152" s="428">
        <v>0.23</v>
      </c>
      <c r="CU152" s="428">
        <v>0</v>
      </c>
      <c r="CV152" s="428">
        <v>0.49</v>
      </c>
      <c r="CW152" s="428">
        <v>0.6</v>
      </c>
      <c r="CX152" s="428">
        <v>0.63</v>
      </c>
      <c r="CY152" s="428">
        <v>0.67</v>
      </c>
      <c r="CZ152" s="523">
        <v>0.56000000000000005</v>
      </c>
      <c r="DA152" s="523">
        <v>0.72</v>
      </c>
      <c r="DB152" s="524">
        <v>50</v>
      </c>
      <c r="DC152" s="524" t="s">
        <v>758</v>
      </c>
      <c r="DD152" s="524">
        <v>9</v>
      </c>
      <c r="DE152" s="524" t="s">
        <v>758</v>
      </c>
      <c r="DF152" s="525">
        <v>0.16</v>
      </c>
      <c r="DG152" s="525">
        <v>0.59</v>
      </c>
      <c r="DH152" s="525">
        <v>0.23</v>
      </c>
      <c r="DI152" s="525">
        <v>0.02</v>
      </c>
      <c r="DJ152" s="525">
        <v>0.47</v>
      </c>
      <c r="DK152" s="525">
        <v>0.52</v>
      </c>
      <c r="DL152" s="525">
        <v>0.45</v>
      </c>
      <c r="DM152" s="525">
        <v>0.63</v>
      </c>
      <c r="DN152" s="525">
        <v>0.56999999999999995</v>
      </c>
      <c r="DO152" s="525">
        <v>0.36</v>
      </c>
      <c r="DP152" s="902">
        <v>44</v>
      </c>
      <c r="DQ152" s="902" t="s">
        <v>758</v>
      </c>
      <c r="DR152" s="902">
        <v>9</v>
      </c>
      <c r="DS152" s="902" t="s">
        <v>758</v>
      </c>
      <c r="DT152" s="949">
        <v>0.32</v>
      </c>
      <c r="DU152" s="949">
        <v>0.55000000000000004</v>
      </c>
      <c r="DV152" s="949">
        <v>0.14000000000000001</v>
      </c>
      <c r="DW152" s="949">
        <v>0</v>
      </c>
      <c r="DX152" s="949">
        <v>0.61</v>
      </c>
      <c r="DY152" s="949">
        <v>0.46</v>
      </c>
      <c r="DZ152" s="949">
        <v>0.69</v>
      </c>
      <c r="EA152" s="949">
        <v>0.54</v>
      </c>
      <c r="EB152" s="949">
        <v>0.66</v>
      </c>
      <c r="EC152" s="949">
        <v>0.45</v>
      </c>
      <c r="ED152" s="922">
        <v>325754003860</v>
      </c>
      <c r="EE152" s="803" t="s">
        <v>84</v>
      </c>
    </row>
    <row r="153" spans="1:135" ht="24.95" customHeight="1" x14ac:dyDescent="0.2">
      <c r="A153" s="803" t="s">
        <v>79</v>
      </c>
      <c r="B153" s="1" t="s">
        <v>123</v>
      </c>
      <c r="C153" s="2">
        <v>2</v>
      </c>
      <c r="D153" s="12">
        <v>49</v>
      </c>
      <c r="E153" s="12">
        <v>11</v>
      </c>
      <c r="F153" s="63">
        <v>0.38</v>
      </c>
      <c r="G153" s="63">
        <v>0.25</v>
      </c>
      <c r="H153" s="63">
        <v>0.38</v>
      </c>
      <c r="I153" s="63">
        <v>0</v>
      </c>
      <c r="J153" s="63">
        <v>0.56000000000000005</v>
      </c>
      <c r="K153" s="63">
        <v>0.61</v>
      </c>
      <c r="L153" s="63">
        <v>0.56000000000000005</v>
      </c>
      <c r="M153" s="63">
        <v>0.41</v>
      </c>
      <c r="N153" s="63">
        <v>0.44</v>
      </c>
      <c r="O153" s="63">
        <v>0.63</v>
      </c>
      <c r="P153" s="12">
        <v>55</v>
      </c>
      <c r="Q153" s="12">
        <v>7</v>
      </c>
      <c r="R153" s="61">
        <v>0</v>
      </c>
      <c r="S153" s="61">
        <v>0.55000000000000004</v>
      </c>
      <c r="T153" s="61">
        <v>0.45</v>
      </c>
      <c r="U153" s="61">
        <v>0</v>
      </c>
      <c r="V153" s="61">
        <v>0.34</v>
      </c>
      <c r="W153" s="61">
        <v>0.4</v>
      </c>
      <c r="X153" s="61">
        <v>0.52</v>
      </c>
      <c r="Y153" s="61">
        <v>0.49</v>
      </c>
      <c r="Z153" s="61">
        <v>0.33</v>
      </c>
      <c r="AA153" s="61">
        <v>0.38</v>
      </c>
      <c r="AB153" s="12">
        <v>54</v>
      </c>
      <c r="AC153" s="12">
        <v>9</v>
      </c>
      <c r="AD153" s="63">
        <v>0.09</v>
      </c>
      <c r="AE153" s="63">
        <v>0.48</v>
      </c>
      <c r="AF153" s="63">
        <v>0.39</v>
      </c>
      <c r="AG153" s="63">
        <v>0.04</v>
      </c>
      <c r="AH153" s="63">
        <v>0.4</v>
      </c>
      <c r="AI153" s="63">
        <v>0.33</v>
      </c>
      <c r="AJ153" s="63">
        <v>0.34</v>
      </c>
      <c r="AK153" s="63">
        <v>0.41</v>
      </c>
      <c r="AL153" s="63">
        <v>0.43</v>
      </c>
      <c r="AM153" s="63">
        <v>0.42</v>
      </c>
      <c r="AN153" s="12">
        <v>49</v>
      </c>
      <c r="AO153" s="12">
        <v>9</v>
      </c>
      <c r="AP153" s="63">
        <v>0.15</v>
      </c>
      <c r="AQ153" s="63">
        <v>0.57999999999999996</v>
      </c>
      <c r="AR153" s="63">
        <v>0.27</v>
      </c>
      <c r="AS153" s="63">
        <v>0</v>
      </c>
      <c r="AT153" s="63">
        <v>0.56000000000000005</v>
      </c>
      <c r="AU153" s="63">
        <v>0.45</v>
      </c>
      <c r="AV153" s="63">
        <v>0.42</v>
      </c>
      <c r="AW153" s="63">
        <v>0.44</v>
      </c>
      <c r="AX153" s="63">
        <v>0.45</v>
      </c>
      <c r="AY153" s="63">
        <v>0.47</v>
      </c>
      <c r="AZ153" s="35">
        <v>50</v>
      </c>
      <c r="BA153" s="35">
        <v>9</v>
      </c>
      <c r="BB153" s="40">
        <v>0.13</v>
      </c>
      <c r="BC153" s="40">
        <v>0.61</v>
      </c>
      <c r="BD153" s="40">
        <v>0.23</v>
      </c>
      <c r="BE153" s="40">
        <v>0.03</v>
      </c>
      <c r="BF153" s="40">
        <v>0.51</v>
      </c>
      <c r="BG153" s="40">
        <v>0.55000000000000004</v>
      </c>
      <c r="BH153" s="40">
        <v>0.44</v>
      </c>
      <c r="BI153" s="40">
        <v>0.54</v>
      </c>
      <c r="BJ153" s="40">
        <v>0.44</v>
      </c>
      <c r="BK153" s="40">
        <v>0.36</v>
      </c>
      <c r="BL153" s="246">
        <v>46</v>
      </c>
      <c r="BM153" s="246" t="s">
        <v>758</v>
      </c>
      <c r="BN153" s="246">
        <v>8</v>
      </c>
      <c r="BO153" s="246" t="s">
        <v>758</v>
      </c>
      <c r="BP153" s="263">
        <v>0.18</v>
      </c>
      <c r="BQ153" s="263">
        <v>0.71</v>
      </c>
      <c r="BR153" s="263">
        <v>0.12</v>
      </c>
      <c r="BS153" s="263">
        <v>0</v>
      </c>
      <c r="BT153" s="263">
        <v>0.49</v>
      </c>
      <c r="BU153" s="263">
        <v>0.57999999999999996</v>
      </c>
      <c r="BV153" s="263">
        <v>0.63</v>
      </c>
      <c r="BW153" s="263">
        <v>0.5</v>
      </c>
      <c r="BX153" s="263">
        <v>0.47</v>
      </c>
      <c r="BY153" s="263">
        <v>0.56999999999999995</v>
      </c>
      <c r="BZ153" s="309">
        <v>47</v>
      </c>
      <c r="CA153" s="309" t="s">
        <v>758</v>
      </c>
      <c r="CB153" s="309">
        <v>11</v>
      </c>
      <c r="CC153" s="309" t="s">
        <v>758</v>
      </c>
      <c r="CD153" s="327">
        <v>0.35</v>
      </c>
      <c r="CE153" s="327">
        <v>0.38</v>
      </c>
      <c r="CF153" s="327">
        <v>0.25</v>
      </c>
      <c r="CG153" s="327">
        <v>0.03</v>
      </c>
      <c r="CH153" s="327">
        <v>0.52</v>
      </c>
      <c r="CI153" s="327">
        <v>0.46</v>
      </c>
      <c r="CJ153" s="327">
        <v>0.61</v>
      </c>
      <c r="CK153" s="327">
        <v>0.55000000000000004</v>
      </c>
      <c r="CL153" s="327">
        <v>0.5</v>
      </c>
      <c r="CM153" s="327">
        <v>0.57999999999999996</v>
      </c>
      <c r="CN153" s="424">
        <v>50</v>
      </c>
      <c r="CO153" s="424" t="s">
        <v>758</v>
      </c>
      <c r="CP153" s="424">
        <v>11</v>
      </c>
      <c r="CQ153" s="424" t="s">
        <v>758</v>
      </c>
      <c r="CR153" s="428">
        <v>0.24</v>
      </c>
      <c r="CS153" s="428">
        <v>0.39</v>
      </c>
      <c r="CT153" s="428">
        <v>0.32</v>
      </c>
      <c r="CU153" s="428">
        <v>0.05</v>
      </c>
      <c r="CV153" s="428">
        <v>0.32</v>
      </c>
      <c r="CW153" s="428">
        <v>0.48</v>
      </c>
      <c r="CX153" s="428">
        <v>0.55000000000000004</v>
      </c>
      <c r="CY153" s="428">
        <v>0.5</v>
      </c>
      <c r="CZ153" s="523">
        <v>0.52</v>
      </c>
      <c r="DA153" s="523">
        <v>0.47</v>
      </c>
      <c r="DB153" s="524">
        <v>48</v>
      </c>
      <c r="DC153" s="524" t="s">
        <v>758</v>
      </c>
      <c r="DD153" s="524">
        <v>10</v>
      </c>
      <c r="DE153" s="524" t="s">
        <v>758</v>
      </c>
      <c r="DF153" s="525">
        <v>0.26</v>
      </c>
      <c r="DG153" s="525">
        <v>0.47</v>
      </c>
      <c r="DH153" s="525">
        <v>0.26</v>
      </c>
      <c r="DI153" s="525">
        <v>0</v>
      </c>
      <c r="DJ153" s="525">
        <v>0.53</v>
      </c>
      <c r="DK153" s="525">
        <v>0.49</v>
      </c>
      <c r="DL153" s="525">
        <v>0.56000000000000005</v>
      </c>
      <c r="DM153" s="525">
        <v>0.7</v>
      </c>
      <c r="DN153" s="525">
        <v>0.62</v>
      </c>
      <c r="DO153" s="525">
        <v>0.56000000000000005</v>
      </c>
      <c r="DP153" s="902">
        <v>51</v>
      </c>
      <c r="DQ153" s="902" t="s">
        <v>758</v>
      </c>
      <c r="DR153" s="902">
        <v>11</v>
      </c>
      <c r="DS153" s="902" t="s">
        <v>758</v>
      </c>
      <c r="DT153" s="949">
        <v>0.15</v>
      </c>
      <c r="DU153" s="949">
        <v>0.5</v>
      </c>
      <c r="DV153" s="949">
        <v>0.33</v>
      </c>
      <c r="DW153" s="949">
        <v>0.02</v>
      </c>
      <c r="DX153" s="949">
        <v>0.46</v>
      </c>
      <c r="DY153" s="949">
        <v>0.37</v>
      </c>
      <c r="DZ153" s="949">
        <v>0.54</v>
      </c>
      <c r="EA153" s="949">
        <v>0.44</v>
      </c>
      <c r="EB153" s="949">
        <v>0.55000000000000004</v>
      </c>
      <c r="EC153" s="949">
        <v>0.31</v>
      </c>
      <c r="ED153" s="922">
        <v>325754001883</v>
      </c>
      <c r="EE153" s="803" t="s">
        <v>79</v>
      </c>
    </row>
    <row r="154" spans="1:135" ht="24.95" customHeight="1" x14ac:dyDescent="0.2">
      <c r="A154" s="803" t="s">
        <v>70</v>
      </c>
      <c r="B154" s="1" t="s">
        <v>123</v>
      </c>
      <c r="C154" s="2">
        <v>6</v>
      </c>
      <c r="D154" s="12">
        <v>53</v>
      </c>
      <c r="E154" s="12">
        <v>9</v>
      </c>
      <c r="F154" s="63">
        <v>0.08</v>
      </c>
      <c r="G154" s="63">
        <v>0.48</v>
      </c>
      <c r="H154" s="63">
        <v>0.42</v>
      </c>
      <c r="I154" s="63">
        <v>0.02</v>
      </c>
      <c r="J154" s="63">
        <v>0.49</v>
      </c>
      <c r="K154" s="63">
        <v>0.46</v>
      </c>
      <c r="L154" s="63">
        <v>0.57999999999999996</v>
      </c>
      <c r="M154" s="63">
        <v>0.44</v>
      </c>
      <c r="N154" s="63">
        <v>0.41</v>
      </c>
      <c r="O154" s="63">
        <v>0.5</v>
      </c>
      <c r="P154" s="12">
        <v>53</v>
      </c>
      <c r="Q154" s="12">
        <v>9</v>
      </c>
      <c r="R154" s="61">
        <v>0.08</v>
      </c>
      <c r="S154" s="61">
        <v>0.53</v>
      </c>
      <c r="T154" s="61">
        <v>0.37</v>
      </c>
      <c r="U154" s="61">
        <v>0.02</v>
      </c>
      <c r="V154" s="61">
        <v>0.37</v>
      </c>
      <c r="W154" s="61">
        <v>0.43</v>
      </c>
      <c r="X154" s="61">
        <v>0.55000000000000004</v>
      </c>
      <c r="Y154" s="61">
        <v>0.43</v>
      </c>
      <c r="Z154" s="61">
        <v>0.4</v>
      </c>
      <c r="AA154" s="61">
        <v>0.47</v>
      </c>
      <c r="AB154" s="12">
        <v>52</v>
      </c>
      <c r="AC154" s="12">
        <v>10</v>
      </c>
      <c r="AD154" s="63">
        <v>0.13</v>
      </c>
      <c r="AE154" s="63">
        <v>0.5</v>
      </c>
      <c r="AF154" s="63">
        <v>0.34</v>
      </c>
      <c r="AG154" s="63">
        <v>0.03</v>
      </c>
      <c r="AH154" s="63">
        <v>0.38</v>
      </c>
      <c r="AI154" s="63">
        <v>0.41</v>
      </c>
      <c r="AJ154" s="63">
        <v>0.37</v>
      </c>
      <c r="AK154" s="63">
        <v>0.44</v>
      </c>
      <c r="AL154" s="63">
        <v>0.54</v>
      </c>
      <c r="AM154" s="63">
        <v>0.47</v>
      </c>
      <c r="AN154" s="12">
        <v>49</v>
      </c>
      <c r="AO154" s="12">
        <v>11</v>
      </c>
      <c r="AP154" s="63">
        <v>0.24</v>
      </c>
      <c r="AQ154" s="63">
        <v>0.45</v>
      </c>
      <c r="AR154" s="63">
        <v>0.28999999999999998</v>
      </c>
      <c r="AS154" s="63">
        <v>0.02</v>
      </c>
      <c r="AT154" s="63">
        <v>0.53</v>
      </c>
      <c r="AU154" s="63">
        <v>0.48</v>
      </c>
      <c r="AV154" s="63">
        <v>0.45</v>
      </c>
      <c r="AW154" s="63">
        <v>0.46</v>
      </c>
      <c r="AX154" s="63">
        <v>0.44</v>
      </c>
      <c r="AY154" s="63">
        <v>0.44</v>
      </c>
      <c r="AZ154" s="35">
        <v>49</v>
      </c>
      <c r="BA154" s="35">
        <v>11</v>
      </c>
      <c r="BB154" s="40">
        <v>0.24</v>
      </c>
      <c r="BC154" s="40">
        <v>0.44</v>
      </c>
      <c r="BD154" s="40">
        <v>0.3</v>
      </c>
      <c r="BE154" s="40">
        <v>0.02</v>
      </c>
      <c r="BF154" s="40">
        <v>0.49</v>
      </c>
      <c r="BG154" s="40">
        <v>0.48</v>
      </c>
      <c r="BH154" s="40">
        <v>0.48</v>
      </c>
      <c r="BI154" s="40">
        <v>0.56000000000000005</v>
      </c>
      <c r="BJ154" s="40">
        <v>0.47</v>
      </c>
      <c r="BK154" s="40">
        <v>0.42</v>
      </c>
      <c r="BL154" s="246">
        <v>48</v>
      </c>
      <c r="BM154" s="246" t="s">
        <v>758</v>
      </c>
      <c r="BN154" s="246">
        <v>12</v>
      </c>
      <c r="BO154" s="246" t="s">
        <v>758</v>
      </c>
      <c r="BP154" s="263">
        <v>0.28000000000000003</v>
      </c>
      <c r="BQ154" s="263">
        <v>0.36</v>
      </c>
      <c r="BR154" s="263">
        <v>0.34</v>
      </c>
      <c r="BS154" s="263">
        <v>0.01</v>
      </c>
      <c r="BT154" s="263">
        <v>0.48</v>
      </c>
      <c r="BU154" s="263">
        <v>0.5</v>
      </c>
      <c r="BV154" s="263">
        <v>0.55000000000000004</v>
      </c>
      <c r="BW154" s="263">
        <v>0.45</v>
      </c>
      <c r="BX154" s="263">
        <v>0.45</v>
      </c>
      <c r="BY154" s="263">
        <v>0.52</v>
      </c>
      <c r="BZ154" s="309">
        <v>50</v>
      </c>
      <c r="CA154" s="309" t="s">
        <v>758</v>
      </c>
      <c r="CB154" s="309">
        <v>11</v>
      </c>
      <c r="CC154" s="309" t="s">
        <v>758</v>
      </c>
      <c r="CD154" s="327">
        <v>0.21</v>
      </c>
      <c r="CE154" s="327">
        <v>0.47</v>
      </c>
      <c r="CF154" s="327">
        <v>0.28000000000000003</v>
      </c>
      <c r="CG154" s="327">
        <v>0.04</v>
      </c>
      <c r="CH154" s="327">
        <v>0.51</v>
      </c>
      <c r="CI154" s="327">
        <v>0.35</v>
      </c>
      <c r="CJ154" s="327">
        <v>0.55000000000000004</v>
      </c>
      <c r="CK154" s="327">
        <v>0.54</v>
      </c>
      <c r="CL154" s="327">
        <v>0.43</v>
      </c>
      <c r="CM154" s="327">
        <v>0.57999999999999996</v>
      </c>
      <c r="CN154" s="424">
        <v>51</v>
      </c>
      <c r="CO154" s="424" t="s">
        <v>758</v>
      </c>
      <c r="CP154" s="424">
        <v>11</v>
      </c>
      <c r="CQ154" s="424" t="s">
        <v>758</v>
      </c>
      <c r="CR154" s="428">
        <v>0.17</v>
      </c>
      <c r="CS154" s="428">
        <v>0.45</v>
      </c>
      <c r="CT154" s="428">
        <v>0.36</v>
      </c>
      <c r="CU154" s="428">
        <v>0.02</v>
      </c>
      <c r="CV154" s="428">
        <v>0.35</v>
      </c>
      <c r="CW154" s="428">
        <v>0.54</v>
      </c>
      <c r="CX154" s="428">
        <v>0.55000000000000004</v>
      </c>
      <c r="CY154" s="428">
        <v>0.55000000000000004</v>
      </c>
      <c r="CZ154" s="523">
        <v>0.56000000000000005</v>
      </c>
      <c r="DA154" s="523">
        <v>0.47</v>
      </c>
      <c r="DB154" s="524">
        <v>51</v>
      </c>
      <c r="DC154" s="524" t="s">
        <v>758</v>
      </c>
      <c r="DD154" s="524">
        <v>11</v>
      </c>
      <c r="DE154" s="524" t="s">
        <v>758</v>
      </c>
      <c r="DF154" s="525">
        <v>0.17</v>
      </c>
      <c r="DG154" s="525">
        <v>0.47</v>
      </c>
      <c r="DH154" s="525">
        <v>0.33</v>
      </c>
      <c r="DI154" s="525">
        <v>0.03</v>
      </c>
      <c r="DJ154" s="525">
        <v>0.48</v>
      </c>
      <c r="DK154" s="525">
        <v>0.47</v>
      </c>
      <c r="DL154" s="525">
        <v>0.46</v>
      </c>
      <c r="DM154" s="525">
        <v>0.62</v>
      </c>
      <c r="DN154" s="525">
        <v>0.5</v>
      </c>
      <c r="DO154" s="525">
        <v>0.41</v>
      </c>
      <c r="DP154" s="902">
        <v>53</v>
      </c>
      <c r="DQ154" s="902" t="s">
        <v>758</v>
      </c>
      <c r="DR154" s="902">
        <v>11</v>
      </c>
      <c r="DS154" s="902" t="s">
        <v>758</v>
      </c>
      <c r="DT154" s="949">
        <v>0.16</v>
      </c>
      <c r="DU154" s="949">
        <v>0.44</v>
      </c>
      <c r="DV154" s="949">
        <v>0.36</v>
      </c>
      <c r="DW154" s="949">
        <v>0.05</v>
      </c>
      <c r="DX154" s="949">
        <v>0.46</v>
      </c>
      <c r="DY154" s="949">
        <v>0.37</v>
      </c>
      <c r="DZ154" s="949">
        <v>0.57999999999999996</v>
      </c>
      <c r="EA154" s="949">
        <v>0.42</v>
      </c>
      <c r="EB154" s="949">
        <v>0.53</v>
      </c>
      <c r="EC154" s="949">
        <v>0.35</v>
      </c>
      <c r="ED154" s="922">
        <v>325754004238</v>
      </c>
      <c r="EE154" s="803" t="s">
        <v>70</v>
      </c>
    </row>
    <row r="155" spans="1:135" ht="24.95" customHeight="1" x14ac:dyDescent="0.2">
      <c r="A155" s="803" t="s">
        <v>108</v>
      </c>
      <c r="B155" s="1" t="s">
        <v>123</v>
      </c>
      <c r="C155" s="2">
        <v>5</v>
      </c>
      <c r="D155" s="12">
        <v>60</v>
      </c>
      <c r="E155" s="12">
        <v>8</v>
      </c>
      <c r="F155" s="63">
        <v>0</v>
      </c>
      <c r="G155" s="63">
        <v>0.3</v>
      </c>
      <c r="H155" s="63">
        <v>0.63</v>
      </c>
      <c r="I155" s="63">
        <v>7.0000000000000007E-2</v>
      </c>
      <c r="J155" s="63">
        <v>0.42</v>
      </c>
      <c r="K155" s="63">
        <v>0.43</v>
      </c>
      <c r="L155" s="63">
        <v>0.42</v>
      </c>
      <c r="M155" s="63">
        <v>0.31</v>
      </c>
      <c r="N155" s="63">
        <v>0.26</v>
      </c>
      <c r="O155" s="63">
        <v>0.36</v>
      </c>
      <c r="P155" s="12">
        <v>59</v>
      </c>
      <c r="Q155" s="12">
        <v>8</v>
      </c>
      <c r="R155" s="61">
        <v>0.04</v>
      </c>
      <c r="S155" s="61">
        <v>0.17</v>
      </c>
      <c r="T155" s="61">
        <v>0.78</v>
      </c>
      <c r="U155" s="61">
        <v>0</v>
      </c>
      <c r="V155" s="61">
        <v>0.28999999999999998</v>
      </c>
      <c r="W155" s="61">
        <v>0.31</v>
      </c>
      <c r="X155" s="61">
        <v>0.43</v>
      </c>
      <c r="Y155" s="61">
        <v>0.33</v>
      </c>
      <c r="Z155" s="61">
        <v>0.35</v>
      </c>
      <c r="AA155" s="61">
        <v>0.4</v>
      </c>
      <c r="AB155" s="12">
        <v>59</v>
      </c>
      <c r="AC155" s="12">
        <v>11</v>
      </c>
      <c r="AD155" s="63">
        <v>0</v>
      </c>
      <c r="AE155" s="63">
        <v>0.46</v>
      </c>
      <c r="AF155" s="63">
        <v>0.43</v>
      </c>
      <c r="AG155" s="63">
        <v>0.11</v>
      </c>
      <c r="AH155" s="63">
        <v>0.31</v>
      </c>
      <c r="AI155" s="63">
        <v>0.28000000000000003</v>
      </c>
      <c r="AJ155" s="63">
        <v>0.27</v>
      </c>
      <c r="AK155" s="63">
        <v>0.32</v>
      </c>
      <c r="AL155" s="63">
        <v>0.35</v>
      </c>
      <c r="AM155" s="63">
        <v>0.33</v>
      </c>
      <c r="AN155" s="12">
        <v>52</v>
      </c>
      <c r="AO155" s="12">
        <v>10</v>
      </c>
      <c r="AP155" s="63">
        <v>0.13</v>
      </c>
      <c r="AQ155" s="63">
        <v>0.5</v>
      </c>
      <c r="AR155" s="63">
        <v>0.3</v>
      </c>
      <c r="AS155" s="63">
        <v>7.0000000000000007E-2</v>
      </c>
      <c r="AT155" s="63">
        <v>0.48</v>
      </c>
      <c r="AU155" s="63">
        <v>0.37</v>
      </c>
      <c r="AV155" s="63">
        <v>0.43</v>
      </c>
      <c r="AW155" s="63">
        <v>0.39</v>
      </c>
      <c r="AX155" s="63">
        <v>0.41</v>
      </c>
      <c r="AY155" s="63">
        <v>0.43</v>
      </c>
      <c r="AZ155" s="35">
        <v>54</v>
      </c>
      <c r="BA155" s="35">
        <v>10</v>
      </c>
      <c r="BB155" s="40">
        <v>0.1</v>
      </c>
      <c r="BC155" s="40">
        <v>0.5</v>
      </c>
      <c r="BD155" s="40">
        <v>0.35</v>
      </c>
      <c r="BE155" s="40">
        <v>0.06</v>
      </c>
      <c r="BF155" s="40">
        <v>0.42</v>
      </c>
      <c r="BG155" s="40">
        <v>0.4</v>
      </c>
      <c r="BH155" s="40">
        <v>0.41</v>
      </c>
      <c r="BI155" s="40">
        <v>0.47</v>
      </c>
      <c r="BJ155" s="40">
        <v>0.37</v>
      </c>
      <c r="BK155" s="40">
        <v>0.36</v>
      </c>
      <c r="BL155" s="246">
        <v>54</v>
      </c>
      <c r="BM155" s="246" t="s">
        <v>758</v>
      </c>
      <c r="BN155" s="246">
        <v>13</v>
      </c>
      <c r="BO155" s="246" t="s">
        <v>758</v>
      </c>
      <c r="BP155" s="263">
        <v>0.15</v>
      </c>
      <c r="BQ155" s="263">
        <v>0.35</v>
      </c>
      <c r="BR155" s="263">
        <v>0.48</v>
      </c>
      <c r="BS155" s="263">
        <v>0.02</v>
      </c>
      <c r="BT155" s="263">
        <v>0.34</v>
      </c>
      <c r="BU155" s="263">
        <v>0.44</v>
      </c>
      <c r="BV155" s="263">
        <v>0.44</v>
      </c>
      <c r="BW155" s="263">
        <v>0.35</v>
      </c>
      <c r="BX155" s="263">
        <v>0.38</v>
      </c>
      <c r="BY155" s="263">
        <v>0.46</v>
      </c>
      <c r="BZ155" s="309">
        <v>58</v>
      </c>
      <c r="CA155" s="309" t="s">
        <v>759</v>
      </c>
      <c r="CB155" s="309">
        <v>11</v>
      </c>
      <c r="CC155" s="309" t="s">
        <v>758</v>
      </c>
      <c r="CD155" s="327">
        <v>0.06</v>
      </c>
      <c r="CE155" s="327">
        <v>0.26</v>
      </c>
      <c r="CF155" s="327">
        <v>0.6</v>
      </c>
      <c r="CG155" s="327">
        <v>0.09</v>
      </c>
      <c r="CH155" s="327">
        <v>0.39</v>
      </c>
      <c r="CI155" s="327">
        <v>0.26</v>
      </c>
      <c r="CJ155" s="327">
        <v>0.51</v>
      </c>
      <c r="CK155" s="327">
        <v>0.39</v>
      </c>
      <c r="CL155" s="327">
        <v>0.25</v>
      </c>
      <c r="CM155" s="327">
        <v>0.41</v>
      </c>
      <c r="CN155" s="424">
        <v>56</v>
      </c>
      <c r="CO155" s="424" t="s">
        <v>758</v>
      </c>
      <c r="CP155" s="424">
        <v>11</v>
      </c>
      <c r="CQ155" s="424" t="s">
        <v>758</v>
      </c>
      <c r="CR155" s="428">
        <v>0.09</v>
      </c>
      <c r="CS155" s="428">
        <v>0.39</v>
      </c>
      <c r="CT155" s="428">
        <v>0.43</v>
      </c>
      <c r="CU155" s="428">
        <v>0.09</v>
      </c>
      <c r="CV155" s="428">
        <v>0.3</v>
      </c>
      <c r="CW155" s="428">
        <v>0.42</v>
      </c>
      <c r="CX155" s="428">
        <v>0.51</v>
      </c>
      <c r="CY155" s="428">
        <v>0.51</v>
      </c>
      <c r="CZ155" s="523">
        <v>0.43</v>
      </c>
      <c r="DA155" s="523">
        <v>0.49</v>
      </c>
      <c r="DB155" s="524">
        <v>57</v>
      </c>
      <c r="DC155" s="524" t="s">
        <v>758</v>
      </c>
      <c r="DD155" s="524">
        <v>11</v>
      </c>
      <c r="DE155" s="524" t="s">
        <v>758</v>
      </c>
      <c r="DF155" s="525">
        <v>0.08</v>
      </c>
      <c r="DG155" s="525">
        <v>0.33</v>
      </c>
      <c r="DH155" s="525">
        <v>0.49</v>
      </c>
      <c r="DI155" s="525">
        <v>0.1</v>
      </c>
      <c r="DJ155" s="525">
        <v>0.4</v>
      </c>
      <c r="DK155" s="525">
        <v>0.34</v>
      </c>
      <c r="DL155" s="525">
        <v>0.3</v>
      </c>
      <c r="DM155" s="525">
        <v>0.5</v>
      </c>
      <c r="DN155" s="525">
        <v>0.39</v>
      </c>
      <c r="DO155" s="525">
        <v>0.33</v>
      </c>
      <c r="DP155" s="902">
        <v>55</v>
      </c>
      <c r="DQ155" s="902" t="s">
        <v>758</v>
      </c>
      <c r="DR155" s="902">
        <v>11</v>
      </c>
      <c r="DS155" s="902" t="s">
        <v>758</v>
      </c>
      <c r="DT155" s="949">
        <v>0.09</v>
      </c>
      <c r="DU155" s="949">
        <v>0.39</v>
      </c>
      <c r="DV155" s="949">
        <v>0.47</v>
      </c>
      <c r="DW155" s="949">
        <v>0.05</v>
      </c>
      <c r="DX155" s="949">
        <v>0.36</v>
      </c>
      <c r="DY155" s="949">
        <v>0.3</v>
      </c>
      <c r="DZ155" s="949">
        <v>0.51</v>
      </c>
      <c r="EA155" s="949">
        <v>0.43</v>
      </c>
      <c r="EB155" s="949">
        <v>0.48</v>
      </c>
      <c r="EC155" s="949">
        <v>0.35</v>
      </c>
      <c r="ED155" s="922">
        <v>325754005099</v>
      </c>
      <c r="EE155" s="803" t="s">
        <v>108</v>
      </c>
    </row>
    <row r="156" spans="1:135" ht="24.95" customHeight="1" x14ac:dyDescent="0.2">
      <c r="A156" s="803" t="s">
        <v>92</v>
      </c>
      <c r="B156" s="1" t="s">
        <v>123</v>
      </c>
      <c r="C156" s="2">
        <v>1</v>
      </c>
      <c r="D156" s="12">
        <v>52</v>
      </c>
      <c r="E156" s="12">
        <v>8</v>
      </c>
      <c r="F156" s="63">
        <v>0.11</v>
      </c>
      <c r="G156" s="63">
        <v>0.61</v>
      </c>
      <c r="H156" s="63">
        <v>0.28999999999999998</v>
      </c>
      <c r="I156" s="63">
        <v>0</v>
      </c>
      <c r="J156" s="63">
        <v>0.51</v>
      </c>
      <c r="K156" s="63">
        <v>0.49</v>
      </c>
      <c r="L156" s="63">
        <v>0.65</v>
      </c>
      <c r="M156" s="63">
        <v>0.36</v>
      </c>
      <c r="N156" s="63">
        <v>0.43</v>
      </c>
      <c r="O156" s="63">
        <v>0.51</v>
      </c>
      <c r="P156" s="12">
        <v>50</v>
      </c>
      <c r="Q156" s="12">
        <v>9</v>
      </c>
      <c r="R156" s="61">
        <v>0.13</v>
      </c>
      <c r="S156" s="61">
        <v>0.61</v>
      </c>
      <c r="T156" s="61">
        <v>0.23</v>
      </c>
      <c r="U156" s="61">
        <v>0.03</v>
      </c>
      <c r="V156" s="61">
        <v>0.42</v>
      </c>
      <c r="W156" s="61">
        <v>0.48</v>
      </c>
      <c r="X156" s="61">
        <v>0.57999999999999996</v>
      </c>
      <c r="Y156" s="61">
        <v>0.43</v>
      </c>
      <c r="Z156" s="61">
        <v>0.46</v>
      </c>
      <c r="AA156" s="61">
        <v>0.59</v>
      </c>
      <c r="AB156" s="12">
        <v>45</v>
      </c>
      <c r="AC156" s="12">
        <v>9</v>
      </c>
      <c r="AD156" s="63">
        <v>0.3</v>
      </c>
      <c r="AE156" s="63">
        <v>0.55000000000000004</v>
      </c>
      <c r="AF156" s="63">
        <v>0.15</v>
      </c>
      <c r="AG156" s="63">
        <v>0</v>
      </c>
      <c r="AH156" s="63">
        <v>0.44</v>
      </c>
      <c r="AI156" s="63">
        <v>0.63</v>
      </c>
      <c r="AJ156" s="63">
        <v>0.48</v>
      </c>
      <c r="AK156" s="63">
        <v>0.55000000000000004</v>
      </c>
      <c r="AL156" s="63">
        <v>0.61</v>
      </c>
      <c r="AM156" s="63">
        <v>0.65</v>
      </c>
      <c r="AN156" s="12">
        <v>47</v>
      </c>
      <c r="AO156" s="12">
        <v>9</v>
      </c>
      <c r="AP156" s="63">
        <v>0.2</v>
      </c>
      <c r="AQ156" s="63">
        <v>0.68</v>
      </c>
      <c r="AR156" s="63">
        <v>0.12</v>
      </c>
      <c r="AS156" s="63">
        <v>0</v>
      </c>
      <c r="AT156" s="63">
        <v>0.59</v>
      </c>
      <c r="AU156" s="63">
        <v>0.53</v>
      </c>
      <c r="AV156" s="63">
        <v>0.51</v>
      </c>
      <c r="AW156" s="63">
        <v>0.48</v>
      </c>
      <c r="AX156" s="63">
        <v>0.48</v>
      </c>
      <c r="AY156" s="63">
        <v>0.5</v>
      </c>
      <c r="AZ156" s="35">
        <v>47</v>
      </c>
      <c r="BA156" s="35">
        <v>10</v>
      </c>
      <c r="BB156" s="40">
        <v>0.32</v>
      </c>
      <c r="BC156" s="40">
        <v>0.45</v>
      </c>
      <c r="BD156" s="40">
        <v>0.23</v>
      </c>
      <c r="BE156" s="40">
        <v>0</v>
      </c>
      <c r="BF156" s="40">
        <v>0.59</v>
      </c>
      <c r="BG156" s="40">
        <v>0.51</v>
      </c>
      <c r="BH156" s="40">
        <v>0.54</v>
      </c>
      <c r="BI156" s="40">
        <v>0.56000000000000005</v>
      </c>
      <c r="BJ156" s="40">
        <v>0.49</v>
      </c>
      <c r="BK156" s="40">
        <v>0.44</v>
      </c>
      <c r="BL156" s="246">
        <v>47</v>
      </c>
      <c r="BM156" s="246" t="s">
        <v>758</v>
      </c>
      <c r="BN156" s="246">
        <v>11</v>
      </c>
      <c r="BO156" s="246" t="s">
        <v>758</v>
      </c>
      <c r="BP156" s="263">
        <v>0.32</v>
      </c>
      <c r="BQ156" s="263">
        <v>0.39</v>
      </c>
      <c r="BR156" s="263">
        <v>0.28999999999999998</v>
      </c>
      <c r="BS156" s="263">
        <v>0</v>
      </c>
      <c r="BT156" s="263">
        <v>0.53</v>
      </c>
      <c r="BU156" s="263">
        <v>0.47</v>
      </c>
      <c r="BV156" s="263">
        <v>0.63</v>
      </c>
      <c r="BW156" s="263">
        <v>0.47</v>
      </c>
      <c r="BX156" s="263">
        <v>0.5</v>
      </c>
      <c r="BY156" s="263">
        <v>0.56999999999999995</v>
      </c>
      <c r="BZ156" s="309">
        <v>51</v>
      </c>
      <c r="CA156" s="309" t="s">
        <v>758</v>
      </c>
      <c r="CB156" s="309">
        <v>11</v>
      </c>
      <c r="CC156" s="309" t="s">
        <v>758</v>
      </c>
      <c r="CD156" s="327">
        <v>0.19</v>
      </c>
      <c r="CE156" s="327">
        <v>0.38</v>
      </c>
      <c r="CF156" s="327">
        <v>0.42</v>
      </c>
      <c r="CG156" s="327">
        <v>0</v>
      </c>
      <c r="CH156" s="327">
        <v>0.46</v>
      </c>
      <c r="CI156" s="327">
        <v>0.38</v>
      </c>
      <c r="CJ156" s="327">
        <v>0.56999999999999995</v>
      </c>
      <c r="CK156" s="327">
        <v>0.54</v>
      </c>
      <c r="CL156" s="327">
        <v>0.41</v>
      </c>
      <c r="CM156" s="327">
        <v>0.57999999999999996</v>
      </c>
      <c r="CN156" s="424">
        <v>50</v>
      </c>
      <c r="CO156" s="424" t="s">
        <v>758</v>
      </c>
      <c r="CP156" s="424">
        <v>10</v>
      </c>
      <c r="CQ156" s="424" t="s">
        <v>758</v>
      </c>
      <c r="CR156" s="428">
        <v>0.19</v>
      </c>
      <c r="CS156" s="428">
        <v>0.52</v>
      </c>
      <c r="CT156" s="428">
        <v>0.27</v>
      </c>
      <c r="CU156" s="428">
        <v>0.02</v>
      </c>
      <c r="CV156" s="428">
        <v>0.35</v>
      </c>
      <c r="CW156" s="428">
        <v>0.57999999999999996</v>
      </c>
      <c r="CX156" s="428">
        <v>0.55000000000000004</v>
      </c>
      <c r="CY156" s="428">
        <v>0.67</v>
      </c>
      <c r="CZ156" s="523">
        <v>0.54</v>
      </c>
      <c r="DA156" s="523">
        <v>0.65</v>
      </c>
      <c r="DB156" s="524">
        <v>47</v>
      </c>
      <c r="DC156" s="524" t="s">
        <v>758</v>
      </c>
      <c r="DD156" s="524">
        <v>9</v>
      </c>
      <c r="DE156" s="524" t="s">
        <v>758</v>
      </c>
      <c r="DF156" s="525">
        <v>0.28999999999999998</v>
      </c>
      <c r="DG156" s="525">
        <v>0.51</v>
      </c>
      <c r="DH156" s="525">
        <v>0.2</v>
      </c>
      <c r="DI156" s="525">
        <v>0</v>
      </c>
      <c r="DJ156" s="525">
        <v>0.54</v>
      </c>
      <c r="DK156" s="525">
        <v>0.49</v>
      </c>
      <c r="DL156" s="525">
        <v>0.55000000000000004</v>
      </c>
      <c r="DM156" s="525">
        <v>0.71</v>
      </c>
      <c r="DN156" s="525">
        <v>0.62</v>
      </c>
      <c r="DO156" s="525">
        <v>0.38</v>
      </c>
      <c r="DP156" s="902">
        <v>49</v>
      </c>
      <c r="DQ156" s="902" t="s">
        <v>758</v>
      </c>
      <c r="DR156" s="902">
        <v>11</v>
      </c>
      <c r="DS156" s="902" t="s">
        <v>758</v>
      </c>
      <c r="DT156" s="949">
        <v>0.25</v>
      </c>
      <c r="DU156" s="949">
        <v>0.48</v>
      </c>
      <c r="DV156" s="949">
        <v>0.25</v>
      </c>
      <c r="DW156" s="949">
        <v>0.03</v>
      </c>
      <c r="DX156" s="949">
        <v>0.49</v>
      </c>
      <c r="DY156" s="949">
        <v>0.42</v>
      </c>
      <c r="DZ156" s="949">
        <v>0.68</v>
      </c>
      <c r="EA156" s="949">
        <v>0.44</v>
      </c>
      <c r="EB156" s="949">
        <v>0.56000000000000005</v>
      </c>
      <c r="EC156" s="949">
        <v>0.39</v>
      </c>
      <c r="ED156" s="922">
        <v>325754001905</v>
      </c>
      <c r="EE156" s="803" t="s">
        <v>92</v>
      </c>
    </row>
    <row r="157" spans="1:135" ht="24.95" customHeight="1" x14ac:dyDescent="0.2">
      <c r="A157" s="803" t="s">
        <v>130</v>
      </c>
      <c r="B157" s="1" t="s">
        <v>123</v>
      </c>
      <c r="C157" s="2">
        <v>6</v>
      </c>
      <c r="D157" s="12"/>
      <c r="E157" s="12"/>
      <c r="F157" s="12"/>
      <c r="G157" s="12"/>
      <c r="H157" s="12"/>
      <c r="I157" s="12"/>
      <c r="J157" s="12"/>
      <c r="K157" s="12"/>
      <c r="L157" s="12"/>
      <c r="M157" s="12"/>
      <c r="N157" s="12"/>
      <c r="O157" s="12"/>
      <c r="P157" s="12">
        <v>48</v>
      </c>
      <c r="Q157" s="12">
        <v>15</v>
      </c>
      <c r="R157" s="61">
        <v>0.33</v>
      </c>
      <c r="S157" s="61">
        <v>0.33</v>
      </c>
      <c r="T157" s="61">
        <v>0.33</v>
      </c>
      <c r="U157" s="61">
        <v>0</v>
      </c>
      <c r="V157" s="61">
        <v>0.42</v>
      </c>
      <c r="W157" s="61">
        <v>0.5</v>
      </c>
      <c r="X157" s="61">
        <v>0.59</v>
      </c>
      <c r="Y157" s="61">
        <v>0.53</v>
      </c>
      <c r="Z157" s="61">
        <v>0.5</v>
      </c>
      <c r="AA157" s="61">
        <v>0.57999999999999996</v>
      </c>
      <c r="AB157" s="12">
        <v>48</v>
      </c>
      <c r="AC157" s="12">
        <v>10</v>
      </c>
      <c r="AD157" s="63">
        <v>0.25</v>
      </c>
      <c r="AE157" s="63">
        <v>0.5</v>
      </c>
      <c r="AF157" s="63">
        <v>0.25</v>
      </c>
      <c r="AG157" s="63">
        <v>0</v>
      </c>
      <c r="AH157" s="63">
        <v>0.38</v>
      </c>
      <c r="AI157" s="63">
        <v>0.46</v>
      </c>
      <c r="AJ157" s="63">
        <v>0.31</v>
      </c>
      <c r="AK157" s="63">
        <v>0.53</v>
      </c>
      <c r="AL157" s="63">
        <v>0.67</v>
      </c>
      <c r="AM157" s="63">
        <v>0.88</v>
      </c>
      <c r="AN157" s="12">
        <v>49</v>
      </c>
      <c r="AO157" s="12">
        <v>5</v>
      </c>
      <c r="AP157" s="63">
        <v>0</v>
      </c>
      <c r="AQ157" s="63">
        <v>1</v>
      </c>
      <c r="AR157" s="63">
        <v>0</v>
      </c>
      <c r="AS157" s="63">
        <v>0</v>
      </c>
      <c r="AT157" s="63">
        <v>0.75</v>
      </c>
      <c r="AU157" s="63">
        <v>0.5</v>
      </c>
      <c r="AV157" s="63">
        <v>0.45</v>
      </c>
      <c r="AW157" s="63">
        <v>0.33</v>
      </c>
      <c r="AX157" s="63">
        <v>0.42</v>
      </c>
      <c r="AY157" s="63">
        <v>0.54</v>
      </c>
      <c r="AZ157" s="35">
        <v>39</v>
      </c>
      <c r="BA157" s="35">
        <v>2</v>
      </c>
      <c r="BB157" s="40">
        <v>1</v>
      </c>
      <c r="BC157" s="40">
        <v>0</v>
      </c>
      <c r="BD157" s="40">
        <v>0</v>
      </c>
      <c r="BE157" s="40">
        <v>0</v>
      </c>
      <c r="BF157" s="40">
        <v>0.6</v>
      </c>
      <c r="BG157" s="40">
        <v>0.42</v>
      </c>
      <c r="BH157" s="40">
        <v>0.78</v>
      </c>
      <c r="BI157" s="40">
        <v>0.5</v>
      </c>
      <c r="BJ157" s="40">
        <v>0.62</v>
      </c>
      <c r="BK157" s="40">
        <v>0.67</v>
      </c>
      <c r="BL157" s="646"/>
      <c r="BM157" s="646"/>
      <c r="BN157" s="646"/>
      <c r="BO157" s="646"/>
      <c r="BP157" s="646"/>
      <c r="BQ157" s="646"/>
      <c r="BR157" s="646"/>
      <c r="BS157" s="646"/>
      <c r="BT157" s="646"/>
      <c r="BU157" s="646"/>
      <c r="BV157" s="646"/>
      <c r="BW157" s="646"/>
      <c r="BX157" s="646"/>
      <c r="BY157" s="646"/>
      <c r="BZ157" s="649"/>
      <c r="CA157" s="649"/>
      <c r="CB157" s="649"/>
      <c r="CC157" s="649"/>
      <c r="CD157" s="649"/>
      <c r="CE157" s="649"/>
      <c r="CF157" s="649"/>
      <c r="CG157" s="649"/>
      <c r="CH157" s="649"/>
      <c r="CI157" s="649"/>
      <c r="CJ157" s="649"/>
      <c r="CK157" s="649"/>
      <c r="CL157" s="649"/>
      <c r="CM157" s="649"/>
      <c r="CN157" s="651"/>
      <c r="CO157" s="651"/>
      <c r="CP157" s="651"/>
      <c r="CQ157" s="651"/>
      <c r="CR157" s="651"/>
      <c r="CS157" s="651"/>
      <c r="CT157" s="651"/>
      <c r="CU157" s="651"/>
      <c r="CV157" s="651"/>
      <c r="CW157" s="651"/>
      <c r="CX157" s="651"/>
      <c r="CY157" s="651"/>
      <c r="CZ157" s="660"/>
      <c r="DA157" s="660"/>
      <c r="DB157" s="662"/>
      <c r="DC157" s="662"/>
      <c r="DD157" s="662"/>
      <c r="DE157" s="662"/>
      <c r="DF157" s="662"/>
      <c r="DG157" s="662"/>
      <c r="DH157" s="662"/>
      <c r="DI157" s="662"/>
      <c r="DJ157" s="662"/>
      <c r="DK157" s="662"/>
      <c r="DL157" s="662"/>
      <c r="DM157" s="662"/>
      <c r="DN157" s="662"/>
      <c r="DO157" s="662"/>
      <c r="DT157" s="949"/>
      <c r="DU157" s="949"/>
      <c r="DV157" s="949"/>
      <c r="DW157" s="949"/>
      <c r="DX157" s="949"/>
      <c r="DY157" s="949"/>
      <c r="DZ157" s="949"/>
      <c r="EA157" s="949"/>
      <c r="EB157" s="949"/>
      <c r="EC157" s="949"/>
      <c r="ED157" s="922"/>
      <c r="EE157" s="803" t="s">
        <v>130</v>
      </c>
    </row>
    <row r="158" spans="1:135" ht="24.95" customHeight="1" x14ac:dyDescent="0.2">
      <c r="A158" s="803" t="s">
        <v>115</v>
      </c>
      <c r="B158" s="1" t="s">
        <v>123</v>
      </c>
      <c r="C158" s="2">
        <v>3</v>
      </c>
      <c r="D158" s="12">
        <v>55</v>
      </c>
      <c r="E158" s="12">
        <v>10</v>
      </c>
      <c r="F158" s="63">
        <v>0.13</v>
      </c>
      <c r="G158" s="63">
        <v>0.31</v>
      </c>
      <c r="H158" s="63">
        <v>0.56000000000000005</v>
      </c>
      <c r="I158" s="63">
        <v>0</v>
      </c>
      <c r="J158" s="63">
        <v>0.53</v>
      </c>
      <c r="K158" s="63">
        <v>0.43</v>
      </c>
      <c r="L158" s="63">
        <v>0.56000000000000005</v>
      </c>
      <c r="M158" s="63">
        <v>0.41</v>
      </c>
      <c r="N158" s="63">
        <v>0.36</v>
      </c>
      <c r="O158" s="63">
        <v>0.31</v>
      </c>
      <c r="P158" s="12">
        <v>49</v>
      </c>
      <c r="Q158" s="12">
        <v>5</v>
      </c>
      <c r="R158" s="61">
        <v>7.0000000000000007E-2</v>
      </c>
      <c r="S158" s="61">
        <v>0.8</v>
      </c>
      <c r="T158" s="61">
        <v>0.13</v>
      </c>
      <c r="U158" s="61">
        <v>0</v>
      </c>
      <c r="V158" s="61">
        <v>0.41</v>
      </c>
      <c r="W158" s="61">
        <v>0.54</v>
      </c>
      <c r="X158" s="61">
        <v>0.6</v>
      </c>
      <c r="Y158" s="61">
        <v>0.57999999999999996</v>
      </c>
      <c r="Z158" s="61">
        <v>0.45</v>
      </c>
      <c r="AA158" s="61">
        <v>0.44</v>
      </c>
      <c r="AB158" s="12">
        <v>51</v>
      </c>
      <c r="AC158" s="12">
        <v>10</v>
      </c>
      <c r="AD158" s="63">
        <v>0.13</v>
      </c>
      <c r="AE158" s="63">
        <v>0.56000000000000005</v>
      </c>
      <c r="AF158" s="63">
        <v>0.31</v>
      </c>
      <c r="AG158" s="63">
        <v>0</v>
      </c>
      <c r="AH158" s="63">
        <v>0.38</v>
      </c>
      <c r="AI158" s="63">
        <v>0.45</v>
      </c>
      <c r="AJ158" s="63">
        <v>0.43</v>
      </c>
      <c r="AK158" s="63">
        <v>0.47</v>
      </c>
      <c r="AL158" s="63">
        <v>0.64</v>
      </c>
      <c r="AM158" s="63">
        <v>0.56000000000000005</v>
      </c>
      <c r="AN158" s="12">
        <v>48</v>
      </c>
      <c r="AO158" s="12">
        <v>10</v>
      </c>
      <c r="AP158" s="63">
        <v>0.2</v>
      </c>
      <c r="AQ158" s="63">
        <v>0.55000000000000004</v>
      </c>
      <c r="AR158" s="63">
        <v>0.25</v>
      </c>
      <c r="AS158" s="63">
        <v>0</v>
      </c>
      <c r="AT158" s="63">
        <v>0.55000000000000004</v>
      </c>
      <c r="AU158" s="63">
        <v>0.5</v>
      </c>
      <c r="AV158" s="63">
        <v>0.47</v>
      </c>
      <c r="AW158" s="63">
        <v>0.46</v>
      </c>
      <c r="AX158" s="63">
        <v>0.48</v>
      </c>
      <c r="AY158" s="63">
        <v>0.41</v>
      </c>
      <c r="AZ158" s="35">
        <v>52</v>
      </c>
      <c r="BA158" s="35">
        <v>11</v>
      </c>
      <c r="BB158" s="40">
        <v>0.15</v>
      </c>
      <c r="BC158" s="40">
        <v>0.35</v>
      </c>
      <c r="BD158" s="40">
        <v>0.5</v>
      </c>
      <c r="BE158" s="40">
        <v>0</v>
      </c>
      <c r="BF158" s="40">
        <v>0.47</v>
      </c>
      <c r="BG158" s="40">
        <v>0.41</v>
      </c>
      <c r="BH158" s="40">
        <v>0.4</v>
      </c>
      <c r="BI158" s="40">
        <v>0.51</v>
      </c>
      <c r="BJ158" s="40">
        <v>0.41</v>
      </c>
      <c r="BK158" s="40">
        <v>0.38</v>
      </c>
      <c r="BL158" s="647">
        <v>50</v>
      </c>
      <c r="BM158" s="647" t="s">
        <v>758</v>
      </c>
      <c r="BN158" s="647">
        <v>9</v>
      </c>
      <c r="BO158" s="647" t="s">
        <v>758</v>
      </c>
      <c r="BP158" s="648">
        <v>0.16</v>
      </c>
      <c r="BQ158" s="648">
        <v>0.44</v>
      </c>
      <c r="BR158" s="648">
        <v>0.4</v>
      </c>
      <c r="BS158" s="648">
        <v>0</v>
      </c>
      <c r="BT158" s="648">
        <v>0.4</v>
      </c>
      <c r="BU158" s="648">
        <v>0.46</v>
      </c>
      <c r="BV158" s="648">
        <v>0.59</v>
      </c>
      <c r="BW158" s="648">
        <v>0.44</v>
      </c>
      <c r="BX158" s="648">
        <v>0.44</v>
      </c>
      <c r="BY158" s="648">
        <v>0.5</v>
      </c>
      <c r="BZ158" s="74">
        <v>47</v>
      </c>
      <c r="CA158" s="74" t="s">
        <v>758</v>
      </c>
      <c r="CB158" s="74">
        <v>11</v>
      </c>
      <c r="CC158" s="74" t="s">
        <v>758</v>
      </c>
      <c r="CD158" s="96">
        <v>0.39</v>
      </c>
      <c r="CE158" s="96">
        <v>0.36</v>
      </c>
      <c r="CF158" s="96">
        <v>0.25</v>
      </c>
      <c r="CG158" s="96">
        <v>0</v>
      </c>
      <c r="CH158" s="96">
        <v>0.52</v>
      </c>
      <c r="CI158" s="96">
        <v>0.5</v>
      </c>
      <c r="CJ158" s="96">
        <v>0.6</v>
      </c>
      <c r="CK158" s="96">
        <v>0.54</v>
      </c>
      <c r="CL158" s="96">
        <v>0.34</v>
      </c>
      <c r="CM158" s="96">
        <v>0.51</v>
      </c>
      <c r="CN158" s="652">
        <v>48</v>
      </c>
      <c r="CO158" s="652" t="s">
        <v>758</v>
      </c>
      <c r="CP158" s="652">
        <v>9</v>
      </c>
      <c r="CQ158" s="652" t="s">
        <v>758</v>
      </c>
      <c r="CR158" s="653">
        <v>0.19</v>
      </c>
      <c r="CS158" s="653">
        <v>0.57999999999999996</v>
      </c>
      <c r="CT158" s="653">
        <v>0.23</v>
      </c>
      <c r="CU158" s="653">
        <v>0</v>
      </c>
      <c r="CV158" s="653">
        <v>0.42</v>
      </c>
      <c r="CW158" s="653">
        <v>0.6</v>
      </c>
      <c r="CX158" s="653">
        <v>0.6</v>
      </c>
      <c r="CY158" s="653">
        <v>0.85</v>
      </c>
      <c r="CZ158" s="661">
        <v>0.51</v>
      </c>
      <c r="DA158" s="661">
        <v>0.7</v>
      </c>
      <c r="DB158" s="47">
        <v>51</v>
      </c>
      <c r="DC158" s="47" t="s">
        <v>758</v>
      </c>
      <c r="DD158" s="47">
        <v>9</v>
      </c>
      <c r="DE158" s="47" t="s">
        <v>758</v>
      </c>
      <c r="DF158" s="664">
        <v>0.1</v>
      </c>
      <c r="DG158" s="664">
        <v>0.66</v>
      </c>
      <c r="DH158" s="664">
        <v>0.21</v>
      </c>
      <c r="DI158" s="664">
        <v>0.03</v>
      </c>
      <c r="DJ158" s="664">
        <v>0.48</v>
      </c>
      <c r="DK158" s="664">
        <v>0.54</v>
      </c>
      <c r="DL158" s="664">
        <v>0.47</v>
      </c>
      <c r="DM158" s="664">
        <v>0.56000000000000005</v>
      </c>
      <c r="DN158" s="664">
        <v>0.59</v>
      </c>
      <c r="DO158" s="664">
        <v>0.38</v>
      </c>
      <c r="DP158" s="902">
        <v>52</v>
      </c>
      <c r="DQ158" s="902" t="s">
        <v>758</v>
      </c>
      <c r="DR158" s="902">
        <v>9</v>
      </c>
      <c r="DS158" s="902" t="s">
        <v>758</v>
      </c>
      <c r="DT158" s="949">
        <v>0.1</v>
      </c>
      <c r="DU158" s="949">
        <v>0.62</v>
      </c>
      <c r="DV158" s="949">
        <v>0.28999999999999998</v>
      </c>
      <c r="DW158" s="949">
        <v>0</v>
      </c>
      <c r="DX158" s="949">
        <v>0.54</v>
      </c>
      <c r="DY158" s="949">
        <v>0.42</v>
      </c>
      <c r="DZ158" s="949">
        <v>0.57999999999999996</v>
      </c>
      <c r="EA158" s="949">
        <v>0.41</v>
      </c>
      <c r="EB158" s="949">
        <v>0.51</v>
      </c>
      <c r="EC158" s="949">
        <v>0.42</v>
      </c>
      <c r="ED158" s="922">
        <v>325754004033</v>
      </c>
      <c r="EE158" s="803" t="s">
        <v>115</v>
      </c>
    </row>
    <row r="159" spans="1:135" ht="24.95" customHeight="1" x14ac:dyDescent="0.2">
      <c r="A159" s="803" t="s">
        <v>37</v>
      </c>
      <c r="B159" s="1" t="s">
        <v>123</v>
      </c>
      <c r="C159" s="2">
        <v>3</v>
      </c>
      <c r="D159" s="12">
        <v>48</v>
      </c>
      <c r="E159" s="12">
        <v>9</v>
      </c>
      <c r="F159" s="63">
        <v>0.23</v>
      </c>
      <c r="G159" s="63">
        <v>0.51</v>
      </c>
      <c r="H159" s="63">
        <v>0.26</v>
      </c>
      <c r="I159" s="63">
        <v>0</v>
      </c>
      <c r="J159" s="63">
        <v>0.6</v>
      </c>
      <c r="K159" s="63">
        <v>0.55000000000000004</v>
      </c>
      <c r="L159" s="63">
        <v>0.61</v>
      </c>
      <c r="M159" s="63">
        <v>0.44</v>
      </c>
      <c r="N159" s="63">
        <v>0.47</v>
      </c>
      <c r="O159" s="63">
        <v>0.54</v>
      </c>
      <c r="P159" s="12">
        <v>54</v>
      </c>
      <c r="Q159" s="12">
        <v>10</v>
      </c>
      <c r="R159" s="61">
        <v>0.08</v>
      </c>
      <c r="S159" s="61">
        <v>0.42</v>
      </c>
      <c r="T159" s="61">
        <v>0.46</v>
      </c>
      <c r="U159" s="61">
        <v>0.04</v>
      </c>
      <c r="V159" s="61">
        <v>0.36</v>
      </c>
      <c r="W159" s="61">
        <v>0.44</v>
      </c>
      <c r="X159" s="61">
        <v>0.52</v>
      </c>
      <c r="Y159" s="61">
        <v>0.39</v>
      </c>
      <c r="Z159" s="61">
        <v>0.41</v>
      </c>
      <c r="AA159" s="61">
        <v>0.48</v>
      </c>
      <c r="AB159" s="12">
        <v>48</v>
      </c>
      <c r="AC159" s="12">
        <v>11</v>
      </c>
      <c r="AD159" s="63">
        <v>0.32</v>
      </c>
      <c r="AE159" s="63">
        <v>0.38</v>
      </c>
      <c r="AF159" s="63">
        <v>0.26</v>
      </c>
      <c r="AG159" s="63">
        <v>0.03</v>
      </c>
      <c r="AH159" s="63">
        <v>0.48</v>
      </c>
      <c r="AI159" s="63">
        <v>0.46</v>
      </c>
      <c r="AJ159" s="63">
        <v>0.43</v>
      </c>
      <c r="AK159" s="63">
        <v>0.5</v>
      </c>
      <c r="AL159" s="63">
        <v>0.56999999999999995</v>
      </c>
      <c r="AM159" s="63">
        <v>0.57999999999999996</v>
      </c>
      <c r="AN159" s="12">
        <v>47</v>
      </c>
      <c r="AO159" s="12">
        <v>13</v>
      </c>
      <c r="AP159" s="63">
        <v>0.39</v>
      </c>
      <c r="AQ159" s="63">
        <v>0.33</v>
      </c>
      <c r="AR159" s="63">
        <v>0.22</v>
      </c>
      <c r="AS159" s="63">
        <v>0.06</v>
      </c>
      <c r="AT159" s="63">
        <v>0.65</v>
      </c>
      <c r="AU159" s="63">
        <v>0.56000000000000005</v>
      </c>
      <c r="AV159" s="63">
        <v>0.48</v>
      </c>
      <c r="AW159" s="63">
        <v>0.49</v>
      </c>
      <c r="AX159" s="63">
        <v>0.48</v>
      </c>
      <c r="AY159" s="63">
        <v>0.53</v>
      </c>
      <c r="AZ159" s="35">
        <v>52</v>
      </c>
      <c r="BA159" s="35">
        <v>9</v>
      </c>
      <c r="BB159" s="40">
        <v>0.13</v>
      </c>
      <c r="BC159" s="40">
        <v>0.5</v>
      </c>
      <c r="BD159" s="40">
        <v>0.38</v>
      </c>
      <c r="BE159" s="40">
        <v>0</v>
      </c>
      <c r="BF159" s="40">
        <v>0.41</v>
      </c>
      <c r="BG159" s="40">
        <v>0.51</v>
      </c>
      <c r="BH159" s="40">
        <v>0.39</v>
      </c>
      <c r="BI159" s="40">
        <v>0.57999999999999996</v>
      </c>
      <c r="BJ159" s="40">
        <v>0.38</v>
      </c>
      <c r="BK159" s="40">
        <v>0.41</v>
      </c>
      <c r="BL159" s="246">
        <v>45</v>
      </c>
      <c r="BM159" s="246" t="s">
        <v>758</v>
      </c>
      <c r="BN159" s="246">
        <v>11</v>
      </c>
      <c r="BO159" s="246" t="s">
        <v>758</v>
      </c>
      <c r="BP159" s="263">
        <v>0.28999999999999998</v>
      </c>
      <c r="BQ159" s="263">
        <v>0.61</v>
      </c>
      <c r="BR159" s="263">
        <v>0.11</v>
      </c>
      <c r="BS159" s="263">
        <v>0</v>
      </c>
      <c r="BT159" s="263">
        <v>0.47</v>
      </c>
      <c r="BU159" s="263">
        <v>0.53</v>
      </c>
      <c r="BV159" s="263">
        <v>0.75</v>
      </c>
      <c r="BW159" s="263">
        <v>0.49</v>
      </c>
      <c r="BX159" s="263">
        <v>0.55000000000000004</v>
      </c>
      <c r="BY159" s="263">
        <v>0.62</v>
      </c>
      <c r="BZ159" s="309">
        <v>51</v>
      </c>
      <c r="CA159" s="309" t="s">
        <v>758</v>
      </c>
      <c r="CB159" s="309">
        <v>9</v>
      </c>
      <c r="CC159" s="309" t="s">
        <v>758</v>
      </c>
      <c r="CD159" s="327">
        <v>0.11</v>
      </c>
      <c r="CE159" s="327">
        <v>0.56999999999999995</v>
      </c>
      <c r="CF159" s="327">
        <v>0.32</v>
      </c>
      <c r="CG159" s="327">
        <v>0</v>
      </c>
      <c r="CH159" s="327">
        <v>0.63</v>
      </c>
      <c r="CI159" s="327">
        <v>0.47</v>
      </c>
      <c r="CJ159" s="327">
        <v>0.54</v>
      </c>
      <c r="CK159" s="327">
        <v>0.53</v>
      </c>
      <c r="CL159" s="327">
        <v>0.46</v>
      </c>
      <c r="CM159" s="327">
        <v>0.61</v>
      </c>
      <c r="CN159" s="424">
        <v>52</v>
      </c>
      <c r="CO159" s="424" t="s">
        <v>758</v>
      </c>
      <c r="CP159" s="424">
        <v>10</v>
      </c>
      <c r="CQ159" s="424" t="s">
        <v>758</v>
      </c>
      <c r="CR159" s="428">
        <v>0.15</v>
      </c>
      <c r="CS159" s="428">
        <v>0.5</v>
      </c>
      <c r="CT159" s="428">
        <v>0.35</v>
      </c>
      <c r="CU159" s="428">
        <v>0</v>
      </c>
      <c r="CV159" s="428">
        <v>0.26</v>
      </c>
      <c r="CW159" s="428">
        <v>0.53</v>
      </c>
      <c r="CX159" s="428">
        <v>0.61</v>
      </c>
      <c r="CY159" s="428">
        <v>0.71</v>
      </c>
      <c r="CZ159" s="523">
        <v>0.56999999999999995</v>
      </c>
      <c r="DA159" s="523">
        <v>0.47</v>
      </c>
      <c r="DB159" s="524">
        <v>49</v>
      </c>
      <c r="DC159" s="524" t="s">
        <v>758</v>
      </c>
      <c r="DD159" s="524">
        <v>10</v>
      </c>
      <c r="DE159" s="524" t="s">
        <v>758</v>
      </c>
      <c r="DF159" s="525">
        <v>0.19</v>
      </c>
      <c r="DG159" s="525">
        <v>0.57999999999999996</v>
      </c>
      <c r="DH159" s="525">
        <v>0.19</v>
      </c>
      <c r="DI159" s="525">
        <v>0.04</v>
      </c>
      <c r="DJ159" s="525">
        <v>0.56999999999999995</v>
      </c>
      <c r="DK159" s="525">
        <v>0.57999999999999996</v>
      </c>
      <c r="DL159" s="525">
        <v>0.43</v>
      </c>
      <c r="DM159" s="525">
        <v>0.64</v>
      </c>
      <c r="DN159" s="525">
        <v>0.59</v>
      </c>
      <c r="DO159" s="525">
        <v>0.23</v>
      </c>
      <c r="DP159" s="902">
        <v>49</v>
      </c>
      <c r="DQ159" s="902" t="s">
        <v>758</v>
      </c>
      <c r="DR159" s="902">
        <v>10</v>
      </c>
      <c r="DS159" s="902" t="s">
        <v>758</v>
      </c>
      <c r="DT159" s="949">
        <v>0.2</v>
      </c>
      <c r="DU159" s="949">
        <v>0.47</v>
      </c>
      <c r="DV159" s="949">
        <v>0.3</v>
      </c>
      <c r="DW159" s="949">
        <v>0.03</v>
      </c>
      <c r="DX159" s="949">
        <v>0.5</v>
      </c>
      <c r="DY159" s="949">
        <v>0.37</v>
      </c>
      <c r="DZ159" s="949">
        <v>0.78</v>
      </c>
      <c r="EA159" s="949">
        <v>0.51</v>
      </c>
      <c r="EB159" s="949">
        <v>0.63</v>
      </c>
      <c r="EC159" s="949">
        <v>0.43</v>
      </c>
      <c r="ED159" s="922">
        <v>325754004211</v>
      </c>
      <c r="EE159" s="803" t="s">
        <v>37</v>
      </c>
    </row>
    <row r="160" spans="1:135" ht="24.95" customHeight="1" x14ac:dyDescent="0.2">
      <c r="A160" s="803" t="s">
        <v>107</v>
      </c>
      <c r="B160" s="1" t="s">
        <v>123</v>
      </c>
      <c r="C160" s="2">
        <v>5</v>
      </c>
      <c r="D160" s="12">
        <v>56</v>
      </c>
      <c r="E160" s="12">
        <v>8</v>
      </c>
      <c r="F160" s="63">
        <v>7.0000000000000007E-2</v>
      </c>
      <c r="G160" s="63">
        <v>0.47</v>
      </c>
      <c r="H160" s="63">
        <v>0.47</v>
      </c>
      <c r="I160" s="63">
        <v>0</v>
      </c>
      <c r="J160" s="63">
        <v>0.42</v>
      </c>
      <c r="K160" s="63">
        <v>0.42</v>
      </c>
      <c r="L160" s="63">
        <v>0.6</v>
      </c>
      <c r="M160" s="63">
        <v>0.37</v>
      </c>
      <c r="N160" s="63">
        <v>0.41</v>
      </c>
      <c r="O160" s="63">
        <v>0.44</v>
      </c>
      <c r="P160" s="12">
        <v>58</v>
      </c>
      <c r="Q160" s="12">
        <v>7</v>
      </c>
      <c r="R160" s="61">
        <v>0</v>
      </c>
      <c r="S160" s="61">
        <v>0.35</v>
      </c>
      <c r="T160" s="61">
        <v>0.65</v>
      </c>
      <c r="U160" s="61">
        <v>0</v>
      </c>
      <c r="V160" s="61">
        <v>0.28999999999999998</v>
      </c>
      <c r="W160" s="61">
        <v>0.32</v>
      </c>
      <c r="X160" s="61">
        <v>0.51</v>
      </c>
      <c r="Y160" s="61">
        <v>0.37</v>
      </c>
      <c r="Z160" s="61">
        <v>0.35</v>
      </c>
      <c r="AA160" s="61">
        <v>0.31</v>
      </c>
      <c r="AB160" s="12">
        <v>58</v>
      </c>
      <c r="AC160" s="12">
        <v>11</v>
      </c>
      <c r="AD160" s="63">
        <v>0</v>
      </c>
      <c r="AE160" s="63">
        <v>0.47</v>
      </c>
      <c r="AF160" s="63">
        <v>0.37</v>
      </c>
      <c r="AG160" s="63">
        <v>0.16</v>
      </c>
      <c r="AH160" s="63">
        <v>0.31</v>
      </c>
      <c r="AI160" s="63">
        <v>0.27</v>
      </c>
      <c r="AJ160" s="63">
        <v>0.28000000000000003</v>
      </c>
      <c r="AK160" s="63">
        <v>0.35</v>
      </c>
      <c r="AL160" s="63">
        <v>0.28000000000000003</v>
      </c>
      <c r="AM160" s="63">
        <v>0.32</v>
      </c>
      <c r="AN160" s="12">
        <v>54</v>
      </c>
      <c r="AO160" s="12">
        <v>11</v>
      </c>
      <c r="AP160" s="63">
        <v>0.13</v>
      </c>
      <c r="AQ160" s="63">
        <v>0.38</v>
      </c>
      <c r="AR160" s="63">
        <v>0.42</v>
      </c>
      <c r="AS160" s="63">
        <v>0.08</v>
      </c>
      <c r="AT160" s="63">
        <v>0.48</v>
      </c>
      <c r="AU160" s="63">
        <v>0.44</v>
      </c>
      <c r="AV160" s="63">
        <v>0.34</v>
      </c>
      <c r="AW160" s="63">
        <v>0.39</v>
      </c>
      <c r="AX160" s="63">
        <v>0.37</v>
      </c>
      <c r="AY160" s="63">
        <v>0.35</v>
      </c>
      <c r="AZ160" s="35">
        <v>58</v>
      </c>
      <c r="BA160" s="35">
        <v>8</v>
      </c>
      <c r="BB160" s="40">
        <v>0</v>
      </c>
      <c r="BC160" s="40">
        <v>0.41</v>
      </c>
      <c r="BD160" s="40">
        <v>0.53</v>
      </c>
      <c r="BE160" s="40">
        <v>0.06</v>
      </c>
      <c r="BF160" s="40">
        <v>0.41</v>
      </c>
      <c r="BG160" s="40">
        <v>0.39</v>
      </c>
      <c r="BH160" s="40">
        <v>0.31</v>
      </c>
      <c r="BI160" s="40">
        <v>0.43</v>
      </c>
      <c r="BJ160" s="40">
        <v>0.28999999999999998</v>
      </c>
      <c r="BK160" s="40">
        <v>0.28999999999999998</v>
      </c>
      <c r="BL160" s="246">
        <v>58</v>
      </c>
      <c r="BM160" s="246" t="s">
        <v>759</v>
      </c>
      <c r="BN160" s="246">
        <v>9</v>
      </c>
      <c r="BO160" s="246" t="s">
        <v>758</v>
      </c>
      <c r="BP160" s="263">
        <v>0</v>
      </c>
      <c r="BQ160" s="263">
        <v>0.35</v>
      </c>
      <c r="BR160" s="263">
        <v>0.54</v>
      </c>
      <c r="BS160" s="263">
        <v>0.11</v>
      </c>
      <c r="BT160" s="263">
        <v>0.34</v>
      </c>
      <c r="BU160" s="263">
        <v>0.33</v>
      </c>
      <c r="BV160" s="263">
        <v>0.42</v>
      </c>
      <c r="BW160" s="263">
        <v>0.33</v>
      </c>
      <c r="BX160" s="263">
        <v>0.3</v>
      </c>
      <c r="BY160" s="263">
        <v>0.39</v>
      </c>
      <c r="BZ160" s="309">
        <v>57</v>
      </c>
      <c r="CA160" s="309" t="s">
        <v>758</v>
      </c>
      <c r="CB160" s="309">
        <v>12</v>
      </c>
      <c r="CC160" s="309" t="s">
        <v>758</v>
      </c>
      <c r="CD160" s="327">
        <v>0.09</v>
      </c>
      <c r="CE160" s="327">
        <v>0.45</v>
      </c>
      <c r="CF160" s="327">
        <v>0.36</v>
      </c>
      <c r="CG160" s="327">
        <v>0.09</v>
      </c>
      <c r="CH160" s="327">
        <v>0.43</v>
      </c>
      <c r="CI160" s="327">
        <v>0.31</v>
      </c>
      <c r="CJ160" s="327">
        <v>0.42</v>
      </c>
      <c r="CK160" s="327">
        <v>0.37</v>
      </c>
      <c r="CL160" s="327">
        <v>0.34</v>
      </c>
      <c r="CM160" s="327">
        <v>0.63</v>
      </c>
      <c r="CN160" s="424">
        <v>62</v>
      </c>
      <c r="CO160" s="424" t="s">
        <v>759</v>
      </c>
      <c r="CP160" s="424">
        <v>8</v>
      </c>
      <c r="CQ160" s="424" t="s">
        <v>758</v>
      </c>
      <c r="CR160" s="428">
        <v>0</v>
      </c>
      <c r="CS160" s="428">
        <v>0.24</v>
      </c>
      <c r="CT160" s="428">
        <v>0.65</v>
      </c>
      <c r="CU160" s="428">
        <v>0.12</v>
      </c>
      <c r="CV160" s="428">
        <v>0.2</v>
      </c>
      <c r="CW160" s="428">
        <v>0.39</v>
      </c>
      <c r="CX160" s="428">
        <v>0.42</v>
      </c>
      <c r="CY160" s="428">
        <v>0.38</v>
      </c>
      <c r="CZ160" s="523">
        <v>0.34</v>
      </c>
      <c r="DA160" s="523">
        <v>0.41</v>
      </c>
      <c r="DB160" s="524">
        <v>62</v>
      </c>
      <c r="DC160" s="524" t="s">
        <v>759</v>
      </c>
      <c r="DD160" s="524">
        <v>10</v>
      </c>
      <c r="DE160" s="524" t="s">
        <v>758</v>
      </c>
      <c r="DF160" s="525">
        <v>0</v>
      </c>
      <c r="DG160" s="525">
        <v>0.21</v>
      </c>
      <c r="DH160" s="525">
        <v>0.61</v>
      </c>
      <c r="DI160" s="525">
        <v>0.18</v>
      </c>
      <c r="DJ160" s="525">
        <v>0.35</v>
      </c>
      <c r="DK160" s="525">
        <v>0.33</v>
      </c>
      <c r="DL160" s="525">
        <v>0.32</v>
      </c>
      <c r="DM160" s="525">
        <v>0.42</v>
      </c>
      <c r="DN160" s="525">
        <v>0.26</v>
      </c>
      <c r="DO160" s="525">
        <v>0.33</v>
      </c>
      <c r="DP160" s="902">
        <v>59</v>
      </c>
      <c r="DQ160" s="902" t="s">
        <v>759</v>
      </c>
      <c r="DR160" s="902">
        <v>10</v>
      </c>
      <c r="DS160" s="902" t="s">
        <v>758</v>
      </c>
      <c r="DT160" s="949">
        <v>0.05</v>
      </c>
      <c r="DU160" s="949">
        <v>0.27</v>
      </c>
      <c r="DV160" s="949">
        <v>0.51</v>
      </c>
      <c r="DW160" s="949">
        <v>0.16</v>
      </c>
      <c r="DX160" s="949">
        <v>0.3</v>
      </c>
      <c r="DY160" s="949">
        <v>0.28000000000000003</v>
      </c>
      <c r="DZ160" s="949">
        <v>0.71</v>
      </c>
      <c r="EA160" s="949">
        <v>0.33</v>
      </c>
      <c r="EB160" s="949">
        <v>0.41</v>
      </c>
      <c r="EC160" s="949">
        <v>0.24</v>
      </c>
      <c r="ED160" s="922">
        <v>325754003517</v>
      </c>
      <c r="EE160" s="803" t="s">
        <v>107</v>
      </c>
    </row>
    <row r="161" spans="1:135" ht="24.95" customHeight="1" x14ac:dyDescent="0.2">
      <c r="A161" s="803" t="s">
        <v>18</v>
      </c>
      <c r="B161" s="1" t="s">
        <v>123</v>
      </c>
      <c r="C161" s="2">
        <v>5</v>
      </c>
      <c r="D161" s="12">
        <v>57</v>
      </c>
      <c r="E161" s="12">
        <v>7</v>
      </c>
      <c r="F161" s="63">
        <v>0.02</v>
      </c>
      <c r="G161" s="63">
        <v>0.55000000000000004</v>
      </c>
      <c r="H161" s="63">
        <v>0.41</v>
      </c>
      <c r="I161" s="63">
        <v>0.03</v>
      </c>
      <c r="J161" s="63">
        <v>0.37</v>
      </c>
      <c r="K161" s="63">
        <v>0.38</v>
      </c>
      <c r="L161" s="63">
        <v>0.37</v>
      </c>
      <c r="M161" s="63">
        <v>0.25</v>
      </c>
      <c r="N161" s="63">
        <v>0.37</v>
      </c>
      <c r="O161" s="63">
        <v>0.5</v>
      </c>
      <c r="P161" s="12">
        <v>58</v>
      </c>
      <c r="Q161" s="12">
        <v>9</v>
      </c>
      <c r="R161" s="61">
        <v>0.03</v>
      </c>
      <c r="S161" s="61">
        <v>0.36</v>
      </c>
      <c r="T161" s="61">
        <v>0.54</v>
      </c>
      <c r="U161" s="61">
        <v>7.0000000000000007E-2</v>
      </c>
      <c r="V161" s="61">
        <v>0.26</v>
      </c>
      <c r="W161" s="61">
        <v>0.38</v>
      </c>
      <c r="X161" s="61">
        <v>0.45</v>
      </c>
      <c r="Y161" s="61">
        <v>0.35</v>
      </c>
      <c r="Z161" s="61">
        <v>0.33</v>
      </c>
      <c r="AA161" s="61">
        <v>0.4</v>
      </c>
      <c r="AB161" s="12">
        <v>56</v>
      </c>
      <c r="AC161" s="12">
        <v>9</v>
      </c>
      <c r="AD161" s="63">
        <v>0.08</v>
      </c>
      <c r="AE161" s="63">
        <v>0.39</v>
      </c>
      <c r="AF161" s="63">
        <v>0.47</v>
      </c>
      <c r="AG161" s="63">
        <v>0.06</v>
      </c>
      <c r="AH161" s="63">
        <v>0.35</v>
      </c>
      <c r="AI161" s="63">
        <v>0.31</v>
      </c>
      <c r="AJ161" s="63">
        <v>0.3</v>
      </c>
      <c r="AK161" s="63">
        <v>0.39</v>
      </c>
      <c r="AL161" s="63">
        <v>0.46</v>
      </c>
      <c r="AM161" s="63">
        <v>0.4</v>
      </c>
      <c r="AN161" s="12">
        <v>55</v>
      </c>
      <c r="AO161" s="12">
        <v>10</v>
      </c>
      <c r="AP161" s="63">
        <v>0.13</v>
      </c>
      <c r="AQ161" s="63">
        <v>0.38</v>
      </c>
      <c r="AR161" s="63">
        <v>0.43</v>
      </c>
      <c r="AS161" s="63">
        <v>7.0000000000000007E-2</v>
      </c>
      <c r="AT161" s="63">
        <v>0.41</v>
      </c>
      <c r="AU161" s="63">
        <v>0.34</v>
      </c>
      <c r="AV161" s="63">
        <v>0.35</v>
      </c>
      <c r="AW161" s="63">
        <v>0.42</v>
      </c>
      <c r="AX161" s="63">
        <v>0.31</v>
      </c>
      <c r="AY161" s="63">
        <v>0.36</v>
      </c>
      <c r="AZ161" s="35">
        <v>57</v>
      </c>
      <c r="BA161" s="35">
        <v>9</v>
      </c>
      <c r="BB161" s="40">
        <v>0.08</v>
      </c>
      <c r="BC161" s="40">
        <v>0.38</v>
      </c>
      <c r="BD161" s="40">
        <v>0.49</v>
      </c>
      <c r="BE161" s="40">
        <v>0.06</v>
      </c>
      <c r="BF161" s="40">
        <v>0.36</v>
      </c>
      <c r="BG161" s="40">
        <v>0.34</v>
      </c>
      <c r="BH161" s="40">
        <v>0.36</v>
      </c>
      <c r="BI161" s="40">
        <v>0.42</v>
      </c>
      <c r="BJ161" s="40">
        <v>0.3</v>
      </c>
      <c r="BK161" s="40">
        <v>0.32</v>
      </c>
      <c r="BL161" s="246">
        <v>56</v>
      </c>
      <c r="BM161" s="246" t="s">
        <v>758</v>
      </c>
      <c r="BN161" s="246">
        <v>10</v>
      </c>
      <c r="BO161" s="246" t="s">
        <v>758</v>
      </c>
      <c r="BP161" s="263">
        <v>0.04</v>
      </c>
      <c r="BQ161" s="263">
        <v>0.44</v>
      </c>
      <c r="BR161" s="263">
        <v>0.46</v>
      </c>
      <c r="BS161" s="263">
        <v>0.06</v>
      </c>
      <c r="BT161" s="263">
        <v>0.34</v>
      </c>
      <c r="BU161" s="263">
        <v>0.38</v>
      </c>
      <c r="BV161" s="263">
        <v>0.38</v>
      </c>
      <c r="BW161" s="263">
        <v>0.31</v>
      </c>
      <c r="BX161" s="263">
        <v>0.34</v>
      </c>
      <c r="BY161" s="263">
        <v>0.41</v>
      </c>
      <c r="BZ161" s="309">
        <v>55</v>
      </c>
      <c r="CA161" s="309" t="s">
        <v>758</v>
      </c>
      <c r="CB161" s="309">
        <v>10</v>
      </c>
      <c r="CC161" s="309" t="s">
        <v>758</v>
      </c>
      <c r="CD161" s="327">
        <v>0.08</v>
      </c>
      <c r="CE161" s="327">
        <v>0.48</v>
      </c>
      <c r="CF161" s="327">
        <v>0.4</v>
      </c>
      <c r="CG161" s="327">
        <v>0.04</v>
      </c>
      <c r="CH161" s="327">
        <v>0.4</v>
      </c>
      <c r="CI161" s="327">
        <v>0.28000000000000003</v>
      </c>
      <c r="CJ161" s="327">
        <v>0.54</v>
      </c>
      <c r="CK161" s="327">
        <v>0.46</v>
      </c>
      <c r="CL161" s="327">
        <v>0.4</v>
      </c>
      <c r="CM161" s="327">
        <v>0.51</v>
      </c>
      <c r="CN161" s="424">
        <v>58</v>
      </c>
      <c r="CO161" s="424" t="s">
        <v>759</v>
      </c>
      <c r="CP161" s="424">
        <v>11</v>
      </c>
      <c r="CQ161" s="424" t="s">
        <v>758</v>
      </c>
      <c r="CR161" s="428">
        <v>0.08</v>
      </c>
      <c r="CS161" s="428">
        <v>0.3</v>
      </c>
      <c r="CT161" s="428">
        <v>0.54</v>
      </c>
      <c r="CU161" s="428">
        <v>0.08</v>
      </c>
      <c r="CV161" s="428">
        <v>0.25</v>
      </c>
      <c r="CW161" s="428">
        <v>0.36</v>
      </c>
      <c r="CX161" s="428">
        <v>0.42</v>
      </c>
      <c r="CY161" s="428">
        <v>0.62</v>
      </c>
      <c r="CZ161" s="523">
        <v>0.43</v>
      </c>
      <c r="DA161" s="523">
        <v>0.36</v>
      </c>
      <c r="DB161" s="524">
        <v>56</v>
      </c>
      <c r="DC161" s="524" t="s">
        <v>758</v>
      </c>
      <c r="DD161" s="524">
        <v>10</v>
      </c>
      <c r="DE161" s="524" t="s">
        <v>758</v>
      </c>
      <c r="DF161" s="525">
        <v>0.08</v>
      </c>
      <c r="DG161" s="525">
        <v>0.37</v>
      </c>
      <c r="DH161" s="525">
        <v>0.54</v>
      </c>
      <c r="DI161" s="525">
        <v>0.01</v>
      </c>
      <c r="DJ161" s="525">
        <v>0.44</v>
      </c>
      <c r="DK161" s="525">
        <v>0.36</v>
      </c>
      <c r="DL161" s="525">
        <v>0.44</v>
      </c>
      <c r="DM161" s="525">
        <v>0.55000000000000004</v>
      </c>
      <c r="DN161" s="525">
        <v>0.4</v>
      </c>
      <c r="DO161" s="525">
        <v>0.39</v>
      </c>
      <c r="DP161" s="902">
        <v>56</v>
      </c>
      <c r="DQ161" s="902" t="s">
        <v>758</v>
      </c>
      <c r="DR161" s="902">
        <v>10</v>
      </c>
      <c r="DS161" s="902" t="s">
        <v>758</v>
      </c>
      <c r="DT161" s="949">
        <v>0.06</v>
      </c>
      <c r="DU161" s="949">
        <v>0.42</v>
      </c>
      <c r="DV161" s="949">
        <v>0.49</v>
      </c>
      <c r="DW161" s="949">
        <v>0.04</v>
      </c>
      <c r="DX161" s="949">
        <v>0.38</v>
      </c>
      <c r="DY161" s="949">
        <v>0.28999999999999998</v>
      </c>
      <c r="DZ161" s="949">
        <v>0.69</v>
      </c>
      <c r="EA161" s="949">
        <v>0.33</v>
      </c>
      <c r="EB161" s="949">
        <v>0.5</v>
      </c>
      <c r="EC161" s="949">
        <v>0.27</v>
      </c>
      <c r="ED161" s="922">
        <v>325754002901</v>
      </c>
      <c r="EE161" s="803" t="s">
        <v>18</v>
      </c>
    </row>
    <row r="162" spans="1:135" ht="24.95" customHeight="1" x14ac:dyDescent="0.2">
      <c r="A162" s="803" t="s">
        <v>68</v>
      </c>
      <c r="B162" s="1" t="s">
        <v>123</v>
      </c>
      <c r="C162" s="2">
        <v>3</v>
      </c>
      <c r="D162" s="12">
        <v>53</v>
      </c>
      <c r="E162" s="12">
        <v>10</v>
      </c>
      <c r="F162" s="63">
        <v>0.1</v>
      </c>
      <c r="G162" s="63">
        <v>0.5</v>
      </c>
      <c r="H162" s="63">
        <v>0.37</v>
      </c>
      <c r="I162" s="63">
        <v>0.03</v>
      </c>
      <c r="J162" s="63">
        <v>0.5</v>
      </c>
      <c r="K162" s="63">
        <v>0.51</v>
      </c>
      <c r="L162" s="63">
        <v>0.61</v>
      </c>
      <c r="M162" s="63">
        <v>0.39</v>
      </c>
      <c r="N162" s="63">
        <v>0.34</v>
      </c>
      <c r="O162" s="63">
        <v>0.41</v>
      </c>
      <c r="P162" s="12">
        <v>50</v>
      </c>
      <c r="Q162" s="12">
        <v>8</v>
      </c>
      <c r="R162" s="61">
        <v>0.11</v>
      </c>
      <c r="S162" s="61">
        <v>0.61</v>
      </c>
      <c r="T162" s="61">
        <v>0.28999999999999998</v>
      </c>
      <c r="U162" s="61">
        <v>0</v>
      </c>
      <c r="V162" s="61">
        <v>0.44</v>
      </c>
      <c r="W162" s="61">
        <v>0.48</v>
      </c>
      <c r="X162" s="61">
        <v>0.55000000000000004</v>
      </c>
      <c r="Y162" s="61">
        <v>0.5</v>
      </c>
      <c r="Z162" s="61">
        <v>0.44</v>
      </c>
      <c r="AA162" s="61">
        <v>0.45</v>
      </c>
      <c r="AB162" s="12">
        <v>50</v>
      </c>
      <c r="AC162" s="12">
        <v>10</v>
      </c>
      <c r="AD162" s="63">
        <v>0.14000000000000001</v>
      </c>
      <c r="AE162" s="63">
        <v>0.64</v>
      </c>
      <c r="AF162" s="63">
        <v>0.18</v>
      </c>
      <c r="AG162" s="63">
        <v>0.04</v>
      </c>
      <c r="AH162" s="63">
        <v>0.39</v>
      </c>
      <c r="AI162" s="63">
        <v>0.4</v>
      </c>
      <c r="AJ162" s="63">
        <v>0.43</v>
      </c>
      <c r="AK162" s="63">
        <v>0.49</v>
      </c>
      <c r="AL162" s="63">
        <v>0.51</v>
      </c>
      <c r="AM162" s="63">
        <v>0.55000000000000004</v>
      </c>
      <c r="AN162" s="12">
        <v>49</v>
      </c>
      <c r="AO162" s="12">
        <v>11</v>
      </c>
      <c r="AP162" s="63">
        <v>0.28000000000000003</v>
      </c>
      <c r="AQ162" s="63">
        <v>0.48</v>
      </c>
      <c r="AR162" s="63">
        <v>0.24</v>
      </c>
      <c r="AS162" s="63">
        <v>0</v>
      </c>
      <c r="AT162" s="63">
        <v>0.42</v>
      </c>
      <c r="AU162" s="63">
        <v>0.45</v>
      </c>
      <c r="AV162" s="63">
        <v>0.43</v>
      </c>
      <c r="AW162" s="63">
        <v>0.51</v>
      </c>
      <c r="AX162" s="63">
        <v>0.49</v>
      </c>
      <c r="AY162" s="63">
        <v>0.44</v>
      </c>
      <c r="AZ162" s="35">
        <v>45</v>
      </c>
      <c r="BA162" s="35">
        <v>11</v>
      </c>
      <c r="BB162" s="40">
        <v>0.34</v>
      </c>
      <c r="BC162" s="40">
        <v>0.41</v>
      </c>
      <c r="BD162" s="40">
        <v>0.24</v>
      </c>
      <c r="BE162" s="40">
        <v>0</v>
      </c>
      <c r="BF162" s="40">
        <v>0.56000000000000005</v>
      </c>
      <c r="BG162" s="40">
        <v>0.53</v>
      </c>
      <c r="BH162" s="40">
        <v>0.59</v>
      </c>
      <c r="BI162" s="40">
        <v>0.7</v>
      </c>
      <c r="BJ162" s="40">
        <v>0.53</v>
      </c>
      <c r="BK162" s="40">
        <v>0.51</v>
      </c>
      <c r="BL162" s="246">
        <v>50</v>
      </c>
      <c r="BM162" s="246" t="s">
        <v>758</v>
      </c>
      <c r="BN162" s="246">
        <v>11</v>
      </c>
      <c r="BO162" s="246" t="s">
        <v>758</v>
      </c>
      <c r="BP162" s="263">
        <v>0.24</v>
      </c>
      <c r="BQ162" s="263">
        <v>0.49</v>
      </c>
      <c r="BR162" s="263">
        <v>0.22</v>
      </c>
      <c r="BS162" s="263">
        <v>0.05</v>
      </c>
      <c r="BT162" s="263">
        <v>0.49</v>
      </c>
      <c r="BU162" s="263">
        <v>0.48</v>
      </c>
      <c r="BV162" s="263">
        <v>0.69</v>
      </c>
      <c r="BW162" s="263">
        <v>0.42</v>
      </c>
      <c r="BX162" s="263">
        <v>0.45</v>
      </c>
      <c r="BY162" s="263">
        <v>0.49</v>
      </c>
      <c r="BZ162" s="309">
        <v>53</v>
      </c>
      <c r="CA162" s="309" t="s">
        <v>758</v>
      </c>
      <c r="CB162" s="309">
        <v>10</v>
      </c>
      <c r="CC162" s="309" t="s">
        <v>758</v>
      </c>
      <c r="CD162" s="327">
        <v>0.13</v>
      </c>
      <c r="CE162" s="327">
        <v>0.4</v>
      </c>
      <c r="CF162" s="327">
        <v>0.48</v>
      </c>
      <c r="CG162" s="327">
        <v>0</v>
      </c>
      <c r="CH162" s="327">
        <v>0.55000000000000004</v>
      </c>
      <c r="CI162" s="327">
        <v>0.41</v>
      </c>
      <c r="CJ162" s="327">
        <v>0.6</v>
      </c>
      <c r="CK162" s="327">
        <v>0.5</v>
      </c>
      <c r="CL162" s="327">
        <v>0.37</v>
      </c>
      <c r="CM162" s="327">
        <v>0.56000000000000005</v>
      </c>
      <c r="CN162" s="424">
        <v>50</v>
      </c>
      <c r="CO162" s="424" t="s">
        <v>758</v>
      </c>
      <c r="CP162" s="424">
        <v>10</v>
      </c>
      <c r="CQ162" s="424" t="s">
        <v>758</v>
      </c>
      <c r="CR162" s="428">
        <v>0.23</v>
      </c>
      <c r="CS162" s="428">
        <v>0.5</v>
      </c>
      <c r="CT162" s="428">
        <v>0.23</v>
      </c>
      <c r="CU162" s="428">
        <v>0.03</v>
      </c>
      <c r="CV162" s="428">
        <v>0.28999999999999998</v>
      </c>
      <c r="CW162" s="428">
        <v>0.6</v>
      </c>
      <c r="CX162" s="428">
        <v>0.55000000000000004</v>
      </c>
      <c r="CY162" s="428">
        <v>0.61</v>
      </c>
      <c r="CZ162" s="523">
        <v>0.63</v>
      </c>
      <c r="DA162" s="523">
        <v>0.59</v>
      </c>
      <c r="DB162" s="524">
        <v>46</v>
      </c>
      <c r="DC162" s="524" t="s">
        <v>758</v>
      </c>
      <c r="DD162" s="524">
        <v>9</v>
      </c>
      <c r="DE162" s="524" t="s">
        <v>758</v>
      </c>
      <c r="DF162" s="525">
        <v>0.36</v>
      </c>
      <c r="DG162" s="525">
        <v>0.55000000000000004</v>
      </c>
      <c r="DH162" s="525">
        <v>0.09</v>
      </c>
      <c r="DI162" s="525">
        <v>0</v>
      </c>
      <c r="DJ162" s="525">
        <v>0.59</v>
      </c>
      <c r="DK162" s="525">
        <v>0.62</v>
      </c>
      <c r="DL162" s="525">
        <v>0.49</v>
      </c>
      <c r="DM162" s="525">
        <v>0.63</v>
      </c>
      <c r="DN162" s="525">
        <v>0.67</v>
      </c>
      <c r="DO162" s="525">
        <v>0.5</v>
      </c>
      <c r="DP162" s="902">
        <v>49</v>
      </c>
      <c r="DQ162" s="902" t="s">
        <v>758</v>
      </c>
      <c r="DR162" s="902">
        <v>11</v>
      </c>
      <c r="DS162" s="902" t="s">
        <v>758</v>
      </c>
      <c r="DT162" s="949">
        <v>0.14000000000000001</v>
      </c>
      <c r="DU162" s="949">
        <v>0.59</v>
      </c>
      <c r="DV162" s="949">
        <v>0.18</v>
      </c>
      <c r="DW162" s="949">
        <v>0.09</v>
      </c>
      <c r="DX162" s="949">
        <v>0.56999999999999995</v>
      </c>
      <c r="DY162" s="949">
        <v>0.39</v>
      </c>
      <c r="DZ162" s="949">
        <v>0.62</v>
      </c>
      <c r="EA162" s="949">
        <v>0.56000000000000005</v>
      </c>
      <c r="EB162" s="949">
        <v>0.64</v>
      </c>
      <c r="EC162" s="949">
        <v>0.42</v>
      </c>
      <c r="ED162" s="922">
        <v>325754004661</v>
      </c>
      <c r="EE162" s="803" t="s">
        <v>68</v>
      </c>
    </row>
    <row r="163" spans="1:135" ht="24.95" customHeight="1" x14ac:dyDescent="0.2">
      <c r="A163" s="803" t="s">
        <v>112</v>
      </c>
      <c r="B163" s="1" t="s">
        <v>123</v>
      </c>
      <c r="C163" s="2">
        <v>5</v>
      </c>
      <c r="D163" s="12">
        <v>50</v>
      </c>
      <c r="E163" s="12">
        <v>10</v>
      </c>
      <c r="F163" s="63">
        <v>0.13</v>
      </c>
      <c r="G163" s="63">
        <v>0.69</v>
      </c>
      <c r="H163" s="63">
        <v>0.19</v>
      </c>
      <c r="I163" s="63">
        <v>0</v>
      </c>
      <c r="J163" s="63">
        <v>0.6</v>
      </c>
      <c r="K163" s="63">
        <v>0.51</v>
      </c>
      <c r="L163" s="63">
        <v>0.66</v>
      </c>
      <c r="M163" s="63">
        <v>0.42</v>
      </c>
      <c r="N163" s="63">
        <v>0.47</v>
      </c>
      <c r="O163" s="63">
        <v>0.5</v>
      </c>
      <c r="P163" s="12">
        <v>54</v>
      </c>
      <c r="Q163" s="12">
        <v>10</v>
      </c>
      <c r="R163" s="61">
        <v>0.13</v>
      </c>
      <c r="S163" s="61">
        <v>0.4</v>
      </c>
      <c r="T163" s="61">
        <v>0.48</v>
      </c>
      <c r="U163" s="61">
        <v>0</v>
      </c>
      <c r="V163" s="61">
        <v>0.34</v>
      </c>
      <c r="W163" s="61">
        <v>0.43</v>
      </c>
      <c r="X163" s="61">
        <v>0.51</v>
      </c>
      <c r="Y163" s="61">
        <v>0.39</v>
      </c>
      <c r="Z163" s="61">
        <v>0.41</v>
      </c>
      <c r="AA163" s="61">
        <v>0.46</v>
      </c>
      <c r="AB163" s="12">
        <v>52</v>
      </c>
      <c r="AC163" s="12">
        <v>11</v>
      </c>
      <c r="AD163" s="63">
        <v>0.16</v>
      </c>
      <c r="AE163" s="63">
        <v>0.45</v>
      </c>
      <c r="AF163" s="63">
        <v>0.37</v>
      </c>
      <c r="AG163" s="63">
        <v>0.02</v>
      </c>
      <c r="AH163" s="63">
        <v>0.41</v>
      </c>
      <c r="AI163" s="63">
        <v>0.37</v>
      </c>
      <c r="AJ163" s="63">
        <v>0.39</v>
      </c>
      <c r="AK163" s="63">
        <v>0.48</v>
      </c>
      <c r="AL163" s="63">
        <v>0.53</v>
      </c>
      <c r="AM163" s="63">
        <v>0.47</v>
      </c>
      <c r="AN163" s="12">
        <v>50</v>
      </c>
      <c r="AO163" s="12">
        <v>11</v>
      </c>
      <c r="AP163" s="63">
        <v>0.22</v>
      </c>
      <c r="AQ163" s="63">
        <v>0.4</v>
      </c>
      <c r="AR163" s="63">
        <v>0.38</v>
      </c>
      <c r="AS163" s="63">
        <v>0</v>
      </c>
      <c r="AT163" s="63">
        <v>0.51</v>
      </c>
      <c r="AU163" s="63">
        <v>0.5</v>
      </c>
      <c r="AV163" s="63">
        <v>0.42</v>
      </c>
      <c r="AW163" s="63">
        <v>0.42</v>
      </c>
      <c r="AX163" s="63">
        <v>0.46</v>
      </c>
      <c r="AY163" s="63">
        <v>0.44</v>
      </c>
      <c r="AZ163" s="35">
        <v>55</v>
      </c>
      <c r="BA163" s="35">
        <v>9</v>
      </c>
      <c r="BB163" s="40">
        <v>0.08</v>
      </c>
      <c r="BC163" s="40">
        <v>0.35</v>
      </c>
      <c r="BD163" s="40">
        <v>0.54</v>
      </c>
      <c r="BE163" s="40">
        <v>0.03</v>
      </c>
      <c r="BF163" s="40">
        <v>0.41</v>
      </c>
      <c r="BG163" s="40">
        <v>0.41</v>
      </c>
      <c r="BH163" s="40">
        <v>0.37</v>
      </c>
      <c r="BI163" s="40">
        <v>0.45</v>
      </c>
      <c r="BJ163" s="40">
        <v>0.33</v>
      </c>
      <c r="BK163" s="40">
        <v>0.33</v>
      </c>
      <c r="BL163" s="246">
        <v>50</v>
      </c>
      <c r="BM163" s="246" t="s">
        <v>758</v>
      </c>
      <c r="BN163" s="246">
        <v>11</v>
      </c>
      <c r="BO163" s="246" t="s">
        <v>758</v>
      </c>
      <c r="BP163" s="263">
        <v>0.24</v>
      </c>
      <c r="BQ163" s="263">
        <v>0.41</v>
      </c>
      <c r="BR163" s="263">
        <v>0.34</v>
      </c>
      <c r="BS163" s="263">
        <v>0</v>
      </c>
      <c r="BT163" s="263">
        <v>0.44</v>
      </c>
      <c r="BU163" s="263">
        <v>0.42</v>
      </c>
      <c r="BV163" s="263">
        <v>0.6</v>
      </c>
      <c r="BW163" s="263">
        <v>0.44</v>
      </c>
      <c r="BX163" s="263">
        <v>0.44</v>
      </c>
      <c r="BY163" s="263">
        <v>0.55000000000000004</v>
      </c>
      <c r="BZ163" s="309">
        <v>54</v>
      </c>
      <c r="CA163" s="309" t="s">
        <v>758</v>
      </c>
      <c r="CB163" s="309">
        <v>9</v>
      </c>
      <c r="CC163" s="309" t="s">
        <v>758</v>
      </c>
      <c r="CD163" s="327">
        <v>0.15</v>
      </c>
      <c r="CE163" s="327">
        <v>0.36</v>
      </c>
      <c r="CF163" s="327">
        <v>0.47</v>
      </c>
      <c r="CG163" s="327">
        <v>0.02</v>
      </c>
      <c r="CH163" s="327">
        <v>0.43</v>
      </c>
      <c r="CI163" s="327">
        <v>0.39</v>
      </c>
      <c r="CJ163" s="327">
        <v>0.51</v>
      </c>
      <c r="CK163" s="327">
        <v>0.53</v>
      </c>
      <c r="CL163" s="327">
        <v>0.43</v>
      </c>
      <c r="CM163" s="327">
        <v>0.53</v>
      </c>
      <c r="CN163" s="424">
        <v>52</v>
      </c>
      <c r="CO163" s="424" t="s">
        <v>758</v>
      </c>
      <c r="CP163" s="424">
        <v>9</v>
      </c>
      <c r="CQ163" s="424" t="s">
        <v>758</v>
      </c>
      <c r="CR163" s="428">
        <v>7.0000000000000007E-2</v>
      </c>
      <c r="CS163" s="428">
        <v>0.67</v>
      </c>
      <c r="CT163" s="428">
        <v>0.24</v>
      </c>
      <c r="CU163" s="428">
        <v>0.02</v>
      </c>
      <c r="CV163" s="428">
        <v>0.35</v>
      </c>
      <c r="CW163" s="428">
        <v>0.51</v>
      </c>
      <c r="CX163" s="428">
        <v>0.55000000000000004</v>
      </c>
      <c r="CY163" s="428">
        <v>0.68</v>
      </c>
      <c r="CZ163" s="523">
        <v>0.54</v>
      </c>
      <c r="DA163" s="523">
        <v>0.57999999999999996</v>
      </c>
      <c r="DB163" s="524">
        <v>51</v>
      </c>
      <c r="DC163" s="524" t="s">
        <v>758</v>
      </c>
      <c r="DD163" s="524">
        <v>10</v>
      </c>
      <c r="DE163" s="524" t="s">
        <v>758</v>
      </c>
      <c r="DF163" s="525">
        <v>0.14000000000000001</v>
      </c>
      <c r="DG163" s="525">
        <v>0.45</v>
      </c>
      <c r="DH163" s="525">
        <v>0.4</v>
      </c>
      <c r="DI163" s="525">
        <v>0</v>
      </c>
      <c r="DJ163" s="525">
        <v>0.46</v>
      </c>
      <c r="DK163" s="525">
        <v>0.39</v>
      </c>
      <c r="DL163" s="525">
        <v>0.51</v>
      </c>
      <c r="DM163" s="525">
        <v>0.7</v>
      </c>
      <c r="DN163" s="525">
        <v>0.51</v>
      </c>
      <c r="DO163" s="525">
        <v>0.36</v>
      </c>
      <c r="DP163" s="902">
        <v>52</v>
      </c>
      <c r="DQ163" s="902" t="s">
        <v>758</v>
      </c>
      <c r="DR163" s="902">
        <v>9</v>
      </c>
      <c r="DS163" s="902" t="s">
        <v>758</v>
      </c>
      <c r="DT163" s="949">
        <v>0.13</v>
      </c>
      <c r="DU163" s="949">
        <v>0.47</v>
      </c>
      <c r="DV163" s="949">
        <v>0.4</v>
      </c>
      <c r="DW163" s="949">
        <v>0</v>
      </c>
      <c r="DX163" s="949">
        <v>0.44</v>
      </c>
      <c r="DY163" s="949">
        <v>0.34</v>
      </c>
      <c r="DZ163" s="949">
        <v>0.64</v>
      </c>
      <c r="EA163" s="949">
        <v>0.48</v>
      </c>
      <c r="EB163" s="949">
        <v>0.56999999999999995</v>
      </c>
      <c r="EC163" s="949">
        <v>0.35</v>
      </c>
      <c r="ED163" s="922">
        <v>325754004441</v>
      </c>
      <c r="EE163" s="803" t="s">
        <v>112</v>
      </c>
    </row>
    <row r="164" spans="1:135" ht="24.95" customHeight="1" x14ac:dyDescent="0.2">
      <c r="A164" s="805" t="s">
        <v>110</v>
      </c>
      <c r="B164" s="1" t="s">
        <v>121</v>
      </c>
      <c r="C164" s="2">
        <v>5</v>
      </c>
      <c r="D164" s="12">
        <v>52</v>
      </c>
      <c r="E164" s="12">
        <v>9</v>
      </c>
      <c r="F164" s="63">
        <v>0.12</v>
      </c>
      <c r="G164" s="63">
        <v>0.55000000000000004</v>
      </c>
      <c r="H164" s="63">
        <v>0.3</v>
      </c>
      <c r="I164" s="63">
        <v>0.03</v>
      </c>
      <c r="J164" s="63">
        <v>0.53</v>
      </c>
      <c r="K164" s="63">
        <v>0.5</v>
      </c>
      <c r="L164" s="63">
        <v>0.49</v>
      </c>
      <c r="M164" s="63">
        <v>0.4</v>
      </c>
      <c r="N164" s="63">
        <v>0.45</v>
      </c>
      <c r="O164" s="63">
        <v>0.51</v>
      </c>
      <c r="P164" s="12">
        <v>57</v>
      </c>
      <c r="Q164" s="12">
        <v>9</v>
      </c>
      <c r="R164" s="61">
        <v>0.03</v>
      </c>
      <c r="S164" s="61">
        <v>0.47</v>
      </c>
      <c r="T164" s="61">
        <v>0.41</v>
      </c>
      <c r="U164" s="61">
        <v>0.09</v>
      </c>
      <c r="V164" s="61">
        <v>0.31</v>
      </c>
      <c r="W164" s="61">
        <v>0.39</v>
      </c>
      <c r="X164" s="61">
        <v>0.46</v>
      </c>
      <c r="Y164" s="61">
        <v>0.35</v>
      </c>
      <c r="Z164" s="61">
        <v>0.35</v>
      </c>
      <c r="AA164" s="61">
        <v>0.37</v>
      </c>
      <c r="AB164" s="12">
        <v>55</v>
      </c>
      <c r="AC164" s="12">
        <v>10</v>
      </c>
      <c r="AD164" s="63">
        <v>0.05</v>
      </c>
      <c r="AE164" s="63">
        <v>0.49</v>
      </c>
      <c r="AF164" s="63">
        <v>0.42</v>
      </c>
      <c r="AG164" s="63">
        <v>0.04</v>
      </c>
      <c r="AH164" s="63">
        <v>0.32</v>
      </c>
      <c r="AI164" s="63">
        <v>0.34</v>
      </c>
      <c r="AJ164" s="63">
        <v>0.32</v>
      </c>
      <c r="AK164" s="63">
        <v>0.41</v>
      </c>
      <c r="AL164" s="63">
        <v>0.44</v>
      </c>
      <c r="AM164" s="63">
        <v>0.4</v>
      </c>
      <c r="AN164" s="12">
        <v>55</v>
      </c>
      <c r="AO164" s="12">
        <v>8</v>
      </c>
      <c r="AP164" s="63">
        <v>0.04</v>
      </c>
      <c r="AQ164" s="63">
        <v>0.49</v>
      </c>
      <c r="AR164" s="63">
        <v>0.44</v>
      </c>
      <c r="AS164" s="63">
        <v>0.04</v>
      </c>
      <c r="AT164" s="63">
        <v>0.46</v>
      </c>
      <c r="AU164" s="63">
        <v>0.33</v>
      </c>
      <c r="AV164" s="63">
        <v>0.34</v>
      </c>
      <c r="AW164" s="63">
        <v>0.37</v>
      </c>
      <c r="AX164" s="63">
        <v>0.36</v>
      </c>
      <c r="AY164" s="63">
        <v>0.34</v>
      </c>
      <c r="AZ164" s="35">
        <v>57</v>
      </c>
      <c r="BA164" s="35">
        <v>10</v>
      </c>
      <c r="BB164" s="40">
        <v>7.0000000000000007E-2</v>
      </c>
      <c r="BC164" s="40">
        <v>0.28000000000000003</v>
      </c>
      <c r="BD164" s="40">
        <v>0.56999999999999995</v>
      </c>
      <c r="BE164" s="40">
        <v>0.08</v>
      </c>
      <c r="BF164" s="40">
        <v>0.38</v>
      </c>
      <c r="BG164" s="40">
        <v>0.32</v>
      </c>
      <c r="BH164" s="40">
        <v>0.34</v>
      </c>
      <c r="BI164" s="40">
        <v>0.37</v>
      </c>
      <c r="BJ164" s="40">
        <v>0.3</v>
      </c>
      <c r="BK164" s="40">
        <v>0.3</v>
      </c>
      <c r="BL164" s="246">
        <v>55</v>
      </c>
      <c r="BM164" s="246" t="s">
        <v>758</v>
      </c>
      <c r="BN164" s="246">
        <v>10</v>
      </c>
      <c r="BO164" s="246" t="s">
        <v>758</v>
      </c>
      <c r="BP164" s="263">
        <v>0.06</v>
      </c>
      <c r="BQ164" s="263">
        <v>0.46</v>
      </c>
      <c r="BR164" s="263">
        <v>0.42</v>
      </c>
      <c r="BS164" s="263">
        <v>0.06</v>
      </c>
      <c r="BT164" s="263">
        <v>0.34</v>
      </c>
      <c r="BU164" s="263">
        <v>0.38</v>
      </c>
      <c r="BV164" s="263">
        <v>0.45</v>
      </c>
      <c r="BW164" s="263">
        <v>0.36</v>
      </c>
      <c r="BX164" s="263">
        <v>0.39</v>
      </c>
      <c r="BY164" s="263">
        <v>0.43</v>
      </c>
      <c r="BZ164" s="309">
        <v>57</v>
      </c>
      <c r="CA164" s="309" t="s">
        <v>758</v>
      </c>
      <c r="CB164" s="309">
        <v>9</v>
      </c>
      <c r="CC164" s="309" t="s">
        <v>758</v>
      </c>
      <c r="CD164" s="327">
        <v>0.06</v>
      </c>
      <c r="CE164" s="327">
        <v>0.34</v>
      </c>
      <c r="CF164" s="327">
        <v>0.56999999999999995</v>
      </c>
      <c r="CG164" s="327">
        <v>0.03</v>
      </c>
      <c r="CH164" s="327">
        <v>0.37</v>
      </c>
      <c r="CI164" s="327">
        <v>0.28999999999999998</v>
      </c>
      <c r="CJ164" s="327">
        <v>0.47</v>
      </c>
      <c r="CK164" s="327">
        <v>0.46</v>
      </c>
      <c r="CL164" s="327">
        <v>0.4</v>
      </c>
      <c r="CM164" s="327">
        <v>0.44</v>
      </c>
      <c r="CN164" s="424">
        <v>55</v>
      </c>
      <c r="CO164" s="424" t="s">
        <v>758</v>
      </c>
      <c r="CP164" s="424">
        <v>10</v>
      </c>
      <c r="CQ164" s="424" t="s">
        <v>758</v>
      </c>
      <c r="CR164" s="428">
        <v>0.11</v>
      </c>
      <c r="CS164" s="428">
        <v>0.36</v>
      </c>
      <c r="CT164" s="428">
        <v>0.5</v>
      </c>
      <c r="CU164" s="428">
        <v>0.03</v>
      </c>
      <c r="CV164" s="428">
        <v>0.3</v>
      </c>
      <c r="CW164" s="428">
        <v>0.44</v>
      </c>
      <c r="CX164" s="428">
        <v>0.5</v>
      </c>
      <c r="CY164" s="428">
        <v>0.63</v>
      </c>
      <c r="CZ164" s="523">
        <v>0.51</v>
      </c>
      <c r="DA164" s="523">
        <v>0.51</v>
      </c>
      <c r="DB164" s="524">
        <v>55</v>
      </c>
      <c r="DC164" s="524" t="s">
        <v>758</v>
      </c>
      <c r="DD164" s="524">
        <v>11</v>
      </c>
      <c r="DE164" s="524" t="s">
        <v>758</v>
      </c>
      <c r="DF164" s="525">
        <v>0.1</v>
      </c>
      <c r="DG164" s="525">
        <v>0.38</v>
      </c>
      <c r="DH164" s="525">
        <v>0.44</v>
      </c>
      <c r="DI164" s="525">
        <v>0.09</v>
      </c>
      <c r="DJ164" s="525">
        <v>0.41</v>
      </c>
      <c r="DK164" s="525">
        <v>0.41</v>
      </c>
      <c r="DL164" s="525">
        <v>0.41</v>
      </c>
      <c r="DM164" s="525">
        <v>0.52</v>
      </c>
      <c r="DN164" s="525">
        <v>0.44</v>
      </c>
      <c r="DO164" s="525">
        <v>0.26</v>
      </c>
      <c r="DP164" s="902">
        <v>54</v>
      </c>
      <c r="DQ164" s="902" t="s">
        <v>758</v>
      </c>
      <c r="DR164" s="902">
        <v>12</v>
      </c>
      <c r="DS164" s="902" t="s">
        <v>758</v>
      </c>
      <c r="DT164" s="949">
        <v>0.15</v>
      </c>
      <c r="DU164" s="949">
        <v>0.39</v>
      </c>
      <c r="DV164" s="949">
        <v>0.38</v>
      </c>
      <c r="DW164" s="949">
        <v>0.08</v>
      </c>
      <c r="DX164" s="949">
        <v>0.39</v>
      </c>
      <c r="DY164" s="949">
        <v>0.38</v>
      </c>
      <c r="DZ164" s="949">
        <v>0.55000000000000004</v>
      </c>
      <c r="EA164" s="949">
        <v>0.43</v>
      </c>
      <c r="EB164" s="949">
        <v>0.51</v>
      </c>
      <c r="EC164" s="949">
        <v>0.32</v>
      </c>
      <c r="ED164" s="922">
        <v>325754005471</v>
      </c>
      <c r="EE164" s="805" t="s">
        <v>110</v>
      </c>
    </row>
    <row r="165" spans="1:135" ht="24.95" customHeight="1" x14ac:dyDescent="0.2">
      <c r="A165" s="803" t="s">
        <v>116</v>
      </c>
      <c r="B165" s="1" t="s">
        <v>123</v>
      </c>
      <c r="C165" s="2">
        <v>5</v>
      </c>
      <c r="D165" s="12">
        <v>56</v>
      </c>
      <c r="E165" s="12">
        <v>7</v>
      </c>
      <c r="F165" s="63">
        <v>0</v>
      </c>
      <c r="G165" s="63">
        <v>0.47</v>
      </c>
      <c r="H165" s="63">
        <v>0.53</v>
      </c>
      <c r="I165" s="63">
        <v>0</v>
      </c>
      <c r="J165" s="63">
        <v>0.56999999999999995</v>
      </c>
      <c r="K165" s="63">
        <v>0.4</v>
      </c>
      <c r="L165" s="63">
        <v>0.53</v>
      </c>
      <c r="M165" s="63">
        <v>0.32</v>
      </c>
      <c r="N165" s="63">
        <v>0.36</v>
      </c>
      <c r="O165" s="63">
        <v>0.5</v>
      </c>
      <c r="P165" s="12">
        <v>59</v>
      </c>
      <c r="Q165" s="12">
        <v>8</v>
      </c>
      <c r="R165" s="61">
        <v>7.0000000000000007E-2</v>
      </c>
      <c r="S165" s="61">
        <v>0.14000000000000001</v>
      </c>
      <c r="T165" s="61">
        <v>0.79</v>
      </c>
      <c r="U165" s="61">
        <v>0</v>
      </c>
      <c r="V165" s="61">
        <v>0.3</v>
      </c>
      <c r="W165" s="61">
        <v>0.36</v>
      </c>
      <c r="X165" s="61">
        <v>0.49</v>
      </c>
      <c r="Y165" s="61">
        <v>0.34</v>
      </c>
      <c r="Z165" s="61">
        <v>0.33</v>
      </c>
      <c r="AA165" s="61">
        <v>0.31</v>
      </c>
      <c r="AB165" s="12">
        <v>57</v>
      </c>
      <c r="AC165" s="12">
        <v>10</v>
      </c>
      <c r="AD165" s="63">
        <v>0.06</v>
      </c>
      <c r="AE165" s="63">
        <v>0.28999999999999998</v>
      </c>
      <c r="AF165" s="63">
        <v>0.63</v>
      </c>
      <c r="AG165" s="63">
        <v>0.03</v>
      </c>
      <c r="AH165" s="63">
        <v>0.35</v>
      </c>
      <c r="AI165" s="63">
        <v>0.32</v>
      </c>
      <c r="AJ165" s="63">
        <v>0.24</v>
      </c>
      <c r="AK165" s="63">
        <v>0.35</v>
      </c>
      <c r="AL165" s="63">
        <v>0.47</v>
      </c>
      <c r="AM165" s="63">
        <v>0.39</v>
      </c>
      <c r="AN165" s="12">
        <v>52</v>
      </c>
      <c r="AO165" s="12">
        <v>9</v>
      </c>
      <c r="AP165" s="63">
        <v>0.1</v>
      </c>
      <c r="AQ165" s="63">
        <v>0.55000000000000004</v>
      </c>
      <c r="AR165" s="63">
        <v>0.3</v>
      </c>
      <c r="AS165" s="63">
        <v>0.05</v>
      </c>
      <c r="AT165" s="63">
        <v>0.52</v>
      </c>
      <c r="AU165" s="63">
        <v>0.37</v>
      </c>
      <c r="AV165" s="63">
        <v>0.37</v>
      </c>
      <c r="AW165" s="63">
        <v>0.46</v>
      </c>
      <c r="AX165" s="63">
        <v>0.38</v>
      </c>
      <c r="AY165" s="63">
        <v>0.48</v>
      </c>
      <c r="AZ165" s="35">
        <v>55</v>
      </c>
      <c r="BA165" s="35">
        <v>8</v>
      </c>
      <c r="BB165" s="40">
        <v>0.02</v>
      </c>
      <c r="BC165" s="40">
        <v>0.53</v>
      </c>
      <c r="BD165" s="40">
        <v>0.42</v>
      </c>
      <c r="BE165" s="40">
        <v>0.02</v>
      </c>
      <c r="BF165" s="40">
        <v>0.31</v>
      </c>
      <c r="BG165" s="40">
        <v>0.39</v>
      </c>
      <c r="BH165" s="40">
        <v>0.4</v>
      </c>
      <c r="BI165" s="40">
        <v>0.5</v>
      </c>
      <c r="BJ165" s="40">
        <v>0.31</v>
      </c>
      <c r="BK165" s="40">
        <v>0.38</v>
      </c>
      <c r="BL165" s="246">
        <v>53</v>
      </c>
      <c r="BM165" s="246" t="s">
        <v>758</v>
      </c>
      <c r="BN165" s="246">
        <v>11</v>
      </c>
      <c r="BO165" s="246" t="s">
        <v>758</v>
      </c>
      <c r="BP165" s="263">
        <v>0.14000000000000001</v>
      </c>
      <c r="BQ165" s="263">
        <v>0.37</v>
      </c>
      <c r="BR165" s="263">
        <v>0.42</v>
      </c>
      <c r="BS165" s="263">
        <v>7.0000000000000007E-2</v>
      </c>
      <c r="BT165" s="263">
        <v>0.37</v>
      </c>
      <c r="BU165" s="263">
        <v>0.4</v>
      </c>
      <c r="BV165" s="263">
        <v>0.33</v>
      </c>
      <c r="BW165" s="263">
        <v>0.4</v>
      </c>
      <c r="BX165" s="263">
        <v>0.41</v>
      </c>
      <c r="BY165" s="263">
        <v>0.47</v>
      </c>
      <c r="BZ165" s="309">
        <v>56</v>
      </c>
      <c r="CA165" s="309" t="s">
        <v>758</v>
      </c>
      <c r="CB165" s="309">
        <v>11</v>
      </c>
      <c r="CC165" s="309" t="s">
        <v>758</v>
      </c>
      <c r="CD165" s="327">
        <v>0.11</v>
      </c>
      <c r="CE165" s="327">
        <v>0.32</v>
      </c>
      <c r="CF165" s="327">
        <v>0.55000000000000004</v>
      </c>
      <c r="CG165" s="327">
        <v>0.03</v>
      </c>
      <c r="CH165" s="327">
        <v>0.51</v>
      </c>
      <c r="CI165" s="327">
        <v>0.33</v>
      </c>
      <c r="CJ165" s="327">
        <v>0.48</v>
      </c>
      <c r="CK165" s="327">
        <v>0.49</v>
      </c>
      <c r="CL165" s="327">
        <v>0.33</v>
      </c>
      <c r="CM165" s="327">
        <v>0.53</v>
      </c>
      <c r="CN165" s="424">
        <v>56</v>
      </c>
      <c r="CO165" s="424" t="s">
        <v>758</v>
      </c>
      <c r="CP165" s="424">
        <v>8</v>
      </c>
      <c r="CQ165" s="424" t="s">
        <v>758</v>
      </c>
      <c r="CR165" s="428">
        <v>0.04</v>
      </c>
      <c r="CS165" s="428">
        <v>0.39</v>
      </c>
      <c r="CT165" s="428">
        <v>0.56999999999999995</v>
      </c>
      <c r="CU165" s="428">
        <v>0</v>
      </c>
      <c r="CV165" s="428">
        <v>0.25</v>
      </c>
      <c r="CW165" s="428">
        <v>0.36</v>
      </c>
      <c r="CX165" s="428">
        <v>0.52</v>
      </c>
      <c r="CY165" s="428">
        <v>0.48</v>
      </c>
      <c r="CZ165" s="523">
        <v>0.47</v>
      </c>
      <c r="DA165" s="523">
        <v>0.52</v>
      </c>
      <c r="DB165" s="524">
        <v>56</v>
      </c>
      <c r="DC165" s="524" t="s">
        <v>758</v>
      </c>
      <c r="DD165" s="524">
        <v>9</v>
      </c>
      <c r="DE165" s="524" t="s">
        <v>758</v>
      </c>
      <c r="DF165" s="525">
        <v>0.08</v>
      </c>
      <c r="DG165" s="525">
        <v>0.38</v>
      </c>
      <c r="DH165" s="525">
        <v>0.5</v>
      </c>
      <c r="DI165" s="525">
        <v>0.03</v>
      </c>
      <c r="DJ165" s="525">
        <v>0.4</v>
      </c>
      <c r="DK165" s="525">
        <v>0.35</v>
      </c>
      <c r="DL165" s="525">
        <v>0.39</v>
      </c>
      <c r="DM165" s="525">
        <v>0.55000000000000004</v>
      </c>
      <c r="DN165" s="525">
        <v>0.4</v>
      </c>
      <c r="DO165" s="525">
        <v>0.27</v>
      </c>
      <c r="DP165" s="902">
        <v>58</v>
      </c>
      <c r="DQ165" s="902" t="s">
        <v>759</v>
      </c>
      <c r="DR165" s="902">
        <v>11</v>
      </c>
      <c r="DS165" s="902" t="s">
        <v>758</v>
      </c>
      <c r="DT165" s="949">
        <v>0.05</v>
      </c>
      <c r="DU165" s="949">
        <v>0.37</v>
      </c>
      <c r="DV165" s="949">
        <v>0.4</v>
      </c>
      <c r="DW165" s="949">
        <v>0.18</v>
      </c>
      <c r="DX165" s="949">
        <v>0.39</v>
      </c>
      <c r="DY165" s="949">
        <v>0.3</v>
      </c>
      <c r="DZ165" s="949">
        <v>0.62</v>
      </c>
      <c r="EA165" s="949">
        <v>0.31</v>
      </c>
      <c r="EB165" s="949">
        <v>0.41</v>
      </c>
      <c r="EC165" s="949">
        <v>0.28000000000000003</v>
      </c>
      <c r="ED165" s="922">
        <v>325754003878</v>
      </c>
      <c r="EE165" s="803" t="s">
        <v>116</v>
      </c>
    </row>
    <row r="166" spans="1:135" ht="24.95" customHeight="1" x14ac:dyDescent="0.2">
      <c r="A166" s="803" t="s">
        <v>98</v>
      </c>
      <c r="B166" s="1" t="s">
        <v>123</v>
      </c>
      <c r="C166" s="2">
        <v>5</v>
      </c>
      <c r="D166" s="12">
        <v>55</v>
      </c>
      <c r="E166" s="12">
        <v>7</v>
      </c>
      <c r="F166" s="63">
        <v>0.03</v>
      </c>
      <c r="G166" s="63">
        <v>0.6</v>
      </c>
      <c r="H166" s="63">
        <v>0.37</v>
      </c>
      <c r="I166" s="63">
        <v>0</v>
      </c>
      <c r="J166" s="63">
        <v>0.51</v>
      </c>
      <c r="K166" s="63">
        <v>0.42</v>
      </c>
      <c r="L166" s="63">
        <v>0.62</v>
      </c>
      <c r="M166" s="63">
        <v>0.39</v>
      </c>
      <c r="N166" s="63">
        <v>0.28999999999999998</v>
      </c>
      <c r="O166" s="63">
        <v>0.36</v>
      </c>
      <c r="P166" s="12">
        <v>56</v>
      </c>
      <c r="Q166" s="12">
        <v>8</v>
      </c>
      <c r="R166" s="61">
        <v>7.0000000000000007E-2</v>
      </c>
      <c r="S166" s="61">
        <v>0.41</v>
      </c>
      <c r="T166" s="61">
        <v>0.52</v>
      </c>
      <c r="U166" s="61">
        <v>0</v>
      </c>
      <c r="V166" s="61">
        <v>0.31</v>
      </c>
      <c r="W166" s="61">
        <v>0.4</v>
      </c>
      <c r="X166" s="61">
        <v>0.54</v>
      </c>
      <c r="Y166" s="61">
        <v>0.4</v>
      </c>
      <c r="Z166" s="61">
        <v>0.36</v>
      </c>
      <c r="AA166" s="61">
        <v>0.38</v>
      </c>
      <c r="AB166" s="12">
        <v>58</v>
      </c>
      <c r="AC166" s="12">
        <v>5</v>
      </c>
      <c r="AD166" s="63">
        <v>0</v>
      </c>
      <c r="AE166" s="63">
        <v>0.33</v>
      </c>
      <c r="AF166" s="63">
        <v>0.67</v>
      </c>
      <c r="AG166" s="63">
        <v>0</v>
      </c>
      <c r="AH166" s="63">
        <v>0.22</v>
      </c>
      <c r="AI166" s="63">
        <v>0.26</v>
      </c>
      <c r="AJ166" s="63">
        <v>0.27</v>
      </c>
      <c r="AK166" s="63">
        <v>0.37</v>
      </c>
      <c r="AL166" s="63">
        <v>0.44</v>
      </c>
      <c r="AM166" s="63">
        <v>0.46</v>
      </c>
      <c r="AN166" s="12">
        <v>53</v>
      </c>
      <c r="AO166" s="12">
        <v>12</v>
      </c>
      <c r="AP166" s="63">
        <v>0.2</v>
      </c>
      <c r="AQ166" s="63">
        <v>0.35</v>
      </c>
      <c r="AR166" s="63">
        <v>0.4</v>
      </c>
      <c r="AS166" s="63">
        <v>0.05</v>
      </c>
      <c r="AT166" s="63">
        <v>0.42</v>
      </c>
      <c r="AU166" s="63">
        <v>0.45</v>
      </c>
      <c r="AV166" s="63">
        <v>0.41</v>
      </c>
      <c r="AW166" s="63">
        <v>0.39</v>
      </c>
      <c r="AX166" s="63">
        <v>0.39</v>
      </c>
      <c r="AY166" s="63">
        <v>0.4</v>
      </c>
      <c r="AZ166" s="35">
        <v>57</v>
      </c>
      <c r="BA166" s="35">
        <v>6</v>
      </c>
      <c r="BB166" s="40">
        <v>0</v>
      </c>
      <c r="BC166" s="40">
        <v>0.33</v>
      </c>
      <c r="BD166" s="40">
        <v>0.67</v>
      </c>
      <c r="BE166" s="40">
        <v>0</v>
      </c>
      <c r="BF166" s="40">
        <v>0.31</v>
      </c>
      <c r="BG166" s="40">
        <v>0.4</v>
      </c>
      <c r="BH166" s="40">
        <v>0.31</v>
      </c>
      <c r="BI166" s="40">
        <v>0.38</v>
      </c>
      <c r="BJ166" s="40">
        <v>0.32</v>
      </c>
      <c r="BK166" s="40">
        <v>0.3</v>
      </c>
      <c r="BL166" s="246">
        <v>55</v>
      </c>
      <c r="BM166" s="246" t="s">
        <v>758</v>
      </c>
      <c r="BN166" s="246">
        <v>10</v>
      </c>
      <c r="BO166" s="246" t="s">
        <v>758</v>
      </c>
      <c r="BP166" s="263">
        <v>7.0000000000000007E-2</v>
      </c>
      <c r="BQ166" s="263">
        <v>0.5</v>
      </c>
      <c r="BR166" s="263">
        <v>0.36</v>
      </c>
      <c r="BS166" s="263">
        <v>7.0000000000000007E-2</v>
      </c>
      <c r="BT166" s="263">
        <v>0.32</v>
      </c>
      <c r="BU166" s="263">
        <v>0.42</v>
      </c>
      <c r="BV166" s="263">
        <v>0.42</v>
      </c>
      <c r="BW166" s="263">
        <v>0.32</v>
      </c>
      <c r="BX166" s="263">
        <v>0.41</v>
      </c>
      <c r="BY166" s="263">
        <v>0.46</v>
      </c>
      <c r="BZ166" s="309">
        <v>58</v>
      </c>
      <c r="CA166" s="309" t="s">
        <v>759</v>
      </c>
      <c r="CB166" s="309">
        <v>7</v>
      </c>
      <c r="CC166" s="309" t="s">
        <v>760</v>
      </c>
      <c r="CD166" s="327">
        <v>0.03</v>
      </c>
      <c r="CE166" s="327">
        <v>0.28999999999999998</v>
      </c>
      <c r="CF166" s="327">
        <v>0.65</v>
      </c>
      <c r="CG166" s="327">
        <v>0.03</v>
      </c>
      <c r="CH166" s="327">
        <v>0.38</v>
      </c>
      <c r="CI166" s="327">
        <v>0.15</v>
      </c>
      <c r="CJ166" s="327">
        <v>0.46</v>
      </c>
      <c r="CK166" s="327">
        <v>0.44</v>
      </c>
      <c r="CL166" s="327">
        <v>0.37</v>
      </c>
      <c r="CM166" s="327">
        <v>0.55000000000000004</v>
      </c>
      <c r="CN166" s="424">
        <v>53</v>
      </c>
      <c r="CO166" s="424" t="s">
        <v>758</v>
      </c>
      <c r="CP166" s="424">
        <v>10</v>
      </c>
      <c r="CQ166" s="424" t="s">
        <v>758</v>
      </c>
      <c r="CR166" s="428">
        <v>0.12</v>
      </c>
      <c r="CS166" s="428">
        <v>0.48</v>
      </c>
      <c r="CT166" s="428">
        <v>0.36</v>
      </c>
      <c r="CU166" s="428">
        <v>0.05</v>
      </c>
      <c r="CV166" s="428">
        <v>0.22</v>
      </c>
      <c r="CW166" s="428">
        <v>0.48</v>
      </c>
      <c r="CX166" s="428">
        <v>0.46</v>
      </c>
      <c r="CY166" s="428">
        <v>0.75</v>
      </c>
      <c r="CZ166" s="523">
        <v>0.41</v>
      </c>
      <c r="DA166" s="523">
        <v>0.6</v>
      </c>
      <c r="DB166" s="524">
        <v>56</v>
      </c>
      <c r="DC166" s="524" t="s">
        <v>758</v>
      </c>
      <c r="DD166" s="524">
        <v>8</v>
      </c>
      <c r="DE166" s="524" t="s">
        <v>758</v>
      </c>
      <c r="DF166" s="525">
        <v>0.09</v>
      </c>
      <c r="DG166" s="525">
        <v>0.36</v>
      </c>
      <c r="DH166" s="525">
        <v>0.5</v>
      </c>
      <c r="DI166" s="525">
        <v>0.05</v>
      </c>
      <c r="DJ166" s="525">
        <v>0.47</v>
      </c>
      <c r="DK166" s="525">
        <v>0.39</v>
      </c>
      <c r="DL166" s="525">
        <v>0.38</v>
      </c>
      <c r="DM166" s="525">
        <v>0.59</v>
      </c>
      <c r="DN166" s="525">
        <v>0.43</v>
      </c>
      <c r="DO166" s="525">
        <v>0.38</v>
      </c>
      <c r="DP166" s="902">
        <v>56</v>
      </c>
      <c r="DQ166" s="902" t="s">
        <v>758</v>
      </c>
      <c r="DR166" s="902">
        <v>7</v>
      </c>
      <c r="DS166" s="902" t="s">
        <v>760</v>
      </c>
      <c r="DT166" s="949">
        <v>0</v>
      </c>
      <c r="DU166" s="949">
        <v>0.43</v>
      </c>
      <c r="DV166" s="949">
        <v>0.56999999999999995</v>
      </c>
      <c r="DW166" s="949">
        <v>0</v>
      </c>
      <c r="DX166" s="949">
        <v>0.37</v>
      </c>
      <c r="DY166" s="949">
        <v>0.35</v>
      </c>
      <c r="DZ166" s="949">
        <v>0.5</v>
      </c>
      <c r="EA166" s="949">
        <v>0.35</v>
      </c>
      <c r="EB166" s="949">
        <v>0.4</v>
      </c>
      <c r="EC166" s="949">
        <v>0.36</v>
      </c>
      <c r="ED166" s="922">
        <v>325754004262</v>
      </c>
      <c r="EE166" s="803" t="s">
        <v>98</v>
      </c>
    </row>
    <row r="167" spans="1:135" ht="24.95" customHeight="1" x14ac:dyDescent="0.2">
      <c r="A167" s="126" t="s">
        <v>175</v>
      </c>
      <c r="B167" s="1" t="s">
        <v>123</v>
      </c>
      <c r="C167" s="2">
        <v>4</v>
      </c>
      <c r="D167" s="12">
        <v>40</v>
      </c>
      <c r="E167" s="12">
        <v>1</v>
      </c>
      <c r="F167" s="63">
        <v>1</v>
      </c>
      <c r="G167" s="63">
        <v>0</v>
      </c>
      <c r="H167" s="63">
        <v>0</v>
      </c>
      <c r="I167" s="63">
        <v>0</v>
      </c>
      <c r="J167" s="63">
        <v>0.72</v>
      </c>
      <c r="K167" s="63">
        <v>0.72</v>
      </c>
      <c r="L167" s="63">
        <v>0.63</v>
      </c>
      <c r="M167" s="63">
        <v>0.79</v>
      </c>
      <c r="N167" s="63">
        <v>0.67</v>
      </c>
      <c r="O167" s="63">
        <v>0.67</v>
      </c>
      <c r="P167" s="12">
        <v>45</v>
      </c>
      <c r="Q167" s="12">
        <v>5</v>
      </c>
      <c r="R167" s="61">
        <v>0.3</v>
      </c>
      <c r="S167" s="61">
        <v>0.7</v>
      </c>
      <c r="T167" s="61">
        <v>0</v>
      </c>
      <c r="U167" s="61">
        <v>0</v>
      </c>
      <c r="V167" s="61">
        <v>0.55000000000000004</v>
      </c>
      <c r="W167" s="61">
        <v>0.6</v>
      </c>
      <c r="X167" s="61">
        <v>0.67</v>
      </c>
      <c r="Y167" s="61">
        <v>0.47</v>
      </c>
      <c r="Z167" s="61">
        <v>0.54</v>
      </c>
      <c r="AA167" s="61">
        <v>0.48</v>
      </c>
      <c r="AB167" s="12">
        <v>42</v>
      </c>
      <c r="AC167" s="12">
        <v>7</v>
      </c>
      <c r="AD167" s="63">
        <v>0.38</v>
      </c>
      <c r="AE167" s="63">
        <v>0.63</v>
      </c>
      <c r="AF167" s="63">
        <v>0</v>
      </c>
      <c r="AG167" s="63">
        <v>0</v>
      </c>
      <c r="AH167" s="63">
        <v>0.55000000000000004</v>
      </c>
      <c r="AI167" s="63">
        <v>0.63</v>
      </c>
      <c r="AJ167" s="63">
        <v>0.59</v>
      </c>
      <c r="AK167" s="63">
        <v>0.63</v>
      </c>
      <c r="AL167" s="63">
        <v>0.74</v>
      </c>
      <c r="AM167" s="63">
        <v>0.43</v>
      </c>
      <c r="AN167" s="12">
        <v>39</v>
      </c>
      <c r="AO167" s="12">
        <v>9</v>
      </c>
      <c r="AP167" s="63">
        <v>0.5</v>
      </c>
      <c r="AQ167" s="63">
        <v>0.5</v>
      </c>
      <c r="AR167" s="63">
        <v>0</v>
      </c>
      <c r="AS167" s="63">
        <v>0</v>
      </c>
      <c r="AT167" s="63">
        <v>0.67</v>
      </c>
      <c r="AU167" s="63">
        <v>0.54</v>
      </c>
      <c r="AV167" s="63">
        <v>0.5</v>
      </c>
      <c r="AW167" s="63">
        <v>0.64</v>
      </c>
      <c r="AX167" s="63">
        <v>0.73</v>
      </c>
      <c r="AY167" s="63">
        <v>0.68</v>
      </c>
      <c r="AZ167" s="35">
        <v>37</v>
      </c>
      <c r="BA167" s="35">
        <v>8</v>
      </c>
      <c r="BB167" s="40">
        <v>0.5</v>
      </c>
      <c r="BC167" s="40">
        <v>0.5</v>
      </c>
      <c r="BD167" s="40">
        <v>0</v>
      </c>
      <c r="BE167" s="40">
        <v>0</v>
      </c>
      <c r="BF167" s="40">
        <v>1</v>
      </c>
      <c r="BG167" s="40">
        <v>0.64</v>
      </c>
      <c r="BH167" s="40">
        <v>0.7</v>
      </c>
      <c r="BI167" s="40">
        <v>0.78</v>
      </c>
      <c r="BJ167" s="40">
        <v>0.7</v>
      </c>
      <c r="BK167" s="40">
        <v>0.56000000000000005</v>
      </c>
      <c r="BL167" s="246">
        <v>44</v>
      </c>
      <c r="BM167" s="246" t="s">
        <v>758</v>
      </c>
      <c r="BN167" s="246">
        <v>11</v>
      </c>
      <c r="BO167" s="246" t="s">
        <v>758</v>
      </c>
      <c r="BP167" s="263">
        <v>0.45</v>
      </c>
      <c r="BQ167" s="263">
        <v>0.36</v>
      </c>
      <c r="BR167" s="263">
        <v>0.18</v>
      </c>
      <c r="BS167" s="263">
        <v>0</v>
      </c>
      <c r="BT167" s="263">
        <v>0.53</v>
      </c>
      <c r="BU167" s="263">
        <v>0.56000000000000005</v>
      </c>
      <c r="BV167" s="263">
        <v>0.43</v>
      </c>
      <c r="BW167" s="263">
        <v>0.55000000000000004</v>
      </c>
      <c r="BX167" s="263">
        <v>0.56000000000000005</v>
      </c>
      <c r="BY167" s="263">
        <v>0.59</v>
      </c>
      <c r="BZ167" s="309">
        <v>46</v>
      </c>
      <c r="CA167" s="309" t="s">
        <v>758</v>
      </c>
      <c r="CB167" s="309">
        <v>6</v>
      </c>
      <c r="CC167" s="309" t="s">
        <v>760</v>
      </c>
      <c r="CD167" s="327">
        <v>0.18</v>
      </c>
      <c r="CE167" s="327">
        <v>0.82</v>
      </c>
      <c r="CF167" s="327">
        <v>0</v>
      </c>
      <c r="CG167" s="327">
        <v>0</v>
      </c>
      <c r="CH167" s="327">
        <v>0.5</v>
      </c>
      <c r="CI167" s="327">
        <v>0.43</v>
      </c>
      <c r="CJ167" s="327">
        <v>0.69</v>
      </c>
      <c r="CK167" s="327">
        <v>0.59</v>
      </c>
      <c r="CL167" s="327">
        <v>0.3</v>
      </c>
      <c r="CM167" s="327">
        <v>0.7</v>
      </c>
      <c r="CN167" s="424">
        <v>46</v>
      </c>
      <c r="CO167" s="424" t="s">
        <v>758</v>
      </c>
      <c r="CP167" s="424">
        <v>9</v>
      </c>
      <c r="CQ167" s="424" t="s">
        <v>758</v>
      </c>
      <c r="CR167" s="428">
        <v>0.2</v>
      </c>
      <c r="CS167" s="428">
        <v>0.7</v>
      </c>
      <c r="CT167" s="428">
        <v>0.1</v>
      </c>
      <c r="CU167" s="428">
        <v>0</v>
      </c>
      <c r="CV167" s="428">
        <v>0.44</v>
      </c>
      <c r="CW167" s="428">
        <v>0.57999999999999996</v>
      </c>
      <c r="CX167" s="428">
        <v>0.69</v>
      </c>
      <c r="CY167" s="428">
        <v>1</v>
      </c>
      <c r="CZ167" s="523">
        <v>0.66</v>
      </c>
      <c r="DA167" s="523">
        <v>0.71</v>
      </c>
      <c r="DB167" s="524">
        <v>47</v>
      </c>
      <c r="DC167" s="524" t="s">
        <v>758</v>
      </c>
      <c r="DD167" s="524">
        <v>10</v>
      </c>
      <c r="DE167" s="524" t="s">
        <v>758</v>
      </c>
      <c r="DF167" s="525">
        <v>0.31</v>
      </c>
      <c r="DG167" s="525">
        <v>0.5</v>
      </c>
      <c r="DH167" s="525">
        <v>0.19</v>
      </c>
      <c r="DI167" s="525">
        <v>0</v>
      </c>
      <c r="DJ167" s="525">
        <v>0.54</v>
      </c>
      <c r="DK167" s="525">
        <v>0.6</v>
      </c>
      <c r="DL167" s="525">
        <v>0.52</v>
      </c>
      <c r="DM167" s="525">
        <v>0.68</v>
      </c>
      <c r="DN167" s="525">
        <v>0.52</v>
      </c>
      <c r="DO167" s="525">
        <v>0.5</v>
      </c>
      <c r="DP167" s="902">
        <v>48</v>
      </c>
      <c r="DQ167" s="902" t="s">
        <v>758</v>
      </c>
      <c r="DR167" s="902">
        <v>11</v>
      </c>
      <c r="DS167" s="902" t="s">
        <v>758</v>
      </c>
      <c r="DT167" s="949">
        <v>0.17</v>
      </c>
      <c r="DU167" s="949">
        <v>0.61</v>
      </c>
      <c r="DV167" s="949">
        <v>0.22</v>
      </c>
      <c r="DW167" s="949">
        <v>0</v>
      </c>
      <c r="DX167" s="949">
        <v>0.44</v>
      </c>
      <c r="DY167" s="949">
        <v>0.48</v>
      </c>
      <c r="DZ167" s="949">
        <v>0.8</v>
      </c>
      <c r="EA167" s="949">
        <v>0.4</v>
      </c>
      <c r="EB167" s="949">
        <v>0.65</v>
      </c>
      <c r="EC167" s="949">
        <v>0.5</v>
      </c>
      <c r="ED167" s="922">
        <v>325754005048</v>
      </c>
      <c r="EE167" s="126" t="s">
        <v>175</v>
      </c>
    </row>
    <row r="168" spans="1:135" ht="24.95" customHeight="1" x14ac:dyDescent="0.2">
      <c r="A168" s="126" t="s">
        <v>44</v>
      </c>
      <c r="B168" s="1" t="s">
        <v>123</v>
      </c>
      <c r="C168" s="2">
        <v>6</v>
      </c>
      <c r="D168" s="12">
        <v>54</v>
      </c>
      <c r="E168" s="12">
        <v>9</v>
      </c>
      <c r="F168" s="63">
        <v>0.06</v>
      </c>
      <c r="G168" s="63">
        <v>0.46</v>
      </c>
      <c r="H168" s="63">
        <v>0.47</v>
      </c>
      <c r="I168" s="63">
        <v>0.01</v>
      </c>
      <c r="J168" s="63">
        <v>0.49</v>
      </c>
      <c r="K168" s="63">
        <v>0.48</v>
      </c>
      <c r="L168" s="63">
        <v>0.55000000000000004</v>
      </c>
      <c r="M168" s="63">
        <v>0.28999999999999998</v>
      </c>
      <c r="N168" s="63">
        <v>0.37</v>
      </c>
      <c r="O168" s="63">
        <v>0.46</v>
      </c>
      <c r="P168" s="12">
        <v>54</v>
      </c>
      <c r="Q168" s="12">
        <v>9</v>
      </c>
      <c r="R168" s="61">
        <v>0.12</v>
      </c>
      <c r="S168" s="61">
        <v>0.43</v>
      </c>
      <c r="T168" s="61">
        <v>0.43</v>
      </c>
      <c r="U168" s="61">
        <v>0.03</v>
      </c>
      <c r="V168" s="61">
        <v>0.36</v>
      </c>
      <c r="W168" s="61">
        <v>0.43</v>
      </c>
      <c r="X168" s="61">
        <v>0.48</v>
      </c>
      <c r="Y168" s="61">
        <v>0.38</v>
      </c>
      <c r="Z168" s="61">
        <v>0.38</v>
      </c>
      <c r="AA168" s="61">
        <v>0.53</v>
      </c>
      <c r="AB168" s="12">
        <v>53</v>
      </c>
      <c r="AC168" s="12">
        <v>13</v>
      </c>
      <c r="AD168" s="63">
        <v>0.16</v>
      </c>
      <c r="AE168" s="63">
        <v>0.42</v>
      </c>
      <c r="AF168" s="63">
        <v>0.39</v>
      </c>
      <c r="AG168" s="63">
        <v>0.03</v>
      </c>
      <c r="AH168" s="63">
        <v>0.39</v>
      </c>
      <c r="AI168" s="63">
        <v>0.35</v>
      </c>
      <c r="AJ168" s="63">
        <v>0.36</v>
      </c>
      <c r="AK168" s="63">
        <v>0.43</v>
      </c>
      <c r="AL168" s="63">
        <v>0.5</v>
      </c>
      <c r="AM168" s="63">
        <v>0.45</v>
      </c>
      <c r="AN168" s="12">
        <v>51</v>
      </c>
      <c r="AO168" s="12">
        <v>11</v>
      </c>
      <c r="AP168" s="63">
        <v>0.13</v>
      </c>
      <c r="AQ168" s="63">
        <v>0.54</v>
      </c>
      <c r="AR168" s="63">
        <v>0.26</v>
      </c>
      <c r="AS168" s="63">
        <v>7.0000000000000007E-2</v>
      </c>
      <c r="AT168" s="63">
        <v>0.52</v>
      </c>
      <c r="AU168" s="63">
        <v>0.42</v>
      </c>
      <c r="AV168" s="63">
        <v>0.42</v>
      </c>
      <c r="AW168" s="63">
        <v>0.43</v>
      </c>
      <c r="AX168" s="63">
        <v>0.42</v>
      </c>
      <c r="AY168" s="63">
        <v>0.47</v>
      </c>
      <c r="AZ168" s="35">
        <v>53</v>
      </c>
      <c r="BA168" s="35">
        <v>9</v>
      </c>
      <c r="BB168" s="40">
        <v>0.11</v>
      </c>
      <c r="BC168" s="40">
        <v>0.48</v>
      </c>
      <c r="BD168" s="40">
        <v>0.4</v>
      </c>
      <c r="BE168" s="40">
        <v>0.01</v>
      </c>
      <c r="BF168" s="40">
        <v>0.45</v>
      </c>
      <c r="BG168" s="40">
        <v>0.39</v>
      </c>
      <c r="BH168" s="40">
        <v>0.4</v>
      </c>
      <c r="BI168" s="40">
        <v>0.52</v>
      </c>
      <c r="BJ168" s="40">
        <v>0.36</v>
      </c>
      <c r="BK168" s="40">
        <v>0.41</v>
      </c>
      <c r="BL168" s="246">
        <v>53</v>
      </c>
      <c r="BM168" s="246" t="s">
        <v>758</v>
      </c>
      <c r="BN168" s="246">
        <v>10</v>
      </c>
      <c r="BO168" s="246" t="s">
        <v>758</v>
      </c>
      <c r="BP168" s="263">
        <v>0.12</v>
      </c>
      <c r="BQ168" s="263">
        <v>0.47</v>
      </c>
      <c r="BR168" s="263">
        <v>0.39</v>
      </c>
      <c r="BS168" s="263">
        <v>0.03</v>
      </c>
      <c r="BT168" s="263">
        <v>0.44</v>
      </c>
      <c r="BU168" s="263">
        <v>0.43</v>
      </c>
      <c r="BV168" s="263">
        <v>0.42</v>
      </c>
      <c r="BW168" s="263">
        <v>0.4</v>
      </c>
      <c r="BX168" s="263">
        <v>0.43</v>
      </c>
      <c r="BY168" s="263">
        <v>0.48</v>
      </c>
      <c r="BZ168" s="309">
        <v>53</v>
      </c>
      <c r="CA168" s="309" t="s">
        <v>758</v>
      </c>
      <c r="CB168" s="309">
        <v>9</v>
      </c>
      <c r="CC168" s="309" t="s">
        <v>758</v>
      </c>
      <c r="CD168" s="327">
        <v>0.1</v>
      </c>
      <c r="CE168" s="327">
        <v>0.42</v>
      </c>
      <c r="CF168" s="327">
        <v>0.47</v>
      </c>
      <c r="CG168" s="327">
        <v>0.02</v>
      </c>
      <c r="CH168" s="327">
        <v>0.45</v>
      </c>
      <c r="CI168" s="327">
        <v>0.28000000000000003</v>
      </c>
      <c r="CJ168" s="327">
        <v>0.51</v>
      </c>
      <c r="CK168" s="327">
        <v>0.49</v>
      </c>
      <c r="CL168" s="327">
        <v>0.37</v>
      </c>
      <c r="CM168" s="327">
        <v>0.57999999999999996</v>
      </c>
      <c r="CN168" s="424">
        <v>53</v>
      </c>
      <c r="CO168" s="424" t="s">
        <v>758</v>
      </c>
      <c r="CP168" s="424">
        <v>10</v>
      </c>
      <c r="CQ168" s="424" t="s">
        <v>758</v>
      </c>
      <c r="CR168" s="428">
        <v>0.16</v>
      </c>
      <c r="CS168" s="428">
        <v>0.41</v>
      </c>
      <c r="CT168" s="428">
        <v>0.38</v>
      </c>
      <c r="CU168" s="428">
        <v>0.05</v>
      </c>
      <c r="CV168" s="428">
        <v>0.28000000000000003</v>
      </c>
      <c r="CW168" s="428">
        <v>0.47</v>
      </c>
      <c r="CX168" s="428">
        <v>0.52</v>
      </c>
      <c r="CY168" s="428">
        <v>0.56000000000000005</v>
      </c>
      <c r="CZ168" s="523">
        <v>0.5</v>
      </c>
      <c r="DA168" s="523">
        <v>0.55000000000000004</v>
      </c>
      <c r="DB168" s="524">
        <v>55</v>
      </c>
      <c r="DC168" s="524" t="s">
        <v>758</v>
      </c>
      <c r="DD168" s="524">
        <v>10</v>
      </c>
      <c r="DE168" s="524" t="s">
        <v>758</v>
      </c>
      <c r="DF168" s="525">
        <v>7.0000000000000007E-2</v>
      </c>
      <c r="DG168" s="525">
        <v>0.41</v>
      </c>
      <c r="DH168" s="525">
        <v>0.47</v>
      </c>
      <c r="DI168" s="525">
        <v>0.05</v>
      </c>
      <c r="DJ168" s="525">
        <v>0.39</v>
      </c>
      <c r="DK168" s="525">
        <v>0.39</v>
      </c>
      <c r="DL168" s="525">
        <v>0.43</v>
      </c>
      <c r="DM168" s="525">
        <v>0.56999999999999995</v>
      </c>
      <c r="DN168" s="525">
        <v>0.45</v>
      </c>
      <c r="DO168" s="525">
        <v>0.31</v>
      </c>
      <c r="DP168" s="902">
        <v>53</v>
      </c>
      <c r="DQ168" s="902" t="s">
        <v>758</v>
      </c>
      <c r="DR168" s="902">
        <v>10</v>
      </c>
      <c r="DS168" s="902" t="s">
        <v>758</v>
      </c>
      <c r="DT168" s="949">
        <v>0.11</v>
      </c>
      <c r="DU168" s="949">
        <v>0.44</v>
      </c>
      <c r="DV168" s="949">
        <v>0.41</v>
      </c>
      <c r="DW168" s="949">
        <v>0.04</v>
      </c>
      <c r="DX168" s="949">
        <v>0.44</v>
      </c>
      <c r="DY168" s="949">
        <v>0.32</v>
      </c>
      <c r="DZ168" s="949">
        <v>0.66</v>
      </c>
      <c r="EA168" s="949">
        <v>0.39</v>
      </c>
      <c r="EB168" s="949">
        <v>0.5</v>
      </c>
      <c r="EC168" s="949">
        <v>0.36</v>
      </c>
      <c r="ED168" s="922">
        <v>325754001841</v>
      </c>
      <c r="EE168" s="126" t="s">
        <v>44</v>
      </c>
    </row>
    <row r="169" spans="1:135" s="892" customFormat="1" ht="24.95" customHeight="1" x14ac:dyDescent="0.2">
      <c r="A169" s="866" t="s">
        <v>961</v>
      </c>
      <c r="B169" s="1" t="s">
        <v>123</v>
      </c>
      <c r="C169" s="867">
        <v>5</v>
      </c>
      <c r="D169" s="868"/>
      <c r="E169" s="868"/>
      <c r="F169" s="906"/>
      <c r="G169" s="906"/>
      <c r="H169" s="906"/>
      <c r="I169" s="906"/>
      <c r="J169" s="906"/>
      <c r="K169" s="906"/>
      <c r="L169" s="906"/>
      <c r="M169" s="906"/>
      <c r="N169" s="906"/>
      <c r="O169" s="906"/>
      <c r="P169" s="868"/>
      <c r="Q169" s="868"/>
      <c r="R169" s="907"/>
      <c r="S169" s="907"/>
      <c r="T169" s="907"/>
      <c r="U169" s="907"/>
      <c r="V169" s="907"/>
      <c r="W169" s="907"/>
      <c r="X169" s="907"/>
      <c r="Y169" s="907"/>
      <c r="Z169" s="907"/>
      <c r="AA169" s="907"/>
      <c r="AB169" s="868"/>
      <c r="AC169" s="868"/>
      <c r="AD169" s="906"/>
      <c r="AE169" s="906"/>
      <c r="AF169" s="906"/>
      <c r="AG169" s="906"/>
      <c r="AH169" s="906"/>
      <c r="AI169" s="906"/>
      <c r="AJ169" s="906"/>
      <c r="AK169" s="906"/>
      <c r="AL169" s="906"/>
      <c r="AM169" s="906"/>
      <c r="AN169" s="868"/>
      <c r="AO169" s="868"/>
      <c r="AP169" s="906"/>
      <c r="AQ169" s="906"/>
      <c r="AR169" s="906"/>
      <c r="AS169" s="906"/>
      <c r="AT169" s="906"/>
      <c r="AU169" s="906"/>
      <c r="AV169" s="906"/>
      <c r="AW169" s="906"/>
      <c r="AX169" s="906"/>
      <c r="AY169" s="906"/>
      <c r="AZ169" s="909"/>
      <c r="BA169" s="909"/>
      <c r="BB169" s="910"/>
      <c r="BC169" s="910"/>
      <c r="BD169" s="910"/>
      <c r="BE169" s="910"/>
      <c r="BF169" s="910"/>
      <c r="BG169" s="910"/>
      <c r="BH169" s="910"/>
      <c r="BI169" s="910"/>
      <c r="BJ169" s="910"/>
      <c r="BK169" s="910"/>
      <c r="BL169" s="911"/>
      <c r="BM169" s="911"/>
      <c r="BN169" s="911"/>
      <c r="BO169" s="911"/>
      <c r="BP169" s="912"/>
      <c r="BQ169" s="912"/>
      <c r="BR169" s="912"/>
      <c r="BS169" s="912"/>
      <c r="BT169" s="912"/>
      <c r="BU169" s="912"/>
      <c r="BV169" s="912"/>
      <c r="BW169" s="912"/>
      <c r="BX169" s="912"/>
      <c r="BY169" s="912"/>
      <c r="BZ169" s="867"/>
      <c r="CA169" s="867"/>
      <c r="CB169" s="867"/>
      <c r="CC169" s="867"/>
      <c r="CD169" s="906"/>
      <c r="CE169" s="906"/>
      <c r="CF169" s="906"/>
      <c r="CG169" s="906"/>
      <c r="CH169" s="906"/>
      <c r="CI169" s="906"/>
      <c r="CJ169" s="906"/>
      <c r="CK169" s="906"/>
      <c r="CL169" s="906"/>
      <c r="CM169" s="906"/>
      <c r="CN169" s="913"/>
      <c r="CO169" s="913"/>
      <c r="CP169" s="913"/>
      <c r="CQ169" s="913"/>
      <c r="CR169" s="914"/>
      <c r="CS169" s="914"/>
      <c r="CT169" s="914"/>
      <c r="CU169" s="914"/>
      <c r="CV169" s="914"/>
      <c r="CW169" s="914"/>
      <c r="CX169" s="914"/>
      <c r="CY169" s="914"/>
      <c r="CZ169" s="930"/>
      <c r="DA169" s="930"/>
      <c r="DB169" s="868"/>
      <c r="DC169" s="868"/>
      <c r="DD169" s="868"/>
      <c r="DE169" s="868"/>
      <c r="DF169" s="908"/>
      <c r="DG169" s="908"/>
      <c r="DH169" s="908"/>
      <c r="DI169" s="908"/>
      <c r="DJ169" s="908"/>
      <c r="DK169" s="908"/>
      <c r="DL169" s="908"/>
      <c r="DM169" s="908"/>
      <c r="DN169" s="908"/>
      <c r="DO169" s="908"/>
      <c r="DP169" s="902">
        <v>52</v>
      </c>
      <c r="DQ169" s="902" t="s">
        <v>758</v>
      </c>
      <c r="DR169" s="902">
        <v>9</v>
      </c>
      <c r="DS169" s="902" t="s">
        <v>758</v>
      </c>
      <c r="DT169" s="949">
        <v>0</v>
      </c>
      <c r="DU169" s="949">
        <v>0.63</v>
      </c>
      <c r="DV169" s="949">
        <v>0.38</v>
      </c>
      <c r="DW169" s="949">
        <v>0</v>
      </c>
      <c r="DX169" s="949">
        <v>0.33</v>
      </c>
      <c r="DY169" s="949">
        <v>0.14000000000000001</v>
      </c>
      <c r="DZ169" s="949">
        <v>0.5</v>
      </c>
      <c r="EA169" s="949">
        <v>0.57999999999999996</v>
      </c>
      <c r="EB169" s="949">
        <v>0.56000000000000005</v>
      </c>
      <c r="EC169" s="949">
        <v>0.38</v>
      </c>
      <c r="ED169" s="922">
        <v>325754800107</v>
      </c>
      <c r="EE169" s="866" t="s">
        <v>961</v>
      </c>
    </row>
    <row r="170" spans="1:135" ht="24.95" customHeight="1" x14ac:dyDescent="0.2">
      <c r="A170" s="126" t="s">
        <v>113</v>
      </c>
      <c r="B170" s="1" t="s">
        <v>123</v>
      </c>
      <c r="C170" s="2">
        <v>4</v>
      </c>
      <c r="D170" s="12">
        <v>56</v>
      </c>
      <c r="E170" s="12">
        <v>7</v>
      </c>
      <c r="F170" s="63">
        <v>0</v>
      </c>
      <c r="G170" s="63">
        <v>0.5</v>
      </c>
      <c r="H170" s="63">
        <v>0.5</v>
      </c>
      <c r="I170" s="63">
        <v>0</v>
      </c>
      <c r="J170" s="63">
        <v>0.48</v>
      </c>
      <c r="K170" s="63">
        <v>0.4</v>
      </c>
      <c r="L170" s="63">
        <v>0.57999999999999996</v>
      </c>
      <c r="M170" s="63">
        <v>0.28999999999999998</v>
      </c>
      <c r="N170" s="63">
        <v>0.36</v>
      </c>
      <c r="O170" s="63">
        <v>0.53</v>
      </c>
      <c r="P170" s="12">
        <v>56</v>
      </c>
      <c r="Q170" s="12">
        <v>7</v>
      </c>
      <c r="R170" s="61">
        <v>0</v>
      </c>
      <c r="S170" s="61">
        <v>0.38</v>
      </c>
      <c r="T170" s="61">
        <v>0.63</v>
      </c>
      <c r="U170" s="61">
        <v>0</v>
      </c>
      <c r="V170" s="61">
        <v>0.33</v>
      </c>
      <c r="W170" s="61">
        <v>0.38</v>
      </c>
      <c r="X170" s="61">
        <v>0.45</v>
      </c>
      <c r="Y170" s="61">
        <v>0.3</v>
      </c>
      <c r="Z170" s="61">
        <v>0.38</v>
      </c>
      <c r="AA170" s="61">
        <v>0.44</v>
      </c>
      <c r="AB170" s="12">
        <v>51</v>
      </c>
      <c r="AC170" s="12">
        <v>8</v>
      </c>
      <c r="AD170" s="63">
        <v>0.2</v>
      </c>
      <c r="AE170" s="63">
        <v>0.6</v>
      </c>
      <c r="AF170" s="63">
        <v>0.2</v>
      </c>
      <c r="AG170" s="63">
        <v>0</v>
      </c>
      <c r="AH170" s="63">
        <v>0.43</v>
      </c>
      <c r="AI170" s="63">
        <v>0.37</v>
      </c>
      <c r="AJ170" s="63">
        <v>0.33</v>
      </c>
      <c r="AK170" s="63">
        <v>0.54</v>
      </c>
      <c r="AL170" s="63">
        <v>0.56999999999999995</v>
      </c>
      <c r="AM170" s="63">
        <v>0.56999999999999995</v>
      </c>
      <c r="AN170" s="12">
        <v>54</v>
      </c>
      <c r="AO170" s="12">
        <v>8</v>
      </c>
      <c r="AP170" s="63">
        <v>0.11</v>
      </c>
      <c r="AQ170" s="63">
        <v>0.44</v>
      </c>
      <c r="AR170" s="63">
        <v>0.44</v>
      </c>
      <c r="AS170" s="63">
        <v>0</v>
      </c>
      <c r="AT170" s="63">
        <v>0.47</v>
      </c>
      <c r="AU170" s="63">
        <v>0.32</v>
      </c>
      <c r="AV170" s="63">
        <v>0.4</v>
      </c>
      <c r="AW170" s="63">
        <v>0.4</v>
      </c>
      <c r="AX170" s="63">
        <v>0.36</v>
      </c>
      <c r="AY170" s="63">
        <v>0.43</v>
      </c>
      <c r="AZ170" s="35">
        <v>50</v>
      </c>
      <c r="BA170" s="35">
        <v>12</v>
      </c>
      <c r="BB170" s="40">
        <v>0.31</v>
      </c>
      <c r="BC170" s="40">
        <v>0.31</v>
      </c>
      <c r="BD170" s="40">
        <v>0.38</v>
      </c>
      <c r="BE170" s="40">
        <v>0</v>
      </c>
      <c r="BF170" s="40">
        <v>0.6</v>
      </c>
      <c r="BG170" s="40">
        <v>0.48</v>
      </c>
      <c r="BH170" s="40">
        <v>0.42</v>
      </c>
      <c r="BI170" s="40">
        <v>0.6</v>
      </c>
      <c r="BJ170" s="40">
        <v>0.43</v>
      </c>
      <c r="BK170" s="40">
        <v>0.46</v>
      </c>
      <c r="BL170" s="246">
        <v>54</v>
      </c>
      <c r="BM170" s="246" t="s">
        <v>758</v>
      </c>
      <c r="BN170" s="246">
        <v>9</v>
      </c>
      <c r="BO170" s="246" t="s">
        <v>758</v>
      </c>
      <c r="BP170" s="263">
        <v>0.06</v>
      </c>
      <c r="BQ170" s="263">
        <v>0.44</v>
      </c>
      <c r="BR170" s="263">
        <v>0.44</v>
      </c>
      <c r="BS170" s="263">
        <v>0.06</v>
      </c>
      <c r="BT170" s="263">
        <v>0.32</v>
      </c>
      <c r="BU170" s="263">
        <v>0.38</v>
      </c>
      <c r="BV170" s="263">
        <v>0.48</v>
      </c>
      <c r="BW170" s="263">
        <v>0.36</v>
      </c>
      <c r="BX170" s="263">
        <v>0.41</v>
      </c>
      <c r="BY170" s="263">
        <v>0.45</v>
      </c>
      <c r="BZ170" s="309">
        <v>52</v>
      </c>
      <c r="CA170" s="309" t="s">
        <v>758</v>
      </c>
      <c r="CB170" s="309">
        <v>12</v>
      </c>
      <c r="CC170" s="309" t="s">
        <v>758</v>
      </c>
      <c r="CD170" s="327">
        <v>0.16</v>
      </c>
      <c r="CE170" s="327">
        <v>0.37</v>
      </c>
      <c r="CF170" s="327">
        <v>0.47</v>
      </c>
      <c r="CG170" s="327">
        <v>0</v>
      </c>
      <c r="CH170" s="327">
        <v>0.56999999999999995</v>
      </c>
      <c r="CI170" s="327">
        <v>0.19</v>
      </c>
      <c r="CJ170" s="327">
        <v>0.48</v>
      </c>
      <c r="CK170" s="327">
        <v>0.5</v>
      </c>
      <c r="CL170" s="327">
        <v>0.47</v>
      </c>
      <c r="CM170" s="327">
        <v>0.55000000000000004</v>
      </c>
      <c r="CN170" s="424">
        <v>50</v>
      </c>
      <c r="CO170" s="424" t="s">
        <v>758</v>
      </c>
      <c r="CP170" s="424">
        <v>10</v>
      </c>
      <c r="CQ170" s="424" t="s">
        <v>758</v>
      </c>
      <c r="CR170" s="428">
        <v>0.13</v>
      </c>
      <c r="CS170" s="428">
        <v>0.56999999999999995</v>
      </c>
      <c r="CT170" s="428">
        <v>0.26</v>
      </c>
      <c r="CU170" s="428">
        <v>0.04</v>
      </c>
      <c r="CV170" s="428">
        <v>0.28000000000000003</v>
      </c>
      <c r="CW170" s="428">
        <v>0.53</v>
      </c>
      <c r="CX170" s="428">
        <v>0.56000000000000005</v>
      </c>
      <c r="CY170" s="428">
        <v>0.69</v>
      </c>
      <c r="CZ170" s="523">
        <v>0.6</v>
      </c>
      <c r="DA170" s="523">
        <v>0.62</v>
      </c>
      <c r="DB170" s="524">
        <v>58</v>
      </c>
      <c r="DC170" s="524" t="s">
        <v>759</v>
      </c>
      <c r="DD170" s="524">
        <v>11</v>
      </c>
      <c r="DE170" s="524" t="s">
        <v>758</v>
      </c>
      <c r="DF170" s="525">
        <v>0.04</v>
      </c>
      <c r="DG170" s="525">
        <v>0.28999999999999998</v>
      </c>
      <c r="DH170" s="525">
        <v>0.5</v>
      </c>
      <c r="DI170" s="525">
        <v>0.17</v>
      </c>
      <c r="DJ170" s="525">
        <v>0.43</v>
      </c>
      <c r="DK170" s="525">
        <v>0.36</v>
      </c>
      <c r="DL170" s="525">
        <v>0.33</v>
      </c>
      <c r="DM170" s="525">
        <v>0.46</v>
      </c>
      <c r="DN170" s="525">
        <v>0.36</v>
      </c>
      <c r="DO170" s="525">
        <v>0.23</v>
      </c>
      <c r="DP170" s="902">
        <v>62</v>
      </c>
      <c r="DQ170" s="902" t="s">
        <v>759</v>
      </c>
      <c r="DR170" s="902">
        <v>6</v>
      </c>
      <c r="DS170" s="902" t="s">
        <v>760</v>
      </c>
      <c r="DT170" s="949">
        <v>0</v>
      </c>
      <c r="DU170" s="949">
        <v>0.15</v>
      </c>
      <c r="DV170" s="949">
        <v>0.85</v>
      </c>
      <c r="DW170" s="949">
        <v>0</v>
      </c>
      <c r="DX170" s="949">
        <v>0.36</v>
      </c>
      <c r="DY170" s="949">
        <v>0.26</v>
      </c>
      <c r="DZ170" s="949">
        <v>0.63</v>
      </c>
      <c r="EA170" s="949">
        <v>0.18</v>
      </c>
      <c r="EB170" s="949">
        <v>0.37</v>
      </c>
      <c r="EC170" s="949">
        <v>0.14000000000000001</v>
      </c>
      <c r="ED170" s="922">
        <v>325754003771</v>
      </c>
      <c r="EE170" s="126" t="s">
        <v>113</v>
      </c>
    </row>
    <row r="171" spans="1:135" ht="24.95" customHeight="1" x14ac:dyDescent="0.2">
      <c r="A171" s="126" t="s">
        <v>59</v>
      </c>
      <c r="B171" s="1" t="s">
        <v>123</v>
      </c>
      <c r="C171" s="2">
        <v>5</v>
      </c>
      <c r="D171" s="12">
        <v>57</v>
      </c>
      <c r="E171" s="12">
        <v>10</v>
      </c>
      <c r="F171" s="63">
        <v>0.05</v>
      </c>
      <c r="G171" s="63">
        <v>0.32</v>
      </c>
      <c r="H171" s="63">
        <v>0.57999999999999996</v>
      </c>
      <c r="I171" s="63">
        <v>0.05</v>
      </c>
      <c r="J171" s="63">
        <v>0.5</v>
      </c>
      <c r="K171" s="63">
        <v>0.42</v>
      </c>
      <c r="L171" s="63">
        <v>0.59</v>
      </c>
      <c r="M171" s="63">
        <v>0.36</v>
      </c>
      <c r="N171" s="63">
        <v>0.42</v>
      </c>
      <c r="O171" s="63">
        <v>0.51</v>
      </c>
      <c r="P171" s="12">
        <v>53</v>
      </c>
      <c r="Q171" s="12">
        <v>9</v>
      </c>
      <c r="R171" s="61">
        <v>0.08</v>
      </c>
      <c r="S171" s="61">
        <v>0.38</v>
      </c>
      <c r="T171" s="61">
        <v>0.54</v>
      </c>
      <c r="U171" s="61">
        <v>0</v>
      </c>
      <c r="V171" s="61">
        <v>0.39</v>
      </c>
      <c r="W171" s="61">
        <v>0.45</v>
      </c>
      <c r="X171" s="61">
        <v>0.48</v>
      </c>
      <c r="Y171" s="61">
        <v>0.42</v>
      </c>
      <c r="Z171" s="61">
        <v>0.4</v>
      </c>
      <c r="AA171" s="61">
        <v>0.47</v>
      </c>
      <c r="AB171" s="12">
        <v>55</v>
      </c>
      <c r="AC171" s="12">
        <v>9</v>
      </c>
      <c r="AD171" s="63">
        <v>0.12</v>
      </c>
      <c r="AE171" s="63">
        <v>0.24</v>
      </c>
      <c r="AF171" s="63">
        <v>0.65</v>
      </c>
      <c r="AG171" s="63">
        <v>0</v>
      </c>
      <c r="AH171" s="63">
        <v>0.3</v>
      </c>
      <c r="AI171" s="63">
        <v>0.34</v>
      </c>
      <c r="AJ171" s="63">
        <v>0.37</v>
      </c>
      <c r="AK171" s="63">
        <v>0.42</v>
      </c>
      <c r="AL171" s="63">
        <v>0.61</v>
      </c>
      <c r="AM171" s="63">
        <v>0.4</v>
      </c>
      <c r="AN171" s="12">
        <v>54</v>
      </c>
      <c r="AO171" s="12">
        <v>14</v>
      </c>
      <c r="AP171" s="63">
        <v>0.19</v>
      </c>
      <c r="AQ171" s="63">
        <v>0.28999999999999998</v>
      </c>
      <c r="AR171" s="63">
        <v>0.48</v>
      </c>
      <c r="AS171" s="63">
        <v>0.05</v>
      </c>
      <c r="AT171" s="63">
        <v>0.44</v>
      </c>
      <c r="AU171" s="63">
        <v>0.41</v>
      </c>
      <c r="AV171" s="63">
        <v>0.41</v>
      </c>
      <c r="AW171" s="63">
        <v>0.39</v>
      </c>
      <c r="AX171" s="63">
        <v>0.36</v>
      </c>
      <c r="AY171" s="63">
        <v>0.32</v>
      </c>
      <c r="AZ171" s="35">
        <v>55</v>
      </c>
      <c r="BA171" s="35">
        <v>8</v>
      </c>
      <c r="BB171" s="40">
        <v>0.05</v>
      </c>
      <c r="BC171" s="40">
        <v>0.47</v>
      </c>
      <c r="BD171" s="40">
        <v>0.47</v>
      </c>
      <c r="BE171" s="40">
        <v>0</v>
      </c>
      <c r="BF171" s="40">
        <v>0.33</v>
      </c>
      <c r="BG171" s="40">
        <v>0.39</v>
      </c>
      <c r="BH171" s="40">
        <v>0.36</v>
      </c>
      <c r="BI171" s="40">
        <v>0.44</v>
      </c>
      <c r="BJ171" s="40">
        <v>0.34</v>
      </c>
      <c r="BK171" s="40">
        <v>0.3</v>
      </c>
      <c r="BL171" s="246">
        <v>50</v>
      </c>
      <c r="BM171" s="246" t="s">
        <v>758</v>
      </c>
      <c r="BN171" s="246">
        <v>9</v>
      </c>
      <c r="BO171" s="246" t="s">
        <v>758</v>
      </c>
      <c r="BP171" s="263">
        <v>0.15</v>
      </c>
      <c r="BQ171" s="263">
        <v>0.62</v>
      </c>
      <c r="BR171" s="263">
        <v>0.23</v>
      </c>
      <c r="BS171" s="263">
        <v>0</v>
      </c>
      <c r="BT171" s="263">
        <v>0.47</v>
      </c>
      <c r="BU171" s="263">
        <v>0.45</v>
      </c>
      <c r="BV171" s="263">
        <v>0.52</v>
      </c>
      <c r="BW171" s="263">
        <v>0.4</v>
      </c>
      <c r="BX171" s="263">
        <v>0.52</v>
      </c>
      <c r="BY171" s="263">
        <v>0.5</v>
      </c>
      <c r="BZ171" s="309">
        <v>57</v>
      </c>
      <c r="CA171" s="309" t="s">
        <v>758</v>
      </c>
      <c r="CB171" s="309">
        <v>7</v>
      </c>
      <c r="CC171" s="309" t="s">
        <v>760</v>
      </c>
      <c r="CD171" s="327">
        <v>0</v>
      </c>
      <c r="CE171" s="327">
        <v>0.39</v>
      </c>
      <c r="CF171" s="327">
        <v>0.61</v>
      </c>
      <c r="CG171" s="327">
        <v>0</v>
      </c>
      <c r="CH171" s="327">
        <v>0.41</v>
      </c>
      <c r="CI171" s="327">
        <v>0.2</v>
      </c>
      <c r="CJ171" s="327">
        <v>0.44</v>
      </c>
      <c r="CK171" s="327">
        <v>0.52</v>
      </c>
      <c r="CL171" s="327">
        <v>0.28000000000000003</v>
      </c>
      <c r="CM171" s="327">
        <v>0.48</v>
      </c>
      <c r="CN171" s="424">
        <v>55</v>
      </c>
      <c r="CO171" s="424" t="s">
        <v>758</v>
      </c>
      <c r="CP171" s="424">
        <v>11</v>
      </c>
      <c r="CQ171" s="424" t="s">
        <v>758</v>
      </c>
      <c r="CR171" s="428">
        <v>0.14000000000000001</v>
      </c>
      <c r="CS171" s="428">
        <v>0.38</v>
      </c>
      <c r="CT171" s="428">
        <v>0.38</v>
      </c>
      <c r="CU171" s="428">
        <v>0.1</v>
      </c>
      <c r="CV171" s="428">
        <v>0.32</v>
      </c>
      <c r="CW171" s="428">
        <v>0.47</v>
      </c>
      <c r="CX171" s="428">
        <v>0.5</v>
      </c>
      <c r="CY171" s="428">
        <v>0.28999999999999998</v>
      </c>
      <c r="CZ171" s="523">
        <v>0.54</v>
      </c>
      <c r="DA171" s="523">
        <v>0.45</v>
      </c>
      <c r="DB171" s="524">
        <v>53</v>
      </c>
      <c r="DC171" s="524" t="s">
        <v>758</v>
      </c>
      <c r="DD171" s="524">
        <v>12</v>
      </c>
      <c r="DE171" s="524" t="s">
        <v>758</v>
      </c>
      <c r="DF171" s="525">
        <v>0.14000000000000001</v>
      </c>
      <c r="DG171" s="525">
        <v>0.39</v>
      </c>
      <c r="DH171" s="525">
        <v>0.39</v>
      </c>
      <c r="DI171" s="525">
        <v>7.0000000000000007E-2</v>
      </c>
      <c r="DJ171" s="525">
        <v>0.45</v>
      </c>
      <c r="DK171" s="525">
        <v>0.55000000000000004</v>
      </c>
      <c r="DL171" s="525">
        <v>0.41</v>
      </c>
      <c r="DM171" s="525">
        <v>0.71</v>
      </c>
      <c r="DN171" s="525">
        <v>0.37</v>
      </c>
      <c r="DO171" s="525">
        <v>0.4</v>
      </c>
      <c r="DP171" s="902">
        <v>54</v>
      </c>
      <c r="DQ171" s="902" t="s">
        <v>758</v>
      </c>
      <c r="DR171" s="902">
        <v>10</v>
      </c>
      <c r="DS171" s="902" t="s">
        <v>758</v>
      </c>
      <c r="DT171" s="949">
        <v>0.11</v>
      </c>
      <c r="DU171" s="949">
        <v>0.47</v>
      </c>
      <c r="DV171" s="949">
        <v>0.42</v>
      </c>
      <c r="DW171" s="949">
        <v>0</v>
      </c>
      <c r="DX171" s="949">
        <v>0.48</v>
      </c>
      <c r="DY171" s="949">
        <v>0.25</v>
      </c>
      <c r="DZ171" s="949">
        <v>0.71</v>
      </c>
      <c r="EA171" s="949">
        <v>0.32</v>
      </c>
      <c r="EB171" s="949">
        <v>0.42</v>
      </c>
      <c r="EC171" s="949">
        <v>0.35</v>
      </c>
      <c r="ED171" s="922">
        <v>325754001123</v>
      </c>
      <c r="EE171" s="126" t="s">
        <v>59</v>
      </c>
    </row>
    <row r="172" spans="1:135" ht="24.95" customHeight="1" x14ac:dyDescent="0.2">
      <c r="A172" s="126" t="s">
        <v>45</v>
      </c>
      <c r="B172" s="1" t="s">
        <v>123</v>
      </c>
      <c r="C172" s="2">
        <v>2</v>
      </c>
      <c r="D172" s="12">
        <v>50</v>
      </c>
      <c r="E172" s="12">
        <v>9</v>
      </c>
      <c r="F172" s="63">
        <v>0.18</v>
      </c>
      <c r="G172" s="63">
        <v>0.45</v>
      </c>
      <c r="H172" s="63">
        <v>0.36</v>
      </c>
      <c r="I172" s="63">
        <v>0</v>
      </c>
      <c r="J172" s="63">
        <v>0.52</v>
      </c>
      <c r="K172" s="63">
        <v>0.51</v>
      </c>
      <c r="L172" s="63">
        <v>0.54</v>
      </c>
      <c r="M172" s="63">
        <v>0.52</v>
      </c>
      <c r="N172" s="63">
        <v>0.47</v>
      </c>
      <c r="O172" s="63">
        <v>0.46</v>
      </c>
      <c r="P172" s="12">
        <v>53</v>
      </c>
      <c r="Q172" s="12">
        <v>10</v>
      </c>
      <c r="R172" s="61">
        <v>0.19</v>
      </c>
      <c r="S172" s="61">
        <v>0.37</v>
      </c>
      <c r="T172" s="61">
        <v>0.42</v>
      </c>
      <c r="U172" s="61">
        <v>0.02</v>
      </c>
      <c r="V172" s="61">
        <v>0.35</v>
      </c>
      <c r="W172" s="61">
        <v>0.43</v>
      </c>
      <c r="X172" s="61">
        <v>0.5</v>
      </c>
      <c r="Y172" s="61">
        <v>0.46</v>
      </c>
      <c r="Z172" s="61">
        <v>0.43</v>
      </c>
      <c r="AA172" s="61">
        <v>0.5</v>
      </c>
      <c r="AB172" s="12">
        <v>51</v>
      </c>
      <c r="AC172" s="12">
        <v>11</v>
      </c>
      <c r="AD172" s="63">
        <v>0.11</v>
      </c>
      <c r="AE172" s="63">
        <v>0.57999999999999996</v>
      </c>
      <c r="AF172" s="63">
        <v>0.28000000000000003</v>
      </c>
      <c r="AG172" s="63">
        <v>0.03</v>
      </c>
      <c r="AH172" s="63">
        <v>0.42</v>
      </c>
      <c r="AI172" s="63">
        <v>0.4</v>
      </c>
      <c r="AJ172" s="63">
        <v>0.38</v>
      </c>
      <c r="AK172" s="63">
        <v>0.5</v>
      </c>
      <c r="AL172" s="63">
        <v>0.61</v>
      </c>
      <c r="AM172" s="63">
        <v>0.52</v>
      </c>
      <c r="AN172" s="12">
        <v>47</v>
      </c>
      <c r="AO172" s="12">
        <v>10</v>
      </c>
      <c r="AP172" s="63">
        <v>0.28000000000000003</v>
      </c>
      <c r="AQ172" s="63">
        <v>0.5</v>
      </c>
      <c r="AR172" s="63">
        <v>0.22</v>
      </c>
      <c r="AS172" s="63">
        <v>0</v>
      </c>
      <c r="AT172" s="63">
        <v>0.62</v>
      </c>
      <c r="AU172" s="63">
        <v>0.48</v>
      </c>
      <c r="AV172" s="63">
        <v>0.4</v>
      </c>
      <c r="AW172" s="63">
        <v>0.51</v>
      </c>
      <c r="AX172" s="63">
        <v>0.56999999999999995</v>
      </c>
      <c r="AY172" s="63">
        <v>0.45</v>
      </c>
      <c r="AZ172" s="35">
        <v>45</v>
      </c>
      <c r="BA172" s="35">
        <v>10</v>
      </c>
      <c r="BB172" s="40">
        <v>0.36</v>
      </c>
      <c r="BC172" s="40">
        <v>0.48</v>
      </c>
      <c r="BD172" s="40">
        <v>0.16</v>
      </c>
      <c r="BE172" s="40">
        <v>0</v>
      </c>
      <c r="BF172" s="40">
        <v>0.59</v>
      </c>
      <c r="BG172" s="40">
        <v>0.56999999999999995</v>
      </c>
      <c r="BH172" s="40">
        <v>0.56000000000000005</v>
      </c>
      <c r="BI172" s="40">
        <v>0.53</v>
      </c>
      <c r="BJ172" s="40">
        <v>0.53</v>
      </c>
      <c r="BK172" s="40">
        <v>0.46</v>
      </c>
      <c r="BL172" s="246">
        <v>50</v>
      </c>
      <c r="BM172" s="246" t="s">
        <v>758</v>
      </c>
      <c r="BN172" s="246">
        <v>9</v>
      </c>
      <c r="BO172" s="246" t="s">
        <v>758</v>
      </c>
      <c r="BP172" s="263">
        <v>0.17</v>
      </c>
      <c r="BQ172" s="263">
        <v>0.56999999999999995</v>
      </c>
      <c r="BR172" s="263">
        <v>0.26</v>
      </c>
      <c r="BS172" s="263">
        <v>0</v>
      </c>
      <c r="BT172" s="263">
        <v>0.46</v>
      </c>
      <c r="BU172" s="263">
        <v>0.42</v>
      </c>
      <c r="BV172" s="263">
        <v>0.64</v>
      </c>
      <c r="BW172" s="263">
        <v>0.42</v>
      </c>
      <c r="BX172" s="263">
        <v>0.48</v>
      </c>
      <c r="BY172" s="263">
        <v>0.52</v>
      </c>
      <c r="BZ172" s="309">
        <v>53</v>
      </c>
      <c r="CA172" s="309" t="s">
        <v>758</v>
      </c>
      <c r="CB172" s="309">
        <v>10</v>
      </c>
      <c r="CC172" s="309" t="s">
        <v>758</v>
      </c>
      <c r="CD172" s="327">
        <v>0.14000000000000001</v>
      </c>
      <c r="CE172" s="327">
        <v>0.43</v>
      </c>
      <c r="CF172" s="327">
        <v>0.41</v>
      </c>
      <c r="CG172" s="327">
        <v>0.03</v>
      </c>
      <c r="CH172" s="327">
        <v>0.52</v>
      </c>
      <c r="CI172" s="327">
        <v>0.35</v>
      </c>
      <c r="CJ172" s="327">
        <v>0.51</v>
      </c>
      <c r="CK172" s="327">
        <v>0.47</v>
      </c>
      <c r="CL172" s="327">
        <v>0.44</v>
      </c>
      <c r="CM172" s="327">
        <v>0.45</v>
      </c>
      <c r="CN172" s="424">
        <v>52</v>
      </c>
      <c r="CO172" s="424" t="s">
        <v>758</v>
      </c>
      <c r="CP172" s="424">
        <v>10</v>
      </c>
      <c r="CQ172" s="424" t="s">
        <v>758</v>
      </c>
      <c r="CR172" s="428">
        <v>0.16</v>
      </c>
      <c r="CS172" s="428">
        <v>0.45</v>
      </c>
      <c r="CT172" s="428">
        <v>0.36</v>
      </c>
      <c r="CU172" s="428">
        <v>0.02</v>
      </c>
      <c r="CV172" s="428">
        <v>0.32</v>
      </c>
      <c r="CW172" s="428">
        <v>0.48</v>
      </c>
      <c r="CX172" s="428">
        <v>0.49</v>
      </c>
      <c r="CY172" s="428">
        <v>0.48</v>
      </c>
      <c r="CZ172" s="523">
        <v>0.59</v>
      </c>
      <c r="DA172" s="523">
        <v>0.44</v>
      </c>
      <c r="DB172" s="524">
        <v>49</v>
      </c>
      <c r="DC172" s="524" t="s">
        <v>758</v>
      </c>
      <c r="DD172" s="524">
        <v>11</v>
      </c>
      <c r="DE172" s="524" t="s">
        <v>758</v>
      </c>
      <c r="DF172" s="525">
        <v>0.24</v>
      </c>
      <c r="DG172" s="525">
        <v>0.49</v>
      </c>
      <c r="DH172" s="525">
        <v>0.24</v>
      </c>
      <c r="DI172" s="525">
        <v>0.02</v>
      </c>
      <c r="DJ172" s="525">
        <v>0.54</v>
      </c>
      <c r="DK172" s="525">
        <v>0.47</v>
      </c>
      <c r="DL172" s="525">
        <v>0.48</v>
      </c>
      <c r="DM172" s="525">
        <v>0.75</v>
      </c>
      <c r="DN172" s="525">
        <v>0.55000000000000004</v>
      </c>
      <c r="DO172" s="525">
        <v>0.56000000000000005</v>
      </c>
      <c r="DP172" s="902">
        <v>53</v>
      </c>
      <c r="DQ172" s="902" t="s">
        <v>758</v>
      </c>
      <c r="DR172" s="902">
        <v>11</v>
      </c>
      <c r="DS172" s="902" t="s">
        <v>758</v>
      </c>
      <c r="DT172" s="949">
        <v>0.13</v>
      </c>
      <c r="DU172" s="949">
        <v>0.46</v>
      </c>
      <c r="DV172" s="949">
        <v>0.36</v>
      </c>
      <c r="DW172" s="949">
        <v>0.05</v>
      </c>
      <c r="DX172" s="949">
        <v>0.42</v>
      </c>
      <c r="DY172" s="949">
        <v>0.39</v>
      </c>
      <c r="DZ172" s="949">
        <v>0.63</v>
      </c>
      <c r="EA172" s="949">
        <v>0.39</v>
      </c>
      <c r="EB172" s="949">
        <v>0.55000000000000004</v>
      </c>
      <c r="EC172" s="949">
        <v>0.35</v>
      </c>
      <c r="ED172" s="922">
        <v>325754003886</v>
      </c>
      <c r="EE172" s="126" t="s">
        <v>45</v>
      </c>
    </row>
    <row r="173" spans="1:135" ht="24.95" customHeight="1" x14ac:dyDescent="0.2">
      <c r="A173" s="126" t="s">
        <v>950</v>
      </c>
      <c r="B173" s="1" t="s">
        <v>123</v>
      </c>
      <c r="C173" s="12">
        <v>1</v>
      </c>
      <c r="D173" s="12"/>
      <c r="E173" s="12"/>
      <c r="F173" s="12"/>
      <c r="G173" s="12"/>
      <c r="H173" s="12"/>
      <c r="I173" s="12"/>
      <c r="J173" s="12"/>
      <c r="K173" s="12"/>
      <c r="L173" s="12"/>
      <c r="M173" s="12"/>
      <c r="N173" s="12"/>
      <c r="O173" s="12"/>
      <c r="P173" s="12"/>
      <c r="Q173" s="12"/>
      <c r="R173" s="61"/>
      <c r="S173" s="61"/>
      <c r="T173" s="61"/>
      <c r="U173" s="61"/>
      <c r="V173" s="61"/>
      <c r="W173" s="61"/>
      <c r="X173" s="61"/>
      <c r="Y173" s="61"/>
      <c r="Z173" s="61"/>
      <c r="AA173" s="61"/>
      <c r="AB173" s="12"/>
      <c r="AC173" s="12"/>
      <c r="AD173" s="2"/>
      <c r="AE173" s="2"/>
      <c r="AF173" s="2"/>
      <c r="AG173" s="2"/>
      <c r="AH173" s="2"/>
      <c r="AI173" s="2"/>
      <c r="AJ173" s="2"/>
      <c r="AK173" s="2"/>
      <c r="AL173" s="2"/>
      <c r="AM173" s="2"/>
      <c r="AN173" s="12"/>
      <c r="AO173" s="12"/>
      <c r="AP173" s="2"/>
      <c r="AQ173" s="2"/>
      <c r="AR173" s="2"/>
      <c r="AS173" s="2"/>
      <c r="AT173" s="2"/>
      <c r="AU173" s="2"/>
      <c r="AV173" s="2"/>
      <c r="AW173" s="2"/>
      <c r="AX173" s="2"/>
      <c r="AY173" s="2"/>
      <c r="AZ173" s="35"/>
      <c r="BA173" s="35"/>
      <c r="BB173" s="40"/>
      <c r="BC173" s="40"/>
      <c r="BD173" s="40"/>
      <c r="BE173" s="40"/>
      <c r="BF173" s="40"/>
      <c r="BG173" s="40"/>
      <c r="BH173" s="40"/>
      <c r="BI173" s="40"/>
      <c r="BJ173" s="40"/>
      <c r="BK173" s="40"/>
      <c r="BL173" s="246"/>
      <c r="BM173" s="246"/>
      <c r="BN173" s="246"/>
      <c r="BO173" s="246"/>
      <c r="BP173" s="263"/>
      <c r="BQ173" s="263"/>
      <c r="BR173" s="263"/>
      <c r="BS173" s="263"/>
      <c r="BT173" s="263"/>
      <c r="BU173" s="263"/>
      <c r="BV173" s="263"/>
      <c r="BW173" s="263"/>
      <c r="BX173" s="263"/>
      <c r="BY173" s="263"/>
      <c r="BZ173" s="309"/>
      <c r="CA173" s="309"/>
      <c r="CB173" s="309"/>
      <c r="CC173" s="309"/>
      <c r="CD173" s="327"/>
      <c r="CE173" s="327"/>
      <c r="CF173" s="327"/>
      <c r="CG173" s="327"/>
      <c r="CH173" s="327"/>
      <c r="CI173" s="327"/>
      <c r="CJ173" s="327"/>
      <c r="CK173" s="327"/>
      <c r="CL173" s="327"/>
      <c r="CM173" s="327"/>
      <c r="CN173" s="424"/>
      <c r="CO173" s="424"/>
      <c r="CP173" s="424"/>
      <c r="CQ173" s="424"/>
      <c r="CR173" s="428"/>
      <c r="CS173" s="428"/>
      <c r="CT173" s="428"/>
      <c r="CU173" s="428"/>
      <c r="CV173" s="428"/>
      <c r="CW173" s="428"/>
      <c r="CX173" s="428"/>
      <c r="CY173" s="424"/>
      <c r="CZ173" s="523"/>
      <c r="DA173" s="523"/>
      <c r="DB173" s="524">
        <v>55</v>
      </c>
      <c r="DC173" s="524" t="s">
        <v>758</v>
      </c>
      <c r="DD173" s="524">
        <v>11</v>
      </c>
      <c r="DE173" s="524" t="s">
        <v>758</v>
      </c>
      <c r="DF173" s="525">
        <v>0.14000000000000001</v>
      </c>
      <c r="DG173" s="525">
        <v>0.33</v>
      </c>
      <c r="DH173" s="525">
        <v>0.52</v>
      </c>
      <c r="DI173" s="525">
        <v>0</v>
      </c>
      <c r="DJ173" s="525">
        <v>0.4</v>
      </c>
      <c r="DK173" s="525">
        <v>0.46</v>
      </c>
      <c r="DL173" s="525">
        <v>0.47</v>
      </c>
      <c r="DM173" s="525">
        <v>0.32</v>
      </c>
      <c r="DN173" s="525">
        <v>0.53</v>
      </c>
      <c r="DO173" s="525">
        <v>0.38</v>
      </c>
      <c r="DP173" s="902">
        <v>48</v>
      </c>
      <c r="DQ173" s="902" t="s">
        <v>758</v>
      </c>
      <c r="DR173" s="902">
        <v>15</v>
      </c>
      <c r="DS173" s="902" t="s">
        <v>759</v>
      </c>
      <c r="DT173" s="949">
        <v>0.44</v>
      </c>
      <c r="DU173" s="949">
        <v>0.25</v>
      </c>
      <c r="DV173" s="949">
        <v>0.28000000000000003</v>
      </c>
      <c r="DW173" s="949">
        <v>0.03</v>
      </c>
      <c r="DX173" s="949">
        <v>0.51</v>
      </c>
      <c r="DY173" s="949">
        <v>0.48</v>
      </c>
      <c r="DZ173" s="949">
        <v>0.71</v>
      </c>
      <c r="EA173" s="949">
        <v>0.47</v>
      </c>
      <c r="EB173" s="949">
        <v>0.62</v>
      </c>
      <c r="EC173" s="949">
        <v>0.41</v>
      </c>
      <c r="ED173" s="922">
        <v>325754800115</v>
      </c>
      <c r="EE173" s="126" t="s">
        <v>950</v>
      </c>
    </row>
    <row r="175" spans="1:135" x14ac:dyDescent="0.2">
      <c r="D175" s="15"/>
      <c r="E175" s="15"/>
      <c r="F175" s="15"/>
      <c r="G175" s="15"/>
      <c r="H175" s="15"/>
      <c r="I175" s="15"/>
      <c r="J175" s="15"/>
      <c r="K175" s="15"/>
      <c r="L175" s="15"/>
      <c r="M175" s="15"/>
      <c r="N175" s="15"/>
      <c r="O175" s="15"/>
      <c r="P175" s="15"/>
      <c r="Q175" s="15"/>
      <c r="R175" s="15"/>
      <c r="S175" s="15"/>
      <c r="T175" s="15"/>
      <c r="U175" s="15"/>
      <c r="V175" s="15"/>
      <c r="W175" s="15"/>
      <c r="X175" s="15"/>
      <c r="Y175" s="15"/>
      <c r="Z175" s="15"/>
      <c r="AA175" s="15"/>
      <c r="AB175" s="15"/>
      <c r="AC175" s="15"/>
      <c r="AD175" s="15"/>
      <c r="AE175" s="15"/>
      <c r="AF175" s="15"/>
      <c r="AG175" s="15"/>
      <c r="AH175" s="15"/>
      <c r="AI175" s="15"/>
      <c r="AJ175" s="15"/>
      <c r="AK175" s="15"/>
      <c r="AL175" s="15"/>
      <c r="AM175" s="15"/>
      <c r="AN175" s="15"/>
      <c r="AO175" s="15"/>
      <c r="AP175" s="15"/>
      <c r="AQ175" s="15"/>
      <c r="AR175" s="15"/>
      <c r="AS175" s="15"/>
      <c r="AT175" s="15"/>
      <c r="AU175" s="15"/>
      <c r="AV175" s="15"/>
      <c r="AW175" s="15"/>
      <c r="AX175" s="15"/>
      <c r="AY175" s="15"/>
    </row>
    <row r="178" spans="5:53" ht="12.75" customHeight="1" x14ac:dyDescent="0.2">
      <c r="E178" s="1046" t="s">
        <v>156</v>
      </c>
      <c r="F178" s="1050"/>
      <c r="G178" s="1050"/>
      <c r="H178" s="1050"/>
      <c r="I178" s="1050"/>
      <c r="J178" s="1050"/>
      <c r="K178" s="1050"/>
      <c r="L178" s="1050"/>
      <c r="M178" s="1050"/>
      <c r="N178" s="1050"/>
      <c r="O178" s="1050"/>
      <c r="P178" s="73"/>
      <c r="X178" s="73"/>
      <c r="AJ178" s="73"/>
      <c r="AK178" s="73"/>
      <c r="AL178" s="73"/>
      <c r="AM178" s="73"/>
      <c r="AN178" s="73"/>
      <c r="AO178" s="73"/>
      <c r="AP178" s="73"/>
      <c r="AQ178" s="73"/>
      <c r="AR178" s="73"/>
      <c r="AS178" s="73"/>
      <c r="AT178" s="73"/>
      <c r="AU178" s="73"/>
      <c r="AV178" s="73"/>
      <c r="AW178" s="73"/>
      <c r="AX178" s="73"/>
      <c r="AY178" s="73"/>
      <c r="AZ178" s="73"/>
      <c r="BA178" s="73"/>
    </row>
    <row r="179" spans="5:53" x14ac:dyDescent="0.2">
      <c r="E179" s="1228"/>
      <c r="F179" s="1053">
        <v>2016</v>
      </c>
      <c r="G179" s="1054"/>
      <c r="H179" s="1053">
        <v>2017</v>
      </c>
      <c r="I179" s="1054"/>
      <c r="J179" s="1053">
        <v>2018</v>
      </c>
      <c r="K179" s="1054"/>
      <c r="L179" s="1053">
        <v>2019</v>
      </c>
      <c r="M179" s="1054"/>
      <c r="N179" s="1053">
        <v>2020</v>
      </c>
      <c r="O179" s="1054"/>
      <c r="P179" s="1053">
        <v>2021</v>
      </c>
      <c r="Q179" s="1054"/>
      <c r="R179" s="1053">
        <v>2022</v>
      </c>
      <c r="S179" s="1054"/>
      <c r="T179" s="28">
        <v>2023</v>
      </c>
      <c r="U179" s="29"/>
      <c r="V179" s="1060">
        <v>2024</v>
      </c>
      <c r="W179" s="1061"/>
      <c r="X179" s="72"/>
      <c r="AJ179" s="72"/>
      <c r="AK179" s="72"/>
      <c r="AL179" s="72"/>
      <c r="AM179" s="72"/>
      <c r="AP179" s="72"/>
      <c r="AQ179" s="72"/>
      <c r="AR179" s="72"/>
      <c r="AS179" s="72"/>
      <c r="AT179" s="72"/>
      <c r="AU179" s="72"/>
      <c r="AV179" s="72"/>
      <c r="AW179" s="72"/>
      <c r="AX179" s="72"/>
      <c r="AY179" s="72"/>
    </row>
    <row r="180" spans="5:53" ht="25.5" x14ac:dyDescent="0.2">
      <c r="E180" s="1197"/>
      <c r="F180" s="7" t="s">
        <v>120</v>
      </c>
      <c r="G180" s="7" t="s">
        <v>147</v>
      </c>
      <c r="H180" s="7" t="s">
        <v>120</v>
      </c>
      <c r="I180" s="7" t="s">
        <v>147</v>
      </c>
      <c r="J180" s="7" t="s">
        <v>120</v>
      </c>
      <c r="K180" s="7" t="s">
        <v>147</v>
      </c>
      <c r="L180" s="7" t="s">
        <v>120</v>
      </c>
      <c r="M180" s="7" t="s">
        <v>147</v>
      </c>
      <c r="N180" s="7" t="s">
        <v>120</v>
      </c>
      <c r="O180" s="34" t="s">
        <v>147</v>
      </c>
      <c r="P180" s="7" t="s">
        <v>120</v>
      </c>
      <c r="Q180" s="34" t="s">
        <v>147</v>
      </c>
      <c r="R180" s="7" t="s">
        <v>120</v>
      </c>
      <c r="S180" s="34" t="s">
        <v>147</v>
      </c>
      <c r="T180" s="7" t="s">
        <v>120</v>
      </c>
      <c r="U180" s="34" t="s">
        <v>147</v>
      </c>
      <c r="V180" s="7" t="s">
        <v>120</v>
      </c>
      <c r="W180" s="34" t="s">
        <v>147</v>
      </c>
      <c r="X180" s="72"/>
      <c r="AJ180" s="72"/>
      <c r="AK180" s="72"/>
      <c r="AL180" s="72"/>
      <c r="AM180" s="72"/>
      <c r="AP180" s="72"/>
      <c r="AQ180" s="72"/>
      <c r="AR180" s="72"/>
      <c r="AS180" s="72"/>
      <c r="AT180" s="72"/>
      <c r="AU180" s="72"/>
      <c r="AV180" s="72"/>
      <c r="AW180" s="72"/>
      <c r="AX180" s="72"/>
      <c r="AY180" s="72"/>
    </row>
    <row r="181" spans="5:53" x14ac:dyDescent="0.2">
      <c r="E181" s="5" t="s">
        <v>0</v>
      </c>
      <c r="F181" s="23">
        <v>52</v>
      </c>
      <c r="G181" s="23">
        <v>9</v>
      </c>
      <c r="H181" s="23">
        <v>52</v>
      </c>
      <c r="I181" s="23">
        <v>10</v>
      </c>
      <c r="J181" s="23">
        <v>50</v>
      </c>
      <c r="K181" s="23">
        <v>10</v>
      </c>
      <c r="L181" s="23">
        <v>48</v>
      </c>
      <c r="M181" s="23">
        <v>11</v>
      </c>
      <c r="N181" s="10">
        <v>50</v>
      </c>
      <c r="O181" s="75">
        <v>11</v>
      </c>
      <c r="P181" s="10">
        <v>49</v>
      </c>
      <c r="Q181" s="75">
        <v>11</v>
      </c>
      <c r="R181" s="10">
        <v>49</v>
      </c>
      <c r="S181" s="75">
        <v>11</v>
      </c>
      <c r="T181" s="10">
        <v>49</v>
      </c>
      <c r="U181" s="75">
        <v>11</v>
      </c>
      <c r="V181" s="10">
        <v>50</v>
      </c>
      <c r="W181" s="75">
        <v>11</v>
      </c>
      <c r="X181" s="47"/>
      <c r="AJ181" s="47"/>
      <c r="AK181" s="47"/>
      <c r="AL181" s="47"/>
      <c r="AM181" s="47"/>
      <c r="AP181" s="47"/>
      <c r="AQ181" s="47"/>
      <c r="AR181" s="47"/>
      <c r="AS181" s="47"/>
      <c r="AT181" s="47"/>
      <c r="AU181" s="47"/>
      <c r="AV181" s="47"/>
      <c r="AW181" s="47"/>
      <c r="AX181" s="47"/>
      <c r="AY181" s="47"/>
    </row>
    <row r="182" spans="5:53" x14ac:dyDescent="0.2">
      <c r="E182" s="27" t="s">
        <v>140</v>
      </c>
      <c r="F182" s="27">
        <f>AVERAGEIF($C$36:$C$173,"=1",D36:D173)</f>
        <v>50.588235294117645</v>
      </c>
      <c r="G182" s="27">
        <f>AVERAGEIF($C$36:$C$173,"=1",E36:E173)</f>
        <v>8.3529411764705888</v>
      </c>
      <c r="H182" s="27">
        <f>AVERAGEIF($C$36:$C$173,"=1",P36:P173)</f>
        <v>50.8125</v>
      </c>
      <c r="I182" s="27">
        <f>AVERAGEIF($C$36:$C$173,"=1",Q36:Q173)</f>
        <v>9.0625</v>
      </c>
      <c r="J182" s="27">
        <f>AVERAGEIF($C$36:$C$173,"=1",AB36:AB173)</f>
        <v>48.882352941176471</v>
      </c>
      <c r="K182" s="27">
        <f>AVERAGEIF($C$36:$C$173,"=1",AC36:AC173)</f>
        <v>10.058823529411764</v>
      </c>
      <c r="L182" s="27">
        <f>AVERAGEIF($C$36:$C$173,"=1",AN36:AN173)</f>
        <v>46.941176470588232</v>
      </c>
      <c r="M182" s="27">
        <f>AVERAGEIF($C$36:$C$173,"=1",AO36:AO173)</f>
        <v>10.176470588235293</v>
      </c>
      <c r="N182" s="27">
        <f>AVERAGEIF($C$36:$C$173,"=1",$AZ$36:$AZ$173)</f>
        <v>50.058823529411768</v>
      </c>
      <c r="O182" s="27">
        <f>AVERAGEIF($C$36:$C$173,"=1",$BA$36:$BA$173)</f>
        <v>9.882352941176471</v>
      </c>
      <c r="P182" s="27">
        <f>AVERAGEIF($C$36:$C$173,"=1",$BL$36:$BL$173)</f>
        <v>48.823529411764703</v>
      </c>
      <c r="Q182" s="27">
        <f>AVERAGEIF($C$36:$C$173,"=1",$BN$36:$BN$173)</f>
        <v>9.7058823529411757</v>
      </c>
      <c r="R182" s="27">
        <f>AVERAGEIF($C$36:$C$173,"=1",$BZ$36:$BZ$173)</f>
        <v>49.388888888888886</v>
      </c>
      <c r="S182" s="27">
        <f>AVERAGEIF($C$36:$C$173,"=1",$CB$36:$CB$173)</f>
        <v>10.333333333333334</v>
      </c>
      <c r="T182" s="27">
        <f>AVERAGEIF($C$36:$C$173,"=1",$CN$36:$CN$173)</f>
        <v>50.058823529411768</v>
      </c>
      <c r="U182" s="27">
        <f>AVERAGEIF($C$36:$C$173,"=1",$CP$36:$CP$173)</f>
        <v>9.764705882352942</v>
      </c>
      <c r="V182" s="27">
        <v>49.777777777777779</v>
      </c>
      <c r="W182" s="27">
        <v>10.388888888888889</v>
      </c>
      <c r="X182" s="32"/>
      <c r="AJ182" s="32"/>
      <c r="AK182" s="32"/>
      <c r="AL182" s="32"/>
      <c r="AM182" s="32"/>
      <c r="AP182" s="32"/>
      <c r="AQ182" s="32"/>
      <c r="AR182" s="32"/>
      <c r="AS182" s="32"/>
      <c r="AT182" s="32"/>
      <c r="AU182" s="32"/>
      <c r="AV182" s="32"/>
      <c r="AW182" s="32"/>
      <c r="AX182" s="32"/>
      <c r="AY182" s="32"/>
    </row>
    <row r="183" spans="5:53" x14ac:dyDescent="0.2">
      <c r="E183" s="27" t="s">
        <v>141</v>
      </c>
      <c r="F183" s="27">
        <f>AVERAGEIF($C$36:$C$173,"=2",D36:D173)</f>
        <v>52.9</v>
      </c>
      <c r="G183" s="27">
        <f>AVERAGEIF($C$36:$C$173,"=2",E36:E173)</f>
        <v>7.95</v>
      </c>
      <c r="H183" s="27">
        <f>AVERAGEIF($C$36:$C$173,"=2",P36:P173)</f>
        <v>52.421052631578945</v>
      </c>
      <c r="I183" s="27">
        <f>AVERAGEIF($C$36:$C$173,"=2",Q36:Q173)</f>
        <v>9</v>
      </c>
      <c r="J183" s="27">
        <f>AVERAGEIF($C$36:$C$173,"=2",AB36:AB173)</f>
        <v>50.684210526315788</v>
      </c>
      <c r="K183" s="27">
        <f>AVERAGEIF($C$36:$C$173,"=2",AC36:AC173)</f>
        <v>9.3157894736842106</v>
      </c>
      <c r="L183" s="27">
        <f>AVERAGEIF($C$36:$C$173,"=2",AN36:AN173)</f>
        <v>49.65</v>
      </c>
      <c r="M183" s="27">
        <f>AVERAGEIF($C$36:$C$173,"=2",AO36:AO173)</f>
        <v>9.9</v>
      </c>
      <c r="N183" s="27">
        <f>AVERAGEIF($C$36:$C$173,"=2",$AZ$36:$AZ$173)</f>
        <v>51.083333333333336</v>
      </c>
      <c r="O183" s="27">
        <f>AVERAGEIF($C$36:$C$173,"=2",$BA$36:$BA$173)</f>
        <v>9.125</v>
      </c>
      <c r="P183" s="27">
        <f>AVERAGEIF($C$36:$C$173,"=2",$BL$36:$BL$173)</f>
        <v>48.636363636363633</v>
      </c>
      <c r="Q183" s="27">
        <f>AVERAGEIF($C$36:$C$173,"=2",$BN$36:$BN$173)</f>
        <v>9.4090909090909083</v>
      </c>
      <c r="R183" s="27">
        <f>AVERAGEIF($C$36:$C$173,"=2",$BZ$36:$BZ$173)</f>
        <v>51.08</v>
      </c>
      <c r="S183" s="27">
        <f>AVERAGEIF($C$36:$C$173,"=2",$CB$36:$CB$173)</f>
        <v>9.92</v>
      </c>
      <c r="T183" s="27">
        <f>AVERAGEIF($C$36:$C$173,"=2",$CN$36:$CN$173)</f>
        <v>51.5</v>
      </c>
      <c r="U183" s="27">
        <f>AVERAGEIF($C$36:$C$173,"=2",$CP$36:$CP$173)</f>
        <v>9.384615384615385</v>
      </c>
      <c r="V183" s="27">
        <v>51.583333333333336</v>
      </c>
      <c r="W183" s="27">
        <v>10.208333333333334</v>
      </c>
      <c r="X183" s="32"/>
      <c r="AJ183" s="32"/>
      <c r="AK183" s="32"/>
      <c r="AL183" s="32"/>
      <c r="AM183" s="32"/>
      <c r="AP183" s="32"/>
      <c r="AQ183" s="32"/>
      <c r="AR183" s="32"/>
      <c r="AS183" s="32"/>
      <c r="AT183" s="32"/>
      <c r="AU183" s="32"/>
      <c r="AV183" s="32"/>
      <c r="AW183" s="32"/>
      <c r="AX183" s="32"/>
      <c r="AY183" s="32"/>
    </row>
    <row r="184" spans="5:53" x14ac:dyDescent="0.2">
      <c r="E184" s="27" t="s">
        <v>142</v>
      </c>
      <c r="F184" s="27">
        <f>AVERAGEIF($C$36:$C$173,"=3",D36:D173)</f>
        <v>52.166666666666664</v>
      </c>
      <c r="G184" s="27">
        <f>AVERAGEIF($C$36:$C$173,"=3",E36:E173)</f>
        <v>8.7222222222222214</v>
      </c>
      <c r="H184" s="27">
        <f>AVERAGEIF($C$36:$C$173,"=3",P36:P173)</f>
        <v>52.473684210526315</v>
      </c>
      <c r="I184" s="27">
        <f>AVERAGEIF($C$36:$C$173,"=3",Q36:Q173)</f>
        <v>9.526315789473685</v>
      </c>
      <c r="J184" s="27">
        <f>AVERAGEIF($C$36:$C$173,"=3",AB36:AB173)</f>
        <v>51.10526315789474</v>
      </c>
      <c r="K184" s="27">
        <f>AVERAGEIF($C$36:$C$173,"=3",AC36:AC173)</f>
        <v>9.8333333333333339</v>
      </c>
      <c r="L184" s="27">
        <f>AVERAGEIF($C$36:$C$173,"=3",AN36:AN173)</f>
        <v>48.684210526315788</v>
      </c>
      <c r="M184" s="27">
        <f>AVERAGEIF($C$36:$C$173,"=3",AO36:AO173)</f>
        <v>10.277777777777779</v>
      </c>
      <c r="N184" s="27">
        <f>AVERAGEIF($C$36:$C$173,"=3",$AZ$36:$AZ$173)</f>
        <v>51.6</v>
      </c>
      <c r="O184" s="27">
        <f>AVERAGEIF($C$36:$C$173,"=3",$BA$36:$BA$173)</f>
        <v>10.25</v>
      </c>
      <c r="P184" s="27">
        <f>AVERAGEIF($C$36:$C$173,"=3",$BL$36:$BL$173)</f>
        <v>50.05</v>
      </c>
      <c r="Q184" s="27">
        <f>AVERAGEIF($C$36:$C$173,"=3",$BN$36:$BN$173)</f>
        <v>10.199999999999999</v>
      </c>
      <c r="R184" s="27">
        <f>AVERAGEIF($C$36:$C$173,"=3",$BZ$36:$BZ$173)</f>
        <v>51.863636363636367</v>
      </c>
      <c r="S184" s="27">
        <f>AVERAGEIF($C$36:$C$173,"=3",$CB$36:$CB$173)</f>
        <v>10.045454545454545</v>
      </c>
      <c r="T184" s="27">
        <f>AVERAGEIF($C$36:$C$173,"=3",$CN$36:$CN$173)</f>
        <v>51.409090909090907</v>
      </c>
      <c r="U184" s="27">
        <f>AVERAGEIF($C$36:$C$173,"=3",$CP$36:$CP$173)</f>
        <v>10.090909090909092</v>
      </c>
      <c r="V184" s="27">
        <v>51.18181818181818</v>
      </c>
      <c r="W184" s="27">
        <v>9.9090909090909083</v>
      </c>
      <c r="X184" s="32"/>
      <c r="AJ184" s="32"/>
      <c r="AK184" s="32"/>
      <c r="AL184" s="32"/>
      <c r="AM184" s="32"/>
      <c r="AP184" s="32"/>
      <c r="AQ184" s="32"/>
      <c r="AR184" s="32"/>
      <c r="AS184" s="32"/>
      <c r="AT184" s="32"/>
      <c r="AU184" s="32"/>
      <c r="AV184" s="32"/>
      <c r="AW184" s="32"/>
      <c r="AX184" s="32"/>
      <c r="AY184" s="32"/>
    </row>
    <row r="185" spans="5:53" x14ac:dyDescent="0.2">
      <c r="E185" s="27" t="s">
        <v>143</v>
      </c>
      <c r="F185" s="27">
        <f>AVERAGEIF($C$36:$C$173,"=4",D36:D173)</f>
        <v>48.142857142857146</v>
      </c>
      <c r="G185" s="27">
        <f>AVERAGEIF($C$36:$C$173,"=4",E36:E173)</f>
        <v>8</v>
      </c>
      <c r="H185" s="27">
        <f>AVERAGEIF($C$36:$C$173,"=4",P36:P173)</f>
        <v>50.266666666666666</v>
      </c>
      <c r="I185" s="27">
        <f>AVERAGEIF($C$36:$C$173,"=4",Q36:Q173)</f>
        <v>8.4666666666666668</v>
      </c>
      <c r="J185" s="27">
        <f>AVERAGEIF($C$36:$C$173,"=4",AB36:AB173)</f>
        <v>47.93333333333333</v>
      </c>
      <c r="K185" s="27">
        <f>AVERAGEIF($C$36:$C$173,"=4",AC36:AC173)</f>
        <v>8.8666666666666671</v>
      </c>
      <c r="L185" s="27">
        <f>AVERAGEIF($C$36:$C$173,"=4",AN36:AN173)</f>
        <v>45.785714285714285</v>
      </c>
      <c r="M185" s="27">
        <f>AVERAGEIF($C$36:$C$173,"=4",AO36:AO173)</f>
        <v>10.357142857142858</v>
      </c>
      <c r="N185" s="27">
        <f>AVERAGEIF($C$36:$C$173,"=4",$AZ$36:$AZ$173)</f>
        <v>46.692307692307693</v>
      </c>
      <c r="O185" s="27">
        <f>AVERAGEIF($C$36:$C$173,"=4",$BA$36:$BA$173)</f>
        <v>9.615384615384615</v>
      </c>
      <c r="P185" s="27">
        <f>AVERAGEIF($C$36:$C$173,"=4",$BL$36:$BL$173)</f>
        <v>46.642857142857146</v>
      </c>
      <c r="Q185" s="27">
        <f>AVERAGEIF($C$36:$C$173,"=4",$BN$36:$BN$173)</f>
        <v>9.6428571428571423</v>
      </c>
      <c r="R185" s="27">
        <f>AVERAGEIF($C$36:$C$173,"=4",$BZ$36:$BZ$173)</f>
        <v>47.214285714285715</v>
      </c>
      <c r="S185" s="27">
        <f>AVERAGEIF($C$36:$C$173,"=4",$CB$36:$CB$173)</f>
        <v>9.8571428571428577</v>
      </c>
      <c r="T185" s="27">
        <f>AVERAGEIF($C$36:$C$173,"=4",$CN$36:$CN$173)</f>
        <v>46.733333333333334</v>
      </c>
      <c r="U185" s="27">
        <f>AVERAGEIF($C$36:$C$173,"=4",$CP$36:$CP$173)</f>
        <v>9.6</v>
      </c>
      <c r="V185" s="27">
        <v>48.07692307692308</v>
      </c>
      <c r="W185" s="27">
        <v>10</v>
      </c>
      <c r="X185" s="32"/>
      <c r="AJ185" s="32"/>
      <c r="AK185" s="32"/>
      <c r="AL185" s="32"/>
      <c r="AM185" s="32"/>
      <c r="AP185" s="32"/>
      <c r="AQ185" s="32"/>
      <c r="AR185" s="32"/>
      <c r="AS185" s="32"/>
      <c r="AT185" s="32"/>
      <c r="AU185" s="32"/>
      <c r="AV185" s="32"/>
      <c r="AW185" s="32"/>
      <c r="AX185" s="32"/>
      <c r="AY185" s="32"/>
    </row>
    <row r="186" spans="5:53" x14ac:dyDescent="0.2">
      <c r="E186" s="27" t="s">
        <v>144</v>
      </c>
      <c r="F186" s="27">
        <f>AVERAGEIF($C$36:$C$173,"=5",D36:D173)</f>
        <v>54.235294117647058</v>
      </c>
      <c r="G186" s="27">
        <f>AVERAGEIF($C$36:$C$173,"=5",E36:E173)</f>
        <v>8.6470588235294112</v>
      </c>
      <c r="H186" s="27">
        <f>AVERAGEIF($C$36:$C$173,"=5",P36:P173)</f>
        <v>54.117647058823529</v>
      </c>
      <c r="I186" s="27">
        <f>AVERAGEIF($C$36:$C$173,"=5",Q36:Q173)</f>
        <v>8.882352941176471</v>
      </c>
      <c r="J186" s="27">
        <f>AVERAGEIF($C$36:$C$173,"=5",AB36:AB173)</f>
        <v>52.555555555555557</v>
      </c>
      <c r="K186" s="27">
        <f>AVERAGEIF($C$36:$C$173,"=5",AC36:AC173)</f>
        <v>9.3333333333333339</v>
      </c>
      <c r="L186" s="27">
        <f>AVERAGEIF($C$36:$C$173,"=5",AN36:AN173)</f>
        <v>50.421052631578945</v>
      </c>
      <c r="M186" s="27">
        <f>AVERAGEIF($C$36:$C$173,"=5",AO36:AO173)</f>
        <v>10.157894736842104</v>
      </c>
      <c r="N186" s="27">
        <f>AVERAGEIF($C$36:$C$173,"=5",$AZ$36:$AZ$173)</f>
        <v>53.777777777777779</v>
      </c>
      <c r="O186" s="27">
        <f>AVERAGEIF($C$36:$C$173,"=5",$BA$36:$BA$173)</f>
        <v>9</v>
      </c>
      <c r="P186" s="27">
        <f>AVERAGEIF($C$36:$C$173,"=5",$BL$36:$BL$173)</f>
        <v>52.111111111111114</v>
      </c>
      <c r="Q186" s="27">
        <f>AVERAGEIF($C$36:$C$173,"=5",$BN$36:$BN$173)</f>
        <v>10.222222222222221</v>
      </c>
      <c r="R186" s="27">
        <f>AVERAGEIF($C$36:$C$173,"=5",$BZ$36:$BZ$173)</f>
        <v>53.352941176470587</v>
      </c>
      <c r="S186" s="27">
        <f>AVERAGEIF($C$36:$C$173,"=5",$CB$36:$CB$173)</f>
        <v>9.5882352941176467</v>
      </c>
      <c r="T186" s="27">
        <f>AVERAGEIF($C$36:$C$173,"=5",$CN$36:$CN$173)</f>
        <v>53.647058823529413</v>
      </c>
      <c r="U186" s="27">
        <f>AVERAGEIF($C$36:$C$173,"=5",$CP$36:$CP$173)</f>
        <v>9.7058823529411757</v>
      </c>
      <c r="V186" s="27">
        <v>52.166666666666664</v>
      </c>
      <c r="W186" s="27">
        <v>9.6666666666666661</v>
      </c>
      <c r="X186" s="32"/>
      <c r="AJ186" s="32"/>
      <c r="AK186" s="32"/>
      <c r="AL186" s="32"/>
      <c r="AM186" s="32"/>
      <c r="AP186" s="32"/>
      <c r="AQ186" s="32"/>
      <c r="AR186" s="32"/>
      <c r="AS186" s="32"/>
      <c r="AT186" s="32"/>
      <c r="AU186" s="32"/>
      <c r="AV186" s="32"/>
      <c r="AW186" s="32"/>
      <c r="AX186" s="32"/>
      <c r="AY186" s="32"/>
    </row>
    <row r="187" spans="5:53" x14ac:dyDescent="0.2">
      <c r="E187" s="27" t="s">
        <v>145</v>
      </c>
      <c r="F187" s="27">
        <f>AVERAGEIF($C$36:$C$173,"=6",D36:D173)</f>
        <v>52.06666666666667</v>
      </c>
      <c r="G187" s="27">
        <f>AVERAGEIF($C$36:$C$173,"=6",E36:E173)</f>
        <v>7.5333333333333332</v>
      </c>
      <c r="H187" s="27">
        <f>AVERAGEIF($C$36:$C$173,"=6",P36:P173)</f>
        <v>50.6</v>
      </c>
      <c r="I187" s="27">
        <f>AVERAGEIF($C$36:$C$173,"=6",Q36:Q173)</f>
        <v>9.5333333333333332</v>
      </c>
      <c r="J187" s="27">
        <f>AVERAGEIF($C$36:$C$173,"=6",AB36:AB173)</f>
        <v>50.571428571428569</v>
      </c>
      <c r="K187" s="27">
        <f>AVERAGEIF($C$36:$C$173,"=6",AC36:AC173)</f>
        <v>10.357142857142858</v>
      </c>
      <c r="L187" s="27">
        <f>AVERAGEIF($C$36:$C$173,"=6",AN36:AN173)</f>
        <v>49.2</v>
      </c>
      <c r="M187" s="27">
        <f>AVERAGEIF($C$36:$C$173,"=6",AO36:AO173)</f>
        <v>10.066666666666666</v>
      </c>
      <c r="N187" s="27">
        <f>AVERAGEIF($C$36:$C$173,"=6",$AZ$36:$AZ$173)</f>
        <v>49.588235294117645</v>
      </c>
      <c r="O187" s="27">
        <f>AVERAGEIF($C$36:$C$173,"=6",$BA$36:$BA$173)</f>
        <v>9.3529411764705888</v>
      </c>
      <c r="P187" s="27">
        <f>AVERAGEIF($C$36:$C$173,"=6",$BL$36:$BL$173)</f>
        <v>48.941176470588232</v>
      </c>
      <c r="Q187" s="27">
        <f>AVERAGEIF($C$36:$C$173,"=6",$BN$36:$BN$173)</f>
        <v>9.1764705882352935</v>
      </c>
      <c r="R187" s="27">
        <f>AVERAGEIF($C$36:$C$173,"=6",$BZ$36:$BZ$173)</f>
        <v>49.736842105263158</v>
      </c>
      <c r="S187" s="27">
        <f>AVERAGEIF($C$36:$C$173,"=6",$CB$36:$CB$173)</f>
        <v>10.789473684210526</v>
      </c>
      <c r="T187" s="27">
        <f>AVERAGEIF($C$36:$C$173,"=6",$CN$36:$CN$173)</f>
        <v>51.15</v>
      </c>
      <c r="U187" s="27">
        <f>AVERAGEIF($C$36:$C$173,"=6",$CP$36:$CP$173)</f>
        <v>8.5500000000000007</v>
      </c>
      <c r="V187" s="27">
        <v>50.611111111111114</v>
      </c>
      <c r="W187" s="27">
        <v>10.166666666666666</v>
      </c>
      <c r="X187" s="32"/>
      <c r="Y187" s="32"/>
      <c r="Z187" s="32"/>
      <c r="AA187" s="32"/>
      <c r="AD187" s="32"/>
      <c r="AE187" s="32"/>
      <c r="AF187" s="32"/>
      <c r="AG187" s="32"/>
      <c r="AH187" s="32"/>
      <c r="AI187" s="32"/>
      <c r="AJ187" s="32"/>
      <c r="AK187" s="32"/>
      <c r="AL187" s="32"/>
      <c r="AM187" s="32"/>
      <c r="AP187" s="32"/>
      <c r="AQ187" s="32"/>
      <c r="AR187" s="32"/>
      <c r="AS187" s="32"/>
      <c r="AT187" s="32"/>
      <c r="AU187" s="32"/>
      <c r="AV187" s="32"/>
      <c r="AW187" s="32"/>
      <c r="AX187" s="32"/>
      <c r="AY187" s="32"/>
    </row>
    <row r="188" spans="5:53" x14ac:dyDescent="0.2">
      <c r="Q188" t="s">
        <v>152</v>
      </c>
    </row>
    <row r="190" spans="5:53" x14ac:dyDescent="0.2">
      <c r="E190" s="28"/>
      <c r="F190" s="1064">
        <v>2016</v>
      </c>
      <c r="G190" s="1065"/>
      <c r="H190" s="1065"/>
      <c r="I190" s="1191"/>
      <c r="J190" s="28"/>
      <c r="K190" s="28"/>
      <c r="L190" s="28"/>
      <c r="M190" s="28"/>
      <c r="N190" s="1046">
        <v>2018</v>
      </c>
      <c r="O190" s="1050"/>
      <c r="P190" s="1050"/>
      <c r="Q190" s="1047"/>
      <c r="R190" s="1046">
        <v>2019</v>
      </c>
      <c r="S190" s="1050"/>
      <c r="T190" s="1050"/>
      <c r="U190" s="1047"/>
      <c r="V190" s="1046">
        <v>2020</v>
      </c>
      <c r="W190" s="1050"/>
      <c r="X190" s="1050"/>
      <c r="Y190" s="1050"/>
      <c r="Z190" s="1046">
        <v>2021</v>
      </c>
      <c r="AA190" s="1050"/>
      <c r="AB190" s="1050"/>
      <c r="AC190" s="1050"/>
      <c r="AD190" s="1046">
        <v>2022</v>
      </c>
      <c r="AE190" s="1050"/>
      <c r="AF190" s="1050"/>
      <c r="AG190" s="1050"/>
      <c r="AH190" s="1046">
        <v>2023</v>
      </c>
      <c r="AI190" s="1050"/>
      <c r="AJ190" s="1050"/>
      <c r="AK190" s="1050"/>
      <c r="AL190" s="1046">
        <v>2024</v>
      </c>
      <c r="AM190" s="1050"/>
      <c r="AN190" s="1050"/>
      <c r="AO190" s="1050"/>
      <c r="AP190" s="73"/>
      <c r="AQ190" s="73"/>
      <c r="AR190" s="73"/>
      <c r="AS190" s="73"/>
      <c r="AT190" s="73"/>
      <c r="AU190" s="73"/>
      <c r="AV190" s="73"/>
      <c r="AW190" s="73"/>
      <c r="AX190" s="73"/>
      <c r="AY190" s="73"/>
      <c r="AZ190" s="73"/>
      <c r="BA190" s="73"/>
    </row>
    <row r="191" spans="5:53" x14ac:dyDescent="0.2">
      <c r="E191" s="28"/>
      <c r="F191" s="1046" t="s">
        <v>148</v>
      </c>
      <c r="G191" s="1047"/>
      <c r="H191" s="1046" t="s">
        <v>149</v>
      </c>
      <c r="I191" s="1047"/>
      <c r="J191" s="1046" t="s">
        <v>148</v>
      </c>
      <c r="K191" s="1047"/>
      <c r="L191" s="1046" t="s">
        <v>149</v>
      </c>
      <c r="M191" s="1047"/>
      <c r="N191" s="1046" t="s">
        <v>148</v>
      </c>
      <c r="O191" s="1047"/>
      <c r="P191" s="1046" t="s">
        <v>149</v>
      </c>
      <c r="Q191" s="1047"/>
      <c r="R191" s="1046" t="s">
        <v>148</v>
      </c>
      <c r="S191" s="1047"/>
      <c r="T191" s="1046" t="s">
        <v>149</v>
      </c>
      <c r="U191" s="1047"/>
      <c r="V191" s="1046" t="s">
        <v>148</v>
      </c>
      <c r="W191" s="1047"/>
      <c r="X191" s="1046" t="s">
        <v>149</v>
      </c>
      <c r="Y191" s="1050"/>
      <c r="Z191" s="1046" t="s">
        <v>148</v>
      </c>
      <c r="AA191" s="1047"/>
      <c r="AB191" s="1046" t="s">
        <v>149</v>
      </c>
      <c r="AC191" s="1050"/>
      <c r="AD191" s="1046" t="s">
        <v>148</v>
      </c>
      <c r="AE191" s="1047"/>
      <c r="AF191" s="1046" t="s">
        <v>149</v>
      </c>
      <c r="AG191" s="1050"/>
      <c r="AH191" s="1046" t="s">
        <v>148</v>
      </c>
      <c r="AI191" s="1047"/>
      <c r="AJ191" s="1046" t="s">
        <v>149</v>
      </c>
      <c r="AK191" s="1050"/>
      <c r="AL191" s="1046" t="s">
        <v>148</v>
      </c>
      <c r="AM191" s="1047"/>
      <c r="AN191" s="1046" t="s">
        <v>149</v>
      </c>
      <c r="AO191" s="1050"/>
      <c r="AP191" s="72"/>
      <c r="AQ191" s="72"/>
      <c r="AR191" s="72"/>
      <c r="AS191" s="72"/>
      <c r="AT191" s="72"/>
      <c r="AU191" s="72"/>
      <c r="AV191" s="72"/>
      <c r="AW191" s="72"/>
      <c r="AX191" s="72"/>
      <c r="AY191" s="72"/>
    </row>
    <row r="192" spans="5:53" ht="25.5" x14ac:dyDescent="0.2">
      <c r="E192" s="28"/>
      <c r="F192" s="7" t="s">
        <v>120</v>
      </c>
      <c r="G192" s="7" t="s">
        <v>147</v>
      </c>
      <c r="H192" s="7" t="s">
        <v>120</v>
      </c>
      <c r="I192" s="7" t="s">
        <v>147</v>
      </c>
      <c r="J192" s="7" t="s">
        <v>120</v>
      </c>
      <c r="K192" s="7" t="s">
        <v>147</v>
      </c>
      <c r="L192" s="7" t="s">
        <v>120</v>
      </c>
      <c r="M192" s="7" t="s">
        <v>147</v>
      </c>
      <c r="N192" s="7" t="s">
        <v>120</v>
      </c>
      <c r="O192" s="7" t="s">
        <v>147</v>
      </c>
      <c r="P192" s="7" t="s">
        <v>120</v>
      </c>
      <c r="Q192" s="7" t="s">
        <v>147</v>
      </c>
      <c r="R192" s="7" t="s">
        <v>120</v>
      </c>
      <c r="S192" s="7" t="s">
        <v>147</v>
      </c>
      <c r="T192" s="7" t="s">
        <v>120</v>
      </c>
      <c r="U192" s="7" t="s">
        <v>147</v>
      </c>
      <c r="V192" s="7" t="s">
        <v>120</v>
      </c>
      <c r="W192" s="7" t="s">
        <v>147</v>
      </c>
      <c r="X192" s="7" t="s">
        <v>120</v>
      </c>
      <c r="Y192" s="7" t="s">
        <v>147</v>
      </c>
      <c r="Z192" s="7" t="s">
        <v>120</v>
      </c>
      <c r="AA192" s="7" t="s">
        <v>147</v>
      </c>
      <c r="AB192" s="7" t="s">
        <v>120</v>
      </c>
      <c r="AC192" s="7" t="s">
        <v>147</v>
      </c>
      <c r="AD192" s="7" t="s">
        <v>120</v>
      </c>
      <c r="AE192" s="7" t="s">
        <v>147</v>
      </c>
      <c r="AF192" s="7" t="s">
        <v>120</v>
      </c>
      <c r="AG192" s="7" t="s">
        <v>147</v>
      </c>
      <c r="AH192" s="7" t="s">
        <v>120</v>
      </c>
      <c r="AI192" s="7" t="s">
        <v>147</v>
      </c>
      <c r="AJ192" s="7" t="s">
        <v>120</v>
      </c>
      <c r="AK192" s="7" t="s">
        <v>147</v>
      </c>
      <c r="AL192" s="7" t="s">
        <v>120</v>
      </c>
      <c r="AM192" s="7" t="s">
        <v>147</v>
      </c>
      <c r="AN192" s="7" t="s">
        <v>120</v>
      </c>
      <c r="AO192" s="7" t="s">
        <v>147</v>
      </c>
      <c r="AP192" s="72"/>
      <c r="AQ192" s="72"/>
      <c r="AR192" s="72"/>
      <c r="AS192" s="72"/>
      <c r="AT192" s="72"/>
      <c r="AU192" s="72"/>
      <c r="AV192" s="72"/>
      <c r="AW192" s="72"/>
      <c r="AX192" s="72"/>
      <c r="AY192" s="72"/>
    </row>
    <row r="193" spans="5:61" x14ac:dyDescent="0.2">
      <c r="E193" s="5" t="s">
        <v>0</v>
      </c>
      <c r="F193" s="10">
        <v>51</v>
      </c>
      <c r="G193" s="10">
        <v>9</v>
      </c>
      <c r="H193" s="10">
        <v>54</v>
      </c>
      <c r="I193" s="10">
        <v>9</v>
      </c>
      <c r="J193" s="10">
        <v>50</v>
      </c>
      <c r="K193" s="10">
        <v>8</v>
      </c>
      <c r="L193" s="10">
        <v>53</v>
      </c>
      <c r="M193" s="10">
        <v>8</v>
      </c>
      <c r="N193" s="30">
        <v>52</v>
      </c>
      <c r="O193" s="30">
        <v>9</v>
      </c>
      <c r="P193" s="30">
        <v>54</v>
      </c>
      <c r="Q193" s="30">
        <v>9</v>
      </c>
      <c r="R193" s="30">
        <v>52</v>
      </c>
      <c r="S193" s="30">
        <v>9</v>
      </c>
      <c r="T193" s="30">
        <v>55</v>
      </c>
      <c r="U193" s="30">
        <v>10</v>
      </c>
      <c r="V193" s="10">
        <v>49</v>
      </c>
      <c r="W193" s="10">
        <v>10</v>
      </c>
      <c r="X193" s="10">
        <v>52</v>
      </c>
      <c r="Y193" s="10">
        <v>11</v>
      </c>
      <c r="Z193" s="10">
        <v>47</v>
      </c>
      <c r="AA193" s="10">
        <v>10</v>
      </c>
      <c r="AB193" s="10">
        <v>51</v>
      </c>
      <c r="AC193" s="10">
        <v>11</v>
      </c>
      <c r="AD193" s="10">
        <v>47</v>
      </c>
      <c r="AE193" s="10">
        <v>10</v>
      </c>
      <c r="AF193" s="10">
        <v>51</v>
      </c>
      <c r="AG193" s="10">
        <v>11</v>
      </c>
      <c r="AH193" s="10">
        <v>47</v>
      </c>
      <c r="AI193" s="10">
        <v>10</v>
      </c>
      <c r="AJ193" s="10">
        <v>51</v>
      </c>
      <c r="AK193" s="10">
        <v>11</v>
      </c>
      <c r="AL193" s="10">
        <v>49</v>
      </c>
      <c r="AM193" s="10">
        <v>11</v>
      </c>
      <c r="AN193" s="10">
        <v>53</v>
      </c>
      <c r="AO193" s="10">
        <v>11</v>
      </c>
      <c r="AP193" s="74"/>
      <c r="AQ193" s="74"/>
      <c r="AR193" s="74"/>
      <c r="AS193" s="74"/>
      <c r="AT193" s="74"/>
      <c r="AU193" s="74"/>
      <c r="AV193" s="74"/>
      <c r="AW193" s="74"/>
      <c r="AX193" s="74"/>
      <c r="AY193" s="74"/>
    </row>
    <row r="194" spans="5:61" x14ac:dyDescent="0.2">
      <c r="E194" s="27" t="s">
        <v>140</v>
      </c>
      <c r="F194" s="27">
        <f>AVERAGEIFS(D36:D173,$C$36:$C$173,"=1", $B$36:$B$173,"OFICIAL")</f>
        <v>50.75</v>
      </c>
      <c r="G194" s="27">
        <f>AVERAGEIFS(E36:E173,$C$36:$C$173,"=1", $B$36:$B$173,"OFICIAL")</f>
        <v>9</v>
      </c>
      <c r="H194" s="27">
        <f>AVERAGEIFS(D36:D173,$C$36:$C$173,"=1", $B$36:$B$173,"NO OFICIAL")</f>
        <v>50.53846153846154</v>
      </c>
      <c r="I194" s="27">
        <f>AVERAGEIFS(E36:E173,$C$36:$C$173,"=1", $B$36:$B$173,"NO OFICIAL")</f>
        <v>8.1538461538461533</v>
      </c>
      <c r="J194" s="27">
        <f>AVERAGEIFS($P$36:$P$173,$C$36:$C$173,"=1", $B$36:$B$173,"OFICIAL")</f>
        <v>51.5</v>
      </c>
      <c r="K194" s="27">
        <f>AVERAGEIFS($Q$36:$Q$173,$C$36:$C$173,"=1", $B$36:$B$173,"OFICIAL")</f>
        <v>8.75</v>
      </c>
      <c r="L194" s="27">
        <f>AVERAGEIFS($P$36:$P$173,$C$36:$C$173,"=1", $B$36:$B$173,"NO OFICIAL")</f>
        <v>50.583333333333336</v>
      </c>
      <c r="M194" s="27">
        <f>AVERAGEIFS($Q$36:$Q$173,$C$36:$C$173,"=1", $B$36:$B$173,"NO OFICIAL")</f>
        <v>9.1666666666666661</v>
      </c>
      <c r="N194" s="27">
        <f>AVERAGEIFS($AB$36:$AB$173,$C$36:$C$173,"=1", $B$36:$B$173,"OFICIAL")</f>
        <v>48.25</v>
      </c>
      <c r="O194" s="27">
        <f>AVERAGEIFS($AC$36:$AC$173,$C$36:$C$173,"=1", $B$36:$B$173,"OFICIAL")</f>
        <v>10</v>
      </c>
      <c r="P194" s="27">
        <f>AVERAGEIFS($AB$36:$AB$173,$C$36:$C$173,"=1", $B$36:$B$173,"NO OFICIAL")</f>
        <v>49.07692307692308</v>
      </c>
      <c r="Q194" s="27">
        <f>AVERAGEIFS($AC$36:$AC$173,$C$36:$C$173,"=1", $B$36:$B$173,"NO OFICIAL")</f>
        <v>10.076923076923077</v>
      </c>
      <c r="R194" s="27">
        <f>AVERAGEIFS($AN$36:$AN$173,$C$36:$C$173,"=1", $B$36:$B$173,"OFICIAL")</f>
        <v>47.25</v>
      </c>
      <c r="S194" s="27">
        <f>AVERAGEIFS($AO$36:$AO$173,$C$36:$C$173,"=1", $B$36:$B$173,"OFICIAL")</f>
        <v>10.75</v>
      </c>
      <c r="T194" s="27">
        <f>AVERAGEIFS($AN$36:$AN$173,$C$36:$C$173,"=1", $B$36:$B$173,"NO OFICIAL")</f>
        <v>46.846153846153847</v>
      </c>
      <c r="U194" s="27">
        <f>AVERAGEIFS($AO$36:$AO$173,$C$36:$C$173,"=1", $B$36:$B$173,"NO OFICIAL")</f>
        <v>10</v>
      </c>
      <c r="V194" s="27">
        <f>AVERAGEIFS($AZ$36:$AZ$173,$C$36:$C$173,"=1", $B$36:$B$173,"OFICIAL")</f>
        <v>49.75</v>
      </c>
      <c r="W194" s="27">
        <f>AVERAGEIFS($BA$36:$BA$173,$C$36:$C$173,"=1", $B$36:$B$173,"OFICIAL")</f>
        <v>9.75</v>
      </c>
      <c r="X194" s="27">
        <f>AVERAGEIFS($AZ$36:$AZ$173,$C$36:$C$173,"=1", $B$36:$B$173,"NO OFICIAL")</f>
        <v>50.153846153846153</v>
      </c>
      <c r="Y194" s="27">
        <f>AVERAGEIFS($BA$36:$BA$173,$C$36:$C$173,"=1", $B$36:$B$173,"NO OFICIAL")</f>
        <v>9.9230769230769234</v>
      </c>
      <c r="Z194" s="27">
        <f>AVERAGEIFS($BL$36:$BL$173,$C$36:$C$173,"=1", $B$36:$B$173,"OFICIAL")</f>
        <v>47.5</v>
      </c>
      <c r="AA194" s="27">
        <f>AVERAGEIFS($BN$36:$BN$173,$C$36:$C$173,"=1", $B$36:$B$173,"OFICIAL")</f>
        <v>10.25</v>
      </c>
      <c r="AB194" s="27">
        <f>AVERAGEIFS($BL$36:$BL$173,$C$36:$C$173,"=1", $B$36:$B$173,"NO OFICIAL")</f>
        <v>49.230769230769234</v>
      </c>
      <c r="AC194" s="27">
        <f>AVERAGEIFS($BN$36:$BN$173,$C$36:$C$173,"=1", $B$36:$B$173,"NO OFICIAL")</f>
        <v>9.5384615384615383</v>
      </c>
      <c r="AD194" s="27">
        <f>AVERAGEIFS($BZ$36:$BZ$173,$C$36:$C$173,"=1", $B$36:$B$173,"OFICIAL")</f>
        <v>48.2</v>
      </c>
      <c r="AE194" s="27">
        <f>AVERAGEIFS($CB$36:$CB$173,$C$36:$C$173,"=1", $B$36:$B$173,"OFICIAL")</f>
        <v>10.8</v>
      </c>
      <c r="AF194" s="27">
        <f>AVERAGEIFS($BZ$36:$BZ$173,$C$36:$C$173,"=1", $B$36:$B$173,"NO OFICIAL")</f>
        <v>49.846153846153847</v>
      </c>
      <c r="AG194" s="27">
        <f>AVERAGEIFS($CB$36:$CB$173,$C$36:$C$173,"=1", $B$36:$B$173,"NO OFICIAL")</f>
        <v>10.153846153846153</v>
      </c>
      <c r="AH194" s="27">
        <f>AVERAGEIFS($CN$36:$CN$173,$C$36:$C$173,"=1", $B$36:$B$173,"OFICIAL")</f>
        <v>48.2</v>
      </c>
      <c r="AI194" s="27">
        <f>AVERAGEIFS($CP$36:$CP$173,$C$36:$C$173,"=1", $B$36:$B$173,"OFICIAL")</f>
        <v>9.8000000000000007</v>
      </c>
      <c r="AJ194" s="27">
        <f>AVERAGEIFS($CN$36:$CN$173,$C$36:$C$173,"=1", $B$36:$B$173,"NO OFICIAL")</f>
        <v>50.833333333333336</v>
      </c>
      <c r="AK194" s="27">
        <f>AVERAGEIFS($CP$36:$CP$173,$C$36:$C$173,"=1", $B$36:$B$173,"NO OFICIAL")</f>
        <v>9.75</v>
      </c>
      <c r="AL194" s="27">
        <v>47.8</v>
      </c>
      <c r="AM194" s="27">
        <v>10.4</v>
      </c>
      <c r="AN194" s="27">
        <v>50.53846153846154</v>
      </c>
      <c r="AO194" s="27">
        <v>10.384615384615385</v>
      </c>
      <c r="AP194" s="32"/>
      <c r="AQ194" s="32"/>
      <c r="AR194" s="32"/>
      <c r="AS194" s="32"/>
      <c r="AT194" s="32"/>
      <c r="AU194" s="32"/>
      <c r="AV194" s="32"/>
      <c r="AW194" s="32"/>
      <c r="AX194" s="32"/>
      <c r="AY194" s="32"/>
    </row>
    <row r="195" spans="5:61" x14ac:dyDescent="0.2">
      <c r="E195" s="27" t="s">
        <v>141</v>
      </c>
      <c r="F195" s="27">
        <f>AVERAGEIFS(D36:D173,$C$36:$C$173,"=2", $B$36:$B$173,"OFICIAL")</f>
        <v>52</v>
      </c>
      <c r="G195" s="27">
        <f>AVERAGEIFS(E36:E173,$C$36:$C$173,"=2", $B$36:$B$173,"OFICIAL")</f>
        <v>8.5</v>
      </c>
      <c r="H195" s="27">
        <f>AVERAGEIFS(D36:D173,$C$36:$C$173,"=2", $B$36:$B$173,"NO OFICIAL")</f>
        <v>53</v>
      </c>
      <c r="I195" s="27">
        <f>AVERAGEIFS(E36:E173,$C$36:$C$173,"=2", $B$36:$B$173,"NO OFICIAL")</f>
        <v>7.8888888888888893</v>
      </c>
      <c r="J195" s="27">
        <f>AVERAGEIFS($P$36:$P$173,$C$36:$C$173,"=2", $B$36:$B$173,"OFICIAL")</f>
        <v>51</v>
      </c>
      <c r="K195" s="27">
        <f>AVERAGEIFS($Q$36:$Q$173,$C$36:$C$173,"=2", $B$36:$B$173,"OFICIAL")</f>
        <v>9.5</v>
      </c>
      <c r="L195" s="27">
        <f>AVERAGEIFS($P$36:$P$173,$C$36:$C$173,"=2", $B$36:$B$173,"NO OFICIAL")</f>
        <v>52.588235294117645</v>
      </c>
      <c r="M195" s="27">
        <f>AVERAGEIFS($Q$36:$Q$173,$C$36:$C$173,"=2", $B$36:$B$173,"NO OFICIAL")</f>
        <v>8.9411764705882355</v>
      </c>
      <c r="N195" s="27">
        <f>AVERAGEIFS($AB$36:$AB$173,$C$36:$C$173,"=2", $B$36:$B$173,"OFICIAL")</f>
        <v>49</v>
      </c>
      <c r="O195" s="27">
        <f>AVERAGEIFS($AC$36:$AC$173,$C$36:$C$173,"=2", $B$36:$B$173,"OFICIAL")</f>
        <v>10</v>
      </c>
      <c r="P195" s="27">
        <f>AVERAGEIFS($AB$36:$AB$173,$C$36:$C$173,"=2", $B$36:$B$173,"NO OFICIAL")</f>
        <v>50.882352941176471</v>
      </c>
      <c r="Q195" s="27">
        <f>AVERAGEIFS($AC$36:$AC$173,$C$36:$C$173,"=2", $B$36:$B$173,"NO OFICIAL")</f>
        <v>9.235294117647058</v>
      </c>
      <c r="R195" s="27">
        <f>AVERAGEIFS($AN$36:$AN$173,$C$36:$C$173,"=2", $B$36:$B$173,"OFICIAL")</f>
        <v>48</v>
      </c>
      <c r="S195" s="27">
        <f>AVERAGEIFS($AO$36:$AO$173,$C$36:$C$173,"=2", $B$36:$B$173,"OFICIAL")</f>
        <v>10.5</v>
      </c>
      <c r="T195" s="27">
        <f>AVERAGEIFS($AN$36:$AN$173,$C$36:$C$173,"=2", $B$36:$B$173,"NO OFICIAL")</f>
        <v>49.833333333333336</v>
      </c>
      <c r="U195" s="27">
        <f>AVERAGEIFS($AO$36:$AO$173,$C$36:$C$173,"=2", $B$36:$B$173,"NO OFICIAL")</f>
        <v>9.8333333333333339</v>
      </c>
      <c r="V195" s="27">
        <f>AVERAGEIFS($AZ$36:$AZ$173,$C$36:$C$173,"=2", $B$36:$B$173,"OFICIAL")</f>
        <v>50</v>
      </c>
      <c r="W195" s="27">
        <f>AVERAGEIFS($BA$36:$BA$173,$C$36:$C$173,"=2", $B$36:$B$173,"OFICIAL")</f>
        <v>10</v>
      </c>
      <c r="X195" s="27">
        <f>AVERAGEIFS($AZ$36:$AZ$173,$C$36:$C$173,"=2", $B$36:$B$173,"NO OFICIAL")</f>
        <v>51.18181818181818</v>
      </c>
      <c r="Y195" s="27">
        <f>AVERAGEIFS($BA$36:$BA$173,$C$36:$C$173,"=2", $B$36:$B$173,"NO OFICIAL")</f>
        <v>9.045454545454545</v>
      </c>
      <c r="Z195" s="27">
        <f>AVERAGEIFS($BL$36:$BL$173,$C$36:$C$173,"=2", $B$36:$B$173,"OFICIAL")</f>
        <v>48.5</v>
      </c>
      <c r="AA195" s="27">
        <f>AVERAGEIFS($BN$36:$BN$173,$C$36:$C$173,"=2", $B$36:$B$173,"OFICIAL")</f>
        <v>10</v>
      </c>
      <c r="AB195" s="27">
        <f>AVERAGEIFS($BL$36:$BL$173,$C$36:$C$173,"=2", $B$36:$B$173,"NO OFICIAL")</f>
        <v>48.65</v>
      </c>
      <c r="AC195" s="27">
        <f>AVERAGEIFS($BN$36:$BN$173,$C$36:$C$173,"=2", $B$36:$B$173,"NO OFICIAL")</f>
        <v>9.35</v>
      </c>
      <c r="AD195" s="27">
        <f>AVERAGEIFS($BZ$36:$BZ$173,$C$36:$C$173,"=2", $B$36:$B$173,"OFICIAL")</f>
        <v>48.5</v>
      </c>
      <c r="AE195" s="27">
        <f>AVERAGEIFS($CB$36:$CB$173,$C$36:$C$173,"=2", $B$36:$B$173,"OFICIAL")</f>
        <v>10.25</v>
      </c>
      <c r="AF195" s="27">
        <f>AVERAGEIFS($BZ$36:$BZ$173,$C$36:$C$173,"=2", $B$36:$B$173,"NO OFICIAL")</f>
        <v>51.571428571428569</v>
      </c>
      <c r="AG195" s="27">
        <f>AVERAGEIFS($CB$36:$CB$173,$C$36:$C$173,"=2", $B$36:$B$173,"NO OFICIAL")</f>
        <v>9.8571428571428577</v>
      </c>
      <c r="AH195" s="27">
        <f>AVERAGEIFS($CN$36:$CN$173,$C$36:$C$173,"=2", $B$36:$B$173,"OFICIAL")</f>
        <v>49</v>
      </c>
      <c r="AI195" s="27">
        <f>AVERAGEIFS($CP$36:$CP$173,$C$36:$C$173,"=2", $B$36:$B$173,"OFICIAL")</f>
        <v>10</v>
      </c>
      <c r="AJ195" s="27">
        <f>AVERAGEIFS($CN$36:$CN$173,$C$36:$C$173,"=2", $B$36:$B$173,"NO OFICIAL")</f>
        <v>51.954545454545453</v>
      </c>
      <c r="AK195" s="27">
        <f>AVERAGEIFS($CP$36:$CP$173,$C$36:$C$173,"=2", $B$36:$B$173,"NO OFICIAL")</f>
        <v>9.2727272727272734</v>
      </c>
      <c r="AL195" s="27">
        <v>49.75</v>
      </c>
      <c r="AM195" s="27">
        <v>10.25</v>
      </c>
      <c r="AN195" s="27">
        <v>51.95</v>
      </c>
      <c r="AO195" s="27">
        <v>10.199999999999999</v>
      </c>
      <c r="AP195" s="32"/>
      <c r="AQ195" s="32"/>
      <c r="AR195" s="32"/>
      <c r="AS195" s="32"/>
      <c r="AT195" s="32"/>
      <c r="AU195" s="32"/>
      <c r="AV195" s="32"/>
      <c r="AW195" s="32"/>
      <c r="AX195" s="32"/>
      <c r="AY195" s="32"/>
    </row>
    <row r="196" spans="5:61" x14ac:dyDescent="0.2">
      <c r="E196" s="27" t="s">
        <v>142</v>
      </c>
      <c r="F196" s="27">
        <f>AVERAGEIFS(D36:D173,$C$36:$C$173,"=3", $B$36:$B$173,"OFICIAL")</f>
        <v>50.4</v>
      </c>
      <c r="G196" s="27">
        <f>AVERAGEIFS(E36:E173,$C$36:$C$173,"=3", $B$36:$B$173,"OFICIAL")</f>
        <v>8.8000000000000007</v>
      </c>
      <c r="H196" s="27">
        <f>AVERAGEIFS(D36:D173,$C$36:$C$173,"=3", $B$36:$B$173,"NO OFICIAL")</f>
        <v>52.846153846153847</v>
      </c>
      <c r="I196" s="27">
        <f>AVERAGEIFS(E36:E173,$C$36:$C$173,"=3", $B$36:$B$173,"NO OFICIAL")</f>
        <v>8.6923076923076916</v>
      </c>
      <c r="J196" s="27">
        <f>AVERAGEIFS($P$36:$P$173,$C$36:$C$173,"=3", $B$36:$B$173,"OFICIAL")</f>
        <v>51</v>
      </c>
      <c r="K196" s="27">
        <f>AVERAGEIFS($Q$36:$Q$173,$C$36:$C$173,"=3", $B$36:$B$173,"OFICIAL")</f>
        <v>9.4</v>
      </c>
      <c r="L196" s="27">
        <f>AVERAGEIFS($P$36:$P$173,$C$36:$C$173,"=3", $B$36:$B$173,"NO OFICIAL")</f>
        <v>53</v>
      </c>
      <c r="M196" s="27">
        <f>AVERAGEIFS($Q$36:$Q$173,$C$36:$C$173,"=3", $B$36:$B$173,"NO OFICIAL")</f>
        <v>9.5714285714285712</v>
      </c>
      <c r="N196" s="27">
        <f>AVERAGEIFS($AB$36:$AB$173,$C$36:$C$173,"=3", $B$36:$B$173,"OFICIAL")</f>
        <v>50</v>
      </c>
      <c r="O196" s="27">
        <f>AVERAGEIFS($AC$36:$AC$173,$C$36:$C$173,"=3", $B$36:$B$173,"OFICIAL")</f>
        <v>10</v>
      </c>
      <c r="P196" s="27">
        <f>AVERAGEIFS($AB$36:$AB$173,$C$36:$C$173,"=3", $B$36:$B$173,"NO OFICIAL")</f>
        <v>51.5</v>
      </c>
      <c r="Q196" s="27">
        <f>AVERAGEIFS($AC$36:$AC$173,$C$36:$C$173,"=3", $B$36:$B$173,"NO OFICIAL")</f>
        <v>9.7857142857142865</v>
      </c>
      <c r="R196" s="27">
        <f>AVERAGEIFS($AN$36:$AN$173,$C$36:$C$173,"=3", $B$36:$B$173,"OFICIAL")</f>
        <v>47.2</v>
      </c>
      <c r="S196" s="27">
        <f>AVERAGEIFS($AO$36:$AO$173,$C$36:$C$173,"=3", $B$36:$B$173,"OFICIAL")</f>
        <v>10</v>
      </c>
      <c r="T196" s="27">
        <f>AVERAGEIFS($AN$36:$AN$173,$C$36:$C$173,"=3", $B$36:$B$173,"NO OFICIAL")</f>
        <v>49.214285714285715</v>
      </c>
      <c r="U196" s="27">
        <f>AVERAGEIFS($AO$36:$AO$173,$C$36:$C$173,"=3", $B$36:$B$173,"NO OFICIAL")</f>
        <v>10.357142857142858</v>
      </c>
      <c r="V196" s="27">
        <f>AVERAGEIFS($AZ$36:$AZ$173,$C$36:$C$173,"=3", $B$36:$B$173,"OFICIAL")</f>
        <v>49.8</v>
      </c>
      <c r="W196" s="27">
        <f>AVERAGEIFS($BA$36:$BA$173,$C$36:$C$173,"=3", $B$36:$B$173,"OFICIAL")</f>
        <v>10</v>
      </c>
      <c r="X196" s="27">
        <f>AVERAGEIFS($AZ$36:$AZ$173,$C$36:$C$173,"=3", $B$36:$B$173,"NO OFICIAL")</f>
        <v>52.2</v>
      </c>
      <c r="Y196" s="27">
        <f>AVERAGEIFS($BA$36:$BA$173,$C$36:$C$173,"=3", $B$36:$B$173,"NO OFICIAL")</f>
        <v>10.333333333333334</v>
      </c>
      <c r="Z196" s="27">
        <f>AVERAGEIFS($BL$36:$BL$173,$C$36:$C$173,"=3", $B$36:$B$173,"OFICIAL")</f>
        <v>47.6</v>
      </c>
      <c r="AA196" s="27">
        <f>AVERAGEIFS($BN$36:$BN$173,$C$36:$C$173,"=3", $B$36:$B$173,"OFICIAL")</f>
        <v>10</v>
      </c>
      <c r="AB196" s="27">
        <f>AVERAGEIFS($BL$36:$BL$173,$C$36:$C$173,"=3", $B$36:$B$173,"NO OFICIAL")</f>
        <v>50.866666666666667</v>
      </c>
      <c r="AC196" s="27">
        <f>AVERAGEIFS($BN$36:$BN$173,$C$36:$C$173,"=3", $B$36:$B$173,"NO OFICIAL")</f>
        <v>10.266666666666667</v>
      </c>
      <c r="AD196" s="27">
        <f>AVERAGEIFS($BZ$36:$BZ$173,$C$36:$C$173,"=3", $B$36:$B$173,"OFICIAL")</f>
        <v>49.333333333333336</v>
      </c>
      <c r="AE196" s="27">
        <f>AVERAGEIFS($CB$36:$CB$173,$C$36:$C$173,"=3", $B$36:$B$173,"OFICIAL")</f>
        <v>10</v>
      </c>
      <c r="AF196" s="27">
        <f>AVERAGEIFS($BZ$36:$BZ$173,$C$36:$C$173,"=3", $B$36:$B$173,"NO OFICIAL")</f>
        <v>52.8125</v>
      </c>
      <c r="AG196" s="27">
        <f>AVERAGEIFS($CB$36:$CB$173,$C$36:$C$173,"=3", $B$36:$B$173,"NO OFICIAL")</f>
        <v>10.0625</v>
      </c>
      <c r="AH196" s="27">
        <f>AVERAGEIFS($CN$36:$CN$173,$C$36:$C$173,"=3", $B$36:$B$173,"OFICIAL")</f>
        <v>49.666666666666664</v>
      </c>
      <c r="AI196" s="27">
        <f>AVERAGEIFS($CP$36:$CP$173,$C$36:$C$173,"=3", $B$36:$B$173,"OFICIAL")</f>
        <v>10</v>
      </c>
      <c r="AJ196" s="27">
        <f>AVERAGEIFS($CN$36:$CN$173,$C$36:$C$173,"=3", $B$36:$B$173,"NO OFICIAL")</f>
        <v>52.0625</v>
      </c>
      <c r="AK196" s="27">
        <f>AVERAGEIFS($CP$36:$CP$173,$C$36:$C$173,"=3", $B$36:$B$173,"NO OFICIAL")</f>
        <v>10.125</v>
      </c>
      <c r="AL196" s="27">
        <v>49.5</v>
      </c>
      <c r="AM196" s="27">
        <v>10.5</v>
      </c>
      <c r="AN196" s="27">
        <v>51.8125</v>
      </c>
      <c r="AO196" s="27">
        <v>9.6875</v>
      </c>
      <c r="AP196" s="32"/>
      <c r="AQ196" s="32"/>
      <c r="AR196" s="32"/>
      <c r="AS196" s="32"/>
      <c r="AT196" s="32"/>
      <c r="AU196" s="32"/>
      <c r="AV196" s="32"/>
      <c r="AW196" s="32"/>
      <c r="AX196" s="32"/>
      <c r="AY196" s="32"/>
    </row>
    <row r="197" spans="5:61" x14ac:dyDescent="0.2">
      <c r="E197" s="27" t="s">
        <v>143</v>
      </c>
      <c r="F197" s="27">
        <f>AVERAGEIFS(D36:D173,$C$36:$C$173,"=4", $B$36:$B$173,"OFICIAL")</f>
        <v>47.166666666666664</v>
      </c>
      <c r="G197" s="27">
        <f>AVERAGEIFS(E36:E173,$C$36:$C$173,"=4", $B$36:$B$173,"OFICIAL")</f>
        <v>8.5</v>
      </c>
      <c r="H197" s="27">
        <f>AVERAGEIFS(D36:D173,$C$36:$C$173,"=4", $B$36:$B$173,"NO OFICIAL")</f>
        <v>48.875</v>
      </c>
      <c r="I197" s="27">
        <f>AVERAGEIFS(E36:E173,$C$36:$C$173,"=4", $B$36:$B$173,"NO OFICIAL")</f>
        <v>7.625</v>
      </c>
      <c r="J197" s="27">
        <f>AVERAGEIFS($P$36:$P$173,$C$36:$C$173,"=4", $B$36:$B$173,"OFICIAL")</f>
        <v>47.5</v>
      </c>
      <c r="K197" s="27">
        <f>AVERAGEIFS($Q$36:$Q$173,$C$36:$C$173,"=4", $B$36:$B$173,"OFICIAL")</f>
        <v>9.6666666666666661</v>
      </c>
      <c r="L197" s="27">
        <f>AVERAGEIFS($P$36:$P$173,$C$36:$C$173,"=4", $B$36:$B$173,"NO OFICIAL")</f>
        <v>52.111111111111114</v>
      </c>
      <c r="M197" s="27">
        <f>AVERAGEIFS($Q$36:$Q$173,$C$36:$C$173,"=4", $B$36:$B$173,"NO OFICIAL")</f>
        <v>7.666666666666667</v>
      </c>
      <c r="N197" s="27">
        <f>AVERAGEIFS($AB$36:$AB$173,$C$36:$C$173,"=4", $B$36:$B$173,"OFICIAL")</f>
        <v>45.166666666666664</v>
      </c>
      <c r="O197" s="27">
        <f>AVERAGEIFS($AC$36:$AC$173,$C$36:$C$173,"=4", $B$36:$B$173,"OFICIAL")</f>
        <v>10</v>
      </c>
      <c r="P197" s="27">
        <f>AVERAGEIFS($AB$36:$AB$173,$C$36:$C$173,"=4", $B$36:$B$173,"NO OFICIAL")</f>
        <v>49.777777777777779</v>
      </c>
      <c r="Q197" s="27">
        <f>AVERAGEIFS($AC$36:$AC$173,$C$36:$C$173,"=4", $B$36:$B$173,"NO OFICIAL")</f>
        <v>8.1111111111111107</v>
      </c>
      <c r="R197" s="27">
        <f>AVERAGEIFS($AN$36:$AN$173,$C$36:$C$173,"=4", $B$36:$B$173,"OFICIAL")</f>
        <v>43</v>
      </c>
      <c r="S197" s="27">
        <f>AVERAGEIFS($AO$36:$AO$173,$C$36:$C$173,"=4", $B$36:$B$173,"OFICIAL")</f>
        <v>10.666666666666666</v>
      </c>
      <c r="T197" s="27">
        <f>AVERAGEIFS($AN$36:$AN$173,$C$36:$C$173,"=4", $B$36:$B$173,"NO OFICIAL")</f>
        <v>47.875</v>
      </c>
      <c r="U197" s="27">
        <f>AVERAGEIFS($AO$36:$AO$173,$C$36:$C$173,"=4", $B$36:$B$173,"NO OFICIAL")</f>
        <v>10.125</v>
      </c>
      <c r="V197" s="27">
        <f>AVERAGEIFS($AZ$36:$AZ$173,$C$36:$C$173,"=4", $B$36:$B$173,"OFICIAL")</f>
        <v>45.333333333333336</v>
      </c>
      <c r="W197" s="27">
        <f>AVERAGEIFS($BA$36:$BA$173,$C$36:$C$173,"=4", $B$36:$B$173,"OFICIAL")</f>
        <v>9</v>
      </c>
      <c r="X197" s="27">
        <f>AVERAGEIFS($AZ$36:$AZ$173,$C$36:$C$173,"=4", $B$36:$B$173,"NO OFICIAL")</f>
        <v>47.857142857142854</v>
      </c>
      <c r="Y197" s="27">
        <f>AVERAGEIFS($BA$36:$BA$173,$C$36:$C$173,"=4", $B$36:$B$173,"NO OFICIAL")</f>
        <v>10.142857142857142</v>
      </c>
      <c r="Z197" s="27">
        <f>AVERAGEIFS($BL$36:$BL$173,$C$36:$C$173,"=4", $B$36:$B$173,"OFICIAL")</f>
        <v>44</v>
      </c>
      <c r="AA197" s="27">
        <f>AVERAGEIFS($BN$36:$BN$173,$C$36:$C$173,"=4", $B$36:$B$173,"OFICIAL")</f>
        <v>9.8333333333333339</v>
      </c>
      <c r="AB197" s="27">
        <f>AVERAGEIFS($BL$36:$BL$173,$C$36:$C$173,"=4", $B$36:$B$173,"NO OFICIAL")</f>
        <v>48.625</v>
      </c>
      <c r="AC197" s="27">
        <f>AVERAGEIFS($BN$36:$BN$173,$C$36:$C$173,"=4", $B$36:$B$173,"NO OFICIAL")</f>
        <v>9.5</v>
      </c>
      <c r="AD197" s="27">
        <f>AVERAGEIFS($BZ$36:$BZ$173,$C$36:$C$173,"=4", $B$36:$B$173,"OFICIAL")</f>
        <v>45</v>
      </c>
      <c r="AE197" s="27">
        <f>AVERAGEIFS($CB$36:$CB$173,$C$36:$C$173,"=4", $B$36:$B$173,"OFICIAL")</f>
        <v>9.8333333333333339</v>
      </c>
      <c r="AF197" s="27">
        <f>AVERAGEIFS($BZ$36:$BZ$173,$C$36:$C$173,"=4", $B$36:$B$173,"NO OFICIAL")</f>
        <v>48.875</v>
      </c>
      <c r="AG197" s="27">
        <f>AVERAGEIFS($CB$36:$CB$173,$C$36:$C$173,"=4", $B$36:$B$173,"NO OFICIAL")</f>
        <v>9.875</v>
      </c>
      <c r="AH197" s="27">
        <f>AVERAGEIFS($CN$36:$CN$173,$C$36:$C$173,"=4", $B$36:$B$173,"OFICIAL")</f>
        <v>45.5</v>
      </c>
      <c r="AI197" s="27">
        <f>AVERAGEIFS($CP$36:$CP$173,$C$36:$C$173,"=4", $B$36:$B$173,"OFICIAL")</f>
        <v>10</v>
      </c>
      <c r="AJ197" s="27">
        <f>AVERAGEIFS($CN$36:$CN$173,$C$36:$C$173,"=4", $B$36:$B$173,"NO OFICIAL")</f>
        <v>47.555555555555557</v>
      </c>
      <c r="AK197" s="27">
        <f>AVERAGEIFS($CP$36:$CP$173,$C$36:$C$173,"=4", $B$36:$B$173,"NO OFICIAL")</f>
        <v>9.3333333333333339</v>
      </c>
      <c r="AL197" s="27">
        <v>45</v>
      </c>
      <c r="AM197" s="27">
        <v>10</v>
      </c>
      <c r="AN197" s="27">
        <v>50.714285714285715</v>
      </c>
      <c r="AO197" s="27">
        <v>10</v>
      </c>
      <c r="AP197" s="32"/>
      <c r="AQ197" s="32"/>
      <c r="AR197" s="32"/>
      <c r="AS197" s="32"/>
      <c r="AT197" s="32"/>
      <c r="AU197" s="32"/>
      <c r="AV197" s="32"/>
      <c r="AW197" s="32"/>
      <c r="AX197" s="32"/>
      <c r="AY197" s="32"/>
    </row>
    <row r="198" spans="5:61" x14ac:dyDescent="0.2">
      <c r="E198" s="27" t="s">
        <v>144</v>
      </c>
      <c r="F198" s="27">
        <f>AVERAGEIFS(D36:D173,$C$36:$C$173,"=5", $B$36:$B$173,"OFICIAL")</f>
        <v>52</v>
      </c>
      <c r="G198" s="27">
        <f>AVERAGEIFS(E36:E173,$C$36:$C$173,"=5", $B$36:$B$173,"OFICIAL")</f>
        <v>8.6666666666666661</v>
      </c>
      <c r="H198" s="27">
        <f>AVERAGEIFS(D36:D173,$C$36:$C$173,"=5", $B$36:$B$173,"NO OFICIAL")</f>
        <v>54.714285714285715</v>
      </c>
      <c r="I198" s="27">
        <f>AVERAGEIFS(E36:E173,$C$36:$C$173,"=5", $B$36:$B$173,"NO OFICIAL")</f>
        <v>8.6428571428571423</v>
      </c>
      <c r="J198" s="27">
        <f>AVERAGEIFS($P$36:$P$173,$C$36:$C$173,"=5", $B$36:$B$173,"OFICIAL")</f>
        <v>52.333333333333336</v>
      </c>
      <c r="K198" s="27">
        <f>AVERAGEIFS($Q$36:$Q$173,$C$36:$C$173,"=5", $B$36:$B$173,"OFICIAL")</f>
        <v>9.3333333333333339</v>
      </c>
      <c r="L198" s="27">
        <f>AVERAGEIFS($P$36:$P$173,$C$36:$C$173,"=5", $B$36:$B$173,"NO OFICIAL")</f>
        <v>54.5</v>
      </c>
      <c r="M198" s="27">
        <f>AVERAGEIFS($Q$36:$Q$173,$C$36:$C$173,"=5", $B$36:$B$173,"NO OFICIAL")</f>
        <v>8.7857142857142865</v>
      </c>
      <c r="N198" s="27">
        <f>AVERAGEIFS($AB$36:$AB$173,$C$36:$C$173,"=5", $B$36:$B$173,"OFICIAL")</f>
        <v>50.333333333333336</v>
      </c>
      <c r="O198" s="27">
        <f>AVERAGEIFS($AC$36:$AC$173,$C$36:$C$173,"=5", $B$36:$B$173,"OFICIAL")</f>
        <v>9.6666666666666661</v>
      </c>
      <c r="P198" s="27">
        <f>AVERAGEIFS($AB$36:$AB$173,$C$36:$C$173,"=5", $B$36:$B$173,"NO OFICIAL")</f>
        <v>53</v>
      </c>
      <c r="Q198" s="27">
        <f>AVERAGEIFS($AC$36:$AC$173,$C$36:$C$173,"=5", $B$36:$B$173,"NO OFICIAL")</f>
        <v>9.2666666666666675</v>
      </c>
      <c r="R198" s="27">
        <f>AVERAGEIFS($AN$36:$AN$173,$C$36:$C$173,"=5", $B$36:$B$173,"OFICIAL")</f>
        <v>50</v>
      </c>
      <c r="S198" s="27">
        <f>AVERAGEIFS($AO$36:$AO$173,$C$36:$C$173,"=5", $B$36:$B$173,"OFICIAL")</f>
        <v>9.3333333333333339</v>
      </c>
      <c r="T198" s="27">
        <f>AVERAGEIFS($AN$36:$AN$173,$C$36:$C$173,"=5", $B$36:$B$173,"NO OFICIAL")</f>
        <v>50.5</v>
      </c>
      <c r="U198" s="27">
        <f>AVERAGEIFS($AO$36:$AO$173,$C$36:$C$173,"=5", $B$36:$B$173,"NO OFICIAL")</f>
        <v>10.3125</v>
      </c>
      <c r="V198" s="27">
        <f>AVERAGEIFS($AZ$36:$AZ$173,$C$36:$C$173,"=5", $B$36:$B$173,"OFICIAL")</f>
        <v>52</v>
      </c>
      <c r="W198" s="27">
        <f>AVERAGEIFS($BA$36:$BA$173,$C$36:$C$173,"=5", $B$36:$B$173,"OFICIAL")</f>
        <v>9.6666666666666661</v>
      </c>
      <c r="X198" s="27">
        <f>AVERAGEIFS($AZ$36:$AZ$173,$C$36:$C$173,"=5", $B$36:$B$173,"NO OFICIAL")</f>
        <v>54.133333333333333</v>
      </c>
      <c r="Y198" s="27">
        <f>AVERAGEIFS($BA$36:$BA$173,$C$36:$C$173,"=5", $B$36:$B$173,"NO OFICIAL")</f>
        <v>8.8666666666666671</v>
      </c>
      <c r="Z198" s="27">
        <f>AVERAGEIFS($BL$36:$BL$173,$C$36:$C$173,"=5", $B$36:$B$173,"OFICIAL")</f>
        <v>50.333333333333336</v>
      </c>
      <c r="AA198" s="27">
        <f>AVERAGEIFS($BN$36:$BN$173,$C$36:$C$173,"=5", $B$36:$B$173,"OFICIAL")</f>
        <v>10.333333333333334</v>
      </c>
      <c r="AB198" s="27">
        <f>AVERAGEIFS($BL$36:$BL$173,$C$36:$C$173,"=5", $B$36:$B$173,"NO OFICIAL")</f>
        <v>52.466666666666669</v>
      </c>
      <c r="AC198" s="27">
        <f>AVERAGEIFS($BN$36:$BN$173,$C$36:$C$173,"=5", $B$36:$B$173,"NO OFICIAL")</f>
        <v>10.199999999999999</v>
      </c>
      <c r="AD198" s="27">
        <f>AVERAGEIFS($BZ$36:$BZ$173,$C$36:$C$173,"=5", $B$36:$B$173,"OFICIAL")</f>
        <v>52.333333333333336</v>
      </c>
      <c r="AE198" s="27">
        <f>AVERAGEIFS($CB$36:$CB$173,$C$36:$C$173,"=5", $B$36:$B$173,"OFICIAL")</f>
        <v>9.6666666666666661</v>
      </c>
      <c r="AF198" s="27">
        <f>AVERAGEIFS($BZ$36:$BZ$173,$C$36:$C$173,"=5", $B$36:$B$173,"NO OFICIAL")</f>
        <v>53.571428571428569</v>
      </c>
      <c r="AG198" s="27">
        <f>AVERAGEIFS($CB$36:$CB$173,$C$36:$C$173,"=5", $B$36:$B$173,"NO OFICIAL")</f>
        <v>9.5714285714285712</v>
      </c>
      <c r="AH198" s="27">
        <f>AVERAGEIFS($CN$36:$CN$173,$C$36:$C$173,"=5", $B$36:$B$173,"OFICIAL")</f>
        <v>51.333333333333336</v>
      </c>
      <c r="AI198" s="27">
        <f>AVERAGEIFS($CP$36:$CP$173,$C$36:$C$173,"=5", $B$36:$B$173,"OFICIAL")</f>
        <v>9.6666666666666661</v>
      </c>
      <c r="AJ198" s="27">
        <f>AVERAGEIFS($CN$36:$CN$173,$C$36:$C$173,"=5", $B$36:$B$173,"NO OFICIAL")</f>
        <v>54.142857142857146</v>
      </c>
      <c r="AK198" s="27">
        <f>AVERAGEIFS($CP$36:$CP$173,$C$36:$C$173,"=5", $B$36:$B$173,"NO OFICIAL")</f>
        <v>9.7142857142857135</v>
      </c>
      <c r="AL198" s="27">
        <v>51.333333333333336</v>
      </c>
      <c r="AM198" s="27">
        <v>10.666666666666666</v>
      </c>
      <c r="AN198" s="27">
        <v>52.333333333333336</v>
      </c>
      <c r="AO198" s="27">
        <v>9.4666666666666668</v>
      </c>
      <c r="AP198" s="32"/>
      <c r="AQ198" s="32"/>
      <c r="AR198" s="32"/>
      <c r="AS198" s="32"/>
      <c r="AT198" s="32"/>
      <c r="AU198" s="32"/>
      <c r="AV198" s="32"/>
      <c r="AW198" s="32"/>
      <c r="AX198" s="32"/>
      <c r="AY198" s="32"/>
    </row>
    <row r="199" spans="5:61" x14ac:dyDescent="0.2">
      <c r="E199" s="27" t="s">
        <v>145</v>
      </c>
      <c r="F199" s="27">
        <f>AVERAGEIFS(D36:D173,$C$36:$C$173,"=6", $B$36:$B$173,"OFICIAL")</f>
        <v>50.5</v>
      </c>
      <c r="G199" s="27">
        <f>AVERAGEIFS(E36:E173,$C$36:$C$173,"=6", $B$36:$B$173,"OFICIAL")</f>
        <v>8.5</v>
      </c>
      <c r="H199" s="27">
        <f>AVERAGEIFS(D36:D173,$C$36:$C$173,"=6", $B$36:$B$173,"NO OFICIAL")</f>
        <v>52.636363636363633</v>
      </c>
      <c r="I199" s="27">
        <f>AVERAGEIFS(E36:E173,$C$36:$C$173,"=6", $B$36:$B$173,"NO OFICIAL")</f>
        <v>7.1818181818181817</v>
      </c>
      <c r="J199" s="27">
        <f>AVERAGEIFS($P$36:$P$173,$C$36:$C$173,"=6", $B$36:$B$173,"OFICIAL")</f>
        <v>50</v>
      </c>
      <c r="K199" s="27">
        <f>AVERAGEIFS($Q$36:$Q$173,$C$36:$C$173,"=6", $B$36:$B$173,"OFICIAL")</f>
        <v>9.5</v>
      </c>
      <c r="L199" s="27">
        <f>AVERAGEIFS($P$36:$P$173,$C$36:$C$173,"=6", $B$36:$B$173,"NO OFICIAL")</f>
        <v>50.81818181818182</v>
      </c>
      <c r="M199" s="27">
        <f>AVERAGEIFS($Q$36:$Q$173,$C$36:$C$173,"=6", $B$36:$B$173,"NO OFICIAL")</f>
        <v>9.545454545454545</v>
      </c>
      <c r="N199" s="27">
        <f>AVERAGEIFS($AB$36:$AB$173,$C$36:$C$173,"=6", $B$36:$B$173,"OFICIAL")</f>
        <v>47.75</v>
      </c>
      <c r="O199" s="27">
        <f>AVERAGEIFS($AC$36:$AC$173,$C$36:$C$173,"=6", $B$36:$B$173,"OFICIAL")</f>
        <v>10.5</v>
      </c>
      <c r="P199" s="27">
        <f>AVERAGEIFS($AB$36:$AB$173,$C$36:$C$173,"=6", $B$36:$B$173,"NO OFICIAL")</f>
        <v>51.7</v>
      </c>
      <c r="Q199" s="27">
        <f>AVERAGEIFS($AC$36:$AC$173,$C$36:$C$173,"=6", $B$36:$B$173,"NO OFICIAL")</f>
        <v>10.3</v>
      </c>
      <c r="R199" s="27">
        <f>AVERAGEIFS($AN$36:$AN$173,$C$36:$C$173,"=6", $B$36:$B$173,"OFICIAL")</f>
        <v>46.5</v>
      </c>
      <c r="S199" s="27">
        <f>AVERAGEIFS($AO$36:$AO$173,$C$36:$C$173,"=6", $B$36:$B$173,"OFICIAL")</f>
        <v>10.25</v>
      </c>
      <c r="T199" s="27">
        <f>AVERAGEIFS($AN$36:$AN$173,$C$36:$C$173,"=6", $B$36:$B$173,"NO OFICIAL")</f>
        <v>50.18181818181818</v>
      </c>
      <c r="U199" s="27">
        <f>AVERAGEIFS($AO$36:$AO$173,$C$36:$C$173,"=6", $B$36:$B$173,"NO OFICIAL")</f>
        <v>10</v>
      </c>
      <c r="V199" s="27">
        <f>AVERAGEIFS($AZ$36:$AZ$173,$C$36:$C$173,"=6", $B$36:$B$173,"OFICIAL")</f>
        <v>48.5</v>
      </c>
      <c r="W199" s="27">
        <f>AVERAGEIFS($BA$36:$BA$173,$C$36:$C$173,"=6", $B$36:$B$173,"OFICIAL")</f>
        <v>10</v>
      </c>
      <c r="X199" s="27">
        <f>AVERAGEIFS($AZ$36:$AZ$173,$C$36:$C$173,"=6", $B$36:$B$173,"NO OFICIAL")</f>
        <v>49.92307692307692</v>
      </c>
      <c r="Y199" s="27">
        <f>AVERAGEIFS($BA$36:$BA$173,$C$36:$C$173,"=6", $B$36:$B$173,"NO OFICIAL")</f>
        <v>9.1538461538461533</v>
      </c>
      <c r="Z199" s="27">
        <f>AVERAGEIFS($BL$36:$BL$173,$C$36:$C$173,"=6", $B$36:$B$173,"OFICIAL")</f>
        <v>46.5</v>
      </c>
      <c r="AA199" s="27">
        <f>AVERAGEIFS($BN$36:$BN$173,$C$36:$C$173,"=6", $B$36:$B$173,"OFICIAL")</f>
        <v>10.25</v>
      </c>
      <c r="AB199" s="27">
        <f>AVERAGEIFS($BL$36:$BL$173,$C$36:$C$173,"=6", $B$36:$B$173,"NO OFICIAL")</f>
        <v>49.692307692307693</v>
      </c>
      <c r="AC199" s="27">
        <f>AVERAGEIFS($BN$36:$BN$173,$C$36:$C$173,"=6", $B$36:$B$173,"NO OFICIAL")</f>
        <v>8.8461538461538467</v>
      </c>
      <c r="AD199" s="27">
        <f>AVERAGEIFS($BZ$36:$BZ$173,$C$36:$C$173,"=6", $B$36:$B$173,"OFICIAL")</f>
        <v>46.75</v>
      </c>
      <c r="AE199" s="27">
        <f>AVERAGEIFS($CB$36:$CB$173,$C$36:$C$173,"=6", $B$36:$B$173,"OFICIAL")</f>
        <v>10.25</v>
      </c>
      <c r="AF199" s="27">
        <f>AVERAGEIFS($BZ$36:$BZ$173,$C$36:$C$173,"=6", $B$36:$B$173,"NO OFICIAL")</f>
        <v>50.533333333333331</v>
      </c>
      <c r="AG199" s="27">
        <f>AVERAGEIFS($CB$36:$CB$173,$C$36:$C$173,"=6", $B$36:$B$173,"NO OFICIAL")</f>
        <v>10.933333333333334</v>
      </c>
      <c r="AH199" s="27">
        <f>AVERAGEIFS($CN$36:$CN$173,$C$36:$C$173,"=6", $B$36:$B$173,"OFICIAL")</f>
        <v>47.5</v>
      </c>
      <c r="AI199" s="27">
        <f>AVERAGEIFS($CP$36:$CP$173,$C$36:$C$173,"=6", $B$36:$B$173,"OFICIAL")</f>
        <v>9.75</v>
      </c>
      <c r="AJ199" s="27">
        <f>AVERAGEIFS($CN$36:$CN$173,$C$36:$C$173,"=6", $B$36:$B$173,"NO OFICIAL")</f>
        <v>52.0625</v>
      </c>
      <c r="AK199" s="27">
        <f>AVERAGEIFS($CP$36:$CP$173,$C$36:$C$173,"=6", $B$36:$B$173,"NO OFICIAL")</f>
        <v>8.25</v>
      </c>
      <c r="AL199" s="27">
        <v>48</v>
      </c>
      <c r="AM199" s="27">
        <v>10.25</v>
      </c>
      <c r="AN199" s="27">
        <v>51.357142857142854</v>
      </c>
      <c r="AO199" s="27">
        <v>10.142857142857142</v>
      </c>
      <c r="AP199" s="32"/>
      <c r="AQ199" s="32"/>
      <c r="AR199" s="32"/>
      <c r="AS199" s="32"/>
      <c r="AT199" s="32"/>
      <c r="AU199" s="32"/>
      <c r="AV199" s="32"/>
      <c r="AW199" s="32"/>
      <c r="AX199" s="32"/>
      <c r="AY199" s="32"/>
    </row>
    <row r="200" spans="5:61" x14ac:dyDescent="0.2">
      <c r="E200" s="32"/>
      <c r="F200" s="32"/>
      <c r="G200" s="32"/>
      <c r="H200" s="32"/>
      <c r="I200" s="32"/>
      <c r="J200" s="32"/>
      <c r="K200" s="32"/>
      <c r="L200" s="32"/>
      <c r="M200" s="32"/>
      <c r="N200" s="32"/>
      <c r="O200" s="32"/>
      <c r="P200" s="32"/>
      <c r="Q200" s="32"/>
      <c r="R200" s="32"/>
      <c r="S200" s="32"/>
      <c r="T200" s="32"/>
      <c r="U200" s="32"/>
      <c r="V200" s="32"/>
      <c r="W200" s="32"/>
      <c r="X200" s="32"/>
      <c r="Y200" s="32"/>
      <c r="Z200" s="32"/>
      <c r="AA200" s="32"/>
      <c r="AB200" s="32"/>
      <c r="AC200" s="32"/>
      <c r="AD200" s="32"/>
      <c r="AE200" s="32"/>
      <c r="AF200" s="32"/>
      <c r="AG200" s="32"/>
      <c r="AH200" s="32"/>
      <c r="AI200" s="32"/>
      <c r="AJ200" s="32"/>
      <c r="AK200" s="32"/>
      <c r="AL200" s="32"/>
      <c r="AM200" s="32"/>
      <c r="AN200" s="32"/>
      <c r="AO200" s="32"/>
      <c r="AP200" s="32"/>
      <c r="AQ200" s="32"/>
      <c r="AR200" s="32"/>
      <c r="AS200" s="32"/>
      <c r="AT200" s="32"/>
      <c r="AU200" s="32"/>
      <c r="AV200" s="32"/>
      <c r="AW200" s="32"/>
      <c r="AX200" s="32"/>
      <c r="AY200" s="32"/>
      <c r="AZ200" s="32"/>
      <c r="BA200" s="32"/>
      <c r="BB200" s="32"/>
      <c r="BC200" s="32"/>
      <c r="BD200" s="32"/>
      <c r="BE200" s="32"/>
      <c r="BF200" s="32"/>
      <c r="BG200" s="32"/>
      <c r="BH200" s="32"/>
      <c r="BI200" s="32"/>
    </row>
    <row r="201" spans="5:61" x14ac:dyDescent="0.2">
      <c r="F201" s="1054" t="s">
        <v>149</v>
      </c>
      <c r="G201" s="1054"/>
      <c r="H201" s="1054"/>
      <c r="I201" s="1054"/>
      <c r="J201" s="1054"/>
      <c r="K201" s="1054"/>
      <c r="T201" s="29" t="s">
        <v>148</v>
      </c>
      <c r="U201" s="29"/>
      <c r="V201" s="29"/>
      <c r="W201" s="29"/>
      <c r="X201" s="29"/>
      <c r="Y201" s="29"/>
      <c r="Z201" s="73"/>
      <c r="AA201" s="73"/>
      <c r="AB201" s="73"/>
      <c r="AC201" s="73"/>
      <c r="AD201" s="73"/>
      <c r="AE201" s="73"/>
      <c r="AF201" s="73"/>
      <c r="AG201" s="73"/>
      <c r="AH201" s="73"/>
      <c r="AI201" s="73"/>
      <c r="AJ201" s="73"/>
      <c r="AK201" s="73"/>
      <c r="AL201" s="73"/>
      <c r="AM201" s="73"/>
      <c r="AN201" s="73"/>
    </row>
    <row r="202" spans="5:61" x14ac:dyDescent="0.2">
      <c r="F202" s="28"/>
      <c r="G202" s="28">
        <v>2016</v>
      </c>
      <c r="H202" s="29">
        <v>2017</v>
      </c>
      <c r="I202" s="28">
        <v>2018</v>
      </c>
      <c r="J202" s="28">
        <v>2019</v>
      </c>
      <c r="K202" s="28">
        <v>2020</v>
      </c>
      <c r="L202" s="28">
        <v>2021</v>
      </c>
      <c r="M202" s="29">
        <v>2022</v>
      </c>
      <c r="N202" s="29">
        <v>2023</v>
      </c>
      <c r="O202" s="29">
        <v>2024</v>
      </c>
      <c r="T202" s="28"/>
      <c r="U202" s="28">
        <v>2016</v>
      </c>
      <c r="V202" s="29">
        <v>2017</v>
      </c>
      <c r="W202" s="28">
        <v>2018</v>
      </c>
      <c r="X202" s="28">
        <v>2019</v>
      </c>
      <c r="Y202" s="29">
        <v>2020</v>
      </c>
      <c r="Z202" s="29">
        <v>2021</v>
      </c>
      <c r="AA202" s="29">
        <v>2022</v>
      </c>
      <c r="AB202" s="29">
        <v>2023</v>
      </c>
      <c r="AC202" s="29">
        <v>2024</v>
      </c>
      <c r="AD202" s="72"/>
      <c r="AE202" s="72"/>
      <c r="AF202" s="72"/>
      <c r="AG202" s="72"/>
      <c r="AH202" s="72"/>
      <c r="AI202" s="72"/>
      <c r="AJ202" s="72"/>
      <c r="AK202" s="72"/>
      <c r="AL202" s="72"/>
      <c r="AM202" s="72"/>
    </row>
    <row r="203" spans="5:61" x14ac:dyDescent="0.2">
      <c r="F203" s="27" t="s">
        <v>140</v>
      </c>
      <c r="G203" s="27">
        <v>50.53846153846154</v>
      </c>
      <c r="H203" s="27">
        <v>50.583333333333336</v>
      </c>
      <c r="I203" s="27">
        <v>49.07692307692308</v>
      </c>
      <c r="J203" s="27">
        <v>46.846153846153847</v>
      </c>
      <c r="K203" s="27">
        <v>50.153846153846153</v>
      </c>
      <c r="L203" s="27">
        <v>49.230769230769234</v>
      </c>
      <c r="M203" s="27">
        <v>49.846153846153847</v>
      </c>
      <c r="N203" s="27">
        <v>50.833333333333336</v>
      </c>
      <c r="O203" s="27">
        <v>50.53846153846154</v>
      </c>
      <c r="T203" s="27" t="s">
        <v>140</v>
      </c>
      <c r="U203" s="27">
        <v>50.75</v>
      </c>
      <c r="V203" s="27">
        <v>51.5</v>
      </c>
      <c r="W203" s="27">
        <v>48.25</v>
      </c>
      <c r="X203" s="27">
        <v>47.25</v>
      </c>
      <c r="Y203" s="71">
        <v>49.75</v>
      </c>
      <c r="Z203" s="27">
        <v>47.5</v>
      </c>
      <c r="AA203" s="27">
        <v>48.2</v>
      </c>
      <c r="AB203" s="27">
        <v>48.2</v>
      </c>
      <c r="AC203" s="27">
        <v>47.8</v>
      </c>
      <c r="AD203" s="32"/>
      <c r="AE203" s="32"/>
      <c r="AF203" s="32"/>
      <c r="AG203" s="32"/>
      <c r="AH203" s="32"/>
      <c r="AI203" s="32"/>
      <c r="AJ203" s="32"/>
      <c r="AK203" s="32"/>
      <c r="AL203" s="32"/>
      <c r="AM203" s="32"/>
    </row>
    <row r="204" spans="5:61" x14ac:dyDescent="0.2">
      <c r="F204" s="27" t="s">
        <v>141</v>
      </c>
      <c r="G204" s="27">
        <v>53</v>
      </c>
      <c r="H204" s="27">
        <v>52.588235294117645</v>
      </c>
      <c r="I204" s="27">
        <v>50.882352941176471</v>
      </c>
      <c r="J204" s="27">
        <v>49.833333333333336</v>
      </c>
      <c r="K204" s="27">
        <v>51.18181818181818</v>
      </c>
      <c r="L204" s="27">
        <v>48.65</v>
      </c>
      <c r="M204" s="27">
        <v>51.571428571428569</v>
      </c>
      <c r="N204" s="27">
        <v>51.954545454545453</v>
      </c>
      <c r="O204" s="27">
        <v>51.95</v>
      </c>
      <c r="T204" s="27" t="s">
        <v>141</v>
      </c>
      <c r="U204" s="27">
        <v>52</v>
      </c>
      <c r="V204" s="27">
        <v>51</v>
      </c>
      <c r="W204" s="27">
        <v>49</v>
      </c>
      <c r="X204" s="27">
        <v>48</v>
      </c>
      <c r="Y204" s="71">
        <v>50</v>
      </c>
      <c r="Z204" s="27">
        <v>48.5</v>
      </c>
      <c r="AA204" s="27">
        <v>48.5</v>
      </c>
      <c r="AB204" s="27">
        <v>49</v>
      </c>
      <c r="AC204" s="27">
        <v>49.75</v>
      </c>
      <c r="AD204" s="32"/>
      <c r="AE204" s="32"/>
      <c r="AF204" s="32"/>
      <c r="AG204" s="32"/>
      <c r="AH204" s="32"/>
      <c r="AI204" s="32"/>
      <c r="AJ204" s="32"/>
      <c r="AK204" s="32"/>
      <c r="AL204" s="32"/>
      <c r="AM204" s="32"/>
    </row>
    <row r="205" spans="5:61" x14ac:dyDescent="0.2">
      <c r="F205" s="27" t="s">
        <v>142</v>
      </c>
      <c r="G205" s="27">
        <v>52.846153846153847</v>
      </c>
      <c r="H205" s="27">
        <v>53</v>
      </c>
      <c r="I205" s="27">
        <v>51.5</v>
      </c>
      <c r="J205" s="27">
        <v>49.214285714285715</v>
      </c>
      <c r="K205" s="27">
        <v>52.2</v>
      </c>
      <c r="L205" s="27">
        <v>50.866666666666667</v>
      </c>
      <c r="M205" s="27">
        <v>52.8125</v>
      </c>
      <c r="N205" s="27">
        <v>52.0625</v>
      </c>
      <c r="O205" s="27">
        <v>51.8125</v>
      </c>
      <c r="T205" s="27" t="s">
        <v>142</v>
      </c>
      <c r="U205" s="27">
        <v>50.666666666666664</v>
      </c>
      <c r="V205" s="27">
        <v>50.666666666666664</v>
      </c>
      <c r="W205" s="27">
        <v>49.666666666666664</v>
      </c>
      <c r="X205" s="27">
        <v>46.333333333333336</v>
      </c>
      <c r="Y205" s="71">
        <v>49.25</v>
      </c>
      <c r="Z205" s="27">
        <v>47.6</v>
      </c>
      <c r="AA205" s="27">
        <v>49.333333333333336</v>
      </c>
      <c r="AB205" s="27">
        <v>49.666666666666664</v>
      </c>
      <c r="AC205" s="27">
        <v>49.5</v>
      </c>
      <c r="AD205" s="32"/>
      <c r="AE205" s="32"/>
      <c r="AF205" s="32"/>
      <c r="AG205" s="32"/>
      <c r="AH205" s="32"/>
      <c r="AI205" s="32"/>
      <c r="AJ205" s="32"/>
      <c r="AK205" s="32"/>
      <c r="AL205" s="32"/>
      <c r="AM205" s="32"/>
    </row>
    <row r="206" spans="5:61" x14ac:dyDescent="0.2">
      <c r="F206" s="27" t="s">
        <v>143</v>
      </c>
      <c r="G206" s="27">
        <v>48.875</v>
      </c>
      <c r="H206" s="27">
        <v>52.111111111111114</v>
      </c>
      <c r="I206" s="27">
        <v>49.777777777777779</v>
      </c>
      <c r="J206" s="27">
        <v>47.875</v>
      </c>
      <c r="K206" s="27">
        <v>47.857142857142854</v>
      </c>
      <c r="L206" s="27">
        <v>48.625</v>
      </c>
      <c r="M206" s="27">
        <v>48.875</v>
      </c>
      <c r="N206" s="27">
        <v>47.555555555555557</v>
      </c>
      <c r="O206" s="27">
        <v>50.714285714285715</v>
      </c>
      <c r="T206" s="27" t="s">
        <v>143</v>
      </c>
      <c r="U206" s="27">
        <v>47.166666666666664</v>
      </c>
      <c r="V206" s="27">
        <v>47.5</v>
      </c>
      <c r="W206" s="27">
        <v>45.166666666666664</v>
      </c>
      <c r="X206" s="27">
        <v>43</v>
      </c>
      <c r="Y206" s="71">
        <v>45.333333333333336</v>
      </c>
      <c r="Z206" s="27">
        <v>44</v>
      </c>
      <c r="AA206" s="27">
        <v>45</v>
      </c>
      <c r="AB206" s="27">
        <v>45.5</v>
      </c>
      <c r="AC206" s="27">
        <v>45</v>
      </c>
      <c r="AD206" s="32"/>
      <c r="AE206" s="32"/>
      <c r="AF206" s="32"/>
      <c r="AG206" s="32"/>
      <c r="AH206" s="32"/>
      <c r="AI206" s="32"/>
      <c r="AJ206" s="32"/>
      <c r="AK206" s="32"/>
      <c r="AL206" s="32"/>
      <c r="AM206" s="32"/>
    </row>
    <row r="207" spans="5:61" x14ac:dyDescent="0.2">
      <c r="F207" s="27" t="s">
        <v>144</v>
      </c>
      <c r="G207" s="27">
        <v>54.533333333333331</v>
      </c>
      <c r="H207" s="27">
        <v>54.666666666666664</v>
      </c>
      <c r="I207" s="27">
        <v>53.125</v>
      </c>
      <c r="J207" s="27">
        <v>50.764705882352942</v>
      </c>
      <c r="K207" s="27">
        <v>54.3125</v>
      </c>
      <c r="L207" s="27">
        <v>52.625</v>
      </c>
      <c r="M207" s="27">
        <v>53.8</v>
      </c>
      <c r="N207" s="27">
        <v>54.2</v>
      </c>
      <c r="O207" s="27">
        <v>52.333333333333336</v>
      </c>
      <c r="T207" s="27" t="s">
        <v>144</v>
      </c>
      <c r="U207" s="27">
        <v>52</v>
      </c>
      <c r="V207" s="27">
        <v>50</v>
      </c>
      <c r="W207" s="27">
        <v>48</v>
      </c>
      <c r="X207" s="27">
        <v>47.5</v>
      </c>
      <c r="Y207" s="71">
        <v>49.5</v>
      </c>
      <c r="Z207" s="27">
        <v>48</v>
      </c>
      <c r="AA207" s="27">
        <v>50</v>
      </c>
      <c r="AB207" s="27">
        <v>49.5</v>
      </c>
      <c r="AC207" s="27">
        <v>51.333333333333336</v>
      </c>
      <c r="AD207" s="32"/>
      <c r="AE207" s="32"/>
      <c r="AF207" s="32"/>
      <c r="AG207" s="32"/>
      <c r="AH207" s="32"/>
      <c r="AI207" s="32"/>
      <c r="AJ207" s="32"/>
      <c r="AK207" s="32"/>
      <c r="AL207" s="69"/>
      <c r="AM207" s="68"/>
      <c r="AN207" s="68"/>
    </row>
    <row r="208" spans="5:61" x14ac:dyDescent="0.2">
      <c r="F208" s="27" t="s">
        <v>145</v>
      </c>
      <c r="G208" s="27">
        <v>52.416666666666664</v>
      </c>
      <c r="H208" s="27">
        <v>50.75</v>
      </c>
      <c r="I208" s="27">
        <v>51.363636363636367</v>
      </c>
      <c r="J208" s="27">
        <v>49.833333333333336</v>
      </c>
      <c r="K208" s="27">
        <v>49.785714285714285</v>
      </c>
      <c r="L208" s="27">
        <v>49.428571428571431</v>
      </c>
      <c r="M208" s="27">
        <v>50.25</v>
      </c>
      <c r="N208" s="27">
        <v>51.823529411764703</v>
      </c>
      <c r="O208" s="27">
        <v>51.357142857142854</v>
      </c>
      <c r="T208" s="27" t="s">
        <v>145</v>
      </c>
      <c r="U208" s="27">
        <v>50.666666666666664</v>
      </c>
      <c r="V208" s="27">
        <v>50</v>
      </c>
      <c r="W208" s="27">
        <v>47.666666666666664</v>
      </c>
      <c r="X208" s="27">
        <v>46.666666666666664</v>
      </c>
      <c r="Y208" s="71">
        <v>48.666666666666664</v>
      </c>
      <c r="Z208" s="27">
        <v>46.666666666666664</v>
      </c>
      <c r="AA208" s="27">
        <v>47</v>
      </c>
      <c r="AB208" s="27">
        <v>47.333333333333336</v>
      </c>
      <c r="AC208" s="27">
        <v>48</v>
      </c>
      <c r="AD208" s="32"/>
      <c r="AE208" s="32"/>
      <c r="AF208" s="32"/>
      <c r="AG208" s="32"/>
      <c r="AH208" s="32"/>
      <c r="AI208" s="32"/>
      <c r="AJ208" s="32"/>
      <c r="AK208" s="32"/>
      <c r="AL208" s="69"/>
      <c r="AM208" s="68"/>
      <c r="AN208" s="68"/>
    </row>
    <row r="209" spans="38:40" x14ac:dyDescent="0.2">
      <c r="AL209" s="68"/>
      <c r="AM209" s="68"/>
      <c r="AN209" s="68"/>
    </row>
    <row r="210" spans="38:40" x14ac:dyDescent="0.2">
      <c r="AL210" s="68"/>
      <c r="AM210" s="68"/>
      <c r="AN210" s="68"/>
    </row>
    <row r="235" spans="5:41" x14ac:dyDescent="0.2">
      <c r="E235" s="1053" t="s">
        <v>210</v>
      </c>
      <c r="F235" s="1054"/>
      <c r="G235" s="1054"/>
      <c r="H235" s="1054"/>
      <c r="I235" s="1054"/>
      <c r="J235" s="1054"/>
      <c r="K235" s="1054"/>
      <c r="L235" s="1054"/>
      <c r="M235" s="1054"/>
      <c r="N235" s="1054"/>
      <c r="O235" s="1054"/>
      <c r="P235" s="1054"/>
      <c r="Q235" s="1054"/>
      <c r="R235" s="1054"/>
      <c r="S235" s="1054"/>
      <c r="T235" s="1054"/>
      <c r="U235" s="1054"/>
      <c r="V235" s="1054"/>
      <c r="W235" s="1054"/>
      <c r="X235" s="1054"/>
      <c r="Y235" s="1054"/>
    </row>
    <row r="236" spans="5:41" x14ac:dyDescent="0.2">
      <c r="E236" s="28"/>
      <c r="F236" s="1053">
        <v>2016</v>
      </c>
      <c r="G236" s="1054"/>
      <c r="H236" s="1054"/>
      <c r="I236" s="1190"/>
      <c r="J236" s="1053">
        <v>2017</v>
      </c>
      <c r="K236" s="1054"/>
      <c r="L236" s="1054"/>
      <c r="M236" s="1190"/>
      <c r="N236" s="1053">
        <v>2018</v>
      </c>
      <c r="O236" s="1054"/>
      <c r="P236" s="1054"/>
      <c r="Q236" s="1190"/>
      <c r="R236" s="1053">
        <v>2019</v>
      </c>
      <c r="S236" s="1054"/>
      <c r="T236" s="1054"/>
      <c r="U236" s="1190"/>
      <c r="V236" s="1053">
        <v>2020</v>
      </c>
      <c r="W236" s="1054"/>
      <c r="X236" s="1054"/>
      <c r="Y236" s="1054"/>
      <c r="Z236" s="1053">
        <v>2021</v>
      </c>
      <c r="AA236" s="1054"/>
      <c r="AB236" s="1054"/>
      <c r="AC236" s="1054"/>
      <c r="AD236" s="1053">
        <v>2022</v>
      </c>
      <c r="AE236" s="1054"/>
      <c r="AF236" s="1054"/>
      <c r="AG236" s="1054"/>
      <c r="AH236" s="1053">
        <v>2023</v>
      </c>
      <c r="AI236" s="1054"/>
      <c r="AJ236" s="1054"/>
      <c r="AK236" s="1054"/>
      <c r="AL236" s="1053">
        <v>2024</v>
      </c>
      <c r="AM236" s="1054"/>
      <c r="AN236" s="1054"/>
      <c r="AO236" s="1054"/>
    </row>
    <row r="237" spans="5:41" x14ac:dyDescent="0.2">
      <c r="F237" s="67" t="s">
        <v>10</v>
      </c>
      <c r="G237" t="s">
        <v>0</v>
      </c>
      <c r="H237" t="s">
        <v>208</v>
      </c>
      <c r="I237" t="s">
        <v>209</v>
      </c>
      <c r="J237" s="67" t="s">
        <v>10</v>
      </c>
      <c r="K237" s="67" t="s">
        <v>0</v>
      </c>
      <c r="L237" t="s">
        <v>208</v>
      </c>
      <c r="M237" t="s">
        <v>209</v>
      </c>
      <c r="N237" s="67" t="s">
        <v>10</v>
      </c>
      <c r="O237" s="67" t="s">
        <v>0</v>
      </c>
      <c r="P237" t="s">
        <v>208</v>
      </c>
      <c r="Q237" t="s">
        <v>209</v>
      </c>
      <c r="R237" s="67" t="s">
        <v>10</v>
      </c>
      <c r="S237" s="67" t="s">
        <v>0</v>
      </c>
      <c r="T237" t="s">
        <v>208</v>
      </c>
      <c r="U237" t="s">
        <v>209</v>
      </c>
      <c r="V237" s="67" t="s">
        <v>10</v>
      </c>
      <c r="W237" s="67" t="s">
        <v>0</v>
      </c>
      <c r="X237" t="s">
        <v>208</v>
      </c>
      <c r="Y237" t="s">
        <v>209</v>
      </c>
      <c r="Z237" s="67" t="s">
        <v>10</v>
      </c>
      <c r="AA237" s="67" t="s">
        <v>0</v>
      </c>
      <c r="AB237" t="s">
        <v>208</v>
      </c>
      <c r="AC237" t="s">
        <v>209</v>
      </c>
      <c r="AD237" s="67" t="s">
        <v>10</v>
      </c>
      <c r="AE237" s="67" t="s">
        <v>0</v>
      </c>
      <c r="AF237" t="s">
        <v>208</v>
      </c>
      <c r="AG237" t="s">
        <v>209</v>
      </c>
      <c r="AH237" s="67" t="s">
        <v>10</v>
      </c>
      <c r="AI237" s="67" t="s">
        <v>0</v>
      </c>
      <c r="AJ237" t="s">
        <v>208</v>
      </c>
      <c r="AK237" t="s">
        <v>209</v>
      </c>
      <c r="AL237" s="67" t="s">
        <v>10</v>
      </c>
      <c r="AM237" s="67" t="s">
        <v>0</v>
      </c>
      <c r="AN237" t="s">
        <v>208</v>
      </c>
      <c r="AO237" t="s">
        <v>209</v>
      </c>
    </row>
    <row r="238" spans="5:41" x14ac:dyDescent="0.2">
      <c r="E238" s="26">
        <v>1</v>
      </c>
      <c r="F238" s="58">
        <f>$F10</f>
        <v>0.17</v>
      </c>
      <c r="G238" s="58">
        <f>$F11</f>
        <v>0.13</v>
      </c>
      <c r="H238" s="58">
        <f>$F12</f>
        <v>0.16</v>
      </c>
      <c r="I238" s="58">
        <f>$F14</f>
        <v>0.11</v>
      </c>
      <c r="J238" s="58">
        <f>$R10</f>
        <v>0.17</v>
      </c>
      <c r="K238" s="58">
        <f>$R11</f>
        <v>0.13</v>
      </c>
      <c r="L238" s="58">
        <f>$R12</f>
        <v>0.16</v>
      </c>
      <c r="M238" s="58">
        <f>$R14</f>
        <v>0.11</v>
      </c>
      <c r="N238" s="58">
        <f>$AD10</f>
        <v>0.25</v>
      </c>
      <c r="O238" s="58">
        <f>$AD11</f>
        <v>0.21</v>
      </c>
      <c r="P238" s="58">
        <f>$AD12</f>
        <v>0.25</v>
      </c>
      <c r="Q238" s="58">
        <f>$AD14</f>
        <v>0.16</v>
      </c>
      <c r="R238" s="58">
        <f>$AP10</f>
        <v>0.32</v>
      </c>
      <c r="S238" s="58">
        <f>$AP11</f>
        <v>0.26</v>
      </c>
      <c r="T238" s="58">
        <f>$AP12</f>
        <v>0.31</v>
      </c>
      <c r="U238" s="58">
        <f>$AP14</f>
        <v>0.21</v>
      </c>
      <c r="V238" s="58">
        <f>$BB10</f>
        <v>0.27</v>
      </c>
      <c r="W238" s="58">
        <f>$BB11</f>
        <v>0.19</v>
      </c>
      <c r="X238" s="58">
        <f>$BB12</f>
        <v>0.22</v>
      </c>
      <c r="Y238" s="58">
        <f>$BB14</f>
        <v>0.16</v>
      </c>
      <c r="Z238" s="303">
        <f>$BP$10</f>
        <v>0.31</v>
      </c>
      <c r="AA238" s="303">
        <f>$BP$11</f>
        <v>0.23</v>
      </c>
      <c r="AB238" s="58">
        <f>$BP12</f>
        <v>0.28000000000000003</v>
      </c>
      <c r="AC238" s="58">
        <f>$BP14</f>
        <v>0.19</v>
      </c>
      <c r="AD238" s="303">
        <f>$CD$10</f>
        <v>0.28999999999999998</v>
      </c>
      <c r="AE238" s="303">
        <f>$CD$11</f>
        <v>0.21</v>
      </c>
      <c r="AF238" s="303">
        <f>$CD$12</f>
        <v>0.25</v>
      </c>
      <c r="AG238" s="303">
        <f>$CD$14</f>
        <v>0.16</v>
      </c>
      <c r="AH238" s="425">
        <v>0.27</v>
      </c>
      <c r="AI238" s="426">
        <v>0.2</v>
      </c>
      <c r="AJ238" s="427">
        <v>0.24</v>
      </c>
      <c r="AK238" s="427">
        <v>0.14000000000000001</v>
      </c>
      <c r="AL238" s="425">
        <v>0.27</v>
      </c>
      <c r="AM238" s="519">
        <v>0.2</v>
      </c>
      <c r="AN238" s="486">
        <v>0.24</v>
      </c>
      <c r="AO238" s="486">
        <v>0.15</v>
      </c>
    </row>
    <row r="239" spans="5:41" x14ac:dyDescent="0.2">
      <c r="E239" s="26">
        <v>2</v>
      </c>
      <c r="F239" s="58">
        <f>$G10</f>
        <v>0.47</v>
      </c>
      <c r="G239" s="58">
        <f>$G11</f>
        <v>0.52</v>
      </c>
      <c r="H239" s="58">
        <f>$G12</f>
        <v>0.55000000000000004</v>
      </c>
      <c r="I239" s="58">
        <f>$G14</f>
        <v>0.5</v>
      </c>
      <c r="J239" s="58">
        <f>$S10</f>
        <v>0.47</v>
      </c>
      <c r="K239" s="58">
        <f>$S11</f>
        <v>0.51</v>
      </c>
      <c r="L239" s="58">
        <f>$S12</f>
        <v>0.54</v>
      </c>
      <c r="M239" s="58">
        <f>$S14</f>
        <v>0.48</v>
      </c>
      <c r="N239" s="58">
        <f>$AE10</f>
        <v>0.43</v>
      </c>
      <c r="O239" s="58">
        <f>$AE11</f>
        <v>0.49</v>
      </c>
      <c r="P239" s="58">
        <f>$AE12</f>
        <v>0.51</v>
      </c>
      <c r="Q239" s="58">
        <f>$AE14</f>
        <v>0.47</v>
      </c>
      <c r="R239" s="58">
        <f>$AQ10</f>
        <v>0.41</v>
      </c>
      <c r="S239" s="58">
        <f>$AQ11</f>
        <v>0.47</v>
      </c>
      <c r="T239" s="58">
        <f>$AQ12</f>
        <v>0.48</v>
      </c>
      <c r="U239" s="58">
        <f>$AQ14</f>
        <v>0.46</v>
      </c>
      <c r="V239" s="58">
        <f>$BC10</f>
        <v>0.42</v>
      </c>
      <c r="W239" s="58">
        <f>$BC11</f>
        <v>0.47</v>
      </c>
      <c r="X239" s="58">
        <f>$BC12</f>
        <v>0.5</v>
      </c>
      <c r="Y239" s="58">
        <f>$BC14</f>
        <v>0.45</v>
      </c>
      <c r="Z239" s="58">
        <f>$BQ10</f>
        <v>0.42</v>
      </c>
      <c r="AA239" s="58">
        <f>$BQ11</f>
        <v>0.48</v>
      </c>
      <c r="AB239" s="58">
        <f>$BQ12</f>
        <v>0.5</v>
      </c>
      <c r="AC239" s="58">
        <f>$BQ14</f>
        <v>0.45</v>
      </c>
      <c r="AD239" s="58">
        <f>$CE10</f>
        <v>0.41</v>
      </c>
      <c r="AE239" s="58">
        <f>$CE11</f>
        <v>0.46</v>
      </c>
      <c r="AF239" s="58">
        <f>$CE12</f>
        <v>0.5</v>
      </c>
      <c r="AG239" s="58">
        <f>$CE14</f>
        <v>0.42</v>
      </c>
      <c r="AH239" s="425">
        <v>0.42</v>
      </c>
      <c r="AI239" s="426">
        <v>0.48</v>
      </c>
      <c r="AJ239" s="427">
        <v>0.51</v>
      </c>
      <c r="AK239" s="427">
        <v>0.44</v>
      </c>
      <c r="AL239" s="425">
        <v>0.41</v>
      </c>
      <c r="AM239" s="519">
        <v>0.46</v>
      </c>
      <c r="AN239" s="486">
        <v>0.49</v>
      </c>
      <c r="AO239" s="486">
        <v>0.43</v>
      </c>
    </row>
    <row r="240" spans="5:41" x14ac:dyDescent="0.2">
      <c r="E240" s="26">
        <v>3</v>
      </c>
      <c r="F240" s="58">
        <f>$H10</f>
        <v>0.32</v>
      </c>
      <c r="G240" s="58">
        <f>$H11</f>
        <v>0.33</v>
      </c>
      <c r="H240" s="58">
        <f>$H12</f>
        <v>0.28000000000000003</v>
      </c>
      <c r="I240" s="58">
        <f>$H14</f>
        <v>0.38</v>
      </c>
      <c r="J240" s="58">
        <f>$T10</f>
        <v>0.32</v>
      </c>
      <c r="K240" s="58">
        <f>$T11</f>
        <v>0.33</v>
      </c>
      <c r="L240" s="58">
        <f>$T12</f>
        <v>0.28999999999999998</v>
      </c>
      <c r="M240" s="58">
        <f>$T14</f>
        <v>0.39</v>
      </c>
      <c r="N240" s="58">
        <f>$AF10</f>
        <v>0.28000000000000003</v>
      </c>
      <c r="O240" s="58">
        <f>$AF11</f>
        <v>0.28999999999999998</v>
      </c>
      <c r="P240" s="58">
        <f>$AF12</f>
        <v>0.24</v>
      </c>
      <c r="Q240" s="58">
        <f>$AF14</f>
        <v>0.35</v>
      </c>
      <c r="R240" s="58">
        <f>$AR10</f>
        <v>0.24</v>
      </c>
      <c r="S240" s="58">
        <f>$AR11</f>
        <v>0.25</v>
      </c>
      <c r="T240" s="58">
        <f>$AR12</f>
        <v>0.2</v>
      </c>
      <c r="U240" s="58">
        <f>$AR14</f>
        <v>0.31</v>
      </c>
      <c r="V240" s="58">
        <f>$BD10</f>
        <v>0.27</v>
      </c>
      <c r="W240" s="58">
        <f>$BD11</f>
        <v>0.31</v>
      </c>
      <c r="X240" s="58">
        <f>$BD12</f>
        <v>0.26</v>
      </c>
      <c r="Y240" s="58">
        <f>$BD14</f>
        <v>0.36</v>
      </c>
      <c r="Z240" s="58">
        <f>$BR10</f>
        <v>0.24</v>
      </c>
      <c r="AA240" s="58">
        <f>$BR11</f>
        <v>0.27</v>
      </c>
      <c r="AB240" s="58">
        <f>$BR12</f>
        <v>0.21</v>
      </c>
      <c r="AC240" s="58">
        <f>$BR14</f>
        <v>0.33</v>
      </c>
      <c r="AD240" s="58">
        <f>$CF10</f>
        <v>0.27</v>
      </c>
      <c r="AE240" s="58">
        <f>$CF11</f>
        <v>0.31</v>
      </c>
      <c r="AF240" s="58">
        <f>$CF12</f>
        <v>0.23</v>
      </c>
      <c r="AG240" s="58">
        <f>$CF14</f>
        <v>0.39</v>
      </c>
      <c r="AH240" s="425">
        <v>0.27</v>
      </c>
      <c r="AI240" s="426">
        <v>0.31</v>
      </c>
      <c r="AJ240" s="427">
        <v>0.24</v>
      </c>
      <c r="AK240" s="427">
        <v>0.38</v>
      </c>
      <c r="AL240" s="425">
        <v>0.28000000000000003</v>
      </c>
      <c r="AM240" s="519">
        <v>0.31</v>
      </c>
      <c r="AN240" s="486">
        <v>0.26</v>
      </c>
      <c r="AO240" s="486">
        <v>0.37</v>
      </c>
    </row>
    <row r="241" spans="5:41" x14ac:dyDescent="0.2">
      <c r="E241" s="26">
        <v>4</v>
      </c>
      <c r="F241" s="58">
        <f>$I10</f>
        <v>0.03</v>
      </c>
      <c r="G241" s="58">
        <f>$I11</f>
        <v>0.01</v>
      </c>
      <c r="H241" s="58">
        <f>$I12</f>
        <v>0.01</v>
      </c>
      <c r="I241" s="58">
        <f>$I14</f>
        <v>0.02</v>
      </c>
      <c r="J241" s="58">
        <f>$U10</f>
        <v>0.04</v>
      </c>
      <c r="K241" s="58">
        <f>$U11</f>
        <v>0.02</v>
      </c>
      <c r="L241" s="58">
        <f>$U12</f>
        <v>0.01</v>
      </c>
      <c r="M241" s="58">
        <f>$U14</f>
        <v>0.03</v>
      </c>
      <c r="N241" s="58">
        <f>$AG10</f>
        <v>0.04</v>
      </c>
      <c r="O241" s="58">
        <f>$AG11</f>
        <v>0.02</v>
      </c>
      <c r="P241" s="58">
        <f>$AG12</f>
        <v>0.01</v>
      </c>
      <c r="Q241" s="58">
        <f>$AG14</f>
        <v>0.03</v>
      </c>
      <c r="R241" s="58">
        <f>$AS10</f>
        <v>0.03</v>
      </c>
      <c r="S241" s="58">
        <f>$AS11</f>
        <v>0.01</v>
      </c>
      <c r="T241" s="58">
        <f>$AS12</f>
        <v>0.01</v>
      </c>
      <c r="U241" s="58">
        <f>$AS14</f>
        <v>0.02</v>
      </c>
      <c r="V241" s="58">
        <f>$BE10</f>
        <v>0.04</v>
      </c>
      <c r="W241" s="58">
        <f>$BE11</f>
        <v>0.02</v>
      </c>
      <c r="X241" s="58">
        <f>$BE12</f>
        <v>0.01</v>
      </c>
      <c r="Y241" s="58">
        <f>$BE14</f>
        <v>0.03</v>
      </c>
      <c r="Z241" s="58">
        <f>$BS10</f>
        <v>0.03</v>
      </c>
      <c r="AA241" s="58">
        <f>$BS11</f>
        <v>0.02</v>
      </c>
      <c r="AB241" s="58">
        <f>$BS12</f>
        <v>0.01</v>
      </c>
      <c r="AC241" s="58">
        <f>$BS14</f>
        <v>0.03</v>
      </c>
      <c r="AD241" s="58">
        <f>$CG10</f>
        <v>0.03</v>
      </c>
      <c r="AE241" s="58">
        <f>$CG11</f>
        <v>0.02</v>
      </c>
      <c r="AF241" s="58">
        <f>$CG12</f>
        <v>0.01</v>
      </c>
      <c r="AG241" s="58">
        <f>$CG14</f>
        <v>0.03</v>
      </c>
      <c r="AH241" s="425">
        <v>0.04</v>
      </c>
      <c r="AI241" s="426">
        <v>0.02</v>
      </c>
      <c r="AJ241" s="427">
        <v>0.01</v>
      </c>
      <c r="AK241" s="427">
        <v>0.03</v>
      </c>
      <c r="AL241" s="425">
        <v>0.04</v>
      </c>
      <c r="AM241" s="519">
        <v>0.03</v>
      </c>
      <c r="AN241" s="486">
        <v>0.02</v>
      </c>
      <c r="AO241" s="486">
        <v>0.04</v>
      </c>
    </row>
    <row r="280" spans="5:15" x14ac:dyDescent="0.2">
      <c r="E280" s="1053" t="s">
        <v>156</v>
      </c>
      <c r="F280" s="1054"/>
      <c r="G280" s="1054"/>
      <c r="H280" s="1054"/>
      <c r="I280" s="1054"/>
      <c r="J280" s="1054"/>
      <c r="K280" s="73"/>
      <c r="L280" s="73"/>
      <c r="M280" s="73"/>
      <c r="N280" s="73"/>
      <c r="O280" s="73"/>
    </row>
    <row r="281" spans="5:15" x14ac:dyDescent="0.2">
      <c r="E281" s="28"/>
      <c r="F281" s="28">
        <v>2016</v>
      </c>
      <c r="G281" s="29">
        <v>2017</v>
      </c>
      <c r="H281" s="28">
        <v>2018</v>
      </c>
      <c r="I281" s="28">
        <v>2019</v>
      </c>
      <c r="J281" s="28">
        <v>2020</v>
      </c>
      <c r="K281" s="28">
        <v>2021</v>
      </c>
      <c r="L281" s="28">
        <v>2022</v>
      </c>
      <c r="M281" s="28">
        <v>2023</v>
      </c>
      <c r="N281" s="28">
        <v>2024</v>
      </c>
      <c r="O281" s="72"/>
    </row>
    <row r="282" spans="5:15" x14ac:dyDescent="0.2">
      <c r="E282" s="27" t="s">
        <v>140</v>
      </c>
      <c r="F282" s="27">
        <v>50.588235294117645</v>
      </c>
      <c r="G282" s="27">
        <v>50.8125</v>
      </c>
      <c r="H282" s="27">
        <v>48.882352941176471</v>
      </c>
      <c r="I282" s="27">
        <v>46.941176470588232</v>
      </c>
      <c r="J282" s="27">
        <v>50.058823529411768</v>
      </c>
      <c r="K282" s="27">
        <v>50.058823529411768</v>
      </c>
      <c r="L282" s="27">
        <v>49.388888888888886</v>
      </c>
      <c r="M282" s="27">
        <v>50.058823529411768</v>
      </c>
      <c r="N282" s="27">
        <v>49.777777777777779</v>
      </c>
      <c r="O282" s="72"/>
    </row>
    <row r="283" spans="5:15" x14ac:dyDescent="0.2">
      <c r="E283" s="27" t="s">
        <v>141</v>
      </c>
      <c r="F283" s="27">
        <v>52.9</v>
      </c>
      <c r="G283" s="27">
        <v>52.421052631578945</v>
      </c>
      <c r="H283" s="27">
        <v>50.684210526315788</v>
      </c>
      <c r="I283" s="27">
        <v>49.65</v>
      </c>
      <c r="J283" s="27">
        <v>51.083333333333336</v>
      </c>
      <c r="K283" s="27">
        <v>51.083333333333336</v>
      </c>
      <c r="L283" s="27">
        <v>51.08</v>
      </c>
      <c r="M283" s="27">
        <v>51.5</v>
      </c>
      <c r="N283" s="27">
        <v>51.583333333333336</v>
      </c>
      <c r="O283" s="47"/>
    </row>
    <row r="284" spans="5:15" x14ac:dyDescent="0.2">
      <c r="E284" s="27" t="s">
        <v>142</v>
      </c>
      <c r="F284" s="27">
        <v>52.4375</v>
      </c>
      <c r="G284" s="27">
        <v>52.588235294117645</v>
      </c>
      <c r="H284" s="27">
        <v>51.176470588235297</v>
      </c>
      <c r="I284" s="27">
        <v>48.705882352941174</v>
      </c>
      <c r="J284" s="27">
        <v>51.578947368421055</v>
      </c>
      <c r="K284" s="27">
        <v>51.578947368421055</v>
      </c>
      <c r="L284" s="27">
        <v>51.863636363636367</v>
      </c>
      <c r="M284" s="27">
        <v>51.409090909090907</v>
      </c>
      <c r="N284" s="27">
        <v>51.18181818181818</v>
      </c>
      <c r="O284" s="32"/>
    </row>
    <row r="285" spans="5:15" x14ac:dyDescent="0.2">
      <c r="E285" s="27" t="s">
        <v>143</v>
      </c>
      <c r="F285" s="27">
        <v>48.142857142857146</v>
      </c>
      <c r="G285" s="27">
        <v>50.266666666666666</v>
      </c>
      <c r="H285" s="27">
        <v>47.93333333333333</v>
      </c>
      <c r="I285" s="27">
        <v>45.785714285714285</v>
      </c>
      <c r="J285" s="27">
        <v>46.692307692307693</v>
      </c>
      <c r="K285" s="27">
        <v>46.692307692307693</v>
      </c>
      <c r="L285" s="27">
        <v>47.214285714285715</v>
      </c>
      <c r="M285" s="27">
        <v>46.733333333333334</v>
      </c>
      <c r="N285" s="27">
        <v>48.07692307692308</v>
      </c>
      <c r="O285" s="32"/>
    </row>
    <row r="286" spans="5:15" x14ac:dyDescent="0.2">
      <c r="E286" s="27" t="s">
        <v>144</v>
      </c>
      <c r="F286" s="27">
        <v>54.235294117647058</v>
      </c>
      <c r="G286" s="27">
        <v>54.117647058823529</v>
      </c>
      <c r="H286" s="27">
        <v>52.555555555555557</v>
      </c>
      <c r="I286" s="27">
        <v>50.421052631578945</v>
      </c>
      <c r="J286" s="27">
        <v>53.777777777777779</v>
      </c>
      <c r="K286" s="27">
        <v>53.777777777777779</v>
      </c>
      <c r="L286" s="27">
        <v>53.352941176470587</v>
      </c>
      <c r="M286" s="27">
        <v>53.647058823529413</v>
      </c>
      <c r="N286" s="27">
        <v>52.166666666666664</v>
      </c>
      <c r="O286" s="32"/>
    </row>
    <row r="287" spans="5:15" x14ac:dyDescent="0.2">
      <c r="E287" s="27" t="s">
        <v>145</v>
      </c>
      <c r="F287" s="27">
        <v>52.06666666666667</v>
      </c>
      <c r="G287" s="27">
        <v>50.6</v>
      </c>
      <c r="H287" s="27">
        <v>50.571428571428569</v>
      </c>
      <c r="I287" s="27">
        <v>49.2</v>
      </c>
      <c r="J287" s="27">
        <v>49.588235294117645</v>
      </c>
      <c r="K287" s="27">
        <v>49.588235294117645</v>
      </c>
      <c r="L287" s="27">
        <v>49.736842105263158</v>
      </c>
      <c r="M287" s="27">
        <v>51.15</v>
      </c>
      <c r="N287" s="27">
        <v>50.611111111111114</v>
      </c>
      <c r="O287" s="32"/>
    </row>
    <row r="288" spans="5:15" x14ac:dyDescent="0.2">
      <c r="E288" s="32"/>
      <c r="F288" s="32"/>
      <c r="G288" s="32"/>
      <c r="J288" s="32"/>
      <c r="K288" s="32"/>
      <c r="L288" s="32"/>
      <c r="M288" s="32"/>
      <c r="N288" s="32"/>
      <c r="O288" s="32"/>
    </row>
  </sheetData>
  <sheetProtection algorithmName="SHA-512" hashValue="t41UuUmQNhGhVlbdxqHZusuX8VMjPOq/C8UlRuDuZfRoMNZ4wLYtJdmh7HD7OuOTy8W//kP6rfTg/wPeihHGnA==" saltValue="0dS1eWOaMd/SiJ1/Xd7qmw==" spinCount="100000" sheet="1" objects="1" scenarios="1"/>
  <autoFilter ref="A9:EE173" xr:uid="{D8F5EF4D-90BD-455C-9C0C-9F5E72AE4ED2}"/>
  <sortState ref="A38:BK173">
    <sortCondition ref="A38:A173"/>
  </sortState>
  <mergeCells count="110">
    <mergeCell ref="DP7:EC7"/>
    <mergeCell ref="DP8:DP9"/>
    <mergeCell ref="DQ8:DQ9"/>
    <mergeCell ref="DR8:DR9"/>
    <mergeCell ref="DS8:DS9"/>
    <mergeCell ref="DT8:DW8"/>
    <mergeCell ref="DB7:DO7"/>
    <mergeCell ref="E280:J280"/>
    <mergeCell ref="E179:E180"/>
    <mergeCell ref="F179:G179"/>
    <mergeCell ref="H179:I179"/>
    <mergeCell ref="J179:K179"/>
    <mergeCell ref="L179:M179"/>
    <mergeCell ref="P179:Q179"/>
    <mergeCell ref="R179:S179"/>
    <mergeCell ref="V179:W179"/>
    <mergeCell ref="E235:Y235"/>
    <mergeCell ref="F236:I236"/>
    <mergeCell ref="J236:M236"/>
    <mergeCell ref="N236:Q236"/>
    <mergeCell ref="R236:U236"/>
    <mergeCell ref="V236:Y236"/>
    <mergeCell ref="X191:Y191"/>
    <mergeCell ref="F201:K201"/>
    <mergeCell ref="F191:G191"/>
    <mergeCell ref="H191:I191"/>
    <mergeCell ref="J191:K191"/>
    <mergeCell ref="L191:M191"/>
    <mergeCell ref="P191:Q191"/>
    <mergeCell ref="R191:S191"/>
    <mergeCell ref="T191:U191"/>
    <mergeCell ref="DB8:DB9"/>
    <mergeCell ref="DC8:DC9"/>
    <mergeCell ref="N191:O191"/>
    <mergeCell ref="V191:W191"/>
    <mergeCell ref="AD191:AE191"/>
    <mergeCell ref="AF191:AG191"/>
    <mergeCell ref="AH191:AI191"/>
    <mergeCell ref="AJ191:AK191"/>
    <mergeCell ref="DD8:DD9"/>
    <mergeCell ref="DE8:DE9"/>
    <mergeCell ref="DF8:DI8"/>
    <mergeCell ref="F190:I190"/>
    <mergeCell ref="V190:Y190"/>
    <mergeCell ref="N179:O179"/>
    <mergeCell ref="E178:O178"/>
    <mergeCell ref="AL190:AO190"/>
    <mergeCell ref="AD190:AG190"/>
    <mergeCell ref="AP8:AS8"/>
    <mergeCell ref="AT8:AY8"/>
    <mergeCell ref="AO8:AO9"/>
    <mergeCell ref="N190:Q190"/>
    <mergeCell ref="R190:U190"/>
    <mergeCell ref="AH190:AK190"/>
    <mergeCell ref="A1:Q1"/>
    <mergeCell ref="A3:Q3"/>
    <mergeCell ref="A4:Q4"/>
    <mergeCell ref="F8:I8"/>
    <mergeCell ref="J8:O8"/>
    <mergeCell ref="D7:O7"/>
    <mergeCell ref="P7:AA7"/>
    <mergeCell ref="D8:D9"/>
    <mergeCell ref="E8:E9"/>
    <mergeCell ref="P8:P9"/>
    <mergeCell ref="Q8:Q9"/>
    <mergeCell ref="A7:A9"/>
    <mergeCell ref="R8:U8"/>
    <mergeCell ref="V8:AA8"/>
    <mergeCell ref="B7:B9"/>
    <mergeCell ref="C7:C9"/>
    <mergeCell ref="Z236:AC236"/>
    <mergeCell ref="BL7:BY7"/>
    <mergeCell ref="BL8:BL9"/>
    <mergeCell ref="BN8:BN9"/>
    <mergeCell ref="BM8:BM9"/>
    <mergeCell ref="BO8:BO9"/>
    <mergeCell ref="BT8:BY8"/>
    <mergeCell ref="BP8:BS8"/>
    <mergeCell ref="Z190:AC190"/>
    <mergeCell ref="Z191:AA191"/>
    <mergeCell ref="AB191:AC191"/>
    <mergeCell ref="AZ8:AZ9"/>
    <mergeCell ref="BA8:BA9"/>
    <mergeCell ref="AB7:AM7"/>
    <mergeCell ref="AD8:AG8"/>
    <mergeCell ref="AH8:AM8"/>
    <mergeCell ref="AB8:AB9"/>
    <mergeCell ref="AC8:AC9"/>
    <mergeCell ref="AN8:AN9"/>
    <mergeCell ref="AD236:AG236"/>
    <mergeCell ref="AH236:AK236"/>
    <mergeCell ref="AL191:AM191"/>
    <mergeCell ref="AN191:AO191"/>
    <mergeCell ref="AL236:AO236"/>
    <mergeCell ref="AN7:AY7"/>
    <mergeCell ref="AZ7:BK7"/>
    <mergeCell ref="CN7:DA7"/>
    <mergeCell ref="CN8:CN9"/>
    <mergeCell ref="CO8:CO9"/>
    <mergeCell ref="CP8:CP9"/>
    <mergeCell ref="CQ8:CQ9"/>
    <mergeCell ref="CR8:CU8"/>
    <mergeCell ref="CV8:DA8"/>
    <mergeCell ref="BZ7:CM7"/>
    <mergeCell ref="BZ8:BZ9"/>
    <mergeCell ref="CA8:CA9"/>
    <mergeCell ref="CB8:CB9"/>
    <mergeCell ref="CC8:CC9"/>
    <mergeCell ref="CD8:CG8"/>
    <mergeCell ref="CH8:CM8"/>
  </mergeCells>
  <conditionalFormatting sqref="A131">
    <cfRule type="duplicateValues" dxfId="52" priority="6"/>
    <cfRule type="duplicateValues" dxfId="51" priority="7"/>
  </conditionalFormatting>
  <conditionalFormatting sqref="A164">
    <cfRule type="duplicateValues" dxfId="50" priority="8"/>
    <cfRule type="duplicateValues" dxfId="49" priority="9"/>
  </conditionalFormatting>
  <conditionalFormatting sqref="A166:A1048576 A1:A36 A132:A163 A38:A130">
    <cfRule type="duplicateValues" dxfId="48" priority="10"/>
  </conditionalFormatting>
  <conditionalFormatting sqref="EE131">
    <cfRule type="duplicateValues" dxfId="47" priority="1"/>
    <cfRule type="duplicateValues" dxfId="46" priority="2"/>
  </conditionalFormatting>
  <conditionalFormatting sqref="EE164">
    <cfRule type="duplicateValues" dxfId="45" priority="3"/>
    <cfRule type="duplicateValues" dxfId="44" priority="4"/>
  </conditionalFormatting>
  <conditionalFormatting sqref="EE166:EE173 EE36 EE132:EE163 EE38:EE130">
    <cfRule type="duplicateValues" dxfId="43" priority="5"/>
  </conditionalFormatting>
  <pageMargins left="0.75" right="0.75" top="1" bottom="1" header="0.5" footer="0.5"/>
  <pageSetup orientation="portrait" horizontalDpi="300" verticalDpi="300" r:id="rId1"/>
  <headerFooter alignWithMargins="0"/>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18</vt:i4>
      </vt:variant>
      <vt:variant>
        <vt:lpstr>Rangos con nombre</vt:lpstr>
      </vt:variant>
      <vt:variant>
        <vt:i4>6</vt:i4>
      </vt:variant>
    </vt:vector>
  </HeadingPairs>
  <TitlesOfParts>
    <vt:vector size="24" baseType="lpstr">
      <vt:lpstr>1 GUÍA DE USO</vt:lpstr>
      <vt:lpstr>PGLOBAL</vt:lpstr>
      <vt:lpstr>Ficha técnica</vt:lpstr>
      <vt:lpstr>Clasificación</vt:lpstr>
      <vt:lpstr>2 PuntajeGlobal</vt:lpstr>
      <vt:lpstr>3 Promediosyniveles</vt:lpstr>
      <vt:lpstr>LC</vt:lpstr>
      <vt:lpstr>MATE</vt:lpstr>
      <vt:lpstr>SyC</vt:lpstr>
      <vt:lpstr>CN</vt:lpstr>
      <vt:lpstr>INGLES</vt:lpstr>
      <vt:lpstr>4 AprenLectura</vt:lpstr>
      <vt:lpstr>5 AprenMate</vt:lpstr>
      <vt:lpstr>6 AprenSyC</vt:lpstr>
      <vt:lpstr>7 AprenCNProVivos</vt:lpstr>
      <vt:lpstr>8 AprenCNProQuímicos</vt:lpstr>
      <vt:lpstr>9 AprenCNProFísicos</vt:lpstr>
      <vt:lpstr>10 AprenCNCTS</vt:lpstr>
      <vt:lpstr>'10 AprenCNCTS'!Área_de_impresión</vt:lpstr>
      <vt:lpstr>'3 Promediosyniveles'!Área_de_impresión</vt:lpstr>
      <vt:lpstr>'6 AprenSyC'!Área_de_impresión</vt:lpstr>
      <vt:lpstr>'7 AprenCNProVivos'!Área_de_impresión</vt:lpstr>
      <vt:lpstr>'8 AprenCNProQuímicos'!Área_de_impresión</vt:lpstr>
      <vt:lpstr>'9 AprenCNProFísicos'!Área_de_impresión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EVAL_ALUMNOS</dc:creator>
  <cp:lastModifiedBy>Jorge Enrique Restrepo Mantilla</cp:lastModifiedBy>
  <cp:lastPrinted>2025-03-19T20:07:55Z</cp:lastPrinted>
  <dcterms:created xsi:type="dcterms:W3CDTF">2019-12-17T16:58:00Z</dcterms:created>
  <dcterms:modified xsi:type="dcterms:W3CDTF">2026-01-19T20:16:07Z</dcterms:modified>
</cp:coreProperties>
</file>